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2721BF86-3E77-4FDA-9B9F-1002110381CA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</calcChain>
</file>

<file path=xl/sharedStrings.xml><?xml version="1.0" encoding="utf-8"?>
<sst xmlns="http://schemas.openxmlformats.org/spreadsheetml/2006/main" count="12860" uniqueCount="63">
  <si>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</si>
  <si>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</si>
  <si>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</si>
  <si>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</si>
  <si>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</si>
  <si>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</si>
  <si>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</si>
  <si>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</si>
  <si>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</si>
  <si>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</si>
  <si>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</si>
  <si>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</si>
  <si>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</si>
  <si>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</si>
  <si>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</si>
  <si>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</si>
  <si>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</si>
  <si>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</si>
  <si>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</si>
  <si>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</si>
  <si>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</si>
  <si>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</si>
  <si>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</si>
  <si>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</si>
  <si>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</si>
  <si>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</si>
  <si>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</si>
  <si>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</si>
  <si>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</si>
  <si>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</si>
  <si>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</si>
  <si>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</si>
  <si>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</si>
  <si>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</si>
  <si>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</si>
  <si>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</si>
  <si>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</si>
  <si>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</si>
  <si>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</si>
  <si>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</si>
  <si>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Testhuanghun_on</t>
  </si>
  <si>
    <t>Kooper</t>
  </si>
  <si>
    <t>mcp_road_part_02</t>
  </si>
  <si>
    <t>Plane_01</t>
  </si>
  <si>
    <t>mcp_roads_turn_01 (1)</t>
  </si>
  <si>
    <t>mcp_roads_T_cross_01</t>
  </si>
  <si>
    <t>Box001</t>
  </si>
  <si>
    <t>Building 07 (17)</t>
  </si>
  <si>
    <t>Building 07 (18)</t>
  </si>
  <si>
    <t>mcp_road_part_01</t>
  </si>
  <si>
    <t>mcp_roads_cross_01</t>
  </si>
  <si>
    <t>mcp_roads_cross_02</t>
  </si>
  <si>
    <t>Building 09 (4)</t>
  </si>
  <si>
    <t>mcp_roads_turn_01</t>
  </si>
  <si>
    <t>mcp_road_part_02 (1)</t>
  </si>
  <si>
    <t>mcp_road_part_02 (2)</t>
  </si>
  <si>
    <t>mcp_road_part_02 (3)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</si>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</sst>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411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"20190304164553836"</f>
        <v>20190304164553836</v>
      </c>
      <c r="B2" t="str">
        <f>"1551689153828075"</f>
        <v>1551689153828075</v>
      </c>
      <c r="C2" t="s">
        <v>40</v>
      </c>
      <c r="D2">
        <v>5.0596389999999998</v>
      </c>
      <c r="E2">
        <v>0.53942480000000004</v>
      </c>
      <c r="F2" t="s">
        <v>41</v>
      </c>
      <c r="G2">
        <v>-475.9425</v>
      </c>
      <c r="H2">
        <v>0.92881449999999999</v>
      </c>
      <c r="I2">
        <v>367.21980000000002</v>
      </c>
      <c r="J2">
        <v>-476.60919999999999</v>
      </c>
      <c r="K2">
        <v>1.109715</v>
      </c>
      <c r="L2">
        <v>367.2174</v>
      </c>
      <c r="M2">
        <v>0.99996779999999996</v>
      </c>
      <c r="N2">
        <v>-8.0289449999999991E-3</v>
      </c>
      <c r="O2" s="1">
        <v>-7.1133529999999995E-5</v>
      </c>
      <c r="P2">
        <v>0.97605350000000002</v>
      </c>
      <c r="Q2">
        <v>0.20952380000000001</v>
      </c>
      <c r="R2">
        <v>5.847343E-2</v>
      </c>
      <c r="S2">
        <v>3.257965</v>
      </c>
      <c r="T2">
        <v>-0.87085679999999999</v>
      </c>
      <c r="U2">
        <v>1.351929E-2</v>
      </c>
      <c r="V2">
        <v>-5.8526910000000001E-2</v>
      </c>
      <c r="W2">
        <v>0.217358</v>
      </c>
      <c r="X2">
        <v>0.97433570000000003</v>
      </c>
      <c r="Y2">
        <v>-4.07099E-3</v>
      </c>
      <c r="Z2">
        <v>5.6945930000000002E-4</v>
      </c>
      <c r="AA2">
        <v>0.99999150000000003</v>
      </c>
      <c r="AB2">
        <v>1</v>
      </c>
      <c r="AC2">
        <v>0.66669999999999097</v>
      </c>
      <c r="AD2">
        <v>-0.18090049999999899</v>
      </c>
      <c r="AE2">
        <v>2.4000000000228201E-3</v>
      </c>
      <c r="AF2">
        <v>-2.2795957649619902E-3</v>
      </c>
      <c r="AG2">
        <v>-0.18090049999999899</v>
      </c>
      <c r="AH2">
        <v>0.62098137025412503</v>
      </c>
      <c r="AI2">
        <v>106.24147145225</v>
      </c>
      <c r="AJ2">
        <v>90.210329384885199</v>
      </c>
      <c r="AK2">
        <v>0.64679830678488304</v>
      </c>
      <c r="AL2">
        <v>77.446096863236804</v>
      </c>
      <c r="AM2">
        <v>93.437542552568004</v>
      </c>
      <c r="AN2">
        <v>0.999999977826318</v>
      </c>
    </row>
    <row r="3" spans="1:40" x14ac:dyDescent="0.25">
      <c r="A3" t="str">
        <f>"20190304164553859"</f>
        <v>20190304164553859</v>
      </c>
      <c r="B3" t="str">
        <f>"1551689153847594"</f>
        <v>1551689153847594</v>
      </c>
      <c r="C3" t="s">
        <v>40</v>
      </c>
      <c r="D3">
        <v>5.1002400000000003</v>
      </c>
      <c r="E3">
        <v>0.53944029999999998</v>
      </c>
      <c r="F3" t="s">
        <v>41</v>
      </c>
      <c r="G3">
        <v>-475.92750000000001</v>
      </c>
      <c r="H3">
        <v>0.92807700000000004</v>
      </c>
      <c r="I3">
        <v>367.21969999999999</v>
      </c>
      <c r="J3">
        <v>-476.60090000000002</v>
      </c>
      <c r="K3">
        <v>1.109955</v>
      </c>
      <c r="L3">
        <v>367.2174</v>
      </c>
      <c r="M3">
        <v>0.99996499999999999</v>
      </c>
      <c r="N3">
        <v>-8.3871499999999995E-3</v>
      </c>
      <c r="O3" s="1">
        <v>-8.423468E-5</v>
      </c>
      <c r="P3">
        <v>0.97598949999999995</v>
      </c>
      <c r="Q3">
        <v>0.20968029999999999</v>
      </c>
      <c r="R3">
        <v>5.8980190000000002E-2</v>
      </c>
      <c r="S3">
        <v>3.2592469999999998</v>
      </c>
      <c r="T3">
        <v>-0.86847559999999902</v>
      </c>
      <c r="U3">
        <v>1.2969970000000001E-2</v>
      </c>
      <c r="V3">
        <v>-5.9049270000000001E-2</v>
      </c>
      <c r="W3">
        <v>0.2178621</v>
      </c>
      <c r="X3">
        <v>0.97419160000000005</v>
      </c>
      <c r="Y3">
        <v>-3.919662E-3</v>
      </c>
      <c r="Z3">
        <v>5.5136439999999996E-4</v>
      </c>
      <c r="AA3">
        <v>0.9999922</v>
      </c>
      <c r="AB3">
        <v>1</v>
      </c>
      <c r="AC3">
        <v>0.67340000000001499</v>
      </c>
      <c r="AD3">
        <v>-0.18187800000000001</v>
      </c>
      <c r="AE3">
        <v>2.29999999999108E-3</v>
      </c>
      <c r="AF3">
        <v>-2.1964971385058799E-3</v>
      </c>
      <c r="AG3">
        <v>-0.18187800000000001</v>
      </c>
      <c r="AH3">
        <v>0.62761686623353996</v>
      </c>
      <c r="AI3">
        <v>106.161042373984</v>
      </c>
      <c r="AJ3">
        <v>90.200519630226196</v>
      </c>
      <c r="AK3">
        <v>0.65344270006213101</v>
      </c>
      <c r="AL3">
        <v>77.416505095981904</v>
      </c>
      <c r="AM3">
        <v>93.468660241284198</v>
      </c>
      <c r="AN3">
        <v>0.999999992207251</v>
      </c>
    </row>
    <row r="4" spans="1:40" x14ac:dyDescent="0.25">
      <c r="A4" t="str">
        <f>"20190304164553881"</f>
        <v>20190304164553881</v>
      </c>
      <c r="B4" t="str">
        <f>"1551689153877850"</f>
        <v>1551689153877850</v>
      </c>
      <c r="C4" t="s">
        <v>40</v>
      </c>
      <c r="D4">
        <v>5.0972679999999997</v>
      </c>
      <c r="E4">
        <v>0.539444699999999</v>
      </c>
      <c r="F4" t="s">
        <v>41</v>
      </c>
      <c r="G4">
        <v>-475.91759999999999</v>
      </c>
      <c r="H4">
        <v>0.92768349999999999</v>
      </c>
      <c r="I4">
        <v>367.22050000000002</v>
      </c>
      <c r="J4">
        <v>-476.58819999999997</v>
      </c>
      <c r="K4">
        <v>1.1097999999999999</v>
      </c>
      <c r="L4">
        <v>367.21730000000002</v>
      </c>
      <c r="M4">
        <v>0.99997190000000002</v>
      </c>
      <c r="N4">
        <v>-7.5125519999999996E-3</v>
      </c>
      <c r="O4">
        <v>-1.08742E-4</v>
      </c>
      <c r="P4">
        <v>0.97577630000000004</v>
      </c>
      <c r="Q4">
        <v>0.21068629999999999</v>
      </c>
      <c r="R4">
        <v>5.8925440000000003E-2</v>
      </c>
      <c r="S4">
        <v>3.2596129999999999</v>
      </c>
      <c r="T4">
        <v>-0.86944390000000005</v>
      </c>
      <c r="U4">
        <v>1.5930179999999999E-2</v>
      </c>
      <c r="V4">
        <v>-5.9018889999999997E-2</v>
      </c>
      <c r="W4">
        <v>0.21801429999999999</v>
      </c>
      <c r="X4">
        <v>0.97415940000000001</v>
      </c>
      <c r="Y4">
        <v>-4.8188470000000002E-3</v>
      </c>
      <c r="Z4">
        <v>6.7775039999999902E-4</v>
      </c>
      <c r="AA4">
        <v>0.99998810000000005</v>
      </c>
      <c r="AB4">
        <v>1</v>
      </c>
      <c r="AC4">
        <v>0.67059999999997899</v>
      </c>
      <c r="AD4">
        <v>-0.18211649999999999</v>
      </c>
      <c r="AE4">
        <v>3.19999999999254E-3</v>
      </c>
      <c r="AF4">
        <v>-3.04812538590461E-3</v>
      </c>
      <c r="AG4">
        <v>-0.18211649999999999</v>
      </c>
      <c r="AH4">
        <v>0.62453987682186096</v>
      </c>
      <c r="AI4">
        <v>106.256557813374</v>
      </c>
      <c r="AJ4">
        <v>90.279635200008499</v>
      </c>
      <c r="AK4">
        <v>0.65055804382182703</v>
      </c>
      <c r="AL4">
        <v>77.407570005176694</v>
      </c>
      <c r="AM4">
        <v>93.466994334511199</v>
      </c>
      <c r="AN4">
        <v>1.0000000004948399</v>
      </c>
    </row>
    <row r="5" spans="1:40" x14ac:dyDescent="0.25">
      <c r="A5" t="str">
        <f>"20190304164553902"</f>
        <v>20190304164553902</v>
      </c>
      <c r="B5" t="str">
        <f>"1551689153897370"</f>
        <v>1551689153897370</v>
      </c>
      <c r="C5" t="s">
        <v>40</v>
      </c>
      <c r="D5">
        <v>5.159033</v>
      </c>
      <c r="E5">
        <v>0.53966139999999996</v>
      </c>
      <c r="F5" t="s">
        <v>41</v>
      </c>
      <c r="G5">
        <v>-475.90410000000003</v>
      </c>
      <c r="H5">
        <v>0.92783309999999997</v>
      </c>
      <c r="I5">
        <v>367.21980000000002</v>
      </c>
      <c r="J5">
        <v>-476.57350000000002</v>
      </c>
      <c r="K5">
        <v>1.109578</v>
      </c>
      <c r="L5">
        <v>367.21730000000002</v>
      </c>
      <c r="M5">
        <v>0.99997970000000003</v>
      </c>
      <c r="N5">
        <v>-6.3807350000000002E-3</v>
      </c>
      <c r="O5">
        <v>-1.393605E-4</v>
      </c>
      <c r="P5">
        <v>0.97535879999999997</v>
      </c>
      <c r="Q5">
        <v>0.21249029999999999</v>
      </c>
      <c r="R5">
        <v>5.9357609999999998E-2</v>
      </c>
      <c r="S5">
        <v>3.2608030000000001</v>
      </c>
      <c r="T5">
        <v>-0.8673708</v>
      </c>
      <c r="U5">
        <v>1.522827E-2</v>
      </c>
      <c r="V5">
        <v>-5.9480360000000003E-2</v>
      </c>
      <c r="W5">
        <v>0.2187132</v>
      </c>
      <c r="X5">
        <v>0.97397460000000002</v>
      </c>
      <c r="Y5">
        <v>-4.6394610000000001E-3</v>
      </c>
      <c r="Z5">
        <v>6.5712099999999999E-4</v>
      </c>
      <c r="AA5">
        <v>0.99998900000000002</v>
      </c>
      <c r="AB5">
        <v>1</v>
      </c>
      <c r="AC5">
        <v>0.669399999999996</v>
      </c>
      <c r="AD5">
        <v>-0.18174489999999999</v>
      </c>
      <c r="AE5">
        <v>2.4999999999977202E-3</v>
      </c>
      <c r="AF5">
        <v>-2.4152530482518001E-3</v>
      </c>
      <c r="AG5">
        <v>-0.18174489999999999</v>
      </c>
      <c r="AH5">
        <v>0.623443450563966</v>
      </c>
      <c r="AI5">
        <v>106.252231271171</v>
      </c>
      <c r="AJ5">
        <v>90.221965783264906</v>
      </c>
      <c r="AK5">
        <v>0.649398782085709</v>
      </c>
      <c r="AL5">
        <v>77.366535063926094</v>
      </c>
      <c r="AM5">
        <v>93.494697249116697</v>
      </c>
      <c r="AN5">
        <v>0.99999994926256297</v>
      </c>
    </row>
    <row r="6" spans="1:40" x14ac:dyDescent="0.25">
      <c r="A6" t="str">
        <f>"20190304164553923"</f>
        <v>20190304164553923</v>
      </c>
      <c r="B6" t="str">
        <f>"1551689153917867"</f>
        <v>1551689153917867</v>
      </c>
      <c r="C6" t="s">
        <v>40</v>
      </c>
      <c r="D6">
        <v>5.5244049999999998</v>
      </c>
      <c r="E6">
        <v>0.53977280000000005</v>
      </c>
      <c r="F6" t="s">
        <v>41</v>
      </c>
      <c r="G6">
        <v>-475.88819999999998</v>
      </c>
      <c r="H6">
        <v>0.92721690000000001</v>
      </c>
      <c r="I6">
        <v>367.22070000000002</v>
      </c>
      <c r="J6">
        <v>-476.55680000000001</v>
      </c>
      <c r="K6">
        <v>1.1095469999999901</v>
      </c>
      <c r="L6">
        <v>367.21730000000002</v>
      </c>
      <c r="M6">
        <v>0.99998330000000002</v>
      </c>
      <c r="N6">
        <v>-5.8099290000000001E-3</v>
      </c>
      <c r="O6">
        <v>-1.695465E-4</v>
      </c>
      <c r="P6">
        <v>0.97509590000000002</v>
      </c>
      <c r="Q6">
        <v>0.2137076</v>
      </c>
      <c r="R6">
        <v>5.930858E-2</v>
      </c>
      <c r="S6">
        <v>3.264008</v>
      </c>
      <c r="T6">
        <v>-0.8686258</v>
      </c>
      <c r="U6">
        <v>1.6876220000000001E-2</v>
      </c>
      <c r="V6">
        <v>-5.946067E-2</v>
      </c>
      <c r="W6">
        <v>0.2193724</v>
      </c>
      <c r="X6">
        <v>0.97382760000000002</v>
      </c>
      <c r="Y6">
        <v>-5.1509069999999997E-3</v>
      </c>
      <c r="Z6">
        <v>7.3226289999999902E-4</v>
      </c>
      <c r="AA6">
        <v>0.9999865</v>
      </c>
      <c r="AB6">
        <v>2</v>
      </c>
      <c r="AC6">
        <v>0.66860000000002595</v>
      </c>
      <c r="AD6">
        <v>-0.182330099999999</v>
      </c>
      <c r="AE6">
        <v>3.3999999999991802E-3</v>
      </c>
      <c r="AF6">
        <v>-3.2701719529754001E-3</v>
      </c>
      <c r="AG6">
        <v>-0.182330099999999</v>
      </c>
      <c r="AH6">
        <v>0.62232013159828004</v>
      </c>
      <c r="AI6">
        <v>106.329548728191</v>
      </c>
      <c r="AJ6">
        <v>90.301075470829701</v>
      </c>
      <c r="AK6">
        <v>0.648488477602427</v>
      </c>
      <c r="AL6">
        <v>77.327826389118599</v>
      </c>
      <c r="AM6">
        <v>93.494069299002106</v>
      </c>
      <c r="AN6">
        <v>1.0000000078401801</v>
      </c>
    </row>
    <row r="7" spans="1:40" x14ac:dyDescent="0.25">
      <c r="A7" t="str">
        <f>"20190304164553947"</f>
        <v>20190304164553947</v>
      </c>
      <c r="B7" t="str">
        <f>"1551689153937386"</f>
        <v>1551689153937386</v>
      </c>
      <c r="C7" t="s">
        <v>40</v>
      </c>
      <c r="D7">
        <v>5.1455919999999997</v>
      </c>
      <c r="E7">
        <v>0.5398425</v>
      </c>
      <c r="F7" t="s">
        <v>41</v>
      </c>
      <c r="G7">
        <v>-475.8741</v>
      </c>
      <c r="H7">
        <v>0.92754919999999996</v>
      </c>
      <c r="I7">
        <v>367.22039999999998</v>
      </c>
      <c r="J7">
        <v>-476.5428</v>
      </c>
      <c r="K7">
        <v>1.109937</v>
      </c>
      <c r="L7">
        <v>367.21719999999999</v>
      </c>
      <c r="M7">
        <v>0.99997720000000001</v>
      </c>
      <c r="N7">
        <v>-6.7546019999999898E-3</v>
      </c>
      <c r="O7">
        <v>-1.8488479999999999E-4</v>
      </c>
      <c r="P7">
        <v>0.97500180000000003</v>
      </c>
      <c r="Q7">
        <v>0.21422820000000001</v>
      </c>
      <c r="R7">
        <v>5.8972869999999997E-2</v>
      </c>
      <c r="S7">
        <v>3.2664179999999998</v>
      </c>
      <c r="T7">
        <v>-0.87070190000000003</v>
      </c>
      <c r="U7">
        <v>1.6510009999999999E-2</v>
      </c>
      <c r="V7">
        <v>-5.9143319999999999E-2</v>
      </c>
      <c r="W7">
        <v>0.2208116</v>
      </c>
      <c r="X7">
        <v>0.97352159999999999</v>
      </c>
      <c r="Y7">
        <v>-5.0521250000000002E-3</v>
      </c>
      <c r="Z7">
        <v>7.263657E-4</v>
      </c>
      <c r="AA7">
        <v>0.99998690000000001</v>
      </c>
      <c r="AB7">
        <v>2</v>
      </c>
      <c r="AC7">
        <v>0.66870000000000096</v>
      </c>
      <c r="AD7">
        <v>-0.18238779999999999</v>
      </c>
      <c r="AE7">
        <v>3.19999999999254E-3</v>
      </c>
      <c r="AF7">
        <v>-3.09350690729097E-3</v>
      </c>
      <c r="AG7">
        <v>-0.18238779999999999</v>
      </c>
      <c r="AH7">
        <v>0.62239868742817295</v>
      </c>
      <c r="AI7">
        <v>106.33251164486499</v>
      </c>
      <c r="AJ7">
        <v>90.284774749272003</v>
      </c>
      <c r="AK7">
        <v>0.64857922067095097</v>
      </c>
      <c r="AL7">
        <v>77.243293376331096</v>
      </c>
      <c r="AM7">
        <v>93.476556528747693</v>
      </c>
      <c r="AN7">
        <v>1.00000000033087</v>
      </c>
    </row>
    <row r="8" spans="1:40" x14ac:dyDescent="0.25">
      <c r="A8" t="str">
        <f>"20190304164553971"</f>
        <v>20190304164553971</v>
      </c>
      <c r="B8" t="str">
        <f>"1551689153967643"</f>
        <v>1551689153967643</v>
      </c>
      <c r="C8" t="s">
        <v>40</v>
      </c>
      <c r="D8">
        <v>5.1718789999999997</v>
      </c>
      <c r="E8">
        <v>0.53996259999999996</v>
      </c>
      <c r="F8" t="s">
        <v>41</v>
      </c>
      <c r="G8">
        <v>-475.86309999999997</v>
      </c>
      <c r="H8">
        <v>0.92831870000000005</v>
      </c>
      <c r="I8">
        <v>367.22019999999998</v>
      </c>
      <c r="J8">
        <v>-476.52659999999997</v>
      </c>
      <c r="K8">
        <v>1.1100620000000001</v>
      </c>
      <c r="L8">
        <v>367.21719999999999</v>
      </c>
      <c r="M8">
        <v>0.99997530000000001</v>
      </c>
      <c r="N8">
        <v>-7.0438360000000004E-3</v>
      </c>
      <c r="O8">
        <v>-2.011301E-4</v>
      </c>
      <c r="P8">
        <v>0.97487330000000005</v>
      </c>
      <c r="Q8">
        <v>0.2148467</v>
      </c>
      <c r="R8">
        <v>5.8848209999999998E-2</v>
      </c>
      <c r="S8">
        <v>3.267792</v>
      </c>
      <c r="T8">
        <v>-0.87297209999999903</v>
      </c>
      <c r="U8">
        <v>1.5411380000000001E-2</v>
      </c>
      <c r="V8">
        <v>-5.9035820000000003E-2</v>
      </c>
      <c r="W8">
        <v>0.2217105</v>
      </c>
      <c r="X8">
        <v>0.97332379999999996</v>
      </c>
      <c r="Y8">
        <v>-4.739788E-3</v>
      </c>
      <c r="Z8">
        <v>6.9059160000000004E-4</v>
      </c>
      <c r="AA8">
        <v>0.99998860000000001</v>
      </c>
      <c r="AB8">
        <v>2</v>
      </c>
      <c r="AC8">
        <v>0.66349999999999898</v>
      </c>
      <c r="AD8">
        <v>-0.1817433</v>
      </c>
      <c r="AE8">
        <v>2.9999999999858998E-3</v>
      </c>
      <c r="AF8">
        <v>-2.9147628586871799E-3</v>
      </c>
      <c r="AG8">
        <v>-0.1817433</v>
      </c>
      <c r="AH8">
        <v>0.61719238340476701</v>
      </c>
      <c r="AI8">
        <v>106.407831847403</v>
      </c>
      <c r="AJ8">
        <v>90.270583975150799</v>
      </c>
      <c r="AK8">
        <v>0.64340155507293395</v>
      </c>
      <c r="AL8">
        <v>77.190481182043598</v>
      </c>
      <c r="AM8">
        <v>93.470956436296603</v>
      </c>
      <c r="AN8">
        <v>0.99999999674988105</v>
      </c>
    </row>
    <row r="9" spans="1:40" x14ac:dyDescent="0.25">
      <c r="A9" t="str">
        <f>"20190304164553991"</f>
        <v>20190304164553991</v>
      </c>
      <c r="B9" t="str">
        <f>"1551689153988139"</f>
        <v>1551689153988139</v>
      </c>
      <c r="C9" t="s">
        <v>40</v>
      </c>
      <c r="D9">
        <v>5.4001679999999999</v>
      </c>
      <c r="E9">
        <v>0.54006140000000002</v>
      </c>
      <c r="F9" t="s">
        <v>41</v>
      </c>
      <c r="G9">
        <v>-475.84840000000003</v>
      </c>
      <c r="H9">
        <v>0.92784809999999995</v>
      </c>
      <c r="I9">
        <v>367.22</v>
      </c>
      <c r="J9">
        <v>-476.50869999999998</v>
      </c>
      <c r="K9">
        <v>1.109836</v>
      </c>
      <c r="L9">
        <v>367.21719999999999</v>
      </c>
      <c r="M9">
        <v>0.9999808</v>
      </c>
      <c r="N9">
        <v>-6.2049899999999996E-3</v>
      </c>
      <c r="O9">
        <v>-2.2541769999999999E-4</v>
      </c>
      <c r="P9">
        <v>0.97463690000000003</v>
      </c>
      <c r="Q9">
        <v>0.21596860000000001</v>
      </c>
      <c r="R9">
        <v>5.865571E-2</v>
      </c>
      <c r="S9">
        <v>3.2700499999999999</v>
      </c>
      <c r="T9">
        <v>-0.87868199999999996</v>
      </c>
      <c r="U9">
        <v>1.5411380000000001E-2</v>
      </c>
      <c r="V9">
        <v>-5.8865010000000002E-2</v>
      </c>
      <c r="W9">
        <v>0.22201460000000001</v>
      </c>
      <c r="X9">
        <v>0.97326480000000004</v>
      </c>
      <c r="Y9">
        <v>-4.7578189999999999E-3</v>
      </c>
      <c r="Z9">
        <v>7.0124909999999996E-4</v>
      </c>
      <c r="AA9">
        <v>0.9999884</v>
      </c>
      <c r="AB9">
        <v>1</v>
      </c>
      <c r="AC9">
        <v>0.66029999999994904</v>
      </c>
      <c r="AD9">
        <v>-0.18198790000000001</v>
      </c>
      <c r="AE9">
        <v>2.8000000000361E-3</v>
      </c>
      <c r="AF9">
        <v>-2.74066085745108E-3</v>
      </c>
      <c r="AG9">
        <v>-0.18198790000000001</v>
      </c>
      <c r="AH9">
        <v>0.61368295697506503</v>
      </c>
      <c r="AI9">
        <v>106.517586515095</v>
      </c>
      <c r="AJ9">
        <v>90.255876840781895</v>
      </c>
      <c r="AK9">
        <v>0.64010458415012494</v>
      </c>
      <c r="AL9">
        <v>77.172611873946593</v>
      </c>
      <c r="AM9">
        <v>93.461147560853803</v>
      </c>
      <c r="AN9">
        <v>0.99999997146724895</v>
      </c>
    </row>
    <row r="10" spans="1:40" x14ac:dyDescent="0.25">
      <c r="A10" t="str">
        <f>"20190304164554013"</f>
        <v>20190304164554013</v>
      </c>
      <c r="B10" t="str">
        <f>"1551689154007658"</f>
        <v>1551689154007658</v>
      </c>
      <c r="C10" t="s">
        <v>40</v>
      </c>
      <c r="D10">
        <v>5.1827439999999996</v>
      </c>
      <c r="E10">
        <v>0.5401627</v>
      </c>
      <c r="F10" t="s">
        <v>41</v>
      </c>
      <c r="G10">
        <v>-475.83</v>
      </c>
      <c r="H10">
        <v>0.92735230000000002</v>
      </c>
      <c r="I10">
        <v>367.22</v>
      </c>
      <c r="J10">
        <v>-476.48579999999998</v>
      </c>
      <c r="K10">
        <v>1.109583</v>
      </c>
      <c r="L10">
        <v>367.21710000000002</v>
      </c>
      <c r="M10">
        <v>0.99998679999999995</v>
      </c>
      <c r="N10">
        <v>-5.153683E-3</v>
      </c>
      <c r="O10">
        <v>-2.6118160000000002E-4</v>
      </c>
      <c r="P10">
        <v>0.97439180000000003</v>
      </c>
      <c r="Q10">
        <v>0.21724260000000001</v>
      </c>
      <c r="R10">
        <v>5.8019800000000003E-2</v>
      </c>
      <c r="S10">
        <v>3.272125</v>
      </c>
      <c r="T10">
        <v>-0.87993189999999999</v>
      </c>
      <c r="U10">
        <v>1.4892580000000001E-2</v>
      </c>
      <c r="V10">
        <v>-5.8261519999999997E-2</v>
      </c>
      <c r="W10">
        <v>0.22226470000000001</v>
      </c>
      <c r="X10">
        <v>0.97324409999999895</v>
      </c>
      <c r="Y10">
        <v>-4.6355989999999998E-3</v>
      </c>
      <c r="Z10">
        <v>6.9226029999999998E-4</v>
      </c>
      <c r="AA10">
        <v>0.99998900000000002</v>
      </c>
      <c r="AB10">
        <v>2</v>
      </c>
      <c r="AC10">
        <v>0.65579999999999905</v>
      </c>
      <c r="AD10">
        <v>-0.182230699999999</v>
      </c>
      <c r="AE10">
        <v>2.9000000000110001E-3</v>
      </c>
      <c r="AF10">
        <v>-2.8511393463469801E-3</v>
      </c>
      <c r="AG10">
        <v>-0.182230699999999</v>
      </c>
      <c r="AH10">
        <v>0.60879238815924097</v>
      </c>
      <c r="AI10">
        <v>106.66392215518</v>
      </c>
      <c r="AJ10">
        <v>90.268329664149803</v>
      </c>
      <c r="AK10">
        <v>0.63548747343963696</v>
      </c>
      <c r="AL10">
        <v>77.157915889037696</v>
      </c>
      <c r="AM10">
        <v>93.425821160895495</v>
      </c>
      <c r="AN10">
        <v>1.0000000398818001</v>
      </c>
    </row>
    <row r="11" spans="1:40" x14ac:dyDescent="0.25">
      <c r="A11" t="str">
        <f>"20190304164554036"</f>
        <v>20190304164554036</v>
      </c>
      <c r="B11" t="str">
        <f>"1551689154028156"</f>
        <v>1551689154028156</v>
      </c>
      <c r="C11" t="s">
        <v>40</v>
      </c>
      <c r="D11">
        <v>5.3715799999999998</v>
      </c>
      <c r="E11">
        <v>0.5402749</v>
      </c>
      <c r="F11" t="s">
        <v>41</v>
      </c>
      <c r="G11">
        <v>-475.8091</v>
      </c>
      <c r="H11">
        <v>0.92740180000000005</v>
      </c>
      <c r="I11">
        <v>367.21910000000003</v>
      </c>
      <c r="J11">
        <v>-476.45960000000002</v>
      </c>
      <c r="K11">
        <v>1.1094569999999999</v>
      </c>
      <c r="L11">
        <v>367.21710000000002</v>
      </c>
      <c r="M11">
        <v>0.9999903</v>
      </c>
      <c r="N11">
        <v>-4.4073109999999997E-3</v>
      </c>
      <c r="O11">
        <v>-3.0588849999999999E-4</v>
      </c>
      <c r="P11">
        <v>0.97418130000000003</v>
      </c>
      <c r="Q11">
        <v>0.21821489999999999</v>
      </c>
      <c r="R11">
        <v>5.7906449999999998E-2</v>
      </c>
      <c r="S11">
        <v>3.274597</v>
      </c>
      <c r="T11">
        <v>-0.88161619999999996</v>
      </c>
      <c r="U11">
        <v>1.2329100000000001E-2</v>
      </c>
      <c r="V11">
        <v>-5.8189499999999998E-2</v>
      </c>
      <c r="W11">
        <v>0.22251019999999999</v>
      </c>
      <c r="X11">
        <v>0.97319230000000001</v>
      </c>
      <c r="Y11">
        <v>-3.9185039999999997E-3</v>
      </c>
      <c r="Z11">
        <v>6.0663549999999996E-4</v>
      </c>
      <c r="AA11">
        <v>0.99999210000000005</v>
      </c>
      <c r="AB11">
        <v>2</v>
      </c>
      <c r="AC11">
        <v>0.65050000000002195</v>
      </c>
      <c r="AD11">
        <v>-0.182055199999999</v>
      </c>
      <c r="AE11">
        <v>2.0000000000095402E-3</v>
      </c>
      <c r="AF11">
        <v>-2.03925504642274E-3</v>
      </c>
      <c r="AG11">
        <v>-0.182055199999999</v>
      </c>
      <c r="AH11">
        <v>0.60324910307844803</v>
      </c>
      <c r="AI11">
        <v>106.79325536104299</v>
      </c>
      <c r="AJ11">
        <v>90.193684933559595</v>
      </c>
      <c r="AK11">
        <v>0.63012517389256595</v>
      </c>
      <c r="AL11">
        <v>77.143488359549096</v>
      </c>
      <c r="AM11">
        <v>93.421778086333106</v>
      </c>
      <c r="AN11">
        <v>1.0000000298967799</v>
      </c>
    </row>
    <row r="12" spans="1:40" x14ac:dyDescent="0.25">
      <c r="A12" t="str">
        <f>"20190304164554060"</f>
        <v>20190304164554060</v>
      </c>
      <c r="B12" t="str">
        <f>"1551689154047674"</f>
        <v>1551689154047674</v>
      </c>
      <c r="C12" t="s">
        <v>40</v>
      </c>
      <c r="D12">
        <v>5.3503829999999999</v>
      </c>
      <c r="E12">
        <v>0.54035829999999996</v>
      </c>
      <c r="F12" t="s">
        <v>41</v>
      </c>
      <c r="G12">
        <v>-475.76769999999999</v>
      </c>
      <c r="H12">
        <v>0.9230815</v>
      </c>
      <c r="I12">
        <v>367.21899999999999</v>
      </c>
      <c r="J12">
        <v>-476.43599999999998</v>
      </c>
      <c r="K12">
        <v>1.1098509999999999</v>
      </c>
      <c r="L12">
        <v>367.21699999999998</v>
      </c>
      <c r="M12">
        <v>0.99998489999999995</v>
      </c>
      <c r="N12">
        <v>-5.4795570000000004E-3</v>
      </c>
      <c r="O12">
        <v>-3.3333620000000001E-4</v>
      </c>
      <c r="P12">
        <v>0.97432149999999995</v>
      </c>
      <c r="Q12">
        <v>0.21757399999999999</v>
      </c>
      <c r="R12">
        <v>5.7957479999999999E-2</v>
      </c>
      <c r="S12">
        <v>3.2766109999999999</v>
      </c>
      <c r="T12">
        <v>-0.88282719999999903</v>
      </c>
      <c r="U12">
        <v>1.119995E-2</v>
      </c>
      <c r="V12">
        <v>-5.827032E-2</v>
      </c>
      <c r="W12">
        <v>0.22291269999999999</v>
      </c>
      <c r="X12">
        <v>0.9730953</v>
      </c>
      <c r="Y12">
        <v>-3.6086619999999999E-3</v>
      </c>
      <c r="Z12">
        <v>5.7413549999999999E-4</v>
      </c>
      <c r="AA12">
        <v>0.99999329999999997</v>
      </c>
      <c r="AB12">
        <v>3</v>
      </c>
      <c r="AC12">
        <v>0.66829999999998702</v>
      </c>
      <c r="AD12">
        <v>-0.18676949999999901</v>
      </c>
      <c r="AE12">
        <v>2.0000000000095402E-3</v>
      </c>
      <c r="AF12">
        <v>-2.06174437186828E-3</v>
      </c>
      <c r="AG12">
        <v>-0.18676949999999901</v>
      </c>
      <c r="AH12">
        <v>0.61988473062575</v>
      </c>
      <c r="AI12">
        <v>106.76731670999401</v>
      </c>
      <c r="AJ12">
        <v>90.190565777012196</v>
      </c>
      <c r="AK12">
        <v>0.64741345072763401</v>
      </c>
      <c r="AL12">
        <v>77.119832060857306</v>
      </c>
      <c r="AM12">
        <v>93.426860061661003</v>
      </c>
      <c r="AN12">
        <v>0.99999998244814103</v>
      </c>
    </row>
    <row r="13" spans="1:40" x14ac:dyDescent="0.25">
      <c r="A13" t="str">
        <f>"20190304164554081"</f>
        <v>20190304164554081</v>
      </c>
      <c r="B13" t="str">
        <f>"1551689154077930"</f>
        <v>1551689154077930</v>
      </c>
      <c r="C13" t="s">
        <v>40</v>
      </c>
      <c r="D13">
        <v>5.1748890000000003</v>
      </c>
      <c r="E13">
        <v>0.54046959999999999</v>
      </c>
      <c r="F13" t="s">
        <v>41</v>
      </c>
      <c r="G13">
        <v>-475.75029999999998</v>
      </c>
      <c r="H13">
        <v>0.92392730000000001</v>
      </c>
      <c r="I13">
        <v>367.2192</v>
      </c>
      <c r="J13">
        <v>-476.41640000000001</v>
      </c>
      <c r="K13">
        <v>1.110155</v>
      </c>
      <c r="L13">
        <v>367.21690000000001</v>
      </c>
      <c r="M13">
        <v>0.9999787</v>
      </c>
      <c r="N13">
        <v>-6.508705E-3</v>
      </c>
      <c r="O13">
        <v>-3.5250239999999898E-4</v>
      </c>
      <c r="P13">
        <v>0.97443380000000002</v>
      </c>
      <c r="Q13">
        <v>0.21713399999999999</v>
      </c>
      <c r="R13">
        <v>5.7718520000000002E-2</v>
      </c>
      <c r="S13">
        <v>3.276764</v>
      </c>
      <c r="T13">
        <v>-0.88848539999999998</v>
      </c>
      <c r="U13">
        <v>1.135254E-2</v>
      </c>
      <c r="V13">
        <v>-5.8051999999999999E-2</v>
      </c>
      <c r="W13">
        <v>0.22347420000000001</v>
      </c>
      <c r="X13">
        <v>0.9729795</v>
      </c>
      <c r="Y13">
        <v>-3.6691390000000001E-3</v>
      </c>
      <c r="Z13">
        <v>5.9240330000000002E-4</v>
      </c>
      <c r="AA13">
        <v>0.99999309999999997</v>
      </c>
      <c r="AB13">
        <v>2</v>
      </c>
      <c r="AC13">
        <v>0.666100000000028</v>
      </c>
      <c r="AD13">
        <v>-0.186227699999999</v>
      </c>
      <c r="AE13">
        <v>2.29999999999108E-3</v>
      </c>
      <c r="AF13">
        <v>-2.35104088965528E-3</v>
      </c>
      <c r="AG13">
        <v>-0.186227699999999</v>
      </c>
      <c r="AH13">
        <v>0.61780897839571802</v>
      </c>
      <c r="AI13">
        <v>106.774398733539</v>
      </c>
      <c r="AJ13">
        <v>90.218035145030797</v>
      </c>
      <c r="AK13">
        <v>0.64527065439776099</v>
      </c>
      <c r="AL13">
        <v>77.086827235069094</v>
      </c>
      <c r="AM13">
        <v>93.414456519244297</v>
      </c>
      <c r="AN13">
        <v>0.99999993009494204</v>
      </c>
    </row>
    <row r="14" spans="1:40" x14ac:dyDescent="0.25">
      <c r="A14" t="str">
        <f>"20190304164554103"</f>
        <v>20190304164554103</v>
      </c>
      <c r="B14" t="str">
        <f>"1551689154097452"</f>
        <v>1551689154097452</v>
      </c>
      <c r="C14" t="s">
        <v>40</v>
      </c>
      <c r="D14">
        <v>5.2327709999999996</v>
      </c>
      <c r="E14">
        <v>0.54052919999999904</v>
      </c>
      <c r="F14" t="s">
        <v>41</v>
      </c>
      <c r="G14">
        <v>-475.7294</v>
      </c>
      <c r="H14">
        <v>0.92247210000000002</v>
      </c>
      <c r="I14">
        <v>367.21879999999999</v>
      </c>
      <c r="J14">
        <v>-476.39190000000002</v>
      </c>
      <c r="K14">
        <v>1.109977</v>
      </c>
      <c r="L14">
        <v>367.21690000000001</v>
      </c>
      <c r="M14">
        <v>0.99998180000000003</v>
      </c>
      <c r="N14">
        <v>-6.0168640000000002E-3</v>
      </c>
      <c r="O14">
        <v>-3.8112520000000002E-4</v>
      </c>
      <c r="P14">
        <v>0.97427379999999997</v>
      </c>
      <c r="Q14">
        <v>0.2179413</v>
      </c>
      <c r="R14">
        <v>5.7378650000000003E-2</v>
      </c>
      <c r="S14">
        <v>3.2775569999999998</v>
      </c>
      <c r="T14">
        <v>-0.89535259999999905</v>
      </c>
      <c r="U14">
        <v>1.1627200000000001E-2</v>
      </c>
      <c r="V14">
        <v>-5.7739489999999997E-2</v>
      </c>
      <c r="W14">
        <v>0.2238019</v>
      </c>
      <c r="X14">
        <v>0.97292290000000003</v>
      </c>
      <c r="Y14">
        <v>-3.7738340000000002E-3</v>
      </c>
      <c r="Z14">
        <v>6.1773739999999996E-4</v>
      </c>
      <c r="AA14">
        <v>0.99999269999999996</v>
      </c>
      <c r="AB14">
        <v>2</v>
      </c>
      <c r="AC14">
        <v>0.66250000000002196</v>
      </c>
      <c r="AD14">
        <v>-0.1875049</v>
      </c>
      <c r="AE14">
        <v>1.8999999999778001E-3</v>
      </c>
      <c r="AF14">
        <v>-1.9928650053911202E-3</v>
      </c>
      <c r="AG14">
        <v>-0.1875049</v>
      </c>
      <c r="AH14">
        <v>0.61336659610135502</v>
      </c>
      <c r="AI14">
        <v>106.998199430196</v>
      </c>
      <c r="AJ14">
        <v>90.186156782730805</v>
      </c>
      <c r="AK14">
        <v>0.64138961657318905</v>
      </c>
      <c r="AL14">
        <v>77.067565133261098</v>
      </c>
      <c r="AM14">
        <v>93.396315799417195</v>
      </c>
      <c r="AN14">
        <v>1.00000005424673</v>
      </c>
    </row>
    <row r="15" spans="1:40" x14ac:dyDescent="0.25">
      <c r="A15" t="str">
        <f>"20190304164554126"</f>
        <v>20190304164554126</v>
      </c>
      <c r="B15" t="str">
        <f>"1551689154117948"</f>
        <v>1551689154117948</v>
      </c>
      <c r="C15" t="s">
        <v>40</v>
      </c>
      <c r="D15">
        <v>5.240596</v>
      </c>
      <c r="E15">
        <v>0.54056549999999903</v>
      </c>
      <c r="F15" t="s">
        <v>41</v>
      </c>
      <c r="G15">
        <v>-475.70409999999998</v>
      </c>
      <c r="H15">
        <v>0.92187010000000003</v>
      </c>
      <c r="I15">
        <v>367.2192</v>
      </c>
      <c r="J15">
        <v>-476.36040000000003</v>
      </c>
      <c r="K15">
        <v>1.109637</v>
      </c>
      <c r="L15">
        <v>367.21679999999998</v>
      </c>
      <c r="M15">
        <v>0.99998810000000005</v>
      </c>
      <c r="N15">
        <v>-4.881575E-3</v>
      </c>
      <c r="O15">
        <v>-4.2654800000000001E-4</v>
      </c>
      <c r="P15">
        <v>0.97407069999999996</v>
      </c>
      <c r="Q15">
        <v>0.21884200000000001</v>
      </c>
      <c r="R15">
        <v>5.7401760000000003E-2</v>
      </c>
      <c r="S15">
        <v>3.279236</v>
      </c>
      <c r="T15">
        <v>-0.89696489999999995</v>
      </c>
      <c r="U15">
        <v>1.107788E-2</v>
      </c>
      <c r="V15">
        <v>-5.7804889999999998E-2</v>
      </c>
      <c r="W15">
        <v>0.2235974</v>
      </c>
      <c r="X15">
        <v>0.972966</v>
      </c>
      <c r="Y15">
        <v>-3.6529370000000002E-3</v>
      </c>
      <c r="Z15">
        <v>6.1218269999999998E-4</v>
      </c>
      <c r="AA15">
        <v>0.99999309999999997</v>
      </c>
      <c r="AB15">
        <v>2</v>
      </c>
      <c r="AC15">
        <v>0.65630000000004396</v>
      </c>
      <c r="AD15">
        <v>-0.18776689999999999</v>
      </c>
      <c r="AE15">
        <v>2.4000000000228201E-3</v>
      </c>
      <c r="AF15">
        <v>-2.4771848632901398E-3</v>
      </c>
      <c r="AG15">
        <v>-0.18776689999999999</v>
      </c>
      <c r="AH15">
        <v>0.60664409444598399</v>
      </c>
      <c r="AI15">
        <v>107.19807091925</v>
      </c>
      <c r="AJ15">
        <v>90.233961642702198</v>
      </c>
      <c r="AK15">
        <v>0.63504299264431296</v>
      </c>
      <c r="AL15">
        <v>77.079586318537295</v>
      </c>
      <c r="AM15">
        <v>93.400003431465393</v>
      </c>
      <c r="AN15">
        <v>1.00000001987533</v>
      </c>
    </row>
    <row r="16" spans="1:40" x14ac:dyDescent="0.25">
      <c r="A16" t="str">
        <f>"20190304164554147"</f>
        <v>20190304164554147</v>
      </c>
      <c r="B16" t="str">
        <f>"1551689154137466"</f>
        <v>1551689154137466</v>
      </c>
      <c r="C16" t="s">
        <v>40</v>
      </c>
      <c r="D16">
        <v>5.2415710000000004</v>
      </c>
      <c r="E16">
        <v>0.54060909999999995</v>
      </c>
      <c r="F16" t="s">
        <v>41</v>
      </c>
      <c r="G16">
        <v>-475.67619999999999</v>
      </c>
      <c r="H16">
        <v>0.92227049999999999</v>
      </c>
      <c r="I16">
        <v>367.21870000000001</v>
      </c>
      <c r="J16">
        <v>-476.3297</v>
      </c>
      <c r="K16">
        <v>1.1094200000000001</v>
      </c>
      <c r="L16">
        <v>367.21679999999998</v>
      </c>
      <c r="M16">
        <v>0.99999179999999999</v>
      </c>
      <c r="N16">
        <v>-4.0304410000000001E-3</v>
      </c>
      <c r="O16">
        <v>-4.7555090000000002E-4</v>
      </c>
      <c r="P16">
        <v>0.97390279999999996</v>
      </c>
      <c r="Q16">
        <v>0.21966640000000001</v>
      </c>
      <c r="R16">
        <v>5.7096500000000001E-2</v>
      </c>
      <c r="S16">
        <v>3.281158</v>
      </c>
      <c r="T16">
        <v>-0.8985339</v>
      </c>
      <c r="U16">
        <v>1.0406489999999999E-2</v>
      </c>
      <c r="V16">
        <v>-5.7544669999999999E-2</v>
      </c>
      <c r="W16">
        <v>0.22359370000000001</v>
      </c>
      <c r="X16">
        <v>0.97298229999999997</v>
      </c>
      <c r="Y16">
        <v>-3.499327E-3</v>
      </c>
      <c r="Z16">
        <v>6.036495E-4</v>
      </c>
      <c r="AA16">
        <v>0.99999369999999999</v>
      </c>
      <c r="AB16">
        <v>3</v>
      </c>
      <c r="AC16">
        <v>0.65350000000000796</v>
      </c>
      <c r="AD16">
        <v>-0.1871495</v>
      </c>
      <c r="AE16">
        <v>1.90000000003465E-3</v>
      </c>
      <c r="AF16">
        <v>-2.0432054818298102E-3</v>
      </c>
      <c r="AG16">
        <v>-0.1871495</v>
      </c>
      <c r="AH16">
        <v>0.60396598435431503</v>
      </c>
      <c r="AI16">
        <v>107.216423233965</v>
      </c>
      <c r="AJ16">
        <v>90.193829797089293</v>
      </c>
      <c r="AK16">
        <v>0.632300577491407</v>
      </c>
      <c r="AL16">
        <v>77.079804135632202</v>
      </c>
      <c r="AM16">
        <v>93.384676745752301</v>
      </c>
      <c r="AN16">
        <v>1.0000000439191901</v>
      </c>
    </row>
    <row r="17" spans="1:40" x14ac:dyDescent="0.25">
      <c r="A17" t="str">
        <f>"20190304164554170"</f>
        <v>20190304164554170</v>
      </c>
      <c r="B17" t="str">
        <f>"1551689154157963"</f>
        <v>1551689154157963</v>
      </c>
      <c r="C17" t="s">
        <v>40</v>
      </c>
      <c r="D17">
        <v>5.2174649999999998</v>
      </c>
      <c r="E17">
        <v>0.54065200000000002</v>
      </c>
      <c r="F17" t="s">
        <v>41</v>
      </c>
      <c r="G17">
        <v>-475.64670000000001</v>
      </c>
      <c r="H17">
        <v>0.92213009999999995</v>
      </c>
      <c r="I17">
        <v>367.21890000000002</v>
      </c>
      <c r="J17">
        <v>-476.2946</v>
      </c>
      <c r="K17">
        <v>1.109307</v>
      </c>
      <c r="L17">
        <v>367.21679999999998</v>
      </c>
      <c r="M17">
        <v>0.99999420000000006</v>
      </c>
      <c r="N17">
        <v>-3.3930480000000001E-3</v>
      </c>
      <c r="O17">
        <v>-5.3456749999999996E-4</v>
      </c>
      <c r="P17">
        <v>0.97376249999999998</v>
      </c>
      <c r="Q17">
        <v>0.22044549999999999</v>
      </c>
      <c r="R17">
        <v>5.6483869999999999E-2</v>
      </c>
      <c r="S17">
        <v>3.2828369999999998</v>
      </c>
      <c r="T17">
        <v>-0.90035390000000004</v>
      </c>
      <c r="U17">
        <v>1.0223390000000001E-2</v>
      </c>
      <c r="V17">
        <v>-5.6986240000000001E-2</v>
      </c>
      <c r="W17">
        <v>0.2237526</v>
      </c>
      <c r="X17">
        <v>0.97297860000000003</v>
      </c>
      <c r="Y17">
        <v>-3.4986380000000001E-3</v>
      </c>
      <c r="Z17">
        <v>6.1928679999999998E-4</v>
      </c>
      <c r="AA17">
        <v>0.99999369999999999</v>
      </c>
      <c r="AB17">
        <v>3</v>
      </c>
      <c r="AC17">
        <v>0.64789999999999204</v>
      </c>
      <c r="AD17">
        <v>-0.18717690000000001</v>
      </c>
      <c r="AE17">
        <v>2.1000000000412902E-3</v>
      </c>
      <c r="AF17">
        <v>-2.2579010887680499E-3</v>
      </c>
      <c r="AG17">
        <v>-0.18717690000000001</v>
      </c>
      <c r="AH17">
        <v>0.59798990414172903</v>
      </c>
      <c r="AI17">
        <v>107.38053245488599</v>
      </c>
      <c r="AJ17">
        <v>90.216337411821399</v>
      </c>
      <c r="AK17">
        <v>0.62660371485203503</v>
      </c>
      <c r="AL17">
        <v>77.070462687928298</v>
      </c>
      <c r="AM17">
        <v>93.3519188449974</v>
      </c>
      <c r="AN17">
        <v>1.0000000068070201</v>
      </c>
    </row>
    <row r="18" spans="1:40" x14ac:dyDescent="0.25">
      <c r="A18" t="str">
        <f>"20190304164554191"</f>
        <v>20190304164554191</v>
      </c>
      <c r="B18" t="str">
        <f>"1551689154188090"</f>
        <v>1551689154188090</v>
      </c>
      <c r="C18" t="s">
        <v>40</v>
      </c>
      <c r="D18">
        <v>5.2031809999999998</v>
      </c>
      <c r="E18">
        <v>0.54074500000000003</v>
      </c>
      <c r="F18" t="s">
        <v>41</v>
      </c>
      <c r="G18">
        <v>-475.61520000000002</v>
      </c>
      <c r="H18">
        <v>0.92267169999999998</v>
      </c>
      <c r="I18">
        <v>367.21820000000002</v>
      </c>
      <c r="J18">
        <v>-476.25959999999998</v>
      </c>
      <c r="K18">
        <v>1.1092409999999999</v>
      </c>
      <c r="L18">
        <v>367.21660000000003</v>
      </c>
      <c r="M18">
        <v>0.99999579999999999</v>
      </c>
      <c r="N18">
        <v>-2.8885920000000002E-3</v>
      </c>
      <c r="O18">
        <v>-5.9277479999999996E-4</v>
      </c>
      <c r="P18">
        <v>0.9737403</v>
      </c>
      <c r="Q18">
        <v>0.2206264</v>
      </c>
      <c r="R18">
        <v>5.6162650000000001E-2</v>
      </c>
      <c r="S18">
        <v>3.2845759999999999</v>
      </c>
      <c r="T18">
        <v>-0.90234380000000003</v>
      </c>
      <c r="U18">
        <v>9.2773439999999999E-3</v>
      </c>
      <c r="V18">
        <v>-5.6720350000000003E-2</v>
      </c>
      <c r="W18">
        <v>0.22344310000000001</v>
      </c>
      <c r="X18">
        <v>0.97306530000000002</v>
      </c>
      <c r="Y18">
        <v>-3.273186E-3</v>
      </c>
      <c r="Z18">
        <v>6.0444779999999998E-4</v>
      </c>
      <c r="AA18">
        <v>0.99999450000000001</v>
      </c>
      <c r="AB18">
        <v>3</v>
      </c>
      <c r="AC18">
        <v>0.644399999999961</v>
      </c>
      <c r="AD18">
        <v>-0.18656929999999999</v>
      </c>
      <c r="AE18">
        <v>1.59999999999627E-3</v>
      </c>
      <c r="AF18">
        <v>-1.8286972402140199E-3</v>
      </c>
      <c r="AG18">
        <v>-0.18656929999999999</v>
      </c>
      <c r="AH18">
        <v>0.59456068518796601</v>
      </c>
      <c r="AI18">
        <v>107.421442718954</v>
      </c>
      <c r="AJ18">
        <v>90.176224742213606</v>
      </c>
      <c r="AK18">
        <v>0.62314834205610303</v>
      </c>
      <c r="AL18">
        <v>77.088656903757098</v>
      </c>
      <c r="AM18">
        <v>93.336018067668604</v>
      </c>
      <c r="AN18">
        <v>1.0000000475529101</v>
      </c>
    </row>
    <row r="19" spans="1:40" x14ac:dyDescent="0.25">
      <c r="A19" t="str">
        <f>"20190304164554214"</f>
        <v>20190304164554214</v>
      </c>
      <c r="B19" t="str">
        <f>"1551689154207610"</f>
        <v>1551689154207610</v>
      </c>
      <c r="C19" t="s">
        <v>40</v>
      </c>
      <c r="D19">
        <v>5.2508410000000003</v>
      </c>
      <c r="E19">
        <v>0.54078579999999998</v>
      </c>
      <c r="F19" t="s">
        <v>41</v>
      </c>
      <c r="G19">
        <v>-475.58179999999999</v>
      </c>
      <c r="H19">
        <v>0.92225599999999996</v>
      </c>
      <c r="I19">
        <v>367.21839999999997</v>
      </c>
      <c r="J19">
        <v>-476.22379999999998</v>
      </c>
      <c r="K19">
        <v>1.1095740000000001</v>
      </c>
      <c r="L19">
        <v>367.21660000000003</v>
      </c>
      <c r="M19">
        <v>0.99999289999999996</v>
      </c>
      <c r="N19">
        <v>-3.7554039999999999E-3</v>
      </c>
      <c r="O19">
        <v>-6.4012040000000002E-4</v>
      </c>
      <c r="P19">
        <v>0.97409420000000002</v>
      </c>
      <c r="Q19">
        <v>0.21897359999999999</v>
      </c>
      <c r="R19">
        <v>5.649291E-2</v>
      </c>
      <c r="S19">
        <v>3.285736</v>
      </c>
      <c r="T19">
        <v>-0.90660980000000002</v>
      </c>
      <c r="U19">
        <v>9.8876950000000002E-3</v>
      </c>
      <c r="V19">
        <v>-5.7100529999999997E-2</v>
      </c>
      <c r="W19">
        <v>0.22263430000000001</v>
      </c>
      <c r="X19">
        <v>0.97322839999999999</v>
      </c>
      <c r="Y19">
        <v>-3.4937150000000001E-3</v>
      </c>
      <c r="Z19">
        <v>6.5086219999999995E-4</v>
      </c>
      <c r="AA19">
        <v>0.99999369999999999</v>
      </c>
      <c r="AB19">
        <v>4</v>
      </c>
      <c r="AC19">
        <v>0.64199999999999502</v>
      </c>
      <c r="AD19">
        <v>-0.18731800000000001</v>
      </c>
      <c r="AE19">
        <v>1.79999999994606E-3</v>
      </c>
      <c r="AF19">
        <v>-2.0375057320559799E-3</v>
      </c>
      <c r="AG19">
        <v>-0.18731800000000001</v>
      </c>
      <c r="AH19">
        <v>0.59163268687459902</v>
      </c>
      <c r="AI19">
        <v>107.56831352555</v>
      </c>
      <c r="AJ19">
        <v>90.197318404223495</v>
      </c>
      <c r="AK19">
        <v>0.62058151820052299</v>
      </c>
      <c r="AL19">
        <v>77.136194752338696</v>
      </c>
      <c r="AM19">
        <v>93.357765894258506</v>
      </c>
      <c r="AN19">
        <v>1.00000001031466</v>
      </c>
    </row>
    <row r="20" spans="1:40" x14ac:dyDescent="0.25">
      <c r="A20" t="str">
        <f>"20190304164554236"</f>
        <v>20190304164554236</v>
      </c>
      <c r="B20" t="str">
        <f>"1551689154228106"</f>
        <v>1551689154228106</v>
      </c>
      <c r="C20" t="s">
        <v>40</v>
      </c>
      <c r="D20">
        <v>5.3061189999999998</v>
      </c>
      <c r="E20">
        <v>0.54083179999999997</v>
      </c>
      <c r="F20" t="s">
        <v>41</v>
      </c>
      <c r="G20">
        <v>-475.5206</v>
      </c>
      <c r="H20">
        <v>0.91373400000000005</v>
      </c>
      <c r="I20">
        <v>367.21839999999997</v>
      </c>
      <c r="J20">
        <v>-476.1859</v>
      </c>
      <c r="K20">
        <v>1.10951</v>
      </c>
      <c r="L20">
        <v>367.2165</v>
      </c>
      <c r="M20">
        <v>0.99999389999999999</v>
      </c>
      <c r="N20">
        <v>-3.4660070000000001E-3</v>
      </c>
      <c r="O20">
        <v>-6.8953350000000005E-4</v>
      </c>
      <c r="P20">
        <v>0.97393879999999999</v>
      </c>
      <c r="Q20">
        <v>0.2196968</v>
      </c>
      <c r="R20">
        <v>5.636265E-2</v>
      </c>
      <c r="S20">
        <v>3.2847900000000001</v>
      </c>
      <c r="T20">
        <v>-0.9146746</v>
      </c>
      <c r="U20">
        <v>1.0284420000000001E-2</v>
      </c>
      <c r="V20">
        <v>-5.7018529999999998E-2</v>
      </c>
      <c r="W20">
        <v>0.223075</v>
      </c>
      <c r="X20">
        <v>0.97313229999999995</v>
      </c>
      <c r="Y20">
        <v>-3.6540409999999998E-3</v>
      </c>
      <c r="Z20">
        <v>6.9177690000000005E-4</v>
      </c>
      <c r="AA20">
        <v>0.99999309999999997</v>
      </c>
      <c r="AB20">
        <v>3</v>
      </c>
      <c r="AC20">
        <v>0.665300000000002</v>
      </c>
      <c r="AD20">
        <v>-0.19577599999999901</v>
      </c>
      <c r="AE20">
        <v>1.8999999999778001E-3</v>
      </c>
      <c r="AF20">
        <v>-2.1707759441795199E-3</v>
      </c>
      <c r="AG20">
        <v>-0.19577599999999901</v>
      </c>
      <c r="AH20">
        <v>0.61227969775069802</v>
      </c>
      <c r="AI20">
        <v>107.731536011892</v>
      </c>
      <c r="AJ20">
        <v>90.203135559124604</v>
      </c>
      <c r="AK20">
        <v>0.64282142366436901</v>
      </c>
      <c r="AL20">
        <v>77.110293257964699</v>
      </c>
      <c r="AM20">
        <v>93.353285297393697</v>
      </c>
      <c r="AN20">
        <v>1.00000002084582</v>
      </c>
    </row>
    <row r="21" spans="1:40" x14ac:dyDescent="0.25">
      <c r="A21" t="str">
        <f>"20190304164554263"</f>
        <v>20190304164554263</v>
      </c>
      <c r="B21" t="str">
        <f>"1551689154257386"</f>
        <v>1551689154257386</v>
      </c>
      <c r="C21" t="s">
        <v>40</v>
      </c>
      <c r="D21">
        <v>5.2178100000000001</v>
      </c>
      <c r="E21">
        <v>0.54090039999999995</v>
      </c>
      <c r="F21" t="s">
        <v>41</v>
      </c>
      <c r="G21">
        <v>-475.48259999999999</v>
      </c>
      <c r="H21">
        <v>0.91378749999999997</v>
      </c>
      <c r="I21">
        <v>367.21809999999999</v>
      </c>
      <c r="J21">
        <v>-476.13580000000002</v>
      </c>
      <c r="K21">
        <v>1.109254</v>
      </c>
      <c r="L21">
        <v>367.21640000000002</v>
      </c>
      <c r="M21">
        <v>0.99999669999999896</v>
      </c>
      <c r="N21">
        <v>-2.4688380000000001E-3</v>
      </c>
      <c r="O21">
        <v>-7.620541E-4</v>
      </c>
      <c r="P21">
        <v>0.97350619999999999</v>
      </c>
      <c r="Q21">
        <v>0.221497</v>
      </c>
      <c r="R21">
        <v>5.6790340000000002E-2</v>
      </c>
      <c r="S21">
        <v>3.2860719999999999</v>
      </c>
      <c r="T21">
        <v>-0.91455719999999996</v>
      </c>
      <c r="U21">
        <v>8.8500980000000007E-3</v>
      </c>
      <c r="V21">
        <v>-5.7514940000000001E-2</v>
      </c>
      <c r="W21">
        <v>0.22390409999999999</v>
      </c>
      <c r="X21">
        <v>0.97291260000000002</v>
      </c>
      <c r="Y21">
        <v>-3.3002209999999999E-3</v>
      </c>
      <c r="Z21">
        <v>6.6112039999999999E-4</v>
      </c>
      <c r="AA21">
        <v>0.9999943</v>
      </c>
      <c r="AB21">
        <v>4</v>
      </c>
      <c r="AC21">
        <v>0.65320000000002598</v>
      </c>
      <c r="AD21">
        <v>-0.19546649999999999</v>
      </c>
      <c r="AE21">
        <v>1.6999999999711599E-3</v>
      </c>
      <c r="AF21">
        <v>-2.01714605568467E-3</v>
      </c>
      <c r="AG21">
        <v>-0.19546649999999999</v>
      </c>
      <c r="AH21">
        <v>0.59951403674316195</v>
      </c>
      <c r="AI21">
        <v>108.058025998383</v>
      </c>
      <c r="AJ21">
        <v>90.192778671462406</v>
      </c>
      <c r="AK21">
        <v>0.63057775234505498</v>
      </c>
      <c r="AL21">
        <v>77.061555938303897</v>
      </c>
      <c r="AM21">
        <v>93.383173933666995</v>
      </c>
      <c r="AN21">
        <v>0.99999997077938596</v>
      </c>
    </row>
    <row r="22" spans="1:40" x14ac:dyDescent="0.25">
      <c r="A22" t="str">
        <f>"20190304164554285"</f>
        <v>20190304164554285</v>
      </c>
      <c r="B22" t="str">
        <f>"1551689154277415"</f>
        <v>1551689154277415</v>
      </c>
      <c r="C22" t="s">
        <v>40</v>
      </c>
      <c r="D22">
        <v>5.2515330000000002</v>
      </c>
      <c r="E22">
        <v>0.54095859999999996</v>
      </c>
      <c r="F22" t="s">
        <v>41</v>
      </c>
      <c r="G22">
        <v>-475.44099999999997</v>
      </c>
      <c r="H22">
        <v>0.91652239999999996</v>
      </c>
      <c r="I22">
        <v>367.21820000000002</v>
      </c>
      <c r="J22">
        <v>-476.08960000000002</v>
      </c>
      <c r="K22">
        <v>1.109089</v>
      </c>
      <c r="L22">
        <v>367.21620000000001</v>
      </c>
      <c r="M22">
        <v>0.99999819999999995</v>
      </c>
      <c r="N22">
        <v>-1.7281659999999999E-3</v>
      </c>
      <c r="O22">
        <v>-8.3313829999999997E-4</v>
      </c>
      <c r="P22">
        <v>0.97346909999999998</v>
      </c>
      <c r="Q22">
        <v>0.2217189</v>
      </c>
      <c r="R22">
        <v>5.6558089999999998E-2</v>
      </c>
      <c r="S22">
        <v>3.2886350000000002</v>
      </c>
      <c r="T22">
        <v>-0.91229879999999997</v>
      </c>
      <c r="U22">
        <v>9.9487299999999994E-3</v>
      </c>
      <c r="V22">
        <v>-5.7350949999999998E-2</v>
      </c>
      <c r="W22">
        <v>0.22340589999999999</v>
      </c>
      <c r="X22">
        <v>0.97303680000000004</v>
      </c>
      <c r="Y22">
        <v>-3.6870919999999999E-3</v>
      </c>
      <c r="Z22">
        <v>7.3060729999999997E-4</v>
      </c>
      <c r="AA22">
        <v>0.99999289999999996</v>
      </c>
      <c r="AB22">
        <v>4</v>
      </c>
      <c r="AC22">
        <v>0.64860000000004403</v>
      </c>
      <c r="AD22">
        <v>-0.19256659999999901</v>
      </c>
      <c r="AE22">
        <v>2.0000000000095402E-3</v>
      </c>
      <c r="AF22">
        <v>-2.3345883525620198E-3</v>
      </c>
      <c r="AG22">
        <v>-0.19256659999999901</v>
      </c>
      <c r="AH22">
        <v>0.59605783747807894</v>
      </c>
      <c r="AI22">
        <v>107.903802616334</v>
      </c>
      <c r="AJ22">
        <v>90.224410060733902</v>
      </c>
      <c r="AK22">
        <v>0.62639627342232895</v>
      </c>
      <c r="AL22">
        <v>77.090842576416605</v>
      </c>
      <c r="AM22">
        <v>93.3731203277394</v>
      </c>
      <c r="AN22">
        <v>0.99999997088747505</v>
      </c>
    </row>
    <row r="23" spans="1:40" x14ac:dyDescent="0.25">
      <c r="A23" t="str">
        <f>"20190304164554303"</f>
        <v>20190304164554303</v>
      </c>
      <c r="B23" t="str">
        <f>"1551689154297911"</f>
        <v>1551689154297911</v>
      </c>
      <c r="C23" t="s">
        <v>40</v>
      </c>
      <c r="D23">
        <v>5.2504939999999998</v>
      </c>
      <c r="E23">
        <v>0.54099359999999996</v>
      </c>
      <c r="F23" t="s">
        <v>41</v>
      </c>
      <c r="G23">
        <v>-475.39859999999999</v>
      </c>
      <c r="H23">
        <v>0.9170412</v>
      </c>
      <c r="I23">
        <v>367.21769999999998</v>
      </c>
      <c r="J23">
        <v>-476.0478</v>
      </c>
      <c r="K23">
        <v>1.109013</v>
      </c>
      <c r="L23">
        <v>367.21620000000001</v>
      </c>
      <c r="M23">
        <v>0.99999890000000002</v>
      </c>
      <c r="N23">
        <v>-1.2492639999999999E-3</v>
      </c>
      <c r="O23">
        <v>-8.9964259999999996E-4</v>
      </c>
      <c r="P23">
        <v>0.97353040000000002</v>
      </c>
      <c r="Q23">
        <v>0.22147230000000001</v>
      </c>
      <c r="R23">
        <v>5.6471159999999999E-2</v>
      </c>
      <c r="S23">
        <v>3.2893370000000002</v>
      </c>
      <c r="T23">
        <v>-0.9140528</v>
      </c>
      <c r="U23">
        <v>1.004028E-2</v>
      </c>
      <c r="V23">
        <v>-5.7327589999999998E-2</v>
      </c>
      <c r="W23">
        <v>0.22269330000000001</v>
      </c>
      <c r="X23">
        <v>0.97320150000000005</v>
      </c>
      <c r="Y23">
        <v>-3.774524E-3</v>
      </c>
      <c r="Z23">
        <v>7.6133250000000004E-4</v>
      </c>
      <c r="AA23">
        <v>0.99999260000000001</v>
      </c>
      <c r="AB23">
        <v>5</v>
      </c>
      <c r="AC23">
        <v>0.64920000000000699</v>
      </c>
      <c r="AD23">
        <v>-0.1919718</v>
      </c>
      <c r="AE23">
        <v>1.4999999999645199E-3</v>
      </c>
      <c r="AF23">
        <v>-1.91646959592018E-3</v>
      </c>
      <c r="AG23">
        <v>-0.1919718</v>
      </c>
      <c r="AH23">
        <v>0.59699637739460099</v>
      </c>
      <c r="AI23">
        <v>107.825770841015</v>
      </c>
      <c r="AJ23">
        <v>90.183929495016002</v>
      </c>
      <c r="AK23">
        <v>0.62710566850669502</v>
      </c>
      <c r="AL23">
        <v>77.132726579440799</v>
      </c>
      <c r="AM23">
        <v>93.371180267242394</v>
      </c>
      <c r="AN23">
        <v>0.999999959021173</v>
      </c>
    </row>
    <row r="24" spans="1:40" x14ac:dyDescent="0.25">
      <c r="A24" t="str">
        <f>"20190304164554327"</f>
        <v>20190304164554327</v>
      </c>
      <c r="B24" t="str">
        <f>"1551689154317431"</f>
        <v>1551689154317431</v>
      </c>
      <c r="C24" t="s">
        <v>40</v>
      </c>
      <c r="D24">
        <v>5.2378179999999999</v>
      </c>
      <c r="E24">
        <v>0.54100689999999996</v>
      </c>
      <c r="F24" t="s">
        <v>41</v>
      </c>
      <c r="G24">
        <v>-475.35480000000001</v>
      </c>
      <c r="H24">
        <v>0.9156803</v>
      </c>
      <c r="I24">
        <v>367.21820000000002</v>
      </c>
      <c r="J24">
        <v>-475.99509999999998</v>
      </c>
      <c r="K24">
        <v>1.1089500000000001</v>
      </c>
      <c r="L24">
        <v>367.21600000000001</v>
      </c>
      <c r="M24">
        <v>0.99999930000000004</v>
      </c>
      <c r="N24">
        <v>-7.4309959999999998E-4</v>
      </c>
      <c r="O24">
        <v>-9.8460590000000003E-4</v>
      </c>
      <c r="P24">
        <v>0.97359790000000002</v>
      </c>
      <c r="Q24">
        <v>0.22124479999999999</v>
      </c>
      <c r="R24">
        <v>5.6195759999999997E-2</v>
      </c>
      <c r="S24">
        <v>3.2897949999999998</v>
      </c>
      <c r="T24">
        <v>-0.91785799999999995</v>
      </c>
      <c r="U24">
        <v>1.0009769999999999E-2</v>
      </c>
      <c r="V24">
        <v>-5.7133030000000001E-2</v>
      </c>
      <c r="W24">
        <v>0.2219737</v>
      </c>
      <c r="X24">
        <v>0.9733773</v>
      </c>
      <c r="Y24">
        <v>-3.8426910000000001E-3</v>
      </c>
      <c r="Z24">
        <v>7.9630779999999995E-4</v>
      </c>
      <c r="AA24">
        <v>0.99999229999999995</v>
      </c>
      <c r="AB24">
        <v>5</v>
      </c>
      <c r="AC24">
        <v>0.64029999999996701</v>
      </c>
      <c r="AD24">
        <v>-0.19326969999999999</v>
      </c>
      <c r="AE24">
        <v>2.2000000000161799E-3</v>
      </c>
      <c r="AF24">
        <v>-2.5940995987675402E-3</v>
      </c>
      <c r="AG24">
        <v>-0.19326969999999999</v>
      </c>
      <c r="AH24">
        <v>0.58683252139426001</v>
      </c>
      <c r="AI24">
        <v>108.22881596434701</v>
      </c>
      <c r="AJ24">
        <v>90.253274972177294</v>
      </c>
      <c r="AK24">
        <v>0.61784489514502094</v>
      </c>
      <c r="AL24">
        <v>77.175014795606799</v>
      </c>
      <c r="AM24">
        <v>93.359159902034094</v>
      </c>
      <c r="AN24">
        <v>0.99999993738197801</v>
      </c>
    </row>
    <row r="25" spans="1:40" x14ac:dyDescent="0.25">
      <c r="A25" t="str">
        <f>"20190304164554348"</f>
        <v>20190304164554348</v>
      </c>
      <c r="B25" t="str">
        <f>"1551689154337926"</f>
        <v>1551689154337926</v>
      </c>
      <c r="C25" t="s">
        <v>40</v>
      </c>
      <c r="D25">
        <v>5.1883140000000001</v>
      </c>
      <c r="E25">
        <v>0.54106589999999999</v>
      </c>
      <c r="F25" t="s">
        <v>41</v>
      </c>
      <c r="G25">
        <v>-475.30790000000002</v>
      </c>
      <c r="H25">
        <v>0.916404</v>
      </c>
      <c r="I25">
        <v>367.2176</v>
      </c>
      <c r="J25">
        <v>-475.94330000000002</v>
      </c>
      <c r="K25">
        <v>1.1088709999999999</v>
      </c>
      <c r="L25">
        <v>367.21589999999998</v>
      </c>
      <c r="M25">
        <v>0.99999939999999998</v>
      </c>
      <c r="N25">
        <v>-2.3389409999999999E-4</v>
      </c>
      <c r="O25">
        <v>-1.069574E-3</v>
      </c>
      <c r="P25">
        <v>0.97350349999999997</v>
      </c>
      <c r="Q25">
        <v>0.22173989999999999</v>
      </c>
      <c r="R25">
        <v>5.588013E-2</v>
      </c>
      <c r="S25">
        <v>3.2902830000000001</v>
      </c>
      <c r="T25">
        <v>-0.92192459999999998</v>
      </c>
      <c r="U25">
        <v>9.7045900000000008E-3</v>
      </c>
      <c r="V25">
        <v>-5.6899100000000001E-2</v>
      </c>
      <c r="W25">
        <v>0.22197320000000001</v>
      </c>
      <c r="X25">
        <v>0.97339120000000001</v>
      </c>
      <c r="Y25">
        <v>-3.830258E-3</v>
      </c>
      <c r="Z25">
        <v>8.2071110000000004E-4</v>
      </c>
      <c r="AA25">
        <v>0.99999229999999995</v>
      </c>
      <c r="AB25">
        <v>5</v>
      </c>
      <c r="AC25">
        <v>0.63540000000000396</v>
      </c>
      <c r="AD25">
        <v>-0.192466999999999</v>
      </c>
      <c r="AE25">
        <v>1.7000000000280101E-3</v>
      </c>
      <c r="AF25">
        <v>-2.1796219321340801E-3</v>
      </c>
      <c r="AG25">
        <v>-0.192466999999999</v>
      </c>
      <c r="AH25">
        <v>0.58199836745331301</v>
      </c>
      <c r="AI25">
        <v>108.29894335853599</v>
      </c>
      <c r="AJ25">
        <v>90.214575436605898</v>
      </c>
      <c r="AK25">
        <v>0.61300113911728404</v>
      </c>
      <c r="AL25">
        <v>77.175045236731094</v>
      </c>
      <c r="AM25">
        <v>93.345389530977599</v>
      </c>
      <c r="AN25">
        <v>1.0000000186682401</v>
      </c>
    </row>
    <row r="26" spans="1:40" x14ac:dyDescent="0.25">
      <c r="A26" t="str">
        <f>"20190304164554370"</f>
        <v>20190304164554370</v>
      </c>
      <c r="B26" t="str">
        <f>"1551689154357450"</f>
        <v>1551689154357450</v>
      </c>
      <c r="C26" t="s">
        <v>40</v>
      </c>
      <c r="D26">
        <v>5.2555560000000003</v>
      </c>
      <c r="E26">
        <v>0.5411009</v>
      </c>
      <c r="F26" t="s">
        <v>41</v>
      </c>
      <c r="G26">
        <v>-475.2586</v>
      </c>
      <c r="H26">
        <v>0.91686369999999895</v>
      </c>
      <c r="I26">
        <v>367.21730000000002</v>
      </c>
      <c r="J26">
        <v>-475.8877</v>
      </c>
      <c r="K26">
        <v>1.1087929999999999</v>
      </c>
      <c r="L26">
        <v>367.21570000000003</v>
      </c>
      <c r="M26">
        <v>0.99999930000000004</v>
      </c>
      <c r="N26">
        <v>3.220071E-4</v>
      </c>
      <c r="O26">
        <v>-1.1615869999999999E-3</v>
      </c>
      <c r="P26">
        <v>0.97330890000000003</v>
      </c>
      <c r="Q26">
        <v>0.222777</v>
      </c>
      <c r="R26">
        <v>5.5135379999999998E-2</v>
      </c>
      <c r="S26">
        <v>3.2914119999999998</v>
      </c>
      <c r="T26">
        <v>-0.92288040000000005</v>
      </c>
      <c r="U26">
        <v>8.0871580000000005E-3</v>
      </c>
      <c r="V26">
        <v>-5.6242750000000001E-2</v>
      </c>
      <c r="W26">
        <v>0.22246969999999999</v>
      </c>
      <c r="X26">
        <v>0.97331599999999996</v>
      </c>
      <c r="Y26">
        <v>-3.4411699999999999E-3</v>
      </c>
      <c r="Z26">
        <v>7.9264639999999996E-4</v>
      </c>
      <c r="AA26">
        <v>0.99999369999999999</v>
      </c>
      <c r="AB26">
        <v>5</v>
      </c>
      <c r="AC26">
        <v>0.629099999999994</v>
      </c>
      <c r="AD26">
        <v>-0.1919293</v>
      </c>
      <c r="AE26">
        <v>1.59999999999627E-3</v>
      </c>
      <c r="AF26">
        <v>-2.1322873262915E-3</v>
      </c>
      <c r="AG26">
        <v>-0.1919293</v>
      </c>
      <c r="AH26">
        <v>0.57552941234919497</v>
      </c>
      <c r="AI26">
        <v>108.442550445058</v>
      </c>
      <c r="AJ26">
        <v>90.212274999156506</v>
      </c>
      <c r="AK26">
        <v>0.60669226740312199</v>
      </c>
      <c r="AL26">
        <v>77.1458684340205</v>
      </c>
      <c r="AM26">
        <v>93.307140421351903</v>
      </c>
      <c r="AN26">
        <v>1.0000000251008201</v>
      </c>
    </row>
    <row r="27" spans="1:40" x14ac:dyDescent="0.25">
      <c r="A27" t="str">
        <f>"20190304164554392"</f>
        <v>20190304164554392</v>
      </c>
      <c r="B27" t="str">
        <f>"1551689154387703"</f>
        <v>1551689154387703</v>
      </c>
      <c r="C27" t="s">
        <v>40</v>
      </c>
      <c r="D27">
        <v>5.1656339999999998</v>
      </c>
      <c r="E27">
        <v>0.5411456</v>
      </c>
      <c r="F27" t="s">
        <v>41</v>
      </c>
      <c r="G27">
        <v>-475.20639999999997</v>
      </c>
      <c r="H27">
        <v>0.91798780000000002</v>
      </c>
      <c r="I27">
        <v>367.21620000000001</v>
      </c>
      <c r="J27">
        <v>-475.8279</v>
      </c>
      <c r="K27">
        <v>1.1087180000000001</v>
      </c>
      <c r="L27">
        <v>367.21550000000002</v>
      </c>
      <c r="M27">
        <v>0.99999890000000002</v>
      </c>
      <c r="N27">
        <v>8.6989139999999897E-4</v>
      </c>
      <c r="O27">
        <v>-1.2605450000000001E-3</v>
      </c>
      <c r="P27">
        <v>0.9730202</v>
      </c>
      <c r="Q27">
        <v>0.22413569999999999</v>
      </c>
      <c r="R27">
        <v>5.472718E-2</v>
      </c>
      <c r="S27">
        <v>3.2930299999999999</v>
      </c>
      <c r="T27">
        <v>-0.92212019999999995</v>
      </c>
      <c r="U27">
        <v>5.3405759999999997E-3</v>
      </c>
      <c r="V27">
        <v>-5.5929300000000001E-2</v>
      </c>
      <c r="W27">
        <v>0.2232953</v>
      </c>
      <c r="X27">
        <v>0.97314489999999998</v>
      </c>
      <c r="Y27">
        <v>-2.7288999999999998E-3</v>
      </c>
      <c r="Z27">
        <v>7.2105119999999997E-4</v>
      </c>
      <c r="AA27">
        <v>0.999996</v>
      </c>
      <c r="AB27">
        <v>6</v>
      </c>
      <c r="AC27">
        <v>0.62150000000002503</v>
      </c>
      <c r="AD27">
        <v>-0.19073019999999999</v>
      </c>
      <c r="AE27">
        <v>6.9999999999481501E-4</v>
      </c>
      <c r="AF27">
        <v>-1.35574508549859E-3</v>
      </c>
      <c r="AG27">
        <v>-0.19073019999999999</v>
      </c>
      <c r="AH27">
        <v>0.56800429634674199</v>
      </c>
      <c r="AI27">
        <v>108.561490423648</v>
      </c>
      <c r="AJ27">
        <v>90.136756578217998</v>
      </c>
      <c r="AK27">
        <v>0.599173370490657</v>
      </c>
      <c r="AL27">
        <v>77.097343275791403</v>
      </c>
      <c r="AM27">
        <v>93.289326723473494</v>
      </c>
      <c r="AN27">
        <v>0.99999993699829204</v>
      </c>
    </row>
    <row r="28" spans="1:40" x14ac:dyDescent="0.25">
      <c r="A28" t="str">
        <f>"20190304164554416"</f>
        <v>20190304164554416</v>
      </c>
      <c r="B28" t="str">
        <f>"1551689154407223"</f>
        <v>1551689154407223</v>
      </c>
      <c r="C28" t="s">
        <v>40</v>
      </c>
      <c r="D28">
        <v>5.1782130000000004</v>
      </c>
      <c r="E28">
        <v>0.54118569999999999</v>
      </c>
      <c r="F28" t="s">
        <v>41</v>
      </c>
      <c r="G28">
        <v>-475.15140000000002</v>
      </c>
      <c r="H28">
        <v>0.91948240000000003</v>
      </c>
      <c r="I28">
        <v>367.21640000000002</v>
      </c>
      <c r="J28">
        <v>-475.76280000000003</v>
      </c>
      <c r="K28">
        <v>1.1086689999999999</v>
      </c>
      <c r="L28">
        <v>367.21530000000001</v>
      </c>
      <c r="M28">
        <v>0.9999981</v>
      </c>
      <c r="N28">
        <v>1.3629880000000001E-3</v>
      </c>
      <c r="O28">
        <v>-1.366887E-3</v>
      </c>
      <c r="P28">
        <v>0.97311320000000001</v>
      </c>
      <c r="Q28">
        <v>0.22396360000000001</v>
      </c>
      <c r="R28">
        <v>5.3770499999999999E-2</v>
      </c>
      <c r="S28">
        <v>3.295258</v>
      </c>
      <c r="T28">
        <v>-0.92174959999999995</v>
      </c>
      <c r="U28">
        <v>4.8828129999999997E-3</v>
      </c>
      <c r="V28">
        <v>-5.5076010000000002E-2</v>
      </c>
      <c r="W28">
        <v>0.2226436</v>
      </c>
      <c r="X28">
        <v>0.97334299999999996</v>
      </c>
      <c r="Y28">
        <v>-2.692832E-3</v>
      </c>
      <c r="Z28">
        <v>7.4463109999999997E-4</v>
      </c>
      <c r="AA28">
        <v>0.99999610000000005</v>
      </c>
      <c r="AB28">
        <v>6</v>
      </c>
      <c r="AC28">
        <v>0.61140000000000305</v>
      </c>
      <c r="AD28">
        <v>-0.18918660000000001</v>
      </c>
      <c r="AE28">
        <v>1.1000000000080899E-3</v>
      </c>
      <c r="AF28">
        <v>-1.7665694801383199E-3</v>
      </c>
      <c r="AG28">
        <v>-0.18918660000000001</v>
      </c>
      <c r="AH28">
        <v>0.55797325474049897</v>
      </c>
      <c r="AI28">
        <v>108.729672221386</v>
      </c>
      <c r="AJ28">
        <v>90.181400517634003</v>
      </c>
      <c r="AK28">
        <v>0.58917641109687502</v>
      </c>
      <c r="AL28">
        <v>77.135648932473202</v>
      </c>
      <c r="AM28">
        <v>93.238592662432197</v>
      </c>
      <c r="AN28">
        <v>1.0000000675737299</v>
      </c>
    </row>
    <row r="29" spans="1:40" x14ac:dyDescent="0.25">
      <c r="A29" t="str">
        <f>"20190304164554437"</f>
        <v>20190304164554437</v>
      </c>
      <c r="B29" t="str">
        <f>"1551689154427719"</f>
        <v>1551689154427719</v>
      </c>
      <c r="C29" t="s">
        <v>40</v>
      </c>
      <c r="D29">
        <v>5.1775789999999997</v>
      </c>
      <c r="E29">
        <v>0.54120610000000002</v>
      </c>
      <c r="F29" t="s">
        <v>41</v>
      </c>
      <c r="G29">
        <v>-475.04109999999997</v>
      </c>
      <c r="H29">
        <v>0.90611929999999996</v>
      </c>
      <c r="I29">
        <v>367.2158</v>
      </c>
      <c r="J29">
        <v>-475.69670000000002</v>
      </c>
      <c r="K29">
        <v>1.108627</v>
      </c>
      <c r="L29">
        <v>367.21510000000001</v>
      </c>
      <c r="M29">
        <v>0.99999749999999998</v>
      </c>
      <c r="N29">
        <v>1.7674609999999999E-3</v>
      </c>
      <c r="O29">
        <v>-1.473752E-3</v>
      </c>
      <c r="P29">
        <v>0.97315309999999999</v>
      </c>
      <c r="Q29">
        <v>0.22387770000000001</v>
      </c>
      <c r="R29">
        <v>5.3404489999999999E-2</v>
      </c>
      <c r="S29">
        <v>3.295563</v>
      </c>
      <c r="T29">
        <v>-0.92485980000000001</v>
      </c>
      <c r="U29">
        <v>2.532959E-3</v>
      </c>
      <c r="V29">
        <v>-5.4813420000000002E-2</v>
      </c>
      <c r="W29">
        <v>0.22216379999999999</v>
      </c>
      <c r="X29">
        <v>0.97346739999999998</v>
      </c>
      <c r="Y29">
        <v>-2.1039460000000002E-3</v>
      </c>
      <c r="Z29">
        <v>6.9604230000000001E-4</v>
      </c>
      <c r="AA29">
        <v>0.99999760000000004</v>
      </c>
      <c r="AB29">
        <v>6</v>
      </c>
      <c r="AC29">
        <v>0.65560000000004903</v>
      </c>
      <c r="AD29">
        <v>-0.20250770000000001</v>
      </c>
      <c r="AE29">
        <v>6.9999999999481501E-4</v>
      </c>
      <c r="AF29">
        <v>-1.52106408351439E-3</v>
      </c>
      <c r="AG29">
        <v>-0.20250770000000001</v>
      </c>
      <c r="AH29">
        <v>0.59849447802076094</v>
      </c>
      <c r="AI29">
        <v>108.693801907881</v>
      </c>
      <c r="AJ29">
        <v>90.145615987976996</v>
      </c>
      <c r="AK29">
        <v>0.63182855460684895</v>
      </c>
      <c r="AL29">
        <v>77.1638450463536</v>
      </c>
      <c r="AM29">
        <v>93.222773391951804</v>
      </c>
      <c r="AN29">
        <v>1.0000000219526399</v>
      </c>
    </row>
    <row r="30" spans="1:40" x14ac:dyDescent="0.25">
      <c r="A30" t="str">
        <f>"20190304164554462"</f>
        <v>20190304164554462</v>
      </c>
      <c r="B30" t="str">
        <f>"1551689154457974"</f>
        <v>1551689154457974</v>
      </c>
      <c r="C30" t="s">
        <v>40</v>
      </c>
      <c r="D30">
        <v>5.1895319999999998</v>
      </c>
      <c r="E30">
        <v>0.54124589999999995</v>
      </c>
      <c r="F30" t="s">
        <v>41</v>
      </c>
      <c r="G30">
        <v>-474.97930000000002</v>
      </c>
      <c r="H30">
        <v>0.90662109999999996</v>
      </c>
      <c r="I30">
        <v>367.21499999999997</v>
      </c>
      <c r="J30">
        <v>-475.61939999999998</v>
      </c>
      <c r="K30">
        <v>1.108589</v>
      </c>
      <c r="L30">
        <v>367.2149</v>
      </c>
      <c r="M30">
        <v>0.99999640000000001</v>
      </c>
      <c r="N30">
        <v>2.1704099999999998E-3</v>
      </c>
      <c r="O30">
        <v>-1.595359E-3</v>
      </c>
      <c r="P30">
        <v>0.97324279999999996</v>
      </c>
      <c r="Q30">
        <v>0.2234758</v>
      </c>
      <c r="R30">
        <v>5.3448849999999999E-2</v>
      </c>
      <c r="S30">
        <v>3.2962039999999999</v>
      </c>
      <c r="T30">
        <v>-0.92802669999999998</v>
      </c>
      <c r="U30">
        <v>1.617432E-3</v>
      </c>
      <c r="V30">
        <v>-5.4975860000000001E-2</v>
      </c>
      <c r="W30">
        <v>0.2213697</v>
      </c>
      <c r="X30">
        <v>0.97363909999999998</v>
      </c>
      <c r="Y30">
        <v>-1.9479479999999999E-3</v>
      </c>
      <c r="Z30">
        <v>7.1082890000000003E-4</v>
      </c>
      <c r="AA30">
        <v>0.9999979</v>
      </c>
      <c r="AB30">
        <v>7</v>
      </c>
      <c r="AC30">
        <v>0.64009999999996103</v>
      </c>
      <c r="AD30">
        <v>-0.20196790000000001</v>
      </c>
      <c r="AE30" s="1">
        <v>9.9999999974897906E-5</v>
      </c>
      <c r="AF30">
        <v>-1.0196762805794401E-3</v>
      </c>
      <c r="AG30">
        <v>-0.20196790000000001</v>
      </c>
      <c r="AH30">
        <v>0.58214298584152102</v>
      </c>
      <c r="AI30">
        <v>109.13360942784099</v>
      </c>
      <c r="AJ30">
        <v>90.100358655895604</v>
      </c>
      <c r="AK30">
        <v>0.61618384296783402</v>
      </c>
      <c r="AL30">
        <v>77.210505107562597</v>
      </c>
      <c r="AM30">
        <v>93.231735080646999</v>
      </c>
      <c r="AN30">
        <v>0.99999999315481902</v>
      </c>
    </row>
    <row r="31" spans="1:40" x14ac:dyDescent="0.25">
      <c r="A31" t="str">
        <f>"20190304164554483"</f>
        <v>20190304164554483</v>
      </c>
      <c r="B31" t="str">
        <f>"1551689154478002"</f>
        <v>1551689154478002</v>
      </c>
      <c r="C31" t="s">
        <v>40</v>
      </c>
      <c r="D31">
        <v>5.1962400000000004</v>
      </c>
      <c r="E31">
        <v>0.54128310000000002</v>
      </c>
      <c r="F31" t="s">
        <v>41</v>
      </c>
      <c r="G31">
        <v>-474.91419999999999</v>
      </c>
      <c r="H31">
        <v>0.90895760000000003</v>
      </c>
      <c r="I31">
        <v>367.2149</v>
      </c>
      <c r="J31">
        <v>-475.54849999999999</v>
      </c>
      <c r="K31">
        <v>1.108555</v>
      </c>
      <c r="L31">
        <v>367.21469999999999</v>
      </c>
      <c r="M31">
        <v>0.99999559999999998</v>
      </c>
      <c r="N31">
        <v>2.497492E-3</v>
      </c>
      <c r="O31">
        <v>-1.7036039999999901E-3</v>
      </c>
      <c r="P31">
        <v>0.97336639999999996</v>
      </c>
      <c r="Q31">
        <v>0.22303780000000001</v>
      </c>
      <c r="R31">
        <v>5.3031210000000002E-2</v>
      </c>
      <c r="S31">
        <v>3.2966000000000002</v>
      </c>
      <c r="T31">
        <v>-0.93302269999999998</v>
      </c>
      <c r="U31">
        <v>1.922607E-3</v>
      </c>
      <c r="V31">
        <v>-5.4663719999999999E-2</v>
      </c>
      <c r="W31">
        <v>0.220613</v>
      </c>
      <c r="X31">
        <v>0.97382840000000004</v>
      </c>
      <c r="Y31">
        <v>-2.135596E-3</v>
      </c>
      <c r="Z31">
        <v>7.7072369999999998E-4</v>
      </c>
      <c r="AA31">
        <v>0.99999740000000004</v>
      </c>
      <c r="AB31">
        <v>7</v>
      </c>
      <c r="AC31">
        <v>0.63429999999999598</v>
      </c>
      <c r="AD31">
        <v>-0.19959740000000001</v>
      </c>
      <c r="AE31">
        <v>2.0000000000663901E-4</v>
      </c>
      <c r="AF31">
        <v>-1.16521956999211E-3</v>
      </c>
      <c r="AG31">
        <v>-0.19959740000000001</v>
      </c>
      <c r="AH31">
        <v>0.57714971947264804</v>
      </c>
      <c r="AI31">
        <v>109.077036513585</v>
      </c>
      <c r="AJ31">
        <v>90.115675483511197</v>
      </c>
      <c r="AK31">
        <v>0.61069000197380297</v>
      </c>
      <c r="AL31">
        <v>77.254959835865805</v>
      </c>
      <c r="AM31">
        <v>93.212801271714298</v>
      </c>
      <c r="AN31">
        <v>0.99999998534989898</v>
      </c>
    </row>
    <row r="32" spans="1:40" x14ac:dyDescent="0.25">
      <c r="A32" t="str">
        <f>"20190304164554505"</f>
        <v>20190304164554505</v>
      </c>
      <c r="B32" t="str">
        <f>"1551689154497520"</f>
        <v>1551689154497520</v>
      </c>
      <c r="C32" t="s">
        <v>40</v>
      </c>
      <c r="D32">
        <v>5.2186620000000001</v>
      </c>
      <c r="E32">
        <v>0.54131750000000001</v>
      </c>
      <c r="F32" t="s">
        <v>41</v>
      </c>
      <c r="G32">
        <v>-474.84730000000002</v>
      </c>
      <c r="H32">
        <v>0.90951119999999996</v>
      </c>
      <c r="I32">
        <v>367.21469999999999</v>
      </c>
      <c r="J32">
        <v>-475.4778</v>
      </c>
      <c r="K32">
        <v>1.1085290000000001</v>
      </c>
      <c r="L32">
        <v>367.21440000000001</v>
      </c>
      <c r="M32">
        <v>0.99999459999999996</v>
      </c>
      <c r="N32">
        <v>2.784927E-3</v>
      </c>
      <c r="O32">
        <v>-1.807798E-3</v>
      </c>
      <c r="P32">
        <v>0.97340400000000005</v>
      </c>
      <c r="Q32">
        <v>0.2229806</v>
      </c>
      <c r="R32">
        <v>5.257825E-2</v>
      </c>
      <c r="S32">
        <v>3.296478</v>
      </c>
      <c r="T32">
        <v>-0.93577900000000003</v>
      </c>
      <c r="U32">
        <v>1.0681149999999999E-3</v>
      </c>
      <c r="V32">
        <v>-5.4312270000000003E-2</v>
      </c>
      <c r="W32">
        <v>0.22027579999999999</v>
      </c>
      <c r="X32">
        <v>0.97392440000000002</v>
      </c>
      <c r="Y32">
        <v>-1.9814920000000001E-3</v>
      </c>
      <c r="Z32">
        <v>7.8116259999999995E-4</v>
      </c>
      <c r="AA32">
        <v>0.99999769999999999</v>
      </c>
      <c r="AB32">
        <v>7</v>
      </c>
      <c r="AC32">
        <v>0.63049999999998296</v>
      </c>
      <c r="AD32">
        <v>-0.19901779999999999</v>
      </c>
      <c r="AE32">
        <v>2.9999999998153699E-4</v>
      </c>
      <c r="AF32">
        <v>-1.30936169684734E-3</v>
      </c>
      <c r="AG32">
        <v>-0.19901779999999999</v>
      </c>
      <c r="AH32">
        <v>0.57337044750651101</v>
      </c>
      <c r="AI32">
        <v>109.14192340959499</v>
      </c>
      <c r="AJ32">
        <v>90.130841708013406</v>
      </c>
      <c r="AK32">
        <v>0.60692954221944895</v>
      </c>
      <c r="AL32">
        <v>77.274767354128898</v>
      </c>
      <c r="AM32">
        <v>93.191874028792896</v>
      </c>
      <c r="AN32">
        <v>0.99999999382677596</v>
      </c>
    </row>
    <row r="33" spans="1:40" x14ac:dyDescent="0.25">
      <c r="A33" t="str">
        <f>"20190304164554527"</f>
        <v>20190304164554527</v>
      </c>
      <c r="B33" t="str">
        <f>"1551689154518017"</f>
        <v>1551689154518017</v>
      </c>
      <c r="C33" t="s">
        <v>40</v>
      </c>
      <c r="D33">
        <v>5.205298</v>
      </c>
      <c r="E33">
        <v>0.54133849999999994</v>
      </c>
      <c r="F33" t="s">
        <v>41</v>
      </c>
      <c r="G33">
        <v>-474.77809999999999</v>
      </c>
      <c r="H33">
        <v>0.90952120000000003</v>
      </c>
      <c r="I33">
        <v>367.21440000000001</v>
      </c>
      <c r="J33">
        <v>-475.39670000000001</v>
      </c>
      <c r="K33">
        <v>1.1084989999999999</v>
      </c>
      <c r="L33">
        <v>367.21409999999997</v>
      </c>
      <c r="M33">
        <v>0.99999360000000004</v>
      </c>
      <c r="N33">
        <v>3.065669E-3</v>
      </c>
      <c r="O33">
        <v>-1.9222760000000001E-3</v>
      </c>
      <c r="P33">
        <v>0.97336290000000003</v>
      </c>
      <c r="Q33">
        <v>0.22321170000000001</v>
      </c>
      <c r="R33">
        <v>5.2358519999999999E-2</v>
      </c>
      <c r="S33">
        <v>3.2968139999999999</v>
      </c>
      <c r="T33">
        <v>-0.93774029999999997</v>
      </c>
      <c r="U33">
        <v>0</v>
      </c>
      <c r="V33">
        <v>-5.4204130000000003E-2</v>
      </c>
      <c r="W33">
        <v>0.22023300000000001</v>
      </c>
      <c r="X33">
        <v>0.97394009999999998</v>
      </c>
      <c r="Y33">
        <v>-1.7747749999999999E-3</v>
      </c>
      <c r="Z33">
        <v>7.8663859999999997E-4</v>
      </c>
      <c r="AA33">
        <v>0.9999981</v>
      </c>
      <c r="AB33">
        <v>7</v>
      </c>
      <c r="AC33">
        <v>0.61860000000001403</v>
      </c>
      <c r="AD33">
        <v>-0.19897780000000001</v>
      </c>
      <c r="AE33">
        <v>3.0000000003838003E-4</v>
      </c>
      <c r="AF33">
        <v>-1.3495000980516499E-3</v>
      </c>
      <c r="AG33">
        <v>-0.19897780000000001</v>
      </c>
      <c r="AH33">
        <v>0.56059669687073999</v>
      </c>
      <c r="AI33">
        <v>109.54172140043499</v>
      </c>
      <c r="AJ33">
        <v>90.137925376921004</v>
      </c>
      <c r="AK33">
        <v>0.59486354955211196</v>
      </c>
      <c r="AL33">
        <v>77.277281304074293</v>
      </c>
      <c r="AM33">
        <v>93.185480612942001</v>
      </c>
      <c r="AN33">
        <v>0.99999999019303298</v>
      </c>
    </row>
    <row r="34" spans="1:40" x14ac:dyDescent="0.25">
      <c r="A34" t="str">
        <f>"20190304164554551"</f>
        <v>20190304164554551</v>
      </c>
      <c r="B34" t="str">
        <f>"1551689154537536"</f>
        <v>1551689154537536</v>
      </c>
      <c r="C34" t="s">
        <v>40</v>
      </c>
      <c r="D34">
        <v>5.2176499999999999</v>
      </c>
      <c r="E34">
        <v>0.54135429999999995</v>
      </c>
      <c r="F34" t="s">
        <v>41</v>
      </c>
      <c r="G34">
        <v>-474.70549999999997</v>
      </c>
      <c r="H34">
        <v>0.9116282</v>
      </c>
      <c r="I34">
        <v>367.21379999999999</v>
      </c>
      <c r="J34">
        <v>-475.31240000000003</v>
      </c>
      <c r="K34">
        <v>1.1084750000000001</v>
      </c>
      <c r="L34">
        <v>367.21379999999999</v>
      </c>
      <c r="M34">
        <v>0.99999249999999995</v>
      </c>
      <c r="N34">
        <v>3.3009530000000001E-3</v>
      </c>
      <c r="O34">
        <v>-2.03565E-3</v>
      </c>
      <c r="P34">
        <v>0.97344699999999995</v>
      </c>
      <c r="Q34">
        <v>0.22292609999999999</v>
      </c>
      <c r="R34">
        <v>5.2009600000000003E-2</v>
      </c>
      <c r="S34">
        <v>3.297485</v>
      </c>
      <c r="T34">
        <v>-0.93916069999999996</v>
      </c>
      <c r="U34">
        <v>2.13623E-4</v>
      </c>
      <c r="V34">
        <v>-5.3966279999999998E-2</v>
      </c>
      <c r="W34">
        <v>0.2197181</v>
      </c>
      <c r="X34">
        <v>0.97406959999999998</v>
      </c>
      <c r="Y34">
        <v>-1.941332E-3</v>
      </c>
      <c r="Z34">
        <v>8.4285999999999996E-4</v>
      </c>
      <c r="AA34">
        <v>0.99999769999999999</v>
      </c>
      <c r="AB34">
        <v>8</v>
      </c>
      <c r="AC34">
        <v>0.60690000000005195</v>
      </c>
      <c r="AD34">
        <v>-0.19684679999999999</v>
      </c>
      <c r="AE34">
        <v>0</v>
      </c>
      <c r="AF34">
        <v>-1.11784371685463E-3</v>
      </c>
      <c r="AG34">
        <v>-0.19684679999999999</v>
      </c>
      <c r="AH34">
        <v>0.54912943434615702</v>
      </c>
      <c r="AI34">
        <v>109.721230254831</v>
      </c>
      <c r="AJ34">
        <v>90.116634867219702</v>
      </c>
      <c r="AK34">
        <v>0.58334642187138397</v>
      </c>
      <c r="AL34">
        <v>77.307523729184197</v>
      </c>
      <c r="AM34">
        <v>93.171110401884206</v>
      </c>
      <c r="AN34">
        <v>0.999999994244404</v>
      </c>
    </row>
    <row r="35" spans="1:40" x14ac:dyDescent="0.25">
      <c r="A35" t="str">
        <f>"20190304164554574"</f>
        <v>20190304164554574</v>
      </c>
      <c r="B35" t="str">
        <f>"1551689154567792"</f>
        <v>1551689154567792</v>
      </c>
      <c r="C35" t="s">
        <v>40</v>
      </c>
      <c r="D35">
        <v>5.2239069999999996</v>
      </c>
      <c r="E35">
        <v>0.54137999999999997</v>
      </c>
      <c r="F35" t="s">
        <v>41</v>
      </c>
      <c r="G35">
        <v>-474.63060000000002</v>
      </c>
      <c r="H35">
        <v>0.91368269999999996</v>
      </c>
      <c r="I35">
        <v>367.21350000000001</v>
      </c>
      <c r="J35">
        <v>-475.2244</v>
      </c>
      <c r="K35">
        <v>1.10846</v>
      </c>
      <c r="L35">
        <v>367.21350000000001</v>
      </c>
      <c r="M35">
        <v>0.99999170000000004</v>
      </c>
      <c r="N35">
        <v>3.4865349999999998E-3</v>
      </c>
      <c r="O35">
        <v>-2.1459869999999998E-3</v>
      </c>
      <c r="P35">
        <v>0.97351730000000003</v>
      </c>
      <c r="Q35">
        <v>0.22277159999999999</v>
      </c>
      <c r="R35">
        <v>5.1350159999999999E-2</v>
      </c>
      <c r="S35">
        <v>3.2975769999999902</v>
      </c>
      <c r="T35">
        <v>-0.94203419999999904</v>
      </c>
      <c r="U35" s="1">
        <v>-3.0517579999999999E-5</v>
      </c>
      <c r="V35">
        <v>-5.3414900000000001E-2</v>
      </c>
      <c r="W35">
        <v>0.2193822</v>
      </c>
      <c r="X35">
        <v>0.97417569999999998</v>
      </c>
      <c r="Y35">
        <v>-1.9709409999999999E-3</v>
      </c>
      <c r="Z35">
        <v>8.808663E-4</v>
      </c>
      <c r="AA35">
        <v>0.99999769999999999</v>
      </c>
      <c r="AB35">
        <v>8</v>
      </c>
      <c r="AC35">
        <v>0.593799999999987</v>
      </c>
      <c r="AD35">
        <v>-0.19477729999999999</v>
      </c>
      <c r="AE35">
        <v>0</v>
      </c>
      <c r="AF35">
        <v>-1.1505049445442201E-3</v>
      </c>
      <c r="AG35">
        <v>-0.19477729999999999</v>
      </c>
      <c r="AH35">
        <v>0.53611480188518601</v>
      </c>
      <c r="AI35">
        <v>109.966682175836</v>
      </c>
      <c r="AJ35">
        <v>90.122956829780904</v>
      </c>
      <c r="AK35">
        <v>0.57040213977273102</v>
      </c>
      <c r="AL35">
        <v>77.327250742139299</v>
      </c>
      <c r="AM35">
        <v>93.138434731779</v>
      </c>
      <c r="AN35">
        <v>0.99999999784466898</v>
      </c>
    </row>
    <row r="36" spans="1:40" x14ac:dyDescent="0.25">
      <c r="A36" t="str">
        <f>"20190304164554596"</f>
        <v>20190304164554596</v>
      </c>
      <c r="B36" t="str">
        <f>"1551689154587312"</f>
        <v>1551689154587312</v>
      </c>
      <c r="C36" t="s">
        <v>40</v>
      </c>
      <c r="D36">
        <v>5.2390049999999997</v>
      </c>
      <c r="E36">
        <v>0.54139009999999999</v>
      </c>
      <c r="F36" t="s">
        <v>41</v>
      </c>
      <c r="G36">
        <v>-474.55309999999997</v>
      </c>
      <c r="H36">
        <v>0.91604419999999998</v>
      </c>
      <c r="I36">
        <v>367.21269999999998</v>
      </c>
      <c r="J36">
        <v>-475.14060000000001</v>
      </c>
      <c r="K36">
        <v>1.108455</v>
      </c>
      <c r="L36">
        <v>367.2133</v>
      </c>
      <c r="M36">
        <v>0.99999110000000002</v>
      </c>
      <c r="N36">
        <v>3.6012269999999998E-3</v>
      </c>
      <c r="O36">
        <v>-2.2434629999999998E-3</v>
      </c>
      <c r="P36">
        <v>0.97357870000000002</v>
      </c>
      <c r="Q36">
        <v>0.22254399999999999</v>
      </c>
      <c r="R36">
        <v>5.1178029999999999E-2</v>
      </c>
      <c r="S36">
        <v>3.298035</v>
      </c>
      <c r="T36">
        <v>-0.94530559999999997</v>
      </c>
      <c r="U36">
        <v>-1.556396E-3</v>
      </c>
      <c r="V36">
        <v>-5.3338709999999998E-2</v>
      </c>
      <c r="W36">
        <v>0.2190426</v>
      </c>
      <c r="X36">
        <v>0.97425629999999996</v>
      </c>
      <c r="Y36">
        <v>-1.6147689999999901E-3</v>
      </c>
      <c r="Z36">
        <v>8.6214979999999896E-4</v>
      </c>
      <c r="AA36">
        <v>0.99999830000000001</v>
      </c>
      <c r="AB36">
        <v>8</v>
      </c>
      <c r="AC36">
        <v>0.587500000000034</v>
      </c>
      <c r="AD36">
        <v>-0.19241079999999999</v>
      </c>
      <c r="AE36">
        <v>-6.0000000001991696E-4</v>
      </c>
      <c r="AF36">
        <v>-6.4848694143310995E-4</v>
      </c>
      <c r="AG36">
        <v>-0.19241079999999999</v>
      </c>
      <c r="AH36">
        <v>0.53058832168411196</v>
      </c>
      <c r="AI36">
        <v>109.932489480793</v>
      </c>
      <c r="AJ36">
        <v>90.070027071449204</v>
      </c>
      <c r="AK36">
        <v>0.56439906413770302</v>
      </c>
      <c r="AL36">
        <v>77.347193587390706</v>
      </c>
      <c r="AM36">
        <v>93.133708302384306</v>
      </c>
      <c r="AN36">
        <v>1.00000000834445</v>
      </c>
    </row>
    <row r="37" spans="1:40" x14ac:dyDescent="0.25">
      <c r="A37" t="str">
        <f>"20190304164554617"</f>
        <v>20190304164554617</v>
      </c>
      <c r="B37" t="str">
        <f>"1551689154607810"</f>
        <v>1551689154607810</v>
      </c>
      <c r="C37" t="s">
        <v>40</v>
      </c>
      <c r="D37">
        <v>5.2404590000000004</v>
      </c>
      <c r="E37">
        <v>0.54140859999999902</v>
      </c>
      <c r="F37" t="s">
        <v>41</v>
      </c>
      <c r="G37">
        <v>-474.40140000000002</v>
      </c>
      <c r="H37">
        <v>0.8959876</v>
      </c>
      <c r="I37">
        <v>367.2124</v>
      </c>
      <c r="J37">
        <v>-475.0523</v>
      </c>
      <c r="K37">
        <v>1.1084609999999999</v>
      </c>
      <c r="L37">
        <v>367.21289999999999</v>
      </c>
      <c r="M37">
        <v>0.99999059999999995</v>
      </c>
      <c r="N37">
        <v>3.6593440000000001E-3</v>
      </c>
      <c r="O37">
        <v>-2.3386990000000001E-3</v>
      </c>
      <c r="P37">
        <v>0.97369790000000001</v>
      </c>
      <c r="Q37">
        <v>0.22208849999999999</v>
      </c>
      <c r="R37">
        <v>5.0885420000000001E-2</v>
      </c>
      <c r="S37">
        <v>3.2982480000000001</v>
      </c>
      <c r="T37">
        <v>-0.94799770000000005</v>
      </c>
      <c r="U37">
        <v>-2.0446779999999999E-3</v>
      </c>
      <c r="V37">
        <v>-5.313963E-2</v>
      </c>
      <c r="W37">
        <v>0.21853030000000001</v>
      </c>
      <c r="X37">
        <v>0.97438219999999998</v>
      </c>
      <c r="Y37">
        <v>-1.559377E-3</v>
      </c>
      <c r="Z37">
        <v>8.8399360000000001E-4</v>
      </c>
      <c r="AA37">
        <v>0.99999839999999995</v>
      </c>
      <c r="AB37">
        <v>9</v>
      </c>
      <c r="AC37">
        <v>0.65089999999997805</v>
      </c>
      <c r="AD37">
        <v>-0.21247340000000001</v>
      </c>
      <c r="AE37">
        <v>-4.9999999998817603E-4</v>
      </c>
      <c r="AF37">
        <v>-9.2383046385148201E-4</v>
      </c>
      <c r="AG37">
        <v>-0.21247340000000001</v>
      </c>
      <c r="AH37">
        <v>0.58822060435543699</v>
      </c>
      <c r="AI37">
        <v>109.86039655534201</v>
      </c>
      <c r="AJ37">
        <v>90.089985870354695</v>
      </c>
      <c r="AK37">
        <v>0.62541928220879295</v>
      </c>
      <c r="AL37">
        <v>77.377274795033401</v>
      </c>
      <c r="AM37">
        <v>93.121632712435897</v>
      </c>
      <c r="AN37">
        <v>0.99999999198573297</v>
      </c>
    </row>
    <row r="38" spans="1:40" x14ac:dyDescent="0.25">
      <c r="A38" t="str">
        <f>"20190304164554640"</f>
        <v>20190304164554640</v>
      </c>
      <c r="B38" t="str">
        <f>"1551689154627332"</f>
        <v>1551689154627332</v>
      </c>
      <c r="C38" t="s">
        <v>40</v>
      </c>
      <c r="D38">
        <v>5.2550800000000004</v>
      </c>
      <c r="E38">
        <v>0.54142080000000004</v>
      </c>
      <c r="F38" t="s">
        <v>41</v>
      </c>
      <c r="G38">
        <v>-474.31779999999998</v>
      </c>
      <c r="H38">
        <v>0.89662149999999996</v>
      </c>
      <c r="I38">
        <v>367.21199999999999</v>
      </c>
      <c r="J38">
        <v>-474.95209999999997</v>
      </c>
      <c r="K38">
        <v>1.1084780000000001</v>
      </c>
      <c r="L38">
        <v>367.21249999999998</v>
      </c>
      <c r="M38">
        <v>0.9999903</v>
      </c>
      <c r="N38">
        <v>3.6534800000000002E-3</v>
      </c>
      <c r="O38">
        <v>-2.4397830000000001E-3</v>
      </c>
      <c r="P38">
        <v>0.97372689999999995</v>
      </c>
      <c r="Q38">
        <v>0.2219795</v>
      </c>
      <c r="R38">
        <v>5.0807190000000002E-2</v>
      </c>
      <c r="S38">
        <v>3.2981259999999999</v>
      </c>
      <c r="T38">
        <v>-0.95112929999999996</v>
      </c>
      <c r="U38">
        <v>-2.9296880000000002E-3</v>
      </c>
      <c r="V38">
        <v>-5.3160869999999999E-2</v>
      </c>
      <c r="W38">
        <v>0.2184266</v>
      </c>
      <c r="X38">
        <v>0.9744043</v>
      </c>
      <c r="Y38">
        <v>-1.3935110000000001E-3</v>
      </c>
      <c r="Z38">
        <v>8.9260380000000001E-4</v>
      </c>
      <c r="AA38">
        <v>0.99999859999999896</v>
      </c>
      <c r="AB38">
        <v>9</v>
      </c>
      <c r="AC38">
        <v>0.63429999999999598</v>
      </c>
      <c r="AD38">
        <v>-0.2118565</v>
      </c>
      <c r="AE38">
        <v>-4.9999999998817603E-4</v>
      </c>
      <c r="AF38">
        <v>-9.4243206641360605E-4</v>
      </c>
      <c r="AG38">
        <v>-0.2118565</v>
      </c>
      <c r="AH38">
        <v>0.57064078759047798</v>
      </c>
      <c r="AI38">
        <v>110.367957151795</v>
      </c>
      <c r="AJ38">
        <v>90.094625782039898</v>
      </c>
      <c r="AK38">
        <v>0.60869941123047799</v>
      </c>
      <c r="AL38">
        <v>77.383363545777996</v>
      </c>
      <c r="AM38">
        <v>93.122807276844597</v>
      </c>
      <c r="AN38">
        <v>0.99999999877260304</v>
      </c>
    </row>
    <row r="39" spans="1:40" x14ac:dyDescent="0.25">
      <c r="A39" t="str">
        <f>"20190304164554664"</f>
        <v>20190304164554664</v>
      </c>
      <c r="B39" t="str">
        <f>"1551689154657585"</f>
        <v>1551689154657585</v>
      </c>
      <c r="C39" t="s">
        <v>40</v>
      </c>
      <c r="D39">
        <v>5.3012980000000001</v>
      </c>
      <c r="E39">
        <v>0.54143609999999998</v>
      </c>
      <c r="F39" t="s">
        <v>41</v>
      </c>
      <c r="G39">
        <v>-474.23090000000002</v>
      </c>
      <c r="H39">
        <v>0.90015610000000001</v>
      </c>
      <c r="I39">
        <v>367.21120000000002</v>
      </c>
      <c r="J39">
        <v>-474.85430000000002</v>
      </c>
      <c r="K39">
        <v>1.1084959999999999</v>
      </c>
      <c r="L39">
        <v>367.2122</v>
      </c>
      <c r="M39">
        <v>0.9999903</v>
      </c>
      <c r="N39">
        <v>3.5868330000000002E-3</v>
      </c>
      <c r="O39">
        <v>-2.534559E-3</v>
      </c>
      <c r="P39">
        <v>0.97374740000000004</v>
      </c>
      <c r="Q39">
        <v>0.22193180000000001</v>
      </c>
      <c r="R39">
        <v>5.0617669999999997E-2</v>
      </c>
      <c r="S39">
        <v>3.2983090000000002</v>
      </c>
      <c r="T39">
        <v>-0.95271859999999997</v>
      </c>
      <c r="U39">
        <v>-3.692627E-3</v>
      </c>
      <c r="V39">
        <v>-5.3063560000000003E-2</v>
      </c>
      <c r="W39">
        <v>0.21844379999999999</v>
      </c>
      <c r="X39">
        <v>0.97440579999999999</v>
      </c>
      <c r="Y39">
        <v>-1.2580549999999999E-3</v>
      </c>
      <c r="Z39">
        <v>9.0210400000000004E-4</v>
      </c>
      <c r="AA39">
        <v>0.99999879999999997</v>
      </c>
      <c r="AB39">
        <v>9</v>
      </c>
      <c r="AC39">
        <v>0.62340000000000295</v>
      </c>
      <c r="AD39">
        <v>-0.208339899999999</v>
      </c>
      <c r="AE39">
        <v>-9.9999999997635292E-4</v>
      </c>
      <c r="AF39">
        <v>-5.2178043736211203E-4</v>
      </c>
      <c r="AG39">
        <v>-0.208339899999999</v>
      </c>
      <c r="AH39">
        <v>0.56076885075940797</v>
      </c>
      <c r="AI39">
        <v>110.381304792568</v>
      </c>
      <c r="AJ39">
        <v>90.053312177067397</v>
      </c>
      <c r="AK39">
        <v>0.59822026893850799</v>
      </c>
      <c r="AL39">
        <v>77.382354317058699</v>
      </c>
      <c r="AM39">
        <v>93.117097529022899</v>
      </c>
      <c r="AN39">
        <v>1.00000004911597</v>
      </c>
    </row>
    <row r="40" spans="1:40" x14ac:dyDescent="0.25">
      <c r="A40" t="str">
        <f>"20190304164554686"</f>
        <v>20190304164554686</v>
      </c>
      <c r="B40" t="str">
        <f>"1551689154678080"</f>
        <v>1551689154678080</v>
      </c>
      <c r="C40" t="s">
        <v>40</v>
      </c>
      <c r="D40">
        <v>5.3439899999999998</v>
      </c>
      <c r="E40">
        <v>0.55371630000000005</v>
      </c>
      <c r="F40" t="s">
        <v>41</v>
      </c>
      <c r="G40">
        <v>-474.14229999999998</v>
      </c>
      <c r="H40">
        <v>0.90255419999999997</v>
      </c>
      <c r="I40">
        <v>367.21120000000002</v>
      </c>
      <c r="J40">
        <v>-474.75029999999998</v>
      </c>
      <c r="K40">
        <v>1.1085199999999999</v>
      </c>
      <c r="L40">
        <v>367.21179999999998</v>
      </c>
      <c r="M40">
        <v>0.9999905</v>
      </c>
      <c r="N40">
        <v>3.4675130000000002E-3</v>
      </c>
      <c r="O40">
        <v>-2.6349680000000001E-3</v>
      </c>
      <c r="P40">
        <v>0.97385029999999995</v>
      </c>
      <c r="Q40">
        <v>0.2214941</v>
      </c>
      <c r="R40">
        <v>5.0555269999999999E-2</v>
      </c>
      <c r="S40">
        <v>3.2985530000000001</v>
      </c>
      <c r="T40">
        <v>-0.95412850000000005</v>
      </c>
      <c r="U40">
        <v>-4.1503909999999998E-3</v>
      </c>
      <c r="V40">
        <v>-5.3099069999999998E-2</v>
      </c>
      <c r="W40">
        <v>0.2181217</v>
      </c>
      <c r="X40">
        <v>0.97447600000000001</v>
      </c>
      <c r="Y40">
        <v>-1.2168560000000001E-3</v>
      </c>
      <c r="Z40">
        <v>9.2612830000000001E-4</v>
      </c>
      <c r="AA40">
        <v>0.99999879999999997</v>
      </c>
      <c r="AB40">
        <v>10</v>
      </c>
      <c r="AC40">
        <v>0.60800000000000398</v>
      </c>
      <c r="AD40">
        <v>-0.2059658</v>
      </c>
      <c r="AE40">
        <v>-5.9999999996307397E-4</v>
      </c>
      <c r="AF40">
        <v>-8.9891470833759995E-4</v>
      </c>
      <c r="AG40">
        <v>-0.2059658</v>
      </c>
      <c r="AH40">
        <v>0.54540942273738402</v>
      </c>
      <c r="AI40">
        <v>110.68827615602299</v>
      </c>
      <c r="AJ40">
        <v>90.094431761073295</v>
      </c>
      <c r="AK40">
        <v>0.58300442299181499</v>
      </c>
      <c r="AL40">
        <v>77.401265081629305</v>
      </c>
      <c r="AM40">
        <v>93.118955107152402</v>
      </c>
      <c r="AN40">
        <v>1.0000000309108701</v>
      </c>
    </row>
    <row r="41" spans="1:40" x14ac:dyDescent="0.25">
      <c r="A41" t="str">
        <f>"20190304164554707"</f>
        <v>20190304164554707</v>
      </c>
      <c r="B41" t="str">
        <f>"1551689154697601"</f>
        <v>1551689154697601</v>
      </c>
      <c r="C41" t="s">
        <v>40</v>
      </c>
      <c r="D41">
        <v>5.2917529999999999</v>
      </c>
      <c r="E41">
        <v>0.55690229999999996</v>
      </c>
      <c r="F41" t="s">
        <v>41</v>
      </c>
      <c r="G41">
        <v>-474.06270000000001</v>
      </c>
      <c r="H41">
        <v>0.88086880000000001</v>
      </c>
      <c r="I41">
        <v>367.19349999999997</v>
      </c>
      <c r="J41">
        <v>-474.6592</v>
      </c>
      <c r="K41">
        <v>1.1085400000000001</v>
      </c>
      <c r="L41">
        <v>367.21140000000003</v>
      </c>
      <c r="M41">
        <v>0.99999079999999996</v>
      </c>
      <c r="N41">
        <v>3.3395920000000002E-3</v>
      </c>
      <c r="O41">
        <v>-2.7251139999999998E-3</v>
      </c>
      <c r="P41">
        <v>0.97395189999999998</v>
      </c>
      <c r="Q41">
        <v>0.22107640000000001</v>
      </c>
      <c r="R41">
        <v>5.0430959999999997E-2</v>
      </c>
      <c r="S41">
        <v>3.3362430000000001</v>
      </c>
      <c r="T41">
        <v>-1.1044350000000001</v>
      </c>
      <c r="U41">
        <v>-8.5723880000000002E-2</v>
      </c>
      <c r="V41">
        <v>-5.3062659999999998E-2</v>
      </c>
      <c r="W41">
        <v>0.21782860000000001</v>
      </c>
      <c r="X41">
        <v>0.97454350000000001</v>
      </c>
      <c r="Y41">
        <v>2.1951869999999998E-2</v>
      </c>
      <c r="Z41">
        <v>-2.6135109999999998E-3</v>
      </c>
      <c r="AA41">
        <v>0.99975559999999997</v>
      </c>
      <c r="AB41">
        <v>10</v>
      </c>
      <c r="AC41">
        <v>0.59649999999999104</v>
      </c>
      <c r="AD41">
        <v>-0.22767119999999899</v>
      </c>
      <c r="AE41">
        <v>-1.7900000000054199E-2</v>
      </c>
      <c r="AF41">
        <v>1.4206653002528101E-2</v>
      </c>
      <c r="AG41">
        <v>-0.22767119999999899</v>
      </c>
      <c r="AH41">
        <v>0.52075241560069296</v>
      </c>
      <c r="AI41">
        <v>113.60696479193599</v>
      </c>
      <c r="AJ41">
        <v>88.437300744783997</v>
      </c>
      <c r="AK41">
        <v>0.56852359902903804</v>
      </c>
      <c r="AL41">
        <v>77.418471697459594</v>
      </c>
      <c r="AM41">
        <v>93.116605204306595</v>
      </c>
      <c r="AN41">
        <v>0.99999998912824195</v>
      </c>
    </row>
    <row r="42" spans="1:40" x14ac:dyDescent="0.25">
      <c r="A42" t="str">
        <f>"20190304164554728"</f>
        <v>20190304164554728</v>
      </c>
      <c r="B42" t="str">
        <f>"1551689154718096"</f>
        <v>1551689154718096</v>
      </c>
      <c r="C42" t="s">
        <v>40</v>
      </c>
      <c r="D42">
        <v>5.3877839999999999</v>
      </c>
      <c r="E42">
        <v>0.55820209999999904</v>
      </c>
      <c r="F42" t="s">
        <v>41</v>
      </c>
      <c r="G42">
        <v>-473.97179999999997</v>
      </c>
      <c r="H42">
        <v>0.88005449999999996</v>
      </c>
      <c r="I42">
        <v>367.18810000000002</v>
      </c>
      <c r="J42">
        <v>-474.55880000000002</v>
      </c>
      <c r="K42">
        <v>1.108557</v>
      </c>
      <c r="L42">
        <v>367.21100000000001</v>
      </c>
      <c r="M42">
        <v>0.99999090000000002</v>
      </c>
      <c r="N42">
        <v>3.1913179999999998E-3</v>
      </c>
      <c r="O42">
        <v>-2.8279899999999998E-3</v>
      </c>
      <c r="P42">
        <v>0.97398320000000005</v>
      </c>
      <c r="Q42">
        <v>0.22098950000000001</v>
      </c>
      <c r="R42">
        <v>5.0206389999999997E-2</v>
      </c>
      <c r="S42">
        <v>3.3378299999999999</v>
      </c>
      <c r="T42">
        <v>-1.1093470000000001</v>
      </c>
      <c r="U42">
        <v>-0.11178589999999999</v>
      </c>
      <c r="V42">
        <v>-5.2937430000000001E-2</v>
      </c>
      <c r="W42">
        <v>0.2178863</v>
      </c>
      <c r="X42">
        <v>0.9745374</v>
      </c>
      <c r="Y42">
        <v>2.9244900000000001E-2</v>
      </c>
      <c r="Z42">
        <v>-3.7596539999999999E-3</v>
      </c>
      <c r="AA42">
        <v>0.99956520000000004</v>
      </c>
      <c r="AB42">
        <v>10</v>
      </c>
      <c r="AC42">
        <v>0.58700000000004504</v>
      </c>
      <c r="AD42">
        <v>-0.2285025</v>
      </c>
      <c r="AE42">
        <v>-2.2899999999992801E-2</v>
      </c>
      <c r="AF42">
        <v>1.84485618192381E-2</v>
      </c>
      <c r="AG42">
        <v>-0.2285025</v>
      </c>
      <c r="AH42">
        <v>0.50991165782110603</v>
      </c>
      <c r="AI42">
        <v>114.12420662550799</v>
      </c>
      <c r="AJ42">
        <v>87.927947193073294</v>
      </c>
      <c r="AK42">
        <v>0.55907391346879798</v>
      </c>
      <c r="AL42">
        <v>77.4150842220307</v>
      </c>
      <c r="AM42">
        <v>93.1092837641838</v>
      </c>
      <c r="AN42">
        <v>0.99999997761072701</v>
      </c>
    </row>
    <row r="43" spans="1:40" x14ac:dyDescent="0.25">
      <c r="A43" t="str">
        <f>"20190304164554750"</f>
        <v>20190304164554750</v>
      </c>
      <c r="B43" t="str">
        <f>"1551689154747377"</f>
        <v>1551689154747377</v>
      </c>
      <c r="C43" t="s">
        <v>40</v>
      </c>
      <c r="D43">
        <v>5.38706</v>
      </c>
      <c r="E43">
        <v>0.55933869999999997</v>
      </c>
      <c r="F43" t="s">
        <v>41</v>
      </c>
      <c r="G43">
        <v>-473.87790000000001</v>
      </c>
      <c r="H43">
        <v>0.88112950000000001</v>
      </c>
      <c r="I43">
        <v>367.1859</v>
      </c>
      <c r="J43">
        <v>-474.45659999999998</v>
      </c>
      <c r="K43">
        <v>1.1085689999999999</v>
      </c>
      <c r="L43">
        <v>367.2106</v>
      </c>
      <c r="M43">
        <v>0.99999110000000002</v>
      </c>
      <c r="N43">
        <v>3.0463560000000001E-3</v>
      </c>
      <c r="O43">
        <v>-2.9375550000000001E-3</v>
      </c>
      <c r="P43">
        <v>0.97409080000000003</v>
      </c>
      <c r="Q43">
        <v>0.22062960000000001</v>
      </c>
      <c r="R43">
        <v>4.9698649999999997E-2</v>
      </c>
      <c r="S43">
        <v>3.3393860000000002</v>
      </c>
      <c r="T43">
        <v>-1.11511</v>
      </c>
      <c r="U43">
        <v>-0.1206665</v>
      </c>
      <c r="V43">
        <v>-5.2535770000000002E-2</v>
      </c>
      <c r="W43">
        <v>0.21766759999999999</v>
      </c>
      <c r="X43">
        <v>0.97460809999999998</v>
      </c>
      <c r="Y43">
        <v>3.1638510000000002E-2</v>
      </c>
      <c r="Z43">
        <v>-4.1284620000000003E-3</v>
      </c>
      <c r="AA43">
        <v>0.99949089999999996</v>
      </c>
      <c r="AB43">
        <v>10</v>
      </c>
      <c r="AC43">
        <v>0.57869999999996902</v>
      </c>
      <c r="AD43">
        <v>-0.22743949999999999</v>
      </c>
      <c r="AE43">
        <v>-2.4699999999995701E-2</v>
      </c>
      <c r="AF43">
        <v>1.9927461754702801E-2</v>
      </c>
      <c r="AG43">
        <v>-0.22743949999999999</v>
      </c>
      <c r="AH43">
        <v>0.50145465616254503</v>
      </c>
      <c r="AI43">
        <v>114.38011659135501</v>
      </c>
      <c r="AJ43">
        <v>87.724302720574002</v>
      </c>
      <c r="AK43">
        <v>0.55098330471923695</v>
      </c>
      <c r="AL43">
        <v>77.427924136685306</v>
      </c>
      <c r="AM43">
        <v>93.085514587591902</v>
      </c>
      <c r="AN43">
        <v>1.0000000699024201</v>
      </c>
    </row>
    <row r="44" spans="1:40" x14ac:dyDescent="0.25">
      <c r="A44" t="str">
        <f>"20190304164554773"</f>
        <v>20190304164554773</v>
      </c>
      <c r="B44" t="str">
        <f>"1551689154767872"</f>
        <v>1551689154767872</v>
      </c>
      <c r="C44" t="s">
        <v>40</v>
      </c>
      <c r="D44">
        <v>5.4516629999999999</v>
      </c>
      <c r="E44">
        <v>0.55999670000000001</v>
      </c>
      <c r="F44" t="s">
        <v>41</v>
      </c>
      <c r="G44">
        <v>-473.7817</v>
      </c>
      <c r="H44">
        <v>0.88271619999999995</v>
      </c>
      <c r="I44">
        <v>367.18389999999999</v>
      </c>
      <c r="J44">
        <v>-474.3458</v>
      </c>
      <c r="K44">
        <v>1.1085739999999999</v>
      </c>
      <c r="L44">
        <v>367.21010000000001</v>
      </c>
      <c r="M44">
        <v>0.99999119999999997</v>
      </c>
      <c r="N44">
        <v>2.9068470000000002E-3</v>
      </c>
      <c r="O44">
        <v>-3.060606E-3</v>
      </c>
      <c r="P44">
        <v>0.97410810000000003</v>
      </c>
      <c r="Q44">
        <v>0.22065270000000001</v>
      </c>
      <c r="R44">
        <v>4.92574E-2</v>
      </c>
      <c r="S44">
        <v>3.3395389999999998</v>
      </c>
      <c r="T44">
        <v>-1.1173919999999999</v>
      </c>
      <c r="U44">
        <v>-0.1306763</v>
      </c>
      <c r="V44">
        <v>-5.2212729999999999E-2</v>
      </c>
      <c r="W44">
        <v>0.21782670000000001</v>
      </c>
      <c r="X44">
        <v>0.97458979999999995</v>
      </c>
      <c r="Y44">
        <v>3.435879E-2</v>
      </c>
      <c r="Z44">
        <v>-4.5372449999999996E-3</v>
      </c>
      <c r="AA44">
        <v>0.99939920000000004</v>
      </c>
      <c r="AB44">
        <v>10</v>
      </c>
      <c r="AC44">
        <v>0.56409999999999605</v>
      </c>
      <c r="AD44">
        <v>-0.225857799999999</v>
      </c>
      <c r="AE44">
        <v>-2.6200000000017099E-2</v>
      </c>
      <c r="AF44">
        <v>2.1098398966285299E-2</v>
      </c>
      <c r="AG44">
        <v>-0.225857799999999</v>
      </c>
      <c r="AH44">
        <v>0.48637506630069499</v>
      </c>
      <c r="AI44">
        <v>114.888156274583</v>
      </c>
      <c r="AJ44">
        <v>87.516131247523901</v>
      </c>
      <c r="AK44">
        <v>0.53667270601250605</v>
      </c>
      <c r="AL44">
        <v>77.418582856854599</v>
      </c>
      <c r="AM44">
        <v>93.066635697502207</v>
      </c>
      <c r="AN44">
        <v>0.99999995933549002</v>
      </c>
    </row>
    <row r="45" spans="1:40" x14ac:dyDescent="0.25">
      <c r="A45" t="str">
        <f>"20190304164554796"</f>
        <v>20190304164554796</v>
      </c>
      <c r="B45" t="str">
        <f>"1551689154787393"</f>
        <v>1551689154787393</v>
      </c>
      <c r="C45" t="s">
        <v>40</v>
      </c>
      <c r="D45">
        <v>5.3113250000000001</v>
      </c>
      <c r="E45">
        <v>0.5604808</v>
      </c>
      <c r="F45" t="s">
        <v>41</v>
      </c>
      <c r="G45">
        <v>-473.68220000000002</v>
      </c>
      <c r="H45">
        <v>0.88740469999999905</v>
      </c>
      <c r="I45">
        <v>367.18220000000002</v>
      </c>
      <c r="J45">
        <v>-474.23309999999998</v>
      </c>
      <c r="K45">
        <v>1.1085640000000001</v>
      </c>
      <c r="L45">
        <v>367.2097</v>
      </c>
      <c r="M45">
        <v>0.99999099999999996</v>
      </c>
      <c r="N45">
        <v>2.7913339999999999E-3</v>
      </c>
      <c r="O45">
        <v>-3.1888229999999999E-3</v>
      </c>
      <c r="P45">
        <v>0.97420479999999998</v>
      </c>
      <c r="Q45">
        <v>0.22016469999999999</v>
      </c>
      <c r="R45">
        <v>4.9526569999999999E-2</v>
      </c>
      <c r="S45">
        <v>3.3388059999999999</v>
      </c>
      <c r="T45">
        <v>-1.1125860000000001</v>
      </c>
      <c r="U45">
        <v>-0.1393433</v>
      </c>
      <c r="V45">
        <v>-5.2604810000000002E-2</v>
      </c>
      <c r="W45">
        <v>0.21745210000000001</v>
      </c>
      <c r="X45">
        <v>0.97465239999999997</v>
      </c>
      <c r="Y45">
        <v>3.6722619999999997E-2</v>
      </c>
      <c r="Z45">
        <v>-4.8596100000000003E-3</v>
      </c>
      <c r="AA45">
        <v>0.99931369999999997</v>
      </c>
      <c r="AB45">
        <v>11</v>
      </c>
      <c r="AC45">
        <v>0.55089999999995598</v>
      </c>
      <c r="AD45">
        <v>-0.2211593</v>
      </c>
      <c r="AE45">
        <v>-2.7499999999974899E-2</v>
      </c>
      <c r="AF45">
        <v>2.2177781147054001E-2</v>
      </c>
      <c r="AG45">
        <v>-0.2211593</v>
      </c>
      <c r="AH45">
        <v>0.474675069148075</v>
      </c>
      <c r="AI45">
        <v>114.957717799574</v>
      </c>
      <c r="AJ45">
        <v>87.324970424248605</v>
      </c>
      <c r="AK45">
        <v>0.52413711109196104</v>
      </c>
      <c r="AL45">
        <v>77.440573385016407</v>
      </c>
      <c r="AM45">
        <v>93.089421418043102</v>
      </c>
      <c r="AN45">
        <v>0.99999999132765305</v>
      </c>
    </row>
    <row r="46" spans="1:40" x14ac:dyDescent="0.25">
      <c r="A46" t="str">
        <f>"20190304164554819"</f>
        <v>20190304164554819</v>
      </c>
      <c r="B46" t="str">
        <f>"1551689154807889"</f>
        <v>1551689154807889</v>
      </c>
      <c r="C46" t="s">
        <v>40</v>
      </c>
      <c r="D46">
        <v>5.3223510000000003</v>
      </c>
      <c r="E46">
        <v>0.56082739999999998</v>
      </c>
      <c r="F46" t="s">
        <v>41</v>
      </c>
      <c r="G46">
        <v>-473.4914</v>
      </c>
      <c r="H46">
        <v>0.86158029999999997</v>
      </c>
      <c r="I46">
        <v>367.17750000000001</v>
      </c>
      <c r="J46">
        <v>-474.10840000000002</v>
      </c>
      <c r="K46">
        <v>1.108555</v>
      </c>
      <c r="L46">
        <v>367.20909999999998</v>
      </c>
      <c r="M46">
        <v>0.99999090000000002</v>
      </c>
      <c r="N46">
        <v>2.697989E-3</v>
      </c>
      <c r="O46">
        <v>-3.3344809999999998E-3</v>
      </c>
      <c r="P46">
        <v>0.97423389999999999</v>
      </c>
      <c r="Q46">
        <v>0.22017220000000001</v>
      </c>
      <c r="R46">
        <v>4.8916969999999997E-2</v>
      </c>
      <c r="S46">
        <v>3.3377690000000002</v>
      </c>
      <c r="T46">
        <v>-1.111229</v>
      </c>
      <c r="U46">
        <v>-0.1427002</v>
      </c>
      <c r="V46">
        <v>-5.2134699999999999E-2</v>
      </c>
      <c r="W46">
        <v>0.21755070000000001</v>
      </c>
      <c r="X46">
        <v>0.97465570000000001</v>
      </c>
      <c r="Y46">
        <v>3.7559139999999998E-2</v>
      </c>
      <c r="Z46">
        <v>-4.944118E-3</v>
      </c>
      <c r="AA46">
        <v>0.99928220000000001</v>
      </c>
      <c r="AB46">
        <v>11</v>
      </c>
      <c r="AC46">
        <v>0.61700000000001798</v>
      </c>
      <c r="AD46">
        <v>-0.24697469999999999</v>
      </c>
      <c r="AE46">
        <v>-3.1599999999968903E-2</v>
      </c>
      <c r="AF46">
        <v>2.5471851506636299E-2</v>
      </c>
      <c r="AG46">
        <v>-0.24697469999999999</v>
      </c>
      <c r="AH46">
        <v>0.53207276624178601</v>
      </c>
      <c r="AI46">
        <v>114.87449897666001</v>
      </c>
      <c r="AJ46">
        <v>87.2591790105716</v>
      </c>
      <c r="AK46">
        <v>0.58715138272463596</v>
      </c>
      <c r="AL46">
        <v>77.434786000308904</v>
      </c>
      <c r="AM46">
        <v>93.061854808404803</v>
      </c>
      <c r="AN46">
        <v>1.00000003377853</v>
      </c>
    </row>
    <row r="47" spans="1:40" x14ac:dyDescent="0.25">
      <c r="A47" t="str">
        <f>"20190304164554841"</f>
        <v>20190304164554841</v>
      </c>
      <c r="B47" t="str">
        <f>"1551689154827409"</f>
        <v>1551689154827409</v>
      </c>
      <c r="C47" t="s">
        <v>40</v>
      </c>
      <c r="D47">
        <v>5.3448900000000004</v>
      </c>
      <c r="E47">
        <v>0.561083199999999</v>
      </c>
      <c r="F47" t="s">
        <v>41</v>
      </c>
      <c r="G47">
        <v>-473.38490000000002</v>
      </c>
      <c r="H47">
        <v>0.86830750000000001</v>
      </c>
      <c r="I47">
        <v>367.17720000000003</v>
      </c>
      <c r="J47">
        <v>-474.00240000000002</v>
      </c>
      <c r="K47">
        <v>1.108538</v>
      </c>
      <c r="L47">
        <v>367.20859999999999</v>
      </c>
      <c r="M47">
        <v>0.99999059999999995</v>
      </c>
      <c r="N47">
        <v>2.6425229999999999E-3</v>
      </c>
      <c r="O47">
        <v>-3.4583779999999998E-3</v>
      </c>
      <c r="P47">
        <v>0.97428130000000002</v>
      </c>
      <c r="Q47">
        <v>0.2199564</v>
      </c>
      <c r="R47">
        <v>4.8942390000000002E-2</v>
      </c>
      <c r="S47">
        <v>3.337189</v>
      </c>
      <c r="T47">
        <v>-1.1081259999999999</v>
      </c>
      <c r="U47">
        <v>-0.14694209999999999</v>
      </c>
      <c r="V47">
        <v>-5.2278829999999998E-2</v>
      </c>
      <c r="W47">
        <v>0.21738969999999999</v>
      </c>
      <c r="X47">
        <v>0.97468390000000005</v>
      </c>
      <c r="Y47">
        <v>3.8667460000000001E-2</v>
      </c>
      <c r="Z47">
        <v>-5.0700550000000004E-3</v>
      </c>
      <c r="AA47">
        <v>0.99923930000000005</v>
      </c>
      <c r="AB47">
        <v>11</v>
      </c>
      <c r="AC47">
        <v>0.61750000000000604</v>
      </c>
      <c r="AD47">
        <v>-0.24023049999999899</v>
      </c>
      <c r="AE47">
        <v>-3.1399999999962298E-2</v>
      </c>
      <c r="AF47">
        <v>2.5425962448406999E-2</v>
      </c>
      <c r="AG47">
        <v>-0.24023049999999899</v>
      </c>
      <c r="AH47">
        <v>0.53659996489074802</v>
      </c>
      <c r="AI47">
        <v>114.093638806386</v>
      </c>
      <c r="AJ47">
        <v>87.287156849832797</v>
      </c>
      <c r="AK47">
        <v>0.58846979108313602</v>
      </c>
      <c r="AL47">
        <v>77.444236775722899</v>
      </c>
      <c r="AM47">
        <v>93.070214684231402</v>
      </c>
      <c r="AN47">
        <v>1.00000003132573</v>
      </c>
    </row>
    <row r="48" spans="1:40" x14ac:dyDescent="0.25">
      <c r="A48" t="str">
        <f>"20190304164554863"</f>
        <v>20190304164554863</v>
      </c>
      <c r="B48" t="str">
        <f>"1551689154857665"</f>
        <v>1551689154857665</v>
      </c>
      <c r="C48" t="s">
        <v>40</v>
      </c>
      <c r="D48">
        <v>5.3532859999999998</v>
      </c>
      <c r="E48">
        <v>0.56136919999999901</v>
      </c>
      <c r="F48" t="s">
        <v>41</v>
      </c>
      <c r="G48">
        <v>-473.27890000000002</v>
      </c>
      <c r="H48">
        <v>0.86855919999999898</v>
      </c>
      <c r="I48">
        <v>367.17610000000002</v>
      </c>
      <c r="J48">
        <v>-473.87779999999998</v>
      </c>
      <c r="K48">
        <v>1.108525</v>
      </c>
      <c r="L48">
        <v>367.2081</v>
      </c>
      <c r="M48">
        <v>0.99999020000000005</v>
      </c>
      <c r="N48">
        <v>2.6035089999999999E-3</v>
      </c>
      <c r="O48">
        <v>-3.6042309999999998E-3</v>
      </c>
      <c r="P48">
        <v>0.97428780000000004</v>
      </c>
      <c r="Q48">
        <v>0.21990419999999999</v>
      </c>
      <c r="R48">
        <v>4.9049219999999998E-2</v>
      </c>
      <c r="S48">
        <v>3.3364259999999999</v>
      </c>
      <c r="T48">
        <v>-1.1065100000000001</v>
      </c>
      <c r="U48">
        <v>-0.14758299999999999</v>
      </c>
      <c r="V48">
        <v>-5.2526259999999998E-2</v>
      </c>
      <c r="W48">
        <v>0.21737570000000001</v>
      </c>
      <c r="X48">
        <v>0.97467369999999998</v>
      </c>
      <c r="Y48">
        <v>3.8732040000000002E-2</v>
      </c>
      <c r="Z48">
        <v>-5.027831E-3</v>
      </c>
      <c r="AA48">
        <v>0.99923700000000004</v>
      </c>
      <c r="AB48">
        <v>12</v>
      </c>
      <c r="AC48">
        <v>0.59889999999995702</v>
      </c>
      <c r="AD48">
        <v>-0.23996580000000001</v>
      </c>
      <c r="AE48">
        <v>-3.1999999999982202E-2</v>
      </c>
      <c r="AF48">
        <v>2.5723286172890599E-2</v>
      </c>
      <c r="AG48">
        <v>-0.23996580000000001</v>
      </c>
      <c r="AH48">
        <v>0.516351122711036</v>
      </c>
      <c r="AI48">
        <v>114.89875578757599</v>
      </c>
      <c r="AJ48">
        <v>87.148029244261707</v>
      </c>
      <c r="AK48">
        <v>0.56996820485542798</v>
      </c>
      <c r="AL48">
        <v>77.445058324627098</v>
      </c>
      <c r="AM48">
        <v>93.084749897449797</v>
      </c>
      <c r="AN48">
        <v>1.0000000122058801</v>
      </c>
    </row>
    <row r="49" spans="1:40" x14ac:dyDescent="0.25">
      <c r="A49" t="str">
        <f>"20190304164554885"</f>
        <v>20190304164554885</v>
      </c>
      <c r="B49" t="str">
        <f>"1551689154878161"</f>
        <v>1551689154878161</v>
      </c>
      <c r="C49" t="s">
        <v>40</v>
      </c>
      <c r="D49">
        <v>5.3549740000000003</v>
      </c>
      <c r="E49">
        <v>0.561419</v>
      </c>
      <c r="F49" t="s">
        <v>41</v>
      </c>
      <c r="G49">
        <v>-473.16860000000003</v>
      </c>
      <c r="H49">
        <v>0.87392639999999999</v>
      </c>
      <c r="I49">
        <v>367.17579999999998</v>
      </c>
      <c r="J49">
        <v>-473.75200000000001</v>
      </c>
      <c r="K49">
        <v>1.1084989999999999</v>
      </c>
      <c r="L49">
        <v>367.20749999999998</v>
      </c>
      <c r="M49">
        <v>0.99998969999999998</v>
      </c>
      <c r="N49">
        <v>2.5875680000000002E-3</v>
      </c>
      <c r="O49">
        <v>-3.7505920000000001E-3</v>
      </c>
      <c r="P49">
        <v>0.9742246</v>
      </c>
      <c r="Q49">
        <v>0.2201195</v>
      </c>
      <c r="R49">
        <v>4.9335270000000001E-2</v>
      </c>
      <c r="S49">
        <v>3.3358150000000002</v>
      </c>
      <c r="T49">
        <v>-1.103445</v>
      </c>
      <c r="U49">
        <v>-0.1505127</v>
      </c>
      <c r="V49">
        <v>-5.2952880000000001E-2</v>
      </c>
      <c r="W49">
        <v>0.21760750000000001</v>
      </c>
      <c r="X49">
        <v>0.97459890000000005</v>
      </c>
      <c r="Y49">
        <v>3.9449159999999997E-2</v>
      </c>
      <c r="Z49">
        <v>-5.0826339999999999E-3</v>
      </c>
      <c r="AA49">
        <v>0.9992086</v>
      </c>
      <c r="AB49">
        <v>12</v>
      </c>
      <c r="AC49">
        <v>0.58339999999992598</v>
      </c>
      <c r="AD49">
        <v>-0.23457259999999899</v>
      </c>
      <c r="AE49">
        <v>-3.17000000000007E-2</v>
      </c>
      <c r="AF49">
        <v>2.5414999882104501E-2</v>
      </c>
      <c r="AG49">
        <v>-0.23457259999999899</v>
      </c>
      <c r="AH49">
        <v>0.50251395700152801</v>
      </c>
      <c r="AI49">
        <v>114.995041848993</v>
      </c>
      <c r="AJ49">
        <v>87.104692259406306</v>
      </c>
      <c r="AK49">
        <v>0.55514908256350404</v>
      </c>
      <c r="AL49">
        <v>77.431451591255893</v>
      </c>
      <c r="AM49">
        <v>93.109993563078703</v>
      </c>
      <c r="AN49">
        <v>1.00000002371887</v>
      </c>
    </row>
    <row r="50" spans="1:40" x14ac:dyDescent="0.25">
      <c r="A50" t="str">
        <f>"20190304164554907"</f>
        <v>20190304164554907</v>
      </c>
      <c r="B50" t="str">
        <f>"1551689154897681"</f>
        <v>1551689154897681</v>
      </c>
      <c r="C50" t="s">
        <v>40</v>
      </c>
      <c r="D50">
        <v>5.3646379999999896</v>
      </c>
      <c r="E50">
        <v>0.56146660000000004</v>
      </c>
      <c r="F50" t="s">
        <v>41</v>
      </c>
      <c r="G50">
        <v>-473.0564</v>
      </c>
      <c r="H50">
        <v>0.87872510000000004</v>
      </c>
      <c r="I50">
        <v>367.17540000000002</v>
      </c>
      <c r="J50">
        <v>-473.63720000000001</v>
      </c>
      <c r="K50">
        <v>1.108479</v>
      </c>
      <c r="L50">
        <v>367.20690000000002</v>
      </c>
      <c r="M50">
        <v>0.99998929999999997</v>
      </c>
      <c r="N50">
        <v>2.5898240000000001E-3</v>
      </c>
      <c r="O50">
        <v>-3.8831489999999998E-3</v>
      </c>
      <c r="P50">
        <v>0.97416780000000003</v>
      </c>
      <c r="Q50">
        <v>0.22038350000000001</v>
      </c>
      <c r="R50">
        <v>4.9283390000000003E-2</v>
      </c>
      <c r="S50">
        <v>3.3360599999999998</v>
      </c>
      <c r="T50">
        <v>-1.1018829999999999</v>
      </c>
      <c r="U50">
        <v>-0.15240479999999901</v>
      </c>
      <c r="V50">
        <v>-5.302871E-2</v>
      </c>
      <c r="W50">
        <v>0.21786949999999999</v>
      </c>
      <c r="X50">
        <v>0.97453619999999996</v>
      </c>
      <c r="Y50">
        <v>3.9869549999999997E-2</v>
      </c>
      <c r="Z50">
        <v>-5.0993289999999997E-3</v>
      </c>
      <c r="AA50">
        <v>0.99919190000000002</v>
      </c>
      <c r="AB50">
        <v>12</v>
      </c>
      <c r="AC50">
        <v>0.58080000000000997</v>
      </c>
      <c r="AD50">
        <v>-0.22975390000000001</v>
      </c>
      <c r="AE50">
        <v>-3.1499999999993998E-2</v>
      </c>
      <c r="AF50">
        <v>2.52973743537926E-2</v>
      </c>
      <c r="AG50">
        <v>-0.22975390000000001</v>
      </c>
      <c r="AH50">
        <v>0.50251286870435097</v>
      </c>
      <c r="AI50">
        <v>114.542943375199</v>
      </c>
      <c r="AJ50">
        <v>87.118063429538793</v>
      </c>
      <c r="AK50">
        <v>0.55312385134604602</v>
      </c>
      <c r="AL50">
        <v>77.416070568257695</v>
      </c>
      <c r="AM50">
        <v>93.114638382412593</v>
      </c>
      <c r="AN50">
        <v>0.99999998411247604</v>
      </c>
    </row>
    <row r="51" spans="1:40" x14ac:dyDescent="0.25">
      <c r="A51" t="str">
        <f>"20190304164554929"</f>
        <v>20190304164554929</v>
      </c>
      <c r="B51" t="str">
        <f>"1551689154918177"</f>
        <v>1551689154918177</v>
      </c>
      <c r="C51" t="s">
        <v>40</v>
      </c>
      <c r="D51">
        <v>5.3649940000000003</v>
      </c>
      <c r="E51">
        <v>0.56150500000000003</v>
      </c>
      <c r="F51" t="s">
        <v>41</v>
      </c>
      <c r="G51">
        <v>-472.94349999999997</v>
      </c>
      <c r="H51">
        <v>0.87962149999999995</v>
      </c>
      <c r="I51">
        <v>367.1748</v>
      </c>
      <c r="J51">
        <v>-473.51100000000002</v>
      </c>
      <c r="K51">
        <v>1.108463</v>
      </c>
      <c r="L51">
        <v>367.20620000000002</v>
      </c>
      <c r="M51">
        <v>0.99998849999999995</v>
      </c>
      <c r="N51">
        <v>2.6064780000000002E-3</v>
      </c>
      <c r="O51">
        <v>-4.0277639999999997E-3</v>
      </c>
      <c r="P51">
        <v>0.97411179999999997</v>
      </c>
      <c r="Q51">
        <v>0.2205753</v>
      </c>
      <c r="R51">
        <v>4.9526559999999997E-2</v>
      </c>
      <c r="S51">
        <v>3.3363339999999901</v>
      </c>
      <c r="T51">
        <v>-1.1007400000000001</v>
      </c>
      <c r="U51">
        <v>-0.1539307</v>
      </c>
      <c r="V51">
        <v>-5.3411319999999998E-2</v>
      </c>
      <c r="W51">
        <v>0.21804589999999999</v>
      </c>
      <c r="X51">
        <v>0.97447589999999995</v>
      </c>
      <c r="Y51">
        <v>4.0173470000000003E-2</v>
      </c>
      <c r="Z51">
        <v>-5.094978E-3</v>
      </c>
      <c r="AA51">
        <v>0.9991797</v>
      </c>
      <c r="AB51">
        <v>12</v>
      </c>
      <c r="AC51">
        <v>0.56749999999999501</v>
      </c>
      <c r="AD51">
        <v>-0.228841499999999</v>
      </c>
      <c r="AE51">
        <v>-3.14000000000191E-2</v>
      </c>
      <c r="AF51">
        <v>2.5052685951842301E-2</v>
      </c>
      <c r="AG51">
        <v>-0.228841499999999</v>
      </c>
      <c r="AH51">
        <v>0.48844066312387202</v>
      </c>
      <c r="AI51">
        <v>115.074863895565</v>
      </c>
      <c r="AJ51">
        <v>87.063806294972196</v>
      </c>
      <c r="AK51">
        <v>0.53997254614335699</v>
      </c>
      <c r="AL51">
        <v>77.405715225514399</v>
      </c>
      <c r="AM51">
        <v>93.137259966950694</v>
      </c>
      <c r="AN51">
        <v>1.0000000316458799</v>
      </c>
    </row>
    <row r="52" spans="1:40" x14ac:dyDescent="0.25">
      <c r="A52" t="str">
        <f>"20190304164554951"</f>
        <v>20190304164554951</v>
      </c>
      <c r="B52" t="str">
        <f>"1551689154947457"</f>
        <v>1551689154947457</v>
      </c>
      <c r="C52" t="s">
        <v>40</v>
      </c>
      <c r="D52">
        <v>5.5038619999999998</v>
      </c>
      <c r="E52">
        <v>0.56153339999999996</v>
      </c>
      <c r="F52" t="s">
        <v>41</v>
      </c>
      <c r="G52">
        <v>-472.82749999999999</v>
      </c>
      <c r="H52">
        <v>0.88315219999999905</v>
      </c>
      <c r="I52">
        <v>367.17430000000002</v>
      </c>
      <c r="J52">
        <v>-473.38299999999998</v>
      </c>
      <c r="K52">
        <v>1.1084430000000001</v>
      </c>
      <c r="L52">
        <v>367.20549999999997</v>
      </c>
      <c r="M52">
        <v>0.99998779999999998</v>
      </c>
      <c r="N52">
        <v>2.6349630000000001E-3</v>
      </c>
      <c r="O52">
        <v>-4.1732289999999997E-3</v>
      </c>
      <c r="P52">
        <v>0.97404939999999995</v>
      </c>
      <c r="Q52">
        <v>0.22070590000000001</v>
      </c>
      <c r="R52">
        <v>5.016665E-2</v>
      </c>
      <c r="S52">
        <v>3.3365779999999998</v>
      </c>
      <c r="T52">
        <v>-1.0995200000000001</v>
      </c>
      <c r="U52">
        <v>-0.15429689999999999</v>
      </c>
      <c r="V52">
        <v>-5.4192520000000001E-2</v>
      </c>
      <c r="W52">
        <v>0.21814919999999999</v>
      </c>
      <c r="X52">
        <v>0.97440959999999999</v>
      </c>
      <c r="Y52">
        <v>4.0147969999999998E-2</v>
      </c>
      <c r="Z52">
        <v>-5.0373750000000002E-3</v>
      </c>
      <c r="AA52">
        <v>0.99918099999999999</v>
      </c>
      <c r="AB52">
        <v>13</v>
      </c>
      <c r="AC52">
        <v>0.55550000000005095</v>
      </c>
      <c r="AD52">
        <v>-0.22529080000000001</v>
      </c>
      <c r="AE52">
        <v>-3.1199999999955701E-2</v>
      </c>
      <c r="AF52">
        <v>2.4813025826705599E-2</v>
      </c>
      <c r="AG52">
        <v>-0.22529080000000001</v>
      </c>
      <c r="AH52">
        <v>0.47735576956565201</v>
      </c>
      <c r="AI52">
        <v>115.235413310288</v>
      </c>
      <c r="AJ52">
        <v>87.024434629088702</v>
      </c>
      <c r="AK52">
        <v>0.52843179460828504</v>
      </c>
      <c r="AL52">
        <v>77.399649987880295</v>
      </c>
      <c r="AM52">
        <v>93.183268342362396</v>
      </c>
      <c r="AN52">
        <v>0.999999985628375</v>
      </c>
    </row>
    <row r="53" spans="1:40" x14ac:dyDescent="0.25">
      <c r="A53" t="str">
        <f>"20190304164554974"</f>
        <v>20190304164554974</v>
      </c>
      <c r="B53" t="str">
        <f>"1551689154967953"</f>
        <v>1551689154967953</v>
      </c>
      <c r="C53" t="s">
        <v>40</v>
      </c>
      <c r="D53">
        <v>5.3498519999999896</v>
      </c>
      <c r="E53">
        <v>0.56160869999999996</v>
      </c>
      <c r="F53" t="s">
        <v>41</v>
      </c>
      <c r="G53">
        <v>-472.70920000000001</v>
      </c>
      <c r="H53">
        <v>0.88647710000000002</v>
      </c>
      <c r="I53">
        <v>367.17439999999999</v>
      </c>
      <c r="J53">
        <v>-473.24579999999997</v>
      </c>
      <c r="K53">
        <v>1.1084229999999999</v>
      </c>
      <c r="L53">
        <v>367.20479999999998</v>
      </c>
      <c r="M53">
        <v>0.99998710000000002</v>
      </c>
      <c r="N53">
        <v>2.6748150000000001E-3</v>
      </c>
      <c r="O53">
        <v>-4.328246E-3</v>
      </c>
      <c r="P53">
        <v>0.97403620000000002</v>
      </c>
      <c r="Q53">
        <v>0.2205462</v>
      </c>
      <c r="R53">
        <v>5.1118400000000001E-2</v>
      </c>
      <c r="S53">
        <v>3.3368229999999999</v>
      </c>
      <c r="T53">
        <v>-1.0990949999999999</v>
      </c>
      <c r="U53">
        <v>-0.15301509999999999</v>
      </c>
      <c r="V53">
        <v>-5.5294309999999999E-2</v>
      </c>
      <c r="W53">
        <v>0.21795049999999999</v>
      </c>
      <c r="X53">
        <v>0.97439219999999904</v>
      </c>
      <c r="Y53">
        <v>3.9643379999999999E-2</v>
      </c>
      <c r="Z53">
        <v>-4.903854E-3</v>
      </c>
      <c r="AA53">
        <v>0.99920180000000003</v>
      </c>
      <c r="AB53">
        <v>13</v>
      </c>
      <c r="AC53">
        <v>0.53659999999996399</v>
      </c>
      <c r="AD53">
        <v>-0.221945899999999</v>
      </c>
      <c r="AE53">
        <v>-3.03999999999859E-2</v>
      </c>
      <c r="AF53">
        <v>2.3986711906067899E-2</v>
      </c>
      <c r="AG53">
        <v>-0.221945899999999</v>
      </c>
      <c r="AH53">
        <v>0.45853286094495999</v>
      </c>
      <c r="AI53">
        <v>115.797912994225</v>
      </c>
      <c r="AJ53">
        <v>87.005480111447596</v>
      </c>
      <c r="AK53">
        <v>0.50998796989855</v>
      </c>
      <c r="AL53">
        <v>77.411315799396803</v>
      </c>
      <c r="AM53">
        <v>93.247908179767407</v>
      </c>
      <c r="AN53">
        <v>1.0000000202947299</v>
      </c>
    </row>
    <row r="54" spans="1:40" x14ac:dyDescent="0.25">
      <c r="A54" t="str">
        <f>"20190304164555007"</f>
        <v>20190304164555007</v>
      </c>
      <c r="B54" t="str">
        <f>"1551689154998209"</f>
        <v>1551689154998209</v>
      </c>
      <c r="C54" t="s">
        <v>40</v>
      </c>
      <c r="D54">
        <v>5.5250250000000003</v>
      </c>
      <c r="E54">
        <v>0.56173719999999905</v>
      </c>
      <c r="F54" t="s">
        <v>41</v>
      </c>
      <c r="G54">
        <v>-472.48099999999999</v>
      </c>
      <c r="H54">
        <v>0.85651109999999897</v>
      </c>
      <c r="I54">
        <v>367.16989999999998</v>
      </c>
      <c r="J54">
        <v>-473.0401</v>
      </c>
      <c r="K54">
        <v>1.108395</v>
      </c>
      <c r="L54">
        <v>367.20359999999999</v>
      </c>
      <c r="M54">
        <v>0.99998589999999998</v>
      </c>
      <c r="N54">
        <v>2.7473210000000001E-3</v>
      </c>
      <c r="O54">
        <v>-4.5595979999999998E-3</v>
      </c>
      <c r="P54">
        <v>0.97399190000000002</v>
      </c>
      <c r="Q54">
        <v>0.220528</v>
      </c>
      <c r="R54">
        <v>5.203203E-2</v>
      </c>
      <c r="S54">
        <v>3.3367309999999999</v>
      </c>
      <c r="T54">
        <v>-1.0988659999999999</v>
      </c>
      <c r="U54">
        <v>-0.1512146</v>
      </c>
      <c r="V54">
        <v>-5.6431889999999998E-2</v>
      </c>
      <c r="W54">
        <v>0.21786259999999999</v>
      </c>
      <c r="X54">
        <v>0.97434659999999995</v>
      </c>
      <c r="Y54">
        <v>3.8926460000000003E-2</v>
      </c>
      <c r="Z54">
        <v>-4.7125240000000001E-3</v>
      </c>
      <c r="AA54">
        <v>0.99923099999999998</v>
      </c>
      <c r="AB54">
        <v>13</v>
      </c>
      <c r="AC54">
        <v>0.55910000000000004</v>
      </c>
      <c r="AD54">
        <v>-0.25188389999999999</v>
      </c>
      <c r="AE54">
        <v>-3.3700000000010201E-2</v>
      </c>
      <c r="AF54">
        <v>2.5910477827728901E-2</v>
      </c>
      <c r="AG54">
        <v>-0.25188389999999999</v>
      </c>
      <c r="AH54">
        <v>0.46517519403333901</v>
      </c>
      <c r="AI54">
        <v>118.39759606347801</v>
      </c>
      <c r="AJ54">
        <v>86.811892399216106</v>
      </c>
      <c r="AK54">
        <v>0.52962705093719098</v>
      </c>
      <c r="AL54">
        <v>77.416475635615299</v>
      </c>
      <c r="AM54">
        <v>93.314735283911105</v>
      </c>
      <c r="AN54">
        <v>0.99999998380964505</v>
      </c>
    </row>
    <row r="55" spans="1:40" x14ac:dyDescent="0.25">
      <c r="A55" t="str">
        <f>"20190304164555029"</f>
        <v>20190304164555029</v>
      </c>
      <c r="B55" t="str">
        <f>"1551689155017729"</f>
        <v>1551689155017729</v>
      </c>
      <c r="C55" t="s">
        <v>40</v>
      </c>
      <c r="D55">
        <v>5.328945</v>
      </c>
      <c r="E55">
        <v>0.56176289999999995</v>
      </c>
      <c r="F55" t="s">
        <v>41</v>
      </c>
      <c r="G55">
        <v>-472.34769999999997</v>
      </c>
      <c r="H55">
        <v>0.88070119999999896</v>
      </c>
      <c r="I55">
        <v>367.1721</v>
      </c>
      <c r="J55">
        <v>-472.90559999999999</v>
      </c>
      <c r="K55">
        <v>1.1083889999999901</v>
      </c>
      <c r="L55">
        <v>367.20280000000002</v>
      </c>
      <c r="M55">
        <v>0.99998500000000001</v>
      </c>
      <c r="N55">
        <v>2.7988739999999998E-3</v>
      </c>
      <c r="O55">
        <v>-4.7105810000000001E-3</v>
      </c>
      <c r="P55">
        <v>0.97383390000000003</v>
      </c>
      <c r="Q55">
        <v>0.22109999999999999</v>
      </c>
      <c r="R55">
        <v>5.2560089999999997E-2</v>
      </c>
      <c r="S55">
        <v>3.336487</v>
      </c>
      <c r="T55">
        <v>-1.097172</v>
      </c>
      <c r="U55">
        <v>-0.14889530000000001</v>
      </c>
      <c r="V55">
        <v>-5.7105690000000001E-2</v>
      </c>
      <c r="W55">
        <v>0.2183851</v>
      </c>
      <c r="X55">
        <v>0.97419040000000001</v>
      </c>
      <c r="Y55">
        <v>3.8140220000000002E-2</v>
      </c>
      <c r="Z55">
        <v>-4.5311400000000003E-3</v>
      </c>
      <c r="AA55">
        <v>0.99926210000000004</v>
      </c>
      <c r="AB55">
        <v>14</v>
      </c>
      <c r="AC55">
        <v>0.55790000000001705</v>
      </c>
      <c r="AD55">
        <v>-0.227687799999999</v>
      </c>
      <c r="AE55">
        <v>-3.0700000000024302E-2</v>
      </c>
      <c r="AF55">
        <v>2.40739928886545E-2</v>
      </c>
      <c r="AG55">
        <v>-0.227687799999999</v>
      </c>
      <c r="AH55">
        <v>0.47856928137653798</v>
      </c>
      <c r="AI55">
        <v>115.41551807951799</v>
      </c>
      <c r="AJ55">
        <v>87.120215331427403</v>
      </c>
      <c r="AK55">
        <v>0.53051847138407804</v>
      </c>
      <c r="AL55">
        <v>77.3858004631862</v>
      </c>
      <c r="AM55">
        <v>93.354760160477994</v>
      </c>
      <c r="AN55">
        <v>1.0000000235922699</v>
      </c>
    </row>
    <row r="56" spans="1:40" x14ac:dyDescent="0.25">
      <c r="A56" t="str">
        <f>"20190304164555053"</f>
        <v>20190304164555053</v>
      </c>
      <c r="B56" t="str">
        <f>"1551689155047985"</f>
        <v>1551689155047985</v>
      </c>
      <c r="C56" t="s">
        <v>40</v>
      </c>
      <c r="D56">
        <v>5.3287329999999997</v>
      </c>
      <c r="E56">
        <v>0.5617856</v>
      </c>
      <c r="F56" t="s">
        <v>41</v>
      </c>
      <c r="G56">
        <v>-472.22070000000002</v>
      </c>
      <c r="H56">
        <v>0.88358150000000002</v>
      </c>
      <c r="I56">
        <v>367.17230000000001</v>
      </c>
      <c r="J56">
        <v>-472.7561</v>
      </c>
      <c r="K56">
        <v>1.108379</v>
      </c>
      <c r="L56">
        <v>367.20190000000002</v>
      </c>
      <c r="M56">
        <v>0.99998399999999998</v>
      </c>
      <c r="N56">
        <v>2.8582220000000001E-3</v>
      </c>
      <c r="O56">
        <v>-4.8769520000000004E-3</v>
      </c>
      <c r="P56">
        <v>0.97366940000000002</v>
      </c>
      <c r="Q56">
        <v>0.22174050000000001</v>
      </c>
      <c r="R56">
        <v>5.2905050000000002E-2</v>
      </c>
      <c r="S56">
        <v>3.3372799999999998</v>
      </c>
      <c r="T56">
        <v>-1.095332</v>
      </c>
      <c r="U56">
        <v>-0.1478882</v>
      </c>
      <c r="V56">
        <v>-5.7611280000000001E-2</v>
      </c>
      <c r="W56">
        <v>0.2189682</v>
      </c>
      <c r="X56">
        <v>0.9740297</v>
      </c>
      <c r="Y56">
        <v>3.7701070000000003E-2</v>
      </c>
      <c r="Z56">
        <v>-4.3981810000000001E-3</v>
      </c>
      <c r="AA56">
        <v>0.99927940000000004</v>
      </c>
      <c r="AB56">
        <v>14</v>
      </c>
      <c r="AC56">
        <v>0.535399999999981</v>
      </c>
      <c r="AD56">
        <v>-0.22479750000000001</v>
      </c>
      <c r="AE56">
        <v>-2.96000000000162E-2</v>
      </c>
      <c r="AF56">
        <v>2.2954255769772499E-2</v>
      </c>
      <c r="AG56">
        <v>-0.22479750000000001</v>
      </c>
      <c r="AH56">
        <v>0.45548541817907101</v>
      </c>
      <c r="AI56">
        <v>116.23907480686999</v>
      </c>
      <c r="AJ56">
        <v>87.115011278150007</v>
      </c>
      <c r="AK56">
        <v>0.50845627151010497</v>
      </c>
      <c r="AL56">
        <v>77.3515622733958</v>
      </c>
      <c r="AM56">
        <v>93.3849501463813</v>
      </c>
      <c r="AN56">
        <v>0.99999999433828402</v>
      </c>
    </row>
    <row r="57" spans="1:40" x14ac:dyDescent="0.25">
      <c r="A57" t="str">
        <f>"20190304164555077"</f>
        <v>20190304164555077</v>
      </c>
      <c r="B57" t="str">
        <f>"1551689155067506"</f>
        <v>1551689155067506</v>
      </c>
      <c r="C57" t="s">
        <v>40</v>
      </c>
      <c r="D57">
        <v>5.3060689999999999</v>
      </c>
      <c r="E57">
        <v>0.56191840000000004</v>
      </c>
      <c r="F57" t="s">
        <v>41</v>
      </c>
      <c r="G57">
        <v>-472.0899</v>
      </c>
      <c r="H57">
        <v>0.89019910000000002</v>
      </c>
      <c r="I57">
        <v>367.17250000000001</v>
      </c>
      <c r="J57">
        <v>-472.60300000000001</v>
      </c>
      <c r="K57">
        <v>1.108366</v>
      </c>
      <c r="L57">
        <v>367.20100000000002</v>
      </c>
      <c r="M57">
        <v>0.99998319999999996</v>
      </c>
      <c r="N57">
        <v>2.9193439999999999E-3</v>
      </c>
      <c r="O57">
        <v>-5.0449989999999997E-3</v>
      </c>
      <c r="P57">
        <v>0.97357020000000005</v>
      </c>
      <c r="Q57">
        <v>0.2223908</v>
      </c>
      <c r="R57">
        <v>5.1998580000000003E-2</v>
      </c>
      <c r="S57">
        <v>3.3380429999999999</v>
      </c>
      <c r="T57">
        <v>-1.0931709999999999</v>
      </c>
      <c r="U57">
        <v>-0.14599609999999999</v>
      </c>
      <c r="V57">
        <v>-5.6867819999999999E-2</v>
      </c>
      <c r="W57">
        <v>0.21955949999999999</v>
      </c>
      <c r="X57">
        <v>0.97394029999999998</v>
      </c>
      <c r="Y57">
        <v>3.7010090000000002E-2</v>
      </c>
      <c r="Z57">
        <v>-4.2241589999999999E-3</v>
      </c>
      <c r="AA57">
        <v>0.99930600000000003</v>
      </c>
      <c r="AB57">
        <v>14</v>
      </c>
      <c r="AC57">
        <v>0.51310000000000799</v>
      </c>
      <c r="AD57">
        <v>-0.218166899999999</v>
      </c>
      <c r="AE57">
        <v>-2.84999999999513E-2</v>
      </c>
      <c r="AF57">
        <v>2.19541595983925E-2</v>
      </c>
      <c r="AG57">
        <v>-0.218166899999999</v>
      </c>
      <c r="AH57">
        <v>0.43486072110422203</v>
      </c>
      <c r="AI57">
        <v>116.613415938646</v>
      </c>
      <c r="AJ57">
        <v>87.109847892012496</v>
      </c>
      <c r="AK57">
        <v>0.48701399172771698</v>
      </c>
      <c r="AL57">
        <v>77.316838563495395</v>
      </c>
      <c r="AM57">
        <v>93.341673796100807</v>
      </c>
      <c r="AN57">
        <v>1.00000001547794</v>
      </c>
    </row>
    <row r="58" spans="1:40" x14ac:dyDescent="0.25">
      <c r="A58" t="str">
        <f>"20190304164555097"</f>
        <v>20190304164555097</v>
      </c>
      <c r="B58" t="str">
        <f>"1551689155088001"</f>
        <v>1551689155088001</v>
      </c>
      <c r="C58" t="s">
        <v>40</v>
      </c>
      <c r="D58">
        <v>5.3179889999999999</v>
      </c>
      <c r="E58">
        <v>0.56211529999999998</v>
      </c>
      <c r="F58" t="s">
        <v>41</v>
      </c>
      <c r="G58">
        <v>-471.83960000000002</v>
      </c>
      <c r="H58">
        <v>0.85966939999999903</v>
      </c>
      <c r="I58">
        <v>367.16680000000002</v>
      </c>
      <c r="J58">
        <v>-472.4624</v>
      </c>
      <c r="K58">
        <v>1.108358</v>
      </c>
      <c r="L58">
        <v>367.20010000000002</v>
      </c>
      <c r="M58">
        <v>0.99998220000000004</v>
      </c>
      <c r="N58">
        <v>2.9743209999999998E-3</v>
      </c>
      <c r="O58">
        <v>-5.1946809999999996E-3</v>
      </c>
      <c r="P58">
        <v>0.97339419999999999</v>
      </c>
      <c r="Q58">
        <v>0.223248</v>
      </c>
      <c r="R58">
        <v>5.1615510000000003E-2</v>
      </c>
      <c r="S58">
        <v>3.3377080000000001</v>
      </c>
      <c r="T58">
        <v>-1.0871569999999999</v>
      </c>
      <c r="U58">
        <v>-0.14877319999999999</v>
      </c>
      <c r="V58">
        <v>-5.6629279999999997E-2</v>
      </c>
      <c r="W58">
        <v>0.22036330000000001</v>
      </c>
      <c r="X58">
        <v>0.97377259999999999</v>
      </c>
      <c r="Y58">
        <v>3.7685950000000003E-2</v>
      </c>
      <c r="Z58">
        <v>-4.2590140000000002E-3</v>
      </c>
      <c r="AA58">
        <v>0.99928059999999996</v>
      </c>
      <c r="AB58">
        <v>15</v>
      </c>
      <c r="AC58">
        <v>0.62279999999998303</v>
      </c>
      <c r="AD58">
        <v>-0.24868860000000001</v>
      </c>
      <c r="AE58">
        <v>-3.3299999999996999E-2</v>
      </c>
      <c r="AF58">
        <v>2.59400362807789E-2</v>
      </c>
      <c r="AG58">
        <v>-0.24868860000000001</v>
      </c>
      <c r="AH58">
        <v>0.53750559625138195</v>
      </c>
      <c r="AI58">
        <v>114.803254420101</v>
      </c>
      <c r="AJ58">
        <v>87.2370476227876</v>
      </c>
      <c r="AK58">
        <v>0.59281630481436798</v>
      </c>
      <c r="AL58">
        <v>77.269627344762895</v>
      </c>
      <c r="AM58">
        <v>93.328260041434106</v>
      </c>
      <c r="AN58">
        <v>0.99999996792548296</v>
      </c>
    </row>
    <row r="59" spans="1:40" x14ac:dyDescent="0.25">
      <c r="A59" t="str">
        <f>"20190304164555121"</f>
        <v>20190304164555121</v>
      </c>
      <c r="B59" t="str">
        <f>"1551689155117281"</f>
        <v>1551689155117281</v>
      </c>
      <c r="C59" t="s">
        <v>40</v>
      </c>
      <c r="D59">
        <v>5.3751150000000001</v>
      </c>
      <c r="E59">
        <v>0.56207589999999996</v>
      </c>
      <c r="F59" t="s">
        <v>41</v>
      </c>
      <c r="G59">
        <v>-471.70330000000001</v>
      </c>
      <c r="H59">
        <v>0.8633596</v>
      </c>
      <c r="I59">
        <v>367.16480000000001</v>
      </c>
      <c r="J59">
        <v>-472.30689999999998</v>
      </c>
      <c r="K59">
        <v>1.1083369999999999</v>
      </c>
      <c r="L59">
        <v>367.19920000000002</v>
      </c>
      <c r="M59">
        <v>0.99998109999999996</v>
      </c>
      <c r="N59">
        <v>3.0331389999999998E-3</v>
      </c>
      <c r="O59">
        <v>-5.3549799999999996E-3</v>
      </c>
      <c r="P59">
        <v>0.97326219999999997</v>
      </c>
      <c r="Q59">
        <v>0.2239266</v>
      </c>
      <c r="R59">
        <v>5.1159139999999999E-2</v>
      </c>
      <c r="S59">
        <v>3.337189</v>
      </c>
      <c r="T59">
        <v>-1.0769879999999901</v>
      </c>
      <c r="U59">
        <v>-0.15420529999999999</v>
      </c>
      <c r="V59">
        <v>-5.6328139999999999E-2</v>
      </c>
      <c r="W59">
        <v>0.22098509999999999</v>
      </c>
      <c r="X59">
        <v>0.97364919999999999</v>
      </c>
      <c r="Y59">
        <v>3.9122450000000003E-2</v>
      </c>
      <c r="Z59">
        <v>-4.3923469999999996E-3</v>
      </c>
      <c r="AA59">
        <v>0.99922480000000002</v>
      </c>
      <c r="AB59">
        <v>15</v>
      </c>
      <c r="AC59">
        <v>0.60359999999997105</v>
      </c>
      <c r="AD59">
        <v>-0.24497740000000001</v>
      </c>
      <c r="AE59">
        <v>-3.4400000000005003E-2</v>
      </c>
      <c r="AF59">
        <v>2.6771609962199801E-2</v>
      </c>
      <c r="AG59">
        <v>-0.24497740000000001</v>
      </c>
      <c r="AH59">
        <v>0.51862311022158403</v>
      </c>
      <c r="AI59">
        <v>115.254800414543</v>
      </c>
      <c r="AJ59">
        <v>87.044983237607099</v>
      </c>
      <c r="AK59">
        <v>0.57419559042771995</v>
      </c>
      <c r="AL59">
        <v>77.233101014143003</v>
      </c>
      <c r="AM59">
        <v>93.311019330256102</v>
      </c>
      <c r="AN59">
        <v>1.00000001921925</v>
      </c>
    </row>
    <row r="60" spans="1:40" x14ac:dyDescent="0.25">
      <c r="A60" t="str">
        <f>"20190304164555141"</f>
        <v>20190304164555141</v>
      </c>
      <c r="B60" t="str">
        <f>"1551689155137777"</f>
        <v>1551689155137777</v>
      </c>
      <c r="C60" t="s">
        <v>40</v>
      </c>
      <c r="D60">
        <v>5.2835460000000003</v>
      </c>
      <c r="E60">
        <v>0.56205300000000002</v>
      </c>
      <c r="F60" t="s">
        <v>41</v>
      </c>
      <c r="G60">
        <v>-471.56380000000001</v>
      </c>
      <c r="H60">
        <v>0.86933119999999997</v>
      </c>
      <c r="I60">
        <v>367.16410000000002</v>
      </c>
      <c r="J60">
        <v>-472.1669</v>
      </c>
      <c r="K60">
        <v>1.1083259999999999</v>
      </c>
      <c r="L60">
        <v>367.19830000000002</v>
      </c>
      <c r="M60">
        <v>0.99998030000000004</v>
      </c>
      <c r="N60">
        <v>3.0836869999999999E-3</v>
      </c>
      <c r="O60">
        <v>-5.4950049999999999E-3</v>
      </c>
      <c r="P60">
        <v>0.97323780000000004</v>
      </c>
      <c r="Q60">
        <v>0.22417970000000001</v>
      </c>
      <c r="R60">
        <v>5.0517720000000002E-2</v>
      </c>
      <c r="S60">
        <v>3.3376459999999999</v>
      </c>
      <c r="T60">
        <v>-1.073558</v>
      </c>
      <c r="U60">
        <v>-0.15631099999999901</v>
      </c>
      <c r="V60">
        <v>-5.5822690000000001E-2</v>
      </c>
      <c r="W60">
        <v>0.22118879999999999</v>
      </c>
      <c r="X60">
        <v>0.97363200000000005</v>
      </c>
      <c r="Y60">
        <v>3.9600099999999999E-2</v>
      </c>
      <c r="Z60">
        <v>-4.406699E-3</v>
      </c>
      <c r="AA60">
        <v>0.99920589999999998</v>
      </c>
      <c r="AB60">
        <v>15</v>
      </c>
      <c r="AC60">
        <v>0.60309999999998298</v>
      </c>
      <c r="AD60">
        <v>-0.23899479999999901</v>
      </c>
      <c r="AE60">
        <v>-3.4199999999998398E-2</v>
      </c>
      <c r="AF60">
        <v>2.67052041806429E-2</v>
      </c>
      <c r="AG60">
        <v>-0.23899479999999901</v>
      </c>
      <c r="AH60">
        <v>0.52162730855795703</v>
      </c>
      <c r="AI60">
        <v>114.587520229905</v>
      </c>
      <c r="AJ60">
        <v>87.069247031985597</v>
      </c>
      <c r="AK60">
        <v>0.57439248897490602</v>
      </c>
      <c r="AL60">
        <v>77.221133014118493</v>
      </c>
      <c r="AM60">
        <v>93.281431577506197</v>
      </c>
      <c r="AN60">
        <v>0.99999996469413699</v>
      </c>
    </row>
    <row r="61" spans="1:40" x14ac:dyDescent="0.25">
      <c r="A61" t="str">
        <f>"20190304164555164"</f>
        <v>20190304164555164</v>
      </c>
      <c r="B61" t="str">
        <f>"1551689155157298"</f>
        <v>1551689155157298</v>
      </c>
      <c r="C61" t="s">
        <v>40</v>
      </c>
      <c r="D61">
        <v>5.4288270000000001</v>
      </c>
      <c r="E61">
        <v>0.56205899999999998</v>
      </c>
      <c r="F61" t="s">
        <v>41</v>
      </c>
      <c r="G61">
        <v>-471.42450000000002</v>
      </c>
      <c r="H61">
        <v>0.86936599999999997</v>
      </c>
      <c r="I61">
        <v>367.1628</v>
      </c>
      <c r="J61">
        <v>-472.00740000000002</v>
      </c>
      <c r="K61">
        <v>1.1083270000000001</v>
      </c>
      <c r="L61">
        <v>367.19720000000001</v>
      </c>
      <c r="M61">
        <v>0.99997930000000002</v>
      </c>
      <c r="N61">
        <v>3.1373939999999999E-3</v>
      </c>
      <c r="O61">
        <v>-5.6480330000000002E-3</v>
      </c>
      <c r="P61">
        <v>0.97337850000000004</v>
      </c>
      <c r="Q61">
        <v>0.22374150000000001</v>
      </c>
      <c r="R61">
        <v>4.9742069999999999E-2</v>
      </c>
      <c r="S61">
        <v>3.3382260000000001</v>
      </c>
      <c r="T61">
        <v>-1.074435</v>
      </c>
      <c r="U61">
        <v>-0.15850829999999999</v>
      </c>
      <c r="V61">
        <v>-5.5197570000000001E-2</v>
      </c>
      <c r="W61">
        <v>0.22069810000000001</v>
      </c>
      <c r="X61">
        <v>0.97377899999999995</v>
      </c>
      <c r="Y61">
        <v>4.0077729999999999E-2</v>
      </c>
      <c r="Z61">
        <v>-4.4336879999999999E-3</v>
      </c>
      <c r="AA61">
        <v>0.99918680000000004</v>
      </c>
      <c r="AB61">
        <v>15</v>
      </c>
      <c r="AC61">
        <v>0.58289999999999498</v>
      </c>
      <c r="AD61">
        <v>-0.23896100000000001</v>
      </c>
      <c r="AE61">
        <v>-3.4400000000005003E-2</v>
      </c>
      <c r="AF61">
        <v>2.6644797828495801E-2</v>
      </c>
      <c r="AG61">
        <v>-0.23896100000000001</v>
      </c>
      <c r="AH61">
        <v>0.49944010424806801</v>
      </c>
      <c r="AI61">
        <v>115.53746067495101</v>
      </c>
      <c r="AJ61">
        <v>86.946203213357606</v>
      </c>
      <c r="AK61">
        <v>0.55430381786854199</v>
      </c>
      <c r="AL61">
        <v>77.249960702422001</v>
      </c>
      <c r="AM61">
        <v>93.244275260070694</v>
      </c>
      <c r="AN61">
        <v>0.99999998195925699</v>
      </c>
    </row>
    <row r="62" spans="1:40" x14ac:dyDescent="0.25">
      <c r="A62" t="str">
        <f>"20190304164555186"</f>
        <v>20190304164555186</v>
      </c>
      <c r="B62" t="str">
        <f>"1551689155177793"</f>
        <v>1551689155177793</v>
      </c>
      <c r="C62" t="s">
        <v>40</v>
      </c>
      <c r="D62">
        <v>5.2637269999999896</v>
      </c>
      <c r="E62">
        <v>0.56203110000000001</v>
      </c>
      <c r="F62" t="s">
        <v>41</v>
      </c>
      <c r="G62">
        <v>-471.28100000000001</v>
      </c>
      <c r="H62">
        <v>0.87398099999999901</v>
      </c>
      <c r="I62">
        <v>367.16160000000002</v>
      </c>
      <c r="J62">
        <v>-471.8424</v>
      </c>
      <c r="K62">
        <v>1.108317</v>
      </c>
      <c r="L62">
        <v>367.1961</v>
      </c>
      <c r="M62">
        <v>0.99997820000000004</v>
      </c>
      <c r="N62">
        <v>3.1884069999999999E-3</v>
      </c>
      <c r="O62">
        <v>-5.7983169999999999E-3</v>
      </c>
      <c r="P62">
        <v>0.97336900000000004</v>
      </c>
      <c r="Q62">
        <v>0.2238175</v>
      </c>
      <c r="R62">
        <v>4.9583460000000003E-2</v>
      </c>
      <c r="S62">
        <v>3.3377690000000002</v>
      </c>
      <c r="T62">
        <v>-1.0767100000000001</v>
      </c>
      <c r="U62">
        <v>-0.16156010000000001</v>
      </c>
      <c r="V62">
        <v>-5.518609E-2</v>
      </c>
      <c r="W62">
        <v>0.22072420000000001</v>
      </c>
      <c r="X62">
        <v>0.97377380000000002</v>
      </c>
      <c r="Y62">
        <v>4.0809560000000002E-2</v>
      </c>
      <c r="Z62">
        <v>-4.508092E-3</v>
      </c>
      <c r="AA62">
        <v>0.99915679999999996</v>
      </c>
      <c r="AB62">
        <v>16</v>
      </c>
      <c r="AC62">
        <v>0.56139999999999102</v>
      </c>
      <c r="AD62">
        <v>-0.23433599999999999</v>
      </c>
      <c r="AE62">
        <v>-3.4499999999979901E-2</v>
      </c>
      <c r="AF62">
        <v>2.6623038927683699E-2</v>
      </c>
      <c r="AG62">
        <v>-0.23433599999999999</v>
      </c>
      <c r="AH62">
        <v>0.47852833009047802</v>
      </c>
      <c r="AI62">
        <v>116.05610330417601</v>
      </c>
      <c r="AJ62">
        <v>86.815618313740103</v>
      </c>
      <c r="AK62">
        <v>0.53348993411021906</v>
      </c>
      <c r="AL62">
        <v>77.248428292932601</v>
      </c>
      <c r="AM62">
        <v>93.2436192400301</v>
      </c>
      <c r="AN62">
        <v>1.00000004528078</v>
      </c>
    </row>
    <row r="63" spans="1:40" x14ac:dyDescent="0.25">
      <c r="A63" t="str">
        <f>"20190304164555209"</f>
        <v>20190304164555209</v>
      </c>
      <c r="B63" t="str">
        <f>"1551689155197313"</f>
        <v>1551689155197313</v>
      </c>
      <c r="C63" t="s">
        <v>40</v>
      </c>
      <c r="D63">
        <v>5.5452919999999999</v>
      </c>
      <c r="E63">
        <v>0.56206480000000003</v>
      </c>
      <c r="F63" t="s">
        <v>41</v>
      </c>
      <c r="G63">
        <v>-471.13459999999998</v>
      </c>
      <c r="H63">
        <v>0.87978650000000003</v>
      </c>
      <c r="I63">
        <v>367.16120000000001</v>
      </c>
      <c r="J63">
        <v>-471.68150000000003</v>
      </c>
      <c r="K63">
        <v>1.108311</v>
      </c>
      <c r="L63">
        <v>367.19499999999999</v>
      </c>
      <c r="M63">
        <v>0.99997720000000001</v>
      </c>
      <c r="N63">
        <v>3.2333449999999999E-3</v>
      </c>
      <c r="O63">
        <v>-5.9388180000000002E-3</v>
      </c>
      <c r="P63">
        <v>0.97322649999999999</v>
      </c>
      <c r="Q63">
        <v>0.2244719</v>
      </c>
      <c r="R63">
        <v>4.9421619999999999E-2</v>
      </c>
      <c r="S63">
        <v>3.3382260000000001</v>
      </c>
      <c r="T63">
        <v>-1.077869</v>
      </c>
      <c r="U63">
        <v>-0.16290279999999999</v>
      </c>
      <c r="V63">
        <v>-5.516062E-2</v>
      </c>
      <c r="W63">
        <v>0.2213348</v>
      </c>
      <c r="X63">
        <v>0.97363659999999996</v>
      </c>
      <c r="Y63">
        <v>4.1055649999999999E-2</v>
      </c>
      <c r="Z63">
        <v>-4.5046189999999996E-3</v>
      </c>
      <c r="AA63">
        <v>0.99914669999999906</v>
      </c>
      <c r="AB63">
        <v>16</v>
      </c>
      <c r="AC63">
        <v>0.54690000000005001</v>
      </c>
      <c r="AD63">
        <v>-0.22852449999999999</v>
      </c>
      <c r="AE63">
        <v>-3.3799999999985099E-2</v>
      </c>
      <c r="AF63">
        <v>2.6024757972961401E-2</v>
      </c>
      <c r="AG63">
        <v>-0.22852449999999999</v>
      </c>
      <c r="AH63">
        <v>0.46603072153504399</v>
      </c>
      <c r="AI63">
        <v>116.086406200784</v>
      </c>
      <c r="AJ63">
        <v>86.8037264129064</v>
      </c>
      <c r="AK63">
        <v>0.51969738169657498</v>
      </c>
      <c r="AL63">
        <v>77.212555791453596</v>
      </c>
      <c r="AM63">
        <v>93.242581298132095</v>
      </c>
      <c r="AN63">
        <v>1.00000000827469</v>
      </c>
    </row>
    <row r="64" spans="1:40" x14ac:dyDescent="0.25">
      <c r="A64" t="str">
        <f>"20190304164555229"</f>
        <v>20190304164555229</v>
      </c>
      <c r="B64" t="str">
        <f>"1551689155217817"</f>
        <v>1551689155217817</v>
      </c>
      <c r="C64" t="s">
        <v>40</v>
      </c>
      <c r="D64">
        <v>5.3465230000000004</v>
      </c>
      <c r="E64">
        <v>0.56203159999999996</v>
      </c>
      <c r="F64" t="s">
        <v>41</v>
      </c>
      <c r="G64">
        <v>-470.98649999999998</v>
      </c>
      <c r="H64">
        <v>0.88436890000000001</v>
      </c>
      <c r="I64">
        <v>367.16</v>
      </c>
      <c r="J64">
        <v>-471.52809999999999</v>
      </c>
      <c r="K64">
        <v>1.108309</v>
      </c>
      <c r="L64">
        <v>367.19400000000002</v>
      </c>
      <c r="M64">
        <v>0.99997630000000004</v>
      </c>
      <c r="N64">
        <v>3.2712510000000002E-3</v>
      </c>
      <c r="O64">
        <v>-6.06822E-3</v>
      </c>
      <c r="P64">
        <v>0.97319080000000002</v>
      </c>
      <c r="Q64">
        <v>0.22447600000000001</v>
      </c>
      <c r="R64">
        <v>5.0103870000000002E-2</v>
      </c>
      <c r="S64">
        <v>3.3390810000000002</v>
      </c>
      <c r="T64">
        <v>-1.0758299999999901</v>
      </c>
      <c r="U64">
        <v>-0.16641239999999999</v>
      </c>
      <c r="V64">
        <v>-5.5969320000000003E-2</v>
      </c>
      <c r="W64">
        <v>0.2213022</v>
      </c>
      <c r="X64">
        <v>0.97359779999999996</v>
      </c>
      <c r="Y64">
        <v>4.1932209999999998E-2</v>
      </c>
      <c r="Z64">
        <v>-4.5892420000000003E-3</v>
      </c>
      <c r="AA64">
        <v>0.9991099</v>
      </c>
      <c r="AB64">
        <v>16</v>
      </c>
      <c r="AC64">
        <v>0.54160000000001596</v>
      </c>
      <c r="AD64">
        <v>-0.2239401</v>
      </c>
      <c r="AE64">
        <v>-3.3999999999991801E-2</v>
      </c>
      <c r="AF64">
        <v>2.6243678833060499E-2</v>
      </c>
      <c r="AG64">
        <v>-0.2239401</v>
      </c>
      <c r="AH64">
        <v>0.46295763841332599</v>
      </c>
      <c r="AI64">
        <v>115.77779488842501</v>
      </c>
      <c r="AJ64">
        <v>86.755546534014897</v>
      </c>
      <c r="AK64">
        <v>0.51494434071261197</v>
      </c>
      <c r="AL64">
        <v>77.214470403925006</v>
      </c>
      <c r="AM64">
        <v>93.290147352365096</v>
      </c>
      <c r="AN64">
        <v>0.99999995233547001</v>
      </c>
    </row>
    <row r="65" spans="1:40" x14ac:dyDescent="0.25">
      <c r="A65" t="str">
        <f>"20190304164555252"</f>
        <v>20190304164555252</v>
      </c>
      <c r="B65" t="str">
        <f>"1551689155248065"</f>
        <v>1551689155248065</v>
      </c>
      <c r="C65" t="s">
        <v>40</v>
      </c>
      <c r="D65">
        <v>5.2816210000000003</v>
      </c>
      <c r="E65">
        <v>0.56187749999999903</v>
      </c>
      <c r="F65" t="s">
        <v>41</v>
      </c>
      <c r="G65">
        <v>-470.83730000000003</v>
      </c>
      <c r="H65">
        <v>0.88562289999999999</v>
      </c>
      <c r="I65">
        <v>367.15989999999999</v>
      </c>
      <c r="J65">
        <v>-471.35610000000003</v>
      </c>
      <c r="K65">
        <v>1.1083099999999999</v>
      </c>
      <c r="L65">
        <v>367.19279999999998</v>
      </c>
      <c r="M65">
        <v>0.99997530000000001</v>
      </c>
      <c r="N65">
        <v>3.308203E-3</v>
      </c>
      <c r="O65">
        <v>-6.2094209999999997E-3</v>
      </c>
      <c r="P65">
        <v>0.97298660000000003</v>
      </c>
      <c r="Q65">
        <v>0.22522449999999999</v>
      </c>
      <c r="R65">
        <v>5.0706389999999997E-2</v>
      </c>
      <c r="S65">
        <v>3.3393860000000002</v>
      </c>
      <c r="T65">
        <v>-1.076546</v>
      </c>
      <c r="U65">
        <v>-0.1638184</v>
      </c>
      <c r="V65">
        <v>-5.6707300000000002E-2</v>
      </c>
      <c r="W65">
        <v>0.22201599999999999</v>
      </c>
      <c r="X65">
        <v>0.97339260000000005</v>
      </c>
      <c r="Y65">
        <v>4.1061439999999998E-2</v>
      </c>
      <c r="Z65">
        <v>-4.4107130000000001E-3</v>
      </c>
      <c r="AA65">
        <v>0.99914689999999995</v>
      </c>
      <c r="AB65">
        <v>16</v>
      </c>
      <c r="AC65">
        <v>0.51879999999999804</v>
      </c>
      <c r="AD65">
        <v>-0.2226871</v>
      </c>
      <c r="AE65">
        <v>-3.2899999999983699E-2</v>
      </c>
      <c r="AF65">
        <v>2.50762848892635E-2</v>
      </c>
      <c r="AG65">
        <v>-0.2226871</v>
      </c>
      <c r="AH65">
        <v>0.43852322327691601</v>
      </c>
      <c r="AI65">
        <v>116.88424212365101</v>
      </c>
      <c r="AJ65">
        <v>86.727192019239595</v>
      </c>
      <c r="AK65">
        <v>0.492464193544499</v>
      </c>
      <c r="AL65">
        <v>77.172529821527107</v>
      </c>
      <c r="AM65">
        <v>93.334133325406995</v>
      </c>
      <c r="AN65">
        <v>0.99999998793202405</v>
      </c>
    </row>
    <row r="66" spans="1:40" x14ac:dyDescent="0.25">
      <c r="A66" t="str">
        <f>"20190304164555279"</f>
        <v>20190304164555279</v>
      </c>
      <c r="B66" t="str">
        <f>"1551689155267585"</f>
        <v>1551689155267585</v>
      </c>
      <c r="C66" t="s">
        <v>40</v>
      </c>
      <c r="D66">
        <v>5.4559059999999997</v>
      </c>
      <c r="E66">
        <v>0.56179169999999901</v>
      </c>
      <c r="F66" t="s">
        <v>41</v>
      </c>
      <c r="G66">
        <v>-470.68389999999999</v>
      </c>
      <c r="H66">
        <v>0.89165819999999996</v>
      </c>
      <c r="I66">
        <v>367.16039999999998</v>
      </c>
      <c r="J66">
        <v>-471.15719999999999</v>
      </c>
      <c r="K66">
        <v>1.1083069999999999</v>
      </c>
      <c r="L66">
        <v>367.19139999999999</v>
      </c>
      <c r="M66">
        <v>0.99997409999999998</v>
      </c>
      <c r="N66">
        <v>3.3427270000000002E-3</v>
      </c>
      <c r="O66">
        <v>-6.3694499999999996E-3</v>
      </c>
      <c r="P66">
        <v>0.97274539999999998</v>
      </c>
      <c r="Q66">
        <v>0.22602820000000001</v>
      </c>
      <c r="R66">
        <v>5.1746729999999998E-2</v>
      </c>
      <c r="S66">
        <v>3.3409420000000001</v>
      </c>
      <c r="T66">
        <v>-1.0768770000000001</v>
      </c>
      <c r="U66">
        <v>-0.1598511</v>
      </c>
      <c r="V66">
        <v>-5.7901279999999999E-2</v>
      </c>
      <c r="W66">
        <v>0.22278680000000001</v>
      </c>
      <c r="X66">
        <v>0.97314619999999996</v>
      </c>
      <c r="Y66">
        <v>3.9768669999999999E-2</v>
      </c>
      <c r="Z66">
        <v>-4.1575429999999997E-3</v>
      </c>
      <c r="AA66">
        <v>0.99920030000000004</v>
      </c>
      <c r="AB66">
        <v>17</v>
      </c>
      <c r="AC66">
        <v>0.473299999999994</v>
      </c>
      <c r="AD66">
        <v>-0.216648799999999</v>
      </c>
      <c r="AE66">
        <v>-3.1000000000005901E-2</v>
      </c>
      <c r="AF66">
        <v>2.31540276076369E-2</v>
      </c>
      <c r="AG66">
        <v>-0.216648799999999</v>
      </c>
      <c r="AH66">
        <v>0.391755257339852</v>
      </c>
      <c r="AI66">
        <v>118.90121835001401</v>
      </c>
      <c r="AJ66">
        <v>86.617565329988096</v>
      </c>
      <c r="AK66">
        <v>0.44826888492210698</v>
      </c>
      <c r="AL66">
        <v>77.127232190988195</v>
      </c>
      <c r="AM66">
        <v>93.405030473127994</v>
      </c>
      <c r="AN66">
        <v>1.0000000215271501</v>
      </c>
    </row>
    <row r="67" spans="1:40" x14ac:dyDescent="0.25">
      <c r="A67" t="str">
        <f>"20190304164555299"</f>
        <v>20190304164555299</v>
      </c>
      <c r="B67" t="str">
        <f>"1551689155288081"</f>
        <v>1551689155288081</v>
      </c>
      <c r="C67" t="s">
        <v>40</v>
      </c>
      <c r="D67">
        <v>5.2329100000000004</v>
      </c>
      <c r="E67">
        <v>0.53907159999999998</v>
      </c>
      <c r="F67" t="s">
        <v>41</v>
      </c>
      <c r="G67">
        <v>-470.3879</v>
      </c>
      <c r="H67">
        <v>0.86083539999999903</v>
      </c>
      <c r="I67">
        <v>367.15550000000002</v>
      </c>
      <c r="J67">
        <v>-470.99209999999999</v>
      </c>
      <c r="K67">
        <v>1.1082970000000001</v>
      </c>
      <c r="L67">
        <v>367.1902</v>
      </c>
      <c r="M67">
        <v>0.99997329999999995</v>
      </c>
      <c r="N67">
        <v>3.365589E-3</v>
      </c>
      <c r="O67">
        <v>-6.5010859999999997E-3</v>
      </c>
      <c r="P67">
        <v>0.97256520000000002</v>
      </c>
      <c r="Q67">
        <v>0.22681460000000001</v>
      </c>
      <c r="R67">
        <v>5.1695440000000002E-2</v>
      </c>
      <c r="S67">
        <v>3.342041</v>
      </c>
      <c r="T67">
        <v>-1.075062</v>
      </c>
      <c r="U67">
        <v>-0.15454100000000001</v>
      </c>
      <c r="V67">
        <v>-5.7975770000000003E-2</v>
      </c>
      <c r="W67">
        <v>0.22355230000000001</v>
      </c>
      <c r="X67">
        <v>0.9729662</v>
      </c>
      <c r="Y67">
        <v>3.8132190000000003E-2</v>
      </c>
      <c r="Z67">
        <v>-3.853455E-3</v>
      </c>
      <c r="AA67">
        <v>0.99926530000000002</v>
      </c>
      <c r="AB67">
        <v>17</v>
      </c>
      <c r="AC67">
        <v>0.60419999999999097</v>
      </c>
      <c r="AD67">
        <v>-0.247461599999999</v>
      </c>
      <c r="AE67">
        <v>-3.4699999999986603E-2</v>
      </c>
      <c r="AF67">
        <v>2.6363444411029401E-2</v>
      </c>
      <c r="AG67">
        <v>-0.247461599999999</v>
      </c>
      <c r="AH67">
        <v>0.51783348983159805</v>
      </c>
      <c r="AI67">
        <v>115.51330430585099</v>
      </c>
      <c r="AJ67">
        <v>87.085528258800295</v>
      </c>
      <c r="AK67">
        <v>0.57452919670539404</v>
      </c>
      <c r="AL67">
        <v>77.082237515485403</v>
      </c>
      <c r="AM67">
        <v>93.410029973490296</v>
      </c>
      <c r="AN67">
        <v>1.00000002354241</v>
      </c>
    </row>
    <row r="68" spans="1:40" x14ac:dyDescent="0.25">
      <c r="A68" t="str">
        <f>"20190304164555320"</f>
        <v>20190304164555320</v>
      </c>
      <c r="B68" t="str">
        <f>"1551689155307604"</f>
        <v>1551689155307604</v>
      </c>
      <c r="C68" t="s">
        <v>40</v>
      </c>
      <c r="D68">
        <v>5.2529379999999897</v>
      </c>
      <c r="E68">
        <v>0.50497840000000005</v>
      </c>
      <c r="F68" t="s">
        <v>41</v>
      </c>
      <c r="G68">
        <v>-470.21350000000001</v>
      </c>
      <c r="H68">
        <v>0.89660219999999902</v>
      </c>
      <c r="I68">
        <v>367.19189999999998</v>
      </c>
      <c r="J68">
        <v>-470.82459999999998</v>
      </c>
      <c r="K68">
        <v>1.108295</v>
      </c>
      <c r="L68">
        <v>367.18900000000002</v>
      </c>
      <c r="M68">
        <v>0.99997230000000004</v>
      </c>
      <c r="N68">
        <v>3.383596E-3</v>
      </c>
      <c r="O68">
        <v>-6.6345010000000001E-3</v>
      </c>
      <c r="P68">
        <v>0.97238789999999997</v>
      </c>
      <c r="Q68">
        <v>0.22756319999999999</v>
      </c>
      <c r="R68">
        <v>5.1736940000000002E-2</v>
      </c>
      <c r="S68">
        <v>3.2930299999999999</v>
      </c>
      <c r="T68">
        <v>-0.89541839999999995</v>
      </c>
      <c r="U68">
        <v>8.178711E-3</v>
      </c>
      <c r="V68">
        <v>-5.8144830000000002E-2</v>
      </c>
      <c r="W68">
        <v>0.22428429999999999</v>
      </c>
      <c r="X68">
        <v>0.97278759999999997</v>
      </c>
      <c r="Y68">
        <v>-8.564225E-3</v>
      </c>
      <c r="Z68">
        <v>2.9227319999999999E-3</v>
      </c>
      <c r="AA68">
        <v>0.99995909999999999</v>
      </c>
      <c r="AB68">
        <v>17</v>
      </c>
      <c r="AC68">
        <v>0.61109999999996401</v>
      </c>
      <c r="AD68">
        <v>-0.21169279999999999</v>
      </c>
      <c r="AE68">
        <v>2.8999999999541602E-3</v>
      </c>
      <c r="AF68">
        <v>-6.2092041755349801E-3</v>
      </c>
      <c r="AG68">
        <v>-0.21169279999999999</v>
      </c>
      <c r="AH68">
        <v>0.54559627297282798</v>
      </c>
      <c r="AI68">
        <v>111.205133955037</v>
      </c>
      <c r="AJ68">
        <v>90.652031278596397</v>
      </c>
      <c r="AK68">
        <v>0.58525865125615495</v>
      </c>
      <c r="AL68">
        <v>77.039203880681299</v>
      </c>
      <c r="AM68">
        <v>93.420576608132507</v>
      </c>
      <c r="AN68">
        <v>0.99999999159798902</v>
      </c>
    </row>
    <row r="69" spans="1:40" x14ac:dyDescent="0.25">
      <c r="A69" t="str">
        <f>"20190304164555343"</f>
        <v>20190304164555343</v>
      </c>
      <c r="B69" t="str">
        <f>"1551689155337857"</f>
        <v>1551689155337857</v>
      </c>
      <c r="C69" t="s">
        <v>40</v>
      </c>
      <c r="D69">
        <v>5.2396699999999896</v>
      </c>
      <c r="E69">
        <v>0.5053183</v>
      </c>
      <c r="F69" t="s">
        <v>41</v>
      </c>
      <c r="G69">
        <v>-470.02100000000002</v>
      </c>
      <c r="H69">
        <v>0.96638729999999995</v>
      </c>
      <c r="I69">
        <v>367.25</v>
      </c>
      <c r="J69">
        <v>-470.64569999999998</v>
      </c>
      <c r="K69">
        <v>1.1082909999999999</v>
      </c>
      <c r="L69">
        <v>367.18759999999997</v>
      </c>
      <c r="M69">
        <v>0.99997139999999995</v>
      </c>
      <c r="N69">
        <v>3.397326E-3</v>
      </c>
      <c r="O69">
        <v>-6.7776819999999897E-3</v>
      </c>
      <c r="P69">
        <v>0.972298</v>
      </c>
      <c r="Q69">
        <v>0.2280354</v>
      </c>
      <c r="R69">
        <v>5.1348489999999997E-2</v>
      </c>
      <c r="S69">
        <v>3.20459</v>
      </c>
      <c r="T69">
        <v>-0.56593119999999997</v>
      </c>
      <c r="U69">
        <v>0.24508669999999999</v>
      </c>
      <c r="V69">
        <v>-5.7893159999999999E-2</v>
      </c>
      <c r="W69">
        <v>0.22474340000000001</v>
      </c>
      <c r="X69">
        <v>0.97269669999999997</v>
      </c>
      <c r="Y69">
        <v>-8.1673040000000002E-2</v>
      </c>
      <c r="Z69">
        <v>8.2151350000000001E-3</v>
      </c>
      <c r="AA69">
        <v>0.99662530000000005</v>
      </c>
      <c r="AB69">
        <v>18</v>
      </c>
      <c r="AC69">
        <v>0.62470000000001802</v>
      </c>
      <c r="AD69">
        <v>-0.14190369999999899</v>
      </c>
      <c r="AE69">
        <v>6.2400000000025102E-2</v>
      </c>
      <c r="AF69">
        <v>-6.3393841176830806E-2</v>
      </c>
      <c r="AG69">
        <v>-0.14190369999999899</v>
      </c>
      <c r="AH69">
        <v>0.59391959430642405</v>
      </c>
      <c r="AI69">
        <v>103.364444901681</v>
      </c>
      <c r="AJ69">
        <v>96.092574157914001</v>
      </c>
      <c r="AK69">
        <v>0.61391849921137798</v>
      </c>
      <c r="AL69">
        <v>77.012210931145404</v>
      </c>
      <c r="AM69">
        <v>93.406123679522594</v>
      </c>
      <c r="AN69">
        <v>1.00000004200461</v>
      </c>
    </row>
    <row r="70" spans="1:40" x14ac:dyDescent="0.25">
      <c r="A70" t="str">
        <f>"20190304164555366"</f>
        <v>20190304164555366</v>
      </c>
      <c r="B70" t="str">
        <f>"1551689155357376"</f>
        <v>1551689155357376</v>
      </c>
      <c r="C70" t="s">
        <v>40</v>
      </c>
      <c r="D70">
        <v>5.2495589999999996</v>
      </c>
      <c r="E70">
        <v>0.50618490000000005</v>
      </c>
      <c r="F70" t="s">
        <v>41</v>
      </c>
      <c r="G70">
        <v>-469.85550000000001</v>
      </c>
      <c r="H70">
        <v>0.97445389999999998</v>
      </c>
      <c r="I70">
        <v>367.24610000000001</v>
      </c>
      <c r="J70">
        <v>-470.4581</v>
      </c>
      <c r="K70">
        <v>1.108287</v>
      </c>
      <c r="L70">
        <v>367.18619999999999</v>
      </c>
      <c r="M70">
        <v>0.99997029999999998</v>
      </c>
      <c r="N70">
        <v>3.4057639999999999E-3</v>
      </c>
      <c r="O70">
        <v>-6.9282440000000001E-3</v>
      </c>
      <c r="P70">
        <v>0.97225649999999997</v>
      </c>
      <c r="Q70">
        <v>0.22826150000000001</v>
      </c>
      <c r="R70">
        <v>5.1132089999999998E-2</v>
      </c>
      <c r="S70">
        <v>3.2000730000000002</v>
      </c>
      <c r="T70">
        <v>-0.54208239999999996</v>
      </c>
      <c r="U70">
        <v>0.23806759999999999</v>
      </c>
      <c r="V70">
        <v>-5.7821520000000001E-2</v>
      </c>
      <c r="W70">
        <v>0.2249622</v>
      </c>
      <c r="X70">
        <v>0.97265029999999997</v>
      </c>
      <c r="Y70">
        <v>-7.9885849999999994E-2</v>
      </c>
      <c r="Z70">
        <v>7.7593219999999999E-3</v>
      </c>
      <c r="AA70">
        <v>0.99677380000000004</v>
      </c>
      <c r="AB70">
        <v>18</v>
      </c>
      <c r="AC70">
        <v>0.60259999999999503</v>
      </c>
      <c r="AD70">
        <v>-0.13383309999999901</v>
      </c>
      <c r="AE70">
        <v>5.9900000000027299E-2</v>
      </c>
      <c r="AF70">
        <v>-6.1089763776681502E-2</v>
      </c>
      <c r="AG70">
        <v>-0.13383309999999901</v>
      </c>
      <c r="AH70">
        <v>0.574128605606266</v>
      </c>
      <c r="AI70">
        <v>103.050566985966</v>
      </c>
      <c r="AJ70">
        <v>96.073665476573296</v>
      </c>
      <c r="AK70">
        <v>0.59267774858627498</v>
      </c>
      <c r="AL70">
        <v>76.999344110822804</v>
      </c>
      <c r="AM70">
        <v>93.402080576889603</v>
      </c>
      <c r="AN70">
        <v>0.99999996284701897</v>
      </c>
    </row>
    <row r="71" spans="1:40" x14ac:dyDescent="0.25">
      <c r="A71" t="str">
        <f>"20190304164555387"</f>
        <v>20190304164555387</v>
      </c>
      <c r="B71" t="str">
        <f>"1551689155377873"</f>
        <v>1551689155377873</v>
      </c>
      <c r="C71" t="s">
        <v>40</v>
      </c>
      <c r="D71">
        <v>5.2002389999999998</v>
      </c>
      <c r="E71">
        <v>0.50682890000000003</v>
      </c>
      <c r="F71" t="s">
        <v>41</v>
      </c>
      <c r="G71">
        <v>-469.68900000000002</v>
      </c>
      <c r="H71">
        <v>0.97928870000000001</v>
      </c>
      <c r="I71">
        <v>367.24110000000002</v>
      </c>
      <c r="J71">
        <v>-470.27769999999998</v>
      </c>
      <c r="K71">
        <v>1.1082799999999999</v>
      </c>
      <c r="L71">
        <v>367.1848</v>
      </c>
      <c r="M71">
        <v>0.9999692</v>
      </c>
      <c r="N71">
        <v>3.4075429999999999E-3</v>
      </c>
      <c r="O71">
        <v>-7.0733119999999896E-3</v>
      </c>
      <c r="P71">
        <v>0.97233340000000001</v>
      </c>
      <c r="Q71">
        <v>0.22801869999999999</v>
      </c>
      <c r="R71">
        <v>5.0749349999999999E-2</v>
      </c>
      <c r="S71">
        <v>3.199554</v>
      </c>
      <c r="T71">
        <v>-0.53682659999999904</v>
      </c>
      <c r="U71">
        <v>0.2303772</v>
      </c>
      <c r="V71">
        <v>-5.7578089999999998E-2</v>
      </c>
      <c r="W71">
        <v>0.2247178</v>
      </c>
      <c r="X71">
        <v>0.97272130000000001</v>
      </c>
      <c r="Y71">
        <v>-7.7709440000000005E-2</v>
      </c>
      <c r="Z71">
        <v>7.5332139999999999E-3</v>
      </c>
      <c r="AA71">
        <v>0.99694760000000004</v>
      </c>
      <c r="AB71">
        <v>18</v>
      </c>
      <c r="AC71">
        <v>0.58869999999996003</v>
      </c>
      <c r="AD71">
        <v>-0.1289913</v>
      </c>
      <c r="AE71">
        <v>5.63000000000215E-2</v>
      </c>
      <c r="AF71">
        <v>-5.7716797835946902E-2</v>
      </c>
      <c r="AG71">
        <v>-0.1289913</v>
      </c>
      <c r="AH71">
        <v>0.56157033495430897</v>
      </c>
      <c r="AI71">
        <v>102.870777353779</v>
      </c>
      <c r="AJ71">
        <v>95.868113092425403</v>
      </c>
      <c r="AK71">
        <v>0.57907790955002003</v>
      </c>
      <c r="AL71">
        <v>77.013716005397796</v>
      </c>
      <c r="AM71">
        <v>93.387544462474395</v>
      </c>
      <c r="AN71">
        <v>1.0000000267792799</v>
      </c>
    </row>
    <row r="72" spans="1:40" x14ac:dyDescent="0.25">
      <c r="A72" t="str">
        <f>"20190304164555412"</f>
        <v>20190304164555412</v>
      </c>
      <c r="B72" t="str">
        <f>"1551689155397396"</f>
        <v>1551689155397396</v>
      </c>
      <c r="C72" t="s">
        <v>40</v>
      </c>
      <c r="D72">
        <v>5.2292719999999999</v>
      </c>
      <c r="E72">
        <v>0.50721579999999999</v>
      </c>
      <c r="F72" t="s">
        <v>41</v>
      </c>
      <c r="G72">
        <v>-469.52140000000003</v>
      </c>
      <c r="H72">
        <v>0.98125870000000004</v>
      </c>
      <c r="I72">
        <v>367.2373</v>
      </c>
      <c r="J72">
        <v>-470.07870000000003</v>
      </c>
      <c r="K72">
        <v>1.1082780000000001</v>
      </c>
      <c r="L72">
        <v>367.1832</v>
      </c>
      <c r="M72">
        <v>0.99996819999999997</v>
      </c>
      <c r="N72">
        <v>3.4013590000000001E-3</v>
      </c>
      <c r="O72">
        <v>-7.2337429999999999E-3</v>
      </c>
      <c r="P72">
        <v>0.97231469999999998</v>
      </c>
      <c r="Q72">
        <v>0.22809860000000001</v>
      </c>
      <c r="R72">
        <v>5.0750749999999997E-2</v>
      </c>
      <c r="S72">
        <v>3.1997070000000001</v>
      </c>
      <c r="T72">
        <v>-0.53742970000000001</v>
      </c>
      <c r="U72">
        <v>0.22311400000000001</v>
      </c>
      <c r="V72">
        <v>-5.7733230000000003E-2</v>
      </c>
      <c r="W72">
        <v>0.22480420000000001</v>
      </c>
      <c r="X72">
        <v>0.97269209999999995</v>
      </c>
      <c r="Y72">
        <v>-7.5637270000000006E-2</v>
      </c>
      <c r="Z72">
        <v>7.400345E-3</v>
      </c>
      <c r="AA72">
        <v>0.99710790000000005</v>
      </c>
      <c r="AB72">
        <v>18</v>
      </c>
      <c r="AC72">
        <v>0.55729999999999702</v>
      </c>
      <c r="AD72">
        <v>-0.1270193</v>
      </c>
      <c r="AE72">
        <v>5.4100000000005297E-2</v>
      </c>
      <c r="AF72">
        <v>-5.5284892974134497E-2</v>
      </c>
      <c r="AG72">
        <v>-0.1270193</v>
      </c>
      <c r="AH72">
        <v>0.52963777447937399</v>
      </c>
      <c r="AI72">
        <v>103.415907734752</v>
      </c>
      <c r="AJ72">
        <v>95.959094021288195</v>
      </c>
      <c r="AK72">
        <v>0.54745455895363204</v>
      </c>
      <c r="AL72">
        <v>77.008635148837598</v>
      </c>
      <c r="AM72">
        <v>93.396752342282994</v>
      </c>
      <c r="AN72">
        <v>0.99999998779314103</v>
      </c>
    </row>
    <row r="73" spans="1:40" x14ac:dyDescent="0.25">
      <c r="A73" t="str">
        <f>"20190304164555433"</f>
        <v>20190304164555433</v>
      </c>
      <c r="B73" t="str">
        <f>"1551689155427649"</f>
        <v>1551689155427649</v>
      </c>
      <c r="C73" t="s">
        <v>40</v>
      </c>
      <c r="D73">
        <v>5.2655589999999997</v>
      </c>
      <c r="E73">
        <v>0.50760890000000003</v>
      </c>
      <c r="F73" t="s">
        <v>41</v>
      </c>
      <c r="G73">
        <v>-469.3503</v>
      </c>
      <c r="H73">
        <v>0.98609150000000001</v>
      </c>
      <c r="I73">
        <v>367.23309999999998</v>
      </c>
      <c r="J73">
        <v>-469.89490000000001</v>
      </c>
      <c r="K73">
        <v>1.1082749999999999</v>
      </c>
      <c r="L73">
        <v>367.18169999999998</v>
      </c>
      <c r="M73">
        <v>0.99996700000000005</v>
      </c>
      <c r="N73">
        <v>3.387073E-3</v>
      </c>
      <c r="O73">
        <v>-7.38093E-3</v>
      </c>
      <c r="P73">
        <v>0.97214330000000004</v>
      </c>
      <c r="Q73">
        <v>0.2287786</v>
      </c>
      <c r="R73">
        <v>5.0967279999999997E-2</v>
      </c>
      <c r="S73">
        <v>3.1997990000000001</v>
      </c>
      <c r="T73">
        <v>-0.53693119999999905</v>
      </c>
      <c r="U73">
        <v>0.22103880000000001</v>
      </c>
      <c r="V73">
        <v>-5.8089599999999998E-2</v>
      </c>
      <c r="W73">
        <v>0.22549920000000001</v>
      </c>
      <c r="X73">
        <v>0.97250999999999999</v>
      </c>
      <c r="Y73">
        <v>-7.5145100000000006E-2</v>
      </c>
      <c r="Z73">
        <v>7.3787549999999999E-3</v>
      </c>
      <c r="AA73">
        <v>0.99714530000000001</v>
      </c>
      <c r="AB73">
        <v>19</v>
      </c>
      <c r="AC73">
        <v>0.54460000000000197</v>
      </c>
      <c r="AD73">
        <v>-0.122183499999999</v>
      </c>
      <c r="AE73">
        <v>5.1400000000000903E-2</v>
      </c>
      <c r="AF73">
        <v>-5.2784813679546502E-2</v>
      </c>
      <c r="AG73">
        <v>-0.122183499999999</v>
      </c>
      <c r="AH73">
        <v>0.51834524930535697</v>
      </c>
      <c r="AI73">
        <v>103.197703533302</v>
      </c>
      <c r="AJ73">
        <v>95.814575198799304</v>
      </c>
      <c r="AK73">
        <v>0.535160575626482</v>
      </c>
      <c r="AL73">
        <v>76.967765293880305</v>
      </c>
      <c r="AM73">
        <v>93.418308365580202</v>
      </c>
      <c r="AN73">
        <v>0.99999999546439999</v>
      </c>
    </row>
    <row r="74" spans="1:40" x14ac:dyDescent="0.25">
      <c r="A74" t="str">
        <f>"20190304164555454"</f>
        <v>20190304164555454</v>
      </c>
      <c r="B74" t="str">
        <f>"1551689155448145"</f>
        <v>1551689155448145</v>
      </c>
      <c r="C74" t="s">
        <v>40</v>
      </c>
      <c r="D74">
        <v>5.2609709999999996</v>
      </c>
      <c r="E74">
        <v>0.50787320000000002</v>
      </c>
      <c r="F74" t="s">
        <v>41</v>
      </c>
      <c r="G74">
        <v>-469.17829999999998</v>
      </c>
      <c r="H74">
        <v>0.98799979999999998</v>
      </c>
      <c r="I74">
        <v>367.23050000000001</v>
      </c>
      <c r="J74">
        <v>-469.7022</v>
      </c>
      <c r="K74">
        <v>1.1082719999999999</v>
      </c>
      <c r="L74">
        <v>367.18009999999998</v>
      </c>
      <c r="M74">
        <v>0.99996600000000002</v>
      </c>
      <c r="N74">
        <v>3.3635470000000002E-3</v>
      </c>
      <c r="O74">
        <v>-7.535496E-3</v>
      </c>
      <c r="P74">
        <v>0.97214210000000001</v>
      </c>
      <c r="Q74">
        <v>0.22881190000000001</v>
      </c>
      <c r="R74">
        <v>5.0841360000000002E-2</v>
      </c>
      <c r="S74">
        <v>3.200958</v>
      </c>
      <c r="T74">
        <v>-0.53726960000000001</v>
      </c>
      <c r="U74">
        <v>0.2183533</v>
      </c>
      <c r="V74">
        <v>-5.8111999999999997E-2</v>
      </c>
      <c r="W74">
        <v>0.22555639999999999</v>
      </c>
      <c r="X74">
        <v>0.97249540000000001</v>
      </c>
      <c r="Y74">
        <v>-7.4448150000000005E-2</v>
      </c>
      <c r="Z74">
        <v>7.3510850000000003E-3</v>
      </c>
      <c r="AA74">
        <v>0.99719780000000002</v>
      </c>
      <c r="AB74">
        <v>19</v>
      </c>
      <c r="AC74">
        <v>0.52390000000002601</v>
      </c>
      <c r="AD74">
        <v>-0.120272199999999</v>
      </c>
      <c r="AE74">
        <v>5.0400000000024599E-2</v>
      </c>
      <c r="AF74">
        <v>-5.1649333839865898E-2</v>
      </c>
      <c r="AG74">
        <v>-0.120272199999999</v>
      </c>
      <c r="AH74">
        <v>0.49752482413414401</v>
      </c>
      <c r="AI74">
        <v>103.52005065980499</v>
      </c>
      <c r="AJ74">
        <v>95.926792221834205</v>
      </c>
      <c r="AK74">
        <v>0.51445505771510602</v>
      </c>
      <c r="AL74">
        <v>76.964401349246103</v>
      </c>
      <c r="AM74">
        <v>93.419674592830802</v>
      </c>
      <c r="AN74">
        <v>0.99999999857305999</v>
      </c>
    </row>
    <row r="75" spans="1:40" x14ac:dyDescent="0.25">
      <c r="A75" t="str">
        <f>"20190304164555479"</f>
        <v>20190304164555479</v>
      </c>
      <c r="B75" t="str">
        <f>"1551689155467666"</f>
        <v>1551689155467666</v>
      </c>
      <c r="C75" t="s">
        <v>40</v>
      </c>
      <c r="D75">
        <v>5.2664989999999996</v>
      </c>
      <c r="E75">
        <v>0.50802930000000002</v>
      </c>
      <c r="F75" t="s">
        <v>41</v>
      </c>
      <c r="G75">
        <v>-468.83949999999999</v>
      </c>
      <c r="H75">
        <v>0.96300669999999999</v>
      </c>
      <c r="I75">
        <v>367.238</v>
      </c>
      <c r="J75">
        <v>-469.48719999999997</v>
      </c>
      <c r="K75">
        <v>1.1082719999999999</v>
      </c>
      <c r="L75">
        <v>367.17829999999998</v>
      </c>
      <c r="M75">
        <v>0.99996479999999999</v>
      </c>
      <c r="N75">
        <v>3.3280760000000001E-3</v>
      </c>
      <c r="O75">
        <v>-7.7082849999999996E-3</v>
      </c>
      <c r="P75">
        <v>0.97207049999999995</v>
      </c>
      <c r="Q75">
        <v>0.2291184</v>
      </c>
      <c r="R75">
        <v>5.0833910000000003E-2</v>
      </c>
      <c r="S75">
        <v>3.2015690000000001</v>
      </c>
      <c r="T75">
        <v>-0.53912729999999998</v>
      </c>
      <c r="U75">
        <v>0.21545410000000001</v>
      </c>
      <c r="V75">
        <v>-5.8270490000000001E-2</v>
      </c>
      <c r="W75">
        <v>0.22589780000000001</v>
      </c>
      <c r="X75">
        <v>0.97240669999999996</v>
      </c>
      <c r="Y75">
        <v>-7.3708650000000001E-2</v>
      </c>
      <c r="Z75">
        <v>7.3452949999999999E-3</v>
      </c>
      <c r="AA75">
        <v>0.99725280000000005</v>
      </c>
      <c r="AB75">
        <v>19</v>
      </c>
      <c r="AC75">
        <v>0.64769999999998595</v>
      </c>
      <c r="AD75">
        <v>-0.14526530000000001</v>
      </c>
      <c r="AE75">
        <v>5.9700000000077497E-2</v>
      </c>
      <c r="AF75">
        <v>-6.1617597783804802E-2</v>
      </c>
      <c r="AG75">
        <v>-0.14526530000000001</v>
      </c>
      <c r="AH75">
        <v>0.61647265112050198</v>
      </c>
      <c r="AI75">
        <v>103.195833880037</v>
      </c>
      <c r="AJ75">
        <v>95.707863104165696</v>
      </c>
      <c r="AK75">
        <v>0.63634681213963595</v>
      </c>
      <c r="AL75">
        <v>76.944322735021402</v>
      </c>
      <c r="AM75">
        <v>93.429290949667006</v>
      </c>
      <c r="AN75">
        <v>1.0000000281272801</v>
      </c>
    </row>
    <row r="76" spans="1:40" x14ac:dyDescent="0.25">
      <c r="A76" t="str">
        <f>"20190304164555502"</f>
        <v>20190304164555502</v>
      </c>
      <c r="B76" t="str">
        <f>"1551689155497921"</f>
        <v>1551689155497921</v>
      </c>
      <c r="C76" t="s">
        <v>40</v>
      </c>
      <c r="D76">
        <v>5.2614910000000004</v>
      </c>
      <c r="E76">
        <v>0.50834789999999996</v>
      </c>
      <c r="F76" t="s">
        <v>41</v>
      </c>
      <c r="G76">
        <v>-468.65929999999997</v>
      </c>
      <c r="H76">
        <v>0.9690453</v>
      </c>
      <c r="I76">
        <v>367.23340000000002</v>
      </c>
      <c r="J76">
        <v>-469.28129999999999</v>
      </c>
      <c r="K76">
        <v>1.108277</v>
      </c>
      <c r="L76">
        <v>367.17649999999998</v>
      </c>
      <c r="M76">
        <v>0.99996359999999995</v>
      </c>
      <c r="N76">
        <v>3.287655E-3</v>
      </c>
      <c r="O76">
        <v>-7.8732000000000003E-3</v>
      </c>
      <c r="P76">
        <v>0.97201729999999997</v>
      </c>
      <c r="Q76">
        <v>0.22941320000000001</v>
      </c>
      <c r="R76">
        <v>5.0517529999999998E-2</v>
      </c>
      <c r="S76">
        <v>3.2018430000000002</v>
      </c>
      <c r="T76">
        <v>-0.53863139999999998</v>
      </c>
      <c r="U76">
        <v>0.21496580000000001</v>
      </c>
      <c r="V76">
        <v>-5.8112400000000002E-2</v>
      </c>
      <c r="W76">
        <v>0.22623219999999999</v>
      </c>
      <c r="X76">
        <v>0.97233840000000005</v>
      </c>
      <c r="Y76">
        <v>-7.3715520000000007E-2</v>
      </c>
      <c r="Z76">
        <v>7.3677669999999999E-3</v>
      </c>
      <c r="AA76">
        <v>0.99725209999999997</v>
      </c>
      <c r="AB76">
        <v>20</v>
      </c>
      <c r="AC76">
        <v>0.62200000000001399</v>
      </c>
      <c r="AD76">
        <v>-0.13923169999999899</v>
      </c>
      <c r="AE76">
        <v>5.6900000000041397E-2</v>
      </c>
      <c r="AF76">
        <v>-5.88700897158747E-2</v>
      </c>
      <c r="AG76">
        <v>-0.13923169999999899</v>
      </c>
      <c r="AH76">
        <v>0.59211028301414204</v>
      </c>
      <c r="AI76">
        <v>103.169763874648</v>
      </c>
      <c r="AJ76">
        <v>95.677926869324494</v>
      </c>
      <c r="AK76">
        <v>0.61110207085161505</v>
      </c>
      <c r="AL76">
        <v>76.924653624676495</v>
      </c>
      <c r="AM76">
        <v>93.4202489311797</v>
      </c>
      <c r="AN76">
        <v>1.00000001173258</v>
      </c>
    </row>
    <row r="77" spans="1:40" x14ac:dyDescent="0.25">
      <c r="A77" t="str">
        <f>"20190304164555524"</f>
        <v>20190304164555524</v>
      </c>
      <c r="B77" t="str">
        <f>"1551689155517442"</f>
        <v>1551689155517442</v>
      </c>
      <c r="C77" t="s">
        <v>40</v>
      </c>
      <c r="D77">
        <v>5.2717229999999997</v>
      </c>
      <c r="E77">
        <v>0.50847889999999996</v>
      </c>
      <c r="F77" t="s">
        <v>41</v>
      </c>
      <c r="G77">
        <v>-468.4776</v>
      </c>
      <c r="H77">
        <v>0.97319630000000001</v>
      </c>
      <c r="I77">
        <v>367.22989999999999</v>
      </c>
      <c r="J77">
        <v>-469.08409999999998</v>
      </c>
      <c r="K77">
        <v>1.108284</v>
      </c>
      <c r="L77">
        <v>367.17469999999997</v>
      </c>
      <c r="M77">
        <v>0.99996249999999998</v>
      </c>
      <c r="N77">
        <v>3.2444930000000002E-3</v>
      </c>
      <c r="O77">
        <v>-8.0304829999999997E-3</v>
      </c>
      <c r="P77">
        <v>0.97192690000000004</v>
      </c>
      <c r="Q77">
        <v>0.22985079999999999</v>
      </c>
      <c r="R77">
        <v>5.0266560000000002E-2</v>
      </c>
      <c r="S77">
        <v>3.2023619999999999</v>
      </c>
      <c r="T77">
        <v>-0.53824269999999996</v>
      </c>
      <c r="U77">
        <v>0.21322630000000001</v>
      </c>
      <c r="V77">
        <v>-5.8012080000000001E-2</v>
      </c>
      <c r="W77">
        <v>0.226712</v>
      </c>
      <c r="X77">
        <v>0.9722326</v>
      </c>
      <c r="Y77">
        <v>-7.3327039999999996E-2</v>
      </c>
      <c r="Z77">
        <v>7.3576519999999897E-3</v>
      </c>
      <c r="AA77">
        <v>0.99728079999999997</v>
      </c>
      <c r="AB77">
        <v>20</v>
      </c>
      <c r="AC77">
        <v>0.60649999999998205</v>
      </c>
      <c r="AD77">
        <v>-0.1350877</v>
      </c>
      <c r="AE77">
        <v>5.5200000000013398E-2</v>
      </c>
      <c r="AF77">
        <v>-5.72518008789481E-2</v>
      </c>
      <c r="AG77">
        <v>-0.1350877</v>
      </c>
      <c r="AH77">
        <v>0.57761695033649596</v>
      </c>
      <c r="AI77">
        <v>103.101252290288</v>
      </c>
      <c r="AJ77">
        <v>95.660511420272698</v>
      </c>
      <c r="AK77">
        <v>0.59595955962733504</v>
      </c>
      <c r="AL77">
        <v>76.896429370767706</v>
      </c>
      <c r="AM77">
        <v>93.414729179911703</v>
      </c>
      <c r="AN77">
        <v>0.99999998043634297</v>
      </c>
    </row>
    <row r="78" spans="1:40" x14ac:dyDescent="0.25">
      <c r="A78" t="str">
        <f>"20190304164555543"</f>
        <v>20190304164555543</v>
      </c>
      <c r="B78" t="str">
        <f>"1551689155537937"</f>
        <v>1551689155537937</v>
      </c>
      <c r="C78" t="s">
        <v>40</v>
      </c>
      <c r="D78">
        <v>5.2516089999999904</v>
      </c>
      <c r="E78">
        <v>0.50862859999999999</v>
      </c>
      <c r="F78" t="s">
        <v>41</v>
      </c>
      <c r="G78">
        <v>-468.29430000000002</v>
      </c>
      <c r="H78">
        <v>0.97580020000000001</v>
      </c>
      <c r="I78">
        <v>367.22660000000002</v>
      </c>
      <c r="J78">
        <v>-468.90609999999998</v>
      </c>
      <c r="K78">
        <v>1.108282</v>
      </c>
      <c r="L78">
        <v>367.17320000000001</v>
      </c>
      <c r="M78">
        <v>0.99996160000000001</v>
      </c>
      <c r="N78">
        <v>3.2027660000000001E-3</v>
      </c>
      <c r="O78">
        <v>-8.1727499999999995E-3</v>
      </c>
      <c r="P78">
        <v>0.97182519999999994</v>
      </c>
      <c r="Q78">
        <v>0.23027230000000001</v>
      </c>
      <c r="R78">
        <v>5.0308180000000001E-2</v>
      </c>
      <c r="S78">
        <v>3.2027890000000001</v>
      </c>
      <c r="T78">
        <v>-0.53726660000000004</v>
      </c>
      <c r="U78">
        <v>0.21166989999999999</v>
      </c>
      <c r="V78">
        <v>-5.8190619999999998E-2</v>
      </c>
      <c r="W78">
        <v>0.22717499999999999</v>
      </c>
      <c r="X78">
        <v>0.97211380000000003</v>
      </c>
      <c r="Y78">
        <v>-7.2984309999999997E-2</v>
      </c>
      <c r="Z78">
        <v>7.3408450000000004E-3</v>
      </c>
      <c r="AA78">
        <v>0.99730600000000003</v>
      </c>
      <c r="AB78">
        <v>20</v>
      </c>
      <c r="AC78">
        <v>0.61179999999995904</v>
      </c>
      <c r="AD78">
        <v>-0.13248179999999901</v>
      </c>
      <c r="AE78">
        <v>5.3400000000010502E-2</v>
      </c>
      <c r="AF78">
        <v>-5.5801501385737001E-2</v>
      </c>
      <c r="AG78">
        <v>-0.13248179999999901</v>
      </c>
      <c r="AH78">
        <v>0.58415822974742404</v>
      </c>
      <c r="AI78">
        <v>102.722000452784</v>
      </c>
      <c r="AJ78">
        <v>95.456601507896394</v>
      </c>
      <c r="AK78">
        <v>0.60158629661070795</v>
      </c>
      <c r="AL78">
        <v>76.869190097120693</v>
      </c>
      <c r="AM78">
        <v>93.425631078326504</v>
      </c>
      <c r="AN78">
        <v>0.99999993451571001</v>
      </c>
    </row>
    <row r="79" spans="1:40" x14ac:dyDescent="0.25">
      <c r="A79" t="str">
        <f>"20190304164555568"</f>
        <v>20190304164555568</v>
      </c>
      <c r="B79" t="str">
        <f>"1551689155557457"</f>
        <v>1551689155557457</v>
      </c>
      <c r="C79" t="s">
        <v>40</v>
      </c>
      <c r="D79">
        <v>5.2404960000000003</v>
      </c>
      <c r="E79">
        <v>0.50879839999999998</v>
      </c>
      <c r="F79" t="s">
        <v>41</v>
      </c>
      <c r="G79">
        <v>-468.1103</v>
      </c>
      <c r="H79">
        <v>0.97475299999999998</v>
      </c>
      <c r="I79">
        <v>367.2253</v>
      </c>
      <c r="J79">
        <v>-468.68290000000002</v>
      </c>
      <c r="K79">
        <v>1.108284</v>
      </c>
      <c r="L79">
        <v>367.1712</v>
      </c>
      <c r="M79">
        <v>0.99996030000000002</v>
      </c>
      <c r="N79">
        <v>3.1477800000000002E-3</v>
      </c>
      <c r="O79">
        <v>-8.3506429999999996E-3</v>
      </c>
      <c r="P79">
        <v>0.97179070000000001</v>
      </c>
      <c r="Q79">
        <v>0.23043810000000001</v>
      </c>
      <c r="R79">
        <v>5.0210860000000003E-2</v>
      </c>
      <c r="S79">
        <v>3.2034910000000001</v>
      </c>
      <c r="T79">
        <v>-0.53759669999999904</v>
      </c>
      <c r="U79">
        <v>0.21008299999999999</v>
      </c>
      <c r="V79">
        <v>-5.8264040000000003E-2</v>
      </c>
      <c r="W79">
        <v>0.22739470000000001</v>
      </c>
      <c r="X79">
        <v>0.97205810000000004</v>
      </c>
      <c r="Y79">
        <v>-7.2656150000000003E-2</v>
      </c>
      <c r="Z79">
        <v>7.3488190000000004E-3</v>
      </c>
      <c r="AA79">
        <v>0.99733000000000005</v>
      </c>
      <c r="AB79">
        <v>20</v>
      </c>
      <c r="AC79">
        <v>0.57260000000002198</v>
      </c>
      <c r="AD79">
        <v>-0.13353099999999901</v>
      </c>
      <c r="AE79">
        <v>5.4100000000005297E-2</v>
      </c>
      <c r="AF79">
        <v>-5.5868321409114401E-2</v>
      </c>
      <c r="AG79">
        <v>-0.13353099999999901</v>
      </c>
      <c r="AH79">
        <v>0.54286685493910802</v>
      </c>
      <c r="AI79">
        <v>103.749080645135</v>
      </c>
      <c r="AJ79">
        <v>95.875822788773903</v>
      </c>
      <c r="AK79">
        <v>0.561832910650089</v>
      </c>
      <c r="AL79">
        <v>76.856264774405801</v>
      </c>
      <c r="AM79">
        <v>93.430139007686094</v>
      </c>
      <c r="AN79">
        <v>0.99999999886041002</v>
      </c>
    </row>
    <row r="80" spans="1:40" x14ac:dyDescent="0.25">
      <c r="A80" t="str">
        <f>"20190304164555590"</f>
        <v>20190304164555590</v>
      </c>
      <c r="B80" t="str">
        <f>"1551689155577953"</f>
        <v>1551689155577953</v>
      </c>
      <c r="C80" t="s">
        <v>40</v>
      </c>
      <c r="D80">
        <v>5.2337559999999996</v>
      </c>
      <c r="E80">
        <v>0.50879839999999998</v>
      </c>
      <c r="F80" t="s">
        <v>41</v>
      </c>
      <c r="G80">
        <v>-467.92140000000001</v>
      </c>
      <c r="H80">
        <v>0.98011519999999996</v>
      </c>
      <c r="I80">
        <v>367.22030000000001</v>
      </c>
      <c r="J80">
        <v>-468.46749999999997</v>
      </c>
      <c r="K80">
        <v>1.108279</v>
      </c>
      <c r="L80">
        <v>367.16919999999999</v>
      </c>
      <c r="M80">
        <v>0.99995889999999998</v>
      </c>
      <c r="N80">
        <v>3.09275E-3</v>
      </c>
      <c r="O80">
        <v>-8.5220999999999995E-3</v>
      </c>
      <c r="P80">
        <v>0.97177919999999995</v>
      </c>
      <c r="Q80">
        <v>0.23042460000000001</v>
      </c>
      <c r="R80">
        <v>5.0497779999999999E-2</v>
      </c>
      <c r="S80">
        <v>3.2041629999999999</v>
      </c>
      <c r="T80">
        <v>-0.53927530000000001</v>
      </c>
      <c r="U80">
        <v>0.20764160000000001</v>
      </c>
      <c r="V80">
        <v>-5.8716770000000001E-2</v>
      </c>
      <c r="W80">
        <v>0.2274351</v>
      </c>
      <c r="X80">
        <v>0.97202140000000004</v>
      </c>
      <c r="Y80">
        <v>-7.2055720000000004E-2</v>
      </c>
      <c r="Z80">
        <v>7.3518890000000003E-3</v>
      </c>
      <c r="AA80">
        <v>0.99737350000000002</v>
      </c>
      <c r="AB80">
        <v>21</v>
      </c>
      <c r="AC80">
        <v>0.54609999999996695</v>
      </c>
      <c r="AD80">
        <v>-0.12816379999999999</v>
      </c>
      <c r="AE80">
        <v>5.1100000000019401E-2</v>
      </c>
      <c r="AF80">
        <v>-5.2865573941985301E-2</v>
      </c>
      <c r="AG80">
        <v>-0.12816379999999999</v>
      </c>
      <c r="AH80">
        <v>0.51739444986584504</v>
      </c>
      <c r="AI80">
        <v>103.84340786430499</v>
      </c>
      <c r="AJ80">
        <v>95.834038098381697</v>
      </c>
      <c r="AK80">
        <v>0.53564703424049298</v>
      </c>
      <c r="AL80">
        <v>76.853887662371093</v>
      </c>
      <c r="AM80">
        <v>93.456858087678697</v>
      </c>
      <c r="AN80">
        <v>0.99999999292460096</v>
      </c>
    </row>
    <row r="81" spans="1:40" x14ac:dyDescent="0.25">
      <c r="A81" t="str">
        <f>"20190304164555612"</f>
        <v>20190304164555612</v>
      </c>
      <c r="B81" t="str">
        <f>"1551689155597473"</f>
        <v>1551689155597473</v>
      </c>
      <c r="C81" t="s">
        <v>40</v>
      </c>
      <c r="D81">
        <v>5.1771149999999997</v>
      </c>
      <c r="E81">
        <v>0.50899510000000003</v>
      </c>
      <c r="F81" t="s">
        <v>41</v>
      </c>
      <c r="G81">
        <v>-467.73079999999999</v>
      </c>
      <c r="H81">
        <v>0.98433820000000005</v>
      </c>
      <c r="I81">
        <v>367.21679999999998</v>
      </c>
      <c r="J81">
        <v>-468.26659999999998</v>
      </c>
      <c r="K81">
        <v>1.108287</v>
      </c>
      <c r="L81">
        <v>367.16730000000001</v>
      </c>
      <c r="M81">
        <v>0.99995789999999996</v>
      </c>
      <c r="N81">
        <v>3.0403019999999999E-3</v>
      </c>
      <c r="O81">
        <v>-8.6817609999999996E-3</v>
      </c>
      <c r="P81">
        <v>0.97170639999999997</v>
      </c>
      <c r="Q81">
        <v>0.23066539999999999</v>
      </c>
      <c r="R81">
        <v>5.0797509999999997E-2</v>
      </c>
      <c r="S81">
        <v>3.2041629999999999</v>
      </c>
      <c r="T81">
        <v>-0.53928299999999996</v>
      </c>
      <c r="U81">
        <v>0.20883180000000001</v>
      </c>
      <c r="V81">
        <v>-5.9169619999999999E-2</v>
      </c>
      <c r="W81">
        <v>0.2277276</v>
      </c>
      <c r="X81">
        <v>0.97192540000000005</v>
      </c>
      <c r="Y81">
        <v>-7.2574180000000002E-2</v>
      </c>
      <c r="Z81">
        <v>7.4229939999999996E-3</v>
      </c>
      <c r="AA81">
        <v>0.99733539999999998</v>
      </c>
      <c r="AB81">
        <v>21</v>
      </c>
      <c r="AC81">
        <v>0.53579999999999395</v>
      </c>
      <c r="AD81">
        <v>-0.1239488</v>
      </c>
      <c r="AE81">
        <v>4.94999999999663E-2</v>
      </c>
      <c r="AF81">
        <v>-5.1421296593195998E-2</v>
      </c>
      <c r="AG81">
        <v>-0.1239488</v>
      </c>
      <c r="AH81">
        <v>0.50837440741112305</v>
      </c>
      <c r="AI81">
        <v>103.63522115741701</v>
      </c>
      <c r="AJ81">
        <v>95.775737021559195</v>
      </c>
      <c r="AK81">
        <v>0.52578702235351504</v>
      </c>
      <c r="AL81">
        <v>76.836676360550001</v>
      </c>
      <c r="AM81">
        <v>93.483796747686199</v>
      </c>
      <c r="AN81">
        <v>0.99999994344892995</v>
      </c>
    </row>
    <row r="82" spans="1:40" x14ac:dyDescent="0.25">
      <c r="A82" t="str">
        <f>"20190304164555636"</f>
        <v>20190304164555636</v>
      </c>
      <c r="B82" t="str">
        <f>"1551689155627730"</f>
        <v>1551689155627730</v>
      </c>
      <c r="C82" t="s">
        <v>40</v>
      </c>
      <c r="D82">
        <v>5.134004</v>
      </c>
      <c r="E82">
        <v>0.50925410000000004</v>
      </c>
      <c r="F82" t="s">
        <v>41</v>
      </c>
      <c r="G82">
        <v>-467.53919999999999</v>
      </c>
      <c r="H82">
        <v>0.98584830000000001</v>
      </c>
      <c r="I82">
        <v>367.21429999999998</v>
      </c>
      <c r="J82">
        <v>-468.02789999999999</v>
      </c>
      <c r="K82">
        <v>1.108285</v>
      </c>
      <c r="L82">
        <v>367.16500000000002</v>
      </c>
      <c r="M82">
        <v>0.99995630000000002</v>
      </c>
      <c r="N82">
        <v>2.976884E-3</v>
      </c>
      <c r="O82">
        <v>-8.8713290000000007E-3</v>
      </c>
      <c r="P82">
        <v>0.97163940000000004</v>
      </c>
      <c r="Q82">
        <v>0.23085269999999999</v>
      </c>
      <c r="R82">
        <v>5.1225560000000003E-2</v>
      </c>
      <c r="S82">
        <v>3.2045590000000002</v>
      </c>
      <c r="T82">
        <v>-0.53957639999999996</v>
      </c>
      <c r="U82">
        <v>0.2086182</v>
      </c>
      <c r="V82">
        <v>-5.9780100000000003E-2</v>
      </c>
      <c r="W82">
        <v>0.2279774</v>
      </c>
      <c r="X82">
        <v>0.97182950000000001</v>
      </c>
      <c r="Y82">
        <v>-7.2683520000000001E-2</v>
      </c>
      <c r="Z82">
        <v>7.4690869999999897E-3</v>
      </c>
      <c r="AA82">
        <v>0.99732710000000002</v>
      </c>
      <c r="AB82">
        <v>21</v>
      </c>
      <c r="AC82">
        <v>0.48869999999999397</v>
      </c>
      <c r="AD82">
        <v>-0.122436699999999</v>
      </c>
      <c r="AE82">
        <v>4.9299999999959702E-2</v>
      </c>
      <c r="AF82">
        <v>-5.0495899342882102E-2</v>
      </c>
      <c r="AG82">
        <v>-0.122436699999999</v>
      </c>
      <c r="AH82">
        <v>0.45968082167875401</v>
      </c>
      <c r="AI82">
        <v>104.829319679672</v>
      </c>
      <c r="AJ82">
        <v>96.268801939810004</v>
      </c>
      <c r="AK82">
        <v>0.478379597366558</v>
      </c>
      <c r="AL82">
        <v>76.821977527603707</v>
      </c>
      <c r="AM82">
        <v>93.519997218496201</v>
      </c>
      <c r="AN82">
        <v>0.99999996616850895</v>
      </c>
    </row>
    <row r="83" spans="1:40" x14ac:dyDescent="0.25">
      <c r="A83" t="str">
        <f>"20190304164555657"</f>
        <v>20190304164555657</v>
      </c>
      <c r="B83" t="str">
        <f>"1551689155648225"</f>
        <v>1551689155648225</v>
      </c>
      <c r="C83" t="s">
        <v>40</v>
      </c>
      <c r="D83">
        <v>5.0821050000000003</v>
      </c>
      <c r="E83">
        <v>0.50928189999999995</v>
      </c>
      <c r="F83" t="s">
        <v>41</v>
      </c>
      <c r="G83">
        <v>-467.16079999999999</v>
      </c>
      <c r="H83">
        <v>0.96228400000000003</v>
      </c>
      <c r="I83">
        <v>367.22089999999997</v>
      </c>
      <c r="J83">
        <v>-467.83</v>
      </c>
      <c r="K83">
        <v>1.1082879999999999</v>
      </c>
      <c r="L83">
        <v>367.16309999999999</v>
      </c>
      <c r="M83">
        <v>0.99995509999999999</v>
      </c>
      <c r="N83">
        <v>2.9239750000000001E-3</v>
      </c>
      <c r="O83">
        <v>-9.0278930000000004E-3</v>
      </c>
      <c r="P83">
        <v>0.97165080000000004</v>
      </c>
      <c r="Q83">
        <v>0.23071659999999999</v>
      </c>
      <c r="R83">
        <v>5.1621069999999998E-2</v>
      </c>
      <c r="S83">
        <v>3.2048649999999999</v>
      </c>
      <c r="T83">
        <v>-0.53983449999999999</v>
      </c>
      <c r="U83">
        <v>0.2081604</v>
      </c>
      <c r="V83">
        <v>-6.032626E-2</v>
      </c>
      <c r="W83">
        <v>0.2278934</v>
      </c>
      <c r="X83">
        <v>0.97181550000000005</v>
      </c>
      <c r="Y83">
        <v>-7.2688180000000005E-2</v>
      </c>
      <c r="Z83">
        <v>7.5004479999999998E-3</v>
      </c>
      <c r="AA83">
        <v>0.9973265</v>
      </c>
      <c r="AB83">
        <v>22</v>
      </c>
      <c r="AC83">
        <v>0.66919999999998903</v>
      </c>
      <c r="AD83">
        <v>-0.146003999999999</v>
      </c>
      <c r="AE83">
        <v>5.7799999999986001E-2</v>
      </c>
      <c r="AF83">
        <v>-6.09589069069192E-2</v>
      </c>
      <c r="AG83">
        <v>-0.146003999999999</v>
      </c>
      <c r="AH83">
        <v>0.63848340779680002</v>
      </c>
      <c r="AI83">
        <v>102.824164092245</v>
      </c>
      <c r="AJ83">
        <v>95.453757000181795</v>
      </c>
      <c r="AK83">
        <v>0.657794966824087</v>
      </c>
      <c r="AL83">
        <v>76.826921114870501</v>
      </c>
      <c r="AM83">
        <v>93.552125517058997</v>
      </c>
      <c r="AN83">
        <v>1.00000001272469</v>
      </c>
    </row>
    <row r="84" spans="1:40" x14ac:dyDescent="0.25">
      <c r="A84" t="str">
        <f>"20190304164555679"</f>
        <v>20190304164555679</v>
      </c>
      <c r="B84" t="str">
        <f>"1551689155667745"</f>
        <v>1551689155667745</v>
      </c>
      <c r="C84" t="s">
        <v>40</v>
      </c>
      <c r="D84">
        <v>5.5015099999999997</v>
      </c>
      <c r="E84">
        <v>0.48158430000000002</v>
      </c>
      <c r="F84" t="s">
        <v>41</v>
      </c>
      <c r="G84">
        <v>-466.96350000000001</v>
      </c>
      <c r="H84">
        <v>0.96223219999999998</v>
      </c>
      <c r="I84">
        <v>367.21949999999998</v>
      </c>
      <c r="J84">
        <v>-467.61149999999998</v>
      </c>
      <c r="K84">
        <v>1.1082920000000001</v>
      </c>
      <c r="L84">
        <v>367.16090000000003</v>
      </c>
      <c r="M84">
        <v>0.9999536</v>
      </c>
      <c r="N84">
        <v>2.864915E-3</v>
      </c>
      <c r="O84">
        <v>-9.2012589999999998E-3</v>
      </c>
      <c r="P84">
        <v>0.97178439999999999</v>
      </c>
      <c r="Q84">
        <v>0.23011039999999999</v>
      </c>
      <c r="R84">
        <v>5.1812400000000002E-2</v>
      </c>
      <c r="S84">
        <v>3.2046510000000001</v>
      </c>
      <c r="T84">
        <v>-0.54029039999999995</v>
      </c>
      <c r="U84">
        <v>0.20892330000000001</v>
      </c>
      <c r="V84">
        <v>-6.0686440000000001E-2</v>
      </c>
      <c r="W84">
        <v>0.2273445</v>
      </c>
      <c r="X84">
        <v>0.97192160000000005</v>
      </c>
      <c r="Y84">
        <v>-7.3091390000000006E-2</v>
      </c>
      <c r="Z84">
        <v>7.5714569999999898E-3</v>
      </c>
      <c r="AA84">
        <v>0.99729650000000003</v>
      </c>
      <c r="AB84">
        <v>22</v>
      </c>
      <c r="AC84">
        <v>0.64799999999996705</v>
      </c>
      <c r="AD84">
        <v>-0.14605979999999999</v>
      </c>
      <c r="AE84">
        <v>5.8599999999955799E-2</v>
      </c>
      <c r="AF84">
        <v>-6.1462643997650897E-2</v>
      </c>
      <c r="AG84">
        <v>-0.14605979999999999</v>
      </c>
      <c r="AH84">
        <v>0.61637224155362702</v>
      </c>
      <c r="AI84">
        <v>103.26784283399699</v>
      </c>
      <c r="AJ84">
        <v>95.694525011225906</v>
      </c>
      <c r="AK84">
        <v>0.63641642180341695</v>
      </c>
      <c r="AL84">
        <v>76.859218144456406</v>
      </c>
      <c r="AM84">
        <v>93.572889750146899</v>
      </c>
      <c r="AN84">
        <v>0.99999998111334099</v>
      </c>
    </row>
    <row r="85" spans="1:40" x14ac:dyDescent="0.25">
      <c r="A85" t="str">
        <f>"20190304164555702"</f>
        <v>20190304164555702</v>
      </c>
      <c r="B85" t="str">
        <f>"1551689155698001"</f>
        <v>1551689155698001</v>
      </c>
      <c r="C85" t="s">
        <v>40</v>
      </c>
      <c r="D85">
        <v>5.0289669999999997</v>
      </c>
      <c r="E85">
        <v>0.36515730000000002</v>
      </c>
      <c r="F85" t="s">
        <v>42</v>
      </c>
      <c r="G85">
        <v>-460.024</v>
      </c>
      <c r="H85" s="1">
        <v>-4.5183849999999996E-6</v>
      </c>
      <c r="I85">
        <v>368.17090000000002</v>
      </c>
      <c r="J85">
        <v>-467.37880000000001</v>
      </c>
      <c r="K85">
        <v>1.108293</v>
      </c>
      <c r="L85">
        <v>367.15859999999998</v>
      </c>
      <c r="M85">
        <v>0.99995210000000001</v>
      </c>
      <c r="N85">
        <v>2.8014889999999999E-3</v>
      </c>
      <c r="O85">
        <v>-9.3848720000000007E-3</v>
      </c>
      <c r="P85">
        <v>0.97170319999999999</v>
      </c>
      <c r="Q85">
        <v>0.23041239999999999</v>
      </c>
      <c r="R85">
        <v>5.1990960000000003E-2</v>
      </c>
      <c r="S85">
        <v>3.1744080000000001</v>
      </c>
      <c r="T85">
        <v>-0.46367340000000001</v>
      </c>
      <c r="U85">
        <v>0.42257689999999998</v>
      </c>
      <c r="V85">
        <v>-6.1040730000000001E-2</v>
      </c>
      <c r="W85">
        <v>0.22770899999999999</v>
      </c>
      <c r="X85">
        <v>0.97181410000000001</v>
      </c>
      <c r="Y85">
        <v>-0.1397224</v>
      </c>
      <c r="Z85">
        <v>1.129295E-2</v>
      </c>
      <c r="AA85">
        <v>0.99012630000000001</v>
      </c>
      <c r="AB85">
        <v>22</v>
      </c>
      <c r="AC85">
        <v>7.3548000000000098</v>
      </c>
      <c r="AD85">
        <v>-1.1082975183849999</v>
      </c>
      <c r="AE85">
        <v>1.01230000000003</v>
      </c>
      <c r="AF85">
        <v>-1.0577080866327</v>
      </c>
      <c r="AG85">
        <v>-1.1082975183849999</v>
      </c>
      <c r="AH85">
        <v>7.1848582646858103</v>
      </c>
      <c r="AI85">
        <v>98.676949969989707</v>
      </c>
      <c r="AJ85">
        <v>98.374560282718406</v>
      </c>
      <c r="AK85">
        <v>7.3463772071280502</v>
      </c>
      <c r="AL85">
        <v>76.837771603614996</v>
      </c>
      <c r="AM85">
        <v>93.594090411539597</v>
      </c>
      <c r="AN85">
        <v>1.00000000217937</v>
      </c>
    </row>
    <row r="86" spans="1:40" x14ac:dyDescent="0.25">
      <c r="A86" t="str">
        <f>"20190304164555722"</f>
        <v>20190304164555722</v>
      </c>
      <c r="B86" t="str">
        <f>"1551689155717523"</f>
        <v>1551689155717523</v>
      </c>
      <c r="C86" t="s">
        <v>40</v>
      </c>
      <c r="D86">
        <v>5.0009769999999998</v>
      </c>
      <c r="E86">
        <v>0.29200759999999998</v>
      </c>
      <c r="F86" t="s">
        <v>42</v>
      </c>
      <c r="G86">
        <v>-458.19720000000001</v>
      </c>
      <c r="H86" s="1">
        <v>-1.159706E-6</v>
      </c>
      <c r="I86">
        <v>371.13470000000001</v>
      </c>
      <c r="J86">
        <v>-467.17790000000002</v>
      </c>
      <c r="K86">
        <v>1.1082970000000001</v>
      </c>
      <c r="L86">
        <v>367.15649999999999</v>
      </c>
      <c r="M86">
        <v>0.99995060000000002</v>
      </c>
      <c r="N86">
        <v>2.7463280000000001E-3</v>
      </c>
      <c r="O86">
        <v>-9.5432280000000008E-3</v>
      </c>
      <c r="P86">
        <v>0.97167769999999998</v>
      </c>
      <c r="Q86">
        <v>0.23050909999999999</v>
      </c>
      <c r="R86">
        <v>5.2039839999999997E-2</v>
      </c>
      <c r="S86">
        <v>3.1043090000000002</v>
      </c>
      <c r="T86">
        <v>-0.37470969999999998</v>
      </c>
      <c r="U86">
        <v>1.34433</v>
      </c>
      <c r="V86">
        <v>-6.1241940000000002E-2</v>
      </c>
      <c r="W86">
        <v>0.22785939999999999</v>
      </c>
      <c r="X86">
        <v>0.97176620000000002</v>
      </c>
      <c r="Y86">
        <v>-0.40366170000000001</v>
      </c>
      <c r="Z86">
        <v>2.3786680000000001E-2</v>
      </c>
      <c r="AA86">
        <v>0.9145991</v>
      </c>
      <c r="AB86">
        <v>22</v>
      </c>
      <c r="AC86">
        <v>8.9807000000000095</v>
      </c>
      <c r="AD86">
        <v>-1.10829815970599</v>
      </c>
      <c r="AE86">
        <v>3.97820000000001</v>
      </c>
      <c r="AF86">
        <v>-4.0126370750881</v>
      </c>
      <c r="AG86">
        <v>-1.10829815970599</v>
      </c>
      <c r="AH86">
        <v>8.8299078824419794</v>
      </c>
      <c r="AI86">
        <v>96.518945841154803</v>
      </c>
      <c r="AJ86">
        <v>114.43880584059499</v>
      </c>
      <c r="AK86">
        <v>9.7620107723557794</v>
      </c>
      <c r="AL86">
        <v>76.828921832258899</v>
      </c>
      <c r="AM86">
        <v>93.606083761587797</v>
      </c>
      <c r="AN86">
        <v>1.00000001442288</v>
      </c>
    </row>
    <row r="87" spans="1:40" x14ac:dyDescent="0.25">
      <c r="A87" t="str">
        <f>"20190304164555745"</f>
        <v>20190304164555745</v>
      </c>
      <c r="B87" t="str">
        <f>"1551689155738018"</f>
        <v>1551689155738018</v>
      </c>
      <c r="C87" t="s">
        <v>40</v>
      </c>
      <c r="D87">
        <v>4.9583570000000003</v>
      </c>
      <c r="E87">
        <v>0.28720970000000001</v>
      </c>
      <c r="F87" t="s">
        <v>41</v>
      </c>
      <c r="G87">
        <v>-466.33859999999999</v>
      </c>
      <c r="H87">
        <v>1.0253129999999999</v>
      </c>
      <c r="I87">
        <v>367.68439999999998</v>
      </c>
      <c r="J87">
        <v>-466.93950000000001</v>
      </c>
      <c r="K87">
        <v>1.108301</v>
      </c>
      <c r="L87">
        <v>367.15410000000003</v>
      </c>
      <c r="M87">
        <v>0.99994919999999998</v>
      </c>
      <c r="N87">
        <v>2.6804260000000001E-3</v>
      </c>
      <c r="O87">
        <v>-9.7286349999999994E-3</v>
      </c>
      <c r="P87">
        <v>0.97154949999999995</v>
      </c>
      <c r="Q87">
        <v>0.2310345</v>
      </c>
      <c r="R87">
        <v>5.210559E-2</v>
      </c>
      <c r="S87">
        <v>3.0561219999999998</v>
      </c>
      <c r="T87">
        <v>-0.30211280000000001</v>
      </c>
      <c r="U87">
        <v>1.9229130000000001</v>
      </c>
      <c r="V87">
        <v>-6.1485749999999999E-2</v>
      </c>
      <c r="W87">
        <v>0.2284495</v>
      </c>
      <c r="X87">
        <v>0.97161220000000004</v>
      </c>
      <c r="Y87">
        <v>-0.53890569999999904</v>
      </c>
      <c r="Z87">
        <v>2.4495650000000001E-2</v>
      </c>
      <c r="AA87">
        <v>0.84200980000000003</v>
      </c>
      <c r="AB87">
        <v>23</v>
      </c>
      <c r="AC87">
        <v>0.60090000000002397</v>
      </c>
      <c r="AD87">
        <v>-8.2988000000000006E-2</v>
      </c>
      <c r="AE87">
        <v>0.53029999999995403</v>
      </c>
      <c r="AF87">
        <v>-0.53043332405632104</v>
      </c>
      <c r="AG87">
        <v>-8.2988000000000006E-2</v>
      </c>
      <c r="AH87">
        <v>0.58939272444508095</v>
      </c>
      <c r="AI87">
        <v>95.974795242740797</v>
      </c>
      <c r="AJ87">
        <v>131.98613144506601</v>
      </c>
      <c r="AK87">
        <v>0.79726426173649201</v>
      </c>
      <c r="AL87">
        <v>76.794195082934905</v>
      </c>
      <c r="AM87">
        <v>93.620974122368096</v>
      </c>
      <c r="AN87">
        <v>0.99999996934607505</v>
      </c>
    </row>
    <row r="88" spans="1:40" x14ac:dyDescent="0.25">
      <c r="A88" t="str">
        <f>"20190304164555767"</f>
        <v>20190304164555767</v>
      </c>
      <c r="B88" t="str">
        <f>"1551689155757537"</f>
        <v>1551689155757537</v>
      </c>
      <c r="C88" t="s">
        <v>40</v>
      </c>
      <c r="D88">
        <v>4.9482140000000001</v>
      </c>
      <c r="E88">
        <v>0.28768110000000002</v>
      </c>
      <c r="F88" t="s">
        <v>41</v>
      </c>
      <c r="G88">
        <v>-466.1311</v>
      </c>
      <c r="H88">
        <v>1.032583</v>
      </c>
      <c r="I88">
        <v>367.67349999999999</v>
      </c>
      <c r="J88">
        <v>-466.71440000000001</v>
      </c>
      <c r="K88">
        <v>1.1083080000000001</v>
      </c>
      <c r="L88">
        <v>367.15170000000001</v>
      </c>
      <c r="M88">
        <v>0.99994769999999999</v>
      </c>
      <c r="N88">
        <v>2.6174900000000001E-3</v>
      </c>
      <c r="O88">
        <v>-9.8986739999999997E-3</v>
      </c>
      <c r="P88">
        <v>0.9713368</v>
      </c>
      <c r="Q88">
        <v>0.2318431</v>
      </c>
      <c r="R88">
        <v>5.2474630000000001E-2</v>
      </c>
      <c r="S88">
        <v>3.050659</v>
      </c>
      <c r="T88">
        <v>-0.28572690000000001</v>
      </c>
      <c r="U88">
        <v>1.960815</v>
      </c>
      <c r="V88">
        <v>-6.2017540000000003E-2</v>
      </c>
      <c r="W88">
        <v>0.2293203</v>
      </c>
      <c r="X88">
        <v>0.9713733</v>
      </c>
      <c r="Y88">
        <v>-0.54732510000000001</v>
      </c>
      <c r="Z88">
        <v>2.347252E-2</v>
      </c>
      <c r="AA88">
        <v>0.83659089999999903</v>
      </c>
      <c r="AB88">
        <v>23</v>
      </c>
      <c r="AC88">
        <v>0.58330000000000803</v>
      </c>
      <c r="AD88">
        <v>-7.5725000000000001E-2</v>
      </c>
      <c r="AE88">
        <v>0.52179999999998405</v>
      </c>
      <c r="AF88">
        <v>-0.52265532144304205</v>
      </c>
      <c r="AG88">
        <v>-7.5725000000000001E-2</v>
      </c>
      <c r="AH88">
        <v>0.57274432100277395</v>
      </c>
      <c r="AI88">
        <v>95.577963421257195</v>
      </c>
      <c r="AJ88">
        <v>132.381877422586</v>
      </c>
      <c r="AK88">
        <v>0.77906284592365005</v>
      </c>
      <c r="AL88">
        <v>76.742942146255203</v>
      </c>
      <c r="AM88">
        <v>93.653103303963405</v>
      </c>
      <c r="AN88">
        <v>1.00000003160631</v>
      </c>
    </row>
    <row r="89" spans="1:40" x14ac:dyDescent="0.25">
      <c r="A89" t="str">
        <f>"20190304164555789"</f>
        <v>20190304164555789</v>
      </c>
      <c r="B89" t="str">
        <f>"1551689155778034"</f>
        <v>1551689155778034</v>
      </c>
      <c r="C89" t="s">
        <v>40</v>
      </c>
      <c r="D89">
        <v>4.9198729999999999</v>
      </c>
      <c r="E89">
        <v>0.28890060000000001</v>
      </c>
      <c r="F89" t="s">
        <v>41</v>
      </c>
      <c r="G89">
        <v>-465.9212</v>
      </c>
      <c r="H89">
        <v>1.03532</v>
      </c>
      <c r="I89">
        <v>367.66070000000002</v>
      </c>
      <c r="J89">
        <v>-466.47820000000002</v>
      </c>
      <c r="K89">
        <v>1.1083099999999999</v>
      </c>
      <c r="L89">
        <v>367.14909999999998</v>
      </c>
      <c r="M89">
        <v>0.99994609999999995</v>
      </c>
      <c r="N89">
        <v>2.5509819999999998E-3</v>
      </c>
      <c r="O89">
        <v>-1.0068479999999999E-2</v>
      </c>
      <c r="P89">
        <v>0.97114529999999999</v>
      </c>
      <c r="Q89">
        <v>0.23263600000000001</v>
      </c>
      <c r="R89">
        <v>5.2510370000000001E-2</v>
      </c>
      <c r="S89">
        <v>3.0497130000000001</v>
      </c>
      <c r="T89">
        <v>-0.2806189</v>
      </c>
      <c r="U89">
        <v>1.9580690000000001</v>
      </c>
      <c r="V89">
        <v>-6.2217649999999999E-2</v>
      </c>
      <c r="W89">
        <v>0.23017750000000001</v>
      </c>
      <c r="X89">
        <v>0.97115770000000001</v>
      </c>
      <c r="Y89">
        <v>-0.54710879999999995</v>
      </c>
      <c r="Z89">
        <v>2.3077500000000001E-2</v>
      </c>
      <c r="AA89">
        <v>0.83674340000000003</v>
      </c>
      <c r="AB89">
        <v>23</v>
      </c>
      <c r="AC89">
        <v>0.55700000000001604</v>
      </c>
      <c r="AD89">
        <v>-7.2990000000000096E-2</v>
      </c>
      <c r="AE89">
        <v>0.51160000000004402</v>
      </c>
      <c r="AF89">
        <v>-0.51240956992283704</v>
      </c>
      <c r="AG89">
        <v>-7.2990000000000096E-2</v>
      </c>
      <c r="AH89">
        <v>0.54672840562408898</v>
      </c>
      <c r="AI89">
        <v>95.563557790673698</v>
      </c>
      <c r="AJ89">
        <v>133.14411648442999</v>
      </c>
      <c r="AK89">
        <v>0.75286323921730003</v>
      </c>
      <c r="AL89">
        <v>76.692477835509706</v>
      </c>
      <c r="AM89">
        <v>93.665669973345402</v>
      </c>
      <c r="AN89">
        <v>0.999999997873531</v>
      </c>
    </row>
    <row r="90" spans="1:40" x14ac:dyDescent="0.25">
      <c r="A90" t="str">
        <f>"20190304164555811"</f>
        <v>20190304164555811</v>
      </c>
      <c r="B90" t="str">
        <f>"1551689155807313"</f>
        <v>1551689155807313</v>
      </c>
      <c r="C90" t="s">
        <v>40</v>
      </c>
      <c r="D90">
        <v>4.935473</v>
      </c>
      <c r="E90">
        <v>0.29073729999999998</v>
      </c>
      <c r="F90" t="s">
        <v>41</v>
      </c>
      <c r="G90">
        <v>-465.7079</v>
      </c>
      <c r="H90">
        <v>1.038389</v>
      </c>
      <c r="I90">
        <v>367.64139999999998</v>
      </c>
      <c r="J90">
        <v>-466.2509</v>
      </c>
      <c r="K90">
        <v>1.108322</v>
      </c>
      <c r="L90">
        <v>367.14670000000001</v>
      </c>
      <c r="M90">
        <v>0.99994470000000002</v>
      </c>
      <c r="N90">
        <v>2.486682E-3</v>
      </c>
      <c r="O90">
        <v>-1.021625E-2</v>
      </c>
      <c r="P90">
        <v>0.9710432</v>
      </c>
      <c r="Q90">
        <v>0.23316410000000001</v>
      </c>
      <c r="R90">
        <v>5.2055839999999999E-2</v>
      </c>
      <c r="S90">
        <v>3.0500790000000002</v>
      </c>
      <c r="T90">
        <v>-0.27689419999999998</v>
      </c>
      <c r="U90">
        <v>1.9493100000000001</v>
      </c>
      <c r="V90">
        <v>-6.1909619999999999E-2</v>
      </c>
      <c r="W90">
        <v>0.23076720000000001</v>
      </c>
      <c r="X90">
        <v>0.97103740000000005</v>
      </c>
      <c r="Y90">
        <v>-0.54552519999999904</v>
      </c>
      <c r="Z90">
        <v>2.2744770000000001E-2</v>
      </c>
      <c r="AA90">
        <v>0.83778569999999997</v>
      </c>
      <c r="AB90">
        <v>23</v>
      </c>
      <c r="AC90">
        <v>0.54300000000000603</v>
      </c>
      <c r="AD90">
        <v>-6.9932999999999995E-2</v>
      </c>
      <c r="AE90">
        <v>0.494699999999966</v>
      </c>
      <c r="AF90">
        <v>-0.49572843523474802</v>
      </c>
      <c r="AG90">
        <v>-6.9932999999999995E-2</v>
      </c>
      <c r="AH90">
        <v>0.53308587816907704</v>
      </c>
      <c r="AI90">
        <v>95.487391800194104</v>
      </c>
      <c r="AJ90">
        <v>132.92043733007401</v>
      </c>
      <c r="AK90">
        <v>0.73131242262974605</v>
      </c>
      <c r="AL90">
        <v>76.657755335595198</v>
      </c>
      <c r="AM90">
        <v>93.648021592893201</v>
      </c>
      <c r="AN90">
        <v>0.999999966921571</v>
      </c>
    </row>
    <row r="91" spans="1:40" x14ac:dyDescent="0.25">
      <c r="A91" t="str">
        <f>"20190304164555833"</f>
        <v>20190304164555833</v>
      </c>
      <c r="B91" t="str">
        <f>"1551689155827810"</f>
        <v>1551689155827810</v>
      </c>
      <c r="C91" t="s">
        <v>40</v>
      </c>
      <c r="D91">
        <v>4.9394710000000002</v>
      </c>
      <c r="E91">
        <v>0.29186499999999999</v>
      </c>
      <c r="F91" t="s">
        <v>41</v>
      </c>
      <c r="G91">
        <v>-465.49360000000001</v>
      </c>
      <c r="H91">
        <v>1.03969</v>
      </c>
      <c r="I91">
        <v>367.6266</v>
      </c>
      <c r="J91">
        <v>-466.01100000000002</v>
      </c>
      <c r="K91">
        <v>1.108339</v>
      </c>
      <c r="L91">
        <v>367.14409999999998</v>
      </c>
      <c r="M91">
        <v>0.99994360000000004</v>
      </c>
      <c r="N91">
        <v>2.4180870000000002E-3</v>
      </c>
      <c r="O91">
        <v>-1.03477E-2</v>
      </c>
      <c r="P91">
        <v>0.97108720000000004</v>
      </c>
      <c r="Q91">
        <v>0.23311009999999999</v>
      </c>
      <c r="R91">
        <v>5.147173E-2</v>
      </c>
      <c r="S91">
        <v>3.0521850000000001</v>
      </c>
      <c r="T91">
        <v>-0.27660000000000001</v>
      </c>
      <c r="U91">
        <v>1.934631</v>
      </c>
      <c r="V91">
        <v>-6.1460769999999998E-2</v>
      </c>
      <c r="W91">
        <v>0.23077790000000001</v>
      </c>
      <c r="X91">
        <v>0.97106340000000002</v>
      </c>
      <c r="Y91">
        <v>-0.54250849999999995</v>
      </c>
      <c r="Z91">
        <v>2.2644569999999999E-2</v>
      </c>
      <c r="AA91">
        <v>0.83974499999999996</v>
      </c>
      <c r="AB91">
        <v>23</v>
      </c>
      <c r="AC91">
        <v>0.51739999999995201</v>
      </c>
      <c r="AD91">
        <v>-6.8648999999999905E-2</v>
      </c>
      <c r="AE91">
        <v>0.48250000000001497</v>
      </c>
      <c r="AF91">
        <v>-0.48327764427254899</v>
      </c>
      <c r="AG91">
        <v>-6.8648999999999905E-2</v>
      </c>
      <c r="AH91">
        <v>0.50760006622883802</v>
      </c>
      <c r="AI91">
        <v>95.594198413213107</v>
      </c>
      <c r="AJ91">
        <v>133.593880631628</v>
      </c>
      <c r="AK91">
        <v>0.70422140970730596</v>
      </c>
      <c r="AL91">
        <v>76.657125660154605</v>
      </c>
      <c r="AM91">
        <v>93.621547064846297</v>
      </c>
      <c r="AN91">
        <v>0.999999996098481</v>
      </c>
    </row>
    <row r="92" spans="1:40" x14ac:dyDescent="0.25">
      <c r="A92" t="str">
        <f>"20190304164555857"</f>
        <v>20190304164555857</v>
      </c>
      <c r="B92" t="str">
        <f>"1551689155847330"</f>
        <v>1551689155847330</v>
      </c>
      <c r="C92" t="s">
        <v>40</v>
      </c>
      <c r="D92">
        <v>4.9182969999999999</v>
      </c>
      <c r="E92">
        <v>0.29282449999999999</v>
      </c>
      <c r="F92" t="s">
        <v>41</v>
      </c>
      <c r="G92">
        <v>-465.27620000000002</v>
      </c>
      <c r="H92">
        <v>1.041393</v>
      </c>
      <c r="I92">
        <v>367.6071</v>
      </c>
      <c r="J92">
        <v>-465.76609999999999</v>
      </c>
      <c r="K92">
        <v>1.108366</v>
      </c>
      <c r="L92">
        <v>367.14139999999998</v>
      </c>
      <c r="M92">
        <v>0.99994269999999996</v>
      </c>
      <c r="N92">
        <v>2.3473389999999999E-3</v>
      </c>
      <c r="O92">
        <v>-1.044435E-2</v>
      </c>
      <c r="P92">
        <v>0.97118439999999995</v>
      </c>
      <c r="Q92">
        <v>0.23288030000000001</v>
      </c>
      <c r="R92">
        <v>5.06717E-2</v>
      </c>
      <c r="S92">
        <v>3.0541079999999998</v>
      </c>
      <c r="T92">
        <v>-0.27823599999999998</v>
      </c>
      <c r="U92">
        <v>1.9244079999999999</v>
      </c>
      <c r="V92">
        <v>-6.0767250000000002E-2</v>
      </c>
      <c r="W92">
        <v>0.2306137</v>
      </c>
      <c r="X92">
        <v>0.97114599999999995</v>
      </c>
      <c r="Y92">
        <v>-0.54032360000000001</v>
      </c>
      <c r="Z92">
        <v>2.2729510000000001E-2</v>
      </c>
      <c r="AA92">
        <v>0.84115030000000002</v>
      </c>
      <c r="AB92">
        <v>24</v>
      </c>
      <c r="AC92">
        <v>0.48989999999997702</v>
      </c>
      <c r="AD92">
        <v>-6.6972999999999894E-2</v>
      </c>
      <c r="AE92">
        <v>0.46570000000002598</v>
      </c>
      <c r="AF92">
        <v>-0.46621426387867898</v>
      </c>
      <c r="AG92">
        <v>-6.6972999999999894E-2</v>
      </c>
      <c r="AH92">
        <v>0.48029406774729699</v>
      </c>
      <c r="AI92">
        <v>95.713758516130895</v>
      </c>
      <c r="AJ92">
        <v>134.14775832867201</v>
      </c>
      <c r="AK92">
        <v>0.67269868000924804</v>
      </c>
      <c r="AL92">
        <v>76.666793743739007</v>
      </c>
      <c r="AM92">
        <v>93.580484884786202</v>
      </c>
      <c r="AN92">
        <v>0.99999994530812397</v>
      </c>
    </row>
    <row r="93" spans="1:40" x14ac:dyDescent="0.25">
      <c r="A93" t="str">
        <f>"20190304164555880"</f>
        <v>20190304164555880</v>
      </c>
      <c r="B93" t="str">
        <f>"1551689155867825"</f>
        <v>1551689155867825</v>
      </c>
      <c r="C93" t="s">
        <v>40</v>
      </c>
      <c r="D93">
        <v>5.8867940000000001</v>
      </c>
      <c r="E93">
        <v>0.2929638</v>
      </c>
      <c r="F93" t="s">
        <v>41</v>
      </c>
      <c r="G93">
        <v>-464.86349999999999</v>
      </c>
      <c r="H93">
        <v>1.0250239999999999</v>
      </c>
      <c r="I93">
        <v>367.70690000000002</v>
      </c>
      <c r="J93">
        <v>-465.49919999999997</v>
      </c>
      <c r="K93">
        <v>1.10839</v>
      </c>
      <c r="L93">
        <v>367.13850000000002</v>
      </c>
      <c r="M93">
        <v>0.9999422</v>
      </c>
      <c r="N93">
        <v>2.2697540000000001E-3</v>
      </c>
      <c r="O93">
        <v>-1.0509299999999999E-2</v>
      </c>
      <c r="P93">
        <v>0.97128490000000001</v>
      </c>
      <c r="Q93">
        <v>0.23280519999999999</v>
      </c>
      <c r="R93">
        <v>4.9066419999999999E-2</v>
      </c>
      <c r="S93">
        <v>3.0567929999999999</v>
      </c>
      <c r="T93">
        <v>-0.28226279999999998</v>
      </c>
      <c r="U93">
        <v>1.915375</v>
      </c>
      <c r="V93">
        <v>-5.923954E-2</v>
      </c>
      <c r="W93">
        <v>0.2306095</v>
      </c>
      <c r="X93">
        <v>0.97124149999999998</v>
      </c>
      <c r="Y93">
        <v>-0.53821750000000002</v>
      </c>
      <c r="Z93">
        <v>2.300806E-2</v>
      </c>
      <c r="AA93">
        <v>0.84249189999999996</v>
      </c>
      <c r="AB93">
        <v>24</v>
      </c>
      <c r="AC93">
        <v>0.63569999999998505</v>
      </c>
      <c r="AD93">
        <v>-8.3365999999999996E-2</v>
      </c>
      <c r="AE93">
        <v>0.56839999999999602</v>
      </c>
      <c r="AF93">
        <v>-0.56960558601326505</v>
      </c>
      <c r="AG93">
        <v>-8.3365999999999996E-2</v>
      </c>
      <c r="AH93">
        <v>0.62373031079874497</v>
      </c>
      <c r="AI93">
        <v>95.636551121192497</v>
      </c>
      <c r="AJ93">
        <v>132.403082872151</v>
      </c>
      <c r="AK93">
        <v>0.84878731975837995</v>
      </c>
      <c r="AL93">
        <v>76.667042581642406</v>
      </c>
      <c r="AM93">
        <v>93.490353288265297</v>
      </c>
      <c r="AN93">
        <v>1.00000005795595</v>
      </c>
    </row>
    <row r="94" spans="1:40" x14ac:dyDescent="0.25">
      <c r="A94" t="str">
        <f>"20190304164555903"</f>
        <v>20190304164555903</v>
      </c>
      <c r="B94" t="str">
        <f>"1551689155898082"</f>
        <v>1551689155898082</v>
      </c>
      <c r="C94" t="s">
        <v>40</v>
      </c>
      <c r="D94">
        <v>5.3426039999999997</v>
      </c>
      <c r="E94">
        <v>0.45583950000000001</v>
      </c>
      <c r="F94" t="s">
        <v>41</v>
      </c>
      <c r="G94">
        <v>-464.63780000000003</v>
      </c>
      <c r="H94">
        <v>1.028661</v>
      </c>
      <c r="I94">
        <v>367.67570000000001</v>
      </c>
      <c r="J94">
        <v>-465.24829999999997</v>
      </c>
      <c r="K94">
        <v>1.1084149999999999</v>
      </c>
      <c r="L94">
        <v>367.13580000000002</v>
      </c>
      <c r="M94">
        <v>0.9999422</v>
      </c>
      <c r="N94">
        <v>2.1958939999999999E-3</v>
      </c>
      <c r="O94">
        <v>-1.054135E-2</v>
      </c>
      <c r="P94">
        <v>0.9713271</v>
      </c>
      <c r="Q94">
        <v>0.23293559999999999</v>
      </c>
      <c r="R94">
        <v>4.7593339999999998E-2</v>
      </c>
      <c r="S94">
        <v>3.0601500000000001</v>
      </c>
      <c r="T94">
        <v>-0.28316269999999999</v>
      </c>
      <c r="U94">
        <v>1.908936</v>
      </c>
      <c r="V94">
        <v>-5.7810250000000001E-2</v>
      </c>
      <c r="W94">
        <v>0.2308086</v>
      </c>
      <c r="X94">
        <v>0.97128029999999999</v>
      </c>
      <c r="Y94">
        <v>-0.53654619999999997</v>
      </c>
      <c r="Z94">
        <v>2.3028400000000001E-2</v>
      </c>
      <c r="AA94">
        <v>0.84355669999999905</v>
      </c>
      <c r="AB94">
        <v>24</v>
      </c>
      <c r="AC94">
        <v>0.61049999999994498</v>
      </c>
      <c r="AD94">
        <v>-7.9753999999999797E-2</v>
      </c>
      <c r="AE94">
        <v>0.53989999999998795</v>
      </c>
      <c r="AF94">
        <v>-0.54112346827593905</v>
      </c>
      <c r="AG94">
        <v>-7.9753999999999797E-2</v>
      </c>
      <c r="AH94">
        <v>0.59903813247356696</v>
      </c>
      <c r="AI94">
        <v>95.6423116708105</v>
      </c>
      <c r="AJ94">
        <v>132.09215222808101</v>
      </c>
      <c r="AK94">
        <v>0.811185547573673</v>
      </c>
      <c r="AL94">
        <v>76.655318308225404</v>
      </c>
      <c r="AM94">
        <v>93.406205479177501</v>
      </c>
      <c r="AN94">
        <v>1.0000000280035499</v>
      </c>
    </row>
    <row r="95" spans="1:40" x14ac:dyDescent="0.25">
      <c r="A95" t="str">
        <f>"20190304164555923"</f>
        <v>20190304164555923</v>
      </c>
      <c r="B95" t="str">
        <f>"1551689155917601"</f>
        <v>1551689155917601</v>
      </c>
      <c r="C95" t="s">
        <v>40</v>
      </c>
      <c r="D95">
        <v>4.8880520000000001</v>
      </c>
      <c r="E95">
        <v>0.47182809999999997</v>
      </c>
      <c r="F95" t="s">
        <v>42</v>
      </c>
      <c r="G95">
        <v>-448.37</v>
      </c>
      <c r="H95" s="1">
        <v>-9.4680939999999999E-7</v>
      </c>
      <c r="I95">
        <v>370.35230000000001</v>
      </c>
      <c r="J95">
        <v>-465.02839999999998</v>
      </c>
      <c r="K95">
        <v>1.108441</v>
      </c>
      <c r="L95">
        <v>367.13350000000003</v>
      </c>
      <c r="M95">
        <v>0.9999422</v>
      </c>
      <c r="N95">
        <v>2.1305500000000002E-3</v>
      </c>
      <c r="O95">
        <v>-1.054716E-2</v>
      </c>
      <c r="P95">
        <v>0.97124909999999998</v>
      </c>
      <c r="Q95">
        <v>0.23343620000000001</v>
      </c>
      <c r="R95">
        <v>4.6722729999999997E-2</v>
      </c>
      <c r="S95">
        <v>3.1084589999999999</v>
      </c>
      <c r="T95">
        <v>-0.20413600000000001</v>
      </c>
      <c r="U95">
        <v>0.59237669999999998</v>
      </c>
      <c r="V95">
        <v>-5.6953009999999998E-2</v>
      </c>
      <c r="W95">
        <v>0.2313703</v>
      </c>
      <c r="X95">
        <v>0.97119719999999998</v>
      </c>
      <c r="Y95">
        <v>-0.1971309</v>
      </c>
      <c r="Z95">
        <v>6.9045280000000001E-3</v>
      </c>
      <c r="AA95">
        <v>0.98035289999999997</v>
      </c>
      <c r="AB95">
        <v>25</v>
      </c>
      <c r="AC95">
        <v>16.658399999999901</v>
      </c>
      <c r="AD95">
        <v>-1.10844194680939</v>
      </c>
      <c r="AE95">
        <v>3.2187999999999799</v>
      </c>
      <c r="AF95">
        <v>-3.37989424290644</v>
      </c>
      <c r="AG95">
        <v>-1.10844194680939</v>
      </c>
      <c r="AH95">
        <v>16.552873915860399</v>
      </c>
      <c r="AI95">
        <v>93.753793472750402</v>
      </c>
      <c r="AJ95">
        <v>101.54045804086</v>
      </c>
      <c r="AK95">
        <v>16.930740194009601</v>
      </c>
      <c r="AL95">
        <v>76.622238600960301</v>
      </c>
      <c r="AM95">
        <v>93.356099299998903</v>
      </c>
      <c r="AN95">
        <v>0.999999931178992</v>
      </c>
    </row>
    <row r="96" spans="1:40" x14ac:dyDescent="0.25">
      <c r="A96" t="str">
        <f>"20190304164555945"</f>
        <v>20190304164555945</v>
      </c>
      <c r="B96" t="str">
        <f>"1551689155938098"</f>
        <v>1551689155938098</v>
      </c>
      <c r="C96" t="s">
        <v>40</v>
      </c>
      <c r="D96">
        <v>4.9843359999999999</v>
      </c>
      <c r="E96">
        <v>0.54380059999999997</v>
      </c>
      <c r="F96" t="s">
        <v>42</v>
      </c>
      <c r="G96">
        <v>-450.1705</v>
      </c>
      <c r="H96" s="1">
        <v>-4.247661E-6</v>
      </c>
      <c r="I96">
        <v>369.34289999999999</v>
      </c>
      <c r="J96">
        <v>-464.7722</v>
      </c>
      <c r="K96">
        <v>1.108463</v>
      </c>
      <c r="L96">
        <v>367.13080000000002</v>
      </c>
      <c r="M96">
        <v>0.99994249999999996</v>
      </c>
      <c r="N96">
        <v>2.053736E-3</v>
      </c>
      <c r="O96">
        <v>-1.0523289999999999E-2</v>
      </c>
      <c r="P96">
        <v>0.97107790000000005</v>
      </c>
      <c r="Q96">
        <v>0.23424929999999999</v>
      </c>
      <c r="R96">
        <v>4.6206150000000001E-2</v>
      </c>
      <c r="S96">
        <v>3.1224980000000002</v>
      </c>
      <c r="T96">
        <v>-0.2329454</v>
      </c>
      <c r="U96">
        <v>0.46432499999999999</v>
      </c>
      <c r="V96">
        <v>-5.6423479999999998E-2</v>
      </c>
      <c r="W96">
        <v>0.2322554</v>
      </c>
      <c r="X96">
        <v>0.97101689999999996</v>
      </c>
      <c r="Y96">
        <v>-0.15704109999999999</v>
      </c>
      <c r="Z96">
        <v>6.4567770000000003E-3</v>
      </c>
      <c r="AA96">
        <v>0.98757090000000003</v>
      </c>
      <c r="AB96">
        <v>25</v>
      </c>
      <c r="AC96">
        <v>14.6016999999999</v>
      </c>
      <c r="AD96">
        <v>-1.108467247661</v>
      </c>
      <c r="AE96">
        <v>2.21209999999996</v>
      </c>
      <c r="AF96">
        <v>-2.3523834361074201</v>
      </c>
      <c r="AG96">
        <v>-1.108467247661</v>
      </c>
      <c r="AH96">
        <v>14.495948855214101</v>
      </c>
      <c r="AI96">
        <v>94.316499393911002</v>
      </c>
      <c r="AJ96">
        <v>99.217531307781499</v>
      </c>
      <c r="AK96">
        <v>14.7273534853549</v>
      </c>
      <c r="AL96">
        <v>76.570106972230107</v>
      </c>
      <c r="AM96">
        <v>93.325581749309293</v>
      </c>
      <c r="AN96">
        <v>1.00000000000504</v>
      </c>
    </row>
    <row r="97" spans="1:40" x14ac:dyDescent="0.25">
      <c r="A97" t="str">
        <f>"20190304164555969"</f>
        <v>20190304164555969</v>
      </c>
      <c r="B97" t="str">
        <f>"1551689155957621"</f>
        <v>1551689155957621</v>
      </c>
      <c r="C97" t="s">
        <v>40</v>
      </c>
      <c r="D97">
        <v>5.6713959999999997</v>
      </c>
      <c r="E97">
        <v>0.54573879999999997</v>
      </c>
      <c r="F97" t="s">
        <v>41</v>
      </c>
      <c r="G97">
        <v>-463.95920000000001</v>
      </c>
      <c r="H97">
        <v>1.026054</v>
      </c>
      <c r="I97">
        <v>367.10410000000002</v>
      </c>
      <c r="J97">
        <v>-464.50689999999997</v>
      </c>
      <c r="K97">
        <v>1.1084969999999901</v>
      </c>
      <c r="L97">
        <v>367.12799999999999</v>
      </c>
      <c r="M97">
        <v>0.99994340000000004</v>
      </c>
      <c r="N97">
        <v>1.9733699999999999E-3</v>
      </c>
      <c r="O97">
        <v>-1.046069E-2</v>
      </c>
      <c r="P97">
        <v>0.97091490000000003</v>
      </c>
      <c r="Q97">
        <v>0.2348865</v>
      </c>
      <c r="R97">
        <v>4.6399410000000002E-2</v>
      </c>
      <c r="S97">
        <v>3.1719059999999999</v>
      </c>
      <c r="T97">
        <v>-0.32170140000000003</v>
      </c>
      <c r="U97">
        <v>-0.1035461</v>
      </c>
      <c r="V97">
        <v>-5.6568229999999997E-2</v>
      </c>
      <c r="W97">
        <v>0.23296720000000001</v>
      </c>
      <c r="X97">
        <v>0.97083799999999998</v>
      </c>
      <c r="Y97">
        <v>2.2115070000000001E-2</v>
      </c>
      <c r="Z97" s="1">
        <v>-1.7956479999999999E-5</v>
      </c>
      <c r="AA97">
        <v>0.99975539999999996</v>
      </c>
      <c r="AB97">
        <v>25</v>
      </c>
      <c r="AC97">
        <v>0.54769999999996299</v>
      </c>
      <c r="AD97">
        <v>-8.2442999999999794E-2</v>
      </c>
      <c r="AE97">
        <v>-2.3900000000026001E-2</v>
      </c>
      <c r="AF97">
        <v>1.77675491211805E-2</v>
      </c>
      <c r="AG97">
        <v>-8.2442999999999794E-2</v>
      </c>
      <c r="AH97">
        <v>0.53580288089852002</v>
      </c>
      <c r="AI97">
        <v>98.742662406397301</v>
      </c>
      <c r="AJ97">
        <v>88.100733091508303</v>
      </c>
      <c r="AK97">
        <v>0.54239954021913295</v>
      </c>
      <c r="AL97">
        <v>76.528174301576996</v>
      </c>
      <c r="AM97">
        <v>93.334707045531005</v>
      </c>
      <c r="AN97">
        <v>1.00000005158258</v>
      </c>
    </row>
    <row r="98" spans="1:40" x14ac:dyDescent="0.25">
      <c r="A98" t="str">
        <f>"20190304164555992"</f>
        <v>20190304164555992</v>
      </c>
      <c r="B98" t="str">
        <f>"1551689155978114"</f>
        <v>1551689155978114</v>
      </c>
      <c r="C98" t="s">
        <v>40</v>
      </c>
      <c r="D98">
        <v>4.7965559999999998</v>
      </c>
      <c r="E98">
        <v>0.54514969999999996</v>
      </c>
      <c r="F98" t="s">
        <v>41</v>
      </c>
      <c r="G98">
        <v>-463.7287</v>
      </c>
      <c r="H98">
        <v>1.031758</v>
      </c>
      <c r="I98">
        <v>367.09840000000003</v>
      </c>
      <c r="J98">
        <v>-464.25540000000001</v>
      </c>
      <c r="K98">
        <v>1.108533</v>
      </c>
      <c r="L98">
        <v>367.12540000000001</v>
      </c>
      <c r="M98">
        <v>0.99994459999999996</v>
      </c>
      <c r="N98">
        <v>1.896254E-3</v>
      </c>
      <c r="O98">
        <v>-1.036459E-2</v>
      </c>
      <c r="P98">
        <v>0.97087420000000002</v>
      </c>
      <c r="Q98">
        <v>0.23493020000000001</v>
      </c>
      <c r="R98">
        <v>4.7026510000000001E-2</v>
      </c>
      <c r="S98">
        <v>3.171265</v>
      </c>
      <c r="T98">
        <v>-0.31293389999999999</v>
      </c>
      <c r="U98">
        <v>-0.118927</v>
      </c>
      <c r="V98">
        <v>-5.711658E-2</v>
      </c>
      <c r="W98">
        <v>0.23308219999999999</v>
      </c>
      <c r="X98">
        <v>0.97077820000000004</v>
      </c>
      <c r="Y98">
        <v>2.7039379999999998E-2</v>
      </c>
      <c r="Z98">
        <v>-2.6523239999999998E-4</v>
      </c>
      <c r="AA98">
        <v>0.99963429999999998</v>
      </c>
      <c r="AB98">
        <v>25</v>
      </c>
      <c r="AC98">
        <v>0.52670000000000505</v>
      </c>
      <c r="AD98">
        <v>-7.6774999999999996E-2</v>
      </c>
      <c r="AE98">
        <v>-2.6999999999986798E-2</v>
      </c>
      <c r="AF98">
        <v>2.1092517002857601E-2</v>
      </c>
      <c r="AG98">
        <v>-7.6774999999999996E-2</v>
      </c>
      <c r="AH98">
        <v>0.51601610708093504</v>
      </c>
      <c r="AI98">
        <v>98.455662597314003</v>
      </c>
      <c r="AJ98">
        <v>87.659298244432307</v>
      </c>
      <c r="AK98">
        <v>0.52212251212285299</v>
      </c>
      <c r="AL98">
        <v>76.521397568134404</v>
      </c>
      <c r="AM98">
        <v>93.367165289919399</v>
      </c>
      <c r="AN98">
        <v>0.99999996463148699</v>
      </c>
    </row>
    <row r="99" spans="1:40" x14ac:dyDescent="0.25">
      <c r="A99" t="str">
        <f>"20190304164556011"</f>
        <v>20190304164556011</v>
      </c>
      <c r="B99" t="str">
        <f>"1551689155997988"</f>
        <v>1551689155997988</v>
      </c>
      <c r="C99" t="s">
        <v>40</v>
      </c>
      <c r="D99">
        <v>4.822641</v>
      </c>
      <c r="E99">
        <v>0.54414680000000004</v>
      </c>
      <c r="F99" t="s">
        <v>41</v>
      </c>
      <c r="G99">
        <v>-463.49669999999998</v>
      </c>
      <c r="H99">
        <v>1.0364260000000001</v>
      </c>
      <c r="I99">
        <v>367.09769999999997</v>
      </c>
      <c r="J99">
        <v>-464.01859999999999</v>
      </c>
      <c r="K99">
        <v>1.1085659999999999</v>
      </c>
      <c r="L99">
        <v>367.12310000000002</v>
      </c>
      <c r="M99">
        <v>0.9999458</v>
      </c>
      <c r="N99">
        <v>1.823173E-3</v>
      </c>
      <c r="O99">
        <v>-1.0242630000000001E-2</v>
      </c>
      <c r="P99">
        <v>0.97070009999999995</v>
      </c>
      <c r="Q99">
        <v>0.2354194</v>
      </c>
      <c r="R99">
        <v>4.8155290000000003E-2</v>
      </c>
      <c r="S99">
        <v>3.1684570000000001</v>
      </c>
      <c r="T99">
        <v>-0.3013904</v>
      </c>
      <c r="U99">
        <v>-0.1140442</v>
      </c>
      <c r="V99">
        <v>-5.8139419999999997E-2</v>
      </c>
      <c r="W99">
        <v>0.2336396</v>
      </c>
      <c r="X99">
        <v>0.97058350000000004</v>
      </c>
      <c r="Y99">
        <v>2.5666890000000001E-2</v>
      </c>
      <c r="Z99">
        <v>-2.037842E-4</v>
      </c>
      <c r="AA99">
        <v>0.99967050000000002</v>
      </c>
      <c r="AB99">
        <v>25</v>
      </c>
      <c r="AC99">
        <v>0.52190000000001602</v>
      </c>
      <c r="AD99">
        <v>-7.2139999999999802E-2</v>
      </c>
      <c r="AE99">
        <v>-2.5400000000047301E-2</v>
      </c>
      <c r="AF99">
        <v>1.9677944447247402E-2</v>
      </c>
      <c r="AG99">
        <v>-7.2139999999999802E-2</v>
      </c>
      <c r="AH99">
        <v>0.51236646637891703</v>
      </c>
      <c r="AI99">
        <v>98.0086019655445</v>
      </c>
      <c r="AJ99">
        <v>87.800579494208606</v>
      </c>
      <c r="AK99">
        <v>0.51779416467094996</v>
      </c>
      <c r="AL99">
        <v>76.488554482952594</v>
      </c>
      <c r="AM99">
        <v>93.428007673055802</v>
      </c>
      <c r="AN99">
        <v>0.99999999265917305</v>
      </c>
    </row>
    <row r="100" spans="1:40" x14ac:dyDescent="0.25">
      <c r="A100" t="str">
        <f>"20190304164556036"</f>
        <v>20190304164556036</v>
      </c>
      <c r="B100" t="str">
        <f>"1551689156028245"</f>
        <v>1551689156028245</v>
      </c>
      <c r="C100" t="s">
        <v>40</v>
      </c>
      <c r="D100">
        <v>4.8107360000000003</v>
      </c>
      <c r="E100">
        <v>0.54371930000000002</v>
      </c>
      <c r="F100" t="s">
        <v>41</v>
      </c>
      <c r="G100">
        <v>-463.26420000000002</v>
      </c>
      <c r="H100">
        <v>1.0380609999999999</v>
      </c>
      <c r="I100">
        <v>367.09820000000002</v>
      </c>
      <c r="J100">
        <v>-463.73739999999998</v>
      </c>
      <c r="K100">
        <v>1.1086039999999999</v>
      </c>
      <c r="L100">
        <v>367.12029999999999</v>
      </c>
      <c r="M100">
        <v>0.99994799999999995</v>
      </c>
      <c r="N100">
        <v>1.7356989999999901E-3</v>
      </c>
      <c r="O100">
        <v>-1.006404E-2</v>
      </c>
      <c r="P100">
        <v>0.97044249999999999</v>
      </c>
      <c r="Q100">
        <v>0.23616329999999999</v>
      </c>
      <c r="R100">
        <v>4.9686180000000003E-2</v>
      </c>
      <c r="S100">
        <v>3.1675420000000001</v>
      </c>
      <c r="T100">
        <v>-0.29624309999999998</v>
      </c>
      <c r="U100">
        <v>-0.1030273</v>
      </c>
      <c r="V100">
        <v>-5.9510069999999998E-2</v>
      </c>
      <c r="W100">
        <v>0.2344647</v>
      </c>
      <c r="X100">
        <v>0.97030139999999998</v>
      </c>
      <c r="Y100">
        <v>2.2398100000000001E-2</v>
      </c>
      <c r="Z100" s="1">
        <v>-6.9032539999999996E-5</v>
      </c>
      <c r="AA100">
        <v>0.99974909999999995</v>
      </c>
      <c r="AB100">
        <v>26</v>
      </c>
      <c r="AC100">
        <v>0.47319999999996298</v>
      </c>
      <c r="AD100">
        <v>-7.0542999999999995E-2</v>
      </c>
      <c r="AE100">
        <v>-2.2099999999966199E-2</v>
      </c>
      <c r="AF100">
        <v>1.6960464914031598E-2</v>
      </c>
      <c r="AG100">
        <v>-7.0542999999999995E-2</v>
      </c>
      <c r="AH100">
        <v>0.46312837813816599</v>
      </c>
      <c r="AI100">
        <v>98.654922116490596</v>
      </c>
      <c r="AJ100">
        <v>87.902678757764093</v>
      </c>
      <c r="AK100">
        <v>0.46877699053599903</v>
      </c>
      <c r="AL100">
        <v>76.439928878837193</v>
      </c>
      <c r="AM100">
        <v>93.509641687596599</v>
      </c>
      <c r="AN100">
        <v>0.99999997540972696</v>
      </c>
    </row>
    <row r="101" spans="1:40" x14ac:dyDescent="0.25">
      <c r="A101" t="str">
        <f>"20190304164556070"</f>
        <v>20190304164556070</v>
      </c>
      <c r="B101" t="str">
        <f>"1551689156057527"</f>
        <v>1551689156057527</v>
      </c>
      <c r="C101" t="s">
        <v>40</v>
      </c>
      <c r="D101">
        <v>4.7962119999999997</v>
      </c>
      <c r="E101">
        <v>0.54378870000000001</v>
      </c>
      <c r="F101" t="s">
        <v>41</v>
      </c>
      <c r="G101">
        <v>-462.80329999999998</v>
      </c>
      <c r="H101">
        <v>1.0207079999999999</v>
      </c>
      <c r="I101">
        <v>367.09199999999998</v>
      </c>
      <c r="J101">
        <v>-463.33949999999999</v>
      </c>
      <c r="K101">
        <v>1.108646</v>
      </c>
      <c r="L101">
        <v>367.11669999999998</v>
      </c>
      <c r="M101">
        <v>0.99995120000000004</v>
      </c>
      <c r="N101">
        <v>1.61097E-3</v>
      </c>
      <c r="O101">
        <v>-9.7610739999999998E-3</v>
      </c>
      <c r="P101">
        <v>0.97015779999999996</v>
      </c>
      <c r="Q101">
        <v>0.2368247</v>
      </c>
      <c r="R101">
        <v>5.2042129999999999E-2</v>
      </c>
      <c r="S101">
        <v>3.1688839999999998</v>
      </c>
      <c r="T101">
        <v>-0.29850650000000001</v>
      </c>
      <c r="U101">
        <v>-9.42688E-2</v>
      </c>
      <c r="V101">
        <v>-6.1586099999999998E-2</v>
      </c>
      <c r="W101">
        <v>0.23524210000000001</v>
      </c>
      <c r="X101">
        <v>0.9699837</v>
      </c>
      <c r="Y101">
        <v>1.993493E-2</v>
      </c>
      <c r="Z101" s="1">
        <v>1.2343519999999999E-5</v>
      </c>
      <c r="AA101">
        <v>0.9998013</v>
      </c>
      <c r="AB101">
        <v>26</v>
      </c>
      <c r="AC101">
        <v>0.536200000000008</v>
      </c>
      <c r="AD101">
        <v>-8.7938000000000002E-2</v>
      </c>
      <c r="AE101">
        <v>-2.4699999999995701E-2</v>
      </c>
      <c r="AF101">
        <v>1.8956150411119699E-2</v>
      </c>
      <c r="AG101">
        <v>-8.7938000000000002E-2</v>
      </c>
      <c r="AH101">
        <v>0.52239459751348605</v>
      </c>
      <c r="AI101">
        <v>99.549208162651198</v>
      </c>
      <c r="AJ101">
        <v>87.921817940707498</v>
      </c>
      <c r="AK101">
        <v>0.53008352454465701</v>
      </c>
      <c r="AL101">
        <v>76.394106331381096</v>
      </c>
      <c r="AM101">
        <v>93.632940934214403</v>
      </c>
      <c r="AN101">
        <v>1.00000003579565</v>
      </c>
    </row>
    <row r="102" spans="1:40" x14ac:dyDescent="0.25">
      <c r="A102" t="str">
        <f>"20190304164556092"</f>
        <v>20190304164556092</v>
      </c>
      <c r="B102" t="str">
        <f>"1551689156087780"</f>
        <v>1551689156087780</v>
      </c>
      <c r="C102" t="s">
        <v>40</v>
      </c>
      <c r="D102">
        <v>4.7762099999999998</v>
      </c>
      <c r="E102">
        <v>0.54389200000000004</v>
      </c>
      <c r="F102" t="s">
        <v>41</v>
      </c>
      <c r="G102">
        <v>-462.55959999999999</v>
      </c>
      <c r="H102">
        <v>1.0337670000000001</v>
      </c>
      <c r="I102">
        <v>367.0949</v>
      </c>
      <c r="J102">
        <v>-463.07209999999998</v>
      </c>
      <c r="K102">
        <v>1.108671</v>
      </c>
      <c r="L102">
        <v>367.11430000000001</v>
      </c>
      <c r="M102">
        <v>0.99995350000000005</v>
      </c>
      <c r="N102">
        <v>1.5264339999999999E-3</v>
      </c>
      <c r="O102">
        <v>-9.5386989999999994E-3</v>
      </c>
      <c r="P102">
        <v>0.97002299999999997</v>
      </c>
      <c r="Q102">
        <v>0.23718159999999999</v>
      </c>
      <c r="R102">
        <v>5.292314E-2</v>
      </c>
      <c r="S102">
        <v>3.1712950000000002</v>
      </c>
      <c r="T102">
        <v>-0.3047009</v>
      </c>
      <c r="U102">
        <v>-8.7158200000000005E-2</v>
      </c>
      <c r="V102">
        <v>-6.2258269999999998E-2</v>
      </c>
      <c r="W102">
        <v>0.2356791</v>
      </c>
      <c r="X102">
        <v>0.96983470000000005</v>
      </c>
      <c r="Y102">
        <v>1.7900989999999999E-2</v>
      </c>
      <c r="Z102" s="1">
        <v>8.4554370000000003E-5</v>
      </c>
      <c r="AA102">
        <v>0.99983979999999995</v>
      </c>
      <c r="AB102">
        <v>26</v>
      </c>
      <c r="AC102">
        <v>0.51249999999998797</v>
      </c>
      <c r="AD102">
        <v>-7.4903999999999804E-2</v>
      </c>
      <c r="AE102">
        <v>-1.9400000000018701E-2</v>
      </c>
      <c r="AF102">
        <v>1.4207477088435399E-2</v>
      </c>
      <c r="AG102">
        <v>-7.4903999999999804E-2</v>
      </c>
      <c r="AH102">
        <v>0.50195480310149698</v>
      </c>
      <c r="AI102">
        <v>98.4839623814985</v>
      </c>
      <c r="AJ102">
        <v>88.378716186460906</v>
      </c>
      <c r="AK102">
        <v>0.50771161694202105</v>
      </c>
      <c r="AL102">
        <v>76.368343760941698</v>
      </c>
      <c r="AM102">
        <v>93.673046736260304</v>
      </c>
      <c r="AN102">
        <v>1.0000000378421401</v>
      </c>
    </row>
    <row r="103" spans="1:40" x14ac:dyDescent="0.25">
      <c r="A103" t="str">
        <f>"20190304164556116"</f>
        <v>20190304164556116</v>
      </c>
      <c r="B103" t="str">
        <f>"1551689156108277"</f>
        <v>1551689156108277</v>
      </c>
      <c r="C103" t="s">
        <v>40</v>
      </c>
      <c r="D103">
        <v>4.7177899999999999</v>
      </c>
      <c r="E103">
        <v>0.54396169999999899</v>
      </c>
      <c r="F103" t="s">
        <v>41</v>
      </c>
      <c r="G103">
        <v>-462.31950000000001</v>
      </c>
      <c r="H103">
        <v>1.03521</v>
      </c>
      <c r="I103">
        <v>367.09399999999999</v>
      </c>
      <c r="J103">
        <v>-462.78910000000002</v>
      </c>
      <c r="K103">
        <v>1.1086819999999999</v>
      </c>
      <c r="L103">
        <v>367.11180000000002</v>
      </c>
      <c r="M103">
        <v>0.99995590000000001</v>
      </c>
      <c r="N103">
        <v>1.436461E-3</v>
      </c>
      <c r="O103">
        <v>-9.2940190000000006E-3</v>
      </c>
      <c r="P103">
        <v>0.96980940000000004</v>
      </c>
      <c r="Q103">
        <v>0.23772509999999999</v>
      </c>
      <c r="R103">
        <v>5.4377050000000003E-2</v>
      </c>
      <c r="S103">
        <v>3.1730960000000001</v>
      </c>
      <c r="T103">
        <v>-0.30993959999999998</v>
      </c>
      <c r="U103">
        <v>-8.4106449999999999E-2</v>
      </c>
      <c r="V103">
        <v>-6.3477900000000004E-2</v>
      </c>
      <c r="W103">
        <v>0.2363083</v>
      </c>
      <c r="X103">
        <v>0.96960250000000003</v>
      </c>
      <c r="Y103">
        <v>1.7169960000000001E-2</v>
      </c>
      <c r="Z103" s="1">
        <v>9.4722320000000001E-5</v>
      </c>
      <c r="AA103">
        <v>0.99985259999999998</v>
      </c>
      <c r="AB103">
        <v>27</v>
      </c>
      <c r="AC103">
        <v>0.46960000000001401</v>
      </c>
      <c r="AD103">
        <v>-7.3471999999999899E-2</v>
      </c>
      <c r="AE103">
        <v>-1.7800000000022399E-2</v>
      </c>
      <c r="AF103">
        <v>1.3114198543021901E-2</v>
      </c>
      <c r="AG103">
        <v>-7.3471999999999899E-2</v>
      </c>
      <c r="AH103">
        <v>0.45853688883550903</v>
      </c>
      <c r="AI103">
        <v>99.099544319360703</v>
      </c>
      <c r="AJ103">
        <v>88.361781838879295</v>
      </c>
      <c r="AK103">
        <v>0.464570979948569</v>
      </c>
      <c r="AL103">
        <v>76.331245320220503</v>
      </c>
      <c r="AM103">
        <v>93.745692627022805</v>
      </c>
      <c r="AN103">
        <v>1.0000000322217699</v>
      </c>
    </row>
    <row r="104" spans="1:40" x14ac:dyDescent="0.25">
      <c r="A104" t="str">
        <f>"20190304164556135"</f>
        <v>20190304164556135</v>
      </c>
      <c r="B104" t="str">
        <f>"1551689156127796"</f>
        <v>1551689156127796</v>
      </c>
      <c r="C104" t="s">
        <v>40</v>
      </c>
      <c r="D104">
        <v>4.7726389999999999</v>
      </c>
      <c r="E104">
        <v>0.54406219999999905</v>
      </c>
      <c r="F104" t="s">
        <v>41</v>
      </c>
      <c r="G104">
        <v>-461.84429999999998</v>
      </c>
      <c r="H104">
        <v>1.0162199999999999</v>
      </c>
      <c r="I104">
        <v>367.08760000000001</v>
      </c>
      <c r="J104">
        <v>-462.54500000000002</v>
      </c>
      <c r="K104">
        <v>1.1086910000000001</v>
      </c>
      <c r="L104">
        <v>367.10969999999998</v>
      </c>
      <c r="M104">
        <v>0.99995789999999996</v>
      </c>
      <c r="N104">
        <v>1.358616E-3</v>
      </c>
      <c r="O104">
        <v>-9.0803370000000008E-3</v>
      </c>
      <c r="P104">
        <v>0.96974550000000004</v>
      </c>
      <c r="Q104">
        <v>0.2377976</v>
      </c>
      <c r="R104">
        <v>5.5192940000000003E-2</v>
      </c>
      <c r="S104">
        <v>3.1741030000000001</v>
      </c>
      <c r="T104">
        <v>-0.31097730000000001</v>
      </c>
      <c r="U104">
        <v>-7.9406740000000003E-2</v>
      </c>
      <c r="V104">
        <v>-6.4088590000000001E-2</v>
      </c>
      <c r="W104">
        <v>0.23645569999999999</v>
      </c>
      <c r="X104">
        <v>0.96952640000000001</v>
      </c>
      <c r="Y104">
        <v>1.5900350000000001E-2</v>
      </c>
      <c r="Z104">
        <v>1.3354379999999999E-4</v>
      </c>
      <c r="AA104">
        <v>0.99987360000000003</v>
      </c>
      <c r="AB104">
        <v>27</v>
      </c>
      <c r="AC104">
        <v>0.70070000000003996</v>
      </c>
      <c r="AD104">
        <v>-9.24709999999999E-2</v>
      </c>
      <c r="AE104">
        <v>-2.2099999999966199E-2</v>
      </c>
      <c r="AF104">
        <v>1.54673799595091E-2</v>
      </c>
      <c r="AG104">
        <v>-9.24709999999999E-2</v>
      </c>
      <c r="AH104">
        <v>0.68888611273768896</v>
      </c>
      <c r="AI104">
        <v>97.643360132085206</v>
      </c>
      <c r="AJ104">
        <v>88.713768939214404</v>
      </c>
      <c r="AK104">
        <v>0.69523679563631802</v>
      </c>
      <c r="AL104">
        <v>76.322553749427101</v>
      </c>
      <c r="AM104">
        <v>93.781920013756107</v>
      </c>
      <c r="AN104">
        <v>1.0000000428638101</v>
      </c>
    </row>
    <row r="105" spans="1:40" x14ac:dyDescent="0.25">
      <c r="A105" t="str">
        <f>"20190304164556158"</f>
        <v>20190304164556158</v>
      </c>
      <c r="B105" t="str">
        <f>"1551689156148292"</f>
        <v>1551689156148292</v>
      </c>
      <c r="C105" t="s">
        <v>40</v>
      </c>
      <c r="D105">
        <v>4.7109730000000001</v>
      </c>
      <c r="E105">
        <v>0.54409130000000006</v>
      </c>
      <c r="F105" t="s">
        <v>41</v>
      </c>
      <c r="G105">
        <v>-461.59960000000001</v>
      </c>
      <c r="H105">
        <v>1.0154860000000001</v>
      </c>
      <c r="I105">
        <v>367.08609999999999</v>
      </c>
      <c r="J105">
        <v>-462.26749999999998</v>
      </c>
      <c r="K105">
        <v>1.1087009999999999</v>
      </c>
      <c r="L105">
        <v>367.10750000000002</v>
      </c>
      <c r="M105">
        <v>0.99996019999999997</v>
      </c>
      <c r="N105">
        <v>1.2694920000000001E-3</v>
      </c>
      <c r="O105">
        <v>-8.8374379999999995E-3</v>
      </c>
      <c r="P105">
        <v>0.96982570000000001</v>
      </c>
      <c r="Q105">
        <v>0.2374626</v>
      </c>
      <c r="R105">
        <v>5.5226740000000003E-2</v>
      </c>
      <c r="S105">
        <v>3.1748660000000002</v>
      </c>
      <c r="T105">
        <v>-0.31323309999999999</v>
      </c>
      <c r="U105">
        <v>-7.7880859999999996E-2</v>
      </c>
      <c r="V105">
        <v>-6.3889180000000004E-2</v>
      </c>
      <c r="W105">
        <v>0.23620640000000001</v>
      </c>
      <c r="X105">
        <v>0.96960029999999997</v>
      </c>
      <c r="Y105">
        <v>1.565633E-2</v>
      </c>
      <c r="Z105">
        <v>1.2044059999999999E-4</v>
      </c>
      <c r="AA105">
        <v>0.99987749999999997</v>
      </c>
      <c r="AB105">
        <v>27</v>
      </c>
      <c r="AC105">
        <v>0.66789999999997396</v>
      </c>
      <c r="AD105">
        <v>-9.3214999999999798E-2</v>
      </c>
      <c r="AE105">
        <v>-2.1400000000028199E-2</v>
      </c>
      <c r="AF105">
        <v>1.52008535027633E-2</v>
      </c>
      <c r="AG105">
        <v>-9.3214999999999798E-2</v>
      </c>
      <c r="AH105">
        <v>0.655311837556245</v>
      </c>
      <c r="AI105">
        <v>98.093593729004795</v>
      </c>
      <c r="AJ105">
        <v>88.671184402518804</v>
      </c>
      <c r="AK105">
        <v>0.66208285479504303</v>
      </c>
      <c r="AL105">
        <v>76.337253635983899</v>
      </c>
      <c r="AM105">
        <v>93.769900134458993</v>
      </c>
      <c r="AN105">
        <v>1.0000000162410601</v>
      </c>
    </row>
    <row r="106" spans="1:40" x14ac:dyDescent="0.25">
      <c r="A106" t="str">
        <f>"20190304164556180"</f>
        <v>20190304164556180</v>
      </c>
      <c r="B106" t="str">
        <f>"1551689156177572"</f>
        <v>1551689156177572</v>
      </c>
      <c r="C106" t="s">
        <v>40</v>
      </c>
      <c r="D106">
        <v>4.7311129999999997</v>
      </c>
      <c r="E106">
        <v>0.54443540000000001</v>
      </c>
      <c r="F106" t="s">
        <v>41</v>
      </c>
      <c r="G106">
        <v>-461.3519</v>
      </c>
      <c r="H106">
        <v>1.0175320000000001</v>
      </c>
      <c r="I106">
        <v>367.08479999999997</v>
      </c>
      <c r="J106">
        <v>-461.99180000000001</v>
      </c>
      <c r="K106">
        <v>1.108717</v>
      </c>
      <c r="L106">
        <v>367.1053</v>
      </c>
      <c r="M106">
        <v>0.99996240000000003</v>
      </c>
      <c r="N106">
        <v>1.1803009999999999E-3</v>
      </c>
      <c r="O106">
        <v>-8.5975200000000009E-3</v>
      </c>
      <c r="P106">
        <v>0.9698696</v>
      </c>
      <c r="Q106">
        <v>0.23750540000000001</v>
      </c>
      <c r="R106">
        <v>5.4259849999999998E-2</v>
      </c>
      <c r="S106">
        <v>3.1751710000000002</v>
      </c>
      <c r="T106">
        <v>-0.31650780000000001</v>
      </c>
      <c r="U106">
        <v>-7.6385499999999995E-2</v>
      </c>
      <c r="V106">
        <v>-6.269102E-2</v>
      </c>
      <c r="W106">
        <v>0.23633609999999999</v>
      </c>
      <c r="X106">
        <v>0.96964689999999998</v>
      </c>
      <c r="Y106">
        <v>1.5422369999999999E-2</v>
      </c>
      <c r="Z106">
        <v>1.0733720000000001E-4</v>
      </c>
      <c r="AA106">
        <v>0.99988109999999997</v>
      </c>
      <c r="AB106">
        <v>27</v>
      </c>
      <c r="AC106">
        <v>0.63990000000001102</v>
      </c>
      <c r="AD106">
        <v>-9.1185000000000002E-2</v>
      </c>
      <c r="AE106">
        <v>-2.0500000000026799E-2</v>
      </c>
      <c r="AF106">
        <v>1.4699504878532299E-2</v>
      </c>
      <c r="AG106">
        <v>-9.1185000000000002E-2</v>
      </c>
      <c r="AH106">
        <v>0.62732720577338197</v>
      </c>
      <c r="AI106">
        <v>98.268056208993897</v>
      </c>
      <c r="AJ106">
        <v>88.657693319549196</v>
      </c>
      <c r="AK106">
        <v>0.63409005888131798</v>
      </c>
      <c r="AL106">
        <v>76.329605803219096</v>
      </c>
      <c r="AM106">
        <v>93.699221371004597</v>
      </c>
      <c r="AN106">
        <v>1.0000000134157301</v>
      </c>
    </row>
    <row r="107" spans="1:40" x14ac:dyDescent="0.25">
      <c r="A107" t="str">
        <f>"20190304164556201"</f>
        <v>20190304164556201</v>
      </c>
      <c r="B107" t="str">
        <f>"1551689156198067"</f>
        <v>1551689156198067</v>
      </c>
      <c r="C107" t="s">
        <v>40</v>
      </c>
      <c r="D107">
        <v>4.7071160000000001</v>
      </c>
      <c r="E107">
        <v>0.54458790000000001</v>
      </c>
      <c r="F107" t="s">
        <v>41</v>
      </c>
      <c r="G107">
        <v>-461.10250000000002</v>
      </c>
      <c r="H107">
        <v>1.0190629999999901</v>
      </c>
      <c r="I107">
        <v>367.08280000000002</v>
      </c>
      <c r="J107">
        <v>-461.72460000000001</v>
      </c>
      <c r="K107">
        <v>1.108724</v>
      </c>
      <c r="L107">
        <v>367.10320000000002</v>
      </c>
      <c r="M107">
        <v>0.99996439999999998</v>
      </c>
      <c r="N107">
        <v>1.093552E-3</v>
      </c>
      <c r="O107">
        <v>-8.3658309999999902E-3</v>
      </c>
      <c r="P107">
        <v>0.96989519999999996</v>
      </c>
      <c r="Q107">
        <v>0.23767840000000001</v>
      </c>
      <c r="R107">
        <v>5.3034159999999997E-2</v>
      </c>
      <c r="S107">
        <v>3.1761170000000001</v>
      </c>
      <c r="T107">
        <v>-0.32036049999999999</v>
      </c>
      <c r="U107">
        <v>-7.9650879999999993E-2</v>
      </c>
      <c r="V107">
        <v>-6.1242100000000001E-2</v>
      </c>
      <c r="W107">
        <v>0.23659369999999999</v>
      </c>
      <c r="X107">
        <v>0.96967669999999995</v>
      </c>
      <c r="Y107">
        <v>1.6665860000000001E-2</v>
      </c>
      <c r="Z107" s="1">
        <v>2.1540849999999999E-5</v>
      </c>
      <c r="AA107">
        <v>0.99986109999999995</v>
      </c>
      <c r="AB107">
        <v>28</v>
      </c>
      <c r="AC107">
        <v>0.622099999999989</v>
      </c>
      <c r="AD107">
        <v>-8.9661000000000199E-2</v>
      </c>
      <c r="AE107">
        <v>-2.0399999999994999E-2</v>
      </c>
      <c r="AF107">
        <v>1.4886013374091E-2</v>
      </c>
      <c r="AG107">
        <v>-8.9661000000000199E-2</v>
      </c>
      <c r="AH107">
        <v>0.60959964529392396</v>
      </c>
      <c r="AI107">
        <v>98.364715214414005</v>
      </c>
      <c r="AJ107">
        <v>88.601153597969898</v>
      </c>
      <c r="AK107">
        <v>0.61633790720484805</v>
      </c>
      <c r="AL107">
        <v>76.314415961883398</v>
      </c>
      <c r="AM107">
        <v>93.613843148192998</v>
      </c>
      <c r="AN107">
        <v>1.0000000381074901</v>
      </c>
    </row>
    <row r="108" spans="1:40" x14ac:dyDescent="0.25">
      <c r="A108" t="str">
        <f>"20190304164556225"</f>
        <v>20190304164556225</v>
      </c>
      <c r="B108" t="str">
        <f>"1551689156217588"</f>
        <v>1551689156217588</v>
      </c>
      <c r="C108" t="s">
        <v>40</v>
      </c>
      <c r="D108">
        <v>4.7349690000000004</v>
      </c>
      <c r="E108">
        <v>0.54469499999999904</v>
      </c>
      <c r="F108" t="s">
        <v>41</v>
      </c>
      <c r="G108">
        <v>-460.85140000000001</v>
      </c>
      <c r="H108">
        <v>1.0203979999999999</v>
      </c>
      <c r="I108">
        <v>367.07960000000003</v>
      </c>
      <c r="J108">
        <v>-461.4289</v>
      </c>
      <c r="K108">
        <v>1.108725</v>
      </c>
      <c r="L108">
        <v>367.101</v>
      </c>
      <c r="M108">
        <v>0.99996660000000004</v>
      </c>
      <c r="N108">
        <v>9.971247999999999E-4</v>
      </c>
      <c r="O108">
        <v>-8.1101790000000003E-3</v>
      </c>
      <c r="P108">
        <v>0.96991799999999995</v>
      </c>
      <c r="Q108">
        <v>0.2377706</v>
      </c>
      <c r="R108">
        <v>5.2196840000000001E-2</v>
      </c>
      <c r="S108">
        <v>3.1766049999999999</v>
      </c>
      <c r="T108">
        <v>-0.3216541</v>
      </c>
      <c r="U108">
        <v>-8.4472660000000005E-2</v>
      </c>
      <c r="V108">
        <v>-6.0157759999999998E-2</v>
      </c>
      <c r="W108">
        <v>0.2367795</v>
      </c>
      <c r="X108">
        <v>0.96969919999999998</v>
      </c>
      <c r="Y108">
        <v>1.842359E-2</v>
      </c>
      <c r="Z108" s="1">
        <v>-9.3995939999999995E-5</v>
      </c>
      <c r="AA108">
        <v>0.9998302</v>
      </c>
      <c r="AB108">
        <v>28</v>
      </c>
      <c r="AC108">
        <v>0.57749999999998602</v>
      </c>
      <c r="AD108">
        <v>-8.8327000000000003E-2</v>
      </c>
      <c r="AE108">
        <v>-2.13999999999714E-2</v>
      </c>
      <c r="AF108">
        <v>1.6334088643037599E-2</v>
      </c>
      <c r="AG108">
        <v>-8.8327000000000003E-2</v>
      </c>
      <c r="AH108">
        <v>0.56446815791225002</v>
      </c>
      <c r="AI108">
        <v>98.889764126501603</v>
      </c>
      <c r="AJ108">
        <v>88.342487102209603</v>
      </c>
      <c r="AK108">
        <v>0.57157043544750297</v>
      </c>
      <c r="AL108">
        <v>76.303458728848497</v>
      </c>
      <c r="AM108">
        <v>93.549940129360195</v>
      </c>
      <c r="AN108">
        <v>1.0000000130945501</v>
      </c>
    </row>
    <row r="109" spans="1:40" x14ac:dyDescent="0.25">
      <c r="A109" t="str">
        <f>"20190304164556246"</f>
        <v>20190304164556246</v>
      </c>
      <c r="B109" t="str">
        <f>"1551689156238084"</f>
        <v>1551689156238084</v>
      </c>
      <c r="C109" t="s">
        <v>40</v>
      </c>
      <c r="D109">
        <v>4.8040399999999996</v>
      </c>
      <c r="E109">
        <v>0.54471459999999905</v>
      </c>
      <c r="F109" t="s">
        <v>41</v>
      </c>
      <c r="G109">
        <v>-460.59730000000002</v>
      </c>
      <c r="H109">
        <v>1.024189</v>
      </c>
      <c r="I109">
        <v>367.07749999999999</v>
      </c>
      <c r="J109">
        <v>-461.14789999999999</v>
      </c>
      <c r="K109">
        <v>1.1087340000000001</v>
      </c>
      <c r="L109">
        <v>367.09890000000001</v>
      </c>
      <c r="M109">
        <v>0.99996859999999999</v>
      </c>
      <c r="N109">
        <v>9.0510299999999998E-4</v>
      </c>
      <c r="O109">
        <v>-7.8678849999999998E-3</v>
      </c>
      <c r="P109">
        <v>0.9699738</v>
      </c>
      <c r="Q109">
        <v>0.23774880000000001</v>
      </c>
      <c r="R109">
        <v>5.124915E-2</v>
      </c>
      <c r="S109">
        <v>3.1770320000000001</v>
      </c>
      <c r="T109">
        <v>-0.32315139999999998</v>
      </c>
      <c r="U109">
        <v>-8.8836670000000006E-2</v>
      </c>
      <c r="V109">
        <v>-5.8975779999999998E-2</v>
      </c>
      <c r="W109">
        <v>0.2368471</v>
      </c>
      <c r="X109">
        <v>0.96975529999999999</v>
      </c>
      <c r="Y109">
        <v>2.0024529999999999E-2</v>
      </c>
      <c r="Z109">
        <v>-2.01351E-4</v>
      </c>
      <c r="AA109">
        <v>0.99979949999999995</v>
      </c>
      <c r="AB109">
        <v>28</v>
      </c>
      <c r="AC109">
        <v>0.550599999999974</v>
      </c>
      <c r="AD109">
        <v>-8.4544999999999995E-2</v>
      </c>
      <c r="AE109">
        <v>-2.1400000000028199E-2</v>
      </c>
      <c r="AF109">
        <v>1.6674717897804701E-2</v>
      </c>
      <c r="AG109">
        <v>-8.4544999999999995E-2</v>
      </c>
      <c r="AH109">
        <v>0.53808363347632704</v>
      </c>
      <c r="AI109">
        <v>98.9252315772153</v>
      </c>
      <c r="AJ109">
        <v>88.225024422313794</v>
      </c>
      <c r="AK109">
        <v>0.54494027182532401</v>
      </c>
      <c r="AL109">
        <v>76.299472185827895</v>
      </c>
      <c r="AM109">
        <v>93.480163202102901</v>
      </c>
      <c r="AN109">
        <v>1.0000000166415499</v>
      </c>
    </row>
    <row r="110" spans="1:40" x14ac:dyDescent="0.25">
      <c r="A110" t="str">
        <f>"20190304164556270"</f>
        <v>20190304164556270</v>
      </c>
      <c r="B110" t="str">
        <f>"1551689156257607"</f>
        <v>1551689156257607</v>
      </c>
      <c r="C110" t="s">
        <v>40</v>
      </c>
      <c r="D110">
        <v>4.7641169999999997</v>
      </c>
      <c r="E110">
        <v>0.51942709999999903</v>
      </c>
      <c r="F110" t="s">
        <v>41</v>
      </c>
      <c r="G110">
        <v>-460.34210000000002</v>
      </c>
      <c r="H110">
        <v>1.026594</v>
      </c>
      <c r="I110">
        <v>367.07490000000001</v>
      </c>
      <c r="J110">
        <v>-460.86099999999999</v>
      </c>
      <c r="K110">
        <v>1.1087419999999999</v>
      </c>
      <c r="L110">
        <v>367.09699999999998</v>
      </c>
      <c r="M110">
        <v>0.99997069999999999</v>
      </c>
      <c r="N110">
        <v>8.106376E-4</v>
      </c>
      <c r="O110">
        <v>-7.6201100000000003E-3</v>
      </c>
      <c r="P110">
        <v>0.97001099999999996</v>
      </c>
      <c r="Q110">
        <v>0.2376365</v>
      </c>
      <c r="R110">
        <v>5.1068349999999998E-2</v>
      </c>
      <c r="S110">
        <v>3.1772459999999998</v>
      </c>
      <c r="T110">
        <v>-0.32416529999999999</v>
      </c>
      <c r="U110">
        <v>-9.2895510000000001E-2</v>
      </c>
      <c r="V110">
        <v>-5.8555740000000002E-2</v>
      </c>
      <c r="W110">
        <v>0.23682629999999999</v>
      </c>
      <c r="X110">
        <v>0.96978580000000003</v>
      </c>
      <c r="Y110">
        <v>2.153689E-2</v>
      </c>
      <c r="Z110">
        <v>-3.054299E-4</v>
      </c>
      <c r="AA110">
        <v>0.99976799999999999</v>
      </c>
      <c r="AB110">
        <v>28</v>
      </c>
      <c r="AC110">
        <v>0.51889999999997305</v>
      </c>
      <c r="AD110">
        <v>-8.2148000000000096E-2</v>
      </c>
      <c r="AE110">
        <v>-2.2099999999966199E-2</v>
      </c>
      <c r="AF110">
        <v>1.7702416430658899E-2</v>
      </c>
      <c r="AG110">
        <v>-8.2148000000000096E-2</v>
      </c>
      <c r="AH110">
        <v>0.50638497884531597</v>
      </c>
      <c r="AI110">
        <v>99.2089722584779</v>
      </c>
      <c r="AJ110">
        <v>87.9978456796552</v>
      </c>
      <c r="AK110">
        <v>0.51331025340592595</v>
      </c>
      <c r="AL110">
        <v>76.300698387569696</v>
      </c>
      <c r="AM110">
        <v>93.455328485863205</v>
      </c>
      <c r="AN110">
        <v>0.99999998447013805</v>
      </c>
    </row>
    <row r="111" spans="1:40" x14ac:dyDescent="0.25">
      <c r="A111" t="str">
        <f>"20190304164556292"</f>
        <v>20190304164556292</v>
      </c>
      <c r="B111" t="str">
        <f>"1551689156287860"</f>
        <v>1551689156287860</v>
      </c>
      <c r="C111" t="s">
        <v>40</v>
      </c>
      <c r="D111">
        <v>4.7780990000000001</v>
      </c>
      <c r="E111">
        <v>0.51466920000000005</v>
      </c>
      <c r="F111" t="s">
        <v>42</v>
      </c>
      <c r="G111">
        <v>-447.75220000000002</v>
      </c>
      <c r="H111" s="1">
        <v>-1.4139830000000001E-6</v>
      </c>
      <c r="I111">
        <v>367.52510000000001</v>
      </c>
      <c r="J111">
        <v>-460.57060000000001</v>
      </c>
      <c r="K111">
        <v>1.108749</v>
      </c>
      <c r="L111">
        <v>367.09500000000003</v>
      </c>
      <c r="M111">
        <v>0.9999728</v>
      </c>
      <c r="N111">
        <v>7.1504169999999896E-4</v>
      </c>
      <c r="O111">
        <v>-7.36924E-3</v>
      </c>
      <c r="P111">
        <v>0.97004400000000002</v>
      </c>
      <c r="Q111">
        <v>0.237508</v>
      </c>
      <c r="R111">
        <v>5.1038390000000003E-2</v>
      </c>
      <c r="S111">
        <v>3.152679</v>
      </c>
      <c r="T111">
        <v>-0.26665290000000003</v>
      </c>
      <c r="U111">
        <v>0.1029663</v>
      </c>
      <c r="V111">
        <v>-5.8283429999999997E-2</v>
      </c>
      <c r="W111">
        <v>0.23679059999999999</v>
      </c>
      <c r="X111">
        <v>0.96981090000000003</v>
      </c>
      <c r="Y111">
        <v>-3.9839329999999999E-2</v>
      </c>
      <c r="Z111">
        <v>2.2943659999999999E-3</v>
      </c>
      <c r="AA111">
        <v>0.99920339999999996</v>
      </c>
      <c r="AB111">
        <v>28</v>
      </c>
      <c r="AC111">
        <v>12.818399999999899</v>
      </c>
      <c r="AD111">
        <v>-1.108750413983</v>
      </c>
      <c r="AE111">
        <v>0.430099999999981</v>
      </c>
      <c r="AF111">
        <v>-0.52065915986671396</v>
      </c>
      <c r="AG111">
        <v>-1.108750413983</v>
      </c>
      <c r="AH111">
        <v>12.719823618547601</v>
      </c>
      <c r="AI111">
        <v>94.977569196289593</v>
      </c>
      <c r="AJ111">
        <v>92.343973399269601</v>
      </c>
      <c r="AK111">
        <v>12.778666844715101</v>
      </c>
      <c r="AL111">
        <v>76.302803446237206</v>
      </c>
      <c r="AM111">
        <v>93.439209547361699</v>
      </c>
      <c r="AN111">
        <v>0.99999996410986602</v>
      </c>
    </row>
    <row r="112" spans="1:40" x14ac:dyDescent="0.25">
      <c r="A112" t="str">
        <f>"20190304164556316"</f>
        <v>20190304164556316</v>
      </c>
      <c r="B112" t="str">
        <f>"1551689156307380"</f>
        <v>1551689156307380</v>
      </c>
      <c r="C112" t="s">
        <v>40</v>
      </c>
      <c r="D112">
        <v>4.7495880000000001</v>
      </c>
      <c r="E112">
        <v>0.51334659999999999</v>
      </c>
      <c r="F112" t="s">
        <v>42</v>
      </c>
      <c r="G112">
        <v>-447.31560000000002</v>
      </c>
      <c r="H112" s="1">
        <v>-1.591233E-6</v>
      </c>
      <c r="I112">
        <v>367.68920000000003</v>
      </c>
      <c r="J112">
        <v>-460.26639999999998</v>
      </c>
      <c r="K112">
        <v>1.1087610000000001</v>
      </c>
      <c r="L112">
        <v>367.09300000000002</v>
      </c>
      <c r="M112">
        <v>0.99997449999999999</v>
      </c>
      <c r="N112">
        <v>6.1468099999999995E-4</v>
      </c>
      <c r="O112">
        <v>-7.1064519999999897E-3</v>
      </c>
      <c r="P112">
        <v>0.9699567</v>
      </c>
      <c r="Q112">
        <v>0.23765720000000001</v>
      </c>
      <c r="R112">
        <v>5.1990889999999998E-2</v>
      </c>
      <c r="S112">
        <v>3.1497190000000002</v>
      </c>
      <c r="T112">
        <v>-0.26346710000000001</v>
      </c>
      <c r="U112">
        <v>0.14120479999999899</v>
      </c>
      <c r="V112">
        <v>-5.8981749999999999E-2</v>
      </c>
      <c r="W112">
        <v>0.23703659999999999</v>
      </c>
      <c r="X112">
        <v>0.96970860000000003</v>
      </c>
      <c r="Y112">
        <v>-5.1680200000000003E-2</v>
      </c>
      <c r="Z112">
        <v>2.7381879999999999E-3</v>
      </c>
      <c r="AA112">
        <v>0.99865990000000004</v>
      </c>
      <c r="AB112">
        <v>29</v>
      </c>
      <c r="AC112">
        <v>12.9507999999999</v>
      </c>
      <c r="AD112">
        <v>-1.1087625912329999</v>
      </c>
      <c r="AE112">
        <v>0.59620000000001006</v>
      </c>
      <c r="AF112">
        <v>-0.68322201096088897</v>
      </c>
      <c r="AG112">
        <v>-1.1087625912329999</v>
      </c>
      <c r="AH112">
        <v>12.852232810036</v>
      </c>
      <c r="AI112">
        <v>94.923782826908194</v>
      </c>
      <c r="AJ112">
        <v>93.042967386879496</v>
      </c>
      <c r="AK112">
        <v>12.918050743178901</v>
      </c>
      <c r="AL112">
        <v>76.288295918135603</v>
      </c>
      <c r="AM112">
        <v>93.4806818313875</v>
      </c>
      <c r="AN112">
        <v>0.99999998274329105</v>
      </c>
    </row>
    <row r="113" spans="1:40" x14ac:dyDescent="0.25">
      <c r="A113" t="str">
        <f>"20190304164556336"</f>
        <v>20190304164556336</v>
      </c>
      <c r="B113" t="str">
        <f>"1551689156327876"</f>
        <v>1551689156327876</v>
      </c>
      <c r="C113" t="s">
        <v>40</v>
      </c>
      <c r="D113">
        <v>4.7475040000000002</v>
      </c>
      <c r="E113">
        <v>0.51258059999999905</v>
      </c>
      <c r="F113" t="s">
        <v>42</v>
      </c>
      <c r="G113">
        <v>-447.2226</v>
      </c>
      <c r="H113" s="1">
        <v>-1.6265819999999999E-6</v>
      </c>
      <c r="I113">
        <v>367.73790000000002</v>
      </c>
      <c r="J113">
        <v>-459.99560000000002</v>
      </c>
      <c r="K113">
        <v>1.1087720000000001</v>
      </c>
      <c r="L113">
        <v>367.09129999999999</v>
      </c>
      <c r="M113">
        <v>0.99997630000000004</v>
      </c>
      <c r="N113">
        <v>5.2538559999999897E-4</v>
      </c>
      <c r="O113">
        <v>-6.8715679999999998E-3</v>
      </c>
      <c r="P113">
        <v>0.96997319999999998</v>
      </c>
      <c r="Q113">
        <v>0.23742150000000001</v>
      </c>
      <c r="R113">
        <v>5.2753139999999997E-2</v>
      </c>
      <c r="S113">
        <v>3.1501769999999998</v>
      </c>
      <c r="T113">
        <v>-0.26777260000000003</v>
      </c>
      <c r="U113">
        <v>0.1557617</v>
      </c>
      <c r="V113">
        <v>-5.951758E-2</v>
      </c>
      <c r="W113">
        <v>0.23688699999999999</v>
      </c>
      <c r="X113">
        <v>0.96971240000000003</v>
      </c>
      <c r="Y113">
        <v>-5.6021750000000002E-2</v>
      </c>
      <c r="Z113">
        <v>2.9468279999999999E-3</v>
      </c>
      <c r="AA113">
        <v>0.99842520000000001</v>
      </c>
      <c r="AB113">
        <v>29</v>
      </c>
      <c r="AC113">
        <v>12.773</v>
      </c>
      <c r="AD113">
        <v>-1.1087736265819901</v>
      </c>
      <c r="AE113">
        <v>0.64660000000003404</v>
      </c>
      <c r="AF113">
        <v>-0.72887701939443705</v>
      </c>
      <c r="AG113">
        <v>-1.1087736265819901</v>
      </c>
      <c r="AH113">
        <v>12.673004611233999</v>
      </c>
      <c r="AI113">
        <v>94.991924134802801</v>
      </c>
      <c r="AJ113">
        <v>93.291691439155997</v>
      </c>
      <c r="AK113">
        <v>12.7422794876256</v>
      </c>
      <c r="AL113">
        <v>76.297118412127205</v>
      </c>
      <c r="AM113">
        <v>93.512210164473203</v>
      </c>
      <c r="AN113">
        <v>0.99999996590590701</v>
      </c>
    </row>
    <row r="114" spans="1:40" x14ac:dyDescent="0.25">
      <c r="A114" t="str">
        <f>"20190304164556361"</f>
        <v>20190304164556361</v>
      </c>
      <c r="B114" t="str">
        <f>"1551689156347396"</f>
        <v>1551689156347396</v>
      </c>
      <c r="C114" t="s">
        <v>40</v>
      </c>
      <c r="D114">
        <v>4.7489229999999996</v>
      </c>
      <c r="E114">
        <v>0.51211770000000001</v>
      </c>
      <c r="F114" t="s">
        <v>42</v>
      </c>
      <c r="G114">
        <v>-447.06490000000002</v>
      </c>
      <c r="H114" s="1">
        <v>-1.695387E-6</v>
      </c>
      <c r="I114">
        <v>367.77030000000002</v>
      </c>
      <c r="J114">
        <v>-459.6823</v>
      </c>
      <c r="K114">
        <v>1.1087800000000001</v>
      </c>
      <c r="L114">
        <v>367.08940000000001</v>
      </c>
      <c r="M114">
        <v>0.99997809999999998</v>
      </c>
      <c r="N114">
        <v>4.2173710000000002E-4</v>
      </c>
      <c r="O114">
        <v>-6.6010390000000004E-3</v>
      </c>
      <c r="P114">
        <v>0.96993419999999997</v>
      </c>
      <c r="Q114">
        <v>0.23740069999999999</v>
      </c>
      <c r="R114">
        <v>5.35606E-2</v>
      </c>
      <c r="S114">
        <v>3.1500240000000002</v>
      </c>
      <c r="T114">
        <v>-0.2701057</v>
      </c>
      <c r="U114">
        <v>0.16540529999999901</v>
      </c>
      <c r="V114">
        <v>-6.0064319999999997E-2</v>
      </c>
      <c r="W114">
        <v>0.2369657</v>
      </c>
      <c r="X114">
        <v>0.96965950000000001</v>
      </c>
      <c r="Y114">
        <v>-5.8789279999999999E-2</v>
      </c>
      <c r="Z114">
        <v>3.069137E-3</v>
      </c>
      <c r="AA114">
        <v>0.99826570000000003</v>
      </c>
      <c r="AB114">
        <v>29</v>
      </c>
      <c r="AC114">
        <v>12.6173999999999</v>
      </c>
      <c r="AD114">
        <v>-1.10878169538699</v>
      </c>
      <c r="AE114">
        <v>0.68090000000000805</v>
      </c>
      <c r="AF114">
        <v>-0.75833397000376201</v>
      </c>
      <c r="AG114">
        <v>-1.10878169538699</v>
      </c>
      <c r="AH114">
        <v>12.5162555768249</v>
      </c>
      <c r="AI114">
        <v>95.053246579443197</v>
      </c>
      <c r="AJ114">
        <v>93.467194039038404</v>
      </c>
      <c r="AK114">
        <v>12.588134131891399</v>
      </c>
      <c r="AL114">
        <v>76.292477640946899</v>
      </c>
      <c r="AM114">
        <v>93.544585002247302</v>
      </c>
      <c r="AN114">
        <v>1.0000000057269001</v>
      </c>
    </row>
    <row r="115" spans="1:40" x14ac:dyDescent="0.25">
      <c r="A115" t="str">
        <f>"20190304164556380"</f>
        <v>20190304164556380</v>
      </c>
      <c r="B115" t="str">
        <f>"1551689156367895"</f>
        <v>1551689156367895</v>
      </c>
      <c r="C115" t="s">
        <v>40</v>
      </c>
      <c r="D115">
        <v>4.735023</v>
      </c>
      <c r="E115">
        <v>0.51178100000000004</v>
      </c>
      <c r="F115" t="s">
        <v>42</v>
      </c>
      <c r="G115">
        <v>-446.89030000000002</v>
      </c>
      <c r="H115" s="1">
        <v>-1.774563E-6</v>
      </c>
      <c r="I115">
        <v>367.78899999999999</v>
      </c>
      <c r="J115">
        <v>-459.41559999999998</v>
      </c>
      <c r="K115">
        <v>1.108789</v>
      </c>
      <c r="L115">
        <v>367.08780000000002</v>
      </c>
      <c r="M115">
        <v>0.99997979999999997</v>
      </c>
      <c r="N115">
        <v>3.3333519999999999E-4</v>
      </c>
      <c r="O115">
        <v>-6.3702169999999897E-3</v>
      </c>
      <c r="P115">
        <v>0.96977449999999998</v>
      </c>
      <c r="Q115">
        <v>0.23805560000000001</v>
      </c>
      <c r="R115">
        <v>5.3544939999999999E-2</v>
      </c>
      <c r="S115">
        <v>3.150299</v>
      </c>
      <c r="T115">
        <v>-0.27306069999999999</v>
      </c>
      <c r="U115">
        <v>0.17230219999999999</v>
      </c>
      <c r="V115">
        <v>-5.9825690000000001E-2</v>
      </c>
      <c r="W115">
        <v>0.237706</v>
      </c>
      <c r="X115">
        <v>0.96949300000000005</v>
      </c>
      <c r="Y115">
        <v>-6.0721770000000001E-2</v>
      </c>
      <c r="Z115">
        <v>3.1674429999999998E-3</v>
      </c>
      <c r="AA115">
        <v>0.99814970000000003</v>
      </c>
      <c r="AB115">
        <v>29</v>
      </c>
      <c r="AC115">
        <v>12.5252999999999</v>
      </c>
      <c r="AD115">
        <v>-1.1087907745629999</v>
      </c>
      <c r="AE115">
        <v>0.70119999999997096</v>
      </c>
      <c r="AF115">
        <v>-0.77492093805641205</v>
      </c>
      <c r="AG115">
        <v>-1.1087907745629999</v>
      </c>
      <c r="AH115">
        <v>12.423526094701099</v>
      </c>
      <c r="AI115">
        <v>95.090253768204406</v>
      </c>
      <c r="AJ115">
        <v>93.569216284036401</v>
      </c>
      <c r="AK115">
        <v>12.496956432176299</v>
      </c>
      <c r="AL115">
        <v>76.248813449647201</v>
      </c>
      <c r="AM115">
        <v>93.531143181514594</v>
      </c>
      <c r="AN115">
        <v>0.99999996633448696</v>
      </c>
    </row>
    <row r="116" spans="1:40" x14ac:dyDescent="0.25">
      <c r="A116" t="str">
        <f>"20190304164556403"</f>
        <v>20190304164556403</v>
      </c>
      <c r="B116" t="str">
        <f>"1551689156398147"</f>
        <v>1551689156398147</v>
      </c>
      <c r="C116" t="s">
        <v>40</v>
      </c>
      <c r="D116">
        <v>4.7442609999999998</v>
      </c>
      <c r="E116">
        <v>0.51140419999999998</v>
      </c>
      <c r="F116" t="s">
        <v>42</v>
      </c>
      <c r="G116">
        <v>-446.49509999999998</v>
      </c>
      <c r="H116" s="1">
        <v>-1.958578E-6</v>
      </c>
      <c r="I116">
        <v>367.80509999999998</v>
      </c>
      <c r="J116">
        <v>-459.12139999999999</v>
      </c>
      <c r="K116">
        <v>1.10880499999999</v>
      </c>
      <c r="L116">
        <v>367.08620000000002</v>
      </c>
      <c r="M116">
        <v>0.99998149999999997</v>
      </c>
      <c r="N116">
        <v>2.3584990000000001E-4</v>
      </c>
      <c r="O116">
        <v>-6.1150759999999997E-3</v>
      </c>
      <c r="P116">
        <v>0.9697848</v>
      </c>
      <c r="Q116">
        <v>0.23806289999999999</v>
      </c>
      <c r="R116">
        <v>5.332522E-2</v>
      </c>
      <c r="S116">
        <v>3.1502080000000001</v>
      </c>
      <c r="T116">
        <v>-0.27033750000000001</v>
      </c>
      <c r="U116">
        <v>0.17486570000000001</v>
      </c>
      <c r="V116">
        <v>-5.9360030000000001E-2</v>
      </c>
      <c r="W116">
        <v>0.23780780000000001</v>
      </c>
      <c r="X116">
        <v>0.96949669999999999</v>
      </c>
      <c r="Y116">
        <v>-6.1282120000000002E-2</v>
      </c>
      <c r="Z116">
        <v>3.1402740000000002E-3</v>
      </c>
      <c r="AA116">
        <v>0.99811550000000004</v>
      </c>
      <c r="AB116">
        <v>30</v>
      </c>
      <c r="AC116">
        <v>12.626300000000001</v>
      </c>
      <c r="AD116">
        <v>-1.1088069585779901</v>
      </c>
      <c r="AE116">
        <v>0.71889999999996201</v>
      </c>
      <c r="AF116">
        <v>-0.79002444887702605</v>
      </c>
      <c r="AG116">
        <v>-1.1088069585779901</v>
      </c>
      <c r="AH116">
        <v>12.5253857798167</v>
      </c>
      <c r="AI116">
        <v>95.048927432027</v>
      </c>
      <c r="AJ116">
        <v>93.609085110603601</v>
      </c>
      <c r="AK116">
        <v>12.5991618941281</v>
      </c>
      <c r="AL116">
        <v>76.242809118579999</v>
      </c>
      <c r="AM116">
        <v>93.503713529020899</v>
      </c>
      <c r="AN116">
        <v>1.0000000071066599</v>
      </c>
    </row>
    <row r="117" spans="1:40" x14ac:dyDescent="0.25">
      <c r="A117" t="str">
        <f>"20190304164556425"</f>
        <v>20190304164556425</v>
      </c>
      <c r="B117" t="str">
        <f>"1551689156417668"</f>
        <v>1551689156417668</v>
      </c>
      <c r="C117" t="s">
        <v>40</v>
      </c>
      <c r="D117">
        <v>4.7364139999999999</v>
      </c>
      <c r="E117">
        <v>0.51131610000000005</v>
      </c>
      <c r="F117" t="s">
        <v>42</v>
      </c>
      <c r="G117">
        <v>-446.34930000000003</v>
      </c>
      <c r="H117" s="1">
        <v>-2.0270249999999999E-6</v>
      </c>
      <c r="I117">
        <v>367.80759999999998</v>
      </c>
      <c r="J117">
        <v>-458.80959999999999</v>
      </c>
      <c r="K117">
        <v>1.1088209999999901</v>
      </c>
      <c r="L117">
        <v>367.08460000000002</v>
      </c>
      <c r="M117">
        <v>0.99998310000000001</v>
      </c>
      <c r="N117">
        <v>1.32306E-4</v>
      </c>
      <c r="O117">
        <v>-5.8452749999999996E-3</v>
      </c>
      <c r="P117">
        <v>0.96965279999999998</v>
      </c>
      <c r="Q117">
        <v>0.23858670000000001</v>
      </c>
      <c r="R117">
        <v>5.3384889999999997E-2</v>
      </c>
      <c r="S117">
        <v>3.1507869999999998</v>
      </c>
      <c r="T117">
        <v>-0.27353440000000001</v>
      </c>
      <c r="U117">
        <v>0.17797850000000001</v>
      </c>
      <c r="V117">
        <v>-5.9159780000000002E-2</v>
      </c>
      <c r="W117">
        <v>0.23843220000000001</v>
      </c>
      <c r="X117">
        <v>0.96935559999999998</v>
      </c>
      <c r="Y117">
        <v>-6.1978079999999998E-2</v>
      </c>
      <c r="Z117">
        <v>3.1859050000000002E-3</v>
      </c>
      <c r="AA117">
        <v>0.99807239999999997</v>
      </c>
      <c r="AB117">
        <v>30</v>
      </c>
      <c r="AC117">
        <v>12.460299999999901</v>
      </c>
      <c r="AD117">
        <v>-1.1088230270249999</v>
      </c>
      <c r="AE117">
        <v>0.72299999999995601</v>
      </c>
      <c r="AF117">
        <v>-0.78958977611870595</v>
      </c>
      <c r="AG117">
        <v>-1.1088230270249999</v>
      </c>
      <c r="AH117">
        <v>12.358324460715901</v>
      </c>
      <c r="AI117">
        <v>95.116630215511606</v>
      </c>
      <c r="AJ117">
        <v>93.655734551937599</v>
      </c>
      <c r="AK117">
        <v>12.433065752104</v>
      </c>
      <c r="AL117">
        <v>76.205974513630906</v>
      </c>
      <c r="AM117">
        <v>93.492430138598493</v>
      </c>
      <c r="AN117">
        <v>1.0000000364089201</v>
      </c>
    </row>
    <row r="118" spans="1:40" x14ac:dyDescent="0.25">
      <c r="A118" t="str">
        <f>"20190304164556448"</f>
        <v>20190304164556448</v>
      </c>
      <c r="B118" t="str">
        <f>"1551689156438164"</f>
        <v>1551689156438164</v>
      </c>
      <c r="C118" t="s">
        <v>40</v>
      </c>
      <c r="D118">
        <v>4.7383810000000004</v>
      </c>
      <c r="E118">
        <v>0.51119399999999904</v>
      </c>
      <c r="F118" t="s">
        <v>42</v>
      </c>
      <c r="G118">
        <v>-446.03199999999998</v>
      </c>
      <c r="H118" s="1">
        <v>-2.1759159999999998E-6</v>
      </c>
      <c r="I118">
        <v>367.81360000000001</v>
      </c>
      <c r="J118">
        <v>-458.50439999999998</v>
      </c>
      <c r="K118">
        <v>1.108833</v>
      </c>
      <c r="L118">
        <v>367.08300000000003</v>
      </c>
      <c r="M118">
        <v>0.9999844</v>
      </c>
      <c r="N118" s="1">
        <v>3.0655789999999998E-5</v>
      </c>
      <c r="O118">
        <v>-5.5808430000000003E-3</v>
      </c>
      <c r="P118">
        <v>0.9695298</v>
      </c>
      <c r="Q118">
        <v>0.2391199</v>
      </c>
      <c r="R118">
        <v>5.3232870000000002E-2</v>
      </c>
      <c r="S118">
        <v>3.1512760000000002</v>
      </c>
      <c r="T118">
        <v>-0.273464599999999</v>
      </c>
      <c r="U118">
        <v>0.17980960000000001</v>
      </c>
      <c r="V118">
        <v>-5.8752859999999997E-2</v>
      </c>
      <c r="W118">
        <v>0.23906330000000001</v>
      </c>
      <c r="X118">
        <v>0.96922489999999994</v>
      </c>
      <c r="Y118">
        <v>-6.2283350000000001E-2</v>
      </c>
      <c r="Z118">
        <v>3.177427E-3</v>
      </c>
      <c r="AA118">
        <v>0.99805339999999998</v>
      </c>
      <c r="AB118">
        <v>30</v>
      </c>
      <c r="AC118">
        <v>12.472399999999899</v>
      </c>
      <c r="AD118">
        <v>-1.108835175916</v>
      </c>
      <c r="AE118">
        <v>0.73059999999998104</v>
      </c>
      <c r="AF118">
        <v>-0.79394146325622905</v>
      </c>
      <c r="AG118">
        <v>-1.108835175916</v>
      </c>
      <c r="AH118">
        <v>12.3706877629544</v>
      </c>
      <c r="AI118">
        <v>95.111506091103706</v>
      </c>
      <c r="AJ118">
        <v>93.672163834590904</v>
      </c>
      <c r="AK118">
        <v>12.445632736945701</v>
      </c>
      <c r="AL118">
        <v>76.168738295097597</v>
      </c>
      <c r="AM118">
        <v>93.468933508490096</v>
      </c>
      <c r="AN118">
        <v>1.0000000333725301</v>
      </c>
    </row>
    <row r="119" spans="1:40" x14ac:dyDescent="0.25">
      <c r="A119" t="str">
        <f>"20190304164556470"</f>
        <v>20190304164556470</v>
      </c>
      <c r="B119" t="str">
        <f>"1551689156457687"</f>
        <v>1551689156457687</v>
      </c>
      <c r="C119" t="s">
        <v>40</v>
      </c>
      <c r="D119">
        <v>4.7603470000000003</v>
      </c>
      <c r="E119">
        <v>0.51116839999999997</v>
      </c>
      <c r="F119" t="s">
        <v>42</v>
      </c>
      <c r="G119">
        <v>-445.71230000000003</v>
      </c>
      <c r="H119" s="1">
        <v>-2.327096E-6</v>
      </c>
      <c r="I119">
        <v>367.8134</v>
      </c>
      <c r="J119">
        <v>-458.21129999999999</v>
      </c>
      <c r="K119">
        <v>1.1088480000000001</v>
      </c>
      <c r="L119">
        <v>367.08159999999998</v>
      </c>
      <c r="M119">
        <v>0.99998589999999998</v>
      </c>
      <c r="N119" s="1">
        <v>-6.6775509999999897E-5</v>
      </c>
      <c r="O119">
        <v>-5.3271459999999996E-3</v>
      </c>
      <c r="P119">
        <v>0.96934739999999997</v>
      </c>
      <c r="Q119">
        <v>0.2397552</v>
      </c>
      <c r="R119">
        <v>5.3694459999999999E-2</v>
      </c>
      <c r="S119">
        <v>3.1517940000000002</v>
      </c>
      <c r="T119">
        <v>-0.27320270000000002</v>
      </c>
      <c r="U119">
        <v>0.17996219999999999</v>
      </c>
      <c r="V119">
        <v>-5.8969800000000003E-2</v>
      </c>
      <c r="W119">
        <v>0.23979249999999999</v>
      </c>
      <c r="X119">
        <v>0.96903159999999999</v>
      </c>
      <c r="Y119">
        <v>-6.2071059999999997E-2</v>
      </c>
      <c r="Z119">
        <v>3.1452709999999998E-3</v>
      </c>
      <c r="AA119">
        <v>0.99806680000000003</v>
      </c>
      <c r="AB119">
        <v>30</v>
      </c>
      <c r="AC119">
        <v>12.498999999999899</v>
      </c>
      <c r="AD119">
        <v>-1.108850327096</v>
      </c>
      <c r="AE119">
        <v>0.73180000000002099</v>
      </c>
      <c r="AF119">
        <v>-0.79216030980623897</v>
      </c>
      <c r="AG119">
        <v>-1.108850327096</v>
      </c>
      <c r="AH119">
        <v>12.397683187202</v>
      </c>
      <c r="AI119">
        <v>95.100595807527696</v>
      </c>
      <c r="AJ119">
        <v>93.655991623539904</v>
      </c>
      <c r="AK119">
        <v>12.472354044628601</v>
      </c>
      <c r="AL119">
        <v>76.125706991580799</v>
      </c>
      <c r="AM119">
        <v>93.482403616739802</v>
      </c>
      <c r="AN119">
        <v>1.0000000610834201</v>
      </c>
    </row>
    <row r="120" spans="1:40" x14ac:dyDescent="0.25">
      <c r="A120" t="str">
        <f>"20190304164556494"</f>
        <v>20190304164556494</v>
      </c>
      <c r="B120" t="str">
        <f>"1551689156487940"</f>
        <v>1551689156487940</v>
      </c>
      <c r="C120" t="s">
        <v>40</v>
      </c>
      <c r="D120">
        <v>4.7202849999999996</v>
      </c>
      <c r="E120">
        <v>0.51113599999999904</v>
      </c>
      <c r="F120" t="s">
        <v>42</v>
      </c>
      <c r="G120">
        <v>-445.35669999999999</v>
      </c>
      <c r="H120" s="1">
        <v>-2.4932769999999999E-6</v>
      </c>
      <c r="I120">
        <v>367.82420000000002</v>
      </c>
      <c r="J120">
        <v>-457.88459999999998</v>
      </c>
      <c r="K120">
        <v>1.1088629999999999</v>
      </c>
      <c r="L120">
        <v>367.08010000000002</v>
      </c>
      <c r="M120">
        <v>0.99998739999999997</v>
      </c>
      <c r="N120">
        <v>-1.753778E-4</v>
      </c>
      <c r="O120">
        <v>-5.0446019999999996E-3</v>
      </c>
      <c r="P120">
        <v>0.96935919999999998</v>
      </c>
      <c r="Q120">
        <v>0.23971490000000001</v>
      </c>
      <c r="R120">
        <v>5.3663429999999998E-2</v>
      </c>
      <c r="S120">
        <v>3.1520389999999998</v>
      </c>
      <c r="T120">
        <v>-0.27189819999999998</v>
      </c>
      <c r="U120">
        <v>0.18209839999999999</v>
      </c>
      <c r="V120">
        <v>-5.8666629999999997E-2</v>
      </c>
      <c r="W120">
        <v>0.2398573</v>
      </c>
      <c r="X120">
        <v>0.9690339</v>
      </c>
      <c r="Y120">
        <v>-6.2460660000000001E-2</v>
      </c>
      <c r="Z120">
        <v>3.1253510000000002E-3</v>
      </c>
      <c r="AA120">
        <v>0.99804250000000005</v>
      </c>
      <c r="AB120">
        <v>30</v>
      </c>
      <c r="AC120">
        <v>12.527899999999899</v>
      </c>
      <c r="AD120">
        <v>-1.1088654932769999</v>
      </c>
      <c r="AE120">
        <v>0.74410000000000298</v>
      </c>
      <c r="AF120">
        <v>-0.80103528979813099</v>
      </c>
      <c r="AG120">
        <v>-1.1088654932769999</v>
      </c>
      <c r="AH120">
        <v>12.4269723062203</v>
      </c>
      <c r="AI120">
        <v>95.088524310295199</v>
      </c>
      <c r="AJ120">
        <v>93.688149623641806</v>
      </c>
      <c r="AK120">
        <v>12.5020350710294</v>
      </c>
      <c r="AL120">
        <v>76.121881730721995</v>
      </c>
      <c r="AM120">
        <v>93.464535728109297</v>
      </c>
      <c r="AN120">
        <v>0.99999999859402799</v>
      </c>
    </row>
    <row r="121" spans="1:40" x14ac:dyDescent="0.25">
      <c r="A121" t="str">
        <f>"20190304164556518"</f>
        <v>20190304164556518</v>
      </c>
      <c r="B121" t="str">
        <f>"1551689156507459"</f>
        <v>1551689156507459</v>
      </c>
      <c r="C121" t="s">
        <v>40</v>
      </c>
      <c r="D121">
        <v>4.6917220000000004</v>
      </c>
      <c r="E121">
        <v>0.51115339999999998</v>
      </c>
      <c r="F121" t="s">
        <v>42</v>
      </c>
      <c r="G121">
        <v>-445.05160000000001</v>
      </c>
      <c r="H121" s="1">
        <v>-2.637956E-6</v>
      </c>
      <c r="I121">
        <v>367.82159999999999</v>
      </c>
      <c r="J121">
        <v>-457.55799999999999</v>
      </c>
      <c r="K121">
        <v>1.108865</v>
      </c>
      <c r="L121">
        <v>367.07870000000003</v>
      </c>
      <c r="M121">
        <v>0.99998869999999895</v>
      </c>
      <c r="N121">
        <v>-2.8356360000000001E-4</v>
      </c>
      <c r="O121">
        <v>-4.7596799999999996E-3</v>
      </c>
      <c r="P121">
        <v>0.96934100000000001</v>
      </c>
      <c r="Q121">
        <v>0.239705</v>
      </c>
      <c r="R121">
        <v>5.4033610000000003E-2</v>
      </c>
      <c r="S121">
        <v>3.152069</v>
      </c>
      <c r="T121">
        <v>-0.27236320000000003</v>
      </c>
      <c r="U121">
        <v>0.18212890000000001</v>
      </c>
      <c r="V121">
        <v>-5.8762710000000003E-2</v>
      </c>
      <c r="W121">
        <v>0.2399512</v>
      </c>
      <c r="X121">
        <v>0.9690048</v>
      </c>
      <c r="Y121">
        <v>-6.2186350000000001E-2</v>
      </c>
      <c r="Z121">
        <v>3.097149E-3</v>
      </c>
      <c r="AA121">
        <v>0.99805969999999999</v>
      </c>
      <c r="AB121">
        <v>31</v>
      </c>
      <c r="AC121">
        <v>12.506399999999999</v>
      </c>
      <c r="AD121">
        <v>-1.1088676379560001</v>
      </c>
      <c r="AE121">
        <v>0.74289999999996303</v>
      </c>
      <c r="AF121">
        <v>-0.796181028910669</v>
      </c>
      <c r="AG121">
        <v>-1.1088676379560001</v>
      </c>
      <c r="AH121">
        <v>12.4055414997233</v>
      </c>
      <c r="AI121">
        <v>95.097369290790994</v>
      </c>
      <c r="AJ121">
        <v>93.672176156815098</v>
      </c>
      <c r="AK121">
        <v>12.4804227320496</v>
      </c>
      <c r="AL121">
        <v>76.116339386991299</v>
      </c>
      <c r="AM121">
        <v>93.470299800078905</v>
      </c>
      <c r="AN121">
        <v>0.99999996844551098</v>
      </c>
    </row>
    <row r="122" spans="1:40" x14ac:dyDescent="0.25">
      <c r="A122" t="str">
        <f>"20190304164556540"</f>
        <v>20190304164556540</v>
      </c>
      <c r="B122" t="str">
        <f>"1551689156527956"</f>
        <v>1551689156527956</v>
      </c>
      <c r="C122" t="s">
        <v>40</v>
      </c>
      <c r="D122">
        <v>4.6743990000000002</v>
      </c>
      <c r="E122">
        <v>0.51215509999999997</v>
      </c>
      <c r="F122" t="s">
        <v>42</v>
      </c>
      <c r="G122">
        <v>-444.78030000000001</v>
      </c>
      <c r="H122" s="1">
        <v>-2.765898E-6</v>
      </c>
      <c r="I122">
        <v>367.82339999999999</v>
      </c>
      <c r="J122">
        <v>-457.24709999999999</v>
      </c>
      <c r="K122">
        <v>1.108881</v>
      </c>
      <c r="L122">
        <v>367.07749999999999</v>
      </c>
      <c r="M122">
        <v>0.99998989999999999</v>
      </c>
      <c r="N122">
        <v>-3.8639559999999998E-4</v>
      </c>
      <c r="O122">
        <v>-4.4833449999999997E-3</v>
      </c>
      <c r="P122">
        <v>0.96924109999999997</v>
      </c>
      <c r="Q122">
        <v>0.23996919999999999</v>
      </c>
      <c r="R122">
        <v>5.4648719999999998E-2</v>
      </c>
      <c r="S122">
        <v>3.1522830000000002</v>
      </c>
      <c r="T122">
        <v>-0.27355980000000002</v>
      </c>
      <c r="U122">
        <v>0.18371580000000001</v>
      </c>
      <c r="V122">
        <v>-5.9113489999999998E-2</v>
      </c>
      <c r="W122">
        <v>0.2403141</v>
      </c>
      <c r="X122">
        <v>0.96889349999999996</v>
      </c>
      <c r="Y122">
        <v>-6.2405229999999999E-2</v>
      </c>
      <c r="Z122">
        <v>3.0988399999999998E-3</v>
      </c>
      <c r="AA122">
        <v>0.99804610000000005</v>
      </c>
      <c r="AB122">
        <v>31</v>
      </c>
      <c r="AC122">
        <v>12.4667999999999</v>
      </c>
      <c r="AD122">
        <v>-1.108883765898</v>
      </c>
      <c r="AE122">
        <v>0.745900000000006</v>
      </c>
      <c r="AF122">
        <v>-0.79551416421421295</v>
      </c>
      <c r="AG122">
        <v>-1.108883765898</v>
      </c>
      <c r="AH122">
        <v>12.3658464236991</v>
      </c>
      <c r="AI122">
        <v>95.113669997383298</v>
      </c>
      <c r="AJ122">
        <v>93.680854545094107</v>
      </c>
      <c r="AK122">
        <v>12.440925358117401</v>
      </c>
      <c r="AL122">
        <v>76.094919655794399</v>
      </c>
      <c r="AM122">
        <v>93.491364465906301</v>
      </c>
      <c r="AN122">
        <v>0.99999994285051796</v>
      </c>
    </row>
    <row r="123" spans="1:40" x14ac:dyDescent="0.25">
      <c r="A123" t="str">
        <f>"20190304164556562"</f>
        <v>20190304164556562</v>
      </c>
      <c r="B123" t="str">
        <f>"1551689156558212"</f>
        <v>1551689156558212</v>
      </c>
      <c r="C123" t="s">
        <v>40</v>
      </c>
      <c r="D123">
        <v>4.6404829999999997</v>
      </c>
      <c r="E123">
        <v>0.53809189999999996</v>
      </c>
      <c r="F123" t="s">
        <v>42</v>
      </c>
      <c r="G123">
        <v>-444.416</v>
      </c>
      <c r="H123" s="1">
        <v>-2.9422110000000001E-6</v>
      </c>
      <c r="I123">
        <v>367.80040000000002</v>
      </c>
      <c r="J123">
        <v>-456.9323</v>
      </c>
      <c r="K123">
        <v>1.1089</v>
      </c>
      <c r="L123">
        <v>367.07639999999998</v>
      </c>
      <c r="M123">
        <v>0.99999110000000002</v>
      </c>
      <c r="N123">
        <v>-4.9053319999999999E-4</v>
      </c>
      <c r="O123">
        <v>-4.1970009999999997E-3</v>
      </c>
      <c r="P123">
        <v>0.96919849999999996</v>
      </c>
      <c r="Q123">
        <v>0.24022389999999999</v>
      </c>
      <c r="R123">
        <v>5.4282770000000001E-2</v>
      </c>
      <c r="S123">
        <v>3.1527099999999999</v>
      </c>
      <c r="T123">
        <v>-0.27246179999999998</v>
      </c>
      <c r="U123">
        <v>0.177612299999999</v>
      </c>
      <c r="V123">
        <v>-5.8473850000000001E-2</v>
      </c>
      <c r="W123">
        <v>0.2406691</v>
      </c>
      <c r="X123">
        <v>0.96884420000000004</v>
      </c>
      <c r="Y123">
        <v>-6.0196680000000002E-2</v>
      </c>
      <c r="Z123">
        <v>2.968769E-3</v>
      </c>
      <c r="AA123">
        <v>0.99818209999999996</v>
      </c>
      <c r="AB123">
        <v>31</v>
      </c>
      <c r="AC123">
        <v>12.516299999999999</v>
      </c>
      <c r="AD123">
        <v>-1.1089029422109999</v>
      </c>
      <c r="AE123">
        <v>0.72400000000004605</v>
      </c>
      <c r="AF123">
        <v>-0.77049680145972199</v>
      </c>
      <c r="AG123">
        <v>-1.1089029422109999</v>
      </c>
      <c r="AH123">
        <v>12.416018143625701</v>
      </c>
      <c r="AI123">
        <v>95.093928247578404</v>
      </c>
      <c r="AJ123">
        <v>93.551031856206194</v>
      </c>
      <c r="AK123">
        <v>12.4892288632704</v>
      </c>
      <c r="AL123">
        <v>76.073964684329198</v>
      </c>
      <c r="AM123">
        <v>93.453853268723194</v>
      </c>
      <c r="AN123">
        <v>0.99999994535113401</v>
      </c>
    </row>
    <row r="124" spans="1:40" x14ac:dyDescent="0.25">
      <c r="A124" t="str">
        <f>"20190304164556586"</f>
        <v>20190304164556586</v>
      </c>
      <c r="B124" t="str">
        <f>"1551689156577732"</f>
        <v>1551689156577732</v>
      </c>
      <c r="C124" t="s">
        <v>40</v>
      </c>
      <c r="D124">
        <v>4.6048239999999998</v>
      </c>
      <c r="E124">
        <v>0.53834419999999905</v>
      </c>
      <c r="F124" t="s">
        <v>41</v>
      </c>
      <c r="G124">
        <v>-456.0376</v>
      </c>
      <c r="H124">
        <v>1.0377529999999999</v>
      </c>
      <c r="I124">
        <v>367.06700000000001</v>
      </c>
      <c r="J124">
        <v>-456.60890000000001</v>
      </c>
      <c r="K124">
        <v>1.108922</v>
      </c>
      <c r="L124">
        <v>367.07530000000003</v>
      </c>
      <c r="M124">
        <v>0.99999229999999995</v>
      </c>
      <c r="N124">
        <v>-5.9749879999999997E-4</v>
      </c>
      <c r="O124">
        <v>-3.8912299999999999E-3</v>
      </c>
      <c r="P124">
        <v>0.96908000000000005</v>
      </c>
      <c r="Q124">
        <v>0.24071100000000001</v>
      </c>
      <c r="R124">
        <v>5.4240950000000003E-2</v>
      </c>
      <c r="S124">
        <v>3.1594540000000002</v>
      </c>
      <c r="T124">
        <v>-0.25135200000000002</v>
      </c>
      <c r="U124">
        <v>-3.22876E-2</v>
      </c>
      <c r="V124">
        <v>-5.8142159999999998E-2</v>
      </c>
      <c r="W124">
        <v>0.24125820000000001</v>
      </c>
      <c r="X124">
        <v>0.96871770000000001</v>
      </c>
      <c r="Y124">
        <v>6.3197150000000001E-3</v>
      </c>
      <c r="Z124" s="1">
        <v>5.3876950000000003E-5</v>
      </c>
      <c r="AA124">
        <v>0.99997999999999998</v>
      </c>
      <c r="AB124">
        <v>31</v>
      </c>
      <c r="AC124">
        <v>0.57130000000000702</v>
      </c>
      <c r="AD124">
        <v>-7.1168999999999802E-2</v>
      </c>
      <c r="AE124">
        <v>-8.3000000000765795E-3</v>
      </c>
      <c r="AF124">
        <v>5.9840328028623402E-3</v>
      </c>
      <c r="AG124">
        <v>-7.1168999999999802E-2</v>
      </c>
      <c r="AH124">
        <v>0.56259904990557097</v>
      </c>
      <c r="AI124">
        <v>97.209240698010305</v>
      </c>
      <c r="AJ124">
        <v>89.390601716442305</v>
      </c>
      <c r="AK124">
        <v>0.56711420910098598</v>
      </c>
      <c r="AL124">
        <v>76.0391878480157</v>
      </c>
      <c r="AM124">
        <v>93.434755879613107</v>
      </c>
      <c r="AN124">
        <v>1.0000000060649901</v>
      </c>
    </row>
    <row r="125" spans="1:40" x14ac:dyDescent="0.25">
      <c r="A125" t="str">
        <f>"20190304164556607"</f>
        <v>20190304164556607</v>
      </c>
      <c r="B125" t="str">
        <f>"1551689156598228"</f>
        <v>1551689156598228</v>
      </c>
      <c r="C125" t="s">
        <v>40</v>
      </c>
      <c r="D125">
        <v>4.5650599999999999</v>
      </c>
      <c r="E125">
        <v>0.53771859999999905</v>
      </c>
      <c r="F125" t="s">
        <v>41</v>
      </c>
      <c r="G125">
        <v>-455.75200000000001</v>
      </c>
      <c r="H125">
        <v>1.042494</v>
      </c>
      <c r="I125">
        <v>367.06549999999999</v>
      </c>
      <c r="J125">
        <v>-456.30779999999999</v>
      </c>
      <c r="K125">
        <v>1.108951</v>
      </c>
      <c r="L125">
        <v>367.07440000000003</v>
      </c>
      <c r="M125">
        <v>0.99999329999999997</v>
      </c>
      <c r="N125">
        <v>-6.9689299999999997E-4</v>
      </c>
      <c r="O125">
        <v>-3.5907069999999998E-3</v>
      </c>
      <c r="P125">
        <v>0.96891620000000001</v>
      </c>
      <c r="Q125">
        <v>0.24131279999999999</v>
      </c>
      <c r="R125">
        <v>5.4494479999999998E-2</v>
      </c>
      <c r="S125">
        <v>3.1585999999999999</v>
      </c>
      <c r="T125">
        <v>-0.2449836</v>
      </c>
      <c r="U125">
        <v>-3.549194E-2</v>
      </c>
      <c r="V125">
        <v>-5.8112370000000003E-2</v>
      </c>
      <c r="W125">
        <v>0.24195459999999999</v>
      </c>
      <c r="X125">
        <v>0.96854580000000001</v>
      </c>
      <c r="Y125">
        <v>7.6328059999999998E-3</v>
      </c>
      <c r="Z125" s="1">
        <v>-2.2642549999999999E-5</v>
      </c>
      <c r="AA125">
        <v>0.9999709</v>
      </c>
      <c r="AB125">
        <v>31</v>
      </c>
      <c r="AC125">
        <v>0.55580000000003305</v>
      </c>
      <c r="AD125">
        <v>-6.6456999999999905E-2</v>
      </c>
      <c r="AE125">
        <v>-8.9000000000396505E-3</v>
      </c>
      <c r="AF125">
        <v>6.8069335084090703E-3</v>
      </c>
      <c r="AG125">
        <v>-6.6456999999999905E-2</v>
      </c>
      <c r="AH125">
        <v>0.54799569788344205</v>
      </c>
      <c r="AI125">
        <v>96.914127988668596</v>
      </c>
      <c r="AJ125">
        <v>89.288336557795105</v>
      </c>
      <c r="AK125">
        <v>0.55205267148302894</v>
      </c>
      <c r="AL125">
        <v>75.998069108297102</v>
      </c>
      <c r="AM125">
        <v>93.433608081504403</v>
      </c>
      <c r="AN125">
        <v>1.0000000213528999</v>
      </c>
    </row>
    <row r="126" spans="1:40" x14ac:dyDescent="0.25">
      <c r="A126" t="str">
        <f>"20190304164556627"</f>
        <v>20190304164556627</v>
      </c>
      <c r="B126" t="str">
        <f>"1551689156617748"</f>
        <v>1551689156617748</v>
      </c>
      <c r="C126" t="s">
        <v>40</v>
      </c>
      <c r="D126">
        <v>4.5723839999999996</v>
      </c>
      <c r="E126">
        <v>0.53776590000000002</v>
      </c>
      <c r="F126" t="s">
        <v>41</v>
      </c>
      <c r="G126">
        <v>-455.46519999999998</v>
      </c>
      <c r="H126">
        <v>1.045474</v>
      </c>
      <c r="I126">
        <v>367.0659</v>
      </c>
      <c r="J126">
        <v>-456.012</v>
      </c>
      <c r="K126">
        <v>1.1089770000000001</v>
      </c>
      <c r="L126">
        <v>367.0736</v>
      </c>
      <c r="M126">
        <v>0.9999943</v>
      </c>
      <c r="N126">
        <v>-7.9452899999999998E-4</v>
      </c>
      <c r="O126">
        <v>-3.27576E-3</v>
      </c>
      <c r="P126">
        <v>0.96852850000000001</v>
      </c>
      <c r="Q126">
        <v>0.24285519999999999</v>
      </c>
      <c r="R126">
        <v>5.453479E-2</v>
      </c>
      <c r="S126">
        <v>3.157257</v>
      </c>
      <c r="T126">
        <v>-0.23810319999999999</v>
      </c>
      <c r="U126">
        <v>-3.0303960000000001E-2</v>
      </c>
      <c r="V126">
        <v>-5.7857060000000002E-2</v>
      </c>
      <c r="W126">
        <v>0.2435889</v>
      </c>
      <c r="X126">
        <v>0.96815130000000005</v>
      </c>
      <c r="Y126">
        <v>6.3130800000000004E-3</v>
      </c>
      <c r="Z126" s="1">
        <v>3.8660949999999998E-6</v>
      </c>
      <c r="AA126">
        <v>0.99998010000000004</v>
      </c>
      <c r="AB126">
        <v>32</v>
      </c>
      <c r="AC126">
        <v>0.54679999999996198</v>
      </c>
      <c r="AD126">
        <v>-6.3503000000000004E-2</v>
      </c>
      <c r="AE126">
        <v>-7.6999999999998103E-3</v>
      </c>
      <c r="AF126">
        <v>5.8301539060189702E-3</v>
      </c>
      <c r="AG126">
        <v>-6.3503000000000004E-2</v>
      </c>
      <c r="AH126">
        <v>0.53954659738159105</v>
      </c>
      <c r="AI126">
        <v>96.712269201576504</v>
      </c>
      <c r="AJ126">
        <v>89.380905719624593</v>
      </c>
      <c r="AK126">
        <v>0.543302082132602</v>
      </c>
      <c r="AL126">
        <v>75.901542070039596</v>
      </c>
      <c r="AM126">
        <v>93.419948455270401</v>
      </c>
      <c r="AN126">
        <v>0.99999996564337101</v>
      </c>
    </row>
    <row r="127" spans="1:40" x14ac:dyDescent="0.25">
      <c r="A127" t="str">
        <f>"20190304164556650"</f>
        <v>20190304164556650</v>
      </c>
      <c r="B127" t="str">
        <f>"1551689156638244"</f>
        <v>1551689156638244</v>
      </c>
      <c r="C127" t="s">
        <v>40</v>
      </c>
      <c r="D127">
        <v>4.5567019999999996</v>
      </c>
      <c r="E127">
        <v>0.53769519999999904</v>
      </c>
      <c r="F127" t="s">
        <v>41</v>
      </c>
      <c r="G127">
        <v>-455.17809999999997</v>
      </c>
      <c r="H127">
        <v>1.0471299999999999</v>
      </c>
      <c r="I127">
        <v>367.0652</v>
      </c>
      <c r="J127">
        <v>-455.67610000000002</v>
      </c>
      <c r="K127">
        <v>1.109016</v>
      </c>
      <c r="L127">
        <v>367.0729</v>
      </c>
      <c r="M127">
        <v>0.99999559999999998</v>
      </c>
      <c r="N127">
        <v>-9.0489089999999997E-4</v>
      </c>
      <c r="O127">
        <v>-2.89215E-3</v>
      </c>
      <c r="P127">
        <v>0.96836270000000002</v>
      </c>
      <c r="Q127">
        <v>0.2434645</v>
      </c>
      <c r="R127">
        <v>5.4762579999999998E-2</v>
      </c>
      <c r="S127">
        <v>3.1579899999999999</v>
      </c>
      <c r="T127">
        <v>-0.2343073</v>
      </c>
      <c r="U127">
        <v>-3.1738280000000001E-2</v>
      </c>
      <c r="V127">
        <v>-5.7726810000000003E-2</v>
      </c>
      <c r="W127">
        <v>0.2443015</v>
      </c>
      <c r="X127">
        <v>0.96797960000000005</v>
      </c>
      <c r="Y127">
        <v>7.1454769999999999E-3</v>
      </c>
      <c r="Z127" s="1">
        <v>-5.6277799999999998E-5</v>
      </c>
      <c r="AA127">
        <v>0.99997449999999999</v>
      </c>
      <c r="AB127">
        <v>32</v>
      </c>
      <c r="AC127">
        <v>0.49800000000004702</v>
      </c>
      <c r="AD127">
        <v>-6.1886000000000101E-2</v>
      </c>
      <c r="AE127">
        <v>-7.6999999999998103E-3</v>
      </c>
      <c r="AF127">
        <v>6.1645023388971097E-3</v>
      </c>
      <c r="AG127">
        <v>-6.1886000000000101E-2</v>
      </c>
      <c r="AH127">
        <v>0.49044810343178602</v>
      </c>
      <c r="AI127">
        <v>97.1911581593357</v>
      </c>
      <c r="AJ127">
        <v>89.279880243671101</v>
      </c>
      <c r="AK127">
        <v>0.49437558621449201</v>
      </c>
      <c r="AL127">
        <v>75.859442501110493</v>
      </c>
      <c r="AM127">
        <v>93.412871387277093</v>
      </c>
      <c r="AN127">
        <v>1.00000005675559</v>
      </c>
    </row>
    <row r="128" spans="1:40" x14ac:dyDescent="0.25">
      <c r="A128" t="str">
        <f>"20190304164556671"</f>
        <v>20190304164556671</v>
      </c>
      <c r="B128" t="str">
        <f>"1551689156667524"</f>
        <v>1551689156667524</v>
      </c>
      <c r="C128" t="s">
        <v>40</v>
      </c>
      <c r="D128">
        <v>4.5235370000000001</v>
      </c>
      <c r="E128">
        <v>0.53760350000000001</v>
      </c>
      <c r="F128" t="s">
        <v>41</v>
      </c>
      <c r="G128">
        <v>-454.88099999999997</v>
      </c>
      <c r="H128">
        <v>1.050681</v>
      </c>
      <c r="I128">
        <v>367.06490000000002</v>
      </c>
      <c r="J128">
        <v>-455.38499999999999</v>
      </c>
      <c r="K128">
        <v>1.109051</v>
      </c>
      <c r="L128">
        <v>367.07240000000002</v>
      </c>
      <c r="M128">
        <v>0.99999640000000001</v>
      </c>
      <c r="N128">
        <v>-1.0004E-3</v>
      </c>
      <c r="O128">
        <v>-2.535243E-3</v>
      </c>
      <c r="P128">
        <v>0.96797630000000001</v>
      </c>
      <c r="Q128">
        <v>0.2448543</v>
      </c>
      <c r="R128">
        <v>5.5396910000000001E-2</v>
      </c>
      <c r="S128">
        <v>3.1580509999999999</v>
      </c>
      <c r="T128">
        <v>-0.2318945</v>
      </c>
      <c r="U128">
        <v>-3.0639650000000001E-2</v>
      </c>
      <c r="V128">
        <v>-5.8028910000000003E-2</v>
      </c>
      <c r="W128">
        <v>0.24578040000000001</v>
      </c>
      <c r="X128">
        <v>0.96758699999999997</v>
      </c>
      <c r="Y128">
        <v>7.1535849999999996E-3</v>
      </c>
      <c r="Z128" s="1">
        <v>-8.2492739999999898E-5</v>
      </c>
      <c r="AA128">
        <v>0.99997440000000004</v>
      </c>
      <c r="AB128">
        <v>32</v>
      </c>
      <c r="AC128">
        <v>0.50400000000001899</v>
      </c>
      <c r="AD128">
        <v>-5.8369999999999998E-2</v>
      </c>
      <c r="AE128">
        <v>-7.4999999999931797E-3</v>
      </c>
      <c r="AF128">
        <v>6.1398784177949303E-3</v>
      </c>
      <c r="AG128">
        <v>-5.8369999999999998E-2</v>
      </c>
      <c r="AH128">
        <v>0.49734805887383199</v>
      </c>
      <c r="AI128">
        <v>96.693248130181303</v>
      </c>
      <c r="AJ128">
        <v>89.292706095924501</v>
      </c>
      <c r="AK128">
        <v>0.50079920793922394</v>
      </c>
      <c r="AL128">
        <v>75.772042101407393</v>
      </c>
      <c r="AM128">
        <v>93.432077998642498</v>
      </c>
      <c r="AN128">
        <v>0.99999998099447296</v>
      </c>
    </row>
    <row r="129" spans="1:40" x14ac:dyDescent="0.25">
      <c r="A129" t="str">
        <f>"20190304164556695"</f>
        <v>20190304164556695</v>
      </c>
      <c r="B129" t="str">
        <f>"1551689156688020"</f>
        <v>1551689156688020</v>
      </c>
      <c r="C129" t="s">
        <v>40</v>
      </c>
      <c r="D129">
        <v>4.4568490000000001</v>
      </c>
      <c r="E129">
        <v>0.53763499999999997</v>
      </c>
      <c r="F129" t="s">
        <v>42</v>
      </c>
      <c r="G129">
        <v>-440.03359999999998</v>
      </c>
      <c r="H129" s="1">
        <v>-5.1674580000000002E-6</v>
      </c>
      <c r="I129">
        <v>366.9341</v>
      </c>
      <c r="J129">
        <v>-455.04390000000001</v>
      </c>
      <c r="K129">
        <v>1.109105</v>
      </c>
      <c r="L129">
        <v>367.07190000000003</v>
      </c>
      <c r="M129">
        <v>0.99999729999999998</v>
      </c>
      <c r="N129">
        <v>-1.1560279999999999E-3</v>
      </c>
      <c r="O129">
        <v>-2.0943020000000001E-3</v>
      </c>
      <c r="P129">
        <v>0.96764399999999995</v>
      </c>
      <c r="Q129">
        <v>0.24592140000000001</v>
      </c>
      <c r="R129">
        <v>5.6460200000000002E-2</v>
      </c>
      <c r="S129">
        <v>3.1585999999999999</v>
      </c>
      <c r="T129">
        <v>-0.2281908</v>
      </c>
      <c r="U129">
        <v>-2.844238E-2</v>
      </c>
      <c r="V129">
        <v>-5.8681539999999997E-2</v>
      </c>
      <c r="W129">
        <v>0.2469935</v>
      </c>
      <c r="X129">
        <v>0.96723870000000001</v>
      </c>
      <c r="Y129">
        <v>6.8971630000000004E-3</v>
      </c>
      <c r="Z129">
        <v>-1.0412E-4</v>
      </c>
      <c r="AA129">
        <v>0.99997619999999998</v>
      </c>
      <c r="AB129">
        <v>32</v>
      </c>
      <c r="AC129">
        <v>15.010300000000001</v>
      </c>
      <c r="AD129">
        <v>-1.109110167458</v>
      </c>
      <c r="AE129">
        <v>-0.13780000000002601</v>
      </c>
      <c r="AF129">
        <v>0.105786066575805</v>
      </c>
      <c r="AG129">
        <v>-1.109110167458</v>
      </c>
      <c r="AH129">
        <v>14.929054042067399</v>
      </c>
      <c r="AI129">
        <v>94.248709801353499</v>
      </c>
      <c r="AJ129">
        <v>89.594013546401996</v>
      </c>
      <c r="AK129">
        <v>14.970570151013201</v>
      </c>
      <c r="AL129">
        <v>75.700326064210003</v>
      </c>
      <c r="AM129">
        <v>93.471830195468598</v>
      </c>
      <c r="AN129">
        <v>1.0000000074783499</v>
      </c>
    </row>
    <row r="130" spans="1:40" x14ac:dyDescent="0.25">
      <c r="A130" t="str">
        <f>"20190304164556717"</f>
        <v>20190304164556717</v>
      </c>
      <c r="B130" t="str">
        <f>"1551689156707540"</f>
        <v>1551689156707540</v>
      </c>
      <c r="C130" t="s">
        <v>40</v>
      </c>
      <c r="D130">
        <v>4.4951160000000003</v>
      </c>
      <c r="E130">
        <v>0.53774</v>
      </c>
      <c r="F130" t="s">
        <v>41</v>
      </c>
      <c r="G130">
        <v>-454.02850000000001</v>
      </c>
      <c r="H130">
        <v>1.0368120000000001</v>
      </c>
      <c r="I130">
        <v>367.06319999999999</v>
      </c>
      <c r="J130">
        <v>-454.71440000000001</v>
      </c>
      <c r="K130">
        <v>1.1092</v>
      </c>
      <c r="L130">
        <v>367.07159999999999</v>
      </c>
      <c r="M130">
        <v>0.99999769999999999</v>
      </c>
      <c r="N130">
        <v>-1.452624E-3</v>
      </c>
      <c r="O130">
        <v>-1.645774E-3</v>
      </c>
      <c r="P130">
        <v>0.96732459999999998</v>
      </c>
      <c r="Q130">
        <v>0.246779</v>
      </c>
      <c r="R130">
        <v>5.8166379999999997E-2</v>
      </c>
      <c r="S130">
        <v>3.1590579999999999</v>
      </c>
      <c r="T130">
        <v>-0.22518340000000001</v>
      </c>
      <c r="U130">
        <v>-2.5634770000000001E-2</v>
      </c>
      <c r="V130">
        <v>-5.9969630000000003E-2</v>
      </c>
      <c r="W130">
        <v>0.24813279999999999</v>
      </c>
      <c r="X130">
        <v>0.96686799999999995</v>
      </c>
      <c r="Y130">
        <v>6.4559819999999999E-3</v>
      </c>
      <c r="Z130">
        <v>-1.197217E-4</v>
      </c>
      <c r="AA130">
        <v>0.99997910000000001</v>
      </c>
      <c r="AB130">
        <v>32</v>
      </c>
      <c r="AC130">
        <v>0.68590000000000295</v>
      </c>
      <c r="AD130">
        <v>-7.2387999999999897E-2</v>
      </c>
      <c r="AE130">
        <v>-8.3999999999946305E-3</v>
      </c>
      <c r="AF130">
        <v>7.1910682627362599E-3</v>
      </c>
      <c r="AG130">
        <v>-7.2387999999999897E-2</v>
      </c>
      <c r="AH130">
        <v>0.67835839737258197</v>
      </c>
      <c r="AI130">
        <v>96.090674743762904</v>
      </c>
      <c r="AJ130">
        <v>89.392647852779405</v>
      </c>
      <c r="AK130">
        <v>0.68224764513529601</v>
      </c>
      <c r="AL130">
        <v>75.632951421891804</v>
      </c>
      <c r="AM130">
        <v>93.549202861146895</v>
      </c>
      <c r="AN130">
        <v>0.99999998619108799</v>
      </c>
    </row>
    <row r="131" spans="1:40" x14ac:dyDescent="0.25">
      <c r="A131" t="str">
        <f>"20190304164556750"</f>
        <v>20190304164556750</v>
      </c>
      <c r="B131" t="str">
        <f>"1551689156737800"</f>
        <v>1551689156737800</v>
      </c>
      <c r="C131" t="s">
        <v>40</v>
      </c>
      <c r="D131">
        <v>4.4129649999999998</v>
      </c>
      <c r="E131">
        <v>0.53791199999999995</v>
      </c>
      <c r="F131" t="s">
        <v>41</v>
      </c>
      <c r="G131">
        <v>-453.7353</v>
      </c>
      <c r="H131">
        <v>1.039712</v>
      </c>
      <c r="I131">
        <v>367.06439999999998</v>
      </c>
      <c r="J131">
        <v>-454.22890000000001</v>
      </c>
      <c r="K131">
        <v>1.1094269999999999</v>
      </c>
      <c r="L131">
        <v>367.07150000000001</v>
      </c>
      <c r="M131">
        <v>0.99999700000000002</v>
      </c>
      <c r="N131">
        <v>-2.2883669999999999E-3</v>
      </c>
      <c r="O131">
        <v>-9.6020909999999999E-4</v>
      </c>
      <c r="P131">
        <v>0.96692400000000001</v>
      </c>
      <c r="Q131">
        <v>0.24789700000000001</v>
      </c>
      <c r="R131">
        <v>6.0043949999999999E-2</v>
      </c>
      <c r="S131">
        <v>3.1599430000000002</v>
      </c>
      <c r="T131">
        <v>-0.22468350000000001</v>
      </c>
      <c r="U131">
        <v>-2.133179E-2</v>
      </c>
      <c r="V131">
        <v>-6.1206690000000001E-2</v>
      </c>
      <c r="W131">
        <v>0.25005159999999998</v>
      </c>
      <c r="X131">
        <v>0.96629600000000004</v>
      </c>
      <c r="Y131">
        <v>5.7775559999999997E-3</v>
      </c>
      <c r="Z131">
        <v>-1.4576779999999999E-4</v>
      </c>
      <c r="AA131">
        <v>0.99998330000000002</v>
      </c>
      <c r="AB131">
        <v>33</v>
      </c>
      <c r="AC131">
        <v>0.49360000000001403</v>
      </c>
      <c r="AD131">
        <v>-6.9714999999999902E-2</v>
      </c>
      <c r="AE131">
        <v>-7.1000000000367401E-3</v>
      </c>
      <c r="AF131">
        <v>6.49647068596702E-3</v>
      </c>
      <c r="AG131">
        <v>-6.9714999999999902E-2</v>
      </c>
      <c r="AH131">
        <v>0.48395459836513899</v>
      </c>
      <c r="AI131">
        <v>98.196496916659896</v>
      </c>
      <c r="AJ131">
        <v>89.230923730983505</v>
      </c>
      <c r="AK131">
        <v>0.48899329099194899</v>
      </c>
      <c r="AL131">
        <v>75.519434528701396</v>
      </c>
      <c r="AM131">
        <v>93.624361707616998</v>
      </c>
      <c r="AN131">
        <v>1.00000001058965</v>
      </c>
    </row>
    <row r="132" spans="1:40" x14ac:dyDescent="0.25">
      <c r="A132" t="str">
        <f>"20190304164556770"</f>
        <v>20190304164556770</v>
      </c>
      <c r="B132" t="str">
        <f>"1551689156758292"</f>
        <v>1551689156758292</v>
      </c>
      <c r="C132" t="s">
        <v>40</v>
      </c>
      <c r="D132">
        <v>4.4187799999999999</v>
      </c>
      <c r="E132">
        <v>0.53811619999999905</v>
      </c>
      <c r="F132" t="s">
        <v>43</v>
      </c>
      <c r="G132">
        <v>-437.54930000000002</v>
      </c>
      <c r="H132">
        <v>-0.05</v>
      </c>
      <c r="I132">
        <v>366.9744</v>
      </c>
      <c r="J132">
        <v>-453.92680000000001</v>
      </c>
      <c r="K132">
        <v>1.1096189999999999</v>
      </c>
      <c r="L132">
        <v>367.07170000000002</v>
      </c>
      <c r="M132">
        <v>0.99999510000000003</v>
      </c>
      <c r="N132">
        <v>-3.0857150000000002E-3</v>
      </c>
      <c r="O132">
        <v>-5.2145130000000003E-4</v>
      </c>
      <c r="P132">
        <v>0.96666870000000005</v>
      </c>
      <c r="Q132">
        <v>0.248636</v>
      </c>
      <c r="R132">
        <v>6.1089160000000003E-2</v>
      </c>
      <c r="S132">
        <v>3.1600950000000001</v>
      </c>
      <c r="T132">
        <v>-0.219663</v>
      </c>
      <c r="U132">
        <v>-1.8402100000000001E-2</v>
      </c>
      <c r="V132">
        <v>-6.1841119999999999E-2</v>
      </c>
      <c r="W132">
        <v>0.25155640000000001</v>
      </c>
      <c r="X132">
        <v>0.96586490000000003</v>
      </c>
      <c r="Y132">
        <v>5.2895470000000003E-3</v>
      </c>
      <c r="Z132">
        <v>-1.5719489999999999E-4</v>
      </c>
      <c r="AA132">
        <v>0.99998600000000004</v>
      </c>
      <c r="AB132">
        <v>33</v>
      </c>
      <c r="AC132">
        <v>16.377499999999898</v>
      </c>
      <c r="AD132">
        <v>-1.159619</v>
      </c>
      <c r="AE132">
        <v>-9.7300000000018302E-2</v>
      </c>
      <c r="AF132">
        <v>8.8317120862073897E-2</v>
      </c>
      <c r="AG132">
        <v>-1.159619</v>
      </c>
      <c r="AH132">
        <v>16.295853186083701</v>
      </c>
      <c r="AI132">
        <v>94.070268310470198</v>
      </c>
      <c r="AJ132">
        <v>89.689482429408002</v>
      </c>
      <c r="AK132">
        <v>16.3372992627726</v>
      </c>
      <c r="AL132">
        <v>75.430368593021896</v>
      </c>
      <c r="AM132">
        <v>93.6634578186315</v>
      </c>
      <c r="AN132">
        <v>0.999999975777911</v>
      </c>
    </row>
    <row r="133" spans="1:40" x14ac:dyDescent="0.25">
      <c r="A133" t="str">
        <f>"20190304164556793"</f>
        <v>20190304164556793</v>
      </c>
      <c r="B133" t="str">
        <f>"1551689156787573"</f>
        <v>1551689156787573</v>
      </c>
      <c r="C133" t="s">
        <v>40</v>
      </c>
      <c r="D133">
        <v>4.3642219999999998</v>
      </c>
      <c r="E133">
        <v>0.53818469999999996</v>
      </c>
      <c r="F133" t="s">
        <v>43</v>
      </c>
      <c r="G133">
        <v>-437.17579999999998</v>
      </c>
      <c r="H133">
        <v>-0.05</v>
      </c>
      <c r="I133">
        <v>366.98289999999997</v>
      </c>
      <c r="J133">
        <v>-453.59140000000002</v>
      </c>
      <c r="K133">
        <v>1.109761</v>
      </c>
      <c r="L133">
        <v>367.07209999999998</v>
      </c>
      <c r="M133">
        <v>0.99999280000000002</v>
      </c>
      <c r="N133">
        <v>-3.8211899999999999E-3</v>
      </c>
      <c r="O133" s="1">
        <v>-8.5085720000000002E-6</v>
      </c>
      <c r="P133">
        <v>0.96654090000000004</v>
      </c>
      <c r="Q133">
        <v>0.24885450000000001</v>
      </c>
      <c r="R133">
        <v>6.221057E-2</v>
      </c>
      <c r="S133">
        <v>3.1607970000000001</v>
      </c>
      <c r="T133">
        <v>-0.2188126</v>
      </c>
      <c r="U133">
        <v>-1.6754149999999999E-2</v>
      </c>
      <c r="V133">
        <v>-6.2478159999999998E-2</v>
      </c>
      <c r="W133">
        <v>0.25248209999999999</v>
      </c>
      <c r="X133">
        <v>0.96558239999999995</v>
      </c>
      <c r="Y133">
        <v>5.2787119999999996E-3</v>
      </c>
      <c r="Z133">
        <v>-1.9203760000000001E-4</v>
      </c>
      <c r="AA133">
        <v>0.99998609999999999</v>
      </c>
      <c r="AB133">
        <v>33</v>
      </c>
      <c r="AC133">
        <v>16.415600000000001</v>
      </c>
      <c r="AD133">
        <v>-1.159761</v>
      </c>
      <c r="AE133">
        <v>-8.9200000000005206E-2</v>
      </c>
      <c r="AF133">
        <v>8.8618009678941498E-2</v>
      </c>
      <c r="AG133">
        <v>-1.159761</v>
      </c>
      <c r="AH133">
        <v>16.3340730660898</v>
      </c>
      <c r="AI133">
        <v>94.061271710853603</v>
      </c>
      <c r="AJ133">
        <v>89.689153580573702</v>
      </c>
      <c r="AK133">
        <v>16.375434090646898</v>
      </c>
      <c r="AL133">
        <v>75.3755619409703</v>
      </c>
      <c r="AM133">
        <v>93.702171420224602</v>
      </c>
      <c r="AN133">
        <v>1.0000000512435701</v>
      </c>
    </row>
    <row r="134" spans="1:40" x14ac:dyDescent="0.25">
      <c r="A134" t="str">
        <f>"20190304164556816"</f>
        <v>20190304164556816</v>
      </c>
      <c r="B134" t="str">
        <f>"1551689156808070"</f>
        <v>1551689156808070</v>
      </c>
      <c r="C134" t="s">
        <v>40</v>
      </c>
      <c r="D134">
        <v>4.3576629999999996</v>
      </c>
      <c r="E134">
        <v>0.52722809999999998</v>
      </c>
      <c r="F134" t="s">
        <v>43</v>
      </c>
      <c r="G134">
        <v>-436.93400000000003</v>
      </c>
      <c r="H134">
        <v>-0.05</v>
      </c>
      <c r="I134">
        <v>367.00139999999999</v>
      </c>
      <c r="J134">
        <v>-453.25959999999998</v>
      </c>
      <c r="K134">
        <v>1.109882</v>
      </c>
      <c r="L134">
        <v>367.07260000000002</v>
      </c>
      <c r="M134">
        <v>0.99998969999999998</v>
      </c>
      <c r="N134">
        <v>-4.5255060000000003E-3</v>
      </c>
      <c r="O134">
        <v>5.2128999999999999E-4</v>
      </c>
      <c r="P134">
        <v>0.96627969999999996</v>
      </c>
      <c r="Q134">
        <v>0.2495713</v>
      </c>
      <c r="R134">
        <v>6.3384469999999998E-2</v>
      </c>
      <c r="S134">
        <v>3.1613769999999999</v>
      </c>
      <c r="T134">
        <v>-0.2201101</v>
      </c>
      <c r="U134">
        <v>-1.339722E-2</v>
      </c>
      <c r="V134">
        <v>-6.3151879999999994E-2</v>
      </c>
      <c r="W134">
        <v>0.25387470000000001</v>
      </c>
      <c r="X134">
        <v>0.96517330000000001</v>
      </c>
      <c r="Y134">
        <v>4.7456909999999998E-3</v>
      </c>
      <c r="Z134">
        <v>-2.0965480000000001E-4</v>
      </c>
      <c r="AA134">
        <v>0.99998869999999895</v>
      </c>
      <c r="AB134">
        <v>33</v>
      </c>
      <c r="AC134">
        <v>16.325599999999898</v>
      </c>
      <c r="AD134">
        <v>-1.1598820000000001</v>
      </c>
      <c r="AE134">
        <v>-7.1200000000033001E-2</v>
      </c>
      <c r="AF134">
        <v>7.9310126630221106E-2</v>
      </c>
      <c r="AG134">
        <v>-1.1598820000000001</v>
      </c>
      <c r="AH134">
        <v>16.243570351879001</v>
      </c>
      <c r="AI134">
        <v>94.084259171136097</v>
      </c>
      <c r="AJ134">
        <v>89.7202524247501</v>
      </c>
      <c r="AK134">
        <v>16.2851218640375</v>
      </c>
      <c r="AL134">
        <v>75.293084090321003</v>
      </c>
      <c r="AM134">
        <v>93.743561752845807</v>
      </c>
      <c r="AN134">
        <v>1.0000000111402501</v>
      </c>
    </row>
    <row r="135" spans="1:40" x14ac:dyDescent="0.25">
      <c r="A135" t="str">
        <f>"20190304164556840"</f>
        <v>20190304164556840</v>
      </c>
      <c r="B135" t="str">
        <f>"1551689156827588"</f>
        <v>1551689156827588</v>
      </c>
      <c r="C135" t="s">
        <v>40</v>
      </c>
      <c r="D135">
        <v>4.3571410000000004</v>
      </c>
      <c r="E135">
        <v>0.52614839999999996</v>
      </c>
      <c r="F135" t="s">
        <v>43</v>
      </c>
      <c r="G135">
        <v>-433.20100000000002</v>
      </c>
      <c r="H135">
        <v>-0.05</v>
      </c>
      <c r="I135">
        <v>367.53800000000001</v>
      </c>
      <c r="J135">
        <v>-452.92110000000002</v>
      </c>
      <c r="K135">
        <v>1.1100139999999901</v>
      </c>
      <c r="L135">
        <v>367.07339999999999</v>
      </c>
      <c r="M135">
        <v>0.99998529999999997</v>
      </c>
      <c r="N135">
        <v>-5.3264810000000001E-3</v>
      </c>
      <c r="O135">
        <v>1.0841539999999999E-3</v>
      </c>
      <c r="P135">
        <v>0.96610399999999996</v>
      </c>
      <c r="Q135">
        <v>0.24995819999999999</v>
      </c>
      <c r="R135">
        <v>6.4529110000000001E-2</v>
      </c>
      <c r="S135">
        <v>3.1469119999999999</v>
      </c>
      <c r="T135">
        <v>-0.18196960000000001</v>
      </c>
      <c r="U135">
        <v>7.3028560000000006E-2</v>
      </c>
      <c r="V135">
        <v>-6.3763249999999994E-2</v>
      </c>
      <c r="W135">
        <v>0.25503029999999999</v>
      </c>
      <c r="X135">
        <v>0.96482840000000003</v>
      </c>
      <c r="Y135">
        <v>-2.207752E-2</v>
      </c>
      <c r="Z135">
        <v>6.3969530000000001E-4</v>
      </c>
      <c r="AA135">
        <v>0.99975599999999998</v>
      </c>
      <c r="AB135">
        <v>33</v>
      </c>
      <c r="AC135">
        <v>19.720099999999999</v>
      </c>
      <c r="AD135">
        <v>-1.1600140000000001</v>
      </c>
      <c r="AE135">
        <v>0.464600000000018</v>
      </c>
      <c r="AF135">
        <v>-0.44169227942167599</v>
      </c>
      <c r="AG135">
        <v>-1.1600140000000001</v>
      </c>
      <c r="AH135">
        <v>19.652626719883699</v>
      </c>
      <c r="AI135">
        <v>93.377164721746695</v>
      </c>
      <c r="AJ135">
        <v>91.2875044149025</v>
      </c>
      <c r="AK135">
        <v>19.691786651824799</v>
      </c>
      <c r="AL135">
        <v>75.2246197832348</v>
      </c>
      <c r="AM135">
        <v>93.781045646422996</v>
      </c>
      <c r="AN135">
        <v>1.0000000237076001</v>
      </c>
    </row>
    <row r="136" spans="1:40" x14ac:dyDescent="0.25">
      <c r="A136" t="str">
        <f>"20190304164556860"</f>
        <v>20190304164556860</v>
      </c>
      <c r="B136" t="str">
        <f>"1551689156848084"</f>
        <v>1551689156848084</v>
      </c>
      <c r="C136" t="s">
        <v>40</v>
      </c>
      <c r="D136">
        <v>4.3281510000000001</v>
      </c>
      <c r="E136">
        <v>0.52541599999999999</v>
      </c>
      <c r="F136" t="s">
        <v>43</v>
      </c>
      <c r="G136">
        <v>-432.42919999999998</v>
      </c>
      <c r="H136">
        <v>-0.05</v>
      </c>
      <c r="I136">
        <v>367.62580000000003</v>
      </c>
      <c r="J136">
        <v>-452.61930000000001</v>
      </c>
      <c r="K136">
        <v>1.1101299999999901</v>
      </c>
      <c r="L136">
        <v>367.07420000000002</v>
      </c>
      <c r="M136">
        <v>0.99998050000000005</v>
      </c>
      <c r="N136">
        <v>-6.0373730000000004E-3</v>
      </c>
      <c r="O136">
        <v>1.5931070000000001E-3</v>
      </c>
      <c r="P136">
        <v>0.9659702</v>
      </c>
      <c r="Q136">
        <v>0.25027189999999999</v>
      </c>
      <c r="R136">
        <v>6.5312449999999994E-2</v>
      </c>
      <c r="S136">
        <v>3.1456599999999999</v>
      </c>
      <c r="T136">
        <v>-0.17807010000000001</v>
      </c>
      <c r="U136">
        <v>8.4808350000000005E-2</v>
      </c>
      <c r="V136">
        <v>-6.4063700000000001E-2</v>
      </c>
      <c r="W136">
        <v>0.25602750000000002</v>
      </c>
      <c r="X136">
        <v>0.96454430000000002</v>
      </c>
      <c r="Y136">
        <v>-2.5315250000000001E-2</v>
      </c>
      <c r="Z136">
        <v>7.1183879999999996E-4</v>
      </c>
      <c r="AA136">
        <v>0.99967930000000005</v>
      </c>
      <c r="AB136">
        <v>33</v>
      </c>
      <c r="AC136">
        <v>20.190100000000001</v>
      </c>
      <c r="AD136">
        <v>-1.1601300000000001</v>
      </c>
      <c r="AE136">
        <v>0.55160000000000697</v>
      </c>
      <c r="AF136">
        <v>-0.51772562901847996</v>
      </c>
      <c r="AG136">
        <v>-1.1601300000000001</v>
      </c>
      <c r="AH136">
        <v>20.1245576462962</v>
      </c>
      <c r="AI136">
        <v>93.298216813948997</v>
      </c>
      <c r="AJ136">
        <v>91.473669759154504</v>
      </c>
      <c r="AK136">
        <v>20.164616582095999</v>
      </c>
      <c r="AL136">
        <v>75.165521707228507</v>
      </c>
      <c r="AM136">
        <v>93.799925380641</v>
      </c>
      <c r="AN136">
        <v>0.99999997253821404</v>
      </c>
    </row>
    <row r="137" spans="1:40" x14ac:dyDescent="0.25">
      <c r="A137" t="str">
        <f>"20190304164556882"</f>
        <v>20190304164556882</v>
      </c>
      <c r="B137" t="str">
        <f>"1551689156878341"</f>
        <v>1551689156878341</v>
      </c>
      <c r="C137" t="s">
        <v>40</v>
      </c>
      <c r="D137">
        <v>4.3282509999999998</v>
      </c>
      <c r="E137">
        <v>0.52479319999999996</v>
      </c>
      <c r="F137" t="s">
        <v>43</v>
      </c>
      <c r="G137">
        <v>-432.17770000000002</v>
      </c>
      <c r="H137">
        <v>-0.05</v>
      </c>
      <c r="I137">
        <v>367.68180000000001</v>
      </c>
      <c r="J137">
        <v>-452.29969999999997</v>
      </c>
      <c r="K137">
        <v>1.110215</v>
      </c>
      <c r="L137">
        <v>367.07530000000003</v>
      </c>
      <c r="M137">
        <v>0.99997510000000001</v>
      </c>
      <c r="N137">
        <v>-6.734571E-3</v>
      </c>
      <c r="O137">
        <v>2.1395810000000002E-3</v>
      </c>
      <c r="P137">
        <v>0.96587750000000006</v>
      </c>
      <c r="Q137">
        <v>0.25051440000000003</v>
      </c>
      <c r="R137">
        <v>6.5751669999999998E-2</v>
      </c>
      <c r="S137">
        <v>3.1455989999999998</v>
      </c>
      <c r="T137">
        <v>-0.1785235</v>
      </c>
      <c r="U137">
        <v>9.3505859999999996E-2</v>
      </c>
      <c r="V137">
        <v>-6.3982349999999993E-2</v>
      </c>
      <c r="W137">
        <v>0.25694050000000002</v>
      </c>
      <c r="X137">
        <v>0.96430689999999997</v>
      </c>
      <c r="Y137">
        <v>-2.7527200000000002E-2</v>
      </c>
      <c r="Z137">
        <v>7.6622129999999997E-4</v>
      </c>
      <c r="AA137">
        <v>0.99962070000000003</v>
      </c>
      <c r="AB137">
        <v>33</v>
      </c>
      <c r="AC137">
        <v>20.1219999999999</v>
      </c>
      <c r="AD137">
        <v>-1.160215</v>
      </c>
      <c r="AE137">
        <v>0.60649999999998205</v>
      </c>
      <c r="AF137">
        <v>-0.56157967653651197</v>
      </c>
      <c r="AG137">
        <v>-1.160215</v>
      </c>
      <c r="AH137">
        <v>20.0566325950834</v>
      </c>
      <c r="AI137">
        <v>93.309402370035301</v>
      </c>
      <c r="AJ137">
        <v>91.603845541263198</v>
      </c>
      <c r="AK137">
        <v>20.0980093948004</v>
      </c>
      <c r="AL137">
        <v>75.111400316465193</v>
      </c>
      <c r="AM137">
        <v>93.796045808996993</v>
      </c>
      <c r="AN137">
        <v>0.999999979519691</v>
      </c>
    </row>
    <row r="138" spans="1:40" x14ac:dyDescent="0.25">
      <c r="A138" t="str">
        <f>"20190304164556907"</f>
        <v>20190304164556907</v>
      </c>
      <c r="B138" t="str">
        <f>"1551689156897860"</f>
        <v>1551689156897860</v>
      </c>
      <c r="C138" t="s">
        <v>40</v>
      </c>
      <c r="D138">
        <v>4.3119129999999997</v>
      </c>
      <c r="E138">
        <v>0.52489189999999997</v>
      </c>
      <c r="F138" t="s">
        <v>43</v>
      </c>
      <c r="G138">
        <v>-431.87880000000001</v>
      </c>
      <c r="H138">
        <v>-0.05</v>
      </c>
      <c r="I138">
        <v>367.7285</v>
      </c>
      <c r="J138">
        <v>-451.93990000000002</v>
      </c>
      <c r="K138">
        <v>1.1102970000000001</v>
      </c>
      <c r="L138">
        <v>367.07679999999999</v>
      </c>
      <c r="M138">
        <v>0.99996839999999998</v>
      </c>
      <c r="N138">
        <v>-7.442593E-3</v>
      </c>
      <c r="O138">
        <v>2.7586820000000001E-3</v>
      </c>
      <c r="P138">
        <v>0.96576890000000004</v>
      </c>
      <c r="Q138">
        <v>0.25069789999999997</v>
      </c>
      <c r="R138">
        <v>6.6641660000000005E-2</v>
      </c>
      <c r="S138">
        <v>3.145416</v>
      </c>
      <c r="T138">
        <v>-0.178707</v>
      </c>
      <c r="U138">
        <v>0.1006165</v>
      </c>
      <c r="V138">
        <v>-6.4282000000000006E-2</v>
      </c>
      <c r="W138">
        <v>0.25780449999999999</v>
      </c>
      <c r="X138">
        <v>0.96405640000000004</v>
      </c>
      <c r="Y138">
        <v>-2.9164659999999999E-2</v>
      </c>
      <c r="Z138">
        <v>8.0022160000000004E-4</v>
      </c>
      <c r="AA138">
        <v>0.99957430000000003</v>
      </c>
      <c r="AB138">
        <v>33</v>
      </c>
      <c r="AC138">
        <v>20.0611</v>
      </c>
      <c r="AD138">
        <v>-1.1602969999999999</v>
      </c>
      <c r="AE138">
        <v>0.65170000000000505</v>
      </c>
      <c r="AF138">
        <v>-0.59436757302075005</v>
      </c>
      <c r="AG138">
        <v>-1.1602969999999999</v>
      </c>
      <c r="AH138">
        <v>19.996000398362899</v>
      </c>
      <c r="AI138">
        <v>93.319484140198</v>
      </c>
      <c r="AJ138">
        <v>91.702576941506706</v>
      </c>
      <c r="AK138">
        <v>20.038452881183101</v>
      </c>
      <c r="AL138">
        <v>75.060171869217598</v>
      </c>
      <c r="AM138">
        <v>93.814759616367496</v>
      </c>
      <c r="AN138">
        <v>1.0000000390626</v>
      </c>
    </row>
    <row r="139" spans="1:40" x14ac:dyDescent="0.25">
      <c r="A139" t="str">
        <f>"20190304164556931"</f>
        <v>20190304164556931</v>
      </c>
      <c r="B139" t="str">
        <f>"1551689156917380"</f>
        <v>1551689156917380</v>
      </c>
      <c r="C139" t="s">
        <v>40</v>
      </c>
      <c r="D139">
        <v>4.3086289999999998</v>
      </c>
      <c r="E139">
        <v>0.52505760000000001</v>
      </c>
      <c r="F139" t="s">
        <v>43</v>
      </c>
      <c r="G139">
        <v>-431.70440000000002</v>
      </c>
      <c r="H139">
        <v>-0.05</v>
      </c>
      <c r="I139">
        <v>367.7355</v>
      </c>
      <c r="J139">
        <v>-451.59410000000003</v>
      </c>
      <c r="K139">
        <v>1.110349</v>
      </c>
      <c r="L139">
        <v>367.07839999999999</v>
      </c>
      <c r="M139">
        <v>0.99996209999999996</v>
      </c>
      <c r="N139">
        <v>-8.0531560000000006E-3</v>
      </c>
      <c r="O139">
        <v>3.3529390000000001E-3</v>
      </c>
      <c r="P139">
        <v>0.96557939999999998</v>
      </c>
      <c r="Q139">
        <v>0.25117200000000001</v>
      </c>
      <c r="R139">
        <v>6.7598309999999995E-2</v>
      </c>
      <c r="S139">
        <v>3.1460880000000002</v>
      </c>
      <c r="T139">
        <v>-0.18039559999999999</v>
      </c>
      <c r="U139">
        <v>0.10241699999999999</v>
      </c>
      <c r="V139">
        <v>-6.4670770000000002E-2</v>
      </c>
      <c r="W139">
        <v>0.25886439999999999</v>
      </c>
      <c r="X139">
        <v>0.96374629999999994</v>
      </c>
      <c r="Y139">
        <v>-2.91346E-2</v>
      </c>
      <c r="Z139">
        <v>7.8676500000000003E-4</v>
      </c>
      <c r="AA139">
        <v>0.9995752</v>
      </c>
      <c r="AB139">
        <v>33</v>
      </c>
      <c r="AC139">
        <v>19.889700000000001</v>
      </c>
      <c r="AD139">
        <v>-1.1603490000000001</v>
      </c>
      <c r="AE139">
        <v>0.65710000000001401</v>
      </c>
      <c r="AF139">
        <v>-0.58840477318333995</v>
      </c>
      <c r="AG139">
        <v>-1.1603490000000001</v>
      </c>
      <c r="AH139">
        <v>19.824393486460799</v>
      </c>
      <c r="AI139">
        <v>93.348307689557501</v>
      </c>
      <c r="AJ139">
        <v>91.700088101910794</v>
      </c>
      <c r="AK139">
        <v>19.867038206157801</v>
      </c>
      <c r="AL139">
        <v>74.997309797944595</v>
      </c>
      <c r="AM139">
        <v>93.838993263187504</v>
      </c>
      <c r="AN139">
        <v>1.00000000842172</v>
      </c>
    </row>
    <row r="140" spans="1:40" x14ac:dyDescent="0.25">
      <c r="A140" t="str">
        <f>"20190304164556951"</f>
        <v>20190304164556951</v>
      </c>
      <c r="B140" t="str">
        <f>"1551689156937876"</f>
        <v>1551689156937876</v>
      </c>
      <c r="C140" t="s">
        <v>40</v>
      </c>
      <c r="D140">
        <v>4.3233180000000004</v>
      </c>
      <c r="E140">
        <v>0.5251209</v>
      </c>
      <c r="F140" t="s">
        <v>43</v>
      </c>
      <c r="G140">
        <v>-431.61189999999999</v>
      </c>
      <c r="H140">
        <v>-0.05</v>
      </c>
      <c r="I140">
        <v>367.73480000000001</v>
      </c>
      <c r="J140">
        <v>-451.30070000000001</v>
      </c>
      <c r="K140">
        <v>1.110387</v>
      </c>
      <c r="L140">
        <v>367.07990000000001</v>
      </c>
      <c r="M140">
        <v>0.99995639999999997</v>
      </c>
      <c r="N140">
        <v>-8.5159950000000002E-3</v>
      </c>
      <c r="O140">
        <v>3.8581779999999999E-3</v>
      </c>
      <c r="P140">
        <v>0.96554569999999995</v>
      </c>
      <c r="Q140">
        <v>0.25110640000000001</v>
      </c>
      <c r="R140">
        <v>6.8318190000000001E-2</v>
      </c>
      <c r="S140">
        <v>3.1472169999999999</v>
      </c>
      <c r="T140">
        <v>-0.18275649999999999</v>
      </c>
      <c r="U140">
        <v>0.1033936</v>
      </c>
      <c r="V140">
        <v>-6.4904279999999995E-2</v>
      </c>
      <c r="W140">
        <v>0.25924390000000003</v>
      </c>
      <c r="X140">
        <v>0.96362859999999995</v>
      </c>
      <c r="Y140">
        <v>-2.8927069999999999E-2</v>
      </c>
      <c r="Z140">
        <v>7.7131599999999997E-4</v>
      </c>
      <c r="AA140">
        <v>0.99958119999999995</v>
      </c>
      <c r="AB140">
        <v>33</v>
      </c>
      <c r="AC140">
        <v>19.688800000000001</v>
      </c>
      <c r="AD140">
        <v>-1.1603870000000001</v>
      </c>
      <c r="AE140">
        <v>0.65489999999999704</v>
      </c>
      <c r="AF140">
        <v>-0.57692774029753202</v>
      </c>
      <c r="AG140">
        <v>-1.1603870000000001</v>
      </c>
      <c r="AH140">
        <v>19.623094785634802</v>
      </c>
      <c r="AI140">
        <v>93.382714579186398</v>
      </c>
      <c r="AJ140">
        <v>91.684036369075798</v>
      </c>
      <c r="AK140">
        <v>19.665838211815402</v>
      </c>
      <c r="AL140">
        <v>74.974797753058397</v>
      </c>
      <c r="AM140">
        <v>93.853282409947894</v>
      </c>
      <c r="AN140">
        <v>1.0000000219937399</v>
      </c>
    </row>
    <row r="141" spans="1:40" x14ac:dyDescent="0.25">
      <c r="A141" t="str">
        <f>"20190304164556973"</f>
        <v>20190304164556973</v>
      </c>
      <c r="B141" t="str">
        <f>"1551689156968133"</f>
        <v>1551689156968133</v>
      </c>
      <c r="C141" t="s">
        <v>40</v>
      </c>
      <c r="D141">
        <v>4.3438660000000002</v>
      </c>
      <c r="E141">
        <v>0.525178699999999</v>
      </c>
      <c r="F141" t="s">
        <v>43</v>
      </c>
      <c r="G141">
        <v>-431.7278</v>
      </c>
      <c r="H141">
        <v>-0.05</v>
      </c>
      <c r="I141">
        <v>367.73680000000002</v>
      </c>
      <c r="J141">
        <v>-450.97399999999999</v>
      </c>
      <c r="K141">
        <v>1.110412</v>
      </c>
      <c r="L141">
        <v>367.08179999999999</v>
      </c>
      <c r="M141">
        <v>0.99994989999999995</v>
      </c>
      <c r="N141">
        <v>-8.9776390000000008E-3</v>
      </c>
      <c r="O141">
        <v>4.4231879999999998E-3</v>
      </c>
      <c r="P141">
        <v>0.9655456</v>
      </c>
      <c r="Q141">
        <v>0.25093399999999999</v>
      </c>
      <c r="R141">
        <v>6.8948079999999995E-2</v>
      </c>
      <c r="S141">
        <v>3.1480709999999998</v>
      </c>
      <c r="T141">
        <v>-0.18663540000000001</v>
      </c>
      <c r="U141">
        <v>0.10565190000000001</v>
      </c>
      <c r="V141">
        <v>-6.4988019999999994E-2</v>
      </c>
      <c r="W141">
        <v>0.259517</v>
      </c>
      <c r="X141">
        <v>0.9635494</v>
      </c>
      <c r="Y141">
        <v>-2.9067599999999999E-2</v>
      </c>
      <c r="Z141">
        <v>7.6904640000000004E-4</v>
      </c>
      <c r="AA141">
        <v>0.99957720000000005</v>
      </c>
      <c r="AB141">
        <v>33</v>
      </c>
      <c r="AC141">
        <v>19.246199999999899</v>
      </c>
      <c r="AD141">
        <v>-1.160412</v>
      </c>
      <c r="AE141">
        <v>0.655000000000029</v>
      </c>
      <c r="AF141">
        <v>-0.56779889510030901</v>
      </c>
      <c r="AG141">
        <v>-1.160412</v>
      </c>
      <c r="AH141">
        <v>19.179268217550099</v>
      </c>
      <c r="AI141">
        <v>93.460859286733694</v>
      </c>
      <c r="AJ141">
        <v>91.695736281999402</v>
      </c>
      <c r="AK141">
        <v>19.222728239137801</v>
      </c>
      <c r="AL141">
        <v>74.958595137543099</v>
      </c>
      <c r="AM141">
        <v>93.858555112889803</v>
      </c>
      <c r="AN141">
        <v>0.99999998113643995</v>
      </c>
    </row>
    <row r="142" spans="1:40" x14ac:dyDescent="0.25">
      <c r="A142" t="str">
        <f>"20190304164556995"</f>
        <v>20190304164556995</v>
      </c>
      <c r="B142" t="str">
        <f>"1551689156987653"</f>
        <v>1551689156987653</v>
      </c>
      <c r="C142" t="s">
        <v>40</v>
      </c>
      <c r="D142">
        <v>4.4092449999999896</v>
      </c>
      <c r="E142">
        <v>0.525290699999999</v>
      </c>
      <c r="F142" t="s">
        <v>43</v>
      </c>
      <c r="G142">
        <v>-431.86439999999999</v>
      </c>
      <c r="H142">
        <v>-0.05</v>
      </c>
      <c r="I142">
        <v>367.73309999999998</v>
      </c>
      <c r="J142">
        <v>-450.65800000000002</v>
      </c>
      <c r="K142">
        <v>1.1104369999999999</v>
      </c>
      <c r="L142">
        <v>367.0838</v>
      </c>
      <c r="M142">
        <v>0.99994369999999999</v>
      </c>
      <c r="N142">
        <v>-9.3704960000000007E-3</v>
      </c>
      <c r="O142">
        <v>4.9717190000000003E-3</v>
      </c>
      <c r="P142">
        <v>0.96556640000000005</v>
      </c>
      <c r="Q142">
        <v>0.25058999999999998</v>
      </c>
      <c r="R142">
        <v>6.9903409999999999E-2</v>
      </c>
      <c r="S142">
        <v>3.1490480000000001</v>
      </c>
      <c r="T142">
        <v>-0.1912228</v>
      </c>
      <c r="U142">
        <v>0.1073303</v>
      </c>
      <c r="V142">
        <v>-6.5411449999999996E-2</v>
      </c>
      <c r="W142">
        <v>0.259552</v>
      </c>
      <c r="X142">
        <v>0.96351129999999996</v>
      </c>
      <c r="Y142">
        <v>-2.9039019999999999E-2</v>
      </c>
      <c r="Z142">
        <v>7.618681E-4</v>
      </c>
      <c r="AA142">
        <v>0.99957799999999997</v>
      </c>
      <c r="AB142">
        <v>33</v>
      </c>
      <c r="AC142">
        <v>18.793600000000001</v>
      </c>
      <c r="AD142">
        <v>-1.1604369999999999</v>
      </c>
      <c r="AE142">
        <v>0.649299999999982</v>
      </c>
      <c r="AF142">
        <v>-0.55374267880346295</v>
      </c>
      <c r="AG142">
        <v>-1.1604369999999999</v>
      </c>
      <c r="AH142">
        <v>18.725288748116199</v>
      </c>
      <c r="AI142">
        <v>93.544633232466296</v>
      </c>
      <c r="AJ142">
        <v>91.693852376398098</v>
      </c>
      <c r="AK142">
        <v>18.769381547766098</v>
      </c>
      <c r="AL142">
        <v>74.956518334502107</v>
      </c>
      <c r="AM142">
        <v>93.883771976335893</v>
      </c>
      <c r="AN142">
        <v>0.99999996186139495</v>
      </c>
    </row>
    <row r="143" spans="1:40" x14ac:dyDescent="0.25">
      <c r="A143" t="str">
        <f>"20190304164557017"</f>
        <v>20190304164557017</v>
      </c>
      <c r="B143" t="str">
        <f>"1551689157008148"</f>
        <v>1551689157008148</v>
      </c>
      <c r="C143" t="s">
        <v>40</v>
      </c>
      <c r="D143">
        <v>4.3501019999999997</v>
      </c>
      <c r="E143">
        <v>0.52552519999999903</v>
      </c>
      <c r="F143" t="s">
        <v>43</v>
      </c>
      <c r="G143">
        <v>-431.90410000000003</v>
      </c>
      <c r="H143">
        <v>-0.05</v>
      </c>
      <c r="I143">
        <v>367.73669999999998</v>
      </c>
      <c r="J143">
        <v>-450.32589999999999</v>
      </c>
      <c r="K143">
        <v>1.1104499999999999</v>
      </c>
      <c r="L143">
        <v>367.08609999999999</v>
      </c>
      <c r="M143">
        <v>0.99993739999999998</v>
      </c>
      <c r="N143">
        <v>-9.730374E-3</v>
      </c>
      <c r="O143">
        <v>5.5479040000000002E-3</v>
      </c>
      <c r="P143">
        <v>0.96556509999999995</v>
      </c>
      <c r="Q143">
        <v>0.25037399999999999</v>
      </c>
      <c r="R143">
        <v>7.0690909999999996E-2</v>
      </c>
      <c r="S143">
        <v>3.1496279999999999</v>
      </c>
      <c r="T143">
        <v>-0.1948897</v>
      </c>
      <c r="U143">
        <v>0.1096497</v>
      </c>
      <c r="V143">
        <v>-6.5639669999999997E-2</v>
      </c>
      <c r="W143">
        <v>0.25968370000000002</v>
      </c>
      <c r="X143">
        <v>0.96346030000000005</v>
      </c>
      <c r="Y143">
        <v>-2.919008E-2</v>
      </c>
      <c r="Z143">
        <v>7.5526079999999995E-4</v>
      </c>
      <c r="AA143">
        <v>0.99957359999999995</v>
      </c>
      <c r="AB143">
        <v>33</v>
      </c>
      <c r="AC143">
        <v>18.421799999999902</v>
      </c>
      <c r="AD143">
        <v>-1.16045</v>
      </c>
      <c r="AE143">
        <v>0.65059999999999696</v>
      </c>
      <c r="AF143">
        <v>-0.54621800524661701</v>
      </c>
      <c r="AG143">
        <v>-1.16045</v>
      </c>
      <c r="AH143">
        <v>18.3523916699761</v>
      </c>
      <c r="AI143">
        <v>93.616486393097304</v>
      </c>
      <c r="AJ143">
        <v>91.704777827862202</v>
      </c>
      <c r="AK143">
        <v>18.3971540820847</v>
      </c>
      <c r="AL143">
        <v>74.948704682174693</v>
      </c>
      <c r="AM143">
        <v>93.897486402143102</v>
      </c>
      <c r="AN143">
        <v>0.99999996999974305</v>
      </c>
    </row>
    <row r="144" spans="1:40" x14ac:dyDescent="0.25">
      <c r="A144" t="str">
        <f>"20190304164557040"</f>
        <v>20190304164557040</v>
      </c>
      <c r="B144" t="str">
        <f>"1551689157027668"</f>
        <v>1551689157027668</v>
      </c>
      <c r="C144" t="s">
        <v>40</v>
      </c>
      <c r="D144">
        <v>4.3698670000000002</v>
      </c>
      <c r="E144">
        <v>0.5257233</v>
      </c>
      <c r="F144" t="s">
        <v>43</v>
      </c>
      <c r="G144">
        <v>-431.79880000000003</v>
      </c>
      <c r="H144">
        <v>-0.05</v>
      </c>
      <c r="I144">
        <v>367.73599999999999</v>
      </c>
      <c r="J144">
        <v>-449.99799999999999</v>
      </c>
      <c r="K144">
        <v>1.110465</v>
      </c>
      <c r="L144">
        <v>367.08859999999999</v>
      </c>
      <c r="M144">
        <v>0.99993089999999996</v>
      </c>
      <c r="N144">
        <v>-1.0041390000000001E-2</v>
      </c>
      <c r="O144">
        <v>6.1161380000000001E-3</v>
      </c>
      <c r="P144">
        <v>0.96543279999999998</v>
      </c>
      <c r="Q144">
        <v>0.2506717</v>
      </c>
      <c r="R144">
        <v>7.1437100000000003E-2</v>
      </c>
      <c r="S144">
        <v>3.150055</v>
      </c>
      <c r="T144">
        <v>-0.19730510000000001</v>
      </c>
      <c r="U144">
        <v>0.1105042</v>
      </c>
      <c r="V144">
        <v>-6.5836850000000002E-2</v>
      </c>
      <c r="W144">
        <v>0.26028040000000002</v>
      </c>
      <c r="X144">
        <v>0.96328590000000003</v>
      </c>
      <c r="Y144">
        <v>-2.8887980000000001E-2</v>
      </c>
      <c r="Z144">
        <v>7.2755960000000001E-4</v>
      </c>
      <c r="AA144">
        <v>0.99958239999999998</v>
      </c>
      <c r="AB144">
        <v>33</v>
      </c>
      <c r="AC144">
        <v>18.199200000000001</v>
      </c>
      <c r="AD144">
        <v>-1.1604649999999901</v>
      </c>
      <c r="AE144">
        <v>0.64740000000000397</v>
      </c>
      <c r="AF144">
        <v>-0.53390538520014996</v>
      </c>
      <c r="AG144">
        <v>-1.1604649999999901</v>
      </c>
      <c r="AH144">
        <v>18.129200527360801</v>
      </c>
      <c r="AI144">
        <v>93.660970089328998</v>
      </c>
      <c r="AJ144">
        <v>91.686874499724198</v>
      </c>
      <c r="AK144">
        <v>18.174147730714299</v>
      </c>
      <c r="AL144">
        <v>74.913300058272497</v>
      </c>
      <c r="AM144">
        <v>93.909863658579795</v>
      </c>
      <c r="AN144">
        <v>1.0000000512904399</v>
      </c>
    </row>
    <row r="145" spans="1:40" x14ac:dyDescent="0.25">
      <c r="A145" t="str">
        <f>"20190304164557060"</f>
        <v>20190304164557060</v>
      </c>
      <c r="B145" t="str">
        <f>"1551689157048164"</f>
        <v>1551689157048164</v>
      </c>
      <c r="C145" t="s">
        <v>40</v>
      </c>
      <c r="D145">
        <v>4.396935</v>
      </c>
      <c r="E145">
        <v>0.52592680000000003</v>
      </c>
      <c r="F145" t="s">
        <v>43</v>
      </c>
      <c r="G145">
        <v>-431.4991</v>
      </c>
      <c r="H145">
        <v>-0.05</v>
      </c>
      <c r="I145">
        <v>367.74549999999999</v>
      </c>
      <c r="J145">
        <v>-449.70030000000003</v>
      </c>
      <c r="K145">
        <v>1.1104810000000001</v>
      </c>
      <c r="L145">
        <v>367.09089999999998</v>
      </c>
      <c r="M145">
        <v>0.99992510000000001</v>
      </c>
      <c r="N145">
        <v>-1.028987E-2</v>
      </c>
      <c r="O145">
        <v>6.6310359999999999E-3</v>
      </c>
      <c r="P145">
        <v>0.96524980000000005</v>
      </c>
      <c r="Q145">
        <v>0.25119819999999998</v>
      </c>
      <c r="R145">
        <v>7.2058629999999999E-2</v>
      </c>
      <c r="S145">
        <v>3.150452</v>
      </c>
      <c r="T145">
        <v>-0.1976329</v>
      </c>
      <c r="U145">
        <v>0.1118774</v>
      </c>
      <c r="V145">
        <v>-6.5961930000000002E-2</v>
      </c>
      <c r="W145">
        <v>0.26104509999999997</v>
      </c>
      <c r="X145">
        <v>0.96307030000000005</v>
      </c>
      <c r="Y145">
        <v>-2.8804440000000001E-2</v>
      </c>
      <c r="Z145">
        <v>7.0345800000000001E-4</v>
      </c>
      <c r="AA145">
        <v>0.99958480000000005</v>
      </c>
      <c r="AB145">
        <v>33</v>
      </c>
      <c r="AC145">
        <v>18.2012</v>
      </c>
      <c r="AD145">
        <v>-1.1604809999999901</v>
      </c>
      <c r="AE145">
        <v>0.65460000000001595</v>
      </c>
      <c r="AF145">
        <v>-0.53172765003751798</v>
      </c>
      <c r="AG145">
        <v>-1.1604809999999901</v>
      </c>
      <c r="AH145">
        <v>18.131528623761199</v>
      </c>
      <c r="AI145">
        <v>93.660564909370706</v>
      </c>
      <c r="AJ145">
        <v>91.679782305909001</v>
      </c>
      <c r="AK145">
        <v>18.176407254445198</v>
      </c>
      <c r="AL145">
        <v>74.867915693860297</v>
      </c>
      <c r="AM145">
        <v>93.918142917809803</v>
      </c>
      <c r="AN145">
        <v>0.99999996159271098</v>
      </c>
    </row>
    <row r="146" spans="1:40" x14ac:dyDescent="0.25">
      <c r="A146" t="str">
        <f>"20190304164557084"</f>
        <v>20190304164557084</v>
      </c>
      <c r="B146" t="str">
        <f>"1551689157078421"</f>
        <v>1551689157078421</v>
      </c>
      <c r="C146" t="s">
        <v>40</v>
      </c>
      <c r="D146">
        <v>4.5745680000000002</v>
      </c>
      <c r="E146">
        <v>0.52612329999999996</v>
      </c>
      <c r="F146" t="s">
        <v>43</v>
      </c>
      <c r="G146">
        <v>-431.15660000000003</v>
      </c>
      <c r="H146">
        <v>-0.05</v>
      </c>
      <c r="I146">
        <v>367.75220000000002</v>
      </c>
      <c r="J146">
        <v>-449.35730000000001</v>
      </c>
      <c r="K146">
        <v>1.110501</v>
      </c>
      <c r="L146">
        <v>367.09390000000002</v>
      </c>
      <c r="M146">
        <v>0.99991850000000004</v>
      </c>
      <c r="N146">
        <v>-1.054778E-2</v>
      </c>
      <c r="O146">
        <v>7.2230469999999998E-3</v>
      </c>
      <c r="P146">
        <v>0.96483669999999999</v>
      </c>
      <c r="Q146">
        <v>0.25271450000000001</v>
      </c>
      <c r="R146">
        <v>7.2290679999999996E-2</v>
      </c>
      <c r="S146">
        <v>3.1509399999999999</v>
      </c>
      <c r="T146">
        <v>-0.197189</v>
      </c>
      <c r="U146">
        <v>0.1123657</v>
      </c>
      <c r="V146">
        <v>-6.5626320000000002E-2</v>
      </c>
      <c r="W146">
        <v>0.26280619999999999</v>
      </c>
      <c r="X146">
        <v>0.96261419999999998</v>
      </c>
      <c r="Y146">
        <v>-2.8363550000000001E-2</v>
      </c>
      <c r="Z146">
        <v>6.6085310000000002E-4</v>
      </c>
      <c r="AA146">
        <v>0.99959739999999997</v>
      </c>
      <c r="AB146">
        <v>33</v>
      </c>
      <c r="AC146">
        <v>18.200699999999902</v>
      </c>
      <c r="AD146">
        <v>-1.160501</v>
      </c>
      <c r="AE146">
        <v>0.658299999999997</v>
      </c>
      <c r="AF146">
        <v>-0.52468072168039903</v>
      </c>
      <c r="AG146">
        <v>-1.160501</v>
      </c>
      <c r="AH146">
        <v>18.131363445244101</v>
      </c>
      <c r="AI146">
        <v>93.660702354452496</v>
      </c>
      <c r="AJ146">
        <v>91.657547928792695</v>
      </c>
      <c r="AK146">
        <v>18.176038974821701</v>
      </c>
      <c r="AL146">
        <v>74.763362581673704</v>
      </c>
      <c r="AM146">
        <v>93.900110638601603</v>
      </c>
      <c r="AN146">
        <v>1.0000000053384099</v>
      </c>
    </row>
    <row r="147" spans="1:40" x14ac:dyDescent="0.25">
      <c r="A147" t="str">
        <f>"20190304164557108"</f>
        <v>20190304164557108</v>
      </c>
      <c r="B147" t="str">
        <f>"1551689157097425"</f>
        <v>1551689157097425</v>
      </c>
      <c r="C147" t="s">
        <v>40</v>
      </c>
      <c r="D147">
        <v>4.5142300000000004</v>
      </c>
      <c r="E147">
        <v>0.52726110000000004</v>
      </c>
      <c r="F147" t="s">
        <v>43</v>
      </c>
      <c r="G147">
        <v>-430.41660000000002</v>
      </c>
      <c r="H147">
        <v>-0.05</v>
      </c>
      <c r="I147">
        <v>367.76479999999998</v>
      </c>
      <c r="J147">
        <v>-449.00990000000002</v>
      </c>
      <c r="K147">
        <v>1.1103379999999901</v>
      </c>
      <c r="L147">
        <v>367.09699999999998</v>
      </c>
      <c r="M147">
        <v>0.99991799999999997</v>
      </c>
      <c r="N147">
        <v>-1.0140400000000001E-2</v>
      </c>
      <c r="O147">
        <v>7.8140659999999997E-3</v>
      </c>
      <c r="P147">
        <v>0.96431420000000001</v>
      </c>
      <c r="Q147">
        <v>0.25473770000000001</v>
      </c>
      <c r="R147">
        <v>7.2159230000000005E-2</v>
      </c>
      <c r="S147">
        <v>3.1515499999999999</v>
      </c>
      <c r="T147">
        <v>-0.19309680000000001</v>
      </c>
      <c r="U147">
        <v>0.1116333</v>
      </c>
      <c r="V147">
        <v>-6.4920660000000005E-2</v>
      </c>
      <c r="W147">
        <v>0.26443549999999999</v>
      </c>
      <c r="X147">
        <v>0.96221579999999995</v>
      </c>
      <c r="Y147">
        <v>-2.753891E-2</v>
      </c>
      <c r="Z147">
        <v>5.8343739999999896E-4</v>
      </c>
      <c r="AA147">
        <v>0.99962059999999997</v>
      </c>
      <c r="AB147">
        <v>33</v>
      </c>
      <c r="AC147">
        <v>18.593299999999999</v>
      </c>
      <c r="AD147">
        <v>-1.1603380000000001</v>
      </c>
      <c r="AE147">
        <v>0.66779999999999895</v>
      </c>
      <c r="AF147">
        <v>-0.52045852348963595</v>
      </c>
      <c r="AG147">
        <v>-1.1603380000000001</v>
      </c>
      <c r="AH147">
        <v>18.525893916344799</v>
      </c>
      <c r="AI147">
        <v>93.582532724794504</v>
      </c>
      <c r="AJ147">
        <v>91.609219803499698</v>
      </c>
      <c r="AK147">
        <v>18.569491289439799</v>
      </c>
      <c r="AL147">
        <v>74.666587739350405</v>
      </c>
      <c r="AM147">
        <v>93.859893956362498</v>
      </c>
      <c r="AN147">
        <v>1.00000003576236</v>
      </c>
    </row>
    <row r="148" spans="1:40" x14ac:dyDescent="0.25">
      <c r="A148" t="str">
        <f>"20190304164557131"</f>
        <v>20190304164557131</v>
      </c>
      <c r="B148" t="str">
        <f>"1551689157127681"</f>
        <v>1551689157127681</v>
      </c>
      <c r="C148" t="s">
        <v>40</v>
      </c>
      <c r="D148">
        <v>4.485976</v>
      </c>
      <c r="E148">
        <v>0.55596230000000002</v>
      </c>
      <c r="F148" t="s">
        <v>43</v>
      </c>
      <c r="G148">
        <v>-430.65219999999999</v>
      </c>
      <c r="H148">
        <v>-0.05</v>
      </c>
      <c r="I148">
        <v>367.70639999999997</v>
      </c>
      <c r="J148">
        <v>-448.66890000000001</v>
      </c>
      <c r="K148">
        <v>1.1100049999999999</v>
      </c>
      <c r="L148">
        <v>367.1003</v>
      </c>
      <c r="M148">
        <v>0.99992420000000004</v>
      </c>
      <c r="N148">
        <v>-9.0303919999999999E-3</v>
      </c>
      <c r="O148">
        <v>8.3754420000000003E-3</v>
      </c>
      <c r="P148">
        <v>0.96367380000000002</v>
      </c>
      <c r="Q148">
        <v>0.25722919999999999</v>
      </c>
      <c r="R148">
        <v>7.1875480000000005E-2</v>
      </c>
      <c r="S148">
        <v>3.155853</v>
      </c>
      <c r="T148">
        <v>-0.19947139999999999</v>
      </c>
      <c r="U148">
        <v>0.10476679999999999</v>
      </c>
      <c r="V148">
        <v>-6.4082970000000003E-2</v>
      </c>
      <c r="W148">
        <v>0.26585839999999999</v>
      </c>
      <c r="X148">
        <v>0.96187979999999995</v>
      </c>
      <c r="Y148">
        <v>-2.4762849999999999E-2</v>
      </c>
      <c r="Z148">
        <v>4.4042890000000001E-4</v>
      </c>
      <c r="AA148">
        <v>0.99969330000000001</v>
      </c>
      <c r="AB148">
        <v>33</v>
      </c>
      <c r="AC148">
        <v>18.0167</v>
      </c>
      <c r="AD148">
        <v>-1.160005</v>
      </c>
      <c r="AE148">
        <v>0.606099999999969</v>
      </c>
      <c r="AF148">
        <v>-0.45329777980315</v>
      </c>
      <c r="AG148">
        <v>-1.160005</v>
      </c>
      <c r="AH148">
        <v>17.946831411064899</v>
      </c>
      <c r="AI148">
        <v>93.697029420064894</v>
      </c>
      <c r="AJ148">
        <v>91.446858676280499</v>
      </c>
      <c r="AK148">
        <v>17.9899930009543</v>
      </c>
      <c r="AL148">
        <v>74.582035220632804</v>
      </c>
      <c r="AM148">
        <v>93.811563349279794</v>
      </c>
      <c r="AN148">
        <v>1.0000000327712999</v>
      </c>
    </row>
    <row r="149" spans="1:40" x14ac:dyDescent="0.25">
      <c r="A149" t="str">
        <f>"20190304164557151"</f>
        <v>20190304164557151</v>
      </c>
      <c r="B149" t="str">
        <f>"1551689157137442"</f>
        <v>1551689157137442</v>
      </c>
      <c r="C149" t="s">
        <v>40</v>
      </c>
      <c r="D149">
        <v>4.5571469999999996</v>
      </c>
      <c r="E149">
        <v>0.55521480000000001</v>
      </c>
      <c r="F149" t="s">
        <v>41</v>
      </c>
      <c r="G149">
        <v>-447.95479999999998</v>
      </c>
      <c r="H149">
        <v>0.90236439999999996</v>
      </c>
      <c r="I149">
        <v>367.09190000000001</v>
      </c>
      <c r="J149">
        <v>-448.37090000000001</v>
      </c>
      <c r="K149">
        <v>1.1097269999999999</v>
      </c>
      <c r="L149">
        <v>367.10309999999998</v>
      </c>
      <c r="M149">
        <v>0.99992919999999996</v>
      </c>
      <c r="N149">
        <v>-7.9624480000000004E-3</v>
      </c>
      <c r="O149">
        <v>8.8582299999999999E-3</v>
      </c>
      <c r="P149">
        <v>0.96314390000000005</v>
      </c>
      <c r="Q149">
        <v>0.25923819999999997</v>
      </c>
      <c r="R149">
        <v>7.1759329999999996E-2</v>
      </c>
      <c r="S149">
        <v>3.378174</v>
      </c>
      <c r="T149">
        <v>-0.98240170000000004</v>
      </c>
      <c r="U149">
        <v>-3.7780759999999997E-2</v>
      </c>
      <c r="V149">
        <v>-6.3487169999999996E-2</v>
      </c>
      <c r="W149">
        <v>0.266841099999999</v>
      </c>
      <c r="X149">
        <v>0.96164720000000004</v>
      </c>
      <c r="Y149">
        <v>1.8888749999999999E-2</v>
      </c>
      <c r="Z149">
        <v>-5.2220280000000001E-3</v>
      </c>
      <c r="AA149">
        <v>0.99980800000000003</v>
      </c>
      <c r="AB149">
        <v>33</v>
      </c>
      <c r="AC149">
        <v>0.416100000000028</v>
      </c>
      <c r="AD149">
        <v>-0.20736260000000001</v>
      </c>
      <c r="AE149">
        <v>-1.1199999999973899E-2</v>
      </c>
      <c r="AF149">
        <v>1.1925919865304099E-2</v>
      </c>
      <c r="AG149">
        <v>-0.20736260000000001</v>
      </c>
      <c r="AH149">
        <v>0.33327523563570499</v>
      </c>
      <c r="AI149">
        <v>121.87327728266899</v>
      </c>
      <c r="AJ149">
        <v>87.950602475336396</v>
      </c>
      <c r="AK149">
        <v>0.39270072336504402</v>
      </c>
      <c r="AL149">
        <v>74.523621026988494</v>
      </c>
      <c r="AM149">
        <v>93.7771397677257</v>
      </c>
      <c r="AN149">
        <v>1.0000000653358201</v>
      </c>
    </row>
    <row r="150" spans="1:40" x14ac:dyDescent="0.25">
      <c r="A150" t="str">
        <f>"20190304164557173"</f>
        <v>20190304164557173</v>
      </c>
      <c r="B150" t="str">
        <f>"1551689157167698"</f>
        <v>1551689157167698</v>
      </c>
      <c r="C150" t="s">
        <v>40</v>
      </c>
      <c r="D150">
        <v>4.5797660000000002</v>
      </c>
      <c r="E150">
        <v>0.5540602</v>
      </c>
      <c r="F150" t="s">
        <v>41</v>
      </c>
      <c r="G150">
        <v>-447.65690000000001</v>
      </c>
      <c r="H150">
        <v>0.89871699999999999</v>
      </c>
      <c r="I150">
        <v>367.09710000000001</v>
      </c>
      <c r="J150">
        <v>-448.02760000000001</v>
      </c>
      <c r="K150">
        <v>1.10947</v>
      </c>
      <c r="L150">
        <v>367.10660000000001</v>
      </c>
      <c r="M150">
        <v>0.99993310000000002</v>
      </c>
      <c r="N150">
        <v>-6.7453720000000003E-3</v>
      </c>
      <c r="O150">
        <v>9.4045340000000009E-3</v>
      </c>
      <c r="P150">
        <v>0.96238029999999997</v>
      </c>
      <c r="Q150">
        <v>0.26230979999999998</v>
      </c>
      <c r="R150">
        <v>7.0837209999999998E-2</v>
      </c>
      <c r="S150">
        <v>3.3863219999999998</v>
      </c>
      <c r="T150">
        <v>-1.0008010000000001</v>
      </c>
      <c r="U150">
        <v>-2.8747559999999998E-2</v>
      </c>
      <c r="V150">
        <v>-6.2030630000000003E-2</v>
      </c>
      <c r="W150">
        <v>0.26874310000000001</v>
      </c>
      <c r="X150">
        <v>0.96121250000000003</v>
      </c>
      <c r="Y150">
        <v>1.6774790000000001E-2</v>
      </c>
      <c r="Z150">
        <v>-5.1437610000000002E-3</v>
      </c>
      <c r="AA150">
        <v>0.99984600000000001</v>
      </c>
      <c r="AB150">
        <v>33</v>
      </c>
      <c r="AC150">
        <v>0.37069999999999897</v>
      </c>
      <c r="AD150">
        <v>-0.210753</v>
      </c>
      <c r="AE150">
        <v>-9.5000000000027198E-3</v>
      </c>
      <c r="AF150">
        <v>9.8154288051792004E-3</v>
      </c>
      <c r="AG150">
        <v>-0.210753</v>
      </c>
      <c r="AH150">
        <v>0.28011428325196902</v>
      </c>
      <c r="AI150">
        <v>126.94026394847999</v>
      </c>
      <c r="AJ150">
        <v>87.993131116858393</v>
      </c>
      <c r="AK150">
        <v>0.35068102505467003</v>
      </c>
      <c r="AL150">
        <v>74.410513316739994</v>
      </c>
      <c r="AM150">
        <v>93.692390388162707</v>
      </c>
      <c r="AN150">
        <v>1.0000000615060201</v>
      </c>
    </row>
    <row r="151" spans="1:40" x14ac:dyDescent="0.25">
      <c r="A151" t="str">
        <f>"20190304164557207"</f>
        <v>20190304164557207</v>
      </c>
      <c r="B151" t="str">
        <f>"1551689157197953"</f>
        <v>1551689157197953</v>
      </c>
      <c r="C151" t="s">
        <v>40</v>
      </c>
      <c r="D151">
        <v>4.567107</v>
      </c>
      <c r="E151">
        <v>0.55331129999999995</v>
      </c>
      <c r="F151" t="s">
        <v>41</v>
      </c>
      <c r="G151">
        <v>-447.35140000000001</v>
      </c>
      <c r="H151">
        <v>0.90741119999999997</v>
      </c>
      <c r="I151">
        <v>367.10219999999998</v>
      </c>
      <c r="J151">
        <v>-447.50830000000002</v>
      </c>
      <c r="K151">
        <v>1.1092010000000001</v>
      </c>
      <c r="L151">
        <v>367.1121</v>
      </c>
      <c r="M151">
        <v>0.99993569999999998</v>
      </c>
      <c r="N151">
        <v>-4.9991509999999899E-3</v>
      </c>
      <c r="O151">
        <v>1.0187430000000001E-2</v>
      </c>
      <c r="P151">
        <v>0.96179979999999998</v>
      </c>
      <c r="Q151">
        <v>0.26472180000000001</v>
      </c>
      <c r="R151">
        <v>6.9740960000000005E-2</v>
      </c>
      <c r="S151">
        <v>3.3953859999999998</v>
      </c>
      <c r="T151">
        <v>-1.014788</v>
      </c>
      <c r="U151">
        <v>-1.9927980000000001E-2</v>
      </c>
      <c r="V151">
        <v>-6.0183439999999998E-2</v>
      </c>
      <c r="W151">
        <v>0.26947559999999998</v>
      </c>
      <c r="X151">
        <v>0.9611248</v>
      </c>
      <c r="Y151">
        <v>1.4960360000000001E-2</v>
      </c>
      <c r="Z151">
        <v>-5.1557290000000004E-3</v>
      </c>
      <c r="AA151">
        <v>0.99987479999999995</v>
      </c>
      <c r="AB151">
        <v>34</v>
      </c>
      <c r="AC151">
        <v>0.15690000000000701</v>
      </c>
      <c r="AD151">
        <v>-0.20178979999999999</v>
      </c>
      <c r="AE151">
        <v>-9.9000000000160002E-3</v>
      </c>
      <c r="AF151">
        <v>4.3429232638509396E-3</v>
      </c>
      <c r="AG151">
        <v>-0.20178979999999999</v>
      </c>
      <c r="AH151">
        <v>5.9222159335587499E-2</v>
      </c>
      <c r="AI151">
        <v>163.60229500061601</v>
      </c>
      <c r="AJ151">
        <v>85.8058509761333</v>
      </c>
      <c r="AK151">
        <v>0.210345545526606</v>
      </c>
      <c r="AL151">
        <v>74.366935825766006</v>
      </c>
      <c r="AM151">
        <v>93.583052725853307</v>
      </c>
      <c r="AN151">
        <v>1.00000001331031</v>
      </c>
    </row>
    <row r="152" spans="1:40" x14ac:dyDescent="0.25">
      <c r="A152" t="str">
        <f>"20190304164557228"</f>
        <v>20190304164557228</v>
      </c>
      <c r="B152" t="str">
        <f>"1551689157217476"</f>
        <v>1551689157217476</v>
      </c>
      <c r="C152" t="s">
        <v>40</v>
      </c>
      <c r="D152">
        <v>4.5777710000000003</v>
      </c>
      <c r="E152">
        <v>0.55294670000000001</v>
      </c>
      <c r="F152" t="s">
        <v>41</v>
      </c>
      <c r="G152">
        <v>-446.75119999999998</v>
      </c>
      <c r="H152">
        <v>0.8827043</v>
      </c>
      <c r="I152">
        <v>367.10890000000001</v>
      </c>
      <c r="J152">
        <v>-447.18310000000002</v>
      </c>
      <c r="K152">
        <v>1.109091</v>
      </c>
      <c r="L152">
        <v>367.1157</v>
      </c>
      <c r="M152">
        <v>0.99993529999999997</v>
      </c>
      <c r="N152">
        <v>-4.0051959999999999E-3</v>
      </c>
      <c r="O152">
        <v>1.065163E-2</v>
      </c>
      <c r="P152">
        <v>0.96166439999999997</v>
      </c>
      <c r="Q152">
        <v>0.26528030000000002</v>
      </c>
      <c r="R152">
        <v>6.9487469999999996E-2</v>
      </c>
      <c r="S152">
        <v>3.399994</v>
      </c>
      <c r="T152">
        <v>-1.0172349999999999</v>
      </c>
      <c r="U152">
        <v>-1.2390139999999999E-2</v>
      </c>
      <c r="V152">
        <v>-5.9491380000000003E-2</v>
      </c>
      <c r="W152">
        <v>0.26907750000000002</v>
      </c>
      <c r="X152">
        <v>0.96127940000000001</v>
      </c>
      <c r="Y152">
        <v>1.325293E-2</v>
      </c>
      <c r="Z152">
        <v>-5.0439220000000002E-3</v>
      </c>
      <c r="AA152">
        <v>0.99989939999999999</v>
      </c>
      <c r="AB152">
        <v>34</v>
      </c>
      <c r="AC152">
        <v>0.43190000000004097</v>
      </c>
      <c r="AD152">
        <v>-0.2263867</v>
      </c>
      <c r="AE152">
        <v>-6.7999999999983603E-3</v>
      </c>
      <c r="AF152">
        <v>8.9434883774173E-3</v>
      </c>
      <c r="AG152">
        <v>-0.2263867</v>
      </c>
      <c r="AH152">
        <v>0.33875396961897197</v>
      </c>
      <c r="AI152">
        <v>123.745284741644</v>
      </c>
      <c r="AJ152">
        <v>88.487677850964801</v>
      </c>
      <c r="AK152">
        <v>0.407535490299751</v>
      </c>
      <c r="AL152">
        <v>74.390619972435303</v>
      </c>
      <c r="AM152">
        <v>93.541387875057595</v>
      </c>
      <c r="AN152">
        <v>1.00000000508245</v>
      </c>
    </row>
    <row r="153" spans="1:40" x14ac:dyDescent="0.25">
      <c r="A153" t="str">
        <f>"20190304164557251"</f>
        <v>20190304164557251</v>
      </c>
      <c r="B153" t="str">
        <f>"1551689157237969"</f>
        <v>1551689157237969</v>
      </c>
      <c r="C153" t="s">
        <v>40</v>
      </c>
      <c r="D153">
        <v>4.4775839999999896</v>
      </c>
      <c r="E153">
        <v>0.55332789999999998</v>
      </c>
      <c r="F153" t="s">
        <v>41</v>
      </c>
      <c r="G153">
        <v>-446.44060000000002</v>
      </c>
      <c r="H153">
        <v>0.88618509999999995</v>
      </c>
      <c r="I153">
        <v>367.11360000000002</v>
      </c>
      <c r="J153">
        <v>-446.8458</v>
      </c>
      <c r="K153">
        <v>1.1090230000000001</v>
      </c>
      <c r="L153">
        <v>367.11959999999999</v>
      </c>
      <c r="M153">
        <v>0.99993359999999998</v>
      </c>
      <c r="N153">
        <v>-3.089573E-3</v>
      </c>
      <c r="O153">
        <v>1.1111960000000001E-2</v>
      </c>
      <c r="P153">
        <v>0.96140250000000005</v>
      </c>
      <c r="Q153">
        <v>0.26625569999999998</v>
      </c>
      <c r="R153">
        <v>6.93801E-2</v>
      </c>
      <c r="S153">
        <v>3.4019469999999998</v>
      </c>
      <c r="T153">
        <v>-1.021352</v>
      </c>
      <c r="U153">
        <v>-8.5144039999999997E-3</v>
      </c>
      <c r="V153">
        <v>-5.8953510000000001E-2</v>
      </c>
      <c r="W153">
        <v>0.26916970000000001</v>
      </c>
      <c r="X153">
        <v>0.96128670000000005</v>
      </c>
      <c r="Y153">
        <v>1.257425E-2</v>
      </c>
      <c r="Z153">
        <v>-5.0971690000000004E-3</v>
      </c>
      <c r="AA153">
        <v>0.99990800000000002</v>
      </c>
      <c r="AB153">
        <v>34</v>
      </c>
      <c r="AC153">
        <v>0.40519999999997902</v>
      </c>
      <c r="AD153">
        <v>-0.22283789999999901</v>
      </c>
      <c r="AE153">
        <v>-5.9999999999717996E-3</v>
      </c>
      <c r="AF153">
        <v>8.0639041321688195E-3</v>
      </c>
      <c r="AG153">
        <v>-0.22283789999999901</v>
      </c>
      <c r="AH153">
        <v>0.31105381505829499</v>
      </c>
      <c r="AI153">
        <v>125.608571937186</v>
      </c>
      <c r="AJ153">
        <v>88.514970123097697</v>
      </c>
      <c r="AK153">
        <v>0.382722134307101</v>
      </c>
      <c r="AL153">
        <v>74.385134559732904</v>
      </c>
      <c r="AM153">
        <v>93.509423487289396</v>
      </c>
      <c r="AN153">
        <v>0.99999998166814996</v>
      </c>
    </row>
    <row r="154" spans="1:40" x14ac:dyDescent="0.25">
      <c r="A154" t="str">
        <f>"20190304164557275"</f>
        <v>20190304164557275</v>
      </c>
      <c r="B154" t="str">
        <f>"1551689157268225"</f>
        <v>1551689157268225</v>
      </c>
      <c r="C154" t="s">
        <v>40</v>
      </c>
      <c r="D154">
        <v>4.4965080000000004</v>
      </c>
      <c r="E154">
        <v>0.55342789999999997</v>
      </c>
      <c r="F154" t="s">
        <v>41</v>
      </c>
      <c r="G154">
        <v>-446.12569999999999</v>
      </c>
      <c r="H154">
        <v>0.89452449999999994</v>
      </c>
      <c r="I154">
        <v>367.11649999999997</v>
      </c>
      <c r="J154">
        <v>-446.46539999999999</v>
      </c>
      <c r="K154">
        <v>1.108986</v>
      </c>
      <c r="L154">
        <v>367.12419999999997</v>
      </c>
      <c r="M154">
        <v>0.99993030000000005</v>
      </c>
      <c r="N154">
        <v>-2.2210670000000002E-3</v>
      </c>
      <c r="O154">
        <v>1.1600879999999999E-2</v>
      </c>
      <c r="P154">
        <v>0.96090339999999996</v>
      </c>
      <c r="Q154">
        <v>0.26811259999999998</v>
      </c>
      <c r="R154">
        <v>6.9140279999999998E-2</v>
      </c>
      <c r="S154">
        <v>3.4019780000000002</v>
      </c>
      <c r="T154">
        <v>-1.013431</v>
      </c>
      <c r="U154">
        <v>-1.208496E-2</v>
      </c>
      <c r="V154">
        <v>-5.825781E-2</v>
      </c>
      <c r="W154">
        <v>0.27019009999999999</v>
      </c>
      <c r="X154">
        <v>0.96104279999999997</v>
      </c>
      <c r="Y154">
        <v>1.404206E-2</v>
      </c>
      <c r="Z154">
        <v>-5.4201249999999996E-3</v>
      </c>
      <c r="AA154">
        <v>0.99988670000000002</v>
      </c>
      <c r="AB154">
        <v>35</v>
      </c>
      <c r="AC154">
        <v>0.33969999999999301</v>
      </c>
      <c r="AD154">
        <v>-0.2144615</v>
      </c>
      <c r="AE154">
        <v>-7.6999999999998103E-3</v>
      </c>
      <c r="AF154">
        <v>8.32421066856316E-3</v>
      </c>
      <c r="AG154">
        <v>-0.2144615</v>
      </c>
      <c r="AH154">
        <v>0.24284580359684499</v>
      </c>
      <c r="AI154">
        <v>131.431612002767</v>
      </c>
      <c r="AJ154">
        <v>88.036797561112095</v>
      </c>
      <c r="AK154">
        <v>0.32409429459665301</v>
      </c>
      <c r="AL154">
        <v>74.3244201867372</v>
      </c>
      <c r="AM154">
        <v>93.468989094363593</v>
      </c>
      <c r="AN154">
        <v>0.99999996299792204</v>
      </c>
    </row>
    <row r="155" spans="1:40" x14ac:dyDescent="0.25">
      <c r="A155" t="str">
        <f>"20190304164557296"</f>
        <v>20190304164557296</v>
      </c>
      <c r="B155" t="str">
        <f>"1551689157287745"</f>
        <v>1551689157287745</v>
      </c>
      <c r="C155" t="s">
        <v>40</v>
      </c>
      <c r="D155">
        <v>4.4910579999999998</v>
      </c>
      <c r="E155">
        <v>0.55350359999999998</v>
      </c>
      <c r="F155" t="s">
        <v>41</v>
      </c>
      <c r="G155">
        <v>-445.52260000000001</v>
      </c>
      <c r="H155">
        <v>0.83045179999999996</v>
      </c>
      <c r="I155">
        <v>367.12009999999998</v>
      </c>
      <c r="J155">
        <v>-446.12060000000002</v>
      </c>
      <c r="K155">
        <v>1.1089850000000001</v>
      </c>
      <c r="L155">
        <v>367.12849999999997</v>
      </c>
      <c r="M155">
        <v>0.99992669999999995</v>
      </c>
      <c r="N155">
        <v>-1.6208069999999999E-3</v>
      </c>
      <c r="O155">
        <v>1.2002540000000001E-2</v>
      </c>
      <c r="P155">
        <v>0.96032050000000002</v>
      </c>
      <c r="Q155">
        <v>0.2699531</v>
      </c>
      <c r="R155">
        <v>7.0074220000000007E-2</v>
      </c>
      <c r="S155">
        <v>3.4035639999999998</v>
      </c>
      <c r="T155">
        <v>-1.005549</v>
      </c>
      <c r="U155">
        <v>-1.3214109999999999E-2</v>
      </c>
      <c r="V155">
        <v>-5.8813039999999997E-2</v>
      </c>
      <c r="W155">
        <v>0.27145239999999998</v>
      </c>
      <c r="X155">
        <v>0.96065319999999998</v>
      </c>
      <c r="Y155">
        <v>1.474376E-2</v>
      </c>
      <c r="Z155">
        <v>-5.5973350000000002E-3</v>
      </c>
      <c r="AA155">
        <v>0.99987570000000003</v>
      </c>
      <c r="AB155">
        <v>35</v>
      </c>
      <c r="AC155">
        <v>0.59800000000001297</v>
      </c>
      <c r="AD155">
        <v>-0.27853319999999998</v>
      </c>
      <c r="AE155">
        <v>-8.3999999999946305E-3</v>
      </c>
      <c r="AF155">
        <v>1.28004621919616E-2</v>
      </c>
      <c r="AG155">
        <v>-0.27853319999999998</v>
      </c>
      <c r="AH155">
        <v>0.49129307957160201</v>
      </c>
      <c r="AI155">
        <v>119.54225103842001</v>
      </c>
      <c r="AJ155">
        <v>88.5075169997112</v>
      </c>
      <c r="AK155">
        <v>0.56490130586635701</v>
      </c>
      <c r="AL155">
        <v>74.249288191518602</v>
      </c>
      <c r="AM155">
        <v>93.503385350812096</v>
      </c>
      <c r="AN155">
        <v>0.99999997490502002</v>
      </c>
    </row>
    <row r="156" spans="1:40" x14ac:dyDescent="0.25">
      <c r="A156" t="str">
        <f>"20190304164557322"</f>
        <v>20190304164557322</v>
      </c>
      <c r="B156" t="str">
        <f>"1551689157308241"</f>
        <v>1551689157308241</v>
      </c>
      <c r="C156" t="s">
        <v>40</v>
      </c>
      <c r="D156">
        <v>4.8101909999999997</v>
      </c>
      <c r="E156">
        <v>0.5536413</v>
      </c>
      <c r="F156" t="s">
        <v>41</v>
      </c>
      <c r="G156">
        <v>-445.20100000000002</v>
      </c>
      <c r="H156">
        <v>0.83967829999999999</v>
      </c>
      <c r="I156">
        <v>367.12549999999999</v>
      </c>
      <c r="J156">
        <v>-445.70600000000002</v>
      </c>
      <c r="K156">
        <v>1.1089990000000001</v>
      </c>
      <c r="L156">
        <v>367.13389999999998</v>
      </c>
      <c r="M156">
        <v>0.99992210000000004</v>
      </c>
      <c r="N156">
        <v>-1.1153700000000001E-3</v>
      </c>
      <c r="O156">
        <v>1.24309E-2</v>
      </c>
      <c r="P156">
        <v>0.95971609999999996</v>
      </c>
      <c r="Q156">
        <v>0.2717755</v>
      </c>
      <c r="R156">
        <v>7.1297970000000002E-2</v>
      </c>
      <c r="S156">
        <v>3.4050600000000002</v>
      </c>
      <c r="T156">
        <v>-0.99721409999999999</v>
      </c>
      <c r="U156">
        <v>-1.0589599999999999E-2</v>
      </c>
      <c r="V156">
        <v>-5.9623269999999999E-2</v>
      </c>
      <c r="W156">
        <v>0.27278980000000003</v>
      </c>
      <c r="X156">
        <v>0.96022430000000003</v>
      </c>
      <c r="Y156">
        <v>1.441457E-2</v>
      </c>
      <c r="Z156">
        <v>-5.6275459999999998E-3</v>
      </c>
      <c r="AA156">
        <v>0.99988030000000006</v>
      </c>
      <c r="AB156">
        <v>35</v>
      </c>
      <c r="AC156">
        <v>0.50499999999999501</v>
      </c>
      <c r="AD156">
        <v>-0.26932070000000002</v>
      </c>
      <c r="AE156">
        <v>-8.3999999999946305E-3</v>
      </c>
      <c r="AF156">
        <v>1.1427635853446199E-2</v>
      </c>
      <c r="AG156">
        <v>-0.26932070000000002</v>
      </c>
      <c r="AH156">
        <v>0.39308665797539399</v>
      </c>
      <c r="AI156">
        <v>124.405448719528</v>
      </c>
      <c r="AJ156">
        <v>88.334792270558495</v>
      </c>
      <c r="AK156">
        <v>0.47663544873199798</v>
      </c>
      <c r="AL156">
        <v>74.1696554389124</v>
      </c>
      <c r="AM156">
        <v>93.5531088596926</v>
      </c>
      <c r="AN156">
        <v>0.99999995781001005</v>
      </c>
    </row>
    <row r="157" spans="1:40" x14ac:dyDescent="0.25">
      <c r="A157" t="str">
        <f>"20190304164557342"</f>
        <v>20190304164557342</v>
      </c>
      <c r="B157" t="str">
        <f>"1551689157337521"</f>
        <v>1551689157337521</v>
      </c>
      <c r="C157" t="s">
        <v>40</v>
      </c>
      <c r="D157">
        <v>4.5254890000000003</v>
      </c>
      <c r="E157">
        <v>0.55357429999999996</v>
      </c>
      <c r="F157" t="s">
        <v>41</v>
      </c>
      <c r="G157">
        <v>-444.87040000000002</v>
      </c>
      <c r="H157">
        <v>0.86677990000000005</v>
      </c>
      <c r="I157">
        <v>367.13130000000001</v>
      </c>
      <c r="J157">
        <v>-445.39150000000001</v>
      </c>
      <c r="K157">
        <v>1.1090120000000001</v>
      </c>
      <c r="L157">
        <v>367.13810000000001</v>
      </c>
      <c r="M157">
        <v>0.99991890000000005</v>
      </c>
      <c r="N157">
        <v>-8.6634789999999896E-4</v>
      </c>
      <c r="O157">
        <v>1.2707649999999999E-2</v>
      </c>
      <c r="P157">
        <v>0.95929379999999997</v>
      </c>
      <c r="Q157">
        <v>0.2729202</v>
      </c>
      <c r="R157">
        <v>7.2595419999999994E-2</v>
      </c>
      <c r="S157">
        <v>3.40625</v>
      </c>
      <c r="T157">
        <v>-0.98738340000000002</v>
      </c>
      <c r="U157">
        <v>-9.3078610000000006E-3</v>
      </c>
      <c r="V157">
        <v>-6.0643589999999997E-2</v>
      </c>
      <c r="W157">
        <v>0.2736981</v>
      </c>
      <c r="X157">
        <v>0.95990189999999997</v>
      </c>
      <c r="Y157">
        <v>1.43283E-2</v>
      </c>
      <c r="Z157">
        <v>-5.6396199999999997E-3</v>
      </c>
      <c r="AA157">
        <v>0.99988140000000003</v>
      </c>
      <c r="AB157">
        <v>36</v>
      </c>
      <c r="AC157">
        <v>0.52109999999998902</v>
      </c>
      <c r="AD157">
        <v>-0.24223210000000001</v>
      </c>
      <c r="AE157">
        <v>-6.7999999999983603E-3</v>
      </c>
      <c r="AF157">
        <v>1.10369211747959E-2</v>
      </c>
      <c r="AG157">
        <v>-0.24223210000000001</v>
      </c>
      <c r="AH157">
        <v>0.428414126221279</v>
      </c>
      <c r="AI157">
        <v>119.47635941438899</v>
      </c>
      <c r="AJ157">
        <v>88.524256976723706</v>
      </c>
      <c r="AK157">
        <v>0.49227722621036402</v>
      </c>
      <c r="AL157">
        <v>74.115555169295504</v>
      </c>
      <c r="AM157">
        <v>93.614963184866198</v>
      </c>
      <c r="AN157">
        <v>0.99999997628765303</v>
      </c>
    </row>
    <row r="158" spans="1:40" x14ac:dyDescent="0.25">
      <c r="A158" t="str">
        <f>"20190304164557363"</f>
        <v>20190304164557363</v>
      </c>
      <c r="B158" t="str">
        <f>"1551689157358018"</f>
        <v>1551689157358018</v>
      </c>
      <c r="C158" t="s">
        <v>40</v>
      </c>
      <c r="D158">
        <v>4.6481620000000001</v>
      </c>
      <c r="E158">
        <v>0.55349659999999901</v>
      </c>
      <c r="F158" t="s">
        <v>41</v>
      </c>
      <c r="G158">
        <v>-444.54930000000002</v>
      </c>
      <c r="H158">
        <v>0.86550629999999995</v>
      </c>
      <c r="I158">
        <v>367.13720000000001</v>
      </c>
      <c r="J158">
        <v>-445.05090000000001</v>
      </c>
      <c r="K158">
        <v>1.1090139999999999</v>
      </c>
      <c r="L158">
        <v>367.14269999999999</v>
      </c>
      <c r="M158">
        <v>0.99991600000000003</v>
      </c>
      <c r="N158">
        <v>-7.1163819999999997E-4</v>
      </c>
      <c r="O158">
        <v>1.294768E-2</v>
      </c>
      <c r="P158">
        <v>0.95919569999999998</v>
      </c>
      <c r="Q158">
        <v>0.27280569999999998</v>
      </c>
      <c r="R158">
        <v>7.4301300000000001E-2</v>
      </c>
      <c r="S158">
        <v>3.4077760000000001</v>
      </c>
      <c r="T158">
        <v>-0.98524020000000001</v>
      </c>
      <c r="U158">
        <v>-2.6245119999999999E-3</v>
      </c>
      <c r="V158">
        <v>-6.2090069999999997E-2</v>
      </c>
      <c r="W158">
        <v>0.27344030000000003</v>
      </c>
      <c r="X158">
        <v>0.95988289999999998</v>
      </c>
      <c r="Y158">
        <v>1.266989E-2</v>
      </c>
      <c r="Z158">
        <v>-5.4585270000000003E-3</v>
      </c>
      <c r="AA158">
        <v>0.99990480000000004</v>
      </c>
      <c r="AB158">
        <v>36</v>
      </c>
      <c r="AC158">
        <v>0.50159999999999605</v>
      </c>
      <c r="AD158">
        <v>-0.24350769999999899</v>
      </c>
      <c r="AE158">
        <v>-5.4999999999836204E-3</v>
      </c>
      <c r="AF158">
        <v>9.7067498455645895E-3</v>
      </c>
      <c r="AG158">
        <v>-0.24350769999999899</v>
      </c>
      <c r="AH158">
        <v>0.40585019411859302</v>
      </c>
      <c r="AI158">
        <v>120.956278562546</v>
      </c>
      <c r="AJ158">
        <v>88.629913701922106</v>
      </c>
      <c r="AK158">
        <v>0.47339687474459902</v>
      </c>
      <c r="AL158">
        <v>74.130911872374895</v>
      </c>
      <c r="AM158">
        <v>93.701024021365896</v>
      </c>
      <c r="AN158">
        <v>0.99999997808455199</v>
      </c>
    </row>
    <row r="159" spans="1:40" x14ac:dyDescent="0.25">
      <c r="A159" t="str">
        <f>"20190304164557386"</f>
        <v>20190304164557386</v>
      </c>
      <c r="B159" t="str">
        <f>"1551689157377537"</f>
        <v>1551689157377537</v>
      </c>
      <c r="C159" t="s">
        <v>40</v>
      </c>
      <c r="D159">
        <v>4.5868729999999998</v>
      </c>
      <c r="E159">
        <v>0.55360900000000002</v>
      </c>
      <c r="F159" t="s">
        <v>41</v>
      </c>
      <c r="G159">
        <v>-444.2244</v>
      </c>
      <c r="H159">
        <v>0.8692571</v>
      </c>
      <c r="I159">
        <v>367.14359999999999</v>
      </c>
      <c r="J159">
        <v>-444.6746</v>
      </c>
      <c r="K159">
        <v>1.1090059999999999</v>
      </c>
      <c r="L159">
        <v>367.14780000000002</v>
      </c>
      <c r="M159">
        <v>0.99991359999999996</v>
      </c>
      <c r="N159">
        <v>-6.479751E-4</v>
      </c>
      <c r="O159">
        <v>1.313829E-2</v>
      </c>
      <c r="P159">
        <v>0.95924330000000002</v>
      </c>
      <c r="Q159">
        <v>0.27237119999999998</v>
      </c>
      <c r="R159">
        <v>7.5275350000000005E-2</v>
      </c>
      <c r="S159">
        <v>3.4083860000000001</v>
      </c>
      <c r="T159">
        <v>-0.98870499999999995</v>
      </c>
      <c r="U159">
        <v>5.493164E-3</v>
      </c>
      <c r="V159">
        <v>-6.2837820000000003E-2</v>
      </c>
      <c r="W159">
        <v>0.27295409999999998</v>
      </c>
      <c r="X159">
        <v>0.95997259999999995</v>
      </c>
      <c r="Y159">
        <v>1.0551609999999999E-2</v>
      </c>
      <c r="Z159">
        <v>-5.2287389999999996E-3</v>
      </c>
      <c r="AA159">
        <v>0.99993069999999895</v>
      </c>
      <c r="AB159">
        <v>36</v>
      </c>
      <c r="AC159">
        <v>0.45019999999999499</v>
      </c>
      <c r="AD159">
        <v>-0.23974889999999999</v>
      </c>
      <c r="AE159">
        <v>-4.20000000002573E-3</v>
      </c>
      <c r="AF159">
        <v>7.8799556262348306E-3</v>
      </c>
      <c r="AG159">
        <v>-0.23974889999999999</v>
      </c>
      <c r="AH159">
        <v>0.35066650329047</v>
      </c>
      <c r="AI159">
        <v>124.353479171541</v>
      </c>
      <c r="AJ159">
        <v>88.712702171236103</v>
      </c>
      <c r="AK159">
        <v>0.42486306650713601</v>
      </c>
      <c r="AL159">
        <v>74.159870480228605</v>
      </c>
      <c r="AM159">
        <v>93.745120310813206</v>
      </c>
      <c r="AN159">
        <v>0.99999996253996004</v>
      </c>
    </row>
    <row r="160" spans="1:40" x14ac:dyDescent="0.25">
      <c r="A160" t="str">
        <f>"20190304164557410"</f>
        <v>20190304164557410</v>
      </c>
      <c r="B160" t="str">
        <f>"1551689157397428"</f>
        <v>1551689157397428</v>
      </c>
      <c r="C160" t="s">
        <v>40</v>
      </c>
      <c r="D160">
        <v>4.6391439999999999</v>
      </c>
      <c r="E160">
        <v>0.55390319999999904</v>
      </c>
      <c r="F160" t="s">
        <v>41</v>
      </c>
      <c r="G160">
        <v>-443.89400000000001</v>
      </c>
      <c r="H160">
        <v>0.882520999999999</v>
      </c>
      <c r="I160">
        <v>367.14940000000001</v>
      </c>
      <c r="J160">
        <v>-444.29309999999998</v>
      </c>
      <c r="K160">
        <v>1.108992</v>
      </c>
      <c r="L160">
        <v>367.15300000000002</v>
      </c>
      <c r="M160">
        <v>0.99991189999999996</v>
      </c>
      <c r="N160">
        <v>-6.6770929999999896E-4</v>
      </c>
      <c r="O160">
        <v>1.326304E-2</v>
      </c>
      <c r="P160">
        <v>0.9592794</v>
      </c>
      <c r="Q160">
        <v>0.27205679999999999</v>
      </c>
      <c r="R160">
        <v>7.5952499999999895E-2</v>
      </c>
      <c r="S160">
        <v>3.4076230000000001</v>
      </c>
      <c r="T160">
        <v>-0.98871529999999996</v>
      </c>
      <c r="U160">
        <v>7.9040529999999994E-3</v>
      </c>
      <c r="V160">
        <v>-6.3349390000000005E-2</v>
      </c>
      <c r="W160">
        <v>0.27266869999999999</v>
      </c>
      <c r="X160">
        <v>0.96002010000000004</v>
      </c>
      <c r="Y160">
        <v>9.9863920000000002E-3</v>
      </c>
      <c r="Z160">
        <v>-5.1846050000000001E-3</v>
      </c>
      <c r="AA160">
        <v>0.99993670000000001</v>
      </c>
      <c r="AB160">
        <v>36</v>
      </c>
      <c r="AC160">
        <v>0.39909999999997497</v>
      </c>
      <c r="AD160">
        <v>-0.22647100000000001</v>
      </c>
      <c r="AE160">
        <v>-3.6000000000058199E-3</v>
      </c>
      <c r="AF160">
        <v>6.7270123541757001E-3</v>
      </c>
      <c r="AG160">
        <v>-0.22647100000000001</v>
      </c>
      <c r="AH160">
        <v>0.30183339120827302</v>
      </c>
      <c r="AI160">
        <v>126.874724254367</v>
      </c>
      <c r="AJ160">
        <v>88.723250540563797</v>
      </c>
      <c r="AK160">
        <v>0.37740927728992002</v>
      </c>
      <c r="AL160">
        <v>74.176867696606806</v>
      </c>
      <c r="AM160">
        <v>93.775335675644698</v>
      </c>
      <c r="AN160">
        <v>0.99999997878853497</v>
      </c>
    </row>
    <row r="161" spans="1:40" x14ac:dyDescent="0.25">
      <c r="A161" t="str">
        <f>"20190304164557430"</f>
        <v>20190304164557430</v>
      </c>
      <c r="B161" t="str">
        <f>"1551689157417922"</f>
        <v>1551689157417922</v>
      </c>
      <c r="C161" t="s">
        <v>40</v>
      </c>
      <c r="D161">
        <v>4.6558440000000001</v>
      </c>
      <c r="E161">
        <v>0.55420040000000004</v>
      </c>
      <c r="F161" t="s">
        <v>41</v>
      </c>
      <c r="G161">
        <v>-443.56209999999999</v>
      </c>
      <c r="H161">
        <v>0.89541959999999998</v>
      </c>
      <c r="I161">
        <v>367.1542</v>
      </c>
      <c r="J161">
        <v>-443.96420000000001</v>
      </c>
      <c r="K161">
        <v>1.1089690000000001</v>
      </c>
      <c r="L161">
        <v>367.1574</v>
      </c>
      <c r="M161">
        <v>0.99991110000000005</v>
      </c>
      <c r="N161">
        <v>-7.3756069999999997E-4</v>
      </c>
      <c r="O161">
        <v>1.33151E-2</v>
      </c>
      <c r="P161">
        <v>0.95930610000000005</v>
      </c>
      <c r="Q161">
        <v>0.2719261</v>
      </c>
      <c r="R161">
        <v>7.6079229999999998E-2</v>
      </c>
      <c r="S161">
        <v>3.4093019999999998</v>
      </c>
      <c r="T161">
        <v>-0.99621139999999997</v>
      </c>
      <c r="U161">
        <v>8.2397459999999992E-3</v>
      </c>
      <c r="V161">
        <v>-6.3387040000000006E-2</v>
      </c>
      <c r="W161">
        <v>0.27261370000000001</v>
      </c>
      <c r="X161">
        <v>0.96003320000000003</v>
      </c>
      <c r="Y161">
        <v>9.9282220000000004E-3</v>
      </c>
      <c r="Z161">
        <v>-5.2258729999999998E-3</v>
      </c>
      <c r="AA161">
        <v>0.99993710000000002</v>
      </c>
      <c r="AB161">
        <v>36</v>
      </c>
      <c r="AC161">
        <v>0.402100000000018</v>
      </c>
      <c r="AD161">
        <v>-0.2135494</v>
      </c>
      <c r="AE161">
        <v>-3.19999999999254E-3</v>
      </c>
      <c r="AF161">
        <v>6.6719924201104602E-3</v>
      </c>
      <c r="AG161">
        <v>-0.2135494</v>
      </c>
      <c r="AH161">
        <v>0.31358125315255497</v>
      </c>
      <c r="AI161">
        <v>124.24890187788</v>
      </c>
      <c r="AJ161">
        <v>88.781115475553406</v>
      </c>
      <c r="AK161">
        <v>0.37944836809761201</v>
      </c>
      <c r="AL161">
        <v>74.180142511288096</v>
      </c>
      <c r="AM161">
        <v>93.777521552662094</v>
      </c>
      <c r="AN161">
        <v>0.99999994568494399</v>
      </c>
    </row>
    <row r="162" spans="1:40" x14ac:dyDescent="0.25">
      <c r="A162" t="str">
        <f>"20190304164557453"</f>
        <v>20190304164557453</v>
      </c>
      <c r="B162" t="str">
        <f>"1551689157448175"</f>
        <v>1551689157448175</v>
      </c>
      <c r="C162" t="s">
        <v>40</v>
      </c>
      <c r="D162">
        <v>4.6412269999999998</v>
      </c>
      <c r="E162">
        <v>0.55468329999999999</v>
      </c>
      <c r="F162" t="s">
        <v>41</v>
      </c>
      <c r="G162">
        <v>-443.2346</v>
      </c>
      <c r="H162">
        <v>0.89420270000000002</v>
      </c>
      <c r="I162">
        <v>367.15879999999999</v>
      </c>
      <c r="J162">
        <v>-443.58929999999998</v>
      </c>
      <c r="K162">
        <v>1.1089389999999999</v>
      </c>
      <c r="L162">
        <v>367.16250000000002</v>
      </c>
      <c r="M162">
        <v>0.99991110000000005</v>
      </c>
      <c r="N162">
        <v>-8.569742E-4</v>
      </c>
      <c r="O162">
        <v>1.331502E-2</v>
      </c>
      <c r="P162">
        <v>0.95941339999999997</v>
      </c>
      <c r="Q162">
        <v>0.27165149999999999</v>
      </c>
      <c r="R162">
        <v>7.5706289999999996E-2</v>
      </c>
      <c r="S162">
        <v>3.4112550000000001</v>
      </c>
      <c r="T162">
        <v>-1.004076</v>
      </c>
      <c r="U162">
        <v>7.4768069999999898E-3</v>
      </c>
      <c r="V162">
        <v>-6.2970970000000001E-2</v>
      </c>
      <c r="W162">
        <v>0.27246369999999998</v>
      </c>
      <c r="X162">
        <v>0.96010320000000005</v>
      </c>
      <c r="Y162">
        <v>1.013086E-2</v>
      </c>
      <c r="Z162">
        <v>-5.2909280000000003E-3</v>
      </c>
      <c r="AA162">
        <v>0.99993469999999995</v>
      </c>
      <c r="AB162">
        <v>37</v>
      </c>
      <c r="AC162">
        <v>0.35469999999997898</v>
      </c>
      <c r="AD162">
        <v>-0.21473629999999899</v>
      </c>
      <c r="AE162">
        <v>-3.70000000003756E-3</v>
      </c>
      <c r="AF162">
        <v>6.1636888052447802E-3</v>
      </c>
      <c r="AG162">
        <v>-0.21473629999999899</v>
      </c>
      <c r="AH162">
        <v>0.25951441431396999</v>
      </c>
      <c r="AI162">
        <v>129.59826509108601</v>
      </c>
      <c r="AJ162">
        <v>88.639432136313005</v>
      </c>
      <c r="AK162">
        <v>0.33689375303513802</v>
      </c>
      <c r="AL162">
        <v>74.189075622086506</v>
      </c>
      <c r="AM162">
        <v>93.752524310301297</v>
      </c>
      <c r="AN162">
        <v>0.99999998276533497</v>
      </c>
    </row>
    <row r="163" spans="1:40" x14ac:dyDescent="0.25">
      <c r="A163" t="str">
        <f>"20190304164557475"</f>
        <v>20190304164557475</v>
      </c>
      <c r="B163" t="str">
        <f>"1551689157467695"</f>
        <v>1551689157467695</v>
      </c>
      <c r="C163" t="s">
        <v>40</v>
      </c>
      <c r="D163">
        <v>4.6483600000000003</v>
      </c>
      <c r="E163">
        <v>0.55497869999999905</v>
      </c>
      <c r="F163" t="s">
        <v>41</v>
      </c>
      <c r="G163">
        <v>-442.9008</v>
      </c>
      <c r="H163">
        <v>0.90471729999999995</v>
      </c>
      <c r="I163">
        <v>367.1626</v>
      </c>
      <c r="J163">
        <v>-443.21839999999997</v>
      </c>
      <c r="K163">
        <v>1.108914</v>
      </c>
      <c r="L163">
        <v>367.16739999999999</v>
      </c>
      <c r="M163">
        <v>0.99991169999999996</v>
      </c>
      <c r="N163">
        <v>-1.0038429999999999E-3</v>
      </c>
      <c r="O163">
        <v>1.32519E-2</v>
      </c>
      <c r="P163">
        <v>0.95965990000000001</v>
      </c>
      <c r="Q163">
        <v>0.27094059999999998</v>
      </c>
      <c r="R163">
        <v>7.5125960000000006E-2</v>
      </c>
      <c r="S163">
        <v>3.4134220000000002</v>
      </c>
      <c r="T163">
        <v>-1.0125740000000001</v>
      </c>
      <c r="U163">
        <v>2.3498540000000002E-3</v>
      </c>
      <c r="V163">
        <v>-6.2410800000000002E-2</v>
      </c>
      <c r="W163">
        <v>0.2719029</v>
      </c>
      <c r="X163">
        <v>0.96029869999999995</v>
      </c>
      <c r="Y163">
        <v>1.14996E-2</v>
      </c>
      <c r="Z163">
        <v>-5.5107029999999996E-3</v>
      </c>
      <c r="AA163">
        <v>0.99991870000000005</v>
      </c>
      <c r="AB163">
        <v>37</v>
      </c>
      <c r="AC163">
        <v>0.31759999999997002</v>
      </c>
      <c r="AD163">
        <v>-0.20419669999999901</v>
      </c>
      <c r="AE163">
        <v>-4.7999999999888097E-3</v>
      </c>
      <c r="AF163">
        <v>6.3741277243543901E-3</v>
      </c>
      <c r="AG163">
        <v>-0.20419669999999901</v>
      </c>
      <c r="AH163">
        <v>0.224661797783723</v>
      </c>
      <c r="AI163">
        <v>132.25644873448201</v>
      </c>
      <c r="AJ163">
        <v>88.374834207249606</v>
      </c>
      <c r="AK163">
        <v>0.30366074026543299</v>
      </c>
      <c r="AL163">
        <v>74.222467178267493</v>
      </c>
      <c r="AM163">
        <v>93.718482095703493</v>
      </c>
      <c r="AN163">
        <v>0.99999994410336801</v>
      </c>
    </row>
    <row r="164" spans="1:40" x14ac:dyDescent="0.25">
      <c r="A164" t="str">
        <f>"20190304164557497"</f>
        <v>20190304164557497</v>
      </c>
      <c r="B164" t="str">
        <f>"1551689157488191"</f>
        <v>1551689157488191</v>
      </c>
      <c r="C164" t="s">
        <v>40</v>
      </c>
      <c r="D164">
        <v>4.6605439999999998</v>
      </c>
      <c r="E164">
        <v>0.55522260000000001</v>
      </c>
      <c r="F164" t="s">
        <v>41</v>
      </c>
      <c r="G164">
        <v>-442.27010000000001</v>
      </c>
      <c r="H164">
        <v>0.82583930000000005</v>
      </c>
      <c r="I164">
        <v>367.16649999999998</v>
      </c>
      <c r="J164">
        <v>-442.83839999999998</v>
      </c>
      <c r="K164">
        <v>1.108889</v>
      </c>
      <c r="L164">
        <v>367.17230000000001</v>
      </c>
      <c r="M164">
        <v>0.99991319999999995</v>
      </c>
      <c r="N164">
        <v>-1.1682999999999999E-3</v>
      </c>
      <c r="O164">
        <v>1.313336E-2</v>
      </c>
      <c r="P164">
        <v>0.95976170000000005</v>
      </c>
      <c r="Q164">
        <v>0.27070080000000002</v>
      </c>
      <c r="R164">
        <v>7.4690980000000004E-2</v>
      </c>
      <c r="S164">
        <v>3.4140320000000002</v>
      </c>
      <c r="T164">
        <v>-1.0191939999999999</v>
      </c>
      <c r="U164">
        <v>-1.617432E-3</v>
      </c>
      <c r="V164">
        <v>-6.2055430000000002E-2</v>
      </c>
      <c r="W164">
        <v>0.27182859999999998</v>
      </c>
      <c r="X164">
        <v>0.96034280000000005</v>
      </c>
      <c r="Y164">
        <v>1.249186E-2</v>
      </c>
      <c r="Z164">
        <v>-5.6542160000000001E-3</v>
      </c>
      <c r="AA164">
        <v>0.99990599999999996</v>
      </c>
      <c r="AB164">
        <v>37</v>
      </c>
      <c r="AC164">
        <v>0.56829999999996506</v>
      </c>
      <c r="AD164">
        <v>-0.28304970000000002</v>
      </c>
      <c r="AE164">
        <v>-5.8000000000220098E-3</v>
      </c>
      <c r="AF164">
        <v>1.06272021710359E-2</v>
      </c>
      <c r="AG164">
        <v>-0.28304970000000002</v>
      </c>
      <c r="AH164">
        <v>0.45525303594692201</v>
      </c>
      <c r="AI164">
        <v>121.863933474326</v>
      </c>
      <c r="AJ164">
        <v>88.662758463585305</v>
      </c>
      <c r="AK164">
        <v>0.53617664704364298</v>
      </c>
      <c r="AL164">
        <v>74.226891434754805</v>
      </c>
      <c r="AM164">
        <v>93.697198468593797</v>
      </c>
      <c r="AN164">
        <v>0.999999978841142</v>
      </c>
    </row>
    <row r="165" spans="1:40" x14ac:dyDescent="0.25">
      <c r="A165" t="str">
        <f>"20190304164557521"</f>
        <v>20190304164557521</v>
      </c>
      <c r="B165" t="str">
        <f>"1551689157507714"</f>
        <v>1551689157507714</v>
      </c>
      <c r="C165" t="s">
        <v>40</v>
      </c>
      <c r="D165">
        <v>4.6789529999999999</v>
      </c>
      <c r="E165">
        <v>0.55540319999999899</v>
      </c>
      <c r="F165" t="s">
        <v>41</v>
      </c>
      <c r="G165">
        <v>-441.93189999999998</v>
      </c>
      <c r="H165">
        <v>0.83704719999999999</v>
      </c>
      <c r="I165">
        <v>367.17099999999999</v>
      </c>
      <c r="J165">
        <v>-442.45769999999999</v>
      </c>
      <c r="K165">
        <v>1.108854</v>
      </c>
      <c r="L165">
        <v>367.17720000000003</v>
      </c>
      <c r="M165">
        <v>0.99991490000000005</v>
      </c>
      <c r="N165">
        <v>-1.3354040000000001E-3</v>
      </c>
      <c r="O165">
        <v>1.2979279999999999E-2</v>
      </c>
      <c r="P165">
        <v>0.9597154</v>
      </c>
      <c r="Q165">
        <v>0.27115620000000001</v>
      </c>
      <c r="R165">
        <v>7.3627020000000001E-2</v>
      </c>
      <c r="S165">
        <v>3.414917</v>
      </c>
      <c r="T165">
        <v>-1.023957</v>
      </c>
      <c r="U165">
        <v>-4.1809079999999997E-3</v>
      </c>
      <c r="V165">
        <v>-6.1112819999999998E-2</v>
      </c>
      <c r="W165">
        <v>0.27245039999999998</v>
      </c>
      <c r="X165">
        <v>0.9602271</v>
      </c>
      <c r="Y165">
        <v>1.3060489999999999E-2</v>
      </c>
      <c r="Z165">
        <v>-5.7158799999999996E-3</v>
      </c>
      <c r="AA165">
        <v>0.99989839999999997</v>
      </c>
      <c r="AB165">
        <v>37</v>
      </c>
      <c r="AC165">
        <v>0.52580000000000304</v>
      </c>
      <c r="AD165">
        <v>-0.27180679999999902</v>
      </c>
      <c r="AE165">
        <v>-6.2000000000352797E-3</v>
      </c>
      <c r="AF165">
        <v>1.0277855796960699E-2</v>
      </c>
      <c r="AG165">
        <v>-0.27180679999999902</v>
      </c>
      <c r="AH165">
        <v>0.41483559753199301</v>
      </c>
      <c r="AI165">
        <v>123.225388318496</v>
      </c>
      <c r="AJ165">
        <v>88.580745442692006</v>
      </c>
      <c r="AK165">
        <v>0.496057601318384</v>
      </c>
      <c r="AL165">
        <v>74.189868553921301</v>
      </c>
      <c r="AM165">
        <v>93.641628538984506</v>
      </c>
      <c r="AN165">
        <v>1.00000004040146</v>
      </c>
    </row>
    <row r="166" spans="1:40" x14ac:dyDescent="0.25">
      <c r="A166" t="str">
        <f>"20190304164557545"</f>
        <v>20190304164557545</v>
      </c>
      <c r="B166" t="str">
        <f>"1551689157537967"</f>
        <v>1551689157537967</v>
      </c>
      <c r="C166" t="s">
        <v>40</v>
      </c>
      <c r="D166">
        <v>4.6901099999999998</v>
      </c>
      <c r="E166">
        <v>0.55563739999999995</v>
      </c>
      <c r="F166" t="s">
        <v>41</v>
      </c>
      <c r="G166">
        <v>-441.59199999999998</v>
      </c>
      <c r="H166">
        <v>0.84883019999999998</v>
      </c>
      <c r="I166">
        <v>367.17469999999997</v>
      </c>
      <c r="J166">
        <v>-442.0548</v>
      </c>
      <c r="K166">
        <v>1.1088290000000001</v>
      </c>
      <c r="L166">
        <v>367.1823</v>
      </c>
      <c r="M166">
        <v>0.9999171</v>
      </c>
      <c r="N166">
        <v>-1.5076849999999999E-3</v>
      </c>
      <c r="O166">
        <v>1.278994E-2</v>
      </c>
      <c r="P166">
        <v>0.95975770000000005</v>
      </c>
      <c r="Q166">
        <v>0.27134730000000001</v>
      </c>
      <c r="R166">
        <v>7.2359199999999999E-2</v>
      </c>
      <c r="S166">
        <v>3.4165339999999902</v>
      </c>
      <c r="T166">
        <v>-1.026219</v>
      </c>
      <c r="U166">
        <v>-8.3618159999999993E-3</v>
      </c>
      <c r="V166">
        <v>-6.0003849999999997E-2</v>
      </c>
      <c r="W166">
        <v>0.27281139999999998</v>
      </c>
      <c r="X166">
        <v>0.96019449999999995</v>
      </c>
      <c r="Y166">
        <v>1.4054759999999999E-2</v>
      </c>
      <c r="Z166">
        <v>-5.8158580000000001E-3</v>
      </c>
      <c r="AA166">
        <v>0.99988429999999995</v>
      </c>
      <c r="AB166">
        <v>37</v>
      </c>
      <c r="AC166">
        <v>0.46280000000001498</v>
      </c>
      <c r="AD166">
        <v>-0.25999879999999997</v>
      </c>
      <c r="AE166">
        <v>-7.6000000000249202E-3</v>
      </c>
      <c r="AF166">
        <v>1.02761490612091E-2</v>
      </c>
      <c r="AG166">
        <v>-0.25999879999999997</v>
      </c>
      <c r="AH166">
        <v>0.351695054361435</v>
      </c>
      <c r="AI166">
        <v>126.462845738078</v>
      </c>
      <c r="AJ166">
        <v>88.326355479524594</v>
      </c>
      <c r="AK166">
        <v>0.43748644150791799</v>
      </c>
      <c r="AL166">
        <v>74.168369742340204</v>
      </c>
      <c r="AM166">
        <v>93.575840660940401</v>
      </c>
      <c r="AN166">
        <v>0.99999999990751598</v>
      </c>
    </row>
    <row r="167" spans="1:40" x14ac:dyDescent="0.25">
      <c r="A167" t="str">
        <f>"20190304164557566"</f>
        <v>20190304164557566</v>
      </c>
      <c r="B167" t="str">
        <f>"1551689157557487"</f>
        <v>1551689157557487</v>
      </c>
      <c r="C167" t="s">
        <v>40</v>
      </c>
      <c r="D167">
        <v>4.6963790000000003</v>
      </c>
      <c r="E167">
        <v>0.55579109999999998</v>
      </c>
      <c r="F167" t="s">
        <v>41</v>
      </c>
      <c r="G167">
        <v>-441.24849999999998</v>
      </c>
      <c r="H167">
        <v>0.86562289999999997</v>
      </c>
      <c r="I167">
        <v>367.17880000000002</v>
      </c>
      <c r="J167">
        <v>-441.7</v>
      </c>
      <c r="K167">
        <v>1.1088020000000001</v>
      </c>
      <c r="L167">
        <v>367.18669999999997</v>
      </c>
      <c r="M167">
        <v>0.99991920000000001</v>
      </c>
      <c r="N167">
        <v>-1.6524339999999999E-3</v>
      </c>
      <c r="O167">
        <v>1.260933E-2</v>
      </c>
      <c r="P167">
        <v>0.95977760000000001</v>
      </c>
      <c r="Q167">
        <v>0.27165879999999998</v>
      </c>
      <c r="R167">
        <v>7.0913710000000005E-2</v>
      </c>
      <c r="S167">
        <v>3.418304</v>
      </c>
      <c r="T167">
        <v>-1.0310999999999999</v>
      </c>
      <c r="U167">
        <v>-1.2786870000000001E-2</v>
      </c>
      <c r="V167">
        <v>-5.871668E-2</v>
      </c>
      <c r="W167">
        <v>0.27326509999999998</v>
      </c>
      <c r="X167">
        <v>0.96014509999999997</v>
      </c>
      <c r="Y167">
        <v>1.511799E-2</v>
      </c>
      <c r="Z167">
        <v>-5.9434680000000004E-3</v>
      </c>
      <c r="AA167">
        <v>0.99986799999999998</v>
      </c>
      <c r="AB167">
        <v>37</v>
      </c>
      <c r="AC167">
        <v>0.45150000000001</v>
      </c>
      <c r="AD167">
        <v>-0.24317910000000001</v>
      </c>
      <c r="AE167">
        <v>-7.8999999999496105E-3</v>
      </c>
      <c r="AF167">
        <v>1.0536782397404699E-2</v>
      </c>
      <c r="AG167">
        <v>-0.24317910000000001</v>
      </c>
      <c r="AH167">
        <v>0.34989385955743402</v>
      </c>
      <c r="AI167">
        <v>124.78744847682501</v>
      </c>
      <c r="AJ167">
        <v>88.275103297721202</v>
      </c>
      <c r="AK167">
        <v>0.426230936718697</v>
      </c>
      <c r="AL167">
        <v>74.141348526450599</v>
      </c>
      <c r="AM167">
        <v>93.499505953833904</v>
      </c>
      <c r="AN167">
        <v>1.00000003822112</v>
      </c>
    </row>
    <row r="168" spans="1:40" x14ac:dyDescent="0.25">
      <c r="A168" t="str">
        <f>"20190304164557588"</f>
        <v>20190304164557588</v>
      </c>
      <c r="B168" t="str">
        <f>"1551689157577984"</f>
        <v>1551689157577984</v>
      </c>
      <c r="C168" t="s">
        <v>40</v>
      </c>
      <c r="D168">
        <v>4.721082</v>
      </c>
      <c r="E168">
        <v>0.55589900000000003</v>
      </c>
      <c r="F168" t="s">
        <v>41</v>
      </c>
      <c r="G168">
        <v>-440.90879999999999</v>
      </c>
      <c r="H168">
        <v>0.86975460000000004</v>
      </c>
      <c r="I168">
        <v>367.1825</v>
      </c>
      <c r="J168">
        <v>-441.3331</v>
      </c>
      <c r="K168">
        <v>1.108789</v>
      </c>
      <c r="L168">
        <v>367.19119999999998</v>
      </c>
      <c r="M168">
        <v>0.99992130000000001</v>
      </c>
      <c r="N168">
        <v>-1.7934349999999999E-3</v>
      </c>
      <c r="O168">
        <v>1.2414639999999999E-2</v>
      </c>
      <c r="P168">
        <v>0.95997920000000003</v>
      </c>
      <c r="Q168">
        <v>0.27113910000000002</v>
      </c>
      <c r="R168">
        <v>7.0167300000000002E-2</v>
      </c>
      <c r="S168">
        <v>3.4194339999999999</v>
      </c>
      <c r="T168">
        <v>-1.0331669999999999</v>
      </c>
      <c r="U168">
        <v>-1.7333979999999999E-2</v>
      </c>
      <c r="V168">
        <v>-5.8142220000000001E-2</v>
      </c>
      <c r="W168">
        <v>0.27288390000000001</v>
      </c>
      <c r="X168">
        <v>0.96028840000000004</v>
      </c>
      <c r="Y168">
        <v>1.620746E-2</v>
      </c>
      <c r="Z168">
        <v>-6.0571490000000004E-3</v>
      </c>
      <c r="AA168">
        <v>0.99985029999999997</v>
      </c>
      <c r="AB168">
        <v>38</v>
      </c>
      <c r="AC168">
        <v>0.424300000000016</v>
      </c>
      <c r="AD168">
        <v>-0.23903440000000001</v>
      </c>
      <c r="AE168">
        <v>-8.6999999999761695E-3</v>
      </c>
      <c r="AF168">
        <v>1.06031072111928E-2</v>
      </c>
      <c r="AG168">
        <v>-0.23903440000000001</v>
      </c>
      <c r="AH168">
        <v>0.32200532394654202</v>
      </c>
      <c r="AI168">
        <v>126.57277158414099</v>
      </c>
      <c r="AJ168">
        <v>88.114025391433003</v>
      </c>
      <c r="AK168">
        <v>0.40116991277488601</v>
      </c>
      <c r="AL168">
        <v>74.164051580026296</v>
      </c>
      <c r="AM168">
        <v>93.464836202089302</v>
      </c>
      <c r="AN168">
        <v>0.999999975900148</v>
      </c>
    </row>
    <row r="169" spans="1:40" x14ac:dyDescent="0.25">
      <c r="A169" t="str">
        <f>"20190304164557611"</f>
        <v>20190304164557611</v>
      </c>
      <c r="B169" t="str">
        <f>"1551689157597503"</f>
        <v>1551689157597503</v>
      </c>
      <c r="C169" t="s">
        <v>40</v>
      </c>
      <c r="D169">
        <v>4.7146679999999996</v>
      </c>
      <c r="E169">
        <v>0.55597830000000004</v>
      </c>
      <c r="F169" t="s">
        <v>41</v>
      </c>
      <c r="G169">
        <v>-440.5668</v>
      </c>
      <c r="H169">
        <v>0.87614259999999999</v>
      </c>
      <c r="I169">
        <v>367.18650000000002</v>
      </c>
      <c r="J169">
        <v>-440.93709999999999</v>
      </c>
      <c r="K169">
        <v>1.1086830000000001</v>
      </c>
      <c r="L169">
        <v>367.19600000000003</v>
      </c>
      <c r="M169">
        <v>0.99992440000000005</v>
      </c>
      <c r="N169">
        <v>-1.640323E-3</v>
      </c>
      <c r="O169">
        <v>1.219394E-2</v>
      </c>
      <c r="P169">
        <v>0.95992929999999999</v>
      </c>
      <c r="Q169">
        <v>0.27144750000000001</v>
      </c>
      <c r="R169">
        <v>6.965826E-2</v>
      </c>
      <c r="S169">
        <v>3.4197389999999999</v>
      </c>
      <c r="T169">
        <v>-1.038122</v>
      </c>
      <c r="U169">
        <v>-2.0263670000000001E-2</v>
      </c>
      <c r="V169">
        <v>-5.7837689999999997E-2</v>
      </c>
      <c r="W169">
        <v>0.27304630000000002</v>
      </c>
      <c r="X169">
        <v>0.96026060000000002</v>
      </c>
      <c r="Y169">
        <v>1.681328E-2</v>
      </c>
      <c r="Z169">
        <v>-6.1103210000000002E-3</v>
      </c>
      <c r="AA169">
        <v>0.99983999999999995</v>
      </c>
      <c r="AB169">
        <v>38</v>
      </c>
      <c r="AC169">
        <v>0.37029999999998597</v>
      </c>
      <c r="AD169">
        <v>-0.23254040000000001</v>
      </c>
      <c r="AE169">
        <v>-9.4999999999458799E-3</v>
      </c>
      <c r="AF169">
        <v>1.0052894794361901E-2</v>
      </c>
      <c r="AG169">
        <v>-0.23254040000000001</v>
      </c>
      <c r="AH169">
        <v>0.26551703225534101</v>
      </c>
      <c r="AI169">
        <v>131.19160807049801</v>
      </c>
      <c r="AJ169">
        <v>87.831726843133893</v>
      </c>
      <c r="AK169">
        <v>0.35309402819021202</v>
      </c>
      <c r="AL169">
        <v>74.154379015948507</v>
      </c>
      <c r="AM169">
        <v>93.446831928684801</v>
      </c>
      <c r="AN169">
        <v>0.99999995012029097</v>
      </c>
    </row>
    <row r="170" spans="1:40" x14ac:dyDescent="0.25">
      <c r="A170" t="str">
        <f>"20190304164557630"</f>
        <v>20190304164557630</v>
      </c>
      <c r="B170" t="str">
        <f>"1551689157618000"</f>
        <v>1551689157618000</v>
      </c>
      <c r="C170" t="s">
        <v>40</v>
      </c>
      <c r="D170">
        <v>4.7367509999999999</v>
      </c>
      <c r="E170">
        <v>0.55603459999999905</v>
      </c>
      <c r="F170" t="s">
        <v>41</v>
      </c>
      <c r="G170">
        <v>-440.21879999999999</v>
      </c>
      <c r="H170">
        <v>0.89024099999999995</v>
      </c>
      <c r="I170">
        <v>367.1909</v>
      </c>
      <c r="J170">
        <v>-440.5967</v>
      </c>
      <c r="K170">
        <v>1.1085119999999999</v>
      </c>
      <c r="L170">
        <v>367.2</v>
      </c>
      <c r="M170">
        <v>0.99992700000000001</v>
      </c>
      <c r="N170">
        <v>-1.4454190000000001E-3</v>
      </c>
      <c r="O170">
        <v>1.2002789999999999E-2</v>
      </c>
      <c r="P170">
        <v>0.95983620000000003</v>
      </c>
      <c r="Q170">
        <v>0.27186519999999997</v>
      </c>
      <c r="R170">
        <v>6.9310369999999996E-2</v>
      </c>
      <c r="S170">
        <v>3.4210509999999998</v>
      </c>
      <c r="T170">
        <v>-1.040254</v>
      </c>
      <c r="U170">
        <v>-2.2979739999999999E-2</v>
      </c>
      <c r="V170">
        <v>-5.7671199999999999E-2</v>
      </c>
      <c r="W170">
        <v>0.27327750000000001</v>
      </c>
      <c r="X170">
        <v>0.96020490000000003</v>
      </c>
      <c r="Y170">
        <v>1.7391469999999999E-2</v>
      </c>
      <c r="Z170">
        <v>-6.1505509999999998E-3</v>
      </c>
      <c r="AA170">
        <v>0.99982979999999999</v>
      </c>
      <c r="AB170">
        <v>38</v>
      </c>
      <c r="AC170">
        <v>0.37790000000001001</v>
      </c>
      <c r="AD170">
        <v>-0.21827099999999999</v>
      </c>
      <c r="AE170">
        <v>-9.0999999999894499E-3</v>
      </c>
      <c r="AF170">
        <v>1.0225767829885201E-2</v>
      </c>
      <c r="AG170">
        <v>-0.21827099999999999</v>
      </c>
      <c r="AH170">
        <v>0.283305083584663</v>
      </c>
      <c r="AI170">
        <v>127.594244868667</v>
      </c>
      <c r="AJ170">
        <v>87.932832361725403</v>
      </c>
      <c r="AK170">
        <v>0.35778284776330999</v>
      </c>
      <c r="AL170">
        <v>74.140609399789597</v>
      </c>
      <c r="AM170">
        <v>93.437132683881003</v>
      </c>
      <c r="AN170">
        <v>1.0000000046498501</v>
      </c>
    </row>
    <row r="171" spans="1:40" x14ac:dyDescent="0.25">
      <c r="A171" t="str">
        <f>"20190304164557654"</f>
        <v>20190304164557654</v>
      </c>
      <c r="B171" t="str">
        <f>"1551689157637519"</f>
        <v>1551689157637519</v>
      </c>
      <c r="C171" t="s">
        <v>40</v>
      </c>
      <c r="D171">
        <v>4.9384050000000004</v>
      </c>
      <c r="E171">
        <v>0.55610789999999999</v>
      </c>
      <c r="F171" t="s">
        <v>41</v>
      </c>
      <c r="G171">
        <v>-439.87509999999997</v>
      </c>
      <c r="H171">
        <v>0.88879409999999903</v>
      </c>
      <c r="I171">
        <v>367.19459999999998</v>
      </c>
      <c r="J171">
        <v>-440.19529999999997</v>
      </c>
      <c r="K171">
        <v>1.1081970000000001</v>
      </c>
      <c r="L171">
        <v>367.2047</v>
      </c>
      <c r="M171">
        <v>0.99992950000000003</v>
      </c>
      <c r="N171">
        <v>-1.4538190000000001E-3</v>
      </c>
      <c r="O171">
        <v>1.1790399999999999E-2</v>
      </c>
      <c r="P171">
        <v>0.95995169999999996</v>
      </c>
      <c r="Q171">
        <v>0.27145059999999999</v>
      </c>
      <c r="R171">
        <v>6.9337770000000007E-2</v>
      </c>
      <c r="S171">
        <v>3.4224239999999999</v>
      </c>
      <c r="T171">
        <v>-1.0419579999999999</v>
      </c>
      <c r="U171">
        <v>-2.4902339999999999E-2</v>
      </c>
      <c r="V171">
        <v>-5.789789E-2</v>
      </c>
      <c r="W171">
        <v>0.272872</v>
      </c>
      <c r="X171">
        <v>0.96030660000000001</v>
      </c>
      <c r="Y171">
        <v>1.772901E-2</v>
      </c>
      <c r="Z171">
        <v>-6.1453719999999996E-3</v>
      </c>
      <c r="AA171">
        <v>0.99982389999999999</v>
      </c>
      <c r="AB171">
        <v>38</v>
      </c>
      <c r="AC171">
        <v>0.32019999999999899</v>
      </c>
      <c r="AD171">
        <v>-0.21940290000000001</v>
      </c>
      <c r="AE171">
        <v>-1.01000000000226E-2</v>
      </c>
      <c r="AF171">
        <v>9.4446609069466208E-3</v>
      </c>
      <c r="AG171">
        <v>-0.21940290000000001</v>
      </c>
      <c r="AH171">
        <v>0.217869212576252</v>
      </c>
      <c r="AI171">
        <v>135.174066074791</v>
      </c>
      <c r="AJ171">
        <v>87.5177740427347</v>
      </c>
      <c r="AK171">
        <v>0.30934419008065001</v>
      </c>
      <c r="AL171">
        <v>74.164761176185493</v>
      </c>
      <c r="AM171">
        <v>93.450245999094193</v>
      </c>
      <c r="AN171">
        <v>1.000000030027</v>
      </c>
    </row>
    <row r="172" spans="1:40" x14ac:dyDescent="0.25">
      <c r="A172" t="str">
        <f>"20190304164557676"</f>
        <v>20190304164557676</v>
      </c>
      <c r="B172" t="str">
        <f>"1551689157667776"</f>
        <v>1551689157667776</v>
      </c>
      <c r="C172" t="s">
        <v>40</v>
      </c>
      <c r="D172">
        <v>4.7656000000000001</v>
      </c>
      <c r="E172">
        <v>0.55622700000000003</v>
      </c>
      <c r="F172" t="s">
        <v>41</v>
      </c>
      <c r="G172">
        <v>-439.52289999999999</v>
      </c>
      <c r="H172">
        <v>0.9027404</v>
      </c>
      <c r="I172">
        <v>367.19979999999998</v>
      </c>
      <c r="J172">
        <v>-439.798</v>
      </c>
      <c r="K172">
        <v>1.1076919999999999</v>
      </c>
      <c r="L172">
        <v>367.20940000000002</v>
      </c>
      <c r="M172">
        <v>0.99993100000000001</v>
      </c>
      <c r="N172">
        <v>-1.842497E-3</v>
      </c>
      <c r="O172">
        <v>1.160949E-2</v>
      </c>
      <c r="P172">
        <v>0.9600689</v>
      </c>
      <c r="Q172">
        <v>0.2710091</v>
      </c>
      <c r="R172">
        <v>6.9439780000000006E-2</v>
      </c>
      <c r="S172">
        <v>3.4227289999999999</v>
      </c>
      <c r="T172">
        <v>-1.046073</v>
      </c>
      <c r="U172">
        <v>-2.4597170000000002E-2</v>
      </c>
      <c r="V172">
        <v>-5.816876E-2</v>
      </c>
      <c r="W172">
        <v>0.27280500000000002</v>
      </c>
      <c r="X172">
        <v>0.96030919999999997</v>
      </c>
      <c r="Y172">
        <v>1.7468629999999999E-2</v>
      </c>
      <c r="Z172">
        <v>-6.0742410000000002E-3</v>
      </c>
      <c r="AA172">
        <v>0.99982890000000002</v>
      </c>
      <c r="AB172">
        <v>39</v>
      </c>
      <c r="AC172">
        <v>0.275100000000009</v>
      </c>
      <c r="AD172">
        <v>-0.20495159999999901</v>
      </c>
      <c r="AE172">
        <v>-9.6000000000344698E-3</v>
      </c>
      <c r="AF172">
        <v>8.2304731203165608E-3</v>
      </c>
      <c r="AG172">
        <v>-0.20495159999999901</v>
      </c>
      <c r="AH172">
        <v>0.17690224902078799</v>
      </c>
      <c r="AI172">
        <v>139.17051524595399</v>
      </c>
      <c r="AJ172">
        <v>87.336203703082603</v>
      </c>
      <c r="AK172">
        <v>0.270863996756596</v>
      </c>
      <c r="AL172">
        <v>74.168750344266698</v>
      </c>
      <c r="AM172">
        <v>93.466339031145694</v>
      </c>
      <c r="AN172">
        <v>0.99999996613478803</v>
      </c>
    </row>
    <row r="173" spans="1:40" x14ac:dyDescent="0.25">
      <c r="A173" t="str">
        <f>"20190304164557699"</f>
        <v>20190304164557699</v>
      </c>
      <c r="B173" t="str">
        <f>"1551689157688271"</f>
        <v>1551689157688271</v>
      </c>
      <c r="C173" t="s">
        <v>40</v>
      </c>
      <c r="D173">
        <v>4.7735969999999996</v>
      </c>
      <c r="E173">
        <v>0.55630669999999904</v>
      </c>
      <c r="F173" t="s">
        <v>41</v>
      </c>
      <c r="G173">
        <v>-438.85989999999998</v>
      </c>
      <c r="H173">
        <v>0.81960630000000001</v>
      </c>
      <c r="I173">
        <v>367.20249999999999</v>
      </c>
      <c r="J173">
        <v>-439.39699999999999</v>
      </c>
      <c r="K173">
        <v>1.1069709999999999</v>
      </c>
      <c r="L173">
        <v>367.21390000000002</v>
      </c>
      <c r="M173">
        <v>0.99993100000000001</v>
      </c>
      <c r="N173">
        <v>-2.5769120000000002E-3</v>
      </c>
      <c r="O173">
        <v>1.1459479999999999E-2</v>
      </c>
      <c r="P173">
        <v>0.96016290000000004</v>
      </c>
      <c r="Q173">
        <v>0.27049099999999998</v>
      </c>
      <c r="R173">
        <v>7.0156739999999995E-2</v>
      </c>
      <c r="S173">
        <v>3.4232179999999999</v>
      </c>
      <c r="T173">
        <v>-1.051253</v>
      </c>
      <c r="U173">
        <v>-2.3590090000000001E-2</v>
      </c>
      <c r="V173">
        <v>-5.9026330000000002E-2</v>
      </c>
      <c r="W173">
        <v>0.27299309999999899</v>
      </c>
      <c r="X173">
        <v>0.96020349999999999</v>
      </c>
      <c r="Y173">
        <v>1.7038319999999999E-2</v>
      </c>
      <c r="Z173">
        <v>-5.9906259999999998E-3</v>
      </c>
      <c r="AA173">
        <v>0.99983690000000003</v>
      </c>
      <c r="AB173">
        <v>39</v>
      </c>
      <c r="AC173">
        <v>0.53710000000000901</v>
      </c>
      <c r="AD173">
        <v>-0.28736469999999897</v>
      </c>
      <c r="AE173">
        <v>-1.14000000000373E-2</v>
      </c>
      <c r="AF173">
        <v>1.364883870208E-2</v>
      </c>
      <c r="AG173">
        <v>-0.28736469999999897</v>
      </c>
      <c r="AH173">
        <v>0.41748094970481198</v>
      </c>
      <c r="AI173">
        <v>124.526514233524</v>
      </c>
      <c r="AJ173">
        <v>88.127477648636102</v>
      </c>
      <c r="AK173">
        <v>0.50700602064515599</v>
      </c>
      <c r="AL173">
        <v>74.157549166004301</v>
      </c>
      <c r="AM173">
        <v>93.517701400814502</v>
      </c>
      <c r="AN173">
        <v>1.0000000508465601</v>
      </c>
    </row>
    <row r="174" spans="1:40" x14ac:dyDescent="0.25">
      <c r="A174" t="str">
        <f>"20190304164557721"</f>
        <v>20190304164557721</v>
      </c>
      <c r="B174" t="str">
        <f>"1551689157707794"</f>
        <v>1551689157707794</v>
      </c>
      <c r="C174" t="s">
        <v>40</v>
      </c>
      <c r="D174">
        <v>4.7670349999999999</v>
      </c>
      <c r="E174">
        <v>0.55636949999999996</v>
      </c>
      <c r="F174" t="s">
        <v>41</v>
      </c>
      <c r="G174">
        <v>-438.50400000000002</v>
      </c>
      <c r="H174">
        <v>0.8317696</v>
      </c>
      <c r="I174">
        <v>367.20830000000001</v>
      </c>
      <c r="J174">
        <v>-439.01900000000001</v>
      </c>
      <c r="K174">
        <v>1.1060859999999999</v>
      </c>
      <c r="L174">
        <v>367.21809999999999</v>
      </c>
      <c r="M174">
        <v>0.99992939999999997</v>
      </c>
      <c r="N174">
        <v>-3.5831270000000002E-3</v>
      </c>
      <c r="O174">
        <v>1.134956E-2</v>
      </c>
      <c r="P174">
        <v>0.96040700000000001</v>
      </c>
      <c r="Q174">
        <v>0.2694993</v>
      </c>
      <c r="R174">
        <v>7.0631159999999998E-2</v>
      </c>
      <c r="S174">
        <v>3.423187</v>
      </c>
      <c r="T174">
        <v>-1.0548420000000001</v>
      </c>
      <c r="U174">
        <v>-2.1789550000000001E-2</v>
      </c>
      <c r="V174">
        <v>-5.9602750000000003E-2</v>
      </c>
      <c r="W174">
        <v>0.2729683</v>
      </c>
      <c r="X174">
        <v>0.96017490000000005</v>
      </c>
      <c r="Y174">
        <v>1.6428189999999999E-2</v>
      </c>
      <c r="Z174">
        <v>-5.8820469999999996E-3</v>
      </c>
      <c r="AA174">
        <v>0.99984779999999995</v>
      </c>
      <c r="AB174">
        <v>39</v>
      </c>
      <c r="AC174">
        <v>0.51499999999998602</v>
      </c>
      <c r="AD174">
        <v>-0.27431640000000002</v>
      </c>
      <c r="AE174">
        <v>-9.7999999999842605E-3</v>
      </c>
      <c r="AF174">
        <v>1.2187772208262299E-2</v>
      </c>
      <c r="AG174">
        <v>-0.27431640000000002</v>
      </c>
      <c r="AH174">
        <v>0.40109760846480402</v>
      </c>
      <c r="AI174">
        <v>124.356465077539</v>
      </c>
      <c r="AJ174">
        <v>88.259543076935003</v>
      </c>
      <c r="AK174">
        <v>0.48608365598582498</v>
      </c>
      <c r="AL174">
        <v>74.159025529183594</v>
      </c>
      <c r="AM174">
        <v>93.5520714226584</v>
      </c>
      <c r="AN174">
        <v>1.00000000960123</v>
      </c>
    </row>
    <row r="175" spans="1:40" x14ac:dyDescent="0.25">
      <c r="A175" t="str">
        <f>"20190304164557744"</f>
        <v>20190304164557744</v>
      </c>
      <c r="B175" t="str">
        <f>"1551689157738049"</f>
        <v>1551689157738049</v>
      </c>
      <c r="C175" t="s">
        <v>40</v>
      </c>
      <c r="D175">
        <v>4.7992019999999904</v>
      </c>
      <c r="E175">
        <v>0.55648009999999903</v>
      </c>
      <c r="F175" t="s">
        <v>41</v>
      </c>
      <c r="G175">
        <v>-438.1499</v>
      </c>
      <c r="H175">
        <v>0.83678899999999901</v>
      </c>
      <c r="I175">
        <v>367.21260000000001</v>
      </c>
      <c r="J175">
        <v>-438.61250000000001</v>
      </c>
      <c r="K175">
        <v>1.104897</v>
      </c>
      <c r="L175">
        <v>367.22269999999997</v>
      </c>
      <c r="M175">
        <v>0.9999247</v>
      </c>
      <c r="N175">
        <v>-4.8826629999999998E-3</v>
      </c>
      <c r="O175">
        <v>1.126974E-2</v>
      </c>
      <c r="P175">
        <v>0.96054399999999995</v>
      </c>
      <c r="Q175">
        <v>0.26895659999999999</v>
      </c>
      <c r="R175">
        <v>7.0838479999999995E-2</v>
      </c>
      <c r="S175">
        <v>3.4227289999999999</v>
      </c>
      <c r="T175">
        <v>-1.0605659999999999</v>
      </c>
      <c r="U175">
        <v>-1.9805909999999999E-2</v>
      </c>
      <c r="V175">
        <v>-5.9887389999999999E-2</v>
      </c>
      <c r="W175">
        <v>0.27367370000000002</v>
      </c>
      <c r="X175">
        <v>0.95995629999999998</v>
      </c>
      <c r="Y175">
        <v>1.579084E-2</v>
      </c>
      <c r="Z175">
        <v>-5.7880140000000002E-3</v>
      </c>
      <c r="AA175">
        <v>0.99985860000000004</v>
      </c>
      <c r="AB175">
        <v>39</v>
      </c>
      <c r="AC175">
        <v>0.462600000000008</v>
      </c>
      <c r="AD175">
        <v>-0.26810800000000001</v>
      </c>
      <c r="AE175">
        <v>-1.00999999999658E-2</v>
      </c>
      <c r="AF175">
        <v>1.14639207252918E-2</v>
      </c>
      <c r="AG175">
        <v>-0.26810800000000001</v>
      </c>
      <c r="AH175">
        <v>0.34621802858393502</v>
      </c>
      <c r="AI175">
        <v>127.73866958992301</v>
      </c>
      <c r="AJ175">
        <v>88.103523421930205</v>
      </c>
      <c r="AK175">
        <v>0.438041372999107</v>
      </c>
      <c r="AL175">
        <v>74.117008184614406</v>
      </c>
      <c r="AM175">
        <v>93.569801643412902</v>
      </c>
      <c r="AN175">
        <v>0.999999945731194</v>
      </c>
    </row>
    <row r="176" spans="1:40" x14ac:dyDescent="0.25">
      <c r="A176" t="str">
        <f>"20190304164557766"</f>
        <v>20190304164557766</v>
      </c>
      <c r="B176" t="str">
        <f>"1551689157757567"</f>
        <v>1551689157757567</v>
      </c>
      <c r="C176" t="s">
        <v>40</v>
      </c>
      <c r="D176">
        <v>4.8158349999999999</v>
      </c>
      <c r="E176">
        <v>0.55652709999999905</v>
      </c>
      <c r="F176" t="s">
        <v>41</v>
      </c>
      <c r="G176">
        <v>-437.79039999999998</v>
      </c>
      <c r="H176">
        <v>0.84918079999999996</v>
      </c>
      <c r="I176">
        <v>367.21749999999997</v>
      </c>
      <c r="J176">
        <v>-438.22859999999997</v>
      </c>
      <c r="K176">
        <v>1.1034870000000001</v>
      </c>
      <c r="L176">
        <v>367.2269</v>
      </c>
      <c r="M176">
        <v>0.99991909999999895</v>
      </c>
      <c r="N176">
        <v>-6.0188469999999999E-3</v>
      </c>
      <c r="O176">
        <v>1.1199870000000001E-2</v>
      </c>
      <c r="P176">
        <v>0.96061940000000001</v>
      </c>
      <c r="Q176">
        <v>0.26856149999999901</v>
      </c>
      <c r="R176">
        <v>7.1309220000000006E-2</v>
      </c>
      <c r="S176">
        <v>3.4228209999999999</v>
      </c>
      <c r="T176">
        <v>-1.064622</v>
      </c>
      <c r="U176">
        <v>-2.0172120000000002E-2</v>
      </c>
      <c r="V176">
        <v>-6.0431569999999997E-2</v>
      </c>
      <c r="W176">
        <v>0.27436860000000002</v>
      </c>
      <c r="X176">
        <v>0.95972389999999996</v>
      </c>
      <c r="Y176">
        <v>1.5821120000000001E-2</v>
      </c>
      <c r="Z176">
        <v>-5.7896110000000001E-3</v>
      </c>
      <c r="AA176">
        <v>0.99985809999999997</v>
      </c>
      <c r="AB176">
        <v>39</v>
      </c>
      <c r="AC176">
        <v>0.43819999999999398</v>
      </c>
      <c r="AD176">
        <v>-0.25430619999999998</v>
      </c>
      <c r="AE176">
        <v>-9.4000000000278305E-3</v>
      </c>
      <c r="AF176">
        <v>1.07038937328872E-2</v>
      </c>
      <c r="AG176">
        <v>-0.25430619999999998</v>
      </c>
      <c r="AH176">
        <v>0.32773694593246999</v>
      </c>
      <c r="AI176">
        <v>127.79474333413</v>
      </c>
      <c r="AJ176">
        <v>88.129383878297801</v>
      </c>
      <c r="AK176">
        <v>0.41496713415477599</v>
      </c>
      <c r="AL176">
        <v>74.075610163739398</v>
      </c>
      <c r="AM176">
        <v>93.603024385060493</v>
      </c>
      <c r="AN176">
        <v>1.00000003377491</v>
      </c>
    </row>
    <row r="177" spans="1:40" x14ac:dyDescent="0.25">
      <c r="A177" t="str">
        <f>"20190304164557789"</f>
        <v>20190304164557789</v>
      </c>
      <c r="B177" t="str">
        <f>"1551689157778063"</f>
        <v>1551689157778063</v>
      </c>
      <c r="C177" t="s">
        <v>40</v>
      </c>
      <c r="D177">
        <v>4.8474349999999999</v>
      </c>
      <c r="E177">
        <v>0.55651799999999996</v>
      </c>
      <c r="F177" t="s">
        <v>41</v>
      </c>
      <c r="G177">
        <v>-437.4316</v>
      </c>
      <c r="H177">
        <v>0.85500350000000003</v>
      </c>
      <c r="I177">
        <v>367.22140000000002</v>
      </c>
      <c r="J177">
        <v>-437.81020000000001</v>
      </c>
      <c r="K177">
        <v>1.101634</v>
      </c>
      <c r="L177">
        <v>367.23149999999998</v>
      </c>
      <c r="M177">
        <v>0.99991169999999996</v>
      </c>
      <c r="N177">
        <v>-7.2823389999999997E-3</v>
      </c>
      <c r="O177">
        <v>1.111843E-2</v>
      </c>
      <c r="P177">
        <v>0.9605553</v>
      </c>
      <c r="Q177">
        <v>0.26865909999999998</v>
      </c>
      <c r="R177">
        <v>7.1806159999999994E-2</v>
      </c>
      <c r="S177">
        <v>3.422974</v>
      </c>
      <c r="T177">
        <v>-1.0673299999999999</v>
      </c>
      <c r="U177">
        <v>-2.163696E-2</v>
      </c>
      <c r="V177">
        <v>-6.1017380000000003E-2</v>
      </c>
      <c r="W177">
        <v>0.27567599999999998</v>
      </c>
      <c r="X177">
        <v>0.9593121</v>
      </c>
      <c r="Y177">
        <v>1.614987E-2</v>
      </c>
      <c r="Z177">
        <v>-5.8269380000000003E-3</v>
      </c>
      <c r="AA177">
        <v>0.99985259999999998</v>
      </c>
      <c r="AB177">
        <v>40</v>
      </c>
      <c r="AC177">
        <v>0.37860000000000499</v>
      </c>
      <c r="AD177">
        <v>-0.2466305</v>
      </c>
      <c r="AE177">
        <v>-1.00999999999658E-2</v>
      </c>
      <c r="AF177">
        <v>1.00480059142883E-2</v>
      </c>
      <c r="AG177">
        <v>-0.2466305</v>
      </c>
      <c r="AH177">
        <v>0.26576500783875601</v>
      </c>
      <c r="AI177">
        <v>132.84098077744699</v>
      </c>
      <c r="AJ177">
        <v>87.8348005302648</v>
      </c>
      <c r="AK177">
        <v>0.36271008442644298</v>
      </c>
      <c r="AL177">
        <v>73.997697289836793</v>
      </c>
      <c r="AM177">
        <v>93.639415359027794</v>
      </c>
      <c r="AN177">
        <v>1.0000000414222301</v>
      </c>
    </row>
    <row r="178" spans="1:40" x14ac:dyDescent="0.25">
      <c r="A178" t="str">
        <f>"20190304164557811"</f>
        <v>20190304164557811</v>
      </c>
      <c r="B178" t="str">
        <f>"1551689157808320"</f>
        <v>1551689157808320</v>
      </c>
      <c r="C178" t="s">
        <v>40</v>
      </c>
      <c r="D178">
        <v>4.8538050000000004</v>
      </c>
      <c r="E178">
        <v>0.55649599999999999</v>
      </c>
      <c r="F178" t="s">
        <v>41</v>
      </c>
      <c r="G178">
        <v>-437.06790000000001</v>
      </c>
      <c r="H178">
        <v>0.86972249999999995</v>
      </c>
      <c r="I178">
        <v>367.22710000000001</v>
      </c>
      <c r="J178">
        <v>-437.42860000000002</v>
      </c>
      <c r="K178">
        <v>1.0996440000000001</v>
      </c>
      <c r="L178">
        <v>367.23570000000001</v>
      </c>
      <c r="M178">
        <v>0.99990369999999995</v>
      </c>
      <c r="N178">
        <v>-8.4057769999999997E-3</v>
      </c>
      <c r="O178">
        <v>1.104959E-2</v>
      </c>
      <c r="P178">
        <v>0.96058500000000002</v>
      </c>
      <c r="Q178">
        <v>0.26854650000000002</v>
      </c>
      <c r="R178">
        <v>7.1829290000000004E-2</v>
      </c>
      <c r="S178">
        <v>3.423737</v>
      </c>
      <c r="T178">
        <v>-1.069534</v>
      </c>
      <c r="U178">
        <v>-1.9073489999999999E-2</v>
      </c>
      <c r="V178">
        <v>-6.1110480000000002E-2</v>
      </c>
      <c r="W178">
        <v>0.27663979999999999</v>
      </c>
      <c r="X178">
        <v>0.95902869999999996</v>
      </c>
      <c r="Y178">
        <v>1.5368659999999999E-2</v>
      </c>
      <c r="Z178">
        <v>-5.691336E-3</v>
      </c>
      <c r="AA178">
        <v>0.99986569999999997</v>
      </c>
      <c r="AB178">
        <v>40</v>
      </c>
      <c r="AC178">
        <v>0.36070000000000801</v>
      </c>
      <c r="AD178">
        <v>-0.2299215</v>
      </c>
      <c r="AE178">
        <v>-8.6000000000012698E-3</v>
      </c>
      <c r="AF178">
        <v>8.9505089697730598E-3</v>
      </c>
      <c r="AG178">
        <v>-0.2299215</v>
      </c>
      <c r="AH178">
        <v>0.25644409779098198</v>
      </c>
      <c r="AI178">
        <v>131.861290852537</v>
      </c>
      <c r="AJ178">
        <v>88.001052442448795</v>
      </c>
      <c r="AK178">
        <v>0.34453966834734501</v>
      </c>
      <c r="AL178">
        <v>73.940241566833194</v>
      </c>
      <c r="AM178">
        <v>93.646027606676597</v>
      </c>
      <c r="AN178">
        <v>1.0000000585667701</v>
      </c>
    </row>
    <row r="179" spans="1:40" x14ac:dyDescent="0.25">
      <c r="A179" t="str">
        <f>"20190304164557833"</f>
        <v>20190304164557833</v>
      </c>
      <c r="B179" t="str">
        <f>"1551689157827839"</f>
        <v>1551689157827839</v>
      </c>
      <c r="C179" t="s">
        <v>40</v>
      </c>
      <c r="D179">
        <v>4.8589630000000001</v>
      </c>
      <c r="E179">
        <v>0.55648920000000002</v>
      </c>
      <c r="F179" t="s">
        <v>41</v>
      </c>
      <c r="G179">
        <v>-436.7079</v>
      </c>
      <c r="H179">
        <v>0.8736891</v>
      </c>
      <c r="I179">
        <v>367.23149999999998</v>
      </c>
      <c r="J179">
        <v>-437.04169999999999</v>
      </c>
      <c r="K179">
        <v>1.097364</v>
      </c>
      <c r="L179">
        <v>367.23989999999998</v>
      </c>
      <c r="M179">
        <v>0.9998956</v>
      </c>
      <c r="N179">
        <v>-9.3953479999999995E-3</v>
      </c>
      <c r="O179">
        <v>1.0981019999999999E-2</v>
      </c>
      <c r="P179">
        <v>0.96050190000000002</v>
      </c>
      <c r="Q179">
        <v>0.2686344</v>
      </c>
      <c r="R179">
        <v>7.2606939999999995E-2</v>
      </c>
      <c r="S179">
        <v>3.4245909999999999</v>
      </c>
      <c r="T179">
        <v>-1.0737909999999999</v>
      </c>
      <c r="U179">
        <v>-1.8157960000000001E-2</v>
      </c>
      <c r="V179">
        <v>-6.1959130000000001E-2</v>
      </c>
      <c r="W179">
        <v>0.27767530000000001</v>
      </c>
      <c r="X179">
        <v>0.95867480000000005</v>
      </c>
      <c r="Y179">
        <v>1.5042389999999999E-2</v>
      </c>
      <c r="Z179">
        <v>-5.6369219999999999E-3</v>
      </c>
      <c r="AA179">
        <v>0.99987099999999995</v>
      </c>
      <c r="AB179">
        <v>40</v>
      </c>
      <c r="AC179">
        <v>0.33379999999999599</v>
      </c>
      <c r="AD179">
        <v>-0.22367489999999901</v>
      </c>
      <c r="AE179">
        <v>-8.3999999999946305E-3</v>
      </c>
      <c r="AF179">
        <v>8.3280557284565408E-3</v>
      </c>
      <c r="AG179">
        <v>-0.22367489999999901</v>
      </c>
      <c r="AH179">
        <v>0.230330841547774</v>
      </c>
      <c r="AI179">
        <v>134.14137103421001</v>
      </c>
      <c r="AJ179">
        <v>87.929262667057799</v>
      </c>
      <c r="AK179">
        <v>0.32117302808662501</v>
      </c>
      <c r="AL179">
        <v>73.878490766817094</v>
      </c>
      <c r="AM179">
        <v>93.6978818922546</v>
      </c>
      <c r="AN179">
        <v>0.99999993908774099</v>
      </c>
    </row>
    <row r="180" spans="1:40" x14ac:dyDescent="0.25">
      <c r="A180" t="str">
        <f>"20190304164557856"</f>
        <v>20190304164557856</v>
      </c>
      <c r="B180" t="str">
        <f>"1551689157848337"</f>
        <v>1551689157848337</v>
      </c>
      <c r="C180" t="s">
        <v>40</v>
      </c>
      <c r="D180">
        <v>4.8640239999999997</v>
      </c>
      <c r="E180">
        <v>0.55647709999999995</v>
      </c>
      <c r="F180" t="s">
        <v>41</v>
      </c>
      <c r="G180">
        <v>-436.34660000000002</v>
      </c>
      <c r="H180">
        <v>0.87908180000000002</v>
      </c>
      <c r="I180">
        <v>367.23649999999998</v>
      </c>
      <c r="J180">
        <v>-436.62790000000001</v>
      </c>
      <c r="K180">
        <v>1.0946480000000001</v>
      </c>
      <c r="L180">
        <v>367.24439999999998</v>
      </c>
      <c r="M180">
        <v>0.9998882</v>
      </c>
      <c r="N180">
        <v>-1.023513E-2</v>
      </c>
      <c r="O180">
        <v>1.0908350000000001E-2</v>
      </c>
      <c r="P180">
        <v>0.96024449999999995</v>
      </c>
      <c r="Q180">
        <v>0.26949709999999899</v>
      </c>
      <c r="R180">
        <v>7.2813569999999994E-2</v>
      </c>
      <c r="S180">
        <v>3.4253849999999999</v>
      </c>
      <c r="T180">
        <v>-1.0758239999999999</v>
      </c>
      <c r="U180">
        <v>-1.4831540000000001E-2</v>
      </c>
      <c r="V180">
        <v>-6.224097E-2</v>
      </c>
      <c r="W180">
        <v>0.27933950000000002</v>
      </c>
      <c r="X180">
        <v>0.95817300000000005</v>
      </c>
      <c r="Y180">
        <v>1.404712E-2</v>
      </c>
      <c r="Z180">
        <v>-5.4639850000000002E-3</v>
      </c>
      <c r="AA180">
        <v>0.99988639999999995</v>
      </c>
      <c r="AB180">
        <v>40</v>
      </c>
      <c r="AC180">
        <v>0.281299999999987</v>
      </c>
      <c r="AD180">
        <v>-0.21556620000000001</v>
      </c>
      <c r="AE180">
        <v>-7.9000000000064505E-3</v>
      </c>
      <c r="AF180">
        <v>6.9122186571365799E-3</v>
      </c>
      <c r="AG180">
        <v>-0.21556620000000001</v>
      </c>
      <c r="AH180">
        <v>0.17721176387562801</v>
      </c>
      <c r="AI180">
        <v>140.55583599664399</v>
      </c>
      <c r="AJ180">
        <v>87.766286604951205</v>
      </c>
      <c r="AK180">
        <v>0.27914257039211199</v>
      </c>
      <c r="AL180">
        <v>73.779211968019695</v>
      </c>
      <c r="AM180">
        <v>93.716595778644503</v>
      </c>
      <c r="AN180">
        <v>0.99999999626789504</v>
      </c>
    </row>
    <row r="181" spans="1:40" x14ac:dyDescent="0.25">
      <c r="A181" t="str">
        <f>"20190304164557877"</f>
        <v>20190304164557877</v>
      </c>
      <c r="B181" t="str">
        <f>"1551689157867855"</f>
        <v>1551689157867855</v>
      </c>
      <c r="C181" t="s">
        <v>40</v>
      </c>
      <c r="D181">
        <v>4.8740069999999998</v>
      </c>
      <c r="E181">
        <v>0.55650769999999905</v>
      </c>
      <c r="F181" t="s">
        <v>41</v>
      </c>
      <c r="G181">
        <v>-435.66419999999999</v>
      </c>
      <c r="H181">
        <v>0.79235509999999998</v>
      </c>
      <c r="I181">
        <v>367.24009999999998</v>
      </c>
      <c r="J181">
        <v>-436.2321</v>
      </c>
      <c r="K181">
        <v>1.0918669999999999</v>
      </c>
      <c r="L181">
        <v>367.24869999999999</v>
      </c>
      <c r="M181">
        <v>0.99988100000000002</v>
      </c>
      <c r="N181">
        <v>-1.096745E-2</v>
      </c>
      <c r="O181">
        <v>1.085355E-2</v>
      </c>
      <c r="P181">
        <v>0.96007609999999999</v>
      </c>
      <c r="Q181">
        <v>0.27018239999999999</v>
      </c>
      <c r="R181">
        <v>7.2494059999999999E-2</v>
      </c>
      <c r="S181">
        <v>3.426971</v>
      </c>
      <c r="T181">
        <v>-1.075032</v>
      </c>
      <c r="U181">
        <v>-1.428223E-2</v>
      </c>
      <c r="V181">
        <v>-6.197685E-2</v>
      </c>
      <c r="W181">
        <v>0.28072419999999998</v>
      </c>
      <c r="X181">
        <v>0.95778540000000001</v>
      </c>
      <c r="Y181">
        <v>1.384611E-2</v>
      </c>
      <c r="Z181">
        <v>-5.4070269999999896E-3</v>
      </c>
      <c r="AA181">
        <v>0.99988949999999999</v>
      </c>
      <c r="AB181">
        <v>40</v>
      </c>
      <c r="AC181">
        <v>0.56790000000000795</v>
      </c>
      <c r="AD181">
        <v>-0.299511899999999</v>
      </c>
      <c r="AE181">
        <v>-8.6000000000012698E-3</v>
      </c>
      <c r="AF181">
        <v>1.15512982444398E-2</v>
      </c>
      <c r="AG181">
        <v>-0.299511899999999</v>
      </c>
      <c r="AH181">
        <v>0.44423581286914199</v>
      </c>
      <c r="AI181">
        <v>123.97959388288599</v>
      </c>
      <c r="AJ181">
        <v>88.510494845932797</v>
      </c>
      <c r="AK181">
        <v>0.53589762844059097</v>
      </c>
      <c r="AL181">
        <v>73.696568688562493</v>
      </c>
      <c r="AM181">
        <v>93.702361817430699</v>
      </c>
      <c r="AN181">
        <v>1.00000003942736</v>
      </c>
    </row>
    <row r="182" spans="1:40" x14ac:dyDescent="0.25">
      <c r="A182" t="str">
        <f>"20190304164557899"</f>
        <v>20190304164557899</v>
      </c>
      <c r="B182" t="str">
        <f>"1551689157888352"</f>
        <v>1551689157888352</v>
      </c>
      <c r="C182" t="s">
        <v>40</v>
      </c>
      <c r="D182">
        <v>4.8767209999999999</v>
      </c>
      <c r="E182">
        <v>0.55649130000000002</v>
      </c>
      <c r="F182" t="s">
        <v>41</v>
      </c>
      <c r="G182">
        <v>-435.30220000000003</v>
      </c>
      <c r="H182">
        <v>0.80046249999999997</v>
      </c>
      <c r="I182">
        <v>367.24400000000003</v>
      </c>
      <c r="J182">
        <v>-435.85210000000001</v>
      </c>
      <c r="K182">
        <v>1.0891189999999999</v>
      </c>
      <c r="L182">
        <v>367.2527</v>
      </c>
      <c r="M182">
        <v>0.99987340000000002</v>
      </c>
      <c r="N182">
        <v>-1.1691419999999999E-2</v>
      </c>
      <c r="O182">
        <v>1.080272E-2</v>
      </c>
      <c r="P182">
        <v>0.96028159999999896</v>
      </c>
      <c r="Q182">
        <v>0.26943620000000001</v>
      </c>
      <c r="R182">
        <v>7.2551999999999894E-2</v>
      </c>
      <c r="S182">
        <v>3.4281920000000001</v>
      </c>
      <c r="T182">
        <v>-1.0742849999999999</v>
      </c>
      <c r="U182">
        <v>-1.525879E-2</v>
      </c>
      <c r="V182">
        <v>-6.2083319999999997E-2</v>
      </c>
      <c r="W182">
        <v>0.28067340000000002</v>
      </c>
      <c r="X182">
        <v>0.95779340000000002</v>
      </c>
      <c r="Y182">
        <v>1.407281E-2</v>
      </c>
      <c r="Z182">
        <v>-5.420078E-3</v>
      </c>
      <c r="AA182">
        <v>0.99988630000000001</v>
      </c>
      <c r="AB182">
        <v>40</v>
      </c>
      <c r="AC182">
        <v>0.54989999999997896</v>
      </c>
      <c r="AD182">
        <v>-0.28865649999999998</v>
      </c>
      <c r="AE182">
        <v>-8.6999999999761695E-3</v>
      </c>
      <c r="AF182">
        <v>1.14782976530103E-2</v>
      </c>
      <c r="AG182">
        <v>-0.28865649999999998</v>
      </c>
      <c r="AH182">
        <v>0.431033714122254</v>
      </c>
      <c r="AI182">
        <v>123.80020964008401</v>
      </c>
      <c r="AJ182">
        <v>88.474591200870407</v>
      </c>
      <c r="AK182">
        <v>0.51888764585340197</v>
      </c>
      <c r="AL182">
        <v>73.699601354761398</v>
      </c>
      <c r="AM182">
        <v>93.708673476593503</v>
      </c>
      <c r="AN182">
        <v>1.0000000465866701</v>
      </c>
    </row>
    <row r="183" spans="1:40" x14ac:dyDescent="0.25">
      <c r="A183" t="str">
        <f>"20190304164557921"</f>
        <v>20190304164557921</v>
      </c>
      <c r="B183" t="str">
        <f>"1551689157907875"</f>
        <v>1551689157907875</v>
      </c>
      <c r="C183" t="s">
        <v>40</v>
      </c>
      <c r="D183">
        <v>4.8945860000000003</v>
      </c>
      <c r="E183">
        <v>0.55493349999999997</v>
      </c>
      <c r="F183" t="s">
        <v>41</v>
      </c>
      <c r="G183">
        <v>-434.94310000000002</v>
      </c>
      <c r="H183">
        <v>0.80293570000000003</v>
      </c>
      <c r="I183">
        <v>367.2482</v>
      </c>
      <c r="J183">
        <v>-435.46010000000001</v>
      </c>
      <c r="K183">
        <v>1.086263</v>
      </c>
      <c r="L183">
        <v>367.25689999999997</v>
      </c>
      <c r="M183">
        <v>0.9998648</v>
      </c>
      <c r="N183">
        <v>-1.2443070000000001E-2</v>
      </c>
      <c r="O183">
        <v>1.074309E-2</v>
      </c>
      <c r="P183">
        <v>0.9608932</v>
      </c>
      <c r="Q183">
        <v>0.26724989999999998</v>
      </c>
      <c r="R183">
        <v>7.2538359999999996E-2</v>
      </c>
      <c r="S183">
        <v>3.4281009999999998</v>
      </c>
      <c r="T183">
        <v>-1.0793680000000001</v>
      </c>
      <c r="U183">
        <v>-1.5533450000000001E-2</v>
      </c>
      <c r="V183">
        <v>-6.2124560000000002E-2</v>
      </c>
      <c r="W183">
        <v>0.27921410000000002</v>
      </c>
      <c r="X183">
        <v>0.95821710000000004</v>
      </c>
      <c r="Y183">
        <v>1.4085159999999999E-2</v>
      </c>
      <c r="Z183">
        <v>-5.4267530000000003E-3</v>
      </c>
      <c r="AA183">
        <v>0.9998861</v>
      </c>
      <c r="AB183">
        <v>40</v>
      </c>
      <c r="AC183">
        <v>0.51699999999999502</v>
      </c>
      <c r="AD183">
        <v>-0.283327299999999</v>
      </c>
      <c r="AE183">
        <v>-8.6999999999761695E-3</v>
      </c>
      <c r="AF183">
        <v>1.09626481523467E-2</v>
      </c>
      <c r="AG183">
        <v>-0.283327299999999</v>
      </c>
      <c r="AH183">
        <v>0.397523166194856</v>
      </c>
      <c r="AI183">
        <v>125.46837777736</v>
      </c>
      <c r="AJ183">
        <v>88.420332780175201</v>
      </c>
      <c r="AK183">
        <v>0.48828189219075602</v>
      </c>
      <c r="AL183">
        <v>73.786694527405601</v>
      </c>
      <c r="AM183">
        <v>93.709493762075297</v>
      </c>
      <c r="AN183">
        <v>0.99999999266320605</v>
      </c>
    </row>
    <row r="184" spans="1:40" x14ac:dyDescent="0.25">
      <c r="A184" t="str">
        <f>"20190304164557945"</f>
        <v>20190304164557945</v>
      </c>
      <c r="B184" t="str">
        <f>"1551689157938128"</f>
        <v>1551689157938128</v>
      </c>
      <c r="C184" t="s">
        <v>40</v>
      </c>
      <c r="D184">
        <v>5.0541499999999999</v>
      </c>
      <c r="E184">
        <v>0.5556951</v>
      </c>
      <c r="F184" t="s">
        <v>41</v>
      </c>
      <c r="G184">
        <v>-434.59339999999997</v>
      </c>
      <c r="H184">
        <v>0.78447990000000001</v>
      </c>
      <c r="I184">
        <v>367.25900000000001</v>
      </c>
      <c r="J184">
        <v>-435.01979999999998</v>
      </c>
      <c r="K184">
        <v>1.083129</v>
      </c>
      <c r="L184">
        <v>367.26150000000001</v>
      </c>
      <c r="M184">
        <v>0.99985539999999995</v>
      </c>
      <c r="N184">
        <v>-1.3249789999999999E-2</v>
      </c>
      <c r="O184">
        <v>1.0665890000000001E-2</v>
      </c>
      <c r="P184">
        <v>0.96142459999999996</v>
      </c>
      <c r="Q184">
        <v>0.26534170000000001</v>
      </c>
      <c r="R184">
        <v>7.2504799999999994E-2</v>
      </c>
      <c r="S184">
        <v>3.4560240000000002</v>
      </c>
      <c r="T184">
        <v>-1.2033720000000001</v>
      </c>
      <c r="U184">
        <v>1.010132E-2</v>
      </c>
      <c r="V184">
        <v>-6.2164030000000002E-2</v>
      </c>
      <c r="W184">
        <v>0.27808480000000002</v>
      </c>
      <c r="X184">
        <v>0.95854289999999998</v>
      </c>
      <c r="Y184">
        <v>6.7495330000000003E-3</v>
      </c>
      <c r="Z184">
        <v>-4.657596E-3</v>
      </c>
      <c r="AA184">
        <v>0.99996640000000003</v>
      </c>
      <c r="AB184">
        <v>40</v>
      </c>
      <c r="AC184">
        <v>0.426400000000001</v>
      </c>
      <c r="AD184">
        <v>-0.2986491</v>
      </c>
      <c r="AE184">
        <v>-2.4999999999977202E-3</v>
      </c>
      <c r="AF184">
        <v>4.7286213717684699E-3</v>
      </c>
      <c r="AG184">
        <v>-0.2986491</v>
      </c>
      <c r="AH184">
        <v>0.28603694150495701</v>
      </c>
      <c r="AI184">
        <v>136.23181498402101</v>
      </c>
      <c r="AJ184">
        <v>89.052900757320103</v>
      </c>
      <c r="AK184">
        <v>0.41355867382561001</v>
      </c>
      <c r="AL184">
        <v>73.854067325341205</v>
      </c>
      <c r="AM184">
        <v>93.710585855533594</v>
      </c>
      <c r="AN184">
        <v>1.0000000068786401</v>
      </c>
    </row>
    <row r="185" spans="1:40" x14ac:dyDescent="0.25">
      <c r="A185" t="str">
        <f>"20190304164557968"</f>
        <v>20190304164557968</v>
      </c>
      <c r="B185" t="str">
        <f>"1551689157957648"</f>
        <v>1551689157957648</v>
      </c>
      <c r="C185" t="s">
        <v>40</v>
      </c>
      <c r="D185">
        <v>4.9089619999999998</v>
      </c>
      <c r="E185">
        <v>0.55588419999999905</v>
      </c>
      <c r="F185" t="s">
        <v>41</v>
      </c>
      <c r="G185">
        <v>-434.22730000000001</v>
      </c>
      <c r="H185">
        <v>0.80818710000000005</v>
      </c>
      <c r="I185">
        <v>367.26170000000002</v>
      </c>
      <c r="J185">
        <v>-434.62180000000001</v>
      </c>
      <c r="K185">
        <v>1.080443</v>
      </c>
      <c r="L185">
        <v>367.26569999999998</v>
      </c>
      <c r="M185">
        <v>0.99984729999999999</v>
      </c>
      <c r="N185">
        <v>-1.390944E-2</v>
      </c>
      <c r="O185">
        <v>1.0592799999999999E-2</v>
      </c>
      <c r="P185">
        <v>0.96140910000000002</v>
      </c>
      <c r="Q185">
        <v>0.26536769999999998</v>
      </c>
      <c r="R185">
        <v>7.2615310000000002E-2</v>
      </c>
      <c r="S185">
        <v>3.4505919999999999</v>
      </c>
      <c r="T185">
        <v>-1.1969540000000001</v>
      </c>
      <c r="U185">
        <v>1.6784669999999999E-3</v>
      </c>
      <c r="V185">
        <v>-6.2348210000000001E-2</v>
      </c>
      <c r="W185">
        <v>0.2787425</v>
      </c>
      <c r="X185">
        <v>0.95833990000000002</v>
      </c>
      <c r="Y185">
        <v>8.9891329999999998E-3</v>
      </c>
      <c r="Z185">
        <v>-5.0059240000000001E-3</v>
      </c>
      <c r="AA185">
        <v>0.99994709999999998</v>
      </c>
      <c r="AB185">
        <v>40</v>
      </c>
      <c r="AC185">
        <v>0.39449999999999302</v>
      </c>
      <c r="AD185">
        <v>-0.2722559</v>
      </c>
      <c r="AE185">
        <v>-3.9999999999622499E-3</v>
      </c>
      <c r="AF185">
        <v>5.5404941910247004E-3</v>
      </c>
      <c r="AG185">
        <v>-0.2722559</v>
      </c>
      <c r="AH185">
        <v>0.26719124035217701</v>
      </c>
      <c r="AI185">
        <v>135.53175533801399</v>
      </c>
      <c r="AJ185">
        <v>88.812081392281399</v>
      </c>
      <c r="AK185">
        <v>0.38150377597295898</v>
      </c>
      <c r="AL185">
        <v>73.814832854886106</v>
      </c>
      <c r="AM185">
        <v>93.722334853822602</v>
      </c>
      <c r="AN185">
        <v>1.00000002226423</v>
      </c>
    </row>
    <row r="186" spans="1:40" x14ac:dyDescent="0.25">
      <c r="A186" t="str">
        <f>"20190304164557988"</f>
        <v>20190304164557988</v>
      </c>
      <c r="B186" t="str">
        <f>"1551689157978144"</f>
        <v>1551689157978144</v>
      </c>
      <c r="C186" t="s">
        <v>40</v>
      </c>
      <c r="D186">
        <v>4.939527</v>
      </c>
      <c r="E186">
        <v>0.55614479999999999</v>
      </c>
      <c r="F186" t="s">
        <v>41</v>
      </c>
      <c r="G186">
        <v>-433.86709999999999</v>
      </c>
      <c r="H186">
        <v>0.8193492</v>
      </c>
      <c r="I186">
        <v>367.26499999999999</v>
      </c>
      <c r="J186">
        <v>-434.24540000000002</v>
      </c>
      <c r="K186">
        <v>1.078052</v>
      </c>
      <c r="L186">
        <v>367.26960000000003</v>
      </c>
      <c r="M186">
        <v>0.99984050000000002</v>
      </c>
      <c r="N186">
        <v>-1.4434010000000001E-2</v>
      </c>
      <c r="O186">
        <v>1.0525299999999901E-2</v>
      </c>
      <c r="P186">
        <v>0.96088010000000001</v>
      </c>
      <c r="Q186">
        <v>0.26710410000000001</v>
      </c>
      <c r="R186">
        <v>7.3247080000000006E-2</v>
      </c>
      <c r="S186">
        <v>3.449951</v>
      </c>
      <c r="T186">
        <v>-1.1935469999999999</v>
      </c>
      <c r="U186">
        <v>-6.408691E-4</v>
      </c>
      <c r="V186">
        <v>-6.3051689999999994E-2</v>
      </c>
      <c r="W186">
        <v>0.28097309999999998</v>
      </c>
      <c r="X186">
        <v>0.9576422</v>
      </c>
      <c r="Y186">
        <v>9.5690589999999996E-3</v>
      </c>
      <c r="Z186">
        <v>-5.0701740000000002E-3</v>
      </c>
      <c r="AA186">
        <v>0.99994130000000003</v>
      </c>
      <c r="AB186">
        <v>40</v>
      </c>
      <c r="AC186">
        <v>0.37830000000002401</v>
      </c>
      <c r="AD186">
        <v>-0.25870279999999901</v>
      </c>
      <c r="AE186">
        <v>-4.6000000000390104E-3</v>
      </c>
      <c r="AF186">
        <v>5.8476002969917104E-3</v>
      </c>
      <c r="AG186">
        <v>-0.25870279999999901</v>
      </c>
      <c r="AH186">
        <v>0.25772223643821901</v>
      </c>
      <c r="AI186">
        <v>135.101418158634</v>
      </c>
      <c r="AJ186">
        <v>88.700207849325494</v>
      </c>
      <c r="AK186">
        <v>0.36521512059577999</v>
      </c>
      <c r="AL186">
        <v>73.681708912783293</v>
      </c>
      <c r="AM186">
        <v>93.766948751180095</v>
      </c>
      <c r="AN186">
        <v>0.99999999087815294</v>
      </c>
    </row>
    <row r="187" spans="1:40" x14ac:dyDescent="0.25">
      <c r="A187" t="str">
        <f>"20190304164558010"</f>
        <v>20190304164558010</v>
      </c>
      <c r="B187" t="str">
        <f>"1551689157997667"</f>
        <v>1551689157997667</v>
      </c>
      <c r="C187" t="s">
        <v>40</v>
      </c>
      <c r="D187">
        <v>5.1181539999999996</v>
      </c>
      <c r="E187">
        <v>0.5561931</v>
      </c>
      <c r="F187" t="s">
        <v>41</v>
      </c>
      <c r="G187">
        <v>-433.50920000000002</v>
      </c>
      <c r="H187">
        <v>0.82634619999999903</v>
      </c>
      <c r="I187">
        <v>367.26900000000001</v>
      </c>
      <c r="J187">
        <v>-433.87599999999998</v>
      </c>
      <c r="K187">
        <v>1.075855</v>
      </c>
      <c r="L187">
        <v>367.27339999999998</v>
      </c>
      <c r="M187">
        <v>0.99983509999999998</v>
      </c>
      <c r="N187">
        <v>-1.483656E-2</v>
      </c>
      <c r="O187">
        <v>1.047156E-2</v>
      </c>
      <c r="P187">
        <v>0.96063670000000001</v>
      </c>
      <c r="Q187">
        <v>0.26776470000000002</v>
      </c>
      <c r="R187">
        <v>7.4023050000000007E-2</v>
      </c>
      <c r="S187">
        <v>3.4501339999999998</v>
      </c>
      <c r="T187">
        <v>-1.1795659999999999</v>
      </c>
      <c r="U187">
        <v>-1.525879E-3</v>
      </c>
      <c r="V187">
        <v>-6.3879270000000002E-2</v>
      </c>
      <c r="W187">
        <v>0.2820164</v>
      </c>
      <c r="X187">
        <v>0.95728060000000004</v>
      </c>
      <c r="Y187">
        <v>9.788616E-3</v>
      </c>
      <c r="Z187">
        <v>-5.0316900000000001E-3</v>
      </c>
      <c r="AA187">
        <v>0.99993940000000003</v>
      </c>
      <c r="AB187">
        <v>40</v>
      </c>
      <c r="AC187">
        <v>0.366799999999955</v>
      </c>
      <c r="AD187">
        <v>-0.2495088</v>
      </c>
      <c r="AE187">
        <v>-4.3999999999755303E-3</v>
      </c>
      <c r="AF187">
        <v>5.6344043783476501E-3</v>
      </c>
      <c r="AG187">
        <v>-0.2495088</v>
      </c>
      <c r="AH187">
        <v>0.25073280133541898</v>
      </c>
      <c r="AI187">
        <v>134.85257641867199</v>
      </c>
      <c r="AJ187">
        <v>88.712680330400204</v>
      </c>
      <c r="AK187">
        <v>0.35377015908022202</v>
      </c>
      <c r="AL187">
        <v>73.619412954792097</v>
      </c>
      <c r="AM187">
        <v>93.817683655775397</v>
      </c>
      <c r="AN187">
        <v>0.99999997907052596</v>
      </c>
    </row>
    <row r="188" spans="1:40" x14ac:dyDescent="0.25">
      <c r="A188" t="str">
        <f>"20190304164558033"</f>
        <v>20190304164558033</v>
      </c>
      <c r="B188" t="str">
        <f>"1551689158027920"</f>
        <v>1551689158027920</v>
      </c>
      <c r="C188" t="s">
        <v>40</v>
      </c>
      <c r="D188">
        <v>4.9692499999999997</v>
      </c>
      <c r="E188">
        <v>0.55609069999999905</v>
      </c>
      <c r="F188" t="s">
        <v>41</v>
      </c>
      <c r="G188">
        <v>-433.15350000000001</v>
      </c>
      <c r="H188">
        <v>0.829623</v>
      </c>
      <c r="I188">
        <v>367.27280000000002</v>
      </c>
      <c r="J188">
        <v>-433.46789999999999</v>
      </c>
      <c r="K188">
        <v>1.0736250000000001</v>
      </c>
      <c r="L188">
        <v>367.27760000000001</v>
      </c>
      <c r="M188">
        <v>0.99983080000000002</v>
      </c>
      <c r="N188">
        <v>-1.5165649999999999E-2</v>
      </c>
      <c r="O188">
        <v>1.0415900000000001E-2</v>
      </c>
      <c r="P188">
        <v>0.96097180000000004</v>
      </c>
      <c r="Q188">
        <v>0.26646189999999997</v>
      </c>
      <c r="R188">
        <v>7.4371989999999999E-2</v>
      </c>
      <c r="S188">
        <v>3.4507750000000001</v>
      </c>
      <c r="T188">
        <v>-1.1758850000000001</v>
      </c>
      <c r="U188">
        <v>-1.190186E-3</v>
      </c>
      <c r="V188">
        <v>-6.4280180000000006E-2</v>
      </c>
      <c r="W188">
        <v>0.28103359999999999</v>
      </c>
      <c r="X188">
        <v>0.95754280000000003</v>
      </c>
      <c r="Y188">
        <v>9.6542989999999999E-3</v>
      </c>
      <c r="Z188">
        <v>-4.9730369999999996E-3</v>
      </c>
      <c r="AA188">
        <v>0.99994110000000003</v>
      </c>
      <c r="AB188">
        <v>40</v>
      </c>
      <c r="AC188">
        <v>0.31439999999997698</v>
      </c>
      <c r="AD188">
        <v>-0.244002</v>
      </c>
      <c r="AE188">
        <v>-4.7999999999888097E-3</v>
      </c>
      <c r="AF188">
        <v>5.0399554583149698E-3</v>
      </c>
      <c r="AG188">
        <v>-0.244002</v>
      </c>
      <c r="AH188">
        <v>0.196191769430625</v>
      </c>
      <c r="AI188">
        <v>141.189469138427</v>
      </c>
      <c r="AJ188">
        <v>88.528456717140699</v>
      </c>
      <c r="AK188">
        <v>0.31313509472325401</v>
      </c>
      <c r="AL188">
        <v>73.678097467893295</v>
      </c>
      <c r="AM188">
        <v>93.840523366128807</v>
      </c>
      <c r="AN188">
        <v>1.0000000198508101</v>
      </c>
    </row>
    <row r="189" spans="1:40" x14ac:dyDescent="0.25">
      <c r="A189" t="str">
        <f>"20190304164558056"</f>
        <v>20190304164558056</v>
      </c>
      <c r="B189" t="str">
        <f>"1551689158047440"</f>
        <v>1551689158047440</v>
      </c>
      <c r="C189" t="s">
        <v>40</v>
      </c>
      <c r="D189">
        <v>4.9877219999999998</v>
      </c>
      <c r="E189">
        <v>0.55593440000000005</v>
      </c>
      <c r="F189" t="s">
        <v>41</v>
      </c>
      <c r="G189">
        <v>-432.79419999999999</v>
      </c>
      <c r="H189">
        <v>0.842471999999999</v>
      </c>
      <c r="I189">
        <v>367.27789999999999</v>
      </c>
      <c r="J189">
        <v>-433.06150000000002</v>
      </c>
      <c r="K189">
        <v>1.0716570000000001</v>
      </c>
      <c r="L189">
        <v>367.28179999999998</v>
      </c>
      <c r="M189">
        <v>0.99982800000000005</v>
      </c>
      <c r="N189">
        <v>-1.538935E-2</v>
      </c>
      <c r="O189">
        <v>1.03555E-2</v>
      </c>
      <c r="P189">
        <v>0.9613621</v>
      </c>
      <c r="Q189">
        <v>0.26499539999999999</v>
      </c>
      <c r="R189">
        <v>7.4568960000000004E-2</v>
      </c>
      <c r="S189">
        <v>3.449951</v>
      </c>
      <c r="T189">
        <v>-1.1837599999999999</v>
      </c>
      <c r="U189">
        <v>1.953125E-3</v>
      </c>
      <c r="V189">
        <v>-6.4537540000000004E-2</v>
      </c>
      <c r="W189">
        <v>0.27978639999999999</v>
      </c>
      <c r="X189">
        <v>0.95789060000000004</v>
      </c>
      <c r="Y189">
        <v>8.7268620000000002E-3</v>
      </c>
      <c r="Z189">
        <v>-4.8238370000000001E-3</v>
      </c>
      <c r="AA189">
        <v>0.99995029999999996</v>
      </c>
      <c r="AB189">
        <v>40</v>
      </c>
      <c r="AC189">
        <v>0.26730000000003401</v>
      </c>
      <c r="AD189">
        <v>-0.229185</v>
      </c>
      <c r="AE189">
        <v>-3.8999999999873498E-3</v>
      </c>
      <c r="AF189">
        <v>3.8433304207755102E-3</v>
      </c>
      <c r="AG189">
        <v>-0.229185</v>
      </c>
      <c r="AH189">
        <v>0.15403265668358401</v>
      </c>
      <c r="AI189">
        <v>146.08714183783599</v>
      </c>
      <c r="AJ189">
        <v>88.570686658244</v>
      </c>
      <c r="AK189">
        <v>0.27616407213597899</v>
      </c>
      <c r="AL189">
        <v>73.752542565143699</v>
      </c>
      <c r="AM189">
        <v>93.854457665205103</v>
      </c>
      <c r="AN189">
        <v>0.99999996263128499</v>
      </c>
    </row>
    <row r="190" spans="1:40" x14ac:dyDescent="0.25">
      <c r="A190" t="str">
        <f>"20190304164558079"</f>
        <v>20190304164558079</v>
      </c>
      <c r="B190" t="str">
        <f>"1551689158067939"</f>
        <v>1551689158067939</v>
      </c>
      <c r="C190" t="s">
        <v>40</v>
      </c>
      <c r="D190">
        <v>5.1317159999999999</v>
      </c>
      <c r="E190">
        <v>0.55583359999999904</v>
      </c>
      <c r="F190" t="s">
        <v>41</v>
      </c>
      <c r="G190">
        <v>-432.12810000000002</v>
      </c>
      <c r="H190">
        <v>0.74874750000000001</v>
      </c>
      <c r="I190">
        <v>367.28280000000001</v>
      </c>
      <c r="J190">
        <v>-432.65870000000001</v>
      </c>
      <c r="K190">
        <v>1.0699449999999999</v>
      </c>
      <c r="L190">
        <v>367.28590000000003</v>
      </c>
      <c r="M190">
        <v>0.99982629999999995</v>
      </c>
      <c r="N190">
        <v>-1.553916E-2</v>
      </c>
      <c r="O190">
        <v>1.029363E-2</v>
      </c>
      <c r="P190">
        <v>0.96138109999999999</v>
      </c>
      <c r="Q190">
        <v>0.26482290000000003</v>
      </c>
      <c r="R190">
        <v>7.493532E-2</v>
      </c>
      <c r="S190">
        <v>3.4491269999999998</v>
      </c>
      <c r="T190">
        <v>-1.193149</v>
      </c>
      <c r="U190">
        <v>4.7607420000000001E-3</v>
      </c>
      <c r="V190">
        <v>-6.4971580000000001E-2</v>
      </c>
      <c r="W190">
        <v>0.27975609999999901</v>
      </c>
      <c r="X190">
        <v>0.95787009999999995</v>
      </c>
      <c r="Y190">
        <v>7.8883040000000005E-3</v>
      </c>
      <c r="Z190">
        <v>-4.6935040000000003E-3</v>
      </c>
      <c r="AA190">
        <v>0.99995789999999996</v>
      </c>
      <c r="AB190">
        <v>39</v>
      </c>
      <c r="AC190">
        <v>0.53059999999999197</v>
      </c>
      <c r="AD190">
        <v>-0.32119750000000002</v>
      </c>
      <c r="AE190">
        <v>-3.1000000000176399E-3</v>
      </c>
      <c r="AF190">
        <v>6.2661637784338399E-3</v>
      </c>
      <c r="AG190">
        <v>-0.32119750000000002</v>
      </c>
      <c r="AH190">
        <v>0.38826625978690998</v>
      </c>
      <c r="AI190">
        <v>129.595960424629</v>
      </c>
      <c r="AJ190">
        <v>89.0753933330286</v>
      </c>
      <c r="AK190">
        <v>0.50394224600013804</v>
      </c>
      <c r="AL190">
        <v>73.754350711643298</v>
      </c>
      <c r="AM190">
        <v>93.880384251942203</v>
      </c>
      <c r="AN190">
        <v>0.99999995508445705</v>
      </c>
    </row>
    <row r="191" spans="1:40" x14ac:dyDescent="0.25">
      <c r="A191" t="str">
        <f>"20190304164558100"</f>
        <v>20190304164558100</v>
      </c>
      <c r="B191" t="str">
        <f>"1551689158087459"</f>
        <v>1551689158087459</v>
      </c>
      <c r="C191" t="s">
        <v>40</v>
      </c>
      <c r="D191">
        <v>5.0038410000000004</v>
      </c>
      <c r="E191">
        <v>0.55575750000000002</v>
      </c>
      <c r="F191" t="s">
        <v>41</v>
      </c>
      <c r="G191">
        <v>-431.7706</v>
      </c>
      <c r="H191">
        <v>0.76191399999999998</v>
      </c>
      <c r="I191">
        <v>367.28730000000002</v>
      </c>
      <c r="J191">
        <v>-432.2996</v>
      </c>
      <c r="K191">
        <v>1.0686</v>
      </c>
      <c r="L191">
        <v>367.28960000000001</v>
      </c>
      <c r="M191">
        <v>0.99982550000000003</v>
      </c>
      <c r="N191">
        <v>-1.562819E-2</v>
      </c>
      <c r="O191">
        <v>1.024196E-2</v>
      </c>
      <c r="P191">
        <v>0.96107290000000001</v>
      </c>
      <c r="Q191">
        <v>0.26601520000000001</v>
      </c>
      <c r="R191">
        <v>7.4664339999999996E-2</v>
      </c>
      <c r="S191">
        <v>3.449554</v>
      </c>
      <c r="T191">
        <v>-1.1964939999999999</v>
      </c>
      <c r="U191">
        <v>6.9885249999999998E-3</v>
      </c>
      <c r="V191">
        <v>-6.4759730000000001E-2</v>
      </c>
      <c r="W191">
        <v>0.28102670000000002</v>
      </c>
      <c r="X191">
        <v>0.95751249999999999</v>
      </c>
      <c r="Y191">
        <v>7.2288930000000001E-3</v>
      </c>
      <c r="Z191">
        <v>-4.5720730000000003E-3</v>
      </c>
      <c r="AA191">
        <v>0.99996339999999995</v>
      </c>
      <c r="AB191">
        <v>39</v>
      </c>
      <c r="AC191">
        <v>0.52899999999999603</v>
      </c>
      <c r="AD191">
        <v>-0.30668600000000001</v>
      </c>
      <c r="AE191">
        <v>-2.29999999999108E-3</v>
      </c>
      <c r="AF191">
        <v>5.7769165619617896E-3</v>
      </c>
      <c r="AG191">
        <v>-0.30668600000000001</v>
      </c>
      <c r="AH191">
        <v>0.39589008146419602</v>
      </c>
      <c r="AI191">
        <v>127.76108244100099</v>
      </c>
      <c r="AJ191">
        <v>89.163986512944305</v>
      </c>
      <c r="AK191">
        <v>0.50081796289938696</v>
      </c>
      <c r="AL191">
        <v>73.678509215001796</v>
      </c>
      <c r="AM191">
        <v>93.869210218385902</v>
      </c>
      <c r="AN191">
        <v>1.0000000081994</v>
      </c>
    </row>
    <row r="192" spans="1:40" x14ac:dyDescent="0.25">
      <c r="A192" t="str">
        <f>"20190304164558123"</f>
        <v>20190304164558123</v>
      </c>
      <c r="B192" t="str">
        <f>"1551689158117712"</f>
        <v>1551689158117712</v>
      </c>
      <c r="C192" t="s">
        <v>40</v>
      </c>
      <c r="D192">
        <v>5.122312</v>
      </c>
      <c r="E192">
        <v>0.55565540000000002</v>
      </c>
      <c r="F192" t="s">
        <v>41</v>
      </c>
      <c r="G192">
        <v>-431.41840000000002</v>
      </c>
      <c r="H192">
        <v>0.76368150000000001</v>
      </c>
      <c r="I192">
        <v>367.29059999999998</v>
      </c>
      <c r="J192">
        <v>-431.87869999999998</v>
      </c>
      <c r="K192">
        <v>1.0672219999999999</v>
      </c>
      <c r="L192">
        <v>367.29379999999998</v>
      </c>
      <c r="M192">
        <v>0.99982510000000002</v>
      </c>
      <c r="N192">
        <v>-1.568895E-2</v>
      </c>
      <c r="O192">
        <v>1.019368E-2</v>
      </c>
      <c r="P192">
        <v>0.96096689999999996</v>
      </c>
      <c r="Q192">
        <v>0.266349</v>
      </c>
      <c r="R192">
        <v>7.4839370000000002E-2</v>
      </c>
      <c r="S192">
        <v>3.4515690000000001</v>
      </c>
      <c r="T192">
        <v>-1.1942410000000001</v>
      </c>
      <c r="U192">
        <v>6.286621E-3</v>
      </c>
      <c r="V192">
        <v>-6.4988530000000003E-2</v>
      </c>
      <c r="W192">
        <v>0.28141529999999998</v>
      </c>
      <c r="X192">
        <v>0.95738290000000004</v>
      </c>
      <c r="Y192">
        <v>7.383237E-3</v>
      </c>
      <c r="Z192">
        <v>-4.5724839999999999E-3</v>
      </c>
      <c r="AA192">
        <v>0.99996229999999997</v>
      </c>
      <c r="AB192">
        <v>39</v>
      </c>
      <c r="AC192">
        <v>0.46029999999996102</v>
      </c>
      <c r="AD192">
        <v>-0.30354049999999899</v>
      </c>
      <c r="AE192">
        <v>-3.19999999999254E-3</v>
      </c>
      <c r="AF192">
        <v>5.5006528590560103E-3</v>
      </c>
      <c r="AG192">
        <v>-0.30354049999999899</v>
      </c>
      <c r="AH192">
        <v>0.32076271704481901</v>
      </c>
      <c r="AI192">
        <v>133.41561678836999</v>
      </c>
      <c r="AJ192">
        <v>89.017550083162405</v>
      </c>
      <c r="AK192">
        <v>0.44165123453705002</v>
      </c>
      <c r="AL192">
        <v>73.655308413495504</v>
      </c>
      <c r="AM192">
        <v>93.883362635358395</v>
      </c>
      <c r="AN192">
        <v>1.0000000486590199</v>
      </c>
    </row>
    <row r="193" spans="1:40" x14ac:dyDescent="0.25">
      <c r="A193" t="str">
        <f>"20190304164558146"</f>
        <v>20190304164558146</v>
      </c>
      <c r="B193" t="str">
        <f>"1551689158138208"</f>
        <v>1551689158138208</v>
      </c>
      <c r="C193" t="s">
        <v>40</v>
      </c>
      <c r="D193">
        <v>5.1388669999999896</v>
      </c>
      <c r="E193">
        <v>0.55562609999999901</v>
      </c>
      <c r="F193" t="s">
        <v>41</v>
      </c>
      <c r="G193">
        <v>-431.0591</v>
      </c>
      <c r="H193">
        <v>0.783462199999999</v>
      </c>
      <c r="I193">
        <v>367.2955</v>
      </c>
      <c r="J193">
        <v>-431.46660000000003</v>
      </c>
      <c r="K193">
        <v>1.0660700000000001</v>
      </c>
      <c r="L193">
        <v>367.298</v>
      </c>
      <c r="M193">
        <v>0.99982490000000002</v>
      </c>
      <c r="N193">
        <v>-1.5715260000000002E-2</v>
      </c>
      <c r="O193">
        <v>1.016248E-2</v>
      </c>
      <c r="P193">
        <v>0.96091409999999999</v>
      </c>
      <c r="Q193">
        <v>0.26663880000000001</v>
      </c>
      <c r="R193">
        <v>7.4486789999999997E-2</v>
      </c>
      <c r="S193">
        <v>3.4524539999999999</v>
      </c>
      <c r="T193">
        <v>-1.1952130000000001</v>
      </c>
      <c r="U193">
        <v>8.6669920000000001E-3</v>
      </c>
      <c r="V193">
        <v>-6.4672820000000006E-2</v>
      </c>
      <c r="W193">
        <v>0.28172819999999998</v>
      </c>
      <c r="X193">
        <v>0.95731219999999995</v>
      </c>
      <c r="Y193">
        <v>6.7050570000000004E-3</v>
      </c>
      <c r="Z193">
        <v>-4.4452090000000003E-3</v>
      </c>
      <c r="AA193">
        <v>0.99996759999999996</v>
      </c>
      <c r="AB193">
        <v>39</v>
      </c>
      <c r="AC193">
        <v>0.40750000000002701</v>
      </c>
      <c r="AD193">
        <v>-0.28260780000000002</v>
      </c>
      <c r="AE193">
        <v>-2.4999999999977202E-3</v>
      </c>
      <c r="AF193">
        <v>4.4846947817748298E-3</v>
      </c>
      <c r="AG193">
        <v>-0.28260780000000002</v>
      </c>
      <c r="AH193">
        <v>0.275130504873903</v>
      </c>
      <c r="AI193">
        <v>135.76428346632699</v>
      </c>
      <c r="AJ193">
        <v>89.066147427929295</v>
      </c>
      <c r="AK193">
        <v>0.394441473250842</v>
      </c>
      <c r="AL193">
        <v>73.636623808386702</v>
      </c>
      <c r="AM193">
        <v>93.864839361267201</v>
      </c>
      <c r="AN193">
        <v>1.0000000002954099</v>
      </c>
    </row>
    <row r="194" spans="1:40" x14ac:dyDescent="0.25">
      <c r="A194" t="str">
        <f>"20190304164558169"</f>
        <v>20190304164558169</v>
      </c>
      <c r="B194" t="str">
        <f>"1551689158157727"</f>
        <v>1551689158157727</v>
      </c>
      <c r="C194" t="s">
        <v>40</v>
      </c>
      <c r="D194">
        <v>5.0462619999999996</v>
      </c>
      <c r="E194">
        <v>0.55356260000000002</v>
      </c>
      <c r="F194" t="s">
        <v>41</v>
      </c>
      <c r="G194">
        <v>-430.70100000000002</v>
      </c>
      <c r="H194">
        <v>0.80097969999999996</v>
      </c>
      <c r="I194">
        <v>367.2996</v>
      </c>
      <c r="J194">
        <v>-431.07920000000001</v>
      </c>
      <c r="K194">
        <v>1.065145</v>
      </c>
      <c r="L194">
        <v>367.30189999999999</v>
      </c>
      <c r="M194">
        <v>0.99982519999999997</v>
      </c>
      <c r="N194">
        <v>-1.5717169999999999E-2</v>
      </c>
      <c r="O194">
        <v>1.014404E-2</v>
      </c>
      <c r="P194">
        <v>0.960924</v>
      </c>
      <c r="Q194">
        <v>0.26681539999999998</v>
      </c>
      <c r="R194">
        <v>7.3724020000000001E-2</v>
      </c>
      <c r="S194">
        <v>3.4531860000000001</v>
      </c>
      <c r="T194">
        <v>-1.195684</v>
      </c>
      <c r="U194">
        <v>8.178711E-3</v>
      </c>
      <c r="V194">
        <v>-6.3933939999999995E-2</v>
      </c>
      <c r="W194">
        <v>0.28190520000000002</v>
      </c>
      <c r="X194">
        <v>0.95730970000000004</v>
      </c>
      <c r="Y194">
        <v>6.8220429999999999E-3</v>
      </c>
      <c r="Z194">
        <v>-4.4606849999999998E-3</v>
      </c>
      <c r="AA194">
        <v>0.99996680000000004</v>
      </c>
      <c r="AB194">
        <v>39</v>
      </c>
      <c r="AC194">
        <v>0.378200000000049</v>
      </c>
      <c r="AD194">
        <v>-0.26416529999999999</v>
      </c>
      <c r="AE194">
        <v>-2.29999999999108E-3</v>
      </c>
      <c r="AF194">
        <v>4.1246109920158097E-3</v>
      </c>
      <c r="AG194">
        <v>-0.26416529999999999</v>
      </c>
      <c r="AH194">
        <v>0.254162351652299</v>
      </c>
      <c r="AI194">
        <v>136.101816597469</v>
      </c>
      <c r="AJ194">
        <v>89.070271194670397</v>
      </c>
      <c r="AK194">
        <v>0.366604445059457</v>
      </c>
      <c r="AL194">
        <v>73.626053637057893</v>
      </c>
      <c r="AM194">
        <v>93.820825478099593</v>
      </c>
      <c r="AN194">
        <v>0.999999976092526</v>
      </c>
    </row>
    <row r="195" spans="1:40" x14ac:dyDescent="0.25">
      <c r="A195" t="str">
        <f>"20190304164558190"</f>
        <v>20190304164558190</v>
      </c>
      <c r="B195" t="str">
        <f>"1551689158178224"</f>
        <v>1551689158178224</v>
      </c>
      <c r="C195" t="s">
        <v>40</v>
      </c>
      <c r="D195">
        <v>5.0542389999999999</v>
      </c>
      <c r="E195">
        <v>0.55317309999999997</v>
      </c>
      <c r="F195" t="s">
        <v>41</v>
      </c>
      <c r="G195">
        <v>-430.34930000000003</v>
      </c>
      <c r="H195">
        <v>0.80421589999999998</v>
      </c>
      <c r="I195">
        <v>367.30779999999999</v>
      </c>
      <c r="J195">
        <v>-430.7072</v>
      </c>
      <c r="K195">
        <v>1.0643860000000001</v>
      </c>
      <c r="L195">
        <v>367.30560000000003</v>
      </c>
      <c r="M195">
        <v>0.99982539999999998</v>
      </c>
      <c r="N195">
        <v>-1.5703499999999999E-2</v>
      </c>
      <c r="O195">
        <v>1.013352E-2</v>
      </c>
      <c r="P195">
        <v>0.96090759999999997</v>
      </c>
      <c r="Q195">
        <v>0.26709050000000001</v>
      </c>
      <c r="R195">
        <v>7.2933990000000004E-2</v>
      </c>
      <c r="S195">
        <v>3.46347</v>
      </c>
      <c r="T195">
        <v>-1.2380310000000001</v>
      </c>
      <c r="U195">
        <v>2.9693600000000001E-2</v>
      </c>
      <c r="V195">
        <v>-6.3159720000000003E-2</v>
      </c>
      <c r="W195">
        <v>0.2821651</v>
      </c>
      <c r="X195">
        <v>0.95728460000000004</v>
      </c>
      <c r="Y195">
        <v>9.2774299999999997E-4</v>
      </c>
      <c r="Z195">
        <v>-3.5270359999999999E-3</v>
      </c>
      <c r="AA195">
        <v>0.99999329999999997</v>
      </c>
      <c r="AB195">
        <v>39</v>
      </c>
      <c r="AC195">
        <v>0.35789999999997202</v>
      </c>
      <c r="AD195">
        <v>-0.26017010000000002</v>
      </c>
      <c r="AE195">
        <v>2.1999999999593399E-3</v>
      </c>
      <c r="AF195">
        <v>9.33874010632625E-4</v>
      </c>
      <c r="AG195">
        <v>-0.26017010000000002</v>
      </c>
      <c r="AH195">
        <v>0.23416674500357401</v>
      </c>
      <c r="AI195">
        <v>138.01089957174</v>
      </c>
      <c r="AJ195">
        <v>89.771501475427101</v>
      </c>
      <c r="AK195">
        <v>0.35003345200172897</v>
      </c>
      <c r="AL195">
        <v>73.610533602442402</v>
      </c>
      <c r="AM195">
        <v>93.774789743917495</v>
      </c>
      <c r="AN195">
        <v>1.0000000496428201</v>
      </c>
    </row>
    <row r="196" spans="1:40" x14ac:dyDescent="0.25">
      <c r="A196" t="str">
        <f>"20190304164558212"</f>
        <v>20190304164558212</v>
      </c>
      <c r="B196" t="str">
        <f>"1551689158207503"</f>
        <v>1551689158207503</v>
      </c>
      <c r="C196" t="s">
        <v>40</v>
      </c>
      <c r="D196">
        <v>5.0733090000000001</v>
      </c>
      <c r="E196">
        <v>0.55393619999999899</v>
      </c>
      <c r="F196" t="s">
        <v>41</v>
      </c>
      <c r="G196">
        <v>-429.9973</v>
      </c>
      <c r="H196">
        <v>0.80938599999999905</v>
      </c>
      <c r="I196">
        <v>367.31139999999999</v>
      </c>
      <c r="J196">
        <v>-430.33620000000002</v>
      </c>
      <c r="K196">
        <v>1.0637430000000001</v>
      </c>
      <c r="L196">
        <v>367.30939999999998</v>
      </c>
      <c r="M196">
        <v>0.99982590000000005</v>
      </c>
      <c r="N196">
        <v>-1.5678950000000001E-2</v>
      </c>
      <c r="O196">
        <v>1.012764E-2</v>
      </c>
      <c r="P196">
        <v>0.96075949999999999</v>
      </c>
      <c r="Q196">
        <v>0.26772180000000001</v>
      </c>
      <c r="R196">
        <v>7.2569969999999998E-2</v>
      </c>
      <c r="S196">
        <v>3.4658509999999998</v>
      </c>
      <c r="T196">
        <v>-1.2448969999999999</v>
      </c>
      <c r="U196">
        <v>2.896118E-2</v>
      </c>
      <c r="V196">
        <v>-6.2807550000000004E-2</v>
      </c>
      <c r="W196">
        <v>0.2827694</v>
      </c>
      <c r="X196">
        <v>0.95712940000000002</v>
      </c>
      <c r="Y196">
        <v>1.120465E-3</v>
      </c>
      <c r="Z196">
        <v>-3.5772690000000001E-3</v>
      </c>
      <c r="AA196">
        <v>0.99999300000000002</v>
      </c>
      <c r="AB196">
        <v>39</v>
      </c>
      <c r="AC196">
        <v>0.33890000000002302</v>
      </c>
      <c r="AD196">
        <v>-0.254357</v>
      </c>
      <c r="AE196">
        <v>2.0000000000095402E-3</v>
      </c>
      <c r="AF196">
        <v>9.1651889214632899E-4</v>
      </c>
      <c r="AG196">
        <v>-0.254357</v>
      </c>
      <c r="AH196">
        <v>0.21678875485713101</v>
      </c>
      <c r="AI196">
        <v>139.55875515023101</v>
      </c>
      <c r="AJ196">
        <v>89.757771792450896</v>
      </c>
      <c r="AK196">
        <v>0.334209047885279</v>
      </c>
      <c r="AL196">
        <v>73.574439167004698</v>
      </c>
      <c r="AM196">
        <v>93.754409320321699</v>
      </c>
      <c r="AN196">
        <v>1.00000000512886</v>
      </c>
    </row>
    <row r="197" spans="1:40" x14ac:dyDescent="0.25">
      <c r="A197" t="str">
        <f>"20190304164558234"</f>
        <v>20190304164558234</v>
      </c>
      <c r="B197" t="str">
        <f>"1551689158228000"</f>
        <v>1551689158228000</v>
      </c>
      <c r="C197" t="s">
        <v>40</v>
      </c>
      <c r="D197">
        <v>5.0708710000000004</v>
      </c>
      <c r="E197">
        <v>0.55346110000000004</v>
      </c>
      <c r="F197" t="s">
        <v>41</v>
      </c>
      <c r="G197">
        <v>-429.64400000000001</v>
      </c>
      <c r="H197">
        <v>0.81860690000000003</v>
      </c>
      <c r="I197">
        <v>367.31259999999997</v>
      </c>
      <c r="J197">
        <v>-429.93360000000001</v>
      </c>
      <c r="K197">
        <v>1.0631569999999999</v>
      </c>
      <c r="L197">
        <v>367.31349999999998</v>
      </c>
      <c r="M197">
        <v>0.9998264</v>
      </c>
      <c r="N197">
        <v>-1.564368E-2</v>
      </c>
      <c r="O197">
        <v>1.012469E-2</v>
      </c>
      <c r="P197">
        <v>0.96052660000000001</v>
      </c>
      <c r="Q197">
        <v>0.26872299999999999</v>
      </c>
      <c r="R197">
        <v>7.1947929999999993E-2</v>
      </c>
      <c r="S197">
        <v>3.4628909999999999</v>
      </c>
      <c r="T197">
        <v>-1.226316</v>
      </c>
      <c r="U197">
        <v>1.843262E-2</v>
      </c>
      <c r="V197">
        <v>-6.2194399999999997E-2</v>
      </c>
      <c r="W197">
        <v>0.28373189999999998</v>
      </c>
      <c r="X197">
        <v>0.95688459999999997</v>
      </c>
      <c r="Y197">
        <v>3.9864729999999999E-3</v>
      </c>
      <c r="Z197">
        <v>-4.0427420000000002E-3</v>
      </c>
      <c r="AA197">
        <v>0.99998390000000004</v>
      </c>
      <c r="AB197">
        <v>39</v>
      </c>
      <c r="AC197">
        <v>0.28960000000000702</v>
      </c>
      <c r="AD197">
        <v>-0.24455009999999899</v>
      </c>
      <c r="AE197">
        <v>-9.0000000000145497E-4</v>
      </c>
      <c r="AF197">
        <v>2.2371617616203498E-3</v>
      </c>
      <c r="AG197">
        <v>-0.24455009999999899</v>
      </c>
      <c r="AH197">
        <v>0.16903887443169599</v>
      </c>
      <c r="AI197">
        <v>145.34449819157899</v>
      </c>
      <c r="AJ197">
        <v>89.241757586960304</v>
      </c>
      <c r="AK197">
        <v>0.29729429421348103</v>
      </c>
      <c r="AL197">
        <v>73.516937554186299</v>
      </c>
      <c r="AM197">
        <v>93.718809193692906</v>
      </c>
      <c r="AN197">
        <v>1.0000000360930601</v>
      </c>
    </row>
    <row r="198" spans="1:40" x14ac:dyDescent="0.25">
      <c r="A198" t="str">
        <f>"20190304164558257"</f>
        <v>20190304164558257</v>
      </c>
      <c r="B198" t="str">
        <f>"1551689158248496"</f>
        <v>1551689158248496</v>
      </c>
      <c r="C198" t="s">
        <v>40</v>
      </c>
      <c r="D198">
        <v>5.0732039999999996</v>
      </c>
      <c r="E198">
        <v>0.5532762</v>
      </c>
      <c r="F198" t="s">
        <v>41</v>
      </c>
      <c r="G198">
        <v>-428.98540000000003</v>
      </c>
      <c r="H198">
        <v>0.72620309999999999</v>
      </c>
      <c r="I198">
        <v>367.31900000000002</v>
      </c>
      <c r="J198">
        <v>-429.54989999999998</v>
      </c>
      <c r="K198">
        <v>1.0626850000000001</v>
      </c>
      <c r="L198">
        <v>367.31740000000002</v>
      </c>
      <c r="M198">
        <v>0.99982700000000002</v>
      </c>
      <c r="N198">
        <v>-1.5604369999999999E-2</v>
      </c>
      <c r="O198">
        <v>1.0123709999999999E-2</v>
      </c>
      <c r="P198">
        <v>0.96042019999999995</v>
      </c>
      <c r="Q198">
        <v>0.2691598</v>
      </c>
      <c r="R198">
        <v>7.1739230000000001E-2</v>
      </c>
      <c r="S198">
        <v>3.4663089999999999</v>
      </c>
      <c r="T198">
        <v>-1.2317899999999999</v>
      </c>
      <c r="U198">
        <v>2.0935059999999998E-2</v>
      </c>
      <c r="V198">
        <v>-6.1990599999999903E-2</v>
      </c>
      <c r="W198">
        <v>0.28412890000000002</v>
      </c>
      <c r="X198">
        <v>0.95677999999999996</v>
      </c>
      <c r="Y198">
        <v>3.3067119999999998E-3</v>
      </c>
      <c r="Z198">
        <v>-3.9337199999999999E-3</v>
      </c>
      <c r="AA198">
        <v>0.99998679999999995</v>
      </c>
      <c r="AB198">
        <v>39</v>
      </c>
      <c r="AC198">
        <v>0.56449999999995204</v>
      </c>
      <c r="AD198">
        <v>-0.3364819</v>
      </c>
      <c r="AE198">
        <v>1.59999999999627E-3</v>
      </c>
      <c r="AF198">
        <v>3.0366856383414699E-3</v>
      </c>
      <c r="AG198">
        <v>-0.3364819</v>
      </c>
      <c r="AH198">
        <v>0.416504350222766</v>
      </c>
      <c r="AI198">
        <v>128.93300430937001</v>
      </c>
      <c r="AJ198">
        <v>89.582270418367898</v>
      </c>
      <c r="AK198">
        <v>0.53544856358175497</v>
      </c>
      <c r="AL198">
        <v>73.493214500467104</v>
      </c>
      <c r="AM198">
        <v>93.707061444764705</v>
      </c>
      <c r="AN198">
        <v>1.00000001735178</v>
      </c>
    </row>
    <row r="199" spans="1:40" x14ac:dyDescent="0.25">
      <c r="A199" t="str">
        <f>"20190304164558278"</f>
        <v>20190304164558278</v>
      </c>
      <c r="B199" t="str">
        <f>"1551689158268017"</f>
        <v>1551689158268017</v>
      </c>
      <c r="C199" t="s">
        <v>40</v>
      </c>
      <c r="D199">
        <v>5.157063</v>
      </c>
      <c r="E199">
        <v>0.55314240000000003</v>
      </c>
      <c r="F199" t="s">
        <v>41</v>
      </c>
      <c r="G199">
        <v>-428.63299999999998</v>
      </c>
      <c r="H199">
        <v>0.73652839999999997</v>
      </c>
      <c r="I199">
        <v>367.3229</v>
      </c>
      <c r="J199">
        <v>-429.16739999999999</v>
      </c>
      <c r="K199">
        <v>1.0622990000000001</v>
      </c>
      <c r="L199">
        <v>367.32119999999998</v>
      </c>
      <c r="M199">
        <v>0.99982760000000004</v>
      </c>
      <c r="N199">
        <v>-1.556185E-2</v>
      </c>
      <c r="O199">
        <v>1.012411E-2</v>
      </c>
      <c r="P199">
        <v>0.96038060000000003</v>
      </c>
      <c r="Q199">
        <v>0.26919530000000003</v>
      </c>
      <c r="R199">
        <v>7.2131130000000002E-2</v>
      </c>
      <c r="S199">
        <v>3.4676819999999999</v>
      </c>
      <c r="T199">
        <v>-1.2335179999999999</v>
      </c>
      <c r="U199">
        <v>2.2125240000000001E-2</v>
      </c>
      <c r="V199">
        <v>-6.2384910000000002E-2</v>
      </c>
      <c r="W199">
        <v>0.2841224</v>
      </c>
      <c r="X199">
        <v>0.9567563</v>
      </c>
      <c r="Y199">
        <v>2.9852339999999998E-3</v>
      </c>
      <c r="Z199">
        <v>-3.8800000000000002E-3</v>
      </c>
      <c r="AA199">
        <v>0.99998799999999999</v>
      </c>
      <c r="AB199">
        <v>39</v>
      </c>
      <c r="AC199">
        <v>0.53439999999994803</v>
      </c>
      <c r="AD199">
        <v>-0.32577059999999902</v>
      </c>
      <c r="AE199">
        <v>1.7000000000280101E-3</v>
      </c>
      <c r="AF199">
        <v>2.7056299856277701E-3</v>
      </c>
      <c r="AG199">
        <v>-0.32577059999999902</v>
      </c>
      <c r="AH199">
        <v>0.38960792205424599</v>
      </c>
      <c r="AI199">
        <v>129.89999635010199</v>
      </c>
      <c r="AJ199">
        <v>89.602116183012598</v>
      </c>
      <c r="AK199">
        <v>0.50786625915235395</v>
      </c>
      <c r="AL199">
        <v>73.493602914971504</v>
      </c>
      <c r="AM199">
        <v>93.730667105133904</v>
      </c>
      <c r="AN199">
        <v>1.0000000163835701</v>
      </c>
    </row>
    <row r="200" spans="1:40" x14ac:dyDescent="0.25">
      <c r="A200" t="str">
        <f>"20190304164558300"</f>
        <v>20190304164558300</v>
      </c>
      <c r="B200" t="str">
        <f>"1551689158287539"</f>
        <v>1551689158287539</v>
      </c>
      <c r="C200" t="s">
        <v>40</v>
      </c>
      <c r="D200">
        <v>5.0850220000000004</v>
      </c>
      <c r="E200">
        <v>0.55305230000000005</v>
      </c>
      <c r="F200" t="s">
        <v>41</v>
      </c>
      <c r="G200">
        <v>-428.28120000000001</v>
      </c>
      <c r="H200">
        <v>0.74667119999999998</v>
      </c>
      <c r="I200">
        <v>367.32729999999998</v>
      </c>
      <c r="J200">
        <v>-428.80430000000001</v>
      </c>
      <c r="K200">
        <v>1.0619879999999999</v>
      </c>
      <c r="L200">
        <v>367.32490000000001</v>
      </c>
      <c r="M200">
        <v>0.99982839999999995</v>
      </c>
      <c r="N200">
        <v>-1.552012E-2</v>
      </c>
      <c r="O200">
        <v>1.012502E-2</v>
      </c>
      <c r="P200">
        <v>0.95996809999999999</v>
      </c>
      <c r="Q200">
        <v>0.27031480000000002</v>
      </c>
      <c r="R200">
        <v>7.3427980000000004E-2</v>
      </c>
      <c r="S200">
        <v>3.4681700000000002</v>
      </c>
      <c r="T200">
        <v>-1.2352019999999999</v>
      </c>
      <c r="U200">
        <v>2.4688720000000001E-2</v>
      </c>
      <c r="V200">
        <v>-6.368625E-2</v>
      </c>
      <c r="W200">
        <v>0.28519529999999998</v>
      </c>
      <c r="X200">
        <v>0.95635119999999896</v>
      </c>
      <c r="Y200">
        <v>2.290622E-3</v>
      </c>
      <c r="Z200">
        <v>-3.7597110000000002E-3</v>
      </c>
      <c r="AA200">
        <v>0.9999903</v>
      </c>
      <c r="AB200">
        <v>39</v>
      </c>
      <c r="AC200">
        <v>0.52309999999999901</v>
      </c>
      <c r="AD200">
        <v>-0.31531679999999901</v>
      </c>
      <c r="AE200">
        <v>2.3999999999659801E-3</v>
      </c>
      <c r="AF200">
        <v>2.1250415266404598E-3</v>
      </c>
      <c r="AG200">
        <v>-0.31531679999999901</v>
      </c>
      <c r="AH200">
        <v>0.38368763743953999</v>
      </c>
      <c r="AI200">
        <v>129.41313944982201</v>
      </c>
      <c r="AJ200">
        <v>89.682672429419199</v>
      </c>
      <c r="AK200">
        <v>0.49663407382867503</v>
      </c>
      <c r="AL200">
        <v>73.429476321798305</v>
      </c>
      <c r="AM200">
        <v>93.809869989102694</v>
      </c>
      <c r="AN200">
        <v>0.99999995766129501</v>
      </c>
    </row>
    <row r="201" spans="1:40" x14ac:dyDescent="0.25">
      <c r="A201" t="str">
        <f>"20190304164558322"</f>
        <v>20190304164558322</v>
      </c>
      <c r="B201" t="str">
        <f>"1551689158317792"</f>
        <v>1551689158317792</v>
      </c>
      <c r="C201" t="s">
        <v>40</v>
      </c>
      <c r="D201">
        <v>5.0642639999999997</v>
      </c>
      <c r="E201">
        <v>0.55289549999999998</v>
      </c>
      <c r="F201" t="s">
        <v>41</v>
      </c>
      <c r="G201">
        <v>-427.93169999999998</v>
      </c>
      <c r="H201">
        <v>0.75200489999999998</v>
      </c>
      <c r="I201">
        <v>367.3322</v>
      </c>
      <c r="J201">
        <v>-428.40199999999999</v>
      </c>
      <c r="K201">
        <v>1.0617129999999999</v>
      </c>
      <c r="L201">
        <v>367.32900000000001</v>
      </c>
      <c r="M201">
        <v>0.99982899999999997</v>
      </c>
      <c r="N201">
        <v>-1.5473550000000001E-2</v>
      </c>
      <c r="O201">
        <v>1.0125779999999999E-2</v>
      </c>
      <c r="P201">
        <v>0.95966700000000005</v>
      </c>
      <c r="Q201">
        <v>0.2711768</v>
      </c>
      <c r="R201">
        <v>7.4178640000000004E-2</v>
      </c>
      <c r="S201">
        <v>3.4699399999999998</v>
      </c>
      <c r="T201">
        <v>-1.2326459999999999</v>
      </c>
      <c r="U201">
        <v>2.990723E-2</v>
      </c>
      <c r="V201">
        <v>-6.4440620000000004E-2</v>
      </c>
      <c r="W201">
        <v>0.28600819999999999</v>
      </c>
      <c r="X201">
        <v>0.95605790000000002</v>
      </c>
      <c r="Y201">
        <v>8.8478280000000003E-4</v>
      </c>
      <c r="Z201">
        <v>-3.497357E-3</v>
      </c>
      <c r="AA201">
        <v>0.99999349999999998</v>
      </c>
      <c r="AB201">
        <v>39</v>
      </c>
      <c r="AC201">
        <v>0.47030000000000799</v>
      </c>
      <c r="AD201">
        <v>-0.30970809999999899</v>
      </c>
      <c r="AE201">
        <v>3.19999999999254E-3</v>
      </c>
      <c r="AF201">
        <v>1.0901498409946701E-3</v>
      </c>
      <c r="AG201">
        <v>-0.30970809999999899</v>
      </c>
      <c r="AH201">
        <v>0.32805056587714598</v>
      </c>
      <c r="AI201">
        <v>133.352422289559</v>
      </c>
      <c r="AJ201">
        <v>89.8096002217234</v>
      </c>
      <c r="AK201">
        <v>0.45115127108831399</v>
      </c>
      <c r="AL201">
        <v>73.380876966799704</v>
      </c>
      <c r="AM201">
        <v>93.8560420406031</v>
      </c>
      <c r="AN201">
        <v>0.99999999606281698</v>
      </c>
    </row>
    <row r="202" spans="1:40" x14ac:dyDescent="0.25">
      <c r="A202" t="str">
        <f>"20190304164558347"</f>
        <v>20190304164558347</v>
      </c>
      <c r="B202" t="str">
        <f>"1551689158338288"</f>
        <v>1551689158338288</v>
      </c>
      <c r="C202" t="s">
        <v>40</v>
      </c>
      <c r="D202">
        <v>5.1103750000000003</v>
      </c>
      <c r="E202">
        <v>0.55289549999999998</v>
      </c>
      <c r="F202" t="s">
        <v>41</v>
      </c>
      <c r="G202">
        <v>-427.57780000000002</v>
      </c>
      <c r="H202">
        <v>0.76899469999999903</v>
      </c>
      <c r="I202">
        <v>367.33670000000001</v>
      </c>
      <c r="J202">
        <v>-427.98009999999999</v>
      </c>
      <c r="K202">
        <v>1.0614669999999999</v>
      </c>
      <c r="L202">
        <v>367.33330000000001</v>
      </c>
      <c r="M202">
        <v>0.99982990000000005</v>
      </c>
      <c r="N202">
        <v>-1.5425370000000001E-2</v>
      </c>
      <c r="O202">
        <v>1.012601E-2</v>
      </c>
      <c r="P202">
        <v>0.95961790000000002</v>
      </c>
      <c r="Q202">
        <v>0.27124979999999999</v>
      </c>
      <c r="R202">
        <v>7.4548199999999995E-2</v>
      </c>
      <c r="S202">
        <v>3.4718629999999999</v>
      </c>
      <c r="T202">
        <v>-1.2330970000000001</v>
      </c>
      <c r="U202">
        <v>3.4393310000000003E-2</v>
      </c>
      <c r="V202">
        <v>-6.4812099999999997E-2</v>
      </c>
      <c r="W202">
        <v>0.28603430000000002</v>
      </c>
      <c r="X202">
        <v>0.95602500000000001</v>
      </c>
      <c r="Y202">
        <v>-3.247201E-4</v>
      </c>
      <c r="Z202">
        <v>-3.2791869999999998E-3</v>
      </c>
      <c r="AA202">
        <v>0.99999459999999996</v>
      </c>
      <c r="AB202">
        <v>39</v>
      </c>
      <c r="AC202">
        <v>0.40229999999996802</v>
      </c>
      <c r="AD202">
        <v>-0.29247230000000002</v>
      </c>
      <c r="AE202">
        <v>3.3999999999991802E-3</v>
      </c>
      <c r="AF202">
        <v>4.4118798383905298E-4</v>
      </c>
      <c r="AG202">
        <v>-0.29247230000000002</v>
      </c>
      <c r="AH202">
        <v>0.26320962663454001</v>
      </c>
      <c r="AI202">
        <v>138.014419006536</v>
      </c>
      <c r="AJ202">
        <v>89.903961773377006</v>
      </c>
      <c r="AK202">
        <v>0.39347115328473697</v>
      </c>
      <c r="AL202">
        <v>73.379316670853996</v>
      </c>
      <c r="AM202">
        <v>93.878336330314099</v>
      </c>
      <c r="AN202">
        <v>1.0000000148539501</v>
      </c>
    </row>
    <row r="203" spans="1:40" x14ac:dyDescent="0.25">
      <c r="A203" t="str">
        <f>"20190304164558372"</f>
        <v>20190304164558372</v>
      </c>
      <c r="B203" t="str">
        <f>"1551689158367569"</f>
        <v>1551689158367569</v>
      </c>
      <c r="C203" t="s">
        <v>40</v>
      </c>
      <c r="D203">
        <v>4.9734800000000003</v>
      </c>
      <c r="E203">
        <v>0.55207790000000001</v>
      </c>
      <c r="F203" t="s">
        <v>41</v>
      </c>
      <c r="G203">
        <v>-427.2217</v>
      </c>
      <c r="H203">
        <v>0.79214449999999903</v>
      </c>
      <c r="I203">
        <v>367.34129999999999</v>
      </c>
      <c r="J203">
        <v>-427.56</v>
      </c>
      <c r="K203">
        <v>1.0612699999999999</v>
      </c>
      <c r="L203">
        <v>367.33749999999998</v>
      </c>
      <c r="M203">
        <v>0.99983049999999996</v>
      </c>
      <c r="N203">
        <v>-1.537872E-2</v>
      </c>
      <c r="O203">
        <v>1.012587E-2</v>
      </c>
      <c r="P203">
        <v>0.95946750000000003</v>
      </c>
      <c r="Q203">
        <v>0.27176139999999999</v>
      </c>
      <c r="R203">
        <v>7.4618320000000002E-2</v>
      </c>
      <c r="S203">
        <v>3.4718019999999998</v>
      </c>
      <c r="T203">
        <v>-1.2330639999999999</v>
      </c>
      <c r="U203">
        <v>3.7750239999999997E-2</v>
      </c>
      <c r="V203">
        <v>-6.488476E-2</v>
      </c>
      <c r="W203">
        <v>0.28649849999999999</v>
      </c>
      <c r="X203">
        <v>0.95588110000000004</v>
      </c>
      <c r="Y203">
        <v>-1.2337979999999999E-3</v>
      </c>
      <c r="Z203">
        <v>-3.115713E-3</v>
      </c>
      <c r="AA203">
        <v>0.99999439999999995</v>
      </c>
      <c r="AB203">
        <v>39</v>
      </c>
      <c r="AC203">
        <v>0.33830000000000299</v>
      </c>
      <c r="AD203">
        <v>-0.26912550000000002</v>
      </c>
      <c r="AE203">
        <v>3.8000000000124601E-3</v>
      </c>
      <c r="AF203">
        <v>-2.28946266741234E-4</v>
      </c>
      <c r="AG203">
        <v>-0.26912550000000002</v>
      </c>
      <c r="AH203">
        <v>0.20720592370989599</v>
      </c>
      <c r="AI203">
        <v>142.406480179173</v>
      </c>
      <c r="AJ203">
        <v>90.063307309204504</v>
      </c>
      <c r="AK203">
        <v>0.33965111804190301</v>
      </c>
      <c r="AL203">
        <v>73.351558884894004</v>
      </c>
      <c r="AM203">
        <v>93.883253707110498</v>
      </c>
      <c r="AN203">
        <v>1.00000004995985</v>
      </c>
    </row>
    <row r="204" spans="1:40" x14ac:dyDescent="0.25">
      <c r="A204" t="str">
        <f>"20190304164558390"</f>
        <v>20190304164558390</v>
      </c>
      <c r="B204" t="str">
        <f>"1551689158378304"</f>
        <v>1551689158378304</v>
      </c>
      <c r="C204" t="s">
        <v>40</v>
      </c>
      <c r="D204">
        <v>5.0267499999999998</v>
      </c>
      <c r="E204">
        <v>0.54060779999999997</v>
      </c>
      <c r="F204" t="s">
        <v>41</v>
      </c>
      <c r="G204">
        <v>-426.84769999999997</v>
      </c>
      <c r="H204">
        <v>0.85657179999999999</v>
      </c>
      <c r="I204">
        <v>367.34050000000002</v>
      </c>
      <c r="J204">
        <v>-427.24829999999997</v>
      </c>
      <c r="K204">
        <v>1.061156</v>
      </c>
      <c r="L204">
        <v>367.34059999999999</v>
      </c>
      <c r="M204">
        <v>0.99983100000000003</v>
      </c>
      <c r="N204">
        <v>-1.534571E-2</v>
      </c>
      <c r="O204">
        <v>1.0125840000000001E-2</v>
      </c>
      <c r="P204">
        <v>0.95931080000000002</v>
      </c>
      <c r="Q204">
        <v>0.27232659999999997</v>
      </c>
      <c r="R204">
        <v>7.4573680000000003E-2</v>
      </c>
      <c r="S204">
        <v>3.402466</v>
      </c>
      <c r="T204">
        <v>-0.97794809999999999</v>
      </c>
      <c r="U204">
        <v>1.5930179999999999E-2</v>
      </c>
      <c r="V204">
        <v>-6.4842079999999996E-2</v>
      </c>
      <c r="W204">
        <v>0.2870297</v>
      </c>
      <c r="X204">
        <v>0.95572460000000004</v>
      </c>
      <c r="Y204">
        <v>4.8698450000000002E-3</v>
      </c>
      <c r="Z204">
        <v>-3.4242220000000002E-3</v>
      </c>
      <c r="AA204">
        <v>0.99998229999999999</v>
      </c>
      <c r="AB204">
        <v>39</v>
      </c>
      <c r="AC204">
        <v>0.40059999999999701</v>
      </c>
      <c r="AD204">
        <v>-0.20458419999999899</v>
      </c>
      <c r="AE204" s="1">
        <v>-9.9999999974897906E-5</v>
      </c>
      <c r="AF204">
        <v>3.2969978748310499E-3</v>
      </c>
      <c r="AG204">
        <v>-0.20458419999999899</v>
      </c>
      <c r="AH204">
        <v>0.31771545404645002</v>
      </c>
      <c r="AI204">
        <v>122.77700127389799</v>
      </c>
      <c r="AJ204">
        <v>89.405451385737194</v>
      </c>
      <c r="AK204">
        <v>0.37790035038958197</v>
      </c>
      <c r="AL204">
        <v>73.319788689918298</v>
      </c>
      <c r="AM204">
        <v>93.881340705780403</v>
      </c>
      <c r="AN204">
        <v>1.0000000275329799</v>
      </c>
    </row>
    <row r="205" spans="1:40" x14ac:dyDescent="0.25">
      <c r="A205" t="str">
        <f>"20190304164558412"</f>
        <v>20190304164558412</v>
      </c>
      <c r="B205" t="str">
        <f>"1551689158407584"</f>
        <v>1551689158407584</v>
      </c>
      <c r="C205" t="s">
        <v>40</v>
      </c>
      <c r="D205">
        <v>4.9841360000000003</v>
      </c>
      <c r="E205">
        <v>0.53795079999999995</v>
      </c>
      <c r="F205" t="s">
        <v>41</v>
      </c>
      <c r="G205">
        <v>-426.45830000000001</v>
      </c>
      <c r="H205">
        <v>0.94970060000000001</v>
      </c>
      <c r="I205">
        <v>367.35210000000001</v>
      </c>
      <c r="J205">
        <v>-426.85410000000002</v>
      </c>
      <c r="K205">
        <v>1.0610389999999901</v>
      </c>
      <c r="L205">
        <v>367.34469999999999</v>
      </c>
      <c r="M205">
        <v>0.99983169999999999</v>
      </c>
      <c r="N205">
        <v>-1.5305849999999999E-2</v>
      </c>
      <c r="O205">
        <v>1.012563E-2</v>
      </c>
      <c r="P205">
        <v>0.95917300000000005</v>
      </c>
      <c r="Q205">
        <v>0.27293830000000002</v>
      </c>
      <c r="R205">
        <v>7.4109629999999996E-2</v>
      </c>
      <c r="S205">
        <v>3.253876</v>
      </c>
      <c r="T205">
        <v>-0.4592099</v>
      </c>
      <c r="U205">
        <v>4.7760009999999999E-2</v>
      </c>
      <c r="V205">
        <v>-6.4380300000000001E-2</v>
      </c>
      <c r="W205">
        <v>0.28760069999999999</v>
      </c>
      <c r="X205">
        <v>0.95558410000000005</v>
      </c>
      <c r="Y205">
        <v>-4.5792089999999999E-3</v>
      </c>
      <c r="Z205">
        <v>-9.1077460000000003E-4</v>
      </c>
      <c r="AA205">
        <v>0.99998909999999996</v>
      </c>
      <c r="AB205">
        <v>39</v>
      </c>
      <c r="AC205">
        <v>0.39580000000000798</v>
      </c>
      <c r="AD205">
        <v>-0.111338399999999</v>
      </c>
      <c r="AE205">
        <v>7.40000000001828E-3</v>
      </c>
      <c r="AF205">
        <v>-3.14282395917763E-3</v>
      </c>
      <c r="AG205">
        <v>-0.111338399999999</v>
      </c>
      <c r="AH205">
        <v>0.36683714903591602</v>
      </c>
      <c r="AI205">
        <v>106.88293504417</v>
      </c>
      <c r="AJ205">
        <v>90.490861254321402</v>
      </c>
      <c r="AK205">
        <v>0.38337398264592398</v>
      </c>
      <c r="AL205">
        <v>73.285631811526301</v>
      </c>
      <c r="AM205">
        <v>93.854347816703196</v>
      </c>
      <c r="AN205">
        <v>0.99999997892069403</v>
      </c>
    </row>
    <row r="206" spans="1:40" x14ac:dyDescent="0.25">
      <c r="A206" t="str">
        <f>"20190304164558435"</f>
        <v>20190304164558435</v>
      </c>
      <c r="B206" t="str">
        <f>"1551689158428080"</f>
        <v>1551689158428080</v>
      </c>
      <c r="C206" t="s">
        <v>40</v>
      </c>
      <c r="D206">
        <v>5.0522460000000002</v>
      </c>
      <c r="E206">
        <v>0.53840710000000003</v>
      </c>
      <c r="F206" t="s">
        <v>41</v>
      </c>
      <c r="G206">
        <v>-426.09379999999999</v>
      </c>
      <c r="H206">
        <v>0.98440519999999998</v>
      </c>
      <c r="I206">
        <v>367.35640000000001</v>
      </c>
      <c r="J206">
        <v>-426.4522</v>
      </c>
      <c r="K206">
        <v>1.0609440000000001</v>
      </c>
      <c r="L206">
        <v>367.34870000000001</v>
      </c>
      <c r="M206">
        <v>0.99983219999999995</v>
      </c>
      <c r="N206">
        <v>-1.5267910000000001E-2</v>
      </c>
      <c r="O206">
        <v>1.012564E-2</v>
      </c>
      <c r="P206">
        <v>0.9590554</v>
      </c>
      <c r="Q206">
        <v>0.27346120000000002</v>
      </c>
      <c r="R206">
        <v>7.3700230000000005E-2</v>
      </c>
      <c r="S206">
        <v>3.215973</v>
      </c>
      <c r="T206">
        <v>-0.32430160000000002</v>
      </c>
      <c r="U206">
        <v>5.130005E-2</v>
      </c>
      <c r="V206">
        <v>-6.3972319999999999E-2</v>
      </c>
      <c r="W206">
        <v>0.2880856</v>
      </c>
      <c r="X206">
        <v>0.95546540000000002</v>
      </c>
      <c r="Y206">
        <v>-5.8261909999999997E-3</v>
      </c>
      <c r="Z206">
        <v>-5.265186E-4</v>
      </c>
      <c r="AA206">
        <v>0.99998290000000001</v>
      </c>
      <c r="AB206">
        <v>39</v>
      </c>
      <c r="AC206">
        <v>0.35840000000001698</v>
      </c>
      <c r="AD206">
        <v>-7.6538800000000101E-2</v>
      </c>
      <c r="AE206">
        <v>7.6999999999998103E-3</v>
      </c>
      <c r="AF206">
        <v>-3.89270201978077E-3</v>
      </c>
      <c r="AG206">
        <v>-7.6538800000000101E-2</v>
      </c>
      <c r="AH206">
        <v>0.34283144987543501</v>
      </c>
      <c r="AI206">
        <v>102.584393531253</v>
      </c>
      <c r="AJ206">
        <v>90.650540702803994</v>
      </c>
      <c r="AK206">
        <v>0.35129296044490799</v>
      </c>
      <c r="AL206">
        <v>73.256620803478995</v>
      </c>
      <c r="AM206">
        <v>93.830470013021298</v>
      </c>
      <c r="AN206">
        <v>0.99999995062534996</v>
      </c>
    </row>
    <row r="207" spans="1:40" x14ac:dyDescent="0.25">
      <c r="A207" t="str">
        <f>"20190304164558458"</f>
        <v>20190304164558458</v>
      </c>
      <c r="B207" t="str">
        <f>"1551689158447602"</f>
        <v>1551689158447602</v>
      </c>
      <c r="C207" t="s">
        <v>40</v>
      </c>
      <c r="D207">
        <v>4.9904590000000004</v>
      </c>
      <c r="E207">
        <v>0.53894709999999901</v>
      </c>
      <c r="F207" t="s">
        <v>41</v>
      </c>
      <c r="G207">
        <v>-425.4162</v>
      </c>
      <c r="H207">
        <v>0.96491740000000004</v>
      </c>
      <c r="I207">
        <v>367.3623</v>
      </c>
      <c r="J207">
        <v>-426.072</v>
      </c>
      <c r="K207">
        <v>1.0608770000000001</v>
      </c>
      <c r="L207">
        <v>367.35250000000002</v>
      </c>
      <c r="M207">
        <v>0.99983270000000002</v>
      </c>
      <c r="N207">
        <v>-1.5234360000000001E-2</v>
      </c>
      <c r="O207">
        <v>1.0125729999999999E-2</v>
      </c>
      <c r="P207">
        <v>0.95881289999999997</v>
      </c>
      <c r="Q207">
        <v>0.27450449999999998</v>
      </c>
      <c r="R207">
        <v>7.2975609999999996E-2</v>
      </c>
      <c r="S207">
        <v>3.209625</v>
      </c>
      <c r="T207">
        <v>-0.2977901</v>
      </c>
      <c r="U207">
        <v>4.3670649999999998E-2</v>
      </c>
      <c r="V207">
        <v>-6.3250609999999999E-2</v>
      </c>
      <c r="W207">
        <v>0.28909279999999998</v>
      </c>
      <c r="X207">
        <v>0.95520930000000004</v>
      </c>
      <c r="Y207">
        <v>-3.4911370000000001E-3</v>
      </c>
      <c r="Z207">
        <v>-5.9513299999999997E-4</v>
      </c>
      <c r="AA207">
        <v>0.99999369999999999</v>
      </c>
      <c r="AB207">
        <v>39</v>
      </c>
      <c r="AC207">
        <v>0.65579999999994198</v>
      </c>
      <c r="AD207">
        <v>-9.5959600000000006E-2</v>
      </c>
      <c r="AE207">
        <v>9.7999999999842605E-3</v>
      </c>
      <c r="AF207">
        <v>-3.0920837921955199E-3</v>
      </c>
      <c r="AG207">
        <v>-9.5959600000000006E-2</v>
      </c>
      <c r="AH207">
        <v>0.64212033856057904</v>
      </c>
      <c r="AI207">
        <v>98.499385538703393</v>
      </c>
      <c r="AJ207">
        <v>90.275901526861901</v>
      </c>
      <c r="AK207">
        <v>0.64925829606366303</v>
      </c>
      <c r="AL207">
        <v>73.196349727529693</v>
      </c>
      <c r="AM207">
        <v>93.788395150489393</v>
      </c>
      <c r="AN207">
        <v>1.0000000467418499</v>
      </c>
    </row>
    <row r="208" spans="1:40" x14ac:dyDescent="0.25">
      <c r="A208" t="str">
        <f>"20190304164558479"</f>
        <v>20190304164558479</v>
      </c>
      <c r="B208" t="str">
        <f>"1551689158468096"</f>
        <v>1551689158468096</v>
      </c>
      <c r="C208" t="s">
        <v>40</v>
      </c>
      <c r="D208">
        <v>4.9939140000000002</v>
      </c>
      <c r="E208">
        <v>0.53883179999999997</v>
      </c>
      <c r="F208" t="s">
        <v>41</v>
      </c>
      <c r="G208">
        <v>-425.0684</v>
      </c>
      <c r="H208">
        <v>0.97258880000000003</v>
      </c>
      <c r="I208">
        <v>367.36329999999998</v>
      </c>
      <c r="J208">
        <v>-425.70249999999999</v>
      </c>
      <c r="K208">
        <v>1.060818</v>
      </c>
      <c r="L208">
        <v>367.35629999999998</v>
      </c>
      <c r="M208">
        <v>0.99983319999999998</v>
      </c>
      <c r="N208">
        <v>-1.520385E-2</v>
      </c>
      <c r="O208">
        <v>1.0125790000000001E-2</v>
      </c>
      <c r="P208">
        <v>0.95855829999999997</v>
      </c>
      <c r="Q208">
        <v>0.27550269999999999</v>
      </c>
      <c r="R208">
        <v>7.2555880000000003E-2</v>
      </c>
      <c r="S208">
        <v>3.2070310000000002</v>
      </c>
      <c r="T208">
        <v>-0.28229979999999999</v>
      </c>
      <c r="U208">
        <v>3.5369869999999998E-2</v>
      </c>
      <c r="V208">
        <v>-6.2833349999999996E-2</v>
      </c>
      <c r="W208">
        <v>0.29005760000000003</v>
      </c>
      <c r="X208">
        <v>0.95494429999999997</v>
      </c>
      <c r="Y208">
        <v>-9.2387009999999996E-4</v>
      </c>
      <c r="Z208">
        <v>-6.8821919999999997E-4</v>
      </c>
      <c r="AA208">
        <v>0.99999930000000004</v>
      </c>
      <c r="AB208">
        <v>39</v>
      </c>
      <c r="AC208">
        <v>0.63409999999998901</v>
      </c>
      <c r="AD208">
        <v>-8.8229199999999994E-2</v>
      </c>
      <c r="AE208">
        <v>7.0000000000049996E-3</v>
      </c>
      <c r="AF208">
        <v>-5.67156836200692E-4</v>
      </c>
      <c r="AG208">
        <v>-8.8229199999999994E-2</v>
      </c>
      <c r="AH208">
        <v>0.62209595652831695</v>
      </c>
      <c r="AI208">
        <v>98.072175819446201</v>
      </c>
      <c r="AJ208">
        <v>90.052235806537695</v>
      </c>
      <c r="AK208">
        <v>0.62832164734982598</v>
      </c>
      <c r="AL208">
        <v>73.138596016121298</v>
      </c>
      <c r="AM208">
        <v>93.764516797604898</v>
      </c>
      <c r="AN208">
        <v>1.0000000286462301</v>
      </c>
    </row>
    <row r="209" spans="1:40" x14ac:dyDescent="0.25">
      <c r="A209" t="str">
        <f>"20190304164558502"</f>
        <v>20190304164558502</v>
      </c>
      <c r="B209" t="str">
        <f>"1551689158487616"</f>
        <v>1551689158487616</v>
      </c>
      <c r="C209" t="s">
        <v>40</v>
      </c>
      <c r="D209">
        <v>4.969525</v>
      </c>
      <c r="E209">
        <v>0.53894010000000003</v>
      </c>
      <c r="F209" t="s">
        <v>41</v>
      </c>
      <c r="G209">
        <v>-424.72050000000002</v>
      </c>
      <c r="H209">
        <v>0.9807882</v>
      </c>
      <c r="I209">
        <v>367.3664</v>
      </c>
      <c r="J209">
        <v>-425.32170000000002</v>
      </c>
      <c r="K209">
        <v>1.0607740000000001</v>
      </c>
      <c r="L209">
        <v>367.36020000000002</v>
      </c>
      <c r="M209">
        <v>0.99983359999999999</v>
      </c>
      <c r="N209">
        <v>-1.517481E-2</v>
      </c>
      <c r="O209">
        <v>1.0125840000000001E-2</v>
      </c>
      <c r="P209">
        <v>0.95823239999999998</v>
      </c>
      <c r="Q209">
        <v>0.2766652</v>
      </c>
      <c r="R209">
        <v>7.2438779999999994E-2</v>
      </c>
      <c r="S209">
        <v>3.2021790000000001</v>
      </c>
      <c r="T209">
        <v>-0.2610712</v>
      </c>
      <c r="U209">
        <v>3.3721920000000002E-2</v>
      </c>
      <c r="V209">
        <v>-6.2719780000000003E-2</v>
      </c>
      <c r="W209">
        <v>0.29118729999999998</v>
      </c>
      <c r="X209">
        <v>0.95460780000000001</v>
      </c>
      <c r="Y209">
        <v>-4.2394479999999999E-4</v>
      </c>
      <c r="Z209">
        <v>-6.5020509999999998E-4</v>
      </c>
      <c r="AA209">
        <v>0.99999970000000005</v>
      </c>
      <c r="AB209">
        <v>38</v>
      </c>
      <c r="AC209">
        <v>0.60120000000000495</v>
      </c>
      <c r="AD209">
        <v>-7.9985799999999802E-2</v>
      </c>
      <c r="AE209">
        <v>6.1999999999784398E-3</v>
      </c>
      <c r="AF209">
        <v>-1.09390065326836E-4</v>
      </c>
      <c r="AG209">
        <v>-7.9985799999999802E-2</v>
      </c>
      <c r="AH209">
        <v>0.59077598437807799</v>
      </c>
      <c r="AI209">
        <v>97.710452805095798</v>
      </c>
      <c r="AJ209">
        <v>90.010609078835301</v>
      </c>
      <c r="AK209">
        <v>0.59616608750055</v>
      </c>
      <c r="AL209">
        <v>73.070947520414904</v>
      </c>
      <c r="AM209">
        <v>93.759052829153902</v>
      </c>
      <c r="AN209">
        <v>0.99999993315268698</v>
      </c>
    </row>
    <row r="210" spans="1:40" x14ac:dyDescent="0.25">
      <c r="A210" t="str">
        <f>"20190304164558524"</f>
        <v>20190304164558524</v>
      </c>
      <c r="B210" t="str">
        <f>"1551689158517872"</f>
        <v>1551689158517872</v>
      </c>
      <c r="C210" t="s">
        <v>40</v>
      </c>
      <c r="D210">
        <v>4.9797289999999998</v>
      </c>
      <c r="E210">
        <v>0.53912939999999998</v>
      </c>
      <c r="F210" t="s">
        <v>41</v>
      </c>
      <c r="G210">
        <v>-424.37119999999999</v>
      </c>
      <c r="H210">
        <v>0.98762810000000001</v>
      </c>
      <c r="I210">
        <v>367.36919999999998</v>
      </c>
      <c r="J210">
        <v>-424.92930000000001</v>
      </c>
      <c r="K210">
        <v>1.0607409999999999</v>
      </c>
      <c r="L210">
        <v>367.36410000000001</v>
      </c>
      <c r="M210">
        <v>0.99983409999999995</v>
      </c>
      <c r="N210">
        <v>-1.514711E-2</v>
      </c>
      <c r="O210">
        <v>1.012587E-2</v>
      </c>
      <c r="P210">
        <v>0.95791660000000001</v>
      </c>
      <c r="Q210">
        <v>0.27783380000000002</v>
      </c>
      <c r="R210">
        <v>7.2141659999999996E-2</v>
      </c>
      <c r="S210">
        <v>3.1995849999999999</v>
      </c>
      <c r="T210">
        <v>-0.246394</v>
      </c>
      <c r="U210">
        <v>3.125E-2</v>
      </c>
      <c r="V210">
        <v>-6.2425849999999998E-2</v>
      </c>
      <c r="W210">
        <v>0.29232429999999998</v>
      </c>
      <c r="X210">
        <v>0.95427960000000001</v>
      </c>
      <c r="Y210">
        <v>3.4008090000000002E-4</v>
      </c>
      <c r="Z210">
        <v>-6.4103450000000002E-4</v>
      </c>
      <c r="AA210">
        <v>0.99999979999999999</v>
      </c>
      <c r="AB210">
        <v>38</v>
      </c>
      <c r="AC210">
        <v>0.55810000000002402</v>
      </c>
      <c r="AD210">
        <v>-7.3112899999999995E-2</v>
      </c>
      <c r="AE210">
        <v>5.0999999999703496E-3</v>
      </c>
      <c r="AF210">
        <v>5.4284203573136598E-4</v>
      </c>
      <c r="AG210">
        <v>-7.3112899999999995E-2</v>
      </c>
      <c r="AH210">
        <v>0.54870699062005701</v>
      </c>
      <c r="AI210">
        <v>97.589711755897298</v>
      </c>
      <c r="AJ210">
        <v>89.943316655383796</v>
      </c>
      <c r="AK210">
        <v>0.55355681946770796</v>
      </c>
      <c r="AL210">
        <v>73.002840505565203</v>
      </c>
      <c r="AM210">
        <v>93.742769689260598</v>
      </c>
      <c r="AN210">
        <v>1.0000000190474301</v>
      </c>
    </row>
    <row r="211" spans="1:40" x14ac:dyDescent="0.25">
      <c r="A211" t="str">
        <f>"20190304164558549"</f>
        <v>20190304164558549</v>
      </c>
      <c r="B211" t="str">
        <f>"1551689158538368"</f>
        <v>1551689158538368</v>
      </c>
      <c r="C211" t="s">
        <v>40</v>
      </c>
      <c r="D211">
        <v>5.1606740000000002</v>
      </c>
      <c r="E211">
        <v>0.53915249999999904</v>
      </c>
      <c r="F211" t="s">
        <v>43</v>
      </c>
      <c r="G211">
        <v>-409.73099999999999</v>
      </c>
      <c r="H211">
        <v>-0.05</v>
      </c>
      <c r="I211">
        <v>367.49759999999998</v>
      </c>
      <c r="J211">
        <v>-424.52199999999999</v>
      </c>
      <c r="K211">
        <v>1.06071</v>
      </c>
      <c r="L211">
        <v>367.3682</v>
      </c>
      <c r="M211">
        <v>0.99983440000000001</v>
      </c>
      <c r="N211">
        <v>-1.5120690000000001E-2</v>
      </c>
      <c r="O211">
        <v>1.012596E-2</v>
      </c>
      <c r="P211">
        <v>0.95768120000000001</v>
      </c>
      <c r="Q211">
        <v>0.2787115</v>
      </c>
      <c r="R211">
        <v>7.1882050000000003E-2</v>
      </c>
      <c r="S211">
        <v>3.1974179999999999</v>
      </c>
      <c r="T211">
        <v>-0.23367769999999999</v>
      </c>
      <c r="U211">
        <v>2.8076170000000001E-2</v>
      </c>
      <c r="V211">
        <v>-6.2169160000000001E-2</v>
      </c>
      <c r="W211">
        <v>0.29317290000000001</v>
      </c>
      <c r="X211">
        <v>0.954036</v>
      </c>
      <c r="Y211">
        <v>1.325379E-3</v>
      </c>
      <c r="Z211">
        <v>-6.444647E-4</v>
      </c>
      <c r="AA211">
        <v>0.99999890000000002</v>
      </c>
      <c r="AB211">
        <v>38</v>
      </c>
      <c r="AC211">
        <v>14.790999999999899</v>
      </c>
      <c r="AD211">
        <v>-1.1107100000000001</v>
      </c>
      <c r="AE211">
        <v>0.12939999999997501</v>
      </c>
      <c r="AF211">
        <v>2.02824696759865E-2</v>
      </c>
      <c r="AG211">
        <v>-1.1107100000000001</v>
      </c>
      <c r="AH211">
        <v>14.708615621138099</v>
      </c>
      <c r="AI211">
        <v>94.318447358114796</v>
      </c>
      <c r="AJ211">
        <v>89.920991940785598</v>
      </c>
      <c r="AK211">
        <v>14.7505071632491</v>
      </c>
      <c r="AL211">
        <v>72.951991630240499</v>
      </c>
      <c r="AM211">
        <v>93.728372263322697</v>
      </c>
      <c r="AN211">
        <v>1.00000002152275</v>
      </c>
    </row>
    <row r="212" spans="1:40" x14ac:dyDescent="0.25">
      <c r="A212" t="str">
        <f>"20190304164558573"</f>
        <v>20190304164558573</v>
      </c>
      <c r="B212" t="str">
        <f>"1551689158567648"</f>
        <v>1551689158567648</v>
      </c>
      <c r="C212" t="s">
        <v>40</v>
      </c>
      <c r="D212">
        <v>4.9359299999999999</v>
      </c>
      <c r="E212">
        <v>0.53933160000000002</v>
      </c>
      <c r="F212" t="s">
        <v>43</v>
      </c>
      <c r="G212">
        <v>-408.91680000000002</v>
      </c>
      <c r="H212">
        <v>-0.05</v>
      </c>
      <c r="I212">
        <v>367.49990000000003</v>
      </c>
      <c r="J212">
        <v>-424.10340000000002</v>
      </c>
      <c r="K212">
        <v>1.060684</v>
      </c>
      <c r="L212">
        <v>367.3725</v>
      </c>
      <c r="M212">
        <v>0.99983489999999997</v>
      </c>
      <c r="N212">
        <v>-1.509594E-2</v>
      </c>
      <c r="O212">
        <v>1.0125800000000001E-2</v>
      </c>
      <c r="P212">
        <v>0.9574897</v>
      </c>
      <c r="Q212">
        <v>0.27936630000000001</v>
      </c>
      <c r="R212">
        <v>7.1889839999999997E-2</v>
      </c>
      <c r="S212">
        <v>3.1967469999999998</v>
      </c>
      <c r="T212">
        <v>-0.22753000000000001</v>
      </c>
      <c r="U212">
        <v>2.6977540000000001E-2</v>
      </c>
      <c r="V212">
        <v>-6.2178440000000001E-2</v>
      </c>
      <c r="W212">
        <v>0.29380099999999998</v>
      </c>
      <c r="X212">
        <v>0.95384219999999997</v>
      </c>
      <c r="Y212">
        <v>1.6672480000000001E-3</v>
      </c>
      <c r="Z212">
        <v>-6.3891449999999895E-4</v>
      </c>
      <c r="AA212">
        <v>0.99999839999999995</v>
      </c>
      <c r="AB212">
        <v>38</v>
      </c>
      <c r="AC212">
        <v>15.1866</v>
      </c>
      <c r="AD212">
        <v>-1.110684</v>
      </c>
      <c r="AE212">
        <v>0.127400000000022</v>
      </c>
      <c r="AF212">
        <v>2.6260062021427801E-2</v>
      </c>
      <c r="AG212">
        <v>-1.110684</v>
      </c>
      <c r="AH212">
        <v>15.106315782728601</v>
      </c>
      <c r="AI212">
        <v>94.205069573362707</v>
      </c>
      <c r="AJ212">
        <v>89.900399989668699</v>
      </c>
      <c r="AK212">
        <v>15.1471147439447</v>
      </c>
      <c r="AL212">
        <v>72.914347122304804</v>
      </c>
      <c r="AM212">
        <v>93.729682726645507</v>
      </c>
      <c r="AN212">
        <v>1.00000006425133</v>
      </c>
    </row>
    <row r="213" spans="1:40" x14ac:dyDescent="0.25">
      <c r="A213" t="str">
        <f>"20190304164558594"</f>
        <v>20190304164558594</v>
      </c>
      <c r="B213" t="str">
        <f>"1551689158588144"</f>
        <v>1551689158588144</v>
      </c>
      <c r="C213" t="s">
        <v>40</v>
      </c>
      <c r="D213">
        <v>4.9170400000000001</v>
      </c>
      <c r="E213">
        <v>0.53953479999999998</v>
      </c>
      <c r="F213" t="s">
        <v>43</v>
      </c>
      <c r="G213">
        <v>-407.9384</v>
      </c>
      <c r="H213">
        <v>-0.05</v>
      </c>
      <c r="I213">
        <v>367.49939999999998</v>
      </c>
      <c r="J213">
        <v>-423.74090000000001</v>
      </c>
      <c r="K213">
        <v>1.060659</v>
      </c>
      <c r="L213">
        <v>367.37619999999998</v>
      </c>
      <c r="M213">
        <v>0.99983520000000004</v>
      </c>
      <c r="N213">
        <v>-1.5076640000000001E-2</v>
      </c>
      <c r="O213">
        <v>1.012594E-2</v>
      </c>
      <c r="P213">
        <v>0.95757550000000002</v>
      </c>
      <c r="Q213">
        <v>0.2791459</v>
      </c>
      <c r="R213">
        <v>7.1602280000000004E-2</v>
      </c>
      <c r="S213">
        <v>3.1953740000000002</v>
      </c>
      <c r="T213">
        <v>-0.21955169999999999</v>
      </c>
      <c r="U213">
        <v>2.5085449999999999E-2</v>
      </c>
      <c r="V213">
        <v>-6.1890260000000002E-2</v>
      </c>
      <c r="W213">
        <v>0.29356399999999999</v>
      </c>
      <c r="X213">
        <v>0.95393380000000005</v>
      </c>
      <c r="Y213">
        <v>2.255843E-3</v>
      </c>
      <c r="Z213">
        <v>-6.3680259999999999E-4</v>
      </c>
      <c r="AA213">
        <v>0.99999729999999998</v>
      </c>
      <c r="AB213">
        <v>38</v>
      </c>
      <c r="AC213">
        <v>15.8025</v>
      </c>
      <c r="AD213">
        <v>-1.1106590000000001</v>
      </c>
      <c r="AE213">
        <v>0.12319999999999701</v>
      </c>
      <c r="AF213">
        <v>3.6658577202158697E-2</v>
      </c>
      <c r="AG213">
        <v>-1.1106590000000001</v>
      </c>
      <c r="AH213">
        <v>15.725262278893799</v>
      </c>
      <c r="AI213">
        <v>94.040021746346497</v>
      </c>
      <c r="AJ213">
        <v>89.866432882670196</v>
      </c>
      <c r="AK213">
        <v>15.7644784565035</v>
      </c>
      <c r="AL213">
        <v>72.928550817488301</v>
      </c>
      <c r="AM213">
        <v>93.712089639072602</v>
      </c>
      <c r="AN213">
        <v>0.99999996058065299</v>
      </c>
    </row>
    <row r="214" spans="1:40" x14ac:dyDescent="0.25">
      <c r="A214" t="str">
        <f>"20190304164558614"</f>
        <v>20190304164558614</v>
      </c>
      <c r="B214" t="str">
        <f>"1551689158607664"</f>
        <v>1551689158607664</v>
      </c>
      <c r="C214" t="s">
        <v>40</v>
      </c>
      <c r="D214">
        <v>4.8927389999999997</v>
      </c>
      <c r="E214">
        <v>0.53967889999999996</v>
      </c>
      <c r="F214" t="s">
        <v>43</v>
      </c>
      <c r="G214">
        <v>-407.48880000000003</v>
      </c>
      <c r="H214">
        <v>-0.05</v>
      </c>
      <c r="I214">
        <v>367.49059999999997</v>
      </c>
      <c r="J214">
        <v>-423.4008</v>
      </c>
      <c r="K214">
        <v>1.060649</v>
      </c>
      <c r="L214">
        <v>367.37959999999998</v>
      </c>
      <c r="M214">
        <v>0.99983540000000004</v>
      </c>
      <c r="N214">
        <v>-1.5059950000000001E-2</v>
      </c>
      <c r="O214">
        <v>1.012589E-2</v>
      </c>
      <c r="P214">
        <v>0.95765800000000001</v>
      </c>
      <c r="Q214">
        <v>0.27887430000000002</v>
      </c>
      <c r="R214">
        <v>7.1558200000000002E-2</v>
      </c>
      <c r="S214">
        <v>3.194855</v>
      </c>
      <c r="T214">
        <v>-0.21833469999999999</v>
      </c>
      <c r="U214">
        <v>2.2491460000000001E-2</v>
      </c>
      <c r="V214">
        <v>-6.1845450000000003E-2</v>
      </c>
      <c r="W214">
        <v>0.29327730000000002</v>
      </c>
      <c r="X214">
        <v>0.95402500000000001</v>
      </c>
      <c r="Y214">
        <v>3.0643490000000001E-3</v>
      </c>
      <c r="Z214">
        <v>-6.6649519999999998E-4</v>
      </c>
      <c r="AA214">
        <v>0.99999510000000003</v>
      </c>
      <c r="AB214">
        <v>38</v>
      </c>
      <c r="AC214">
        <v>15.9119999999999</v>
      </c>
      <c r="AD214">
        <v>-1.110649</v>
      </c>
      <c r="AE214">
        <v>0.11099999999999</v>
      </c>
      <c r="AF214">
        <v>4.9903996583079001E-2</v>
      </c>
      <c r="AG214">
        <v>-1.110649</v>
      </c>
      <c r="AH214">
        <v>15.835163536297401</v>
      </c>
      <c r="AI214">
        <v>94.012029550865904</v>
      </c>
      <c r="AJ214">
        <v>89.8194348348445</v>
      </c>
      <c r="AK214">
        <v>15.8741436251332</v>
      </c>
      <c r="AL214">
        <v>72.945735735989203</v>
      </c>
      <c r="AM214">
        <v>93.709055894550204</v>
      </c>
      <c r="AN214">
        <v>1.0000000675029901</v>
      </c>
    </row>
    <row r="215" spans="1:40" x14ac:dyDescent="0.25">
      <c r="A215" t="str">
        <f>"20190304164558636"</f>
        <v>20190304164558636</v>
      </c>
      <c r="B215" t="str">
        <f>"1551689158628161"</f>
        <v>1551689158628161</v>
      </c>
      <c r="C215" t="s">
        <v>40</v>
      </c>
      <c r="D215">
        <v>4.8668199999999997</v>
      </c>
      <c r="E215">
        <v>0.53986940000000005</v>
      </c>
      <c r="F215" t="s">
        <v>43</v>
      </c>
      <c r="G215">
        <v>-407.07429999999999</v>
      </c>
      <c r="H215">
        <v>-0.05</v>
      </c>
      <c r="I215">
        <v>367.48500000000001</v>
      </c>
      <c r="J215">
        <v>-423.01339999999999</v>
      </c>
      <c r="K215">
        <v>1.0606340000000001</v>
      </c>
      <c r="L215">
        <v>367.38350000000003</v>
      </c>
      <c r="M215">
        <v>0.99983569999999999</v>
      </c>
      <c r="N215">
        <v>-1.504257E-2</v>
      </c>
      <c r="O215">
        <v>1.012585E-2</v>
      </c>
      <c r="P215">
        <v>0.95778730000000001</v>
      </c>
      <c r="Q215">
        <v>0.2783312</v>
      </c>
      <c r="R215">
        <v>7.1941190000000002E-2</v>
      </c>
      <c r="S215">
        <v>3.1943969999999999</v>
      </c>
      <c r="T215">
        <v>-0.217306</v>
      </c>
      <c r="U215">
        <v>2.062988E-2</v>
      </c>
      <c r="V215">
        <v>-6.2227310000000001E-2</v>
      </c>
      <c r="W215">
        <v>0.29272009999999998</v>
      </c>
      <c r="X215">
        <v>0.9541712</v>
      </c>
      <c r="Y215">
        <v>3.6446170000000002E-3</v>
      </c>
      <c r="Z215">
        <v>-6.8709979999999999E-4</v>
      </c>
      <c r="AA215">
        <v>0.99999309999999997</v>
      </c>
      <c r="AB215">
        <v>38</v>
      </c>
      <c r="AC215">
        <v>15.9390999999999</v>
      </c>
      <c r="AD215">
        <v>-1.1106339999999999</v>
      </c>
      <c r="AE215">
        <v>0.101499999999987</v>
      </c>
      <c r="AF215">
        <v>5.9630871896500903E-2</v>
      </c>
      <c r="AG215">
        <v>-1.1106339999999999</v>
      </c>
      <c r="AH215">
        <v>15.862297759310801</v>
      </c>
      <c r="AI215">
        <v>94.005126582526003</v>
      </c>
      <c r="AJ215">
        <v>89.784609944558994</v>
      </c>
      <c r="AK215">
        <v>15.901243785562</v>
      </c>
      <c r="AL215">
        <v>72.979124949997299</v>
      </c>
      <c r="AM215">
        <v>93.731322465413996</v>
      </c>
      <c r="AN215">
        <v>0.99999998698164205</v>
      </c>
    </row>
    <row r="216" spans="1:40" x14ac:dyDescent="0.25">
      <c r="A216" t="str">
        <f>"20190304164558658"</f>
        <v>20190304164558658</v>
      </c>
      <c r="B216" t="str">
        <f>"1551689158647683"</f>
        <v>1551689158647683</v>
      </c>
      <c r="C216" t="s">
        <v>40</v>
      </c>
      <c r="D216">
        <v>4.8240470000000002</v>
      </c>
      <c r="E216">
        <v>0.54013559999999905</v>
      </c>
      <c r="F216" t="s">
        <v>41</v>
      </c>
      <c r="G216">
        <v>-421.97789999999998</v>
      </c>
      <c r="H216">
        <v>0.98935280000000003</v>
      </c>
      <c r="I216">
        <v>367.3895</v>
      </c>
      <c r="J216">
        <v>-422.63670000000002</v>
      </c>
      <c r="K216">
        <v>1.060627</v>
      </c>
      <c r="L216">
        <v>367.38729999999998</v>
      </c>
      <c r="M216">
        <v>0.99983580000000005</v>
      </c>
      <c r="N216">
        <v>-1.502713E-2</v>
      </c>
      <c r="O216">
        <v>1.012614E-2</v>
      </c>
      <c r="P216">
        <v>0.95769349999999998</v>
      </c>
      <c r="Q216">
        <v>0.27873179999999997</v>
      </c>
      <c r="R216">
        <v>7.1634899999999904E-2</v>
      </c>
      <c r="S216">
        <v>3.1947019999999999</v>
      </c>
      <c r="T216">
        <v>-0.22026090000000001</v>
      </c>
      <c r="U216">
        <v>2.0080569999999999E-2</v>
      </c>
      <c r="V216">
        <v>-6.1921230000000001E-2</v>
      </c>
      <c r="W216">
        <v>0.29310409999999998</v>
      </c>
      <c r="X216">
        <v>0.95407330000000001</v>
      </c>
      <c r="Y216">
        <v>3.8162140000000001E-3</v>
      </c>
      <c r="Z216">
        <v>-7.0538380000000002E-4</v>
      </c>
      <c r="AA216">
        <v>0.99999249999999995</v>
      </c>
      <c r="AB216">
        <v>38</v>
      </c>
      <c r="AC216">
        <v>0.65880000000004202</v>
      </c>
      <c r="AD216">
        <v>-7.1274199999999899E-2</v>
      </c>
      <c r="AE216">
        <v>2.2000000000161799E-3</v>
      </c>
      <c r="AF216">
        <v>4.4202306945017797E-3</v>
      </c>
      <c r="AG216">
        <v>-7.1274199999999899E-2</v>
      </c>
      <c r="AH216">
        <v>0.65116691540192295</v>
      </c>
      <c r="AI216">
        <v>96.2463640713963</v>
      </c>
      <c r="AJ216">
        <v>89.611072572378603</v>
      </c>
      <c r="AK216">
        <v>0.65507091351935898</v>
      </c>
      <c r="AL216">
        <v>72.956115329161193</v>
      </c>
      <c r="AM216">
        <v>93.713400462822605</v>
      </c>
      <c r="AN216">
        <v>1.0000000569672001</v>
      </c>
    </row>
    <row r="217" spans="1:40" x14ac:dyDescent="0.25">
      <c r="A217" t="str">
        <f>"20190304164558679"</f>
        <v>20190304164558679</v>
      </c>
      <c r="B217" t="str">
        <f>"1551689158668176"</f>
        <v>1551689158668176</v>
      </c>
      <c r="C217" t="s">
        <v>40</v>
      </c>
      <c r="D217">
        <v>4.9381789999999999</v>
      </c>
      <c r="E217">
        <v>0.54034300000000002</v>
      </c>
      <c r="F217" t="s">
        <v>41</v>
      </c>
      <c r="G217">
        <v>-421.63549999999998</v>
      </c>
      <c r="H217">
        <v>0.99123070000000002</v>
      </c>
      <c r="I217">
        <v>367.39280000000002</v>
      </c>
      <c r="J217">
        <v>-422.28089999999997</v>
      </c>
      <c r="K217">
        <v>1.0606169999999999</v>
      </c>
      <c r="L217">
        <v>367.39100000000002</v>
      </c>
      <c r="M217">
        <v>0.99983610000000001</v>
      </c>
      <c r="N217">
        <v>-1.501371E-2</v>
      </c>
      <c r="O217">
        <v>1.0126069999999999E-2</v>
      </c>
      <c r="P217">
        <v>0.9574146</v>
      </c>
      <c r="Q217">
        <v>0.27985670000000001</v>
      </c>
      <c r="R217">
        <v>7.0976360000000002E-2</v>
      </c>
      <c r="S217">
        <v>3.1956790000000002</v>
      </c>
      <c r="T217">
        <v>-0.22155240000000001</v>
      </c>
      <c r="U217">
        <v>1.7608639999999998E-2</v>
      </c>
      <c r="V217">
        <v>-6.1266109999999999E-2</v>
      </c>
      <c r="W217">
        <v>0.29421209999999998</v>
      </c>
      <c r="X217">
        <v>0.95377449999999997</v>
      </c>
      <c r="Y217">
        <v>4.5889590000000001E-3</v>
      </c>
      <c r="Z217">
        <v>-7.42652E-4</v>
      </c>
      <c r="AA217">
        <v>0.99998920000000002</v>
      </c>
      <c r="AB217">
        <v>38</v>
      </c>
      <c r="AC217">
        <v>0.64539999999999498</v>
      </c>
      <c r="AD217">
        <v>-6.9386299999999998E-2</v>
      </c>
      <c r="AE217">
        <v>1.8000000000597499E-3</v>
      </c>
      <c r="AF217">
        <v>4.6820781172073897E-3</v>
      </c>
      <c r="AG217">
        <v>-6.9386299999999998E-2</v>
      </c>
      <c r="AH217">
        <v>0.63801094252086599</v>
      </c>
      <c r="AI217">
        <v>96.206591253165499</v>
      </c>
      <c r="AJ217">
        <v>89.5795393432536</v>
      </c>
      <c r="AK217">
        <v>0.64178995260096605</v>
      </c>
      <c r="AL217">
        <v>72.889703357950495</v>
      </c>
      <c r="AM217">
        <v>93.675369185963504</v>
      </c>
      <c r="AN217">
        <v>1.00000004643559</v>
      </c>
    </row>
    <row r="218" spans="1:40" x14ac:dyDescent="0.25">
      <c r="A218" t="str">
        <f>"20190304164558714"</f>
        <v>20190304164558714</v>
      </c>
      <c r="B218" t="str">
        <f>"1551689158708192"</f>
        <v>1551689158708192</v>
      </c>
      <c r="C218" t="s">
        <v>40</v>
      </c>
      <c r="D218">
        <v>4.688453</v>
      </c>
      <c r="E218">
        <v>0.54063050000000001</v>
      </c>
      <c r="F218" t="s">
        <v>43</v>
      </c>
      <c r="G218">
        <v>-405.96089999999998</v>
      </c>
      <c r="H218">
        <v>-0.05</v>
      </c>
      <c r="I218">
        <v>367.46039999999999</v>
      </c>
      <c r="J218">
        <v>-421.70530000000002</v>
      </c>
      <c r="K218">
        <v>1.0606089999999999</v>
      </c>
      <c r="L218">
        <v>367.39679999999998</v>
      </c>
      <c r="M218">
        <v>0.99983630000000001</v>
      </c>
      <c r="N218">
        <v>-1.499406E-2</v>
      </c>
      <c r="O218">
        <v>1.012622E-2</v>
      </c>
      <c r="P218">
        <v>0.95738080000000003</v>
      </c>
      <c r="Q218">
        <v>0.2801804</v>
      </c>
      <c r="R218">
        <v>7.0150309999999994E-2</v>
      </c>
      <c r="S218">
        <v>3.1960139999999999</v>
      </c>
      <c r="T218">
        <v>-0.2174972</v>
      </c>
      <c r="U218">
        <v>1.3610840000000001E-2</v>
      </c>
      <c r="V218">
        <v>-6.0440170000000001E-2</v>
      </c>
      <c r="W218">
        <v>0.294516</v>
      </c>
      <c r="X218">
        <v>0.95373330000000001</v>
      </c>
      <c r="Y218">
        <v>5.838111E-3</v>
      </c>
      <c r="Z218">
        <v>-7.788494E-4</v>
      </c>
      <c r="AA218">
        <v>0.9999827</v>
      </c>
      <c r="AB218">
        <v>38</v>
      </c>
      <c r="AC218">
        <v>15.744400000000001</v>
      </c>
      <c r="AD218">
        <v>-1.110609</v>
      </c>
      <c r="AE218">
        <v>6.3600000000008095E-2</v>
      </c>
      <c r="AF218">
        <v>9.5377864149192401E-2</v>
      </c>
      <c r="AG218">
        <v>-1.110609</v>
      </c>
      <c r="AH218">
        <v>15.6662843560644</v>
      </c>
      <c r="AI218">
        <v>94.054934464986502</v>
      </c>
      <c r="AJ218">
        <v>89.651182026626401</v>
      </c>
      <c r="AK218">
        <v>15.705891086242699</v>
      </c>
      <c r="AL218">
        <v>72.871482191051101</v>
      </c>
      <c r="AM218">
        <v>93.626110144723597</v>
      </c>
      <c r="AN218">
        <v>0.999999947967258</v>
      </c>
    </row>
    <row r="219" spans="1:40" x14ac:dyDescent="0.25">
      <c r="A219" t="str">
        <f>"20190304164558737"</f>
        <v>20190304164558737</v>
      </c>
      <c r="B219" t="str">
        <f>"1551689158728688"</f>
        <v>1551689158728688</v>
      </c>
      <c r="C219" t="s">
        <v>40</v>
      </c>
      <c r="D219">
        <v>4.6501910000000004</v>
      </c>
      <c r="E219">
        <v>0.54084309999999902</v>
      </c>
      <c r="F219" t="s">
        <v>43</v>
      </c>
      <c r="G219">
        <v>-405.2013</v>
      </c>
      <c r="H219">
        <v>-0.05</v>
      </c>
      <c r="I219">
        <v>367.43770000000001</v>
      </c>
      <c r="J219">
        <v>-421.30119999999999</v>
      </c>
      <c r="K219">
        <v>1.0606089999999999</v>
      </c>
      <c r="L219">
        <v>367.40089999999998</v>
      </c>
      <c r="M219">
        <v>0.99983659999999996</v>
      </c>
      <c r="N219">
        <v>-1.4981599999999999E-2</v>
      </c>
      <c r="O219">
        <v>1.0124330000000001E-2</v>
      </c>
      <c r="P219">
        <v>0.95761459999999998</v>
      </c>
      <c r="Q219">
        <v>0.2792385</v>
      </c>
      <c r="R219">
        <v>7.0712549999999999E-2</v>
      </c>
      <c r="S219">
        <v>3.1958920000000002</v>
      </c>
      <c r="T219">
        <v>-0.21506239999999999</v>
      </c>
      <c r="U219">
        <v>7.9345700000000002E-3</v>
      </c>
      <c r="V219">
        <v>-6.1001369999999999E-2</v>
      </c>
      <c r="W219">
        <v>0.29356579999999999</v>
      </c>
      <c r="X219">
        <v>0.95399049999999996</v>
      </c>
      <c r="Y219">
        <v>7.6079519999999899E-3</v>
      </c>
      <c r="Z219">
        <v>-8.4172740000000004E-4</v>
      </c>
      <c r="AA219">
        <v>0.99997069999999999</v>
      </c>
      <c r="AB219">
        <v>38</v>
      </c>
      <c r="AC219">
        <v>16.099899999999899</v>
      </c>
      <c r="AD219">
        <v>-1.110609</v>
      </c>
      <c r="AE219">
        <v>3.6800000000027901E-2</v>
      </c>
      <c r="AF219">
        <v>0.12562308582062001</v>
      </c>
      <c r="AG219">
        <v>-1.110609</v>
      </c>
      <c r="AH219">
        <v>16.023200230531401</v>
      </c>
      <c r="AI219">
        <v>93.964854156105801</v>
      </c>
      <c r="AJ219">
        <v>89.550806015261998</v>
      </c>
      <c r="AK219">
        <v>16.0621349495724</v>
      </c>
      <c r="AL219">
        <v>72.928442922739706</v>
      </c>
      <c r="AM219">
        <v>93.658704288238894</v>
      </c>
      <c r="AN219">
        <v>0.99999996008088199</v>
      </c>
    </row>
    <row r="220" spans="1:40" x14ac:dyDescent="0.25">
      <c r="A220" t="str">
        <f>"20190304164558760"</f>
        <v>20190304164558760</v>
      </c>
      <c r="B220" t="str">
        <f>"1551689158748208"</f>
        <v>1551689158748208</v>
      </c>
      <c r="C220" t="s">
        <v>40</v>
      </c>
      <c r="D220">
        <v>4.5596030000000001</v>
      </c>
      <c r="E220">
        <v>0.54104110000000005</v>
      </c>
      <c r="F220" t="s">
        <v>41</v>
      </c>
      <c r="G220">
        <v>-420.2801</v>
      </c>
      <c r="H220">
        <v>0.99047280000000004</v>
      </c>
      <c r="I220">
        <v>367.40269999999998</v>
      </c>
      <c r="J220">
        <v>-420.91469999999998</v>
      </c>
      <c r="K220">
        <v>1.0606100000000001</v>
      </c>
      <c r="L220">
        <v>367.40480000000002</v>
      </c>
      <c r="M220">
        <v>0.99983690000000003</v>
      </c>
      <c r="N220">
        <v>-1.497075E-2</v>
      </c>
      <c r="O220">
        <v>1.0108499999999999E-2</v>
      </c>
      <c r="P220">
        <v>0.95751459999999999</v>
      </c>
      <c r="Q220">
        <v>0.2793812</v>
      </c>
      <c r="R220">
        <v>7.1497160000000004E-2</v>
      </c>
      <c r="S220">
        <v>3.1963810000000001</v>
      </c>
      <c r="T220">
        <v>-0.21982570000000001</v>
      </c>
      <c r="U220">
        <v>6.8664549999999996E-3</v>
      </c>
      <c r="V220">
        <v>-6.17966E-2</v>
      </c>
      <c r="W220">
        <v>0.29369849999999997</v>
      </c>
      <c r="X220">
        <v>0.95389849999999998</v>
      </c>
      <c r="Y220">
        <v>7.9241119999999901E-3</v>
      </c>
      <c r="Z220">
        <v>-8.7472630000000003E-4</v>
      </c>
      <c r="AA220">
        <v>0.99996819999999997</v>
      </c>
      <c r="AB220">
        <v>38</v>
      </c>
      <c r="AC220">
        <v>0.63459999999997696</v>
      </c>
      <c r="AD220">
        <v>-7.0137199999999997E-2</v>
      </c>
      <c r="AE220">
        <v>-2.1000000000412902E-3</v>
      </c>
      <c r="AF220">
        <v>8.4127045126293296E-3</v>
      </c>
      <c r="AG220">
        <v>-7.0137199999999997E-2</v>
      </c>
      <c r="AH220">
        <v>0.62688891797217905</v>
      </c>
      <c r="AI220">
        <v>96.383213241125105</v>
      </c>
      <c r="AJ220">
        <v>89.231150022066103</v>
      </c>
      <c r="AK220">
        <v>0.63085633538658104</v>
      </c>
      <c r="AL220">
        <v>72.920489658606598</v>
      </c>
      <c r="AM220">
        <v>93.706624496944002</v>
      </c>
      <c r="AN220">
        <v>0.99999998848802896</v>
      </c>
    </row>
    <row r="221" spans="1:40" x14ac:dyDescent="0.25">
      <c r="A221" t="str">
        <f>"20190304164558782"</f>
        <v>20190304164558782</v>
      </c>
      <c r="B221" t="str">
        <f>"1551689158778464"</f>
        <v>1551689158778464</v>
      </c>
      <c r="C221" t="s">
        <v>40</v>
      </c>
      <c r="D221">
        <v>4.5114720000000004</v>
      </c>
      <c r="E221">
        <v>0.54132480000000005</v>
      </c>
      <c r="F221" t="s">
        <v>41</v>
      </c>
      <c r="G221">
        <v>-419.93009999999998</v>
      </c>
      <c r="H221">
        <v>0.99276900000000001</v>
      </c>
      <c r="I221">
        <v>367.40699999999998</v>
      </c>
      <c r="J221">
        <v>-420.55680000000001</v>
      </c>
      <c r="K221">
        <v>1.060595</v>
      </c>
      <c r="L221">
        <v>367.40839999999997</v>
      </c>
      <c r="M221">
        <v>0.99983750000000005</v>
      </c>
      <c r="N221">
        <v>-1.496141E-2</v>
      </c>
      <c r="O221">
        <v>1.007634E-2</v>
      </c>
      <c r="P221">
        <v>0.95717149999999995</v>
      </c>
      <c r="Q221">
        <v>0.28032699999999999</v>
      </c>
      <c r="R221">
        <v>7.2385000000000005E-2</v>
      </c>
      <c r="S221">
        <v>3.1968990000000002</v>
      </c>
      <c r="T221">
        <v>-0.22041740000000001</v>
      </c>
      <c r="U221">
        <v>7.2021480000000002E-3</v>
      </c>
      <c r="V221">
        <v>-6.2710169999999996E-2</v>
      </c>
      <c r="W221">
        <v>0.2946317</v>
      </c>
      <c r="X221">
        <v>0.95355109999999998</v>
      </c>
      <c r="Y221">
        <v>7.78753E-3</v>
      </c>
      <c r="Z221">
        <v>-8.6976269999999997E-4</v>
      </c>
      <c r="AA221">
        <v>0.99996929999999995</v>
      </c>
      <c r="AB221">
        <v>38</v>
      </c>
      <c r="AC221">
        <v>0.62670000000002701</v>
      </c>
      <c r="AD221">
        <v>-6.7826000000000095E-2</v>
      </c>
      <c r="AE221">
        <v>-1.39999999998963E-3</v>
      </c>
      <c r="AF221">
        <v>7.6261511370534002E-3</v>
      </c>
      <c r="AG221">
        <v>-6.7826000000000095E-2</v>
      </c>
      <c r="AH221">
        <v>0.61939900257327796</v>
      </c>
      <c r="AI221">
        <v>96.248687079306293</v>
      </c>
      <c r="AJ221">
        <v>89.294599772655005</v>
      </c>
      <c r="AK221">
        <v>0.62314817567408198</v>
      </c>
      <c r="AL221">
        <v>72.864547109952298</v>
      </c>
      <c r="AM221">
        <v>93.762631601767595</v>
      </c>
      <c r="AN221">
        <v>1.00000005218876</v>
      </c>
    </row>
    <row r="222" spans="1:40" x14ac:dyDescent="0.25">
      <c r="A222" t="str">
        <f>"20190304164558803"</f>
        <v>20190304164558803</v>
      </c>
      <c r="B222" t="str">
        <f>"1551689158797985"</f>
        <v>1551689158797985</v>
      </c>
      <c r="C222" t="s">
        <v>40</v>
      </c>
      <c r="D222">
        <v>4.5214850000000002</v>
      </c>
      <c r="E222">
        <v>0.54156959999999998</v>
      </c>
      <c r="F222" t="s">
        <v>43</v>
      </c>
      <c r="G222">
        <v>-404.2869</v>
      </c>
      <c r="H222">
        <v>-0.05</v>
      </c>
      <c r="I222">
        <v>367.44319999999999</v>
      </c>
      <c r="J222">
        <v>-420.1875</v>
      </c>
      <c r="K222">
        <v>1.060576</v>
      </c>
      <c r="L222">
        <v>367.41199999999998</v>
      </c>
      <c r="M222">
        <v>0.99983820000000001</v>
      </c>
      <c r="N222">
        <v>-1.4952450000000001E-2</v>
      </c>
      <c r="O222">
        <v>1.0009519999999999E-2</v>
      </c>
      <c r="P222">
        <v>0.95685160000000002</v>
      </c>
      <c r="Q222">
        <v>0.28095110000000001</v>
      </c>
      <c r="R222">
        <v>7.4174480000000001E-2</v>
      </c>
      <c r="S222">
        <v>3.1976619999999998</v>
      </c>
      <c r="T222">
        <v>-0.21827589999999999</v>
      </c>
      <c r="U222">
        <v>6.8359379999999997E-3</v>
      </c>
      <c r="V222">
        <v>-6.4550079999999996E-2</v>
      </c>
      <c r="W222">
        <v>0.29524689999999998</v>
      </c>
      <c r="X222">
        <v>0.95323800000000003</v>
      </c>
      <c r="Y222">
        <v>7.83649199999999E-3</v>
      </c>
      <c r="Z222">
        <v>-8.5874050000000004E-4</v>
      </c>
      <c r="AA222">
        <v>0.99996890000000005</v>
      </c>
      <c r="AB222">
        <v>38</v>
      </c>
      <c r="AC222">
        <v>15.900599999999899</v>
      </c>
      <c r="AD222">
        <v>-1.110576</v>
      </c>
      <c r="AE222">
        <v>3.1200000000012499E-2</v>
      </c>
      <c r="AF222">
        <v>0.12735543946906999</v>
      </c>
      <c r="AG222">
        <v>-1.110576</v>
      </c>
      <c r="AH222">
        <v>15.822926718734699</v>
      </c>
      <c r="AI222">
        <v>94.014749365000299</v>
      </c>
      <c r="AJ222">
        <v>89.5388481699366</v>
      </c>
      <c r="AK222">
        <v>15.8623645275913</v>
      </c>
      <c r="AL222">
        <v>72.827657983325494</v>
      </c>
      <c r="AM222">
        <v>93.873963819338201</v>
      </c>
      <c r="AN222">
        <v>1.0000000647158001</v>
      </c>
    </row>
    <row r="223" spans="1:40" x14ac:dyDescent="0.25">
      <c r="A223" t="str">
        <f>"20190304164558827"</f>
        <v>20190304164558827</v>
      </c>
      <c r="B223" t="str">
        <f>"1551689158817505"</f>
        <v>1551689158817505</v>
      </c>
      <c r="C223" t="s">
        <v>40</v>
      </c>
      <c r="D223">
        <v>4.492273</v>
      </c>
      <c r="E223">
        <v>0.54166950000000003</v>
      </c>
      <c r="F223" t="s">
        <v>43</v>
      </c>
      <c r="G223">
        <v>-403.83510000000001</v>
      </c>
      <c r="H223">
        <v>-0.05</v>
      </c>
      <c r="I223">
        <v>367.471</v>
      </c>
      <c r="J223">
        <v>-419.78840000000002</v>
      </c>
      <c r="K223">
        <v>1.0605389999999999</v>
      </c>
      <c r="L223">
        <v>367.41590000000002</v>
      </c>
      <c r="M223">
        <v>0.9998397</v>
      </c>
      <c r="N223">
        <v>-1.494348E-2</v>
      </c>
      <c r="O223">
        <v>9.8811960000000001E-3</v>
      </c>
      <c r="P223">
        <v>0.95657570000000003</v>
      </c>
      <c r="Q223">
        <v>0.28162209999999899</v>
      </c>
      <c r="R223">
        <v>7.5181540000000005E-2</v>
      </c>
      <c r="S223">
        <v>3.1981510000000002</v>
      </c>
      <c r="T223">
        <v>-0.2172037</v>
      </c>
      <c r="U223">
        <v>1.153564E-2</v>
      </c>
      <c r="V223">
        <v>-6.5654519999999994E-2</v>
      </c>
      <c r="W223">
        <v>0.29591149999999999</v>
      </c>
      <c r="X223">
        <v>0.95295640000000004</v>
      </c>
      <c r="Y223">
        <v>6.2440580000000002E-3</v>
      </c>
      <c r="Z223">
        <v>-7.8127449999999897E-4</v>
      </c>
      <c r="AA223">
        <v>0.99998019999999999</v>
      </c>
      <c r="AB223">
        <v>38</v>
      </c>
      <c r="AC223">
        <v>15.9533</v>
      </c>
      <c r="AD223">
        <v>-1.1105389999999999</v>
      </c>
      <c r="AE223">
        <v>5.5099999999981698E-2</v>
      </c>
      <c r="AF223">
        <v>0.102063375223945</v>
      </c>
      <c r="AG223">
        <v>-1.1105389999999999</v>
      </c>
      <c r="AH223">
        <v>15.876133655483899</v>
      </c>
      <c r="AI223">
        <v>94.001252090274406</v>
      </c>
      <c r="AJ223">
        <v>89.631665982935203</v>
      </c>
      <c r="AK223">
        <v>15.915254746622001</v>
      </c>
      <c r="AL223">
        <v>72.787797341327007</v>
      </c>
      <c r="AM223">
        <v>93.941200230366903</v>
      </c>
      <c r="AN223">
        <v>1.0000000160648199</v>
      </c>
    </row>
    <row r="224" spans="1:40" x14ac:dyDescent="0.25">
      <c r="A224" t="str">
        <f>"20190304164558848"</f>
        <v>20190304164558848</v>
      </c>
      <c r="B224" t="str">
        <f>"1551689158838000"</f>
        <v>1551689158838000</v>
      </c>
      <c r="C224" t="s">
        <v>40</v>
      </c>
      <c r="D224">
        <v>4.4625050000000002</v>
      </c>
      <c r="E224">
        <v>0.54172719999999996</v>
      </c>
      <c r="F224" t="s">
        <v>43</v>
      </c>
      <c r="G224">
        <v>-403.23070000000001</v>
      </c>
      <c r="H224">
        <v>-0.05</v>
      </c>
      <c r="I224">
        <v>367.488</v>
      </c>
      <c r="J224">
        <v>-419.41730000000001</v>
      </c>
      <c r="K224">
        <v>1.0604899999999999</v>
      </c>
      <c r="L224">
        <v>367.41950000000003</v>
      </c>
      <c r="M224">
        <v>0.99984139999999999</v>
      </c>
      <c r="N224">
        <v>-1.4935729999999999E-2</v>
      </c>
      <c r="O224">
        <v>9.7025840000000002E-3</v>
      </c>
      <c r="P224">
        <v>0.95668609999999998</v>
      </c>
      <c r="Q224">
        <v>0.28115959999999901</v>
      </c>
      <c r="R224">
        <v>7.5505320000000001E-2</v>
      </c>
      <c r="S224">
        <v>3.198242</v>
      </c>
      <c r="T224">
        <v>-0.21450959999999999</v>
      </c>
      <c r="U224">
        <v>1.3916019999999999E-2</v>
      </c>
      <c r="V224">
        <v>-6.6113779999999997E-2</v>
      </c>
      <c r="W224">
        <v>0.29545100000000002</v>
      </c>
      <c r="X224">
        <v>0.95306749999999996</v>
      </c>
      <c r="Y224">
        <v>5.3248719999999996E-3</v>
      </c>
      <c r="Z224">
        <v>-7.2341369999999905E-4</v>
      </c>
      <c r="AA224">
        <v>0.99998560000000003</v>
      </c>
      <c r="AB224">
        <v>38</v>
      </c>
      <c r="AC224">
        <v>16.186599999999999</v>
      </c>
      <c r="AD224">
        <v>-1.11049</v>
      </c>
      <c r="AE224">
        <v>6.8500000000028594E-2</v>
      </c>
      <c r="AF224">
        <v>8.8157662517177604E-2</v>
      </c>
      <c r="AG224">
        <v>-1.11049</v>
      </c>
      <c r="AH224">
        <v>16.110675585176701</v>
      </c>
      <c r="AI224">
        <v>93.943035238134797</v>
      </c>
      <c r="AJ224">
        <v>89.686480461118094</v>
      </c>
      <c r="AK224">
        <v>16.149143247379101</v>
      </c>
      <c r="AL224">
        <v>72.815416596847001</v>
      </c>
      <c r="AM224">
        <v>93.968220376482904</v>
      </c>
      <c r="AN224">
        <v>0.99999999243156901</v>
      </c>
    </row>
    <row r="225" spans="1:40" x14ac:dyDescent="0.25">
      <c r="A225" t="str">
        <f>"20190304164558870"</f>
        <v>20190304164558870</v>
      </c>
      <c r="B225" t="str">
        <f>"1551689158857520"</f>
        <v>1551689158857520</v>
      </c>
      <c r="C225" t="s">
        <v>40</v>
      </c>
      <c r="D225">
        <v>4.3730869999999999</v>
      </c>
      <c r="E225">
        <v>0.54175589999999996</v>
      </c>
      <c r="F225" t="s">
        <v>43</v>
      </c>
      <c r="G225">
        <v>-402.84989999999999</v>
      </c>
      <c r="H225">
        <v>-0.05</v>
      </c>
      <c r="I225">
        <v>367.50200000000001</v>
      </c>
      <c r="J225">
        <v>-419.05470000000003</v>
      </c>
      <c r="K225">
        <v>1.06044</v>
      </c>
      <c r="L225">
        <v>367.4228</v>
      </c>
      <c r="M225">
        <v>0.99984379999999995</v>
      </c>
      <c r="N225">
        <v>-1.492865E-2</v>
      </c>
      <c r="O225">
        <v>9.4737390000000001E-3</v>
      </c>
      <c r="P225">
        <v>0.95680169999999998</v>
      </c>
      <c r="Q225">
        <v>0.28084249999999999</v>
      </c>
      <c r="R225">
        <v>7.5222049999999999E-2</v>
      </c>
      <c r="S225">
        <v>3.1976010000000001</v>
      </c>
      <c r="T225">
        <v>-0.2143302</v>
      </c>
      <c r="U225">
        <v>1.5930179999999999E-2</v>
      </c>
      <c r="V225">
        <v>-6.6013260000000004E-2</v>
      </c>
      <c r="W225">
        <v>0.29513620000000002</v>
      </c>
      <c r="X225">
        <v>0.95317200000000002</v>
      </c>
      <c r="Y225">
        <v>4.4679439999999997E-3</v>
      </c>
      <c r="Z225">
        <v>-6.7593589999999999E-4</v>
      </c>
      <c r="AA225">
        <v>0.99998980000000004</v>
      </c>
      <c r="AB225">
        <v>38</v>
      </c>
      <c r="AC225">
        <v>16.204799999999999</v>
      </c>
      <c r="AD225">
        <v>-1.1104399999999901</v>
      </c>
      <c r="AE225">
        <v>7.9199999999957499E-2</v>
      </c>
      <c r="AF225">
        <v>7.3993248455611504E-2</v>
      </c>
      <c r="AG225">
        <v>-1.1104399999999901</v>
      </c>
      <c r="AH225">
        <v>16.129087039857499</v>
      </c>
      <c r="AI225">
        <v>93.9383891008262</v>
      </c>
      <c r="AJ225">
        <v>89.737153684043193</v>
      </c>
      <c r="AK225">
        <v>16.1674364304832</v>
      </c>
      <c r="AL225">
        <v>72.834295202354099</v>
      </c>
      <c r="AM225">
        <v>93.961773279995001</v>
      </c>
      <c r="AN225">
        <v>0.99999999431513298</v>
      </c>
    </row>
    <row r="226" spans="1:40" x14ac:dyDescent="0.25">
      <c r="A226" t="str">
        <f>"20190304164558893"</f>
        <v>20190304164558893</v>
      </c>
      <c r="B226" t="str">
        <f>"1551689158887776"</f>
        <v>1551689158887776</v>
      </c>
      <c r="C226" t="s">
        <v>40</v>
      </c>
      <c r="D226">
        <v>4.3877329999999999</v>
      </c>
      <c r="E226">
        <v>0.54410369999999997</v>
      </c>
      <c r="F226" t="s">
        <v>43</v>
      </c>
      <c r="G226">
        <v>-402.53019999999998</v>
      </c>
      <c r="H226">
        <v>-0.05</v>
      </c>
      <c r="I226">
        <v>367.51029999999997</v>
      </c>
      <c r="J226">
        <v>-418.6771</v>
      </c>
      <c r="K226">
        <v>1.0603910000000001</v>
      </c>
      <c r="L226">
        <v>367.42610000000002</v>
      </c>
      <c r="M226">
        <v>0.99984649999999997</v>
      </c>
      <c r="N226">
        <v>-1.492169E-2</v>
      </c>
      <c r="O226">
        <v>9.1876590000000008E-3</v>
      </c>
      <c r="P226">
        <v>0.9566907</v>
      </c>
      <c r="Q226">
        <v>0.28155249999999998</v>
      </c>
      <c r="R226">
        <v>7.396701E-2</v>
      </c>
      <c r="S226">
        <v>3.197174</v>
      </c>
      <c r="T226">
        <v>-0.2148494</v>
      </c>
      <c r="U226">
        <v>1.6937259999999999E-2</v>
      </c>
      <c r="V226">
        <v>-6.4998849999999997E-2</v>
      </c>
      <c r="W226">
        <v>0.29584460000000001</v>
      </c>
      <c r="X226">
        <v>0.95302209999999998</v>
      </c>
      <c r="Y226">
        <v>3.8680759999999998E-3</v>
      </c>
      <c r="Z226">
        <v>-6.3843470000000003E-4</v>
      </c>
      <c r="AA226">
        <v>0.99999229999999995</v>
      </c>
      <c r="AB226">
        <v>38</v>
      </c>
      <c r="AC226">
        <v>16.146899999999999</v>
      </c>
      <c r="AD226">
        <v>-1.1103909999999999</v>
      </c>
      <c r="AE226">
        <v>8.4199999999952896E-2</v>
      </c>
      <c r="AF226">
        <v>6.3870240300651707E-2</v>
      </c>
      <c r="AG226">
        <v>-1.1103909999999999</v>
      </c>
      <c r="AH226">
        <v>16.070993611775702</v>
      </c>
      <c r="AI226">
        <v>93.952417028705298</v>
      </c>
      <c r="AJ226">
        <v>89.772293112211401</v>
      </c>
      <c r="AK226">
        <v>16.109434603679102</v>
      </c>
      <c r="AL226">
        <v>72.791809820416304</v>
      </c>
      <c r="AM226">
        <v>93.901694794892606</v>
      </c>
      <c r="AN226">
        <v>1.00000000046944</v>
      </c>
    </row>
    <row r="227" spans="1:40" x14ac:dyDescent="0.25">
      <c r="A227" t="str">
        <f>"20190304164558917"</f>
        <v>20190304164558917</v>
      </c>
      <c r="B227" t="str">
        <f>"1551689158908273"</f>
        <v>1551689158908273</v>
      </c>
      <c r="C227" t="s">
        <v>40</v>
      </c>
      <c r="D227">
        <v>4.334911</v>
      </c>
      <c r="E227">
        <v>0.54424030000000001</v>
      </c>
      <c r="F227" t="s">
        <v>42</v>
      </c>
      <c r="G227">
        <v>-390.59550000000002</v>
      </c>
      <c r="H227" s="1">
        <v>-4.4298119999999998E-6</v>
      </c>
      <c r="I227">
        <v>367.28800000000001</v>
      </c>
      <c r="J227">
        <v>-418.28469999999999</v>
      </c>
      <c r="K227">
        <v>1.060344</v>
      </c>
      <c r="L227">
        <v>367.42939999999999</v>
      </c>
      <c r="M227">
        <v>0.99984969999999995</v>
      </c>
      <c r="N227">
        <v>-1.4914820000000001E-2</v>
      </c>
      <c r="O227">
        <v>8.8475040000000008E-3</v>
      </c>
      <c r="P227">
        <v>0.95701060000000004</v>
      </c>
      <c r="Q227">
        <v>0.28107779999999999</v>
      </c>
      <c r="R227">
        <v>7.1596590000000002E-2</v>
      </c>
      <c r="S227">
        <v>3.172272</v>
      </c>
      <c r="T227">
        <v>-0.1197886</v>
      </c>
      <c r="U227">
        <v>-1.5594480000000001E-2</v>
      </c>
      <c r="V227">
        <v>-6.2924279999999999E-2</v>
      </c>
      <c r="W227">
        <v>0.29537219999999997</v>
      </c>
      <c r="X227">
        <v>0.95330780000000004</v>
      </c>
      <c r="Y227">
        <v>1.374802E-2</v>
      </c>
      <c r="Z227">
        <v>-5.6409039999999998E-4</v>
      </c>
      <c r="AA227">
        <v>0.9999053</v>
      </c>
      <c r="AB227">
        <v>38</v>
      </c>
      <c r="AC227">
        <v>27.6891999999999</v>
      </c>
      <c r="AD227">
        <v>-1.0603484298119901</v>
      </c>
      <c r="AE227">
        <v>-0.14139999999997599</v>
      </c>
      <c r="AF227">
        <v>0.38583619950975101</v>
      </c>
      <c r="AG227">
        <v>-1.0603484298119901</v>
      </c>
      <c r="AH227">
        <v>27.646323085050799</v>
      </c>
      <c r="AI227">
        <v>92.196234875049797</v>
      </c>
      <c r="AJ227">
        <v>89.200423483491207</v>
      </c>
      <c r="AK227">
        <v>27.669340225030101</v>
      </c>
      <c r="AL227">
        <v>72.820142224439905</v>
      </c>
      <c r="AM227">
        <v>93.776401950718594</v>
      </c>
      <c r="AN227">
        <v>0.99999998154359904</v>
      </c>
    </row>
    <row r="228" spans="1:40" x14ac:dyDescent="0.25">
      <c r="A228" t="str">
        <f>"20190304164558938"</f>
        <v>20190304164558938</v>
      </c>
      <c r="B228" t="str">
        <f>"1551689158927796"</f>
        <v>1551689158927796</v>
      </c>
      <c r="C228" t="s">
        <v>40</v>
      </c>
      <c r="D228">
        <v>4.322648</v>
      </c>
      <c r="E228">
        <v>0.54464469999999898</v>
      </c>
      <c r="F228" t="s">
        <v>42</v>
      </c>
      <c r="G228">
        <v>-390.96019999999999</v>
      </c>
      <c r="H228" s="1">
        <v>-4.2840799999999996E-6</v>
      </c>
      <c r="I228">
        <v>367.22739999999999</v>
      </c>
      <c r="J228">
        <v>-417.91500000000002</v>
      </c>
      <c r="K228">
        <v>1.060325</v>
      </c>
      <c r="L228">
        <v>367.4323</v>
      </c>
      <c r="M228">
        <v>0.99985279999999999</v>
      </c>
      <c r="N228">
        <v>-1.4908650000000001E-2</v>
      </c>
      <c r="O228">
        <v>8.4998299999999999E-3</v>
      </c>
      <c r="P228">
        <v>0.95719500000000002</v>
      </c>
      <c r="Q228">
        <v>0.28108830000000001</v>
      </c>
      <c r="R228">
        <v>6.9046560000000007E-2</v>
      </c>
      <c r="S228">
        <v>3.1726679999999998</v>
      </c>
      <c r="T228">
        <v>-0.1231178</v>
      </c>
      <c r="U228">
        <v>-2.34375E-2</v>
      </c>
      <c r="V228">
        <v>-6.068788E-2</v>
      </c>
      <c r="W228">
        <v>0.29538130000000001</v>
      </c>
      <c r="X228">
        <v>0.95345000000000002</v>
      </c>
      <c r="Y228">
        <v>1.5868429999999999E-2</v>
      </c>
      <c r="Z228">
        <v>-6.2914769999999995E-4</v>
      </c>
      <c r="AA228">
        <v>0.99987389999999998</v>
      </c>
      <c r="AB228">
        <v>38</v>
      </c>
      <c r="AC228">
        <v>26.954799999999999</v>
      </c>
      <c r="AD228">
        <v>-1.0603292840799901</v>
      </c>
      <c r="AE228">
        <v>-0.20490000000000899</v>
      </c>
      <c r="AF228">
        <v>0.433358713947883</v>
      </c>
      <c r="AG228">
        <v>-1.0603292840799901</v>
      </c>
      <c r="AH228">
        <v>26.910444796454101</v>
      </c>
      <c r="AI228">
        <v>92.256117240054095</v>
      </c>
      <c r="AJ228">
        <v>89.077403607119507</v>
      </c>
      <c r="AK228">
        <v>26.934812735726101</v>
      </c>
      <c r="AL228">
        <v>72.819597107445006</v>
      </c>
      <c r="AM228">
        <v>93.642010544483597</v>
      </c>
      <c r="AN228">
        <v>1.00000001683429</v>
      </c>
    </row>
    <row r="229" spans="1:40" x14ac:dyDescent="0.25">
      <c r="A229" t="str">
        <f>"20190304164558960"</f>
        <v>20190304164558960</v>
      </c>
      <c r="B229" t="str">
        <f>"1551689158948288"</f>
        <v>1551689158948288</v>
      </c>
      <c r="C229" t="s">
        <v>40</v>
      </c>
      <c r="D229">
        <v>4.2870269999999904</v>
      </c>
      <c r="E229">
        <v>0.54491259999999997</v>
      </c>
      <c r="F229" t="s">
        <v>42</v>
      </c>
      <c r="G229">
        <v>-390.66950000000003</v>
      </c>
      <c r="H229" s="1">
        <v>-4.4260230000000001E-6</v>
      </c>
      <c r="I229">
        <v>367.13029999999998</v>
      </c>
      <c r="J229">
        <v>-417.5489</v>
      </c>
      <c r="K229">
        <v>1.060308</v>
      </c>
      <c r="L229">
        <v>367.43509999999998</v>
      </c>
      <c r="M229">
        <v>0.99985579999999996</v>
      </c>
      <c r="N229">
        <v>-1.4902739999999999E-2</v>
      </c>
      <c r="O229">
        <v>8.1389489999999995E-3</v>
      </c>
      <c r="P229">
        <v>0.95741900000000002</v>
      </c>
      <c r="Q229">
        <v>0.28086919999999999</v>
      </c>
      <c r="R229">
        <v>6.6793459999999999E-2</v>
      </c>
      <c r="S229">
        <v>3.1729430000000001</v>
      </c>
      <c r="T229">
        <v>-0.12348290000000001</v>
      </c>
      <c r="U229">
        <v>-3.515625E-2</v>
      </c>
      <c r="V229">
        <v>-5.8765659999999997E-2</v>
      </c>
      <c r="W229">
        <v>0.29516039999999999</v>
      </c>
      <c r="X229">
        <v>0.95363880000000001</v>
      </c>
      <c r="Y229">
        <v>1.9195879999999998E-2</v>
      </c>
      <c r="Z229">
        <v>-7.118494E-4</v>
      </c>
      <c r="AA229">
        <v>0.99981549999999997</v>
      </c>
      <c r="AB229">
        <v>37</v>
      </c>
      <c r="AC229">
        <v>26.879399999999901</v>
      </c>
      <c r="AD229">
        <v>-1.0603124260229999</v>
      </c>
      <c r="AE229">
        <v>-0.30480000000000002</v>
      </c>
      <c r="AF229">
        <v>0.52277090798942805</v>
      </c>
      <c r="AG229">
        <v>-1.0603124260229999</v>
      </c>
      <c r="AH229">
        <v>26.834277889347899</v>
      </c>
      <c r="AI229">
        <v>92.262342682203496</v>
      </c>
      <c r="AJ229">
        <v>88.883935748369495</v>
      </c>
      <c r="AK229">
        <v>26.8603056889858</v>
      </c>
      <c r="AL229">
        <v>72.832844320631494</v>
      </c>
      <c r="AM229">
        <v>93.526253410719093</v>
      </c>
      <c r="AN229">
        <v>1.00000001269441</v>
      </c>
    </row>
    <row r="230" spans="1:40" x14ac:dyDescent="0.25">
      <c r="A230" t="str">
        <f>"20190304164558983"</f>
        <v>20190304164558983</v>
      </c>
      <c r="B230" t="str">
        <f>"1551689158977568"</f>
        <v>1551689158977568</v>
      </c>
      <c r="C230" t="s">
        <v>40</v>
      </c>
      <c r="D230">
        <v>4.2511979999999996</v>
      </c>
      <c r="E230">
        <v>0.5452285</v>
      </c>
      <c r="F230" t="s">
        <v>42</v>
      </c>
      <c r="G230">
        <v>-390.68189999999998</v>
      </c>
      <c r="H230" s="1">
        <v>-4.4336820000000004E-6</v>
      </c>
      <c r="I230">
        <v>367.0573</v>
      </c>
      <c r="J230">
        <v>-417.17399999999998</v>
      </c>
      <c r="K230">
        <v>1.0602940000000001</v>
      </c>
      <c r="L230">
        <v>367.43779999999998</v>
      </c>
      <c r="M230">
        <v>0.99985900000000005</v>
      </c>
      <c r="N230">
        <v>-1.4896939999999999E-2</v>
      </c>
      <c r="O230">
        <v>7.762466E-3</v>
      </c>
      <c r="P230">
        <v>0.9576926</v>
      </c>
      <c r="Q230">
        <v>0.28040769999999998</v>
      </c>
      <c r="R230">
        <v>6.4781309999999995E-2</v>
      </c>
      <c r="S230">
        <v>3.1732480000000001</v>
      </c>
      <c r="T230">
        <v>-0.1252325</v>
      </c>
      <c r="U230">
        <v>-4.4616700000000002E-2</v>
      </c>
      <c r="V230">
        <v>-5.7102970000000003E-2</v>
      </c>
      <c r="W230">
        <v>0.29469699999999999</v>
      </c>
      <c r="X230">
        <v>0.95388309999999998</v>
      </c>
      <c r="Y230">
        <v>2.17953E-2</v>
      </c>
      <c r="Z230">
        <v>-7.8293839999999998E-4</v>
      </c>
      <c r="AA230">
        <v>0.99976220000000005</v>
      </c>
      <c r="AB230">
        <v>37</v>
      </c>
      <c r="AC230">
        <v>26.492100000000001</v>
      </c>
      <c r="AD230">
        <v>-1.0602984336820001</v>
      </c>
      <c r="AE230">
        <v>-0.38049999999998302</v>
      </c>
      <c r="AF230">
        <v>0.58521811924311695</v>
      </c>
      <c r="AG230">
        <v>-1.0602984336820001</v>
      </c>
      <c r="AH230">
        <v>26.4459937765177</v>
      </c>
      <c r="AI230">
        <v>92.295366967217007</v>
      </c>
      <c r="AJ230">
        <v>88.732320021736996</v>
      </c>
      <c r="AK230">
        <v>26.473709597318901</v>
      </c>
      <c r="AL230">
        <v>72.860631288393506</v>
      </c>
      <c r="AM230">
        <v>93.425848793637797</v>
      </c>
      <c r="AN230">
        <v>1.00000001972871</v>
      </c>
    </row>
    <row r="231" spans="1:40" x14ac:dyDescent="0.25">
      <c r="A231" t="str">
        <f>"20190304164559005"</f>
        <v>20190304164559005</v>
      </c>
      <c r="B231" t="str">
        <f>"1551689158998065"</f>
        <v>1551689158998065</v>
      </c>
      <c r="C231" t="s">
        <v>40</v>
      </c>
      <c r="D231">
        <v>4.2586269999999997</v>
      </c>
      <c r="E231">
        <v>0.54513230000000001</v>
      </c>
      <c r="F231" t="s">
        <v>42</v>
      </c>
      <c r="G231">
        <v>-390.3698</v>
      </c>
      <c r="H231" s="1">
        <v>-4.5831430000000003E-6</v>
      </c>
      <c r="I231">
        <v>366.96929999999998</v>
      </c>
      <c r="J231">
        <v>-416.79680000000002</v>
      </c>
      <c r="K231">
        <v>1.0602819999999999</v>
      </c>
      <c r="L231">
        <v>367.44040000000001</v>
      </c>
      <c r="M231">
        <v>0.99986189999999997</v>
      </c>
      <c r="N231">
        <v>-1.4891299999999901E-2</v>
      </c>
      <c r="O231">
        <v>7.3835890000000003E-3</v>
      </c>
      <c r="P231">
        <v>0.95764119999999997</v>
      </c>
      <c r="Q231">
        <v>0.2806671</v>
      </c>
      <c r="R231">
        <v>6.4413849999999995E-2</v>
      </c>
      <c r="S231">
        <v>3.173035</v>
      </c>
      <c r="T231">
        <v>-0.12551619999999999</v>
      </c>
      <c r="U231">
        <v>-5.5450439999999997E-2</v>
      </c>
      <c r="V231">
        <v>-5.7090540000000002E-2</v>
      </c>
      <c r="W231">
        <v>0.29495159999999998</v>
      </c>
      <c r="X231">
        <v>0.95380509999999996</v>
      </c>
      <c r="Y231">
        <v>2.4826689999999998E-2</v>
      </c>
      <c r="Z231">
        <v>-8.5780060000000002E-4</v>
      </c>
      <c r="AA231">
        <v>0.99969140000000001</v>
      </c>
      <c r="AB231">
        <v>37</v>
      </c>
      <c r="AC231">
        <v>26.427</v>
      </c>
      <c r="AD231">
        <v>-1.0602865831429999</v>
      </c>
      <c r="AE231">
        <v>-0.47110000000003499</v>
      </c>
      <c r="AF231">
        <v>0.66516450208753297</v>
      </c>
      <c r="AG231">
        <v>-1.0602865831429999</v>
      </c>
      <c r="AH231">
        <v>26.3803491401573</v>
      </c>
      <c r="AI231">
        <v>92.300879126728901</v>
      </c>
      <c r="AJ231">
        <v>88.555627715587704</v>
      </c>
      <c r="AK231">
        <v>26.410025978969198</v>
      </c>
      <c r="AL231">
        <v>72.845364393164402</v>
      </c>
      <c r="AM231">
        <v>93.425384271212593</v>
      </c>
      <c r="AN231">
        <v>0.99999997244302996</v>
      </c>
    </row>
    <row r="232" spans="1:40" x14ac:dyDescent="0.25">
      <c r="A232" t="str">
        <f>"20190304164559026"</f>
        <v>20190304164559026</v>
      </c>
      <c r="B232" t="str">
        <f>"1551689159018161"</f>
        <v>1551689159018161</v>
      </c>
      <c r="C232" t="s">
        <v>40</v>
      </c>
      <c r="D232">
        <v>4.2372969999999999</v>
      </c>
      <c r="E232">
        <v>0.54513869999999998</v>
      </c>
      <c r="F232" t="s">
        <v>42</v>
      </c>
      <c r="G232">
        <v>-389.91950000000003</v>
      </c>
      <c r="H232" s="1">
        <v>-7.2117380000000001E-7</v>
      </c>
      <c r="I232">
        <v>366.95639999999997</v>
      </c>
      <c r="J232">
        <v>-416.43329999999997</v>
      </c>
      <c r="K232">
        <v>1.060273</v>
      </c>
      <c r="L232">
        <v>367.4427</v>
      </c>
      <c r="M232">
        <v>0.99986459999999999</v>
      </c>
      <c r="N232">
        <v>-1.488603E-2</v>
      </c>
      <c r="O232">
        <v>7.021205E-3</v>
      </c>
      <c r="P232">
        <v>0.95721270000000003</v>
      </c>
      <c r="Q232">
        <v>0.28190349999999997</v>
      </c>
      <c r="R232">
        <v>6.5380140000000003E-2</v>
      </c>
      <c r="S232">
        <v>3.1732179999999999</v>
      </c>
      <c r="T232">
        <v>-0.12517990000000001</v>
      </c>
      <c r="U232">
        <v>-5.7128909999999998E-2</v>
      </c>
      <c r="V232">
        <v>-5.839987E-2</v>
      </c>
      <c r="W232">
        <v>0.29617890000000002</v>
      </c>
      <c r="X232">
        <v>0.95334540000000001</v>
      </c>
      <c r="Y232">
        <v>2.499206E-2</v>
      </c>
      <c r="Z232">
        <v>-8.5122649999999904E-4</v>
      </c>
      <c r="AA232">
        <v>0.99968729999999995</v>
      </c>
      <c r="AB232">
        <v>37</v>
      </c>
      <c r="AC232">
        <v>26.5137999999999</v>
      </c>
      <c r="AD232">
        <v>-1.0602737211738</v>
      </c>
      <c r="AE232">
        <v>-0.48630000000002799</v>
      </c>
      <c r="AF232">
        <v>0.671394148831717</v>
      </c>
      <c r="AG232">
        <v>-1.0602737211738</v>
      </c>
      <c r="AH232">
        <v>26.467420109467898</v>
      </c>
      <c r="AI232">
        <v>92.293281309495896</v>
      </c>
      <c r="AJ232">
        <v>88.546900186619794</v>
      </c>
      <c r="AK232">
        <v>26.497156030751</v>
      </c>
      <c r="AL232">
        <v>72.771756602363098</v>
      </c>
      <c r="AM232">
        <v>93.505434733557294</v>
      </c>
      <c r="AN232">
        <v>0.99999996866119201</v>
      </c>
    </row>
    <row r="233" spans="1:40" x14ac:dyDescent="0.25">
      <c r="A233" t="str">
        <f>"20190304164559049"</f>
        <v>20190304164559049</v>
      </c>
      <c r="B233" t="str">
        <f>"1551689159037685"</f>
        <v>1551689159037685</v>
      </c>
      <c r="C233" t="s">
        <v>40</v>
      </c>
      <c r="D233">
        <v>4.2307030000000001</v>
      </c>
      <c r="E233">
        <v>0.54509090000000004</v>
      </c>
      <c r="F233" t="s">
        <v>42</v>
      </c>
      <c r="G233">
        <v>-388.77319999999997</v>
      </c>
      <c r="H233" s="1">
        <v>-1.109358E-6</v>
      </c>
      <c r="I233">
        <v>366.96359999999999</v>
      </c>
      <c r="J233">
        <v>-416.06580000000002</v>
      </c>
      <c r="K233">
        <v>1.0602689999999999</v>
      </c>
      <c r="L233">
        <v>367.44499999999999</v>
      </c>
      <c r="M233">
        <v>0.99986710000000001</v>
      </c>
      <c r="N233">
        <v>-1.4880859999999999E-2</v>
      </c>
      <c r="O233">
        <v>6.6579009999999999E-3</v>
      </c>
      <c r="P233">
        <v>0.95676300000000003</v>
      </c>
      <c r="Q233">
        <v>0.28315679999999999</v>
      </c>
      <c r="R233">
        <v>6.6535189999999994E-2</v>
      </c>
      <c r="S233">
        <v>3.1736759999999999</v>
      </c>
      <c r="T233">
        <v>-0.12165380000000001</v>
      </c>
      <c r="U233">
        <v>-5.4962160000000003E-2</v>
      </c>
      <c r="V233">
        <v>-5.9899330000000001E-2</v>
      </c>
      <c r="W233">
        <v>0.29742239999999998</v>
      </c>
      <c r="X233">
        <v>0.95286510000000002</v>
      </c>
      <c r="Y233">
        <v>2.3946559999999999E-2</v>
      </c>
      <c r="Z233">
        <v>-7.9309619999999895E-4</v>
      </c>
      <c r="AA233">
        <v>0.99971290000000002</v>
      </c>
      <c r="AB233">
        <v>37</v>
      </c>
      <c r="AC233">
        <v>27.2926</v>
      </c>
      <c r="AD233">
        <v>-1.060270109358</v>
      </c>
      <c r="AE233">
        <v>-0.48140000000000699</v>
      </c>
      <c r="AF233">
        <v>0.66212192507381595</v>
      </c>
      <c r="AG233">
        <v>-1.060270109358</v>
      </c>
      <c r="AH233">
        <v>27.247680411915098</v>
      </c>
      <c r="AI233">
        <v>92.227729735005298</v>
      </c>
      <c r="AJ233">
        <v>88.607979588429799</v>
      </c>
      <c r="AK233">
        <v>27.276338940157</v>
      </c>
      <c r="AL233">
        <v>72.697147137829901</v>
      </c>
      <c r="AM233">
        <v>93.597013686568999</v>
      </c>
      <c r="AN233">
        <v>0.99999995627710803</v>
      </c>
    </row>
    <row r="234" spans="1:40" x14ac:dyDescent="0.25">
      <c r="A234" t="str">
        <f>"20190304164559069"</f>
        <v>20190304164559069</v>
      </c>
      <c r="B234" t="str">
        <f>"1551689159058177"</f>
        <v>1551689159058177</v>
      </c>
      <c r="C234" t="s">
        <v>40</v>
      </c>
      <c r="D234">
        <v>4.2370469999999996</v>
      </c>
      <c r="E234">
        <v>0.54512329999999998</v>
      </c>
      <c r="F234" t="s">
        <v>42</v>
      </c>
      <c r="G234">
        <v>-387.75599999999997</v>
      </c>
      <c r="H234" s="1">
        <v>-1.4439620000000001E-6</v>
      </c>
      <c r="I234">
        <v>367.00700000000001</v>
      </c>
      <c r="J234">
        <v>-415.71379999999999</v>
      </c>
      <c r="K234">
        <v>1.0602659999999999</v>
      </c>
      <c r="L234">
        <v>367.447</v>
      </c>
      <c r="M234">
        <v>0.99986949999999997</v>
      </c>
      <c r="N234">
        <v>-1.487606E-2</v>
      </c>
      <c r="O234">
        <v>6.3116800000000001E-3</v>
      </c>
      <c r="P234">
        <v>0.9564513</v>
      </c>
      <c r="Q234">
        <v>0.28380159999999999</v>
      </c>
      <c r="R234">
        <v>6.8246570000000006E-2</v>
      </c>
      <c r="S234">
        <v>3.1741329999999999</v>
      </c>
      <c r="T234">
        <v>-0.1188787</v>
      </c>
      <c r="U234">
        <v>-4.9102779999999999E-2</v>
      </c>
      <c r="V234">
        <v>-6.1939979999999999E-2</v>
      </c>
      <c r="W234">
        <v>0.29806059999999901</v>
      </c>
      <c r="X234">
        <v>0.95253520000000003</v>
      </c>
      <c r="Y234">
        <v>2.1756210000000002E-2</v>
      </c>
      <c r="Z234">
        <v>-7.1158449999999998E-4</v>
      </c>
      <c r="AA234">
        <v>0.99976310000000002</v>
      </c>
      <c r="AB234">
        <v>37</v>
      </c>
      <c r="AC234">
        <v>27.957799999999999</v>
      </c>
      <c r="AD234">
        <v>-1.0602674439619999</v>
      </c>
      <c r="AE234">
        <v>-0.439999999999997</v>
      </c>
      <c r="AF234">
        <v>0.61558630749445697</v>
      </c>
      <c r="AG234">
        <v>-1.0602674439619999</v>
      </c>
      <c r="AH234">
        <v>27.914328581304801</v>
      </c>
      <c r="AI234">
        <v>92.174686578725101</v>
      </c>
      <c r="AJ234">
        <v>88.736678143292707</v>
      </c>
      <c r="AK234">
        <v>27.941239301429501</v>
      </c>
      <c r="AL234">
        <v>72.658844467998904</v>
      </c>
      <c r="AM234">
        <v>93.720502914904998</v>
      </c>
      <c r="AN234">
        <v>0.99999999481690005</v>
      </c>
    </row>
    <row r="235" spans="1:40" x14ac:dyDescent="0.25">
      <c r="A235" t="str">
        <f>"20190304164559094"</f>
        <v>20190304164559094</v>
      </c>
      <c r="B235" t="str">
        <f>"1551689159088435"</f>
        <v>1551689159088435</v>
      </c>
      <c r="C235" t="s">
        <v>40</v>
      </c>
      <c r="D235">
        <v>4.1950859999999999</v>
      </c>
      <c r="E235">
        <v>0.54514300000000004</v>
      </c>
      <c r="F235" t="s">
        <v>42</v>
      </c>
      <c r="G235">
        <v>-387.12020000000001</v>
      </c>
      <c r="H235" s="1">
        <v>-1.6715809999999999E-6</v>
      </c>
      <c r="I235">
        <v>367.05770000000001</v>
      </c>
      <c r="J235">
        <v>-415.31760000000003</v>
      </c>
      <c r="K235">
        <v>1.0602590000000001</v>
      </c>
      <c r="L235">
        <v>367.44909999999999</v>
      </c>
      <c r="M235">
        <v>0.99987190000000004</v>
      </c>
      <c r="N235">
        <v>-1.487076E-2</v>
      </c>
      <c r="O235">
        <v>5.9253309999999998E-3</v>
      </c>
      <c r="P235">
        <v>0.95642059999999995</v>
      </c>
      <c r="Q235">
        <v>0.28361249999999999</v>
      </c>
      <c r="R235">
        <v>6.9454160000000001E-2</v>
      </c>
      <c r="S235">
        <v>3.1745909999999999</v>
      </c>
      <c r="T235">
        <v>-0.1177156</v>
      </c>
      <c r="U235">
        <v>-4.3212889999999997E-2</v>
      </c>
      <c r="V235">
        <v>-6.3515450000000001E-2</v>
      </c>
      <c r="W235">
        <v>0.29786770000000001</v>
      </c>
      <c r="X235">
        <v>0.9524918</v>
      </c>
      <c r="Y235">
        <v>1.95158E-2</v>
      </c>
      <c r="Z235">
        <v>-6.3841319999999996E-4</v>
      </c>
      <c r="AA235">
        <v>0.99980930000000001</v>
      </c>
      <c r="AB235">
        <v>37</v>
      </c>
      <c r="AC235">
        <v>28.197399999999998</v>
      </c>
      <c r="AD235">
        <v>-1.0602606715809999</v>
      </c>
      <c r="AE235">
        <v>-0.39139999999997599</v>
      </c>
      <c r="AF235">
        <v>0.557702165013364</v>
      </c>
      <c r="AG235">
        <v>-1.0602606715809999</v>
      </c>
      <c r="AH235">
        <v>28.154786128396498</v>
      </c>
      <c r="AI235">
        <v>92.156218533991705</v>
      </c>
      <c r="AJ235">
        <v>88.865208855962393</v>
      </c>
      <c r="AK235">
        <v>28.1802619990005</v>
      </c>
      <c r="AL235">
        <v>72.6704229088446</v>
      </c>
      <c r="AM235">
        <v>93.8150328320135</v>
      </c>
      <c r="AN235">
        <v>1.00000000407961</v>
      </c>
    </row>
    <row r="236" spans="1:40" x14ac:dyDescent="0.25">
      <c r="A236" t="str">
        <f>"20190304164559116"</f>
        <v>20190304164559116</v>
      </c>
      <c r="B236" t="str">
        <f>"1551689159108539"</f>
        <v>1551689159108539</v>
      </c>
      <c r="C236" t="s">
        <v>40</v>
      </c>
      <c r="D236">
        <v>4.1326080000000003</v>
      </c>
      <c r="E236">
        <v>0.54502399999999995</v>
      </c>
      <c r="F236" t="s">
        <v>42</v>
      </c>
      <c r="G236">
        <v>-387.15750000000003</v>
      </c>
      <c r="H236" s="1">
        <v>-1.6475689999999999E-6</v>
      </c>
      <c r="I236">
        <v>367.10289999999998</v>
      </c>
      <c r="J236">
        <v>-414.95389999999998</v>
      </c>
      <c r="K236">
        <v>1.060265</v>
      </c>
      <c r="L236">
        <v>367.45089999999999</v>
      </c>
      <c r="M236">
        <v>0.99987400000000004</v>
      </c>
      <c r="N236">
        <v>-1.4866010000000001E-2</v>
      </c>
      <c r="O236">
        <v>5.5794859999999998E-3</v>
      </c>
      <c r="P236">
        <v>0.95679049999999999</v>
      </c>
      <c r="Q236">
        <v>0.28228340000000002</v>
      </c>
      <c r="R236">
        <v>6.9771360000000004E-2</v>
      </c>
      <c r="S236">
        <v>3.1750180000000001</v>
      </c>
      <c r="T236">
        <v>-0.1195428</v>
      </c>
      <c r="U236">
        <v>-3.9031980000000001E-2</v>
      </c>
      <c r="V236">
        <v>-6.4164089999999993E-2</v>
      </c>
      <c r="W236">
        <v>0.29653950000000001</v>
      </c>
      <c r="X236">
        <v>0.95286269999999995</v>
      </c>
      <c r="Y236">
        <v>1.7852929999999999E-2</v>
      </c>
      <c r="Z236">
        <v>-5.9580240000000001E-4</v>
      </c>
      <c r="AA236">
        <v>0.99984039999999996</v>
      </c>
      <c r="AB236">
        <v>37</v>
      </c>
      <c r="AC236">
        <v>27.796399999999899</v>
      </c>
      <c r="AD236">
        <v>-1.0602666475689999</v>
      </c>
      <c r="AE236">
        <v>-0.34800000000001302</v>
      </c>
      <c r="AF236">
        <v>0.50237051765862195</v>
      </c>
      <c r="AG236">
        <v>-1.0602666475689999</v>
      </c>
      <c r="AH236">
        <v>27.753651051658501</v>
      </c>
      <c r="AI236">
        <v>92.187436214831806</v>
      </c>
      <c r="AJ236">
        <v>88.962998874185899</v>
      </c>
      <c r="AK236">
        <v>27.778439268579898</v>
      </c>
      <c r="AL236">
        <v>72.750124758537794</v>
      </c>
      <c r="AM236">
        <v>93.852380750962794</v>
      </c>
      <c r="AN236">
        <v>1.00000001527853</v>
      </c>
    </row>
    <row r="237" spans="1:40" x14ac:dyDescent="0.25">
      <c r="A237" t="str">
        <f>"20190304164559137"</f>
        <v>20190304164559137</v>
      </c>
      <c r="B237" t="str">
        <f>"1551689159128059"</f>
        <v>1551689159128059</v>
      </c>
      <c r="C237" t="s">
        <v>40</v>
      </c>
      <c r="D237">
        <v>4.1201499999999998</v>
      </c>
      <c r="E237">
        <v>0.5451606</v>
      </c>
      <c r="F237" t="s">
        <v>42</v>
      </c>
      <c r="G237">
        <v>-387.95569999999998</v>
      </c>
      <c r="H237" s="1">
        <v>-1.340602E-6</v>
      </c>
      <c r="I237">
        <v>367.14</v>
      </c>
      <c r="J237">
        <v>-414.5847</v>
      </c>
      <c r="K237">
        <v>1.060276</v>
      </c>
      <c r="L237">
        <v>367.45269999999999</v>
      </c>
      <c r="M237">
        <v>0.99987599999999999</v>
      </c>
      <c r="N237">
        <v>-1.4861269999999999E-2</v>
      </c>
      <c r="O237">
        <v>5.2431200000000004E-3</v>
      </c>
      <c r="P237">
        <v>0.95699889999999999</v>
      </c>
      <c r="Q237">
        <v>0.28169369999999999</v>
      </c>
      <c r="R237">
        <v>6.9296490000000002E-2</v>
      </c>
      <c r="S237">
        <v>3.1749269999999998</v>
      </c>
      <c r="T237">
        <v>-0.1246849</v>
      </c>
      <c r="U237">
        <v>-3.6560059999999998E-2</v>
      </c>
      <c r="V237">
        <v>-6.4017389999999993E-2</v>
      </c>
      <c r="W237">
        <v>0.2959466</v>
      </c>
      <c r="X237">
        <v>0.95305689999999998</v>
      </c>
      <c r="Y237">
        <v>1.6738329999999999E-2</v>
      </c>
      <c r="Z237">
        <v>-5.8090660000000005E-4</v>
      </c>
      <c r="AA237">
        <v>0.99985979999999997</v>
      </c>
      <c r="AB237">
        <v>37</v>
      </c>
      <c r="AC237">
        <v>26.629000000000001</v>
      </c>
      <c r="AD237">
        <v>-1.0602773406020001</v>
      </c>
      <c r="AE237">
        <v>-0.31270000000000597</v>
      </c>
      <c r="AF237">
        <v>0.45161426384411502</v>
      </c>
      <c r="AG237">
        <v>-1.0602773406020001</v>
      </c>
      <c r="AH237">
        <v>26.584853309728398</v>
      </c>
      <c r="AI237">
        <v>92.283574295304106</v>
      </c>
      <c r="AJ237">
        <v>89.026772788505397</v>
      </c>
      <c r="AK237">
        <v>26.609820912251099</v>
      </c>
      <c r="AL237">
        <v>72.785692303500099</v>
      </c>
      <c r="AM237">
        <v>93.842818539533795</v>
      </c>
      <c r="AN237">
        <v>1.0000000354557901</v>
      </c>
    </row>
    <row r="238" spans="1:40" x14ac:dyDescent="0.25">
      <c r="A238" t="str">
        <f>"20190304164559161"</f>
        <v>20190304164559161</v>
      </c>
      <c r="B238" t="str">
        <f>"1551689159147579"</f>
        <v>1551689159147579</v>
      </c>
      <c r="C238" t="s">
        <v>40</v>
      </c>
      <c r="D238">
        <v>4.1157779999999997</v>
      </c>
      <c r="E238">
        <v>0.54525639999999997</v>
      </c>
      <c r="F238" t="s">
        <v>42</v>
      </c>
      <c r="G238">
        <v>-388.28250000000003</v>
      </c>
      <c r="H238" s="1">
        <v>-1.233065E-6</v>
      </c>
      <c r="I238">
        <v>367.12630000000001</v>
      </c>
      <c r="J238">
        <v>-414.21359999999999</v>
      </c>
      <c r="K238">
        <v>1.0602940000000001</v>
      </c>
      <c r="L238">
        <v>367.45429999999999</v>
      </c>
      <c r="M238">
        <v>0.99987749999999997</v>
      </c>
      <c r="N238">
        <v>-1.485655E-2</v>
      </c>
      <c r="O238">
        <v>4.9215550000000002E-3</v>
      </c>
      <c r="P238">
        <v>0.95694670000000004</v>
      </c>
      <c r="Q238">
        <v>0.28218169999999998</v>
      </c>
      <c r="R238">
        <v>6.8019380000000004E-2</v>
      </c>
      <c r="S238">
        <v>3.1753230000000001</v>
      </c>
      <c r="T238">
        <v>-0.128001</v>
      </c>
      <c r="U238">
        <v>-3.939819E-2</v>
      </c>
      <c r="V238">
        <v>-6.3057299999999997E-2</v>
      </c>
      <c r="W238">
        <v>0.29642570000000001</v>
      </c>
      <c r="X238">
        <v>0.95297200000000004</v>
      </c>
      <c r="Y238">
        <v>1.7307400000000001E-2</v>
      </c>
      <c r="Z238">
        <v>-6.025402E-4</v>
      </c>
      <c r="AA238">
        <v>0.99985000000000002</v>
      </c>
      <c r="AB238">
        <v>37</v>
      </c>
      <c r="AC238">
        <v>25.931099999999901</v>
      </c>
      <c r="AD238">
        <v>-1.060295233065</v>
      </c>
      <c r="AE238">
        <v>-0.32799999999997398</v>
      </c>
      <c r="AF238">
        <v>0.45487107117683501</v>
      </c>
      <c r="AG238">
        <v>-1.060295233065</v>
      </c>
      <c r="AH238">
        <v>25.885899577051099</v>
      </c>
      <c r="AI238">
        <v>92.345181777161699</v>
      </c>
      <c r="AJ238">
        <v>88.993293220509202</v>
      </c>
      <c r="AK238">
        <v>25.911598379602601</v>
      </c>
      <c r="AL238">
        <v>72.756952168133296</v>
      </c>
      <c r="AM238">
        <v>93.785691598947594</v>
      </c>
      <c r="AN238">
        <v>1.0000000257438899</v>
      </c>
    </row>
    <row r="239" spans="1:40" x14ac:dyDescent="0.25">
      <c r="A239" t="str">
        <f>"20190304164559195"</f>
        <v>20190304164559195</v>
      </c>
      <c r="B239" t="str">
        <f>"1551689159187595"</f>
        <v>1551689159187595</v>
      </c>
      <c r="C239" t="s">
        <v>40</v>
      </c>
      <c r="D239">
        <v>4.027984</v>
      </c>
      <c r="E239">
        <v>0.54538039999999999</v>
      </c>
      <c r="F239" t="s">
        <v>42</v>
      </c>
      <c r="G239">
        <v>-387.41820000000001</v>
      </c>
      <c r="H239" s="1">
        <v>-1.5416119999999999E-6</v>
      </c>
      <c r="I239">
        <v>367.07209999999998</v>
      </c>
      <c r="J239">
        <v>-413.64929999999998</v>
      </c>
      <c r="K239">
        <v>1.06033</v>
      </c>
      <c r="L239">
        <v>367.45650000000001</v>
      </c>
      <c r="M239">
        <v>0.99987979999999999</v>
      </c>
      <c r="N239">
        <v>-1.484948E-2</v>
      </c>
      <c r="O239">
        <v>4.4807060000000001E-3</v>
      </c>
      <c r="P239">
        <v>0.95694710000000005</v>
      </c>
      <c r="Q239">
        <v>0.28289940000000002</v>
      </c>
      <c r="R239">
        <v>6.4962610000000004E-2</v>
      </c>
      <c r="S239">
        <v>3.1752319999999998</v>
      </c>
      <c r="T239">
        <v>-0.1256437</v>
      </c>
      <c r="U239">
        <v>-4.5288090000000003E-2</v>
      </c>
      <c r="V239">
        <v>-6.044306E-2</v>
      </c>
      <c r="W239">
        <v>0.2971297</v>
      </c>
      <c r="X239">
        <v>0.95292220000000005</v>
      </c>
      <c r="Y239">
        <v>1.8720549999999999E-2</v>
      </c>
      <c r="Z239">
        <v>-6.200108E-4</v>
      </c>
      <c r="AA239">
        <v>0.99982459999999995</v>
      </c>
      <c r="AB239">
        <v>37</v>
      </c>
      <c r="AC239">
        <v>26.231099999999898</v>
      </c>
      <c r="AD239">
        <v>-1.0603315416120001</v>
      </c>
      <c r="AE239">
        <v>-0.384400000000027</v>
      </c>
      <c r="AF239">
        <v>0.50112427848791197</v>
      </c>
      <c r="AG239">
        <v>-1.0603315416120001</v>
      </c>
      <c r="AH239">
        <v>26.186334932974901</v>
      </c>
      <c r="AI239">
        <v>92.318317889950904</v>
      </c>
      <c r="AJ239">
        <v>88.903672392096297</v>
      </c>
      <c r="AK239">
        <v>26.212584110357501</v>
      </c>
      <c r="AL239">
        <v>72.714713718522006</v>
      </c>
      <c r="AM239">
        <v>93.629361409196306</v>
      </c>
      <c r="AN239">
        <v>1.0000000706885399</v>
      </c>
    </row>
    <row r="240" spans="1:40" x14ac:dyDescent="0.25">
      <c r="A240" t="str">
        <f>"20190304164559216"</f>
        <v>20190304164559216</v>
      </c>
      <c r="B240" t="str">
        <f>"1551689159207822"</f>
        <v>1551689159207822</v>
      </c>
      <c r="C240" t="s">
        <v>40</v>
      </c>
      <c r="D240">
        <v>4.0157639999999999</v>
      </c>
      <c r="E240">
        <v>0.54537429999999998</v>
      </c>
      <c r="F240" t="s">
        <v>42</v>
      </c>
      <c r="G240">
        <v>-386.20069999999998</v>
      </c>
      <c r="H240" s="1">
        <v>-2.080736E-6</v>
      </c>
      <c r="I240">
        <v>366.97500000000002</v>
      </c>
      <c r="J240">
        <v>-413.2869</v>
      </c>
      <c r="K240">
        <v>1.0603549999999999</v>
      </c>
      <c r="L240">
        <v>367.45800000000003</v>
      </c>
      <c r="M240">
        <v>0.99988100000000002</v>
      </c>
      <c r="N240">
        <v>-1.484502E-2</v>
      </c>
      <c r="O240">
        <v>4.2432659999999999E-3</v>
      </c>
      <c r="P240">
        <v>0.95705469999999904</v>
      </c>
      <c r="Q240">
        <v>0.28285399999999999</v>
      </c>
      <c r="R240">
        <v>6.3564090000000004E-2</v>
      </c>
      <c r="S240">
        <v>3.1749879999999999</v>
      </c>
      <c r="T240">
        <v>-0.1226486</v>
      </c>
      <c r="U240">
        <v>-5.569458E-2</v>
      </c>
      <c r="V240">
        <v>-5.9290799999999998E-2</v>
      </c>
      <c r="W240">
        <v>0.29707650000000002</v>
      </c>
      <c r="X240">
        <v>0.9530111</v>
      </c>
      <c r="Y240">
        <v>2.175823E-2</v>
      </c>
      <c r="Z240">
        <v>-6.8254069999999995E-4</v>
      </c>
      <c r="AA240">
        <v>0.99976299999999996</v>
      </c>
      <c r="AB240">
        <v>37</v>
      </c>
      <c r="AC240">
        <v>27.086200000000002</v>
      </c>
      <c r="AD240">
        <v>-1.0603570807360001</v>
      </c>
      <c r="AE240">
        <v>-0.48300000000000398</v>
      </c>
      <c r="AF240">
        <v>0.59702757597031897</v>
      </c>
      <c r="AG240">
        <v>-1.0603570807360001</v>
      </c>
      <c r="AH240">
        <v>27.0424762250036</v>
      </c>
      <c r="AI240">
        <v>92.244916462815794</v>
      </c>
      <c r="AJ240">
        <v>88.735263589010202</v>
      </c>
      <c r="AK240">
        <v>27.069841511265199</v>
      </c>
      <c r="AL240">
        <v>72.717904762474902</v>
      </c>
      <c r="AM240">
        <v>93.560021279808794</v>
      </c>
      <c r="AN240">
        <v>1.0000000012700401</v>
      </c>
    </row>
    <row r="241" spans="1:40" x14ac:dyDescent="0.25">
      <c r="A241" t="str">
        <f>"20190304164559239"</f>
        <v>20190304164559239</v>
      </c>
      <c r="B241" t="str">
        <f>"1551689159228314"</f>
        <v>1551689159228314</v>
      </c>
      <c r="C241" t="s">
        <v>40</v>
      </c>
      <c r="D241">
        <v>4.0210269999999904</v>
      </c>
      <c r="E241">
        <v>0.54527239999999999</v>
      </c>
      <c r="F241" t="s">
        <v>42</v>
      </c>
      <c r="G241">
        <v>-385.60050000000001</v>
      </c>
      <c r="H241" s="1">
        <v>-2.3475340000000001E-6</v>
      </c>
      <c r="I241">
        <v>366.92239999999998</v>
      </c>
      <c r="J241">
        <v>-412.92270000000002</v>
      </c>
      <c r="K241">
        <v>1.0603819999999999</v>
      </c>
      <c r="L241">
        <v>367.45929999999998</v>
      </c>
      <c r="M241">
        <v>0.99988169999999998</v>
      </c>
      <c r="N241">
        <v>-1.4840570000000001E-2</v>
      </c>
      <c r="O241">
        <v>4.0366040000000001E-3</v>
      </c>
      <c r="P241">
        <v>0.95710300000000004</v>
      </c>
      <c r="Q241">
        <v>0.28285579999999999</v>
      </c>
      <c r="R241">
        <v>6.2821749999999996E-2</v>
      </c>
      <c r="S241">
        <v>3.174652</v>
      </c>
      <c r="T241">
        <v>-0.1215851</v>
      </c>
      <c r="U241">
        <v>-6.1401369999999997E-2</v>
      </c>
      <c r="V241">
        <v>-5.8767420000000001E-2</v>
      </c>
      <c r="W241">
        <v>0.297070099999999</v>
      </c>
      <c r="X241">
        <v>0.95304549999999999</v>
      </c>
      <c r="Y241">
        <v>2.3348790000000001E-2</v>
      </c>
      <c r="Z241">
        <v>-7.1491509999999905E-4</v>
      </c>
      <c r="AA241">
        <v>0.99972709999999998</v>
      </c>
      <c r="AB241">
        <v>37</v>
      </c>
      <c r="AC241">
        <v>27.322199999999999</v>
      </c>
      <c r="AD241">
        <v>-1.060384347534</v>
      </c>
      <c r="AE241">
        <v>-0.53690000000000204</v>
      </c>
      <c r="AF241">
        <v>0.64622368181572898</v>
      </c>
      <c r="AG241">
        <v>-1.060384347534</v>
      </c>
      <c r="AH241">
        <v>27.278737292350101</v>
      </c>
      <c r="AI241">
        <v>92.225468071389002</v>
      </c>
      <c r="AJ241">
        <v>88.642936979764301</v>
      </c>
      <c r="AK241">
        <v>27.3069868033162</v>
      </c>
      <c r="AL241">
        <v>72.718288583156706</v>
      </c>
      <c r="AM241">
        <v>93.528548475194796</v>
      </c>
      <c r="AN241">
        <v>0.99999998951885805</v>
      </c>
    </row>
    <row r="242" spans="1:40" x14ac:dyDescent="0.25">
      <c r="A242" t="str">
        <f>"20190304164559260"</f>
        <v>20190304164559260</v>
      </c>
      <c r="B242" t="str">
        <f>"1551689159247835"</f>
        <v>1551689159247835</v>
      </c>
      <c r="C242" t="s">
        <v>40</v>
      </c>
      <c r="D242">
        <v>4.0148970000000004</v>
      </c>
      <c r="E242">
        <v>0.54521209999999998</v>
      </c>
      <c r="F242" t="s">
        <v>42</v>
      </c>
      <c r="G242">
        <v>-385.13529999999997</v>
      </c>
      <c r="H242" s="1">
        <v>-2.551705E-6</v>
      </c>
      <c r="I242">
        <v>366.89640000000003</v>
      </c>
      <c r="J242">
        <v>-412.57369999999997</v>
      </c>
      <c r="K242">
        <v>1.0604100000000001</v>
      </c>
      <c r="L242">
        <v>367.46050000000002</v>
      </c>
      <c r="M242">
        <v>0.99988250000000001</v>
      </c>
      <c r="N242">
        <v>-1.483637E-2</v>
      </c>
      <c r="O242">
        <v>3.8678779999999999E-3</v>
      </c>
      <c r="P242">
        <v>0.95707869999999995</v>
      </c>
      <c r="Q242">
        <v>0.28280329999999998</v>
      </c>
      <c r="R242">
        <v>6.3426419999999997E-2</v>
      </c>
      <c r="S242">
        <v>3.1744690000000002</v>
      </c>
      <c r="T242">
        <v>-0.12113980000000001</v>
      </c>
      <c r="U242">
        <v>-6.4300540000000003E-2</v>
      </c>
      <c r="V242">
        <v>-5.955295E-2</v>
      </c>
      <c r="W242">
        <v>0.29700949999999998</v>
      </c>
      <c r="X242">
        <v>0.95301559999999996</v>
      </c>
      <c r="Y242">
        <v>2.409333E-2</v>
      </c>
      <c r="Z242">
        <v>-7.2850509999999999E-4</v>
      </c>
      <c r="AA242">
        <v>0.99970939999999997</v>
      </c>
      <c r="AB242">
        <v>37</v>
      </c>
      <c r="AC242">
        <v>27.438400000000001</v>
      </c>
      <c r="AD242">
        <v>-1.060412551705</v>
      </c>
      <c r="AE242">
        <v>-0.56409999999999605</v>
      </c>
      <c r="AF242">
        <v>0.66923669590603196</v>
      </c>
      <c r="AG242">
        <v>-1.060412551705</v>
      </c>
      <c r="AH242">
        <v>27.395112747373599</v>
      </c>
      <c r="AI242">
        <v>92.216043168097499</v>
      </c>
      <c r="AJ242">
        <v>88.600596626860494</v>
      </c>
      <c r="AK242">
        <v>27.423795415227801</v>
      </c>
      <c r="AL242">
        <v>72.721924399083903</v>
      </c>
      <c r="AM242">
        <v>93.5757040683783</v>
      </c>
      <c r="AN242">
        <v>0.99999996539365499</v>
      </c>
    </row>
    <row r="243" spans="1:40" x14ac:dyDescent="0.25">
      <c r="A243" t="str">
        <f>"20190304164559283"</f>
        <v>20190304164559283</v>
      </c>
      <c r="B243" t="str">
        <f>"1551689159278091"</f>
        <v>1551689159278091</v>
      </c>
      <c r="C243" t="s">
        <v>40</v>
      </c>
      <c r="D243">
        <v>3.9888650000000001</v>
      </c>
      <c r="E243">
        <v>0.5450758</v>
      </c>
      <c r="F243" t="s">
        <v>42</v>
      </c>
      <c r="G243">
        <v>-384.91039999999998</v>
      </c>
      <c r="H243" s="1">
        <v>-2.6440730000000001E-6</v>
      </c>
      <c r="I243">
        <v>366.9196</v>
      </c>
      <c r="J243">
        <v>-412.19159999999999</v>
      </c>
      <c r="K243">
        <v>1.060438</v>
      </c>
      <c r="L243">
        <v>367.46179999999998</v>
      </c>
      <c r="M243">
        <v>0.99988330000000003</v>
      </c>
      <c r="N243">
        <v>-1.4831860000000001E-2</v>
      </c>
      <c r="O243">
        <v>3.710054E-3</v>
      </c>
      <c r="P243">
        <v>0.95684159999999996</v>
      </c>
      <c r="Q243">
        <v>0.28330840000000002</v>
      </c>
      <c r="R243">
        <v>6.4737859999999994E-2</v>
      </c>
      <c r="S243">
        <v>3.1745909999999999</v>
      </c>
      <c r="T243">
        <v>-0.1216911</v>
      </c>
      <c r="U243">
        <v>-6.2072750000000003E-2</v>
      </c>
      <c r="V243">
        <v>-6.1035850000000003E-2</v>
      </c>
      <c r="W243">
        <v>0.29750349999999998</v>
      </c>
      <c r="X243">
        <v>0.9527677</v>
      </c>
      <c r="Y243">
        <v>2.3234189999999998E-2</v>
      </c>
      <c r="Z243">
        <v>-7.0466720000000004E-4</v>
      </c>
      <c r="AA243">
        <v>0.9997298</v>
      </c>
      <c r="AB243">
        <v>37</v>
      </c>
      <c r="AC243">
        <v>27.281199999999998</v>
      </c>
      <c r="AD243">
        <v>-1.0604406440729901</v>
      </c>
      <c r="AE243">
        <v>-0.54219999999997903</v>
      </c>
      <c r="AF243">
        <v>0.64245178946791004</v>
      </c>
      <c r="AG243">
        <v>-1.0604406440729901</v>
      </c>
      <c r="AH243">
        <v>27.237861999430201</v>
      </c>
      <c r="AI243">
        <v>92.228928043485894</v>
      </c>
      <c r="AJ243">
        <v>88.648831094470097</v>
      </c>
      <c r="AK243">
        <v>27.266066914048899</v>
      </c>
      <c r="AL243">
        <v>72.692280896881201</v>
      </c>
      <c r="AM243">
        <v>93.665452183852693</v>
      </c>
      <c r="AN243">
        <v>0.99999999883038104</v>
      </c>
    </row>
    <row r="244" spans="1:40" x14ac:dyDescent="0.25">
      <c r="A244" t="str">
        <f>"20190304164559306"</f>
        <v>20190304164559306</v>
      </c>
      <c r="B244" t="str">
        <f>"1551689159298587"</f>
        <v>1551689159298587</v>
      </c>
      <c r="C244" t="s">
        <v>40</v>
      </c>
      <c r="D244">
        <v>3.9677349999999998</v>
      </c>
      <c r="E244">
        <v>0.54497119999999999</v>
      </c>
      <c r="F244" t="s">
        <v>42</v>
      </c>
      <c r="G244">
        <v>-384.09649999999999</v>
      </c>
      <c r="H244" s="1">
        <v>-2.9869070000000001E-6</v>
      </c>
      <c r="I244">
        <v>366.9554</v>
      </c>
      <c r="J244">
        <v>-411.80829999999997</v>
      </c>
      <c r="K244">
        <v>1.0604610000000001</v>
      </c>
      <c r="L244">
        <v>367.4631</v>
      </c>
      <c r="M244">
        <v>0.99988379999999999</v>
      </c>
      <c r="N244">
        <v>-1.482735E-2</v>
      </c>
      <c r="O244">
        <v>3.573227E-3</v>
      </c>
      <c r="P244">
        <v>0.95677979999999996</v>
      </c>
      <c r="Q244">
        <v>0.28322229999999998</v>
      </c>
      <c r="R244">
        <v>6.6014719999999999E-2</v>
      </c>
      <c r="S244">
        <v>3.174652</v>
      </c>
      <c r="T244">
        <v>-0.1198258</v>
      </c>
      <c r="U244">
        <v>-5.7220460000000001E-2</v>
      </c>
      <c r="V244">
        <v>-6.2459260000000003E-2</v>
      </c>
      <c r="W244">
        <v>0.2974097</v>
      </c>
      <c r="X244">
        <v>0.95270469999999896</v>
      </c>
      <c r="Y244">
        <v>2.157183E-2</v>
      </c>
      <c r="Z244">
        <v>-6.4880280000000003E-4</v>
      </c>
      <c r="AA244">
        <v>0.99976710000000002</v>
      </c>
      <c r="AB244">
        <v>37</v>
      </c>
      <c r="AC244">
        <v>27.711799999999901</v>
      </c>
      <c r="AD244">
        <v>-1.0604639869070001</v>
      </c>
      <c r="AE244">
        <v>-0.50769999999999904</v>
      </c>
      <c r="AF244">
        <v>0.605841283561946</v>
      </c>
      <c r="AG244">
        <v>-1.0604639869070001</v>
      </c>
      <c r="AH244">
        <v>27.6693031427581</v>
      </c>
      <c r="AI244">
        <v>92.194339621385694</v>
      </c>
      <c r="AJ244">
        <v>88.745664004597202</v>
      </c>
      <c r="AK244">
        <v>27.696244581788299</v>
      </c>
      <c r="AL244">
        <v>72.697909476180698</v>
      </c>
      <c r="AM244">
        <v>93.750939855960993</v>
      </c>
      <c r="AN244">
        <v>0.99999996710796302</v>
      </c>
    </row>
    <row r="245" spans="1:40" x14ac:dyDescent="0.25">
      <c r="A245" t="str">
        <f>"20190304164559327"</f>
        <v>20190304164559327</v>
      </c>
      <c r="B245" t="str">
        <f>"1551689159318106"</f>
        <v>1551689159318106</v>
      </c>
      <c r="C245" t="s">
        <v>40</v>
      </c>
      <c r="D245">
        <v>4.0583320000000001</v>
      </c>
      <c r="E245">
        <v>0.54500349999999997</v>
      </c>
      <c r="F245" t="s">
        <v>42</v>
      </c>
      <c r="G245">
        <v>-383.87099999999998</v>
      </c>
      <c r="H245" s="1">
        <v>-3.0750880000000001E-6</v>
      </c>
      <c r="I245">
        <v>367.00360000000001</v>
      </c>
      <c r="J245">
        <v>-411.45400000000001</v>
      </c>
      <c r="K245">
        <v>1.0604720000000001</v>
      </c>
      <c r="L245">
        <v>367.46429999999998</v>
      </c>
      <c r="M245">
        <v>0.9998842</v>
      </c>
      <c r="N245">
        <v>-1.482319E-2</v>
      </c>
      <c r="O245">
        <v>3.4593969999999999E-3</v>
      </c>
      <c r="P245">
        <v>0.95669380000000004</v>
      </c>
      <c r="Q245">
        <v>0.28315220000000002</v>
      </c>
      <c r="R245">
        <v>6.7543249999999999E-2</v>
      </c>
      <c r="S245">
        <v>3.1748349999999999</v>
      </c>
      <c r="T245">
        <v>-0.1205121</v>
      </c>
      <c r="U245">
        <v>-5.2215579999999998E-2</v>
      </c>
      <c r="V245">
        <v>-6.4107540000000005E-2</v>
      </c>
      <c r="W245">
        <v>0.29733320000000002</v>
      </c>
      <c r="X245">
        <v>0.95261910000000005</v>
      </c>
      <c r="Y245">
        <v>1.9882859999999999E-2</v>
      </c>
      <c r="Z245">
        <v>-6.0464760000000003E-4</v>
      </c>
      <c r="AA245">
        <v>0.99980210000000003</v>
      </c>
      <c r="AB245">
        <v>37</v>
      </c>
      <c r="AC245">
        <v>27.582999999999998</v>
      </c>
      <c r="AD245">
        <v>-1.0604750750880001</v>
      </c>
      <c r="AE245">
        <v>-0.46069999999997402</v>
      </c>
      <c r="AF245">
        <v>0.55530767192938602</v>
      </c>
      <c r="AG245">
        <v>-1.0604750750880001</v>
      </c>
      <c r="AH245">
        <v>27.540543348350798</v>
      </c>
      <c r="AI245">
        <v>92.2046919153196</v>
      </c>
      <c r="AJ245">
        <v>88.844885709261803</v>
      </c>
      <c r="AK245">
        <v>27.566546789864301</v>
      </c>
      <c r="AL245">
        <v>72.702500496908101</v>
      </c>
      <c r="AM245">
        <v>93.849977016872302</v>
      </c>
      <c r="AN245">
        <v>0.99999997909594995</v>
      </c>
    </row>
    <row r="246" spans="1:40" x14ac:dyDescent="0.25">
      <c r="A246" t="str">
        <f>"20190304164559350"</f>
        <v>20190304164559350</v>
      </c>
      <c r="B246" t="str">
        <f>"1551689159337626"</f>
        <v>1551689159337626</v>
      </c>
      <c r="C246" t="s">
        <v>40</v>
      </c>
      <c r="D246">
        <v>3.9379430000000002</v>
      </c>
      <c r="E246">
        <v>0.54508999999999996</v>
      </c>
      <c r="F246" t="s">
        <v>42</v>
      </c>
      <c r="G246">
        <v>-383.8381</v>
      </c>
      <c r="H246" s="1">
        <v>-3.0789599999999901E-6</v>
      </c>
      <c r="I246">
        <v>367.06139999999999</v>
      </c>
      <c r="J246">
        <v>-411.10309999999998</v>
      </c>
      <c r="K246">
        <v>1.0604769999999999</v>
      </c>
      <c r="L246">
        <v>367.46539999999999</v>
      </c>
      <c r="M246">
        <v>0.99988449999999995</v>
      </c>
      <c r="N246">
        <v>-1.481905E-2</v>
      </c>
      <c r="O246">
        <v>3.3536600000000001E-3</v>
      </c>
      <c r="P246">
        <v>0.95674510000000001</v>
      </c>
      <c r="Q246">
        <v>0.2827382</v>
      </c>
      <c r="R246">
        <v>6.8541640000000001E-2</v>
      </c>
      <c r="S246">
        <v>3.1752009999999999</v>
      </c>
      <c r="T246">
        <v>-0.1219302</v>
      </c>
      <c r="U246">
        <v>-4.6325680000000001E-2</v>
      </c>
      <c r="V246">
        <v>-6.5215670000000003E-2</v>
      </c>
      <c r="W246">
        <v>0.29691440000000002</v>
      </c>
      <c r="X246">
        <v>0.95267460000000004</v>
      </c>
      <c r="Y246">
        <v>1.792264E-2</v>
      </c>
      <c r="Z246">
        <v>-5.5589989999999998E-4</v>
      </c>
      <c r="AA246">
        <v>0.99983920000000004</v>
      </c>
      <c r="AB246">
        <v>37</v>
      </c>
      <c r="AC246">
        <v>27.264999999999901</v>
      </c>
      <c r="AD246">
        <v>-1.06048007896</v>
      </c>
      <c r="AE246">
        <v>-0.40399999999999597</v>
      </c>
      <c r="AF246">
        <v>0.49469708035628401</v>
      </c>
      <c r="AG246">
        <v>-1.06048007896</v>
      </c>
      <c r="AH246">
        <v>27.222317545061799</v>
      </c>
      <c r="AI246">
        <v>92.230534144612093</v>
      </c>
      <c r="AJ246">
        <v>88.958908061082795</v>
      </c>
      <c r="AK246">
        <v>27.247457050583002</v>
      </c>
      <c r="AL246">
        <v>72.727632486404801</v>
      </c>
      <c r="AM246">
        <v>93.916092961589101</v>
      </c>
      <c r="AN246">
        <v>1.00000006901303</v>
      </c>
    </row>
    <row r="247" spans="1:40" x14ac:dyDescent="0.25">
      <c r="A247" t="str">
        <f>"20190304164559375"</f>
        <v>20190304164559375</v>
      </c>
      <c r="B247" t="str">
        <f>"1551689159367882"</f>
        <v>1551689159367882</v>
      </c>
      <c r="C247" t="s">
        <v>40</v>
      </c>
      <c r="D247">
        <v>3.9255369999999998</v>
      </c>
      <c r="E247">
        <v>0.54519799999999996</v>
      </c>
      <c r="F247" t="s">
        <v>42</v>
      </c>
      <c r="G247">
        <v>-383.8811</v>
      </c>
      <c r="H247" s="1">
        <v>-3.0541199999999998E-6</v>
      </c>
      <c r="I247">
        <v>367.09719999999999</v>
      </c>
      <c r="J247">
        <v>-410.68959999999998</v>
      </c>
      <c r="K247">
        <v>1.0604899999999999</v>
      </c>
      <c r="L247">
        <v>367.4667</v>
      </c>
      <c r="M247">
        <v>0.99988509999999997</v>
      </c>
      <c r="N247">
        <v>-1.481417E-2</v>
      </c>
      <c r="O247">
        <v>3.2328169999999998E-3</v>
      </c>
      <c r="P247">
        <v>0.95659989999999995</v>
      </c>
      <c r="Q247">
        <v>0.28309450000000003</v>
      </c>
      <c r="R247">
        <v>6.9097080000000005E-2</v>
      </c>
      <c r="S247">
        <v>3.1752319999999998</v>
      </c>
      <c r="T247">
        <v>-0.1236963</v>
      </c>
      <c r="U247">
        <v>-4.2938230000000001E-2</v>
      </c>
      <c r="V247">
        <v>-6.5893690000000005E-2</v>
      </c>
      <c r="W247">
        <v>0.29726219999999998</v>
      </c>
      <c r="X247">
        <v>0.95251940000000002</v>
      </c>
      <c r="Y247">
        <v>1.6735969999999999E-2</v>
      </c>
      <c r="Z247">
        <v>-5.2789829999999995E-4</v>
      </c>
      <c r="AA247">
        <v>0.99985979999999997</v>
      </c>
      <c r="AB247">
        <v>37</v>
      </c>
      <c r="AC247">
        <v>26.808499999999899</v>
      </c>
      <c r="AD247">
        <v>-1.0604930541199999</v>
      </c>
      <c r="AE247">
        <v>-0.36950000000001598</v>
      </c>
      <c r="AF247">
        <v>0.45546195856823302</v>
      </c>
      <c r="AG247">
        <v>-1.0604930541199999</v>
      </c>
      <c r="AH247">
        <v>26.7652897155053</v>
      </c>
      <c r="AI247">
        <v>92.268655722016405</v>
      </c>
      <c r="AJ247">
        <v>89.025098186759095</v>
      </c>
      <c r="AK247">
        <v>26.790162833929799</v>
      </c>
      <c r="AL247">
        <v>72.706761527728901</v>
      </c>
      <c r="AM247">
        <v>93.957320923308899</v>
      </c>
      <c r="AN247">
        <v>1.0000000006534999</v>
      </c>
    </row>
    <row r="248" spans="1:40" x14ac:dyDescent="0.25">
      <c r="A248" t="str">
        <f>"20190304164559397"</f>
        <v>20190304164559397</v>
      </c>
      <c r="B248" t="str">
        <f>"1551689159388379"</f>
        <v>1551689159388379</v>
      </c>
      <c r="C248" t="s">
        <v>40</v>
      </c>
      <c r="D248">
        <v>3.9223170000000001</v>
      </c>
      <c r="E248">
        <v>0.5451627</v>
      </c>
      <c r="F248" t="s">
        <v>42</v>
      </c>
      <c r="G248">
        <v>-383.2441</v>
      </c>
      <c r="H248" s="1">
        <v>-3.32706E-6</v>
      </c>
      <c r="I248">
        <v>367.0992</v>
      </c>
      <c r="J248">
        <v>-410.32569999999998</v>
      </c>
      <c r="K248">
        <v>1.0604979999999999</v>
      </c>
      <c r="L248">
        <v>367.46769999999998</v>
      </c>
      <c r="M248">
        <v>0.99988549999999998</v>
      </c>
      <c r="N248">
        <v>-1.4809900000000001E-2</v>
      </c>
      <c r="O248">
        <v>3.1276440000000002E-3</v>
      </c>
      <c r="P248">
        <v>0.95646830000000005</v>
      </c>
      <c r="Q248">
        <v>0.28356170000000003</v>
      </c>
      <c r="R248">
        <v>6.9003640000000005E-2</v>
      </c>
      <c r="S248">
        <v>3.1754760000000002</v>
      </c>
      <c r="T248">
        <v>-0.1226999</v>
      </c>
      <c r="U248">
        <v>-4.2510989999999999E-2</v>
      </c>
      <c r="V248">
        <v>-6.5905119999999998E-2</v>
      </c>
      <c r="W248">
        <v>0.2977224</v>
      </c>
      <c r="X248">
        <v>0.95237490000000002</v>
      </c>
      <c r="Y248">
        <v>1.6495800000000001E-2</v>
      </c>
      <c r="Z248">
        <v>-5.1528209999999997E-4</v>
      </c>
      <c r="AA248">
        <v>0.99986379999999997</v>
      </c>
      <c r="AB248">
        <v>37</v>
      </c>
      <c r="AC248">
        <v>27.081599999999899</v>
      </c>
      <c r="AD248">
        <v>-1.0605013270600001</v>
      </c>
      <c r="AE248">
        <v>-0.36849999999998301</v>
      </c>
      <c r="AF248">
        <v>0.45251529821285302</v>
      </c>
      <c r="AG248">
        <v>-1.0605013270600001</v>
      </c>
      <c r="AH248">
        <v>27.038859387309099</v>
      </c>
      <c r="AI248">
        <v>92.245754024987093</v>
      </c>
      <c r="AJ248">
        <v>89.041202286672501</v>
      </c>
      <c r="AK248">
        <v>27.0634319724326</v>
      </c>
      <c r="AL248">
        <v>72.679144132054802</v>
      </c>
      <c r="AM248">
        <v>93.958603806488</v>
      </c>
      <c r="AN248">
        <v>1.0000000312269901</v>
      </c>
    </row>
    <row r="249" spans="1:40" x14ac:dyDescent="0.25">
      <c r="A249" t="str">
        <f>"20190304164559417"</f>
        <v>20190304164559417</v>
      </c>
      <c r="B249" t="str">
        <f>"1551689159407902"</f>
        <v>1551689159407902</v>
      </c>
      <c r="C249" t="s">
        <v>40</v>
      </c>
      <c r="D249">
        <v>3.9496910000000001</v>
      </c>
      <c r="E249">
        <v>0.54523750000000004</v>
      </c>
      <c r="F249" t="s">
        <v>42</v>
      </c>
      <c r="G249">
        <v>-382.41070000000002</v>
      </c>
      <c r="H249" s="1">
        <v>-3.6874180000000001E-6</v>
      </c>
      <c r="I249">
        <v>367.08330000000001</v>
      </c>
      <c r="J249">
        <v>-409.98419999999999</v>
      </c>
      <c r="K249">
        <v>1.0605119999999999</v>
      </c>
      <c r="L249">
        <v>367.46870000000001</v>
      </c>
      <c r="M249">
        <v>0.99988589999999999</v>
      </c>
      <c r="N249">
        <v>-1.480594E-2</v>
      </c>
      <c r="O249">
        <v>3.0274569999999999E-3</v>
      </c>
      <c r="P249">
        <v>0.95654609999999995</v>
      </c>
      <c r="Q249">
        <v>0.28342230000000002</v>
      </c>
      <c r="R249">
        <v>6.8495420000000001E-2</v>
      </c>
      <c r="S249">
        <v>3.1754760000000002</v>
      </c>
      <c r="T249">
        <v>-0.1206372</v>
      </c>
      <c r="U249">
        <v>-4.3731689999999997E-2</v>
      </c>
      <c r="V249">
        <v>-6.5496280000000004E-2</v>
      </c>
      <c r="W249">
        <v>0.2975795</v>
      </c>
      <c r="X249">
        <v>0.95244770000000001</v>
      </c>
      <c r="Y249">
        <v>1.678019E-2</v>
      </c>
      <c r="Z249">
        <v>-5.1306300000000002E-4</v>
      </c>
      <c r="AA249">
        <v>0.9998591</v>
      </c>
      <c r="AB249">
        <v>37</v>
      </c>
      <c r="AC249">
        <v>27.5734999999999</v>
      </c>
      <c r="AD249">
        <v>-1.060515687418</v>
      </c>
      <c r="AE249">
        <v>-0.38540000000000402</v>
      </c>
      <c r="AF249">
        <v>0.46819250963880898</v>
      </c>
      <c r="AG249">
        <v>-1.060515687418</v>
      </c>
      <c r="AH249">
        <v>27.531487873888398</v>
      </c>
      <c r="AI249">
        <v>92.205629981853804</v>
      </c>
      <c r="AJ249">
        <v>89.025738476192799</v>
      </c>
      <c r="AK249">
        <v>27.555883623999499</v>
      </c>
      <c r="AL249">
        <v>72.6877193520547</v>
      </c>
      <c r="AM249">
        <v>93.933824345655395</v>
      </c>
      <c r="AN249">
        <v>0.99999997137468799</v>
      </c>
    </row>
    <row r="250" spans="1:40" x14ac:dyDescent="0.25">
      <c r="A250" t="str">
        <f>"20190304164559439"</f>
        <v>20190304164559439</v>
      </c>
      <c r="B250" t="str">
        <f>"1551689159428395"</f>
        <v>1551689159428395</v>
      </c>
      <c r="C250" t="s">
        <v>40</v>
      </c>
      <c r="D250">
        <v>3.931416</v>
      </c>
      <c r="E250">
        <v>0.54889309999999902</v>
      </c>
      <c r="F250" t="s">
        <v>42</v>
      </c>
      <c r="G250">
        <v>-382.32729999999998</v>
      </c>
      <c r="H250" s="1">
        <v>-3.7263409999999999E-6</v>
      </c>
      <c r="I250">
        <v>367.06540000000001</v>
      </c>
      <c r="J250">
        <v>-409.6447</v>
      </c>
      <c r="K250">
        <v>1.060516</v>
      </c>
      <c r="L250">
        <v>367.46949999999998</v>
      </c>
      <c r="M250">
        <v>0.99988630000000001</v>
      </c>
      <c r="N250">
        <v>-1.4802030000000001E-2</v>
      </c>
      <c r="O250">
        <v>2.9260670000000001E-3</v>
      </c>
      <c r="P250">
        <v>0.95646109999999895</v>
      </c>
      <c r="Q250">
        <v>0.28376560000000001</v>
      </c>
      <c r="R250">
        <v>6.826074E-2</v>
      </c>
      <c r="S250">
        <v>3.1757200000000001</v>
      </c>
      <c r="T250">
        <v>-0.1217743</v>
      </c>
      <c r="U250">
        <v>-4.6295169999999997E-2</v>
      </c>
      <c r="V250">
        <v>-6.5361900000000001E-2</v>
      </c>
      <c r="W250">
        <v>0.29791679999999998</v>
      </c>
      <c r="X250">
        <v>0.95235150000000002</v>
      </c>
      <c r="Y250">
        <v>1.748369E-2</v>
      </c>
      <c r="Z250">
        <v>-5.3339839999999995E-4</v>
      </c>
      <c r="AA250">
        <v>0.99984700000000004</v>
      </c>
      <c r="AB250">
        <v>36</v>
      </c>
      <c r="AC250">
        <v>27.317399999999999</v>
      </c>
      <c r="AD250">
        <v>-1.060519726341</v>
      </c>
      <c r="AE250">
        <v>-0.40409999999997098</v>
      </c>
      <c r="AF250">
        <v>0.48331129231228698</v>
      </c>
      <c r="AG250">
        <v>-1.060519726341</v>
      </c>
      <c r="AH250">
        <v>27.2750017339682</v>
      </c>
      <c r="AI250">
        <v>92.226331204529501</v>
      </c>
      <c r="AJ250">
        <v>88.9848286832583</v>
      </c>
      <c r="AK250">
        <v>27.2998903199849</v>
      </c>
      <c r="AL250">
        <v>72.667475613570602</v>
      </c>
      <c r="AM250">
        <v>93.926173819179795</v>
      </c>
      <c r="AN250">
        <v>0.99999998862304895</v>
      </c>
    </row>
    <row r="251" spans="1:40" x14ac:dyDescent="0.25">
      <c r="A251" t="str">
        <f>"20190304164559552"</f>
        <v>20190304164559552</v>
      </c>
      <c r="B251" t="str">
        <f>"1551689159548443"</f>
        <v>1551689159548443</v>
      </c>
      <c r="C251" t="s">
        <v>40</v>
      </c>
      <c r="D251">
        <v>4.0923439999999998</v>
      </c>
      <c r="E251">
        <v>0.54537209999999903</v>
      </c>
      <c r="F251" t="s">
        <v>42</v>
      </c>
      <c r="G251">
        <v>-391.1164</v>
      </c>
      <c r="H251" s="1">
        <v>-4.245966E-6</v>
      </c>
      <c r="I251">
        <v>367.06470000000002</v>
      </c>
      <c r="J251">
        <v>-407.80950000000001</v>
      </c>
      <c r="K251">
        <v>1.0605230000000001</v>
      </c>
      <c r="L251">
        <v>367.47399999999999</v>
      </c>
      <c r="M251">
        <v>0.999888</v>
      </c>
      <c r="N251">
        <v>-1.478175E-2</v>
      </c>
      <c r="O251">
        <v>2.3728389999999999E-3</v>
      </c>
      <c r="P251">
        <v>0.95669910000000002</v>
      </c>
      <c r="Q251">
        <v>0.28275129999999998</v>
      </c>
      <c r="R251">
        <v>6.9127430000000004E-2</v>
      </c>
      <c r="S251">
        <v>3.1958009999999999</v>
      </c>
      <c r="T251">
        <v>-0.18292030000000001</v>
      </c>
      <c r="U251">
        <v>-6.9824220000000006E-2</v>
      </c>
      <c r="V251">
        <v>-6.6765270000000002E-2</v>
      </c>
      <c r="W251">
        <v>0.29688560000000003</v>
      </c>
      <c r="X251">
        <v>0.95257619999999998</v>
      </c>
      <c r="Y251">
        <v>2.4164100000000001E-2</v>
      </c>
      <c r="Z251">
        <v>-9.7034849999999995E-4</v>
      </c>
      <c r="AA251">
        <v>0.99970749999999997</v>
      </c>
      <c r="AB251">
        <v>36</v>
      </c>
      <c r="AC251">
        <v>16.693100000000001</v>
      </c>
      <c r="AD251">
        <v>-1.06052724596599</v>
      </c>
      <c r="AE251">
        <v>-0.40929999999997302</v>
      </c>
      <c r="AF251">
        <v>0.44710968412409202</v>
      </c>
      <c r="AG251">
        <v>-1.06052724596599</v>
      </c>
      <c r="AH251">
        <v>16.625020559423302</v>
      </c>
      <c r="AI251">
        <v>93.648695666095307</v>
      </c>
      <c r="AJ251">
        <v>88.459471114800294</v>
      </c>
      <c r="AK251">
        <v>16.664811241364799</v>
      </c>
      <c r="AL251">
        <v>72.729359985975805</v>
      </c>
      <c r="AM251">
        <v>94.009256749004805</v>
      </c>
      <c r="AN251">
        <v>1.00000003878598</v>
      </c>
    </row>
    <row r="252" spans="1:40" x14ac:dyDescent="0.25">
      <c r="A252" t="str">
        <f>"20190304164559576"</f>
        <v>20190304164559576</v>
      </c>
      <c r="B252" t="str">
        <f>"1551689159567963"</f>
        <v>1551689159567963</v>
      </c>
      <c r="C252" t="s">
        <v>40</v>
      </c>
      <c r="D252">
        <v>4.6396959999999998</v>
      </c>
      <c r="E252">
        <v>0.54760779999999998</v>
      </c>
      <c r="F252" t="s">
        <v>41</v>
      </c>
      <c r="G252">
        <v>-407.04169999999999</v>
      </c>
      <c r="H252">
        <v>0.98734100000000002</v>
      </c>
      <c r="I252">
        <v>367.46769999999998</v>
      </c>
      <c r="J252">
        <v>-407.42619999999999</v>
      </c>
      <c r="K252">
        <v>1.0605279999999999</v>
      </c>
      <c r="L252">
        <v>367.47480000000002</v>
      </c>
      <c r="M252">
        <v>0.99988840000000001</v>
      </c>
      <c r="N252">
        <v>-1.477762E-2</v>
      </c>
      <c r="O252">
        <v>2.2575569999999999E-3</v>
      </c>
      <c r="P252">
        <v>0.95673770000000002</v>
      </c>
      <c r="Q252">
        <v>0.28263149999999998</v>
      </c>
      <c r="R252">
        <v>6.9085320000000006E-2</v>
      </c>
      <c r="S252">
        <v>3.2286069999999998</v>
      </c>
      <c r="T252">
        <v>-0.30786259999999999</v>
      </c>
      <c r="U252">
        <v>-2.529907E-2</v>
      </c>
      <c r="V252">
        <v>-6.6834260000000006E-2</v>
      </c>
      <c r="W252">
        <v>0.29676180000000002</v>
      </c>
      <c r="X252">
        <v>0.95260990000000001</v>
      </c>
      <c r="Y252">
        <v>1.0033479999999999E-2</v>
      </c>
      <c r="Z252">
        <v>-7.3309359999999997E-4</v>
      </c>
      <c r="AA252">
        <v>0.99994939999999999</v>
      </c>
      <c r="AB252">
        <v>36</v>
      </c>
      <c r="AC252">
        <v>0.38450000000000201</v>
      </c>
      <c r="AD252">
        <v>-7.3187000000000099E-2</v>
      </c>
      <c r="AE252">
        <v>-7.1000000000367401E-3</v>
      </c>
      <c r="AF252">
        <v>7.6896034636478299E-3</v>
      </c>
      <c r="AG252">
        <v>-7.3187000000000099E-2</v>
      </c>
      <c r="AH252">
        <v>0.37104441986201703</v>
      </c>
      <c r="AI252">
        <v>101.155789383791</v>
      </c>
      <c r="AJ252">
        <v>88.812760031783796</v>
      </c>
      <c r="AK252">
        <v>0.37827163319652801</v>
      </c>
      <c r="AL252">
        <v>72.736787326425898</v>
      </c>
      <c r="AM252">
        <v>94.013244554096104</v>
      </c>
      <c r="AN252">
        <v>1.0000000029134899</v>
      </c>
    </row>
    <row r="253" spans="1:40" x14ac:dyDescent="0.25">
      <c r="A253" t="str">
        <f>"20190304164559599"</f>
        <v>20190304164559599</v>
      </c>
      <c r="B253" t="str">
        <f>"1551689159588459"</f>
        <v>1551689159588459</v>
      </c>
      <c r="C253" t="s">
        <v>40</v>
      </c>
      <c r="D253">
        <v>4.0465879999999999</v>
      </c>
      <c r="E253">
        <v>0.54721830000000005</v>
      </c>
      <c r="F253" t="s">
        <v>41</v>
      </c>
      <c r="G253">
        <v>-406.39769999999999</v>
      </c>
      <c r="H253">
        <v>0.98636469999999998</v>
      </c>
      <c r="I253">
        <v>367.45800000000003</v>
      </c>
      <c r="J253">
        <v>-407.05470000000003</v>
      </c>
      <c r="K253">
        <v>1.0605279999999999</v>
      </c>
      <c r="L253">
        <v>367.47550000000001</v>
      </c>
      <c r="M253">
        <v>0.99988869999999996</v>
      </c>
      <c r="N253">
        <v>-1.4773649999999999E-2</v>
      </c>
      <c r="O253">
        <v>2.1454949999999999E-3</v>
      </c>
      <c r="P253">
        <v>0.95671170000000005</v>
      </c>
      <c r="Q253">
        <v>0.28267680000000001</v>
      </c>
      <c r="R253">
        <v>6.9257970000000002E-2</v>
      </c>
      <c r="S253">
        <v>3.207703</v>
      </c>
      <c r="T253">
        <v>-0.23145379999999999</v>
      </c>
      <c r="U253">
        <v>-5.1727290000000002E-2</v>
      </c>
      <c r="V253">
        <v>-6.711454E-2</v>
      </c>
      <c r="W253">
        <v>0.29680279999999998</v>
      </c>
      <c r="X253">
        <v>0.95257740000000002</v>
      </c>
      <c r="Y253">
        <v>1.8208709999999999E-2</v>
      </c>
      <c r="Z253">
        <v>-9.1370139999999997E-4</v>
      </c>
      <c r="AA253">
        <v>0.99983379999999999</v>
      </c>
      <c r="AB253">
        <v>36</v>
      </c>
      <c r="AC253">
        <v>0.657000000000039</v>
      </c>
      <c r="AD253">
        <v>-7.4163300000000196E-2</v>
      </c>
      <c r="AE253">
        <v>-1.7499999999984001E-2</v>
      </c>
      <c r="AF253">
        <v>1.8671948956033101E-2</v>
      </c>
      <c r="AG253">
        <v>-7.4163300000000196E-2</v>
      </c>
      <c r="AH253">
        <v>0.64870086565984797</v>
      </c>
      <c r="AI253">
        <v>96.519396801908997</v>
      </c>
      <c r="AJ253">
        <v>88.351276180375194</v>
      </c>
      <c r="AK253">
        <v>0.65319342453253704</v>
      </c>
      <c r="AL253">
        <v>72.7343270167257</v>
      </c>
      <c r="AM253">
        <v>94.030156431172102</v>
      </c>
      <c r="AN253">
        <v>0.99999998327900497</v>
      </c>
    </row>
    <row r="254" spans="1:40" x14ac:dyDescent="0.25">
      <c r="A254" t="str">
        <f>"20190304164559617"</f>
        <v>20190304164559617</v>
      </c>
      <c r="B254" t="str">
        <f>"1551689159607988"</f>
        <v>1551689159607988</v>
      </c>
      <c r="C254" t="s">
        <v>40</v>
      </c>
      <c r="D254">
        <v>4.1016649999999997</v>
      </c>
      <c r="E254">
        <v>0.54673169999999904</v>
      </c>
      <c r="F254" t="s">
        <v>41</v>
      </c>
      <c r="G254">
        <v>-406.06909999999999</v>
      </c>
      <c r="H254">
        <v>0.99293149999999997</v>
      </c>
      <c r="I254">
        <v>367.46</v>
      </c>
      <c r="J254">
        <v>-406.74360000000001</v>
      </c>
      <c r="K254">
        <v>1.0605290000000001</v>
      </c>
      <c r="L254">
        <v>367.476</v>
      </c>
      <c r="M254">
        <v>0.99988880000000002</v>
      </c>
      <c r="N254">
        <v>-1.477033E-2</v>
      </c>
      <c r="O254">
        <v>2.0517170000000002E-3</v>
      </c>
      <c r="P254">
        <v>0.95692449999999996</v>
      </c>
      <c r="Q254">
        <v>0.28195779999999998</v>
      </c>
      <c r="R254">
        <v>6.9249870000000005E-2</v>
      </c>
      <c r="S254">
        <v>3.2043149999999998</v>
      </c>
      <c r="T254">
        <v>-0.21979389999999999</v>
      </c>
      <c r="U254">
        <v>-5.0109859999999999E-2</v>
      </c>
      <c r="V254">
        <v>-6.7196569999999997E-2</v>
      </c>
      <c r="W254">
        <v>0.29608370000000001</v>
      </c>
      <c r="X254">
        <v>0.95279539999999996</v>
      </c>
      <c r="Y254">
        <v>1.7634650000000002E-2</v>
      </c>
      <c r="Z254">
        <v>-8.4478089999999895E-4</v>
      </c>
      <c r="AA254">
        <v>0.99984410000000001</v>
      </c>
      <c r="AB254">
        <v>36</v>
      </c>
      <c r="AC254">
        <v>0.67450000000002297</v>
      </c>
      <c r="AD254">
        <v>-6.7597499999999894E-2</v>
      </c>
      <c r="AE254">
        <v>-1.6000000000019499E-2</v>
      </c>
      <c r="AF254">
        <v>1.7211231748024101E-2</v>
      </c>
      <c r="AG254">
        <v>-6.7597499999999894E-2</v>
      </c>
      <c r="AH254">
        <v>0.66776265695159698</v>
      </c>
      <c r="AI254">
        <v>95.778444925736096</v>
      </c>
      <c r="AJ254">
        <v>88.523558264126393</v>
      </c>
      <c r="AK254">
        <v>0.67139601914487901</v>
      </c>
      <c r="AL254">
        <v>72.777467952865706</v>
      </c>
      <c r="AM254">
        <v>94.034145807711099</v>
      </c>
      <c r="AN254">
        <v>1.0000000053433</v>
      </c>
    </row>
    <row r="255" spans="1:40" x14ac:dyDescent="0.25">
      <c r="A255" t="str">
        <f>"20190304164559641"</f>
        <v>20190304164559641</v>
      </c>
      <c r="B255" t="str">
        <f>"1551689159628476"</f>
        <v>1551689159628476</v>
      </c>
      <c r="C255" t="s">
        <v>40</v>
      </c>
      <c r="D255">
        <v>4.1831930000000002</v>
      </c>
      <c r="E255">
        <v>0.54525649999999903</v>
      </c>
      <c r="F255" t="s">
        <v>42</v>
      </c>
      <c r="G255">
        <v>-390.23020000000002</v>
      </c>
      <c r="H255" s="1">
        <v>-4.5978740000000002E-6</v>
      </c>
      <c r="I255">
        <v>367.22410000000002</v>
      </c>
      <c r="J255">
        <v>-406.37869999999998</v>
      </c>
      <c r="K255">
        <v>1.06053</v>
      </c>
      <c r="L255">
        <v>367.47669999999999</v>
      </c>
      <c r="M255">
        <v>0.99988909999999998</v>
      </c>
      <c r="N255">
        <v>-1.4766420000000001E-2</v>
      </c>
      <c r="O255">
        <v>1.9420869999999999E-3</v>
      </c>
      <c r="P255">
        <v>0.95695330000000001</v>
      </c>
      <c r="Q255">
        <v>0.28193289999999999</v>
      </c>
      <c r="R255">
        <v>6.8952869999999999E-2</v>
      </c>
      <c r="S255">
        <v>3.1991879999999999</v>
      </c>
      <c r="T255">
        <v>-0.205459</v>
      </c>
      <c r="U255">
        <v>-4.8797609999999998E-2</v>
      </c>
      <c r="V255">
        <v>-6.7005010000000004E-2</v>
      </c>
      <c r="W255">
        <v>0.29605540000000002</v>
      </c>
      <c r="X255">
        <v>0.95281769999999999</v>
      </c>
      <c r="Y255">
        <v>1.7147559999999999E-2</v>
      </c>
      <c r="Z255">
        <v>-7.727427E-4</v>
      </c>
      <c r="AA255">
        <v>0.99985270000000004</v>
      </c>
      <c r="AB255">
        <v>36</v>
      </c>
      <c r="AC255">
        <v>16.148499999999899</v>
      </c>
      <c r="AD255">
        <v>-1.060534597874</v>
      </c>
      <c r="AE255">
        <v>-0.25259999999997201</v>
      </c>
      <c r="AF255">
        <v>0.28274553509597</v>
      </c>
      <c r="AG255">
        <v>-1.060534597874</v>
      </c>
      <c r="AH255">
        <v>16.078647737556899</v>
      </c>
      <c r="AI255">
        <v>93.773135271421907</v>
      </c>
      <c r="AJ255">
        <v>88.992548595214799</v>
      </c>
      <c r="AK255">
        <v>16.1160662613228</v>
      </c>
      <c r="AL255">
        <v>72.779165798241706</v>
      </c>
      <c r="AM255">
        <v>94.022589473851099</v>
      </c>
      <c r="AN255">
        <v>1.00000002033377</v>
      </c>
    </row>
    <row r="256" spans="1:40" x14ac:dyDescent="0.25">
      <c r="A256" t="str">
        <f>"20190304164559663"</f>
        <v>20190304164559663</v>
      </c>
      <c r="B256" t="str">
        <f>"1551689159657755"</f>
        <v>1551689159657755</v>
      </c>
      <c r="C256" t="s">
        <v>40</v>
      </c>
      <c r="D256">
        <v>4.1636189999999997</v>
      </c>
      <c r="E256">
        <v>0.54377710000000001</v>
      </c>
      <c r="F256" t="s">
        <v>42</v>
      </c>
      <c r="G256">
        <v>-388.93169999999998</v>
      </c>
      <c r="H256" s="1">
        <v>-9.7508000000000007E-7</v>
      </c>
      <c r="I256">
        <v>367.26549999999997</v>
      </c>
      <c r="J256">
        <v>-406.01909999999998</v>
      </c>
      <c r="K256">
        <v>1.0605290000000001</v>
      </c>
      <c r="L256">
        <v>367.47730000000001</v>
      </c>
      <c r="M256">
        <v>0.99988940000000004</v>
      </c>
      <c r="N256">
        <v>-1.4762529999999999E-2</v>
      </c>
      <c r="O256">
        <v>1.8348360000000001E-3</v>
      </c>
      <c r="P256">
        <v>0.9571944</v>
      </c>
      <c r="Q256">
        <v>0.28113650000000001</v>
      </c>
      <c r="R256">
        <v>6.8855340000000001E-2</v>
      </c>
      <c r="S256">
        <v>3.1949459999999998</v>
      </c>
      <c r="T256">
        <v>-0.19420680000000001</v>
      </c>
      <c r="U256">
        <v>-3.8665770000000002E-2</v>
      </c>
      <c r="V256">
        <v>-6.7009570000000004E-2</v>
      </c>
      <c r="W256">
        <v>0.29525829999999997</v>
      </c>
      <c r="X256">
        <v>0.95306469999999999</v>
      </c>
      <c r="Y256">
        <v>1.3902319999999999E-2</v>
      </c>
      <c r="Z256">
        <v>-6.0922609999999996E-4</v>
      </c>
      <c r="AA256">
        <v>0.99990319999999999</v>
      </c>
      <c r="AB256">
        <v>36</v>
      </c>
      <c r="AC256">
        <v>17.087399999999999</v>
      </c>
      <c r="AD256">
        <v>-1.0605299750799999</v>
      </c>
      <c r="AE256">
        <v>-0.21180000000003901</v>
      </c>
      <c r="AF256">
        <v>0.24222272023520999</v>
      </c>
      <c r="AG256">
        <v>-1.0605299750799999</v>
      </c>
      <c r="AH256">
        <v>17.021424958629801</v>
      </c>
      <c r="AI256">
        <v>93.564878873718996</v>
      </c>
      <c r="AJ256">
        <v>89.184709687734497</v>
      </c>
      <c r="AK256">
        <v>17.056151479642399</v>
      </c>
      <c r="AL256">
        <v>72.826973795101495</v>
      </c>
      <c r="AM256">
        <v>94.021823171739001</v>
      </c>
      <c r="AN256">
        <v>1.00000003428828</v>
      </c>
    </row>
    <row r="257" spans="1:40" x14ac:dyDescent="0.25">
      <c r="A257" t="str">
        <f>"20190304164559686"</f>
        <v>20190304164559686</v>
      </c>
      <c r="B257" t="str">
        <f>"1551689159678252"</f>
        <v>1551689159678252</v>
      </c>
      <c r="C257" t="s">
        <v>40</v>
      </c>
      <c r="D257">
        <v>4.2051220000000002</v>
      </c>
      <c r="E257">
        <v>0.54312159999999998</v>
      </c>
      <c r="F257" t="s">
        <v>42</v>
      </c>
      <c r="G257">
        <v>-387.82589999999999</v>
      </c>
      <c r="H257" s="1">
        <v>-1.335939E-6</v>
      </c>
      <c r="I257">
        <v>367.3236</v>
      </c>
      <c r="J257">
        <v>-405.65100000000001</v>
      </c>
      <c r="K257">
        <v>1.0605279999999999</v>
      </c>
      <c r="L257">
        <v>367.47789999999998</v>
      </c>
      <c r="M257">
        <v>0.99988969999999999</v>
      </c>
      <c r="N257">
        <v>-1.4758510000000001E-2</v>
      </c>
      <c r="O257">
        <v>1.7252680000000001E-3</v>
      </c>
      <c r="P257">
        <v>0.95749980000000001</v>
      </c>
      <c r="Q257">
        <v>0.28009250000000002</v>
      </c>
      <c r="R257">
        <v>6.8864699999999904E-2</v>
      </c>
      <c r="S257">
        <v>3.1907350000000001</v>
      </c>
      <c r="T257">
        <v>-0.18599589999999999</v>
      </c>
      <c r="U257">
        <v>-2.6947019999999999E-2</v>
      </c>
      <c r="V257">
        <v>-6.7123959999999996E-2</v>
      </c>
      <c r="W257">
        <v>0.29421530000000001</v>
      </c>
      <c r="X257">
        <v>0.95337910000000003</v>
      </c>
      <c r="Y257">
        <v>1.014725E-2</v>
      </c>
      <c r="Z257">
        <v>-4.4549850000000002E-4</v>
      </c>
      <c r="AA257">
        <v>0.99994839999999996</v>
      </c>
      <c r="AB257">
        <v>36</v>
      </c>
      <c r="AC257">
        <v>17.825099999999999</v>
      </c>
      <c r="AD257">
        <v>-1.060529335939</v>
      </c>
      <c r="AE257">
        <v>-0.15429999999997701</v>
      </c>
      <c r="AF257">
        <v>0.18440348498776801</v>
      </c>
      <c r="AG257">
        <v>-1.060529335939</v>
      </c>
      <c r="AH257">
        <v>17.7619378405399</v>
      </c>
      <c r="AI257">
        <v>93.416774578512005</v>
      </c>
      <c r="AJ257">
        <v>89.405179663667397</v>
      </c>
      <c r="AK257">
        <v>17.794526208046801</v>
      </c>
      <c r="AL257">
        <v>72.8895104994956</v>
      </c>
      <c r="AM257">
        <v>94.027341938158898</v>
      </c>
      <c r="AN257">
        <v>0.99999998853849004</v>
      </c>
    </row>
    <row r="258" spans="1:40" x14ac:dyDescent="0.25">
      <c r="A258" t="str">
        <f>"20190304164559709"</f>
        <v>20190304164559709</v>
      </c>
      <c r="B258" t="str">
        <f>"1551689159697771"</f>
        <v>1551689159697771</v>
      </c>
      <c r="C258" t="s">
        <v>40</v>
      </c>
      <c r="D258">
        <v>4.1689540000000003</v>
      </c>
      <c r="E258">
        <v>0.54278000000000004</v>
      </c>
      <c r="F258" t="s">
        <v>42</v>
      </c>
      <c r="G258">
        <v>-387.5727</v>
      </c>
      <c r="H258" s="1">
        <v>-1.4255670000000001E-6</v>
      </c>
      <c r="I258">
        <v>367.3503</v>
      </c>
      <c r="J258">
        <v>-405.27480000000003</v>
      </c>
      <c r="K258">
        <v>1.060527</v>
      </c>
      <c r="L258">
        <v>367.47840000000002</v>
      </c>
      <c r="M258">
        <v>0.9998899</v>
      </c>
      <c r="N258">
        <v>-1.4754379999999999E-2</v>
      </c>
      <c r="O258">
        <v>1.6141560000000001E-3</v>
      </c>
      <c r="P258">
        <v>0.95763710000000002</v>
      </c>
      <c r="Q258">
        <v>0.2796575</v>
      </c>
      <c r="R258">
        <v>6.8726090000000004E-2</v>
      </c>
      <c r="S258">
        <v>3.189514</v>
      </c>
      <c r="T258">
        <v>-0.1871061</v>
      </c>
      <c r="U258">
        <v>-2.2491460000000001E-2</v>
      </c>
      <c r="V258">
        <v>-6.7092479999999996E-2</v>
      </c>
      <c r="W258">
        <v>0.29377819999999999</v>
      </c>
      <c r="X258">
        <v>0.95351609999999998</v>
      </c>
      <c r="Y258">
        <v>8.6456320000000003E-3</v>
      </c>
      <c r="Z258">
        <v>-3.8802839999999998E-4</v>
      </c>
      <c r="AA258">
        <v>0.99996260000000003</v>
      </c>
      <c r="AB258">
        <v>36</v>
      </c>
      <c r="AC258">
        <v>17.702100000000002</v>
      </c>
      <c r="AD258">
        <v>-1.060528425567</v>
      </c>
      <c r="AE258">
        <v>-0.12810000000001701</v>
      </c>
      <c r="AF258">
        <v>0.156116592148103</v>
      </c>
      <c r="AG258">
        <v>-1.060528425567</v>
      </c>
      <c r="AH258">
        <v>17.638565494113699</v>
      </c>
      <c r="AI258">
        <v>93.440663465331596</v>
      </c>
      <c r="AJ258">
        <v>89.492895934006796</v>
      </c>
      <c r="AK258">
        <v>17.6711087830368</v>
      </c>
      <c r="AL258">
        <v>72.915712509498704</v>
      </c>
      <c r="AM258">
        <v>94.024882921776396</v>
      </c>
      <c r="AN258">
        <v>0.99999999231350001</v>
      </c>
    </row>
    <row r="259" spans="1:40" x14ac:dyDescent="0.25">
      <c r="A259" t="str">
        <f>"20190304164559729"</f>
        <v>20190304164559729</v>
      </c>
      <c r="B259" t="str">
        <f>"1551689159718267"</f>
        <v>1551689159718267</v>
      </c>
      <c r="C259" t="s">
        <v>40</v>
      </c>
      <c r="D259">
        <v>4.215986</v>
      </c>
      <c r="E259">
        <v>0.54244759999999903</v>
      </c>
      <c r="F259" t="s">
        <v>42</v>
      </c>
      <c r="G259">
        <v>-386.74009999999998</v>
      </c>
      <c r="H259" s="1">
        <v>-1.7822240000000001E-6</v>
      </c>
      <c r="I259">
        <v>367.35320000000002</v>
      </c>
      <c r="J259">
        <v>-404.96199999999999</v>
      </c>
      <c r="K259">
        <v>1.0605209999999901</v>
      </c>
      <c r="L259">
        <v>367.47890000000001</v>
      </c>
      <c r="M259">
        <v>0.9998901</v>
      </c>
      <c r="N259">
        <v>-1.4750930000000001E-2</v>
      </c>
      <c r="O259">
        <v>1.5235520000000001E-3</v>
      </c>
      <c r="P259">
        <v>0.95761660000000004</v>
      </c>
      <c r="Q259">
        <v>0.2799238</v>
      </c>
      <c r="R259">
        <v>6.7922449999999995E-2</v>
      </c>
      <c r="S259">
        <v>3.1875610000000001</v>
      </c>
      <c r="T259">
        <v>-0.18238699999999999</v>
      </c>
      <c r="U259">
        <v>-2.1514889999999998E-2</v>
      </c>
      <c r="V259">
        <v>-6.637622E-2</v>
      </c>
      <c r="W259">
        <v>0.29404029999999998</v>
      </c>
      <c r="X259">
        <v>0.95348549999999999</v>
      </c>
      <c r="Y259">
        <v>8.2548009999999904E-3</v>
      </c>
      <c r="Z259">
        <v>-3.6155889999999998E-4</v>
      </c>
      <c r="AA259">
        <v>0.99996580000000002</v>
      </c>
      <c r="AB259">
        <v>36</v>
      </c>
      <c r="AC259">
        <v>18.221900000000002</v>
      </c>
      <c r="AD259">
        <v>-1.06052278222399</v>
      </c>
      <c r="AE259">
        <v>-0.12569999999999401</v>
      </c>
      <c r="AF259">
        <v>0.15294683442113999</v>
      </c>
      <c r="AG259">
        <v>-1.06052278222399</v>
      </c>
      <c r="AH259">
        <v>18.160176415255201</v>
      </c>
      <c r="AI259">
        <v>93.342059926044797</v>
      </c>
      <c r="AJ259">
        <v>89.517460584412305</v>
      </c>
      <c r="AK259">
        <v>18.191759363485598</v>
      </c>
      <c r="AL259">
        <v>72.900002387864902</v>
      </c>
      <c r="AM259">
        <v>93.982180788336095</v>
      </c>
      <c r="AN259">
        <v>1.00000004965791</v>
      </c>
    </row>
    <row r="260" spans="1:40" x14ac:dyDescent="0.25">
      <c r="A260" t="str">
        <f>"20190304164559750"</f>
        <v>20190304164559750</v>
      </c>
      <c r="B260" t="str">
        <f>"1551689159737787"</f>
        <v>1551689159737787</v>
      </c>
      <c r="C260" t="s">
        <v>40</v>
      </c>
      <c r="D260">
        <v>4.192501</v>
      </c>
      <c r="E260">
        <v>0.54208590000000001</v>
      </c>
      <c r="F260" t="s">
        <v>42</v>
      </c>
      <c r="G260">
        <v>-386.14420000000001</v>
      </c>
      <c r="H260" s="1">
        <v>-2.0382659999999999E-6</v>
      </c>
      <c r="I260">
        <v>367.351</v>
      </c>
      <c r="J260">
        <v>-404.6155</v>
      </c>
      <c r="K260">
        <v>1.0605290000000001</v>
      </c>
      <c r="L260">
        <v>367.47930000000002</v>
      </c>
      <c r="M260">
        <v>0.99989019999999995</v>
      </c>
      <c r="N260">
        <v>-1.4747110000000001E-2</v>
      </c>
      <c r="O260">
        <v>1.4265910000000001E-3</v>
      </c>
      <c r="P260">
        <v>0.95756509999999995</v>
      </c>
      <c r="Q260">
        <v>0.2802077</v>
      </c>
      <c r="R260">
        <v>6.7473959999999999E-2</v>
      </c>
      <c r="S260">
        <v>3.1867369999999999</v>
      </c>
      <c r="T260">
        <v>-0.179595799999999</v>
      </c>
      <c r="U260">
        <v>-2.163696E-2</v>
      </c>
      <c r="V260">
        <v>-6.6022490000000003E-2</v>
      </c>
      <c r="W260">
        <v>0.29431879999999999</v>
      </c>
      <c r="X260">
        <v>0.9534241</v>
      </c>
      <c r="Y260">
        <v>8.1985900000000004E-3</v>
      </c>
      <c r="Z260">
        <v>-3.5066410000000002E-4</v>
      </c>
      <c r="AA260">
        <v>0.99996629999999997</v>
      </c>
      <c r="AB260">
        <v>36</v>
      </c>
      <c r="AC260">
        <v>18.4712999999999</v>
      </c>
      <c r="AD260">
        <v>-1.060531038266</v>
      </c>
      <c r="AE260">
        <v>-0.12830000000002401</v>
      </c>
      <c r="AF260">
        <v>0.154145611540978</v>
      </c>
      <c r="AG260">
        <v>-1.060531038266</v>
      </c>
      <c r="AH260">
        <v>18.410411328129602</v>
      </c>
      <c r="AI260">
        <v>93.296762391750093</v>
      </c>
      <c r="AJ260">
        <v>89.520288469230806</v>
      </c>
      <c r="AK260">
        <v>18.4415761859882</v>
      </c>
      <c r="AL260">
        <v>72.883306208145797</v>
      </c>
      <c r="AM260">
        <v>93.961281088467203</v>
      </c>
      <c r="AN260">
        <v>1.0000000198400201</v>
      </c>
    </row>
    <row r="261" spans="1:40" x14ac:dyDescent="0.25">
      <c r="A261" t="str">
        <f>"20190304164559776"</f>
        <v>20190304164559776</v>
      </c>
      <c r="B261" t="str">
        <f>"1551689159768043"</f>
        <v>1551689159768043</v>
      </c>
      <c r="C261" t="s">
        <v>40</v>
      </c>
      <c r="D261">
        <v>4.2971529999999998</v>
      </c>
      <c r="E261">
        <v>0.54166819999999904</v>
      </c>
      <c r="F261" t="s">
        <v>42</v>
      </c>
      <c r="G261">
        <v>-385.34730000000002</v>
      </c>
      <c r="H261" s="1">
        <v>-2.37897E-6</v>
      </c>
      <c r="I261">
        <v>367.35759999999999</v>
      </c>
      <c r="J261">
        <v>-404.20179999999999</v>
      </c>
      <c r="K261">
        <v>1.0605370000000001</v>
      </c>
      <c r="L261">
        <v>367.47969999999998</v>
      </c>
      <c r="M261">
        <v>0.99989050000000002</v>
      </c>
      <c r="N261">
        <v>-1.474257E-2</v>
      </c>
      <c r="O261">
        <v>1.3172279999999999E-3</v>
      </c>
      <c r="P261">
        <v>0.95743350000000005</v>
      </c>
      <c r="Q261">
        <v>0.28076410000000002</v>
      </c>
      <c r="R261">
        <v>6.7026820000000001E-2</v>
      </c>
      <c r="S261">
        <v>3.185638</v>
      </c>
      <c r="T261">
        <v>-0.17533840000000001</v>
      </c>
      <c r="U261">
        <v>-2.011108E-2</v>
      </c>
      <c r="V261">
        <v>-6.5683510000000001E-2</v>
      </c>
      <c r="W261">
        <v>0.29486830000000003</v>
      </c>
      <c r="X261">
        <v>0.95327770000000001</v>
      </c>
      <c r="Y261">
        <v>7.6145739999999998E-3</v>
      </c>
      <c r="Z261">
        <v>-3.1861580000000001E-4</v>
      </c>
      <c r="AA261">
        <v>0.99997100000000005</v>
      </c>
      <c r="AB261">
        <v>36</v>
      </c>
      <c r="AC261">
        <v>18.854499999999899</v>
      </c>
      <c r="AD261">
        <v>-1.0605393789699999</v>
      </c>
      <c r="AE261">
        <v>-0.122099999999989</v>
      </c>
      <c r="AF261">
        <v>0.14647485440535099</v>
      </c>
      <c r="AG261">
        <v>-1.0605393789699999</v>
      </c>
      <c r="AH261">
        <v>18.7948601132364</v>
      </c>
      <c r="AI261">
        <v>93.229511789815703</v>
      </c>
      <c r="AJ261">
        <v>89.553483185806897</v>
      </c>
      <c r="AK261">
        <v>18.825327761647198</v>
      </c>
      <c r="AL261">
        <v>72.850359864827098</v>
      </c>
      <c r="AM261">
        <v>93.941610226980799</v>
      </c>
      <c r="AN261">
        <v>1.0000000055740399</v>
      </c>
    </row>
    <row r="262" spans="1:40" x14ac:dyDescent="0.25">
      <c r="A262" t="str">
        <f>"20190304164559810"</f>
        <v>20190304164559810</v>
      </c>
      <c r="B262" t="str">
        <f>"1551689159798299"</f>
        <v>1551689159798299</v>
      </c>
      <c r="C262" t="s">
        <v>40</v>
      </c>
      <c r="D262">
        <v>4.3500589999999999</v>
      </c>
      <c r="E262">
        <v>0.54130180000000006</v>
      </c>
      <c r="F262" t="s">
        <v>42</v>
      </c>
      <c r="G262">
        <v>-384.3621</v>
      </c>
      <c r="H262" s="1">
        <v>-2.8004739999999998E-6</v>
      </c>
      <c r="I262">
        <v>367.36399999999998</v>
      </c>
      <c r="J262">
        <v>-403.67489999999998</v>
      </c>
      <c r="K262">
        <v>1.060548</v>
      </c>
      <c r="L262">
        <v>367.4803</v>
      </c>
      <c r="M262">
        <v>0.99989070000000002</v>
      </c>
      <c r="N262">
        <v>-1.473677E-2</v>
      </c>
      <c r="O262">
        <v>1.1929359999999999E-3</v>
      </c>
      <c r="P262">
        <v>0.95756540000000001</v>
      </c>
      <c r="Q262">
        <v>0.2803832</v>
      </c>
      <c r="R262">
        <v>6.673983E-2</v>
      </c>
      <c r="S262">
        <v>3.1845699999999999</v>
      </c>
      <c r="T262">
        <v>-0.170232299999999</v>
      </c>
      <c r="U262">
        <v>-1.8554689999999999E-2</v>
      </c>
      <c r="V262">
        <v>-6.5522129999999998E-2</v>
      </c>
      <c r="W262">
        <v>0.29448190000000002</v>
      </c>
      <c r="X262">
        <v>0.95340820000000004</v>
      </c>
      <c r="Y262">
        <v>7.0057189999999997E-3</v>
      </c>
      <c r="Z262">
        <v>-2.8493360000000001E-4</v>
      </c>
      <c r="AA262">
        <v>0.99997539999999996</v>
      </c>
      <c r="AB262">
        <v>36</v>
      </c>
      <c r="AC262">
        <v>19.3127999999999</v>
      </c>
      <c r="AD262">
        <v>-1.0605508004740001</v>
      </c>
      <c r="AE262">
        <v>-0.116299999999967</v>
      </c>
      <c r="AF262">
        <v>0.13892243556023101</v>
      </c>
      <c r="AG262">
        <v>-1.0605508004740001</v>
      </c>
      <c r="AH262">
        <v>19.2545856481401</v>
      </c>
      <c r="AI262">
        <v>93.152608422600494</v>
      </c>
      <c r="AJ262">
        <v>89.586616338098594</v>
      </c>
      <c r="AK262">
        <v>19.284271723999598</v>
      </c>
      <c r="AL262">
        <v>72.873526987964595</v>
      </c>
      <c r="AM262">
        <v>93.931419859524993</v>
      </c>
      <c r="AN262">
        <v>0.99999996738729302</v>
      </c>
    </row>
    <row r="263" spans="1:40" x14ac:dyDescent="0.25">
      <c r="A263" t="str">
        <f>"20190304164559830"</f>
        <v>20190304164559830</v>
      </c>
      <c r="B263" t="str">
        <f>"1551689159817820"</f>
        <v>1551689159817820</v>
      </c>
      <c r="C263" t="s">
        <v>40</v>
      </c>
      <c r="D263">
        <v>4.3328199999999999</v>
      </c>
      <c r="E263">
        <v>0.54118259999999996</v>
      </c>
      <c r="F263" t="s">
        <v>42</v>
      </c>
      <c r="G263">
        <v>-383.72250000000003</v>
      </c>
      <c r="H263" s="1">
        <v>-3.0714989999999999E-6</v>
      </c>
      <c r="I263">
        <v>367.38279999999997</v>
      </c>
      <c r="J263">
        <v>-403.34769999999997</v>
      </c>
      <c r="K263">
        <v>1.060559</v>
      </c>
      <c r="L263">
        <v>367.48059999999998</v>
      </c>
      <c r="M263">
        <v>0.99989099999999997</v>
      </c>
      <c r="N263">
        <v>-1.473315E-2</v>
      </c>
      <c r="O263">
        <v>1.122984E-3</v>
      </c>
      <c r="P263">
        <v>0.9577097</v>
      </c>
      <c r="Q263">
        <v>0.280043599999999</v>
      </c>
      <c r="R263">
        <v>6.6090239999999995E-2</v>
      </c>
      <c r="S263">
        <v>3.1835939999999998</v>
      </c>
      <c r="T263">
        <v>-0.1692207</v>
      </c>
      <c r="U263">
        <v>-1.5533450000000001E-2</v>
      </c>
      <c r="V263">
        <v>-6.4943719999999996E-2</v>
      </c>
      <c r="W263">
        <v>0.29414010000000002</v>
      </c>
      <c r="X263">
        <v>0.95355330000000005</v>
      </c>
      <c r="Y263">
        <v>5.9906159999999998E-3</v>
      </c>
      <c r="Z263">
        <v>-2.4638319999999999E-4</v>
      </c>
      <c r="AA263">
        <v>0.99998200000000004</v>
      </c>
      <c r="AB263">
        <v>36</v>
      </c>
      <c r="AC263">
        <v>19.6251999999999</v>
      </c>
      <c r="AD263">
        <v>-1.0605620714990001</v>
      </c>
      <c r="AE263">
        <v>-9.7800000000006507E-2</v>
      </c>
      <c r="AF263">
        <v>0.119492154946838</v>
      </c>
      <c r="AG263">
        <v>-1.0605620714990001</v>
      </c>
      <c r="AH263">
        <v>19.567932792676299</v>
      </c>
      <c r="AI263">
        <v>93.102279934336494</v>
      </c>
      <c r="AJ263">
        <v>89.650125992469498</v>
      </c>
      <c r="AK263">
        <v>19.597016713298299</v>
      </c>
      <c r="AL263">
        <v>72.894018659093405</v>
      </c>
      <c r="AM263">
        <v>93.896230701944802</v>
      </c>
      <c r="AN263">
        <v>0.99999999056816902</v>
      </c>
    </row>
    <row r="264" spans="1:40" x14ac:dyDescent="0.25">
      <c r="A264" t="str">
        <f>"20190304164559852"</f>
        <v>20190304164559852</v>
      </c>
      <c r="B264" t="str">
        <f>"1551689159848075"</f>
        <v>1551689159848075</v>
      </c>
      <c r="C264" t="s">
        <v>40</v>
      </c>
      <c r="D264">
        <v>4.3238500000000002</v>
      </c>
      <c r="E264">
        <v>0.54155850000000005</v>
      </c>
      <c r="F264" t="s">
        <v>42</v>
      </c>
      <c r="G264">
        <v>-383.38470000000001</v>
      </c>
      <c r="H264" s="1">
        <v>-3.2177160000000001E-6</v>
      </c>
      <c r="I264">
        <v>367.37549999999999</v>
      </c>
      <c r="J264">
        <v>-402.98950000000002</v>
      </c>
      <c r="K264">
        <v>1.0605599999999999</v>
      </c>
      <c r="L264">
        <v>367.48090000000002</v>
      </c>
      <c r="M264">
        <v>0.99989099999999997</v>
      </c>
      <c r="N264">
        <v>-1.472918E-2</v>
      </c>
      <c r="O264">
        <v>1.055973E-3</v>
      </c>
      <c r="P264">
        <v>0.95766719999999905</v>
      </c>
      <c r="Q264">
        <v>0.28017579999999997</v>
      </c>
      <c r="R264">
        <v>6.6146590000000005E-2</v>
      </c>
      <c r="S264">
        <v>3.1831360000000002</v>
      </c>
      <c r="T264">
        <v>-0.1691087</v>
      </c>
      <c r="U264">
        <v>-1.6754149999999999E-2</v>
      </c>
      <c r="V264">
        <v>-6.5069760000000004E-2</v>
      </c>
      <c r="W264">
        <v>0.29426629999999998</v>
      </c>
      <c r="X264">
        <v>0.95350579999999996</v>
      </c>
      <c r="Y264">
        <v>6.3072669999999897E-3</v>
      </c>
      <c r="Z264">
        <v>-2.5443109999999998E-4</v>
      </c>
      <c r="AA264">
        <v>0.99998010000000004</v>
      </c>
      <c r="AB264">
        <v>36</v>
      </c>
      <c r="AC264">
        <v>19.604800000000001</v>
      </c>
      <c r="AD264">
        <v>-1.060563217716</v>
      </c>
      <c r="AE264">
        <v>-0.105400000000031</v>
      </c>
      <c r="AF264">
        <v>0.125736369279322</v>
      </c>
      <c r="AG264">
        <v>-1.060563217716</v>
      </c>
      <c r="AH264">
        <v>19.547473758491002</v>
      </c>
      <c r="AI264">
        <v>93.1055175497128</v>
      </c>
      <c r="AJ264">
        <v>89.631458058239403</v>
      </c>
      <c r="AK264">
        <v>19.576627245575899</v>
      </c>
      <c r="AL264">
        <v>72.886453617791602</v>
      </c>
      <c r="AM264">
        <v>93.903962852197907</v>
      </c>
      <c r="AN264">
        <v>1.00000001980789</v>
      </c>
    </row>
    <row r="265" spans="1:40" x14ac:dyDescent="0.25">
      <c r="A265" t="str">
        <f>"20190304164559876"</f>
        <v>20190304164559876</v>
      </c>
      <c r="B265" t="str">
        <f>"1551689159867595"</f>
        <v>1551689159867595</v>
      </c>
      <c r="C265" t="s">
        <v>40</v>
      </c>
      <c r="D265">
        <v>4.2351010000000002</v>
      </c>
      <c r="E265">
        <v>0.55602839999999998</v>
      </c>
      <c r="F265" t="s">
        <v>42</v>
      </c>
      <c r="G265">
        <v>-382.70479999999998</v>
      </c>
      <c r="H265" s="1">
        <v>-3.5140670000000001E-6</v>
      </c>
      <c r="I265">
        <v>367.3492</v>
      </c>
      <c r="J265">
        <v>-402.61950000000002</v>
      </c>
      <c r="K265">
        <v>1.06057</v>
      </c>
      <c r="L265">
        <v>367.48129999999998</v>
      </c>
      <c r="M265">
        <v>0.99989110000000003</v>
      </c>
      <c r="N265">
        <v>-1.472507E-2</v>
      </c>
      <c r="O265">
        <v>9.9732800000000002E-4</v>
      </c>
      <c r="P265">
        <v>0.95773399999999997</v>
      </c>
      <c r="Q265">
        <v>0.27998329999999999</v>
      </c>
      <c r="R265">
        <v>6.5991569999999999E-2</v>
      </c>
      <c r="S265">
        <v>3.1827700000000001</v>
      </c>
      <c r="T265">
        <v>-0.16640729999999901</v>
      </c>
      <c r="U265">
        <v>-2.0660399999999999E-2</v>
      </c>
      <c r="V265">
        <v>-6.4976999999999993E-2</v>
      </c>
      <c r="W265">
        <v>0.2940699</v>
      </c>
      <c r="X265">
        <v>0.95357270000000005</v>
      </c>
      <c r="Y265">
        <v>7.4748100000000001E-3</v>
      </c>
      <c r="Z265">
        <v>-2.8778449999999998E-4</v>
      </c>
      <c r="AA265">
        <v>0.99997199999999997</v>
      </c>
      <c r="AB265">
        <v>36</v>
      </c>
      <c r="AC265">
        <v>19.9147</v>
      </c>
      <c r="AD265">
        <v>-1.0605735140670001</v>
      </c>
      <c r="AE265">
        <v>-0.13209999999997901</v>
      </c>
      <c r="AF265">
        <v>0.151533816984113</v>
      </c>
      <c r="AG265">
        <v>-1.0605735140670001</v>
      </c>
      <c r="AH265">
        <v>19.85823923996</v>
      </c>
      <c r="AI265">
        <v>93.057015518400405</v>
      </c>
      <c r="AJ265">
        <v>89.5627971065921</v>
      </c>
      <c r="AK265">
        <v>19.8871175485015</v>
      </c>
      <c r="AL265">
        <v>72.898227203567501</v>
      </c>
      <c r="AM265">
        <v>93.898142083555797</v>
      </c>
      <c r="AN265">
        <v>1.0000000054001501</v>
      </c>
    </row>
    <row r="266" spans="1:40" x14ac:dyDescent="0.25">
      <c r="A266" t="str">
        <f>"20190304164559898"</f>
        <v>20190304164559898</v>
      </c>
      <c r="B266" t="str">
        <f>"1551689159888091"</f>
        <v>1551689159888091</v>
      </c>
      <c r="C266" t="s">
        <v>40</v>
      </c>
      <c r="D266">
        <v>4.4209480000000001</v>
      </c>
      <c r="E266">
        <v>0.55556149999999904</v>
      </c>
      <c r="F266" t="s">
        <v>42</v>
      </c>
      <c r="G266">
        <v>-375.41849999999999</v>
      </c>
      <c r="H266" s="1">
        <v>-2.5410119999999998E-6</v>
      </c>
      <c r="I266">
        <v>366.27190000000002</v>
      </c>
      <c r="J266">
        <v>-402.25459999999998</v>
      </c>
      <c r="K266">
        <v>1.0605690000000001</v>
      </c>
      <c r="L266">
        <v>367.48160000000001</v>
      </c>
      <c r="M266">
        <v>0.99989130000000004</v>
      </c>
      <c r="N266">
        <v>-1.472103E-2</v>
      </c>
      <c r="O266">
        <v>9.4725509999999996E-4</v>
      </c>
      <c r="P266">
        <v>0.9579628</v>
      </c>
      <c r="Q266">
        <v>0.2793486</v>
      </c>
      <c r="R266">
        <v>6.535995E-2</v>
      </c>
      <c r="S266">
        <v>3.1783450000000002</v>
      </c>
      <c r="T266">
        <v>-0.1239239</v>
      </c>
      <c r="U266">
        <v>-0.14129639999999999</v>
      </c>
      <c r="V266">
        <v>-6.4398170000000005E-2</v>
      </c>
      <c r="W266">
        <v>0.29343320000000001</v>
      </c>
      <c r="X266">
        <v>0.95380810000000005</v>
      </c>
      <c r="Y266">
        <v>4.531085E-2</v>
      </c>
      <c r="Z266">
        <v>-1.2394000000000001E-3</v>
      </c>
      <c r="AA266">
        <v>0.99897219999999998</v>
      </c>
      <c r="AB266">
        <v>36</v>
      </c>
      <c r="AC266">
        <v>26.836099999999899</v>
      </c>
      <c r="AD266">
        <v>-1.060571541012</v>
      </c>
      <c r="AE266">
        <v>-1.20969999999999</v>
      </c>
      <c r="AF266">
        <v>1.2332006651559599</v>
      </c>
      <c r="AG266">
        <v>-1.060571541012</v>
      </c>
      <c r="AH266">
        <v>26.793179695957001</v>
      </c>
      <c r="AI266">
        <v>92.264397260942104</v>
      </c>
      <c r="AJ266">
        <v>87.364726289829406</v>
      </c>
      <c r="AK266">
        <v>26.842504989176899</v>
      </c>
      <c r="AL266">
        <v>72.936391573459701</v>
      </c>
      <c r="AM266">
        <v>93.862571548253499</v>
      </c>
      <c r="AN266">
        <v>1.00000002939359</v>
      </c>
    </row>
    <row r="267" spans="1:40" x14ac:dyDescent="0.25">
      <c r="A267" t="str">
        <f>"20190304164559919"</f>
        <v>20190304164559919</v>
      </c>
      <c r="B267" t="str">
        <f>"1551689159907625"</f>
        <v>1551689159907625</v>
      </c>
      <c r="C267" t="s">
        <v>40</v>
      </c>
      <c r="D267">
        <v>4.4023300000000001</v>
      </c>
      <c r="E267">
        <v>0.55563709999999999</v>
      </c>
      <c r="F267" t="s">
        <v>42</v>
      </c>
      <c r="G267">
        <v>-378.1096</v>
      </c>
      <c r="H267" s="1">
        <v>-1.4757600000000001E-6</v>
      </c>
      <c r="I267">
        <v>366.43520000000001</v>
      </c>
      <c r="J267">
        <v>-401.93459999999999</v>
      </c>
      <c r="K267">
        <v>1.060581</v>
      </c>
      <c r="L267">
        <v>367.48180000000002</v>
      </c>
      <c r="M267">
        <v>0.99989150000000004</v>
      </c>
      <c r="N267">
        <v>-1.471748E-2</v>
      </c>
      <c r="O267">
        <v>9.0780959999999997E-4</v>
      </c>
      <c r="P267">
        <v>0.95805779999999996</v>
      </c>
      <c r="Q267">
        <v>0.27896710000000002</v>
      </c>
      <c r="R267">
        <v>6.5596420000000003E-2</v>
      </c>
      <c r="S267">
        <v>3.1817929999999999</v>
      </c>
      <c r="T267">
        <v>-0.13976040000000001</v>
      </c>
      <c r="U267">
        <v>-0.13787839999999901</v>
      </c>
      <c r="V267">
        <v>-6.4676750000000005E-2</v>
      </c>
      <c r="W267">
        <v>0.29304930000000001</v>
      </c>
      <c r="X267">
        <v>0.95390730000000001</v>
      </c>
      <c r="Y267">
        <v>4.4142819999999999E-2</v>
      </c>
      <c r="Z267">
        <v>-1.3202680000000001E-3</v>
      </c>
      <c r="AA267">
        <v>0.99902429999999998</v>
      </c>
      <c r="AB267">
        <v>36</v>
      </c>
      <c r="AC267">
        <v>23.8249999999999</v>
      </c>
      <c r="AD267">
        <v>-1.06058247576</v>
      </c>
      <c r="AE267">
        <v>-1.04660000000001</v>
      </c>
      <c r="AF267">
        <v>1.06612187784819</v>
      </c>
      <c r="AG267">
        <v>-1.06058247576</v>
      </c>
      <c r="AH267">
        <v>23.7770134146168</v>
      </c>
      <c r="AI267">
        <v>92.551446348328</v>
      </c>
      <c r="AJ267">
        <v>87.432671794797002</v>
      </c>
      <c r="AK267">
        <v>23.8245213585747</v>
      </c>
      <c r="AL267">
        <v>72.959399318315505</v>
      </c>
      <c r="AM267">
        <v>93.878827554384301</v>
      </c>
      <c r="AN267">
        <v>1.00000005560716</v>
      </c>
    </row>
    <row r="268" spans="1:40" x14ac:dyDescent="0.25">
      <c r="A268" t="str">
        <f>"20190304164559941"</f>
        <v>20190304164559941</v>
      </c>
      <c r="B268" t="str">
        <f>"1551689159937866"</f>
        <v>1551689159937866</v>
      </c>
      <c r="C268" t="s">
        <v>40</v>
      </c>
      <c r="D268">
        <v>4.40571</v>
      </c>
      <c r="E268">
        <v>0.55514359999999996</v>
      </c>
      <c r="F268" t="s">
        <v>42</v>
      </c>
      <c r="G268">
        <v>-378.98899999999998</v>
      </c>
      <c r="H268" s="1">
        <v>-1.1615799999999999E-6</v>
      </c>
      <c r="I268">
        <v>366.49130000000002</v>
      </c>
      <c r="J268">
        <v>-401.58</v>
      </c>
      <c r="K268">
        <v>1.0605800000000001</v>
      </c>
      <c r="L268">
        <v>367.4821</v>
      </c>
      <c r="M268">
        <v>0.99989150000000004</v>
      </c>
      <c r="N268">
        <v>-1.4713489999999999E-2</v>
      </c>
      <c r="O268">
        <v>8.6751619999999999E-4</v>
      </c>
      <c r="P268">
        <v>0.95800050000000003</v>
      </c>
      <c r="Q268">
        <v>0.27897339999999998</v>
      </c>
      <c r="R268">
        <v>6.6401189999999999E-2</v>
      </c>
      <c r="S268">
        <v>3.1835939999999998</v>
      </c>
      <c r="T268">
        <v>-0.1471509</v>
      </c>
      <c r="U268">
        <v>-0.13742070000000001</v>
      </c>
      <c r="V268">
        <v>-6.5523639999999994E-2</v>
      </c>
      <c r="W268">
        <v>0.29305019999999998</v>
      </c>
      <c r="X268">
        <v>0.95384910000000001</v>
      </c>
      <c r="Y268">
        <v>4.3929709999999997E-2</v>
      </c>
      <c r="Z268">
        <v>-1.3651169999999999E-3</v>
      </c>
      <c r="AA268">
        <v>0.99903370000000002</v>
      </c>
      <c r="AB268">
        <v>35</v>
      </c>
      <c r="AC268">
        <v>22.590999999999902</v>
      </c>
      <c r="AD268">
        <v>-1.0605811615799901</v>
      </c>
      <c r="AE268">
        <v>-0.99079999999997803</v>
      </c>
      <c r="AF268">
        <v>1.00818201046992</v>
      </c>
      <c r="AG268">
        <v>-1.0605811615799901</v>
      </c>
      <c r="AH268">
        <v>22.540547272952701</v>
      </c>
      <c r="AI268">
        <v>92.691215996481503</v>
      </c>
      <c r="AJ268">
        <v>87.439010713216703</v>
      </c>
      <c r="AK268">
        <v>22.587995367689199</v>
      </c>
      <c r="AL268">
        <v>72.9593432898304</v>
      </c>
      <c r="AM268">
        <v>93.929698600959995</v>
      </c>
      <c r="AN268">
        <v>0.99999993634484696</v>
      </c>
    </row>
    <row r="269" spans="1:40" x14ac:dyDescent="0.25">
      <c r="A269" t="str">
        <f>"20190304164559965"</f>
        <v>20190304164559965</v>
      </c>
      <c r="B269" t="str">
        <f>"1551689159958364"</f>
        <v>1551689159958364</v>
      </c>
      <c r="C269" t="s">
        <v>40</v>
      </c>
      <c r="D269">
        <v>4.2082240000000004</v>
      </c>
      <c r="E269">
        <v>0.55561919999999898</v>
      </c>
      <c r="F269" t="s">
        <v>42</v>
      </c>
      <c r="G269">
        <v>-379.53899999999999</v>
      </c>
      <c r="H269" s="1">
        <v>-9.517687E-7</v>
      </c>
      <c r="I269">
        <v>366.57650000000001</v>
      </c>
      <c r="J269">
        <v>-401.21190000000001</v>
      </c>
      <c r="K269">
        <v>1.0605850000000001</v>
      </c>
      <c r="L269">
        <v>367.48239999999998</v>
      </c>
      <c r="M269">
        <v>0.99989150000000004</v>
      </c>
      <c r="N269">
        <v>-1.470931E-2</v>
      </c>
      <c r="O269">
        <v>8.2833329999999999E-4</v>
      </c>
      <c r="P269">
        <v>0.95793589999999995</v>
      </c>
      <c r="Q269">
        <v>0.27921230000000002</v>
      </c>
      <c r="R269">
        <v>6.6327750000000005E-2</v>
      </c>
      <c r="S269">
        <v>3.1852420000000001</v>
      </c>
      <c r="T269">
        <v>-0.15326879999999901</v>
      </c>
      <c r="U269">
        <v>-0.13085939999999999</v>
      </c>
      <c r="V269">
        <v>-6.5490110000000004E-2</v>
      </c>
      <c r="W269">
        <v>0.29328320000000002</v>
      </c>
      <c r="X269">
        <v>0.95377990000000001</v>
      </c>
      <c r="Y269">
        <v>4.1812549999999997E-2</v>
      </c>
      <c r="Z269">
        <v>-1.340511E-3</v>
      </c>
      <c r="AA269">
        <v>0.99912460000000003</v>
      </c>
      <c r="AB269">
        <v>35</v>
      </c>
      <c r="AC269">
        <v>21.672899999999998</v>
      </c>
      <c r="AD269">
        <v>-1.0605859517687</v>
      </c>
      <c r="AE269">
        <v>-0.90589999999997395</v>
      </c>
      <c r="AF269">
        <v>0.92165075474185698</v>
      </c>
      <c r="AG269">
        <v>-1.0605859517687</v>
      </c>
      <c r="AH269">
        <v>21.620457103341</v>
      </c>
      <c r="AI269">
        <v>92.805834331179099</v>
      </c>
      <c r="AJ269">
        <v>87.5590365082939</v>
      </c>
      <c r="AK269">
        <v>21.666066741155699</v>
      </c>
      <c r="AL269">
        <v>72.945381725134794</v>
      </c>
      <c r="AM269">
        <v>93.927978052244598</v>
      </c>
      <c r="AN269">
        <v>1.00000004377703</v>
      </c>
    </row>
    <row r="270" spans="1:40" x14ac:dyDescent="0.25">
      <c r="A270" t="str">
        <f>"20190304164559988"</f>
        <v>20190304164559988</v>
      </c>
      <c r="B270" t="str">
        <f>"1551689159977882"</f>
        <v>1551689159977882</v>
      </c>
      <c r="C270" t="s">
        <v>40</v>
      </c>
      <c r="D270">
        <v>4.19611</v>
      </c>
      <c r="E270">
        <v>0.55592109999999995</v>
      </c>
      <c r="F270" t="s">
        <v>42</v>
      </c>
      <c r="G270">
        <v>-377.22539999999998</v>
      </c>
      <c r="H270" s="1">
        <v>-1.770184E-6</v>
      </c>
      <c r="I270">
        <v>366.45960000000002</v>
      </c>
      <c r="J270">
        <v>-400.84160000000003</v>
      </c>
      <c r="K270">
        <v>1.0607629999999999</v>
      </c>
      <c r="L270">
        <v>367.48270000000002</v>
      </c>
      <c r="M270">
        <v>0.9998823</v>
      </c>
      <c r="N270">
        <v>-1.5328400000000001E-2</v>
      </c>
      <c r="O270">
        <v>7.9336539999999903E-4</v>
      </c>
      <c r="P270">
        <v>0.95811860000000004</v>
      </c>
      <c r="Q270">
        <v>0.27860610000000002</v>
      </c>
      <c r="R270">
        <v>6.6241649999999999E-2</v>
      </c>
      <c r="S270">
        <v>3.182159</v>
      </c>
      <c r="T270">
        <v>-0.14070199999999999</v>
      </c>
      <c r="U270">
        <v>-0.1356812</v>
      </c>
      <c r="V270">
        <v>-6.544034E-2</v>
      </c>
      <c r="W270">
        <v>0.29326999999999998</v>
      </c>
      <c r="X270">
        <v>0.9537873</v>
      </c>
      <c r="Y270">
        <v>4.3334810000000001E-2</v>
      </c>
      <c r="Z270">
        <v>-1.3125509999999999E-3</v>
      </c>
      <c r="AA270">
        <v>0.99905969999999999</v>
      </c>
      <c r="AB270">
        <v>35</v>
      </c>
      <c r="AC270">
        <v>23.616199999999999</v>
      </c>
      <c r="AD270">
        <v>-1.0607647701839999</v>
      </c>
      <c r="AE270">
        <v>-1.0230999999999899</v>
      </c>
      <c r="AF270">
        <v>1.03974437662626</v>
      </c>
      <c r="AG270">
        <v>-1.0607647701839999</v>
      </c>
      <c r="AH270">
        <v>23.5679210665615</v>
      </c>
      <c r="AI270">
        <v>92.574576395538998</v>
      </c>
      <c r="AJ270">
        <v>87.473923965177207</v>
      </c>
      <c r="AK270">
        <v>23.614681739673401</v>
      </c>
      <c r="AL270">
        <v>72.946171559583703</v>
      </c>
      <c r="AM270">
        <v>93.924971914620798</v>
      </c>
      <c r="AN270">
        <v>0.99999997232030202</v>
      </c>
    </row>
    <row r="271" spans="1:40" x14ac:dyDescent="0.25">
      <c r="A271" t="str">
        <f>"20190304164600012"</f>
        <v>20190304164600012</v>
      </c>
      <c r="B271" t="str">
        <f>"1551689160008140"</f>
        <v>1551689160008140</v>
      </c>
      <c r="C271" t="s">
        <v>40</v>
      </c>
      <c r="D271">
        <v>4.3704479999999997</v>
      </c>
      <c r="E271">
        <v>0.55554539999999997</v>
      </c>
      <c r="F271" t="s">
        <v>42</v>
      </c>
      <c r="G271">
        <v>-375.90879999999999</v>
      </c>
      <c r="H271" s="1">
        <v>-2.308217E-6</v>
      </c>
      <c r="I271">
        <v>366.39839999999998</v>
      </c>
      <c r="J271">
        <v>-400.476</v>
      </c>
      <c r="K271">
        <v>1.061364</v>
      </c>
      <c r="L271">
        <v>367.48289999999997</v>
      </c>
      <c r="M271">
        <v>0.99986209999999998</v>
      </c>
      <c r="N271">
        <v>-1.6586259999999999E-2</v>
      </c>
      <c r="O271">
        <v>7.6156770000000002E-4</v>
      </c>
      <c r="P271">
        <v>0.95836929999999998</v>
      </c>
      <c r="Q271">
        <v>0.27760940000000001</v>
      </c>
      <c r="R271">
        <v>6.6791909999999996E-2</v>
      </c>
      <c r="S271">
        <v>3.1800540000000002</v>
      </c>
      <c r="T271">
        <v>-0.13529479999999999</v>
      </c>
      <c r="U271">
        <v>-0.13827509999999901</v>
      </c>
      <c r="V271">
        <v>-6.6024009999999994E-2</v>
      </c>
      <c r="W271">
        <v>0.29347649999999997</v>
      </c>
      <c r="X271">
        <v>0.95368359999999996</v>
      </c>
      <c r="Y271">
        <v>4.414622E-2</v>
      </c>
      <c r="Z271">
        <v>-1.3245150000000001E-3</v>
      </c>
      <c r="AA271">
        <v>0.99902420000000003</v>
      </c>
      <c r="AB271">
        <v>35</v>
      </c>
      <c r="AC271">
        <v>24.5672</v>
      </c>
      <c r="AD271">
        <v>-1.061366308217</v>
      </c>
      <c r="AE271">
        <v>-1.08449999999999</v>
      </c>
      <c r="AF271">
        <v>1.1011605688228301</v>
      </c>
      <c r="AG271">
        <v>-1.061366308217</v>
      </c>
      <c r="AH271">
        <v>24.5206889064001</v>
      </c>
      <c r="AI271">
        <v>92.475981119174094</v>
      </c>
      <c r="AJ271">
        <v>87.428722630139802</v>
      </c>
      <c r="AK271">
        <v>24.568338109912901</v>
      </c>
      <c r="AL271">
        <v>72.933796198347295</v>
      </c>
      <c r="AM271">
        <v>93.960297526415403</v>
      </c>
      <c r="AN271">
        <v>1.0000000174288399</v>
      </c>
    </row>
    <row r="272" spans="1:40" x14ac:dyDescent="0.25">
      <c r="A272" t="str">
        <f>"20190304164600031"</f>
        <v>20190304164600031</v>
      </c>
      <c r="B272" t="str">
        <f>"1551689160027659"</f>
        <v>1551689160027659</v>
      </c>
      <c r="C272" t="s">
        <v>40</v>
      </c>
      <c r="D272">
        <v>4.3580629999999996</v>
      </c>
      <c r="E272">
        <v>0.55519130000000005</v>
      </c>
      <c r="F272" t="s">
        <v>42</v>
      </c>
      <c r="G272">
        <v>-376.81020000000001</v>
      </c>
      <c r="H272" s="1">
        <v>-1.905492E-6</v>
      </c>
      <c r="I272">
        <v>366.48880000000003</v>
      </c>
      <c r="J272">
        <v>-400.1739</v>
      </c>
      <c r="K272">
        <v>1.062017</v>
      </c>
      <c r="L272">
        <v>367.48309999999998</v>
      </c>
      <c r="M272">
        <v>0.99985869999999999</v>
      </c>
      <c r="N272">
        <v>-1.67945E-2</v>
      </c>
      <c r="O272">
        <v>7.33232E-4</v>
      </c>
      <c r="P272">
        <v>0.95841750000000003</v>
      </c>
      <c r="Q272">
        <v>0.27739760000000002</v>
      </c>
      <c r="R272">
        <v>6.6982899999999998E-2</v>
      </c>
      <c r="S272">
        <v>3.181</v>
      </c>
      <c r="T272">
        <v>-0.1426616</v>
      </c>
      <c r="U272">
        <v>-0.133606</v>
      </c>
      <c r="V272">
        <v>-6.6241649999999999E-2</v>
      </c>
      <c r="W272">
        <v>0.29346420000000001</v>
      </c>
      <c r="X272">
        <v>0.95367230000000003</v>
      </c>
      <c r="Y272">
        <v>4.263778E-2</v>
      </c>
      <c r="Z272">
        <v>-1.3342269999999999E-3</v>
      </c>
      <c r="AA272">
        <v>0.99908969999999997</v>
      </c>
      <c r="AB272">
        <v>35</v>
      </c>
      <c r="AC272">
        <v>23.363699999999898</v>
      </c>
      <c r="AD272">
        <v>-1.062018905492</v>
      </c>
      <c r="AE272">
        <v>-0.994299999999952</v>
      </c>
      <c r="AF272">
        <v>1.0093513673677701</v>
      </c>
      <c r="AG272">
        <v>-1.062018905492</v>
      </c>
      <c r="AH272">
        <v>23.314877468043498</v>
      </c>
      <c r="AI272">
        <v>92.605647132956307</v>
      </c>
      <c r="AJ272">
        <v>87.521089933830396</v>
      </c>
      <c r="AK272">
        <v>23.360868684368501</v>
      </c>
      <c r="AL272">
        <v>72.934533518020103</v>
      </c>
      <c r="AM272">
        <v>93.9733573420596</v>
      </c>
      <c r="AN272">
        <v>1.0000000243318199</v>
      </c>
    </row>
    <row r="273" spans="1:40" x14ac:dyDescent="0.25">
      <c r="A273" t="str">
        <f>"20190304164600054"</f>
        <v>20190304164600054</v>
      </c>
      <c r="B273" t="str">
        <f>"1551689160048156"</f>
        <v>1551689160048156</v>
      </c>
      <c r="C273" t="s">
        <v>40</v>
      </c>
      <c r="D273">
        <v>4.3424019999999999</v>
      </c>
      <c r="E273">
        <v>0.55514269999999999</v>
      </c>
      <c r="F273" t="s">
        <v>42</v>
      </c>
      <c r="G273">
        <v>-377.55290000000002</v>
      </c>
      <c r="H273" s="1">
        <v>-1.63197E-6</v>
      </c>
      <c r="I273">
        <v>366.56020000000001</v>
      </c>
      <c r="J273">
        <v>-399.8227</v>
      </c>
      <c r="K273">
        <v>1.0627180000000001</v>
      </c>
      <c r="L273">
        <v>367.48329999999999</v>
      </c>
      <c r="M273">
        <v>0.99988279999999996</v>
      </c>
      <c r="N273">
        <v>-1.529692E-2</v>
      </c>
      <c r="O273">
        <v>6.9895500000000002E-4</v>
      </c>
      <c r="P273">
        <v>0.95809180000000005</v>
      </c>
      <c r="Q273">
        <v>0.27869549999999998</v>
      </c>
      <c r="R273">
        <v>6.6249450000000001E-2</v>
      </c>
      <c r="S273">
        <v>3.1825260000000002</v>
      </c>
      <c r="T273">
        <v>-0.14941409999999999</v>
      </c>
      <c r="U273">
        <v>-0.12982179999999999</v>
      </c>
      <c r="V273">
        <v>-6.5540539999999994E-2</v>
      </c>
      <c r="W273">
        <v>0.29332829999999999</v>
      </c>
      <c r="X273">
        <v>0.95376249999999996</v>
      </c>
      <c r="Y273">
        <v>4.139586E-2</v>
      </c>
      <c r="Z273">
        <v>-1.3098889999999901E-3</v>
      </c>
      <c r="AA273">
        <v>0.99914199999999997</v>
      </c>
      <c r="AB273">
        <v>34</v>
      </c>
      <c r="AC273">
        <v>22.269799999999901</v>
      </c>
      <c r="AD273">
        <v>-1.0627196319700001</v>
      </c>
      <c r="AE273">
        <v>-0.92309999999997605</v>
      </c>
      <c r="AF273">
        <v>0.93653813894735005</v>
      </c>
      <c r="AG273">
        <v>-1.0627196319700001</v>
      </c>
      <c r="AH273">
        <v>22.2186393576836</v>
      </c>
      <c r="AI273">
        <v>92.735949924092793</v>
      </c>
      <c r="AJ273">
        <v>87.5863536694103</v>
      </c>
      <c r="AK273">
        <v>22.263746576187099</v>
      </c>
      <c r="AL273">
        <v>72.942677689828997</v>
      </c>
      <c r="AM273">
        <v>93.931064763299105</v>
      </c>
      <c r="AN273">
        <v>0.999999980185315</v>
      </c>
    </row>
    <row r="274" spans="1:40" x14ac:dyDescent="0.25">
      <c r="A274" t="str">
        <f>"20190304164600076"</f>
        <v>20190304164600076</v>
      </c>
      <c r="B274" t="str">
        <f>"1551689160067675"</f>
        <v>1551689160067675</v>
      </c>
      <c r="C274" t="s">
        <v>40</v>
      </c>
      <c r="D274">
        <v>4.3068999999999997</v>
      </c>
      <c r="E274">
        <v>0.55511140000000003</v>
      </c>
      <c r="F274" t="s">
        <v>42</v>
      </c>
      <c r="G274">
        <v>-376.40289999999999</v>
      </c>
      <c r="H274" s="1">
        <v>-2.0764530000000001E-6</v>
      </c>
      <c r="I274">
        <v>366.51010000000002</v>
      </c>
      <c r="J274">
        <v>-399.4821</v>
      </c>
      <c r="K274">
        <v>1.0636540000000001</v>
      </c>
      <c r="L274">
        <v>367.48349999999999</v>
      </c>
      <c r="M274">
        <v>0.99991370000000002</v>
      </c>
      <c r="N274">
        <v>-1.31282E-2</v>
      </c>
      <c r="O274">
        <v>6.6866419999999998E-4</v>
      </c>
      <c r="P274">
        <v>0.95748690000000003</v>
      </c>
      <c r="Q274">
        <v>0.28072970000000003</v>
      </c>
      <c r="R274">
        <v>6.6407149999999998E-2</v>
      </c>
      <c r="S274">
        <v>3.1823730000000001</v>
      </c>
      <c r="T274">
        <v>-0.14440639999999999</v>
      </c>
      <c r="U274">
        <v>-0.13223270000000001</v>
      </c>
      <c r="V274">
        <v>-6.5726530000000005E-2</v>
      </c>
      <c r="W274">
        <v>0.29328549999999998</v>
      </c>
      <c r="X274">
        <v>0.95376289999999997</v>
      </c>
      <c r="Y274">
        <v>4.2127730000000002E-2</v>
      </c>
      <c r="Z274">
        <v>-1.2532979999999999E-3</v>
      </c>
      <c r="AA274">
        <v>0.99911150000000004</v>
      </c>
      <c r="AB274">
        <v>34</v>
      </c>
      <c r="AC274">
        <v>23.0792</v>
      </c>
      <c r="AD274">
        <v>-1.0636560764530001</v>
      </c>
      <c r="AE274">
        <v>-0.97339999999996896</v>
      </c>
      <c r="AF274">
        <v>0.98674119788733705</v>
      </c>
      <c r="AG274">
        <v>-1.0636560764530001</v>
      </c>
      <c r="AH274">
        <v>23.029714926124701</v>
      </c>
      <c r="AI274">
        <v>92.641977171560498</v>
      </c>
      <c r="AJ274">
        <v>87.546580680622498</v>
      </c>
      <c r="AK274">
        <v>23.0753719800821</v>
      </c>
      <c r="AL274">
        <v>72.945243383385602</v>
      </c>
      <c r="AM274">
        <v>93.942183510108805</v>
      </c>
      <c r="AN274">
        <v>1.00000001533625</v>
      </c>
    </row>
    <row r="275" spans="1:40" x14ac:dyDescent="0.25">
      <c r="A275" t="str">
        <f>"20190304164600097"</f>
        <v>20190304164600097</v>
      </c>
      <c r="B275" t="str">
        <f>"1551689160088171"</f>
        <v>1551689160088171</v>
      </c>
      <c r="C275" t="s">
        <v>40</v>
      </c>
      <c r="D275">
        <v>4.3068410000000004</v>
      </c>
      <c r="E275">
        <v>0.55492259999999904</v>
      </c>
      <c r="F275" t="s">
        <v>42</v>
      </c>
      <c r="G275">
        <v>-374.55360000000002</v>
      </c>
      <c r="H275" s="1">
        <v>-2.880975E-6</v>
      </c>
      <c r="I275">
        <v>366.44709999999998</v>
      </c>
      <c r="J275">
        <v>-399.14229999999998</v>
      </c>
      <c r="K275">
        <v>1.0649379999999999</v>
      </c>
      <c r="L275">
        <v>367.48360000000002</v>
      </c>
      <c r="M275">
        <v>0.99993779999999999</v>
      </c>
      <c r="N275">
        <v>-1.113861E-2</v>
      </c>
      <c r="O275">
        <v>6.3441099999999998E-4</v>
      </c>
      <c r="P275">
        <v>0.95685319999999996</v>
      </c>
      <c r="Q275">
        <v>0.28287230000000002</v>
      </c>
      <c r="R275">
        <v>6.6450129999999996E-2</v>
      </c>
      <c r="S275">
        <v>3.1821899999999999</v>
      </c>
      <c r="T275">
        <v>-0.1357787</v>
      </c>
      <c r="U275">
        <v>-0.13229369999999999</v>
      </c>
      <c r="V275">
        <v>-6.5803849999999997E-2</v>
      </c>
      <c r="W275">
        <v>0.29352209999999901</v>
      </c>
      <c r="X275">
        <v>0.9536848</v>
      </c>
      <c r="Y275">
        <v>4.2122600000000003E-2</v>
      </c>
      <c r="Z275">
        <v>-1.1526749999999999E-3</v>
      </c>
      <c r="AA275">
        <v>0.99911179999999999</v>
      </c>
      <c r="AB275">
        <v>35</v>
      </c>
      <c r="AC275">
        <v>24.5886999999999</v>
      </c>
      <c r="AD275">
        <v>-1.0649408809749901</v>
      </c>
      <c r="AE275">
        <v>-1.0365000000000399</v>
      </c>
      <c r="AF275">
        <v>1.05013378363142</v>
      </c>
      <c r="AG275">
        <v>-1.0649408809749901</v>
      </c>
      <c r="AH275">
        <v>24.542083765645199</v>
      </c>
      <c r="AI275">
        <v>92.482376353717001</v>
      </c>
      <c r="AJ275">
        <v>87.549859508073894</v>
      </c>
      <c r="AK275">
        <v>24.587613865591798</v>
      </c>
      <c r="AL275">
        <v>72.931063433382207</v>
      </c>
      <c r="AM275">
        <v>93.947128599203694</v>
      </c>
      <c r="AN275">
        <v>1.00000003380713</v>
      </c>
    </row>
    <row r="276" spans="1:40" x14ac:dyDescent="0.25">
      <c r="A276" t="str">
        <f>"20190304164600120"</f>
        <v>20190304164600120</v>
      </c>
      <c r="B276" t="str">
        <f>"1551689160107691"</f>
        <v>1551689160107691</v>
      </c>
      <c r="C276" t="s">
        <v>40</v>
      </c>
      <c r="D276">
        <v>4.3346839999999904</v>
      </c>
      <c r="E276">
        <v>0.55477460000000001</v>
      </c>
      <c r="F276" t="s">
        <v>42</v>
      </c>
      <c r="G276">
        <v>-373.54750000000001</v>
      </c>
      <c r="H276" s="1">
        <v>-3.314039E-6</v>
      </c>
      <c r="I276">
        <v>366.43880000000001</v>
      </c>
      <c r="J276">
        <v>-398.798</v>
      </c>
      <c r="K276">
        <v>1.066457</v>
      </c>
      <c r="L276">
        <v>367.48379999999997</v>
      </c>
      <c r="M276">
        <v>0.99995670000000003</v>
      </c>
      <c r="N276">
        <v>-9.2987810000000008E-3</v>
      </c>
      <c r="O276">
        <v>5.8982960000000004E-4</v>
      </c>
      <c r="P276">
        <v>0.95641719999999997</v>
      </c>
      <c r="Q276">
        <v>0.28427999999999998</v>
      </c>
      <c r="R276">
        <v>6.6717659999999998E-2</v>
      </c>
      <c r="S276">
        <v>3.1834720000000001</v>
      </c>
      <c r="T276">
        <v>-0.13245699999999999</v>
      </c>
      <c r="U276">
        <v>-0.1299438</v>
      </c>
      <c r="V276">
        <v>-6.6114649999999997E-2</v>
      </c>
      <c r="W276">
        <v>0.29317009999999899</v>
      </c>
      <c r="X276">
        <v>0.95377149999999999</v>
      </c>
      <c r="Y276">
        <v>4.1329669999999999E-2</v>
      </c>
      <c r="Z276">
        <v>-1.0704709999999999E-3</v>
      </c>
      <c r="AA276">
        <v>0.99914499999999995</v>
      </c>
      <c r="AB276">
        <v>35</v>
      </c>
      <c r="AC276">
        <v>25.250499999999899</v>
      </c>
      <c r="AD276">
        <v>-1.0664603140390001</v>
      </c>
      <c r="AE276">
        <v>-1.04499999999995</v>
      </c>
      <c r="AF276">
        <v>1.0580098875072099</v>
      </c>
      <c r="AG276">
        <v>-1.0664603140390001</v>
      </c>
      <c r="AH276">
        <v>25.204995074752699</v>
      </c>
      <c r="AI276">
        <v>92.420694182723395</v>
      </c>
      <c r="AJ276">
        <v>87.596352041680703</v>
      </c>
      <c r="AK276">
        <v>25.2497227557412</v>
      </c>
      <c r="AL276">
        <v>72.952158427063395</v>
      </c>
      <c r="AM276">
        <v>93.965352705282896</v>
      </c>
      <c r="AN276">
        <v>0.99999996434544003</v>
      </c>
    </row>
    <row r="277" spans="1:40" x14ac:dyDescent="0.25">
      <c r="A277" t="str">
        <f>"20190304164600141"</f>
        <v>20190304164600141</v>
      </c>
      <c r="B277" t="str">
        <f>"1551689160137947"</f>
        <v>1551689160137947</v>
      </c>
      <c r="C277" t="s">
        <v>40</v>
      </c>
      <c r="D277">
        <v>4.2241470000000003</v>
      </c>
      <c r="E277">
        <v>0.55458649999999998</v>
      </c>
      <c r="F277" t="s">
        <v>42</v>
      </c>
      <c r="G277">
        <v>-373.09309999999999</v>
      </c>
      <c r="H277" s="1">
        <v>-3.5063370000000002E-6</v>
      </c>
      <c r="I277">
        <v>366.45370000000003</v>
      </c>
      <c r="J277">
        <v>-398.45499999999998</v>
      </c>
      <c r="K277">
        <v>1.0681339999999999</v>
      </c>
      <c r="L277">
        <v>367.48399999999998</v>
      </c>
      <c r="M277">
        <v>0.99996929999999995</v>
      </c>
      <c r="N277">
        <v>-7.8264890000000007E-3</v>
      </c>
      <c r="O277">
        <v>5.4619300000000005E-4</v>
      </c>
      <c r="P277">
        <v>0.95594049999999997</v>
      </c>
      <c r="Q277">
        <v>0.28586919999999999</v>
      </c>
      <c r="R277">
        <v>6.6757990000000003E-2</v>
      </c>
      <c r="S277">
        <v>3.1848749999999999</v>
      </c>
      <c r="T277">
        <v>-0.132136</v>
      </c>
      <c r="U277">
        <v>-0.1276245</v>
      </c>
      <c r="V277">
        <v>-6.6199030000000006E-2</v>
      </c>
      <c r="W277">
        <v>0.29335070000000002</v>
      </c>
      <c r="X277">
        <v>0.95371010000000001</v>
      </c>
      <c r="Y277">
        <v>4.054398E-2</v>
      </c>
      <c r="Z277">
        <v>-1.0175339999999901E-3</v>
      </c>
      <c r="AA277">
        <v>0.99917719999999999</v>
      </c>
      <c r="AB277">
        <v>35</v>
      </c>
      <c r="AC277">
        <v>25.361899999999899</v>
      </c>
      <c r="AD277">
        <v>-1.068137506337</v>
      </c>
      <c r="AE277">
        <v>-1.03030000000001</v>
      </c>
      <c r="AF277">
        <v>1.0423070227444899</v>
      </c>
      <c r="AG277">
        <v>-1.068137506337</v>
      </c>
      <c r="AH277">
        <v>25.316502465961999</v>
      </c>
      <c r="AI277">
        <v>92.413911047684394</v>
      </c>
      <c r="AJ277">
        <v>87.642404003911594</v>
      </c>
      <c r="AK277">
        <v>25.3604538360646</v>
      </c>
      <c r="AL277">
        <v>72.941334672089098</v>
      </c>
      <c r="AM277">
        <v>93.9706521788234</v>
      </c>
      <c r="AN277">
        <v>0.999999949802719</v>
      </c>
    </row>
    <row r="278" spans="1:40" x14ac:dyDescent="0.25">
      <c r="A278" t="str">
        <f>"20190304164600165"</f>
        <v>20190304164600165</v>
      </c>
      <c r="B278" t="str">
        <f>"1551689160158444"</f>
        <v>1551689160158444</v>
      </c>
      <c r="C278" t="s">
        <v>40</v>
      </c>
      <c r="D278">
        <v>4.2758079999999996</v>
      </c>
      <c r="E278">
        <v>0.55449749999999998</v>
      </c>
      <c r="F278" t="s">
        <v>42</v>
      </c>
      <c r="G278">
        <v>-372.2903</v>
      </c>
      <c r="H278" s="1">
        <v>-3.8504280000000004E-6</v>
      </c>
      <c r="I278">
        <v>366.4556</v>
      </c>
      <c r="J278">
        <v>-398.1</v>
      </c>
      <c r="K278">
        <v>1.0703009999999999</v>
      </c>
      <c r="L278">
        <v>367.48419999999999</v>
      </c>
      <c r="M278">
        <v>0.99997320000000001</v>
      </c>
      <c r="N278">
        <v>-7.314376E-3</v>
      </c>
      <c r="O278">
        <v>5.0069069999999995E-4</v>
      </c>
      <c r="P278">
        <v>0.95576850000000002</v>
      </c>
      <c r="Q278">
        <v>0.28647299999999998</v>
      </c>
      <c r="R278">
        <v>6.6633189999999995E-2</v>
      </c>
      <c r="S278">
        <v>3.1858520000000001</v>
      </c>
      <c r="T278">
        <v>-0.13005729999999999</v>
      </c>
      <c r="U278">
        <v>-0.12521360000000001</v>
      </c>
      <c r="V278">
        <v>-6.6120219999999993E-2</v>
      </c>
      <c r="W278">
        <v>0.29346420000000001</v>
      </c>
      <c r="X278">
        <v>0.95368070000000005</v>
      </c>
      <c r="Y278">
        <v>3.973376E-2</v>
      </c>
      <c r="Z278">
        <v>-9.7259050000000002E-4</v>
      </c>
      <c r="AA278">
        <v>0.99920980000000004</v>
      </c>
      <c r="AB278">
        <v>35</v>
      </c>
      <c r="AC278">
        <v>25.809699999999999</v>
      </c>
      <c r="AD278">
        <v>-1.0703048504279999</v>
      </c>
      <c r="AE278">
        <v>-1.02859999999998</v>
      </c>
      <c r="AF278">
        <v>1.0397377058756401</v>
      </c>
      <c r="AG278">
        <v>-1.0703048504279999</v>
      </c>
      <c r="AH278">
        <v>25.764944395958501</v>
      </c>
      <c r="AI278">
        <v>92.376831284750693</v>
      </c>
      <c r="AJ278">
        <v>87.689097445541407</v>
      </c>
      <c r="AK278">
        <v>25.808118232383801</v>
      </c>
      <c r="AL278">
        <v>72.934533070065498</v>
      </c>
      <c r="AM278">
        <v>93.966062079124001</v>
      </c>
      <c r="AN278">
        <v>0.999999998863489</v>
      </c>
    </row>
    <row r="279" spans="1:40" x14ac:dyDescent="0.25">
      <c r="A279" t="str">
        <f>"20190304164600187"</f>
        <v>20190304164600187</v>
      </c>
      <c r="B279" t="str">
        <f>"1551689160177967"</f>
        <v>1551689160177967</v>
      </c>
      <c r="C279" t="s">
        <v>40</v>
      </c>
      <c r="D279">
        <v>4.2637179999999999</v>
      </c>
      <c r="E279">
        <v>0.55442049999999998</v>
      </c>
      <c r="F279" t="s">
        <v>42</v>
      </c>
      <c r="G279">
        <v>-371.6918</v>
      </c>
      <c r="H279" s="1">
        <v>-4.1085029999999996E-6</v>
      </c>
      <c r="I279">
        <v>366.44810000000001</v>
      </c>
      <c r="J279">
        <v>-397.7543</v>
      </c>
      <c r="K279">
        <v>1.072891</v>
      </c>
      <c r="L279">
        <v>367.48430000000002</v>
      </c>
      <c r="M279">
        <v>0.99997309999999995</v>
      </c>
      <c r="N279">
        <v>-7.3468069999999899E-3</v>
      </c>
      <c r="O279">
        <v>4.5641490000000002E-4</v>
      </c>
      <c r="P279">
        <v>0.95587180000000005</v>
      </c>
      <c r="Q279">
        <v>0.28613820000000001</v>
      </c>
      <c r="R279">
        <v>6.6591520000000001E-2</v>
      </c>
      <c r="S279">
        <v>3.1862789999999999</v>
      </c>
      <c r="T279">
        <v>-0.12913730000000001</v>
      </c>
      <c r="U279">
        <v>-0.125</v>
      </c>
      <c r="V279">
        <v>-6.6121669999999994E-2</v>
      </c>
      <c r="W279">
        <v>0.29316059999999999</v>
      </c>
      <c r="X279">
        <v>0.95377400000000001</v>
      </c>
      <c r="Y279">
        <v>3.9617989999999999E-2</v>
      </c>
      <c r="Z279">
        <v>-9.6299860000000005E-4</v>
      </c>
      <c r="AA279">
        <v>0.99921439999999995</v>
      </c>
      <c r="AB279">
        <v>35</v>
      </c>
      <c r="AC279">
        <v>26.0625</v>
      </c>
      <c r="AD279">
        <v>-1.0728951085030001</v>
      </c>
      <c r="AE279">
        <v>-1.0362</v>
      </c>
      <c r="AF279">
        <v>1.04632515799962</v>
      </c>
      <c r="AG279">
        <v>-1.0728951085030001</v>
      </c>
      <c r="AH279">
        <v>26.0180022738658</v>
      </c>
      <c r="AI279">
        <v>92.359442821533605</v>
      </c>
      <c r="AJ279">
        <v>87.697066532033105</v>
      </c>
      <c r="AK279">
        <v>26.061127039577599</v>
      </c>
      <c r="AL279">
        <v>72.952728867937694</v>
      </c>
      <c r="AM279">
        <v>93.965762038055402</v>
      </c>
      <c r="AN279">
        <v>1.00000002785597</v>
      </c>
    </row>
    <row r="280" spans="1:40" x14ac:dyDescent="0.25">
      <c r="A280" t="str">
        <f>"20190304164600211"</f>
        <v>20190304164600211</v>
      </c>
      <c r="B280" t="str">
        <f>"1551689160198459"</f>
        <v>1551689160198459</v>
      </c>
      <c r="C280" t="s">
        <v>40</v>
      </c>
      <c r="D280">
        <v>4.2529960000000004</v>
      </c>
      <c r="E280">
        <v>0.55435380000000001</v>
      </c>
      <c r="F280" t="s">
        <v>42</v>
      </c>
      <c r="G280">
        <v>-371.78179999999998</v>
      </c>
      <c r="H280" s="1">
        <v>-4.066249E-6</v>
      </c>
      <c r="I280">
        <v>366.46859999999998</v>
      </c>
      <c r="J280">
        <v>-397.40269999999998</v>
      </c>
      <c r="K280">
        <v>1.0757669999999999</v>
      </c>
      <c r="L280">
        <v>367.48439999999999</v>
      </c>
      <c r="M280">
        <v>0.99997420000000004</v>
      </c>
      <c r="N280">
        <v>-7.1925060000000004E-3</v>
      </c>
      <c r="O280">
        <v>4.1161520000000001E-4</v>
      </c>
      <c r="P280">
        <v>0.9558392</v>
      </c>
      <c r="Q280">
        <v>0.28623860000000001</v>
      </c>
      <c r="R280">
        <v>6.6626240000000003E-2</v>
      </c>
      <c r="S280">
        <v>3.1865230000000002</v>
      </c>
      <c r="T280">
        <v>-0.13163150000000001</v>
      </c>
      <c r="U280">
        <v>-0.1246033</v>
      </c>
      <c r="V280">
        <v>-6.6198140000000003E-2</v>
      </c>
      <c r="W280">
        <v>0.2931145</v>
      </c>
      <c r="X280">
        <v>0.95378289999999999</v>
      </c>
      <c r="Y280">
        <v>3.9444960000000001E-2</v>
      </c>
      <c r="Z280">
        <v>-9.700663E-4</v>
      </c>
      <c r="AA280">
        <v>0.99922129999999998</v>
      </c>
      <c r="AB280">
        <v>34</v>
      </c>
      <c r="AC280">
        <v>25.620899999999999</v>
      </c>
      <c r="AD280">
        <v>-1.0757710662490001</v>
      </c>
      <c r="AE280">
        <v>-1.01580000000001</v>
      </c>
      <c r="AF280">
        <v>1.0245427086927199</v>
      </c>
      <c r="AG280">
        <v>-1.0757710662490001</v>
      </c>
      <c r="AH280">
        <v>25.575461068162099</v>
      </c>
      <c r="AI280">
        <v>92.406663138796205</v>
      </c>
      <c r="AJ280">
        <v>87.705980662504203</v>
      </c>
      <c r="AK280">
        <v>25.618570998359498</v>
      </c>
      <c r="AL280">
        <v>72.955492169300697</v>
      </c>
      <c r="AM280">
        <v>93.9702968697285</v>
      </c>
      <c r="AN280">
        <v>1.0000000620910501</v>
      </c>
    </row>
    <row r="281" spans="1:40" x14ac:dyDescent="0.25">
      <c r="A281" t="str">
        <f>"20190304164600232"</f>
        <v>20190304164600232</v>
      </c>
      <c r="B281" t="str">
        <f>"1551689160227740"</f>
        <v>1551689160227740</v>
      </c>
      <c r="C281" t="s">
        <v>40</v>
      </c>
      <c r="D281">
        <v>4.1990480000000003</v>
      </c>
      <c r="E281">
        <v>0.55421180000000003</v>
      </c>
      <c r="F281" t="s">
        <v>42</v>
      </c>
      <c r="G281">
        <v>-371.10629999999998</v>
      </c>
      <c r="H281" s="1">
        <v>-4.3570169999999998E-6</v>
      </c>
      <c r="I281">
        <v>366.46300000000002</v>
      </c>
      <c r="J281">
        <v>-397.06650000000002</v>
      </c>
      <c r="K281">
        <v>1.078667</v>
      </c>
      <c r="L281">
        <v>367.48450000000003</v>
      </c>
      <c r="M281">
        <v>0.99997590000000003</v>
      </c>
      <c r="N281">
        <v>-6.9421359999999998E-3</v>
      </c>
      <c r="O281">
        <v>3.7173380000000002E-4</v>
      </c>
      <c r="P281">
        <v>0.9558487</v>
      </c>
      <c r="Q281">
        <v>0.28626849999999998</v>
      </c>
      <c r="R281">
        <v>6.6362039999999997E-2</v>
      </c>
      <c r="S281">
        <v>3.1862490000000001</v>
      </c>
      <c r="T281">
        <v>-0.13034760000000001</v>
      </c>
      <c r="U281">
        <v>-0.12374880000000001</v>
      </c>
      <c r="V281">
        <v>-6.5971059999999998E-2</v>
      </c>
      <c r="W281">
        <v>0.29290569999999999</v>
      </c>
      <c r="X281">
        <v>0.95386269999999995</v>
      </c>
      <c r="Y281">
        <v>3.9142129999999997E-2</v>
      </c>
      <c r="Z281">
        <v>-9.4860579999999999E-4</v>
      </c>
      <c r="AA281">
        <v>0.99923320000000004</v>
      </c>
      <c r="AB281">
        <v>34</v>
      </c>
      <c r="AC281">
        <v>25.9602</v>
      </c>
      <c r="AD281">
        <v>-1.0786713570169999</v>
      </c>
      <c r="AE281">
        <v>-1.0215000000000001</v>
      </c>
      <c r="AF281">
        <v>1.02937599272295</v>
      </c>
      <c r="AG281">
        <v>-1.0786713570169999</v>
      </c>
      <c r="AH281">
        <v>25.915145589000499</v>
      </c>
      <c r="AI281">
        <v>92.381582161886399</v>
      </c>
      <c r="AJ281">
        <v>87.725349029094701</v>
      </c>
      <c r="AK281">
        <v>25.958002961128098</v>
      </c>
      <c r="AL281">
        <v>72.968003448213906</v>
      </c>
      <c r="AM281">
        <v>93.956390894854906</v>
      </c>
      <c r="AN281">
        <v>0.999999990150651</v>
      </c>
    </row>
    <row r="282" spans="1:40" x14ac:dyDescent="0.25">
      <c r="A282" t="str">
        <f>"20190304164600254"</f>
        <v>20190304164600254</v>
      </c>
      <c r="B282" t="str">
        <f>"1551689160248235"</f>
        <v>1551689160248235</v>
      </c>
      <c r="C282" t="s">
        <v>40</v>
      </c>
      <c r="D282">
        <v>4.2261860000000002</v>
      </c>
      <c r="E282">
        <v>0.55412640000000002</v>
      </c>
      <c r="F282" t="s">
        <v>42</v>
      </c>
      <c r="G282">
        <v>-371.01659999999998</v>
      </c>
      <c r="H282" s="1">
        <v>-4.39358E-6</v>
      </c>
      <c r="I282">
        <v>366.47379999999998</v>
      </c>
      <c r="J282">
        <v>-396.72890000000001</v>
      </c>
      <c r="K282">
        <v>1.081683</v>
      </c>
      <c r="L282">
        <v>367.4846</v>
      </c>
      <c r="M282">
        <v>0.99997650000000005</v>
      </c>
      <c r="N282">
        <v>-6.8373339999999996E-3</v>
      </c>
      <c r="O282">
        <v>3.3448480000000002E-4</v>
      </c>
      <c r="P282">
        <v>0.95580609999999999</v>
      </c>
      <c r="Q282">
        <v>0.28650579999999998</v>
      </c>
      <c r="R282">
        <v>6.5947679999999995E-2</v>
      </c>
      <c r="S282">
        <v>3.1866460000000001</v>
      </c>
      <c r="T282">
        <v>-0.13195200000000001</v>
      </c>
      <c r="U282">
        <v>-0.12362670000000001</v>
      </c>
      <c r="V282">
        <v>-6.5591590000000005E-2</v>
      </c>
      <c r="W282">
        <v>0.29304249999999998</v>
      </c>
      <c r="X282">
        <v>0.95384690000000005</v>
      </c>
      <c r="Y282">
        <v>3.9061180000000001E-2</v>
      </c>
      <c r="Z282">
        <v>-9.5327859999999999E-4</v>
      </c>
      <c r="AA282">
        <v>0.99923629999999997</v>
      </c>
      <c r="AB282">
        <v>34</v>
      </c>
      <c r="AC282">
        <v>25.712299999999999</v>
      </c>
      <c r="AD282">
        <v>-1.08168739358</v>
      </c>
      <c r="AE282">
        <v>-1.0108000000000099</v>
      </c>
      <c r="AF282">
        <v>1.01760235528886</v>
      </c>
      <c r="AG282">
        <v>-1.08168739358</v>
      </c>
      <c r="AH282">
        <v>25.6666060512336</v>
      </c>
      <c r="AI282">
        <v>92.411339602146697</v>
      </c>
      <c r="AJ282">
        <v>87.729586852383093</v>
      </c>
      <c r="AK282">
        <v>25.709535747658698</v>
      </c>
      <c r="AL282">
        <v>72.959806476331494</v>
      </c>
      <c r="AM282">
        <v>93.933770074185304</v>
      </c>
      <c r="AN282">
        <v>1.00000003606229</v>
      </c>
    </row>
    <row r="283" spans="1:40" x14ac:dyDescent="0.25">
      <c r="A283" t="str">
        <f>"20190304164600277"</f>
        <v>20190304164600277</v>
      </c>
      <c r="B283" t="str">
        <f>"1551689160267755"</f>
        <v>1551689160267755</v>
      </c>
      <c r="C283" t="s">
        <v>40</v>
      </c>
      <c r="D283">
        <v>4.2254930000000002</v>
      </c>
      <c r="E283">
        <v>0.55408519999999895</v>
      </c>
      <c r="F283" t="s">
        <v>42</v>
      </c>
      <c r="G283">
        <v>-370.50349999999997</v>
      </c>
      <c r="H283" s="1">
        <v>-4.6142590000000004E-6</v>
      </c>
      <c r="I283">
        <v>366.47059999999999</v>
      </c>
      <c r="J283">
        <v>-396.37509999999997</v>
      </c>
      <c r="K283">
        <v>1.084867</v>
      </c>
      <c r="L283">
        <v>367.48469999999998</v>
      </c>
      <c r="M283">
        <v>0.99997550000000002</v>
      </c>
      <c r="N283">
        <v>-6.9876840000000001E-3</v>
      </c>
      <c r="O283">
        <v>2.9705900000000002E-4</v>
      </c>
      <c r="P283">
        <v>0.95582440000000002</v>
      </c>
      <c r="Q283">
        <v>0.28642489999999998</v>
      </c>
      <c r="R283">
        <v>6.6036659999999997E-2</v>
      </c>
      <c r="S283">
        <v>3.1866460000000001</v>
      </c>
      <c r="T283">
        <v>-0.13143579999999999</v>
      </c>
      <c r="U283">
        <v>-0.1231995</v>
      </c>
      <c r="V283">
        <v>-6.5716250000000004E-2</v>
      </c>
      <c r="W283">
        <v>0.2931049</v>
      </c>
      <c r="X283">
        <v>0.95381910000000003</v>
      </c>
      <c r="Y283">
        <v>3.8890359999999999E-2</v>
      </c>
      <c r="Z283">
        <v>-9.4755730000000002E-4</v>
      </c>
      <c r="AA283">
        <v>0.99924299999999999</v>
      </c>
      <c r="AB283">
        <v>35</v>
      </c>
      <c r="AC283">
        <v>25.871600000000001</v>
      </c>
      <c r="AD283">
        <v>-1.084871614259</v>
      </c>
      <c r="AE283">
        <v>-1.01409999999998</v>
      </c>
      <c r="AF283">
        <v>1.01999475868554</v>
      </c>
      <c r="AG283">
        <v>-1.084871614259</v>
      </c>
      <c r="AH283">
        <v>25.825955698469201</v>
      </c>
      <c r="AI283">
        <v>92.403539507083494</v>
      </c>
      <c r="AJ283">
        <v>87.738281701260306</v>
      </c>
      <c r="AK283">
        <v>25.868848514506102</v>
      </c>
      <c r="AL283">
        <v>72.956066240887495</v>
      </c>
      <c r="AM283">
        <v>93.941337364689105</v>
      </c>
      <c r="AN283">
        <v>0.99999999172144105</v>
      </c>
    </row>
    <row r="284" spans="1:40" x14ac:dyDescent="0.25">
      <c r="A284" t="str">
        <f>"20190304164600298"</f>
        <v>20190304164600298</v>
      </c>
      <c r="B284" t="str">
        <f>"1551689160288251"</f>
        <v>1551689160288251</v>
      </c>
      <c r="C284" t="s">
        <v>40</v>
      </c>
      <c r="D284">
        <v>4.1661140000000003</v>
      </c>
      <c r="E284">
        <v>0.55404129999999996</v>
      </c>
      <c r="F284" t="s">
        <v>42</v>
      </c>
      <c r="G284">
        <v>-370.32679999999999</v>
      </c>
      <c r="H284" s="1">
        <v>-4.6886630000000001E-6</v>
      </c>
      <c r="I284">
        <v>366.47859999999997</v>
      </c>
      <c r="J284">
        <v>-396.048</v>
      </c>
      <c r="K284">
        <v>1.087726</v>
      </c>
      <c r="L284">
        <v>367.48480000000001</v>
      </c>
      <c r="M284">
        <v>0.99997349999999996</v>
      </c>
      <c r="N284">
        <v>-7.2928860000000002E-3</v>
      </c>
      <c r="O284">
        <v>2.6173949999999999E-4</v>
      </c>
      <c r="P284">
        <v>0.95581269999999996</v>
      </c>
      <c r="Q284">
        <v>0.28637509999999999</v>
      </c>
      <c r="R284">
        <v>6.6419469999999994E-2</v>
      </c>
      <c r="S284">
        <v>3.1869510000000001</v>
      </c>
      <c r="T284">
        <v>-0.13273109999999999</v>
      </c>
      <c r="U284">
        <v>-0.1230774</v>
      </c>
      <c r="V284">
        <v>-6.6133189999999994E-2</v>
      </c>
      <c r="W284">
        <v>0.29334660000000001</v>
      </c>
      <c r="X284">
        <v>0.95371600000000001</v>
      </c>
      <c r="Y284">
        <v>3.8812310000000003E-2</v>
      </c>
      <c r="Z284">
        <v>-9.5822069999999999E-4</v>
      </c>
      <c r="AA284">
        <v>0.99924610000000003</v>
      </c>
      <c r="AB284">
        <v>35</v>
      </c>
      <c r="AC284">
        <v>25.7212</v>
      </c>
      <c r="AD284">
        <v>-1.087730688663</v>
      </c>
      <c r="AE284">
        <v>-1.00620000000003</v>
      </c>
      <c r="AF284">
        <v>1.0111268795869801</v>
      </c>
      <c r="AG284">
        <v>-1.087730688663</v>
      </c>
      <c r="AH284">
        <v>25.6750890411545</v>
      </c>
      <c r="AI284">
        <v>92.424020666079102</v>
      </c>
      <c r="AJ284">
        <v>87.744764169499703</v>
      </c>
      <c r="AK284">
        <v>25.718004061141599</v>
      </c>
      <c r="AL284">
        <v>72.941581587264395</v>
      </c>
      <c r="AM284">
        <v>93.966691213556601</v>
      </c>
      <c r="AN284">
        <v>1.0000000176035599</v>
      </c>
    </row>
    <row r="285" spans="1:40" x14ac:dyDescent="0.25">
      <c r="A285" t="str">
        <f>"20190304164600321"</f>
        <v>20190304164600321</v>
      </c>
      <c r="B285" t="str">
        <f>"1551689160318508"</f>
        <v>1551689160318508</v>
      </c>
      <c r="C285" t="s">
        <v>40</v>
      </c>
      <c r="D285">
        <v>4.1935549999999999</v>
      </c>
      <c r="E285">
        <v>0.55397439999999998</v>
      </c>
      <c r="F285" t="s">
        <v>42</v>
      </c>
      <c r="G285">
        <v>-369.73039999999997</v>
      </c>
      <c r="H285" s="1">
        <v>-9.1387889999999996E-7</v>
      </c>
      <c r="I285">
        <v>366.47399999999999</v>
      </c>
      <c r="J285">
        <v>-395.69900000000001</v>
      </c>
      <c r="K285">
        <v>1.0906070000000001</v>
      </c>
      <c r="L285">
        <v>367.48480000000001</v>
      </c>
      <c r="M285">
        <v>0.99997009999999997</v>
      </c>
      <c r="N285">
        <v>-7.7321600000000001E-3</v>
      </c>
      <c r="O285">
        <v>2.2465580000000001E-4</v>
      </c>
      <c r="P285">
        <v>0.95605390000000001</v>
      </c>
      <c r="Q285">
        <v>0.28562609999999999</v>
      </c>
      <c r="R285">
        <v>6.6175429999999993E-2</v>
      </c>
      <c r="S285">
        <v>3.1866759999999998</v>
      </c>
      <c r="T285">
        <v>-0.13170750000000001</v>
      </c>
      <c r="U285">
        <v>-0.1223755</v>
      </c>
      <c r="V285">
        <v>-6.5924579999999997E-2</v>
      </c>
      <c r="W285">
        <v>0.2930179</v>
      </c>
      <c r="X285">
        <v>0.95383150000000005</v>
      </c>
      <c r="Y285">
        <v>3.8559290000000003E-2</v>
      </c>
      <c r="Z285">
        <v>-9.5295589999999999E-4</v>
      </c>
      <c r="AA285">
        <v>0.99925580000000003</v>
      </c>
      <c r="AB285">
        <v>35</v>
      </c>
      <c r="AC285">
        <v>25.968599999999999</v>
      </c>
      <c r="AD285">
        <v>-1.0906079138789</v>
      </c>
      <c r="AE285">
        <v>-1.0108000000000099</v>
      </c>
      <c r="AF285">
        <v>1.0148469038235799</v>
      </c>
      <c r="AG285">
        <v>-1.0906079138789</v>
      </c>
      <c r="AH285">
        <v>25.922719889481002</v>
      </c>
      <c r="AI285">
        <v>92.407257280765904</v>
      </c>
      <c r="AJ285">
        <v>87.758076076277106</v>
      </c>
      <c r="AK285">
        <v>25.965491451703901</v>
      </c>
      <c r="AL285">
        <v>72.961280649136199</v>
      </c>
      <c r="AM285">
        <v>93.953741170548497</v>
      </c>
      <c r="AN285">
        <v>1.0000000351804099</v>
      </c>
    </row>
    <row r="286" spans="1:40" x14ac:dyDescent="0.25">
      <c r="A286" t="str">
        <f>"20190304164600344"</f>
        <v>20190304164600344</v>
      </c>
      <c r="B286" t="str">
        <f>"1551689160338028"</f>
        <v>1551689160338028</v>
      </c>
      <c r="C286" t="s">
        <v>40</v>
      </c>
      <c r="D286">
        <v>4.1400129999999997</v>
      </c>
      <c r="E286">
        <v>0.55393680000000001</v>
      </c>
      <c r="F286" t="s">
        <v>42</v>
      </c>
      <c r="G286">
        <v>-369.8476</v>
      </c>
      <c r="H286" s="1">
        <v>-8.6877269999999896E-7</v>
      </c>
      <c r="I286">
        <v>366.49369999999999</v>
      </c>
      <c r="J286">
        <v>-395.33589999999998</v>
      </c>
      <c r="K286">
        <v>1.093372</v>
      </c>
      <c r="L286">
        <v>367.48489999999998</v>
      </c>
      <c r="M286">
        <v>0.99996600000000002</v>
      </c>
      <c r="N286">
        <v>-8.2533829999999996E-3</v>
      </c>
      <c r="O286">
        <v>1.8564699999999999E-4</v>
      </c>
      <c r="P286">
        <v>0.95611780000000002</v>
      </c>
      <c r="Q286">
        <v>0.28552420000000001</v>
      </c>
      <c r="R286">
        <v>6.5685610000000005E-2</v>
      </c>
      <c r="S286">
        <v>3.1865540000000001</v>
      </c>
      <c r="T286">
        <v>-0.13443279999999999</v>
      </c>
      <c r="U286">
        <v>-0.1221619</v>
      </c>
      <c r="V286">
        <v>-6.5472340000000004E-2</v>
      </c>
      <c r="W286">
        <v>0.29341349999999999</v>
      </c>
      <c r="X286">
        <v>0.95374099999999995</v>
      </c>
      <c r="Y286">
        <v>3.8453090000000002E-2</v>
      </c>
      <c r="Z286">
        <v>-9.7558599999999997E-4</v>
      </c>
      <c r="AA286">
        <v>0.99925989999999998</v>
      </c>
      <c r="AB286">
        <v>35</v>
      </c>
      <c r="AC286">
        <v>25.488299999999899</v>
      </c>
      <c r="AD286">
        <v>-1.0933728687727</v>
      </c>
      <c r="AE286">
        <v>-0.99119999999999198</v>
      </c>
      <c r="AF286">
        <v>0.99410542254515999</v>
      </c>
      <c r="AG286">
        <v>-1.0933728687727</v>
      </c>
      <c r="AH286">
        <v>25.441370122928401</v>
      </c>
      <c r="AI286">
        <v>92.458965227519997</v>
      </c>
      <c r="AJ286">
        <v>87.762342067652497</v>
      </c>
      <c r="AK286">
        <v>25.484250500125299</v>
      </c>
      <c r="AL286">
        <v>72.937571793047695</v>
      </c>
      <c r="AM286">
        <v>93.927075239886605</v>
      </c>
      <c r="AN286">
        <v>1.00000000218416</v>
      </c>
    </row>
    <row r="287" spans="1:40" x14ac:dyDescent="0.25">
      <c r="A287" t="str">
        <f>"20190304164600366"</f>
        <v>20190304164600366</v>
      </c>
      <c r="B287" t="str">
        <f>"1551689160358523"</f>
        <v>1551689160358523</v>
      </c>
      <c r="C287" t="s">
        <v>40</v>
      </c>
      <c r="D287">
        <v>4.0714739999999896</v>
      </c>
      <c r="E287">
        <v>0.55404989999999998</v>
      </c>
      <c r="F287" t="s">
        <v>42</v>
      </c>
      <c r="G287">
        <v>-369.3614</v>
      </c>
      <c r="H287" s="1">
        <v>-1.035192E-6</v>
      </c>
      <c r="I287">
        <v>366.49009999999998</v>
      </c>
      <c r="J287">
        <v>-394.99489999999997</v>
      </c>
      <c r="K287">
        <v>1.095729</v>
      </c>
      <c r="L287">
        <v>367.48489999999998</v>
      </c>
      <c r="M287">
        <v>0.99996160000000001</v>
      </c>
      <c r="N287">
        <v>-8.7671789999999999E-3</v>
      </c>
      <c r="O287">
        <v>1.4951330000000001E-4</v>
      </c>
      <c r="P287">
        <v>0.95636429999999995</v>
      </c>
      <c r="Q287">
        <v>0.2848676</v>
      </c>
      <c r="R287">
        <v>6.4945649999999994E-2</v>
      </c>
      <c r="S287">
        <v>3.186096</v>
      </c>
      <c r="T287">
        <v>-0.13411500000000001</v>
      </c>
      <c r="U287">
        <v>-0.1220093</v>
      </c>
      <c r="V287">
        <v>-6.4766279999999996E-2</v>
      </c>
      <c r="W287">
        <v>0.29324939999999999</v>
      </c>
      <c r="X287">
        <v>0.95383969999999996</v>
      </c>
      <c r="Y287">
        <v>3.837455E-2</v>
      </c>
      <c r="Z287">
        <v>-9.8036460000000005E-4</v>
      </c>
      <c r="AA287">
        <v>0.99926289999999995</v>
      </c>
      <c r="AB287">
        <v>35</v>
      </c>
      <c r="AC287">
        <v>25.633499999999898</v>
      </c>
      <c r="AD287">
        <v>-1.0957300351920001</v>
      </c>
      <c r="AE287">
        <v>-0.99479999999999802</v>
      </c>
      <c r="AF287">
        <v>0.99681402377489503</v>
      </c>
      <c r="AG287">
        <v>-1.0957300351920001</v>
      </c>
      <c r="AH287">
        <v>25.586668756332202</v>
      </c>
      <c r="AI287">
        <v>92.4502943121947</v>
      </c>
      <c r="AJ287">
        <v>87.768980058507296</v>
      </c>
      <c r="AK287">
        <v>25.629511906282701</v>
      </c>
      <c r="AL287">
        <v>72.947407102481407</v>
      </c>
      <c r="AM287">
        <v>93.884454904465201</v>
      </c>
      <c r="AN287">
        <v>1.0000000274607399</v>
      </c>
    </row>
    <row r="288" spans="1:40" x14ac:dyDescent="0.25">
      <c r="A288" t="str">
        <f>"20190304164600388"</f>
        <v>20190304164600388</v>
      </c>
      <c r="B288" t="str">
        <f>"1551689160378044"</f>
        <v>1551689160378044</v>
      </c>
      <c r="C288" t="s">
        <v>40</v>
      </c>
      <c r="D288">
        <v>4.1277689999999998</v>
      </c>
      <c r="E288">
        <v>0.55415700000000001</v>
      </c>
      <c r="F288" t="s">
        <v>42</v>
      </c>
      <c r="G288">
        <v>-369.1748</v>
      </c>
      <c r="H288" s="1">
        <v>-1.1030620000000001E-6</v>
      </c>
      <c r="I288">
        <v>366.47359999999998</v>
      </c>
      <c r="J288">
        <v>-394.64710000000002</v>
      </c>
      <c r="K288">
        <v>1.0978829999999999</v>
      </c>
      <c r="L288">
        <v>367.48489999999998</v>
      </c>
      <c r="M288">
        <v>0.99995699999999998</v>
      </c>
      <c r="N288">
        <v>-9.2908130000000002E-3</v>
      </c>
      <c r="O288">
        <v>1.125471E-4</v>
      </c>
      <c r="P288">
        <v>0.95654439999999996</v>
      </c>
      <c r="Q288">
        <v>0.2843118</v>
      </c>
      <c r="R288">
        <v>6.4730040000000003E-2</v>
      </c>
      <c r="S288">
        <v>3.1856080000000002</v>
      </c>
      <c r="T288">
        <v>-0.1351879</v>
      </c>
      <c r="U288">
        <v>-0.1247559</v>
      </c>
      <c r="V288">
        <v>-6.4586400000000002E-2</v>
      </c>
      <c r="W288">
        <v>0.29319469999999997</v>
      </c>
      <c r="X288">
        <v>0.95386870000000001</v>
      </c>
      <c r="Y288">
        <v>3.920179E-2</v>
      </c>
      <c r="Z288">
        <v>-1.017121E-3</v>
      </c>
      <c r="AA288">
        <v>0.99923079999999997</v>
      </c>
      <c r="AB288">
        <v>34</v>
      </c>
      <c r="AC288">
        <v>25.472300000000001</v>
      </c>
      <c r="AD288">
        <v>-1.0978841030619999</v>
      </c>
      <c r="AE288">
        <v>-1.0113000000000001</v>
      </c>
      <c r="AF288">
        <v>1.01228937517551</v>
      </c>
      <c r="AG288">
        <v>-1.0978841030619999</v>
      </c>
      <c r="AH288">
        <v>25.425028153838301</v>
      </c>
      <c r="AI288">
        <v>92.470611442994198</v>
      </c>
      <c r="AJ288">
        <v>87.719991093523205</v>
      </c>
      <c r="AK288">
        <v>25.468846379573598</v>
      </c>
      <c r="AL288">
        <v>72.950685074445502</v>
      </c>
      <c r="AM288">
        <v>93.873581811200395</v>
      </c>
      <c r="AN288">
        <v>1.00000001600636</v>
      </c>
    </row>
    <row r="289" spans="1:40" x14ac:dyDescent="0.25">
      <c r="A289" t="str">
        <f>"20190304164600412"</f>
        <v>20190304164600412</v>
      </c>
      <c r="B289" t="str">
        <f>"1551689160408300"</f>
        <v>1551689160408300</v>
      </c>
      <c r="C289" t="s">
        <v>40</v>
      </c>
      <c r="D289">
        <v>4.2325839999999904</v>
      </c>
      <c r="E289">
        <v>0.58624569999999998</v>
      </c>
      <c r="F289" t="s">
        <v>42</v>
      </c>
      <c r="G289">
        <v>-369.15039999999999</v>
      </c>
      <c r="H289" s="1">
        <v>-1.1139930000000001E-6</v>
      </c>
      <c r="I289">
        <v>366.46379999999999</v>
      </c>
      <c r="J289">
        <v>-394.29239999999999</v>
      </c>
      <c r="K289">
        <v>1.0998190000000001</v>
      </c>
      <c r="L289">
        <v>367.48489999999998</v>
      </c>
      <c r="M289">
        <v>0.99995210000000001</v>
      </c>
      <c r="N289">
        <v>-9.8075980000000007E-3</v>
      </c>
      <c r="O289" s="1">
        <v>7.5001899999999896E-5</v>
      </c>
      <c r="P289">
        <v>0.95657440000000005</v>
      </c>
      <c r="Q289">
        <v>0.28425620000000001</v>
      </c>
      <c r="R289">
        <v>6.4530299999999999E-2</v>
      </c>
      <c r="S289">
        <v>3.1856689999999999</v>
      </c>
      <c r="T289">
        <v>-0.13717370000000001</v>
      </c>
      <c r="U289">
        <v>-0.1275635</v>
      </c>
      <c r="V289">
        <v>-6.4422699999999999E-2</v>
      </c>
      <c r="W289">
        <v>0.29363240000000002</v>
      </c>
      <c r="X289">
        <v>0.95374510000000001</v>
      </c>
      <c r="Y289">
        <v>4.0040249999999999E-2</v>
      </c>
      <c r="Z289">
        <v>-1.060351E-3</v>
      </c>
      <c r="AA289">
        <v>0.99919749999999996</v>
      </c>
      <c r="AB289">
        <v>34</v>
      </c>
      <c r="AC289">
        <v>25.141999999999999</v>
      </c>
      <c r="AD289">
        <v>-1.0998201139929999</v>
      </c>
      <c r="AE289">
        <v>-1.0210999999999899</v>
      </c>
      <c r="AF289">
        <v>1.02103518339661</v>
      </c>
      <c r="AG289">
        <v>-1.0998201139929999</v>
      </c>
      <c r="AH289">
        <v>25.0939833968825</v>
      </c>
      <c r="AI289">
        <v>92.507483564095295</v>
      </c>
      <c r="AJ289">
        <v>87.670009018670996</v>
      </c>
      <c r="AK289">
        <v>25.138816993881999</v>
      </c>
      <c r="AL289">
        <v>72.924451681245898</v>
      </c>
      <c r="AM289">
        <v>93.864292856965804</v>
      </c>
      <c r="AN289">
        <v>0.99999999318953003</v>
      </c>
    </row>
    <row r="290" spans="1:40" x14ac:dyDescent="0.25">
      <c r="A290" t="str">
        <f>"20190304164600433"</f>
        <v>20190304164600433</v>
      </c>
      <c r="B290" t="str">
        <f>"1551689160428326"</f>
        <v>1551689160428326</v>
      </c>
      <c r="C290" t="s">
        <v>40</v>
      </c>
      <c r="D290">
        <v>4.2327579999999996</v>
      </c>
      <c r="E290">
        <v>0.58922359999999996</v>
      </c>
      <c r="F290" t="s">
        <v>42</v>
      </c>
      <c r="G290">
        <v>-378.56819999999999</v>
      </c>
      <c r="H290" s="1">
        <v>-1.5269829999999999E-6</v>
      </c>
      <c r="I290">
        <v>365.65629999999999</v>
      </c>
      <c r="J290">
        <v>-393.96850000000001</v>
      </c>
      <c r="K290">
        <v>1.101369</v>
      </c>
      <c r="L290">
        <v>367.48489999999998</v>
      </c>
      <c r="M290">
        <v>0.99994749999999999</v>
      </c>
      <c r="N290">
        <v>-1.0254299999999999E-2</v>
      </c>
      <c r="O290" s="1">
        <v>4.0907249999999997E-5</v>
      </c>
      <c r="P290">
        <v>0.9566907</v>
      </c>
      <c r="Q290">
        <v>0.283914</v>
      </c>
      <c r="R290">
        <v>6.4312099999999997E-2</v>
      </c>
      <c r="S290">
        <v>3.2286679999999999</v>
      </c>
      <c r="T290">
        <v>-0.22582630000000001</v>
      </c>
      <c r="U290">
        <v>-0.37545780000000001</v>
      </c>
      <c r="V290">
        <v>-6.4237219999999998E-2</v>
      </c>
      <c r="W290">
        <v>0.29371710000000001</v>
      </c>
      <c r="X290">
        <v>0.95373149999999995</v>
      </c>
      <c r="Y290">
        <v>0.1152319</v>
      </c>
      <c r="Z290">
        <v>-4.6075680000000003E-3</v>
      </c>
      <c r="AA290">
        <v>0.99332790000000004</v>
      </c>
      <c r="AB290">
        <v>34</v>
      </c>
      <c r="AC290">
        <v>15.4003</v>
      </c>
      <c r="AD290">
        <v>-1.1013705269830001</v>
      </c>
      <c r="AE290">
        <v>-1.82859999999999</v>
      </c>
      <c r="AF290">
        <v>1.82005066838612</v>
      </c>
      <c r="AG290">
        <v>-1.1013705269830001</v>
      </c>
      <c r="AH290">
        <v>15.3229445698425</v>
      </c>
      <c r="AI290">
        <v>94.082589874036401</v>
      </c>
      <c r="AJ290">
        <v>83.226177101139299</v>
      </c>
      <c r="AK290">
        <v>15.4699137607055</v>
      </c>
      <c r="AL290">
        <v>72.919374366747604</v>
      </c>
      <c r="AM290">
        <v>93.853255478785201</v>
      </c>
      <c r="AN290">
        <v>0.99999996467899299</v>
      </c>
    </row>
    <row r="291" spans="1:40" x14ac:dyDescent="0.25">
      <c r="A291" t="str">
        <f>"20190304164600456"</f>
        <v>20190304164600456</v>
      </c>
      <c r="B291" t="str">
        <f>"1551689160448822"</f>
        <v>1551689160448822</v>
      </c>
      <c r="C291" t="s">
        <v>40</v>
      </c>
      <c r="D291">
        <v>4.2052630000000004</v>
      </c>
      <c r="E291">
        <v>0.59054510000000004</v>
      </c>
      <c r="F291" t="s">
        <v>42</v>
      </c>
      <c r="G291">
        <v>-378.92860000000002</v>
      </c>
      <c r="H291" s="1">
        <v>-1.4118570000000001E-6</v>
      </c>
      <c r="I291">
        <v>365.62799999999999</v>
      </c>
      <c r="J291">
        <v>-393.6232</v>
      </c>
      <c r="K291">
        <v>1.102805</v>
      </c>
      <c r="L291">
        <v>367.48480000000001</v>
      </c>
      <c r="M291">
        <v>0.99994300000000003</v>
      </c>
      <c r="N291">
        <v>-1.06982E-2</v>
      </c>
      <c r="O291" s="1">
        <v>3.9871119999999998E-6</v>
      </c>
      <c r="P291">
        <v>0.95687440000000001</v>
      </c>
      <c r="Q291">
        <v>0.28334999999999999</v>
      </c>
      <c r="R291">
        <v>6.4066499999999998E-2</v>
      </c>
      <c r="S291">
        <v>3.2328489999999999</v>
      </c>
      <c r="T291">
        <v>-0.23673930000000001</v>
      </c>
      <c r="U291">
        <v>-0.39910889999999999</v>
      </c>
      <c r="V291">
        <v>-6.4027230000000004E-2</v>
      </c>
      <c r="W291">
        <v>0.29357860000000002</v>
      </c>
      <c r="X291">
        <v>0.95378830000000003</v>
      </c>
      <c r="Y291">
        <v>0.12215810000000001</v>
      </c>
      <c r="Z291">
        <v>-5.1071320000000003E-3</v>
      </c>
      <c r="AA291">
        <v>0.99249750000000003</v>
      </c>
      <c r="AB291">
        <v>34</v>
      </c>
      <c r="AC291">
        <v>14.6945999999999</v>
      </c>
      <c r="AD291">
        <v>-1.102806411857</v>
      </c>
      <c r="AE291">
        <v>-1.85679999999996</v>
      </c>
      <c r="AF291">
        <v>1.8466213868193699</v>
      </c>
      <c r="AG291">
        <v>-1.102806411857</v>
      </c>
      <c r="AH291">
        <v>14.613578584094</v>
      </c>
      <c r="AI291">
        <v>94.281696551773507</v>
      </c>
      <c r="AJ291">
        <v>82.798081681317399</v>
      </c>
      <c r="AK291">
        <v>14.7710145745573</v>
      </c>
      <c r="AL291">
        <v>72.9276764499797</v>
      </c>
      <c r="AM291">
        <v>93.840468999023102</v>
      </c>
      <c r="AN291">
        <v>1.00000000088816</v>
      </c>
    </row>
    <row r="292" spans="1:40" x14ac:dyDescent="0.25">
      <c r="A292" t="str">
        <f>"20190304164600478"</f>
        <v>20190304164600478</v>
      </c>
      <c r="B292" t="str">
        <f>"1551689160468342"</f>
        <v>1551689160468342</v>
      </c>
      <c r="C292" t="s">
        <v>40</v>
      </c>
      <c r="D292">
        <v>4.2165720000000002</v>
      </c>
      <c r="E292">
        <v>0.59108539999999998</v>
      </c>
      <c r="F292" t="s">
        <v>41</v>
      </c>
      <c r="G292">
        <v>-392.61369999999999</v>
      </c>
      <c r="H292">
        <v>1.0273049999999999</v>
      </c>
      <c r="I292">
        <v>367.35660000000001</v>
      </c>
      <c r="J292">
        <v>-393.28440000000001</v>
      </c>
      <c r="K292">
        <v>1.1040110000000001</v>
      </c>
      <c r="L292">
        <v>367.48480000000001</v>
      </c>
      <c r="M292">
        <v>0.99993849999999995</v>
      </c>
      <c r="N292">
        <v>-1.1098800000000001E-2</v>
      </c>
      <c r="O292" s="1">
        <v>-3.1951440000000003E-5</v>
      </c>
      <c r="P292">
        <v>0.95698090000000002</v>
      </c>
      <c r="Q292">
        <v>0.28302719999999998</v>
      </c>
      <c r="R292">
        <v>6.3902150000000005E-2</v>
      </c>
      <c r="S292">
        <v>3.2343440000000001</v>
      </c>
      <c r="T292">
        <v>-0.2420805</v>
      </c>
      <c r="U292">
        <v>-0.40951539999999997</v>
      </c>
      <c r="V292">
        <v>-6.3897280000000001E-2</v>
      </c>
      <c r="W292">
        <v>0.29363879999999998</v>
      </c>
      <c r="X292">
        <v>0.95377849999999997</v>
      </c>
      <c r="Y292">
        <v>0.12518360000000001</v>
      </c>
      <c r="Z292">
        <v>-5.3562840000000002E-3</v>
      </c>
      <c r="AA292">
        <v>0.99211910000000003</v>
      </c>
      <c r="AB292">
        <v>34</v>
      </c>
      <c r="AC292">
        <v>0.67070000000000995</v>
      </c>
      <c r="AD292">
        <v>-7.6706000000000094E-2</v>
      </c>
      <c r="AE292">
        <v>-0.12819999999999199</v>
      </c>
      <c r="AF292">
        <v>0.12658126632605601</v>
      </c>
      <c r="AG292">
        <v>-7.6706000000000094E-2</v>
      </c>
      <c r="AH292">
        <v>0.66234608965187902</v>
      </c>
      <c r="AI292">
        <v>96.489552437218606</v>
      </c>
      <c r="AJ292">
        <v>79.180637551568196</v>
      </c>
      <c r="AK292">
        <v>0.67868178839412197</v>
      </c>
      <c r="AL292">
        <v>72.924068499914995</v>
      </c>
      <c r="AM292">
        <v>93.832736881549295</v>
      </c>
      <c r="AN292">
        <v>1.00000001715954</v>
      </c>
    </row>
    <row r="293" spans="1:40" x14ac:dyDescent="0.25">
      <c r="A293" t="str">
        <f>"20190304164600499"</f>
        <v>20190304164600499</v>
      </c>
      <c r="B293" t="str">
        <f>"1551689160487865"</f>
        <v>1551689160487865</v>
      </c>
      <c r="C293" t="s">
        <v>40</v>
      </c>
      <c r="D293">
        <v>4.2357120000000004</v>
      </c>
      <c r="E293">
        <v>0.59146109999999996</v>
      </c>
      <c r="F293" t="s">
        <v>41</v>
      </c>
      <c r="G293">
        <v>-392.30689999999998</v>
      </c>
      <c r="H293">
        <v>1.0297130000000001</v>
      </c>
      <c r="I293">
        <v>367.35930000000002</v>
      </c>
      <c r="J293">
        <v>-392.95420000000001</v>
      </c>
      <c r="K293">
        <v>1.105037</v>
      </c>
      <c r="L293">
        <v>367.48480000000001</v>
      </c>
      <c r="M293">
        <v>0.99993430000000005</v>
      </c>
      <c r="N293">
        <v>-1.145766E-2</v>
      </c>
      <c r="O293" s="1">
        <v>-6.6541689999999898E-5</v>
      </c>
      <c r="P293">
        <v>0.95717529999999995</v>
      </c>
      <c r="Q293">
        <v>0.28248909999999899</v>
      </c>
      <c r="R293">
        <v>6.3365190000000002E-2</v>
      </c>
      <c r="S293">
        <v>3.2352910000000001</v>
      </c>
      <c r="T293">
        <v>-0.24606929999999999</v>
      </c>
      <c r="U293">
        <v>-0.41439819999999999</v>
      </c>
      <c r="V293">
        <v>-6.3393210000000005E-2</v>
      </c>
      <c r="W293">
        <v>0.29344540000000002</v>
      </c>
      <c r="X293">
        <v>0.95387160000000004</v>
      </c>
      <c r="Y293">
        <v>0.12656829999999999</v>
      </c>
      <c r="Z293">
        <v>-5.5118220000000004E-3</v>
      </c>
      <c r="AA293">
        <v>0.99194260000000001</v>
      </c>
      <c r="AB293">
        <v>34</v>
      </c>
      <c r="AC293">
        <v>0.64730000000002896</v>
      </c>
      <c r="AD293">
        <v>-7.5324000000000099E-2</v>
      </c>
      <c r="AE293">
        <v>-0.12549999999998801</v>
      </c>
      <c r="AF293">
        <v>0.123840731811836</v>
      </c>
      <c r="AG293">
        <v>-7.5324000000000099E-2</v>
      </c>
      <c r="AH293">
        <v>0.638969432189192</v>
      </c>
      <c r="AI293">
        <v>96.601472692652095</v>
      </c>
      <c r="AJ293">
        <v>79.0313114227055</v>
      </c>
      <c r="AK293">
        <v>0.65520391261337096</v>
      </c>
      <c r="AL293">
        <v>72.935659253504198</v>
      </c>
      <c r="AM293">
        <v>93.802220363854403</v>
      </c>
      <c r="AN293">
        <v>0.99999996557091098</v>
      </c>
    </row>
    <row r="294" spans="1:40" x14ac:dyDescent="0.25">
      <c r="A294" t="str">
        <f>"20190304164600513"</f>
        <v>20190304164600513</v>
      </c>
      <c r="B294" t="str">
        <f>"1551689160508358"</f>
        <v>1551689160508358</v>
      </c>
      <c r="C294" t="s">
        <v>40</v>
      </c>
      <c r="D294">
        <v>4.2243659999999998</v>
      </c>
      <c r="E294">
        <v>0.59160029999999997</v>
      </c>
      <c r="F294" t="s">
        <v>41</v>
      </c>
      <c r="G294">
        <v>-392.00060000000002</v>
      </c>
      <c r="H294">
        <v>1.0317540000000001</v>
      </c>
      <c r="I294">
        <v>367.36110000000002</v>
      </c>
      <c r="J294">
        <v>-392.74209999999999</v>
      </c>
      <c r="K294">
        <v>1.105623</v>
      </c>
      <c r="L294">
        <v>367.48469999999998</v>
      </c>
      <c r="M294">
        <v>0.99993189999999998</v>
      </c>
      <c r="N294">
        <v>-1.1673899999999999E-2</v>
      </c>
      <c r="O294" s="1">
        <v>-8.9378449999999907E-5</v>
      </c>
      <c r="P294">
        <v>0.95729920000000002</v>
      </c>
      <c r="Q294">
        <v>0.28215780000000001</v>
      </c>
      <c r="R294">
        <v>6.2969220000000006E-2</v>
      </c>
      <c r="S294">
        <v>3.235382</v>
      </c>
      <c r="T294">
        <v>-0.248722</v>
      </c>
      <c r="U294">
        <v>-0.41894530000000002</v>
      </c>
      <c r="V294">
        <v>-6.3019080000000005E-2</v>
      </c>
      <c r="W294">
        <v>0.29332150000000001</v>
      </c>
      <c r="X294">
        <v>0.95393459999999997</v>
      </c>
      <c r="Y294">
        <v>0.1278996</v>
      </c>
      <c r="Z294">
        <v>-5.6337499999999999E-3</v>
      </c>
      <c r="AA294">
        <v>0.99177110000000002</v>
      </c>
      <c r="AB294">
        <v>34</v>
      </c>
      <c r="AC294">
        <v>0.74149999999997296</v>
      </c>
      <c r="AD294">
        <v>-7.3868999999999893E-2</v>
      </c>
      <c r="AE294">
        <v>-0.123599999999953</v>
      </c>
      <c r="AF294">
        <v>0.12235228049878601</v>
      </c>
      <c r="AG294">
        <v>-7.3868999999999893E-2</v>
      </c>
      <c r="AH294">
        <v>0.73441945022079003</v>
      </c>
      <c r="AI294">
        <v>95.666005804616205</v>
      </c>
      <c r="AJ294">
        <v>80.5415461246034</v>
      </c>
      <c r="AK294">
        <v>0.74819692499158397</v>
      </c>
      <c r="AL294">
        <v>72.943086699957902</v>
      </c>
      <c r="AM294">
        <v>93.779596999137596</v>
      </c>
      <c r="AN294">
        <v>1.0000000639417199</v>
      </c>
    </row>
    <row r="295" spans="1:40" x14ac:dyDescent="0.25">
      <c r="A295" t="str">
        <f>"20190304164600535"</f>
        <v>20190304164600535</v>
      </c>
      <c r="B295" t="str">
        <f>"1551689160527879"</f>
        <v>1551689160527879</v>
      </c>
      <c r="C295" t="s">
        <v>40</v>
      </c>
      <c r="D295">
        <v>4.1995189999999996</v>
      </c>
      <c r="E295">
        <v>0.59177769999999996</v>
      </c>
      <c r="F295" t="s">
        <v>41</v>
      </c>
      <c r="G295">
        <v>-391.98930000000001</v>
      </c>
      <c r="H295">
        <v>1.047614</v>
      </c>
      <c r="I295">
        <v>367.38639999999998</v>
      </c>
      <c r="J295">
        <v>-392.41680000000002</v>
      </c>
      <c r="K295">
        <v>1.1064130000000001</v>
      </c>
      <c r="L295">
        <v>367.4846</v>
      </c>
      <c r="M295">
        <v>0.99992840000000005</v>
      </c>
      <c r="N295">
        <v>-1.1978539999999999E-2</v>
      </c>
      <c r="O295">
        <v>-1.2374090000000001E-4</v>
      </c>
      <c r="P295">
        <v>0.95741719999999997</v>
      </c>
      <c r="Q295">
        <v>0.28190270000000001</v>
      </c>
      <c r="R295">
        <v>6.2318350000000002E-2</v>
      </c>
      <c r="S295">
        <v>3.235077</v>
      </c>
      <c r="T295">
        <v>-0.2494152</v>
      </c>
      <c r="U295">
        <v>-0.42175289999999999</v>
      </c>
      <c r="V295">
        <v>-6.2401089999999999E-2</v>
      </c>
      <c r="W295">
        <v>0.29335840000000002</v>
      </c>
      <c r="X295">
        <v>0.95396380000000003</v>
      </c>
      <c r="Y295">
        <v>0.12871749999999901</v>
      </c>
      <c r="Z295">
        <v>-5.701228E-3</v>
      </c>
      <c r="AA295">
        <v>0.99166489999999996</v>
      </c>
      <c r="AB295">
        <v>34</v>
      </c>
      <c r="AC295">
        <v>0.42750000000000898</v>
      </c>
      <c r="AD295">
        <v>-5.8798999999999803E-2</v>
      </c>
      <c r="AE295">
        <v>-9.8200000000019799E-2</v>
      </c>
      <c r="AF295">
        <v>9.6414574644368395E-2</v>
      </c>
      <c r="AG295">
        <v>-5.8798999999999803E-2</v>
      </c>
      <c r="AH295">
        <v>0.41996557801094098</v>
      </c>
      <c r="AI295">
        <v>97.770540086167998</v>
      </c>
      <c r="AJ295">
        <v>77.070238278430807</v>
      </c>
      <c r="AK295">
        <v>0.43488409871932399</v>
      </c>
      <c r="AL295">
        <v>72.940873885495705</v>
      </c>
      <c r="AM295">
        <v>93.742524405873993</v>
      </c>
      <c r="AN295">
        <v>0.99999998929709399</v>
      </c>
    </row>
    <row r="296" spans="1:40" x14ac:dyDescent="0.25">
      <c r="A296" t="str">
        <f>"20190304164600557"</f>
        <v>20190304164600557</v>
      </c>
      <c r="B296" t="str">
        <f>"1551689160548374"</f>
        <v>1551689160548374</v>
      </c>
      <c r="C296" t="s">
        <v>40</v>
      </c>
      <c r="D296">
        <v>4.231217</v>
      </c>
      <c r="E296">
        <v>0.59193499999999999</v>
      </c>
      <c r="F296" t="s">
        <v>41</v>
      </c>
      <c r="G296">
        <v>-391.39299999999997</v>
      </c>
      <c r="H296">
        <v>1.027261</v>
      </c>
      <c r="I296">
        <v>367.35</v>
      </c>
      <c r="J296">
        <v>-392.06990000000002</v>
      </c>
      <c r="K296">
        <v>1.1071219999999999</v>
      </c>
      <c r="L296">
        <v>367.48450000000003</v>
      </c>
      <c r="M296">
        <v>0.99992479999999995</v>
      </c>
      <c r="N296">
        <v>-1.2270639999999999E-2</v>
      </c>
      <c r="O296">
        <v>-1.598565E-4</v>
      </c>
      <c r="P296">
        <v>0.95736529999999997</v>
      </c>
      <c r="Q296">
        <v>0.28218949999999998</v>
      </c>
      <c r="R296">
        <v>6.1813680000000003E-2</v>
      </c>
      <c r="S296">
        <v>3.2347410000000001</v>
      </c>
      <c r="T296">
        <v>-0.25016749999999999</v>
      </c>
      <c r="U296">
        <v>-0.42486570000000001</v>
      </c>
      <c r="V296">
        <v>-6.1931760000000002E-2</v>
      </c>
      <c r="W296">
        <v>0.29392360000000001</v>
      </c>
      <c r="X296">
        <v>0.95382040000000001</v>
      </c>
      <c r="Y296">
        <v>0.12962599999999999</v>
      </c>
      <c r="Z296">
        <v>-5.7734519999999897E-3</v>
      </c>
      <c r="AA296">
        <v>0.99154620000000004</v>
      </c>
      <c r="AB296">
        <v>34</v>
      </c>
      <c r="AC296">
        <v>0.67689999999998895</v>
      </c>
      <c r="AD296">
        <v>-7.9860999999999904E-2</v>
      </c>
      <c r="AE296">
        <v>-0.13450000000000201</v>
      </c>
      <c r="AF296">
        <v>0.13261596132422199</v>
      </c>
      <c r="AG296">
        <v>-7.9860999999999904E-2</v>
      </c>
      <c r="AH296">
        <v>0.66797680953823801</v>
      </c>
      <c r="AI296">
        <v>96.688401872073499</v>
      </c>
      <c r="AJ296">
        <v>78.770867356847504</v>
      </c>
      <c r="AK296">
        <v>0.68568053100538895</v>
      </c>
      <c r="AL296">
        <v>72.906996888859695</v>
      </c>
      <c r="AM296">
        <v>93.7150121733753</v>
      </c>
      <c r="AN296">
        <v>0.99999999049490795</v>
      </c>
    </row>
    <row r="297" spans="1:40" x14ac:dyDescent="0.25">
      <c r="A297" t="str">
        <f>"20190304164600578"</f>
        <v>20190304164600578</v>
      </c>
      <c r="B297" t="str">
        <f>"1551689160567895"</f>
        <v>1551689160567895</v>
      </c>
      <c r="C297" t="s">
        <v>40</v>
      </c>
      <c r="D297">
        <v>4.2086509999999997</v>
      </c>
      <c r="E297">
        <v>0.59202779999999999</v>
      </c>
      <c r="F297" t="s">
        <v>41</v>
      </c>
      <c r="G297">
        <v>-391.0865</v>
      </c>
      <c r="H297">
        <v>1.031576</v>
      </c>
      <c r="I297">
        <v>367.35430000000002</v>
      </c>
      <c r="J297">
        <v>-391.74709999999999</v>
      </c>
      <c r="K297">
        <v>1.1076870000000001</v>
      </c>
      <c r="L297">
        <v>367.48439999999999</v>
      </c>
      <c r="M297">
        <v>0.99992170000000002</v>
      </c>
      <c r="N297">
        <v>-1.251677E-2</v>
      </c>
      <c r="O297">
        <v>-1.9345650000000001E-4</v>
      </c>
      <c r="P297">
        <v>0.95729280000000005</v>
      </c>
      <c r="Q297">
        <v>0.28255059999999999</v>
      </c>
      <c r="R297">
        <v>6.1284850000000002E-2</v>
      </c>
      <c r="S297">
        <v>3.2345280000000001</v>
      </c>
      <c r="T297">
        <v>-0.2486188</v>
      </c>
      <c r="U297">
        <v>-0.42767329999999998</v>
      </c>
      <c r="V297">
        <v>-6.1434709999999997E-2</v>
      </c>
      <c r="W297">
        <v>0.2945179</v>
      </c>
      <c r="X297">
        <v>0.95366930000000005</v>
      </c>
      <c r="Y297">
        <v>0.13044819999999999</v>
      </c>
      <c r="Z297">
        <v>-5.7933780000000001E-3</v>
      </c>
      <c r="AA297">
        <v>0.99143820000000005</v>
      </c>
      <c r="AB297">
        <v>34</v>
      </c>
      <c r="AC297">
        <v>0.66059999999998797</v>
      </c>
      <c r="AD297">
        <v>-7.6110999999999998E-2</v>
      </c>
      <c r="AE297">
        <v>-0.13009999999996999</v>
      </c>
      <c r="AF297">
        <v>0.12833225247816499</v>
      </c>
      <c r="AG297">
        <v>-7.6110999999999998E-2</v>
      </c>
      <c r="AH297">
        <v>0.65228965119426097</v>
      </c>
      <c r="AI297">
        <v>96.531248447235996</v>
      </c>
      <c r="AJ297">
        <v>78.869713324406604</v>
      </c>
      <c r="AK297">
        <v>0.669136638065986</v>
      </c>
      <c r="AL297">
        <v>72.871370526499007</v>
      </c>
      <c r="AM297">
        <v>93.685861129206998</v>
      </c>
      <c r="AN297">
        <v>1.00000007538783</v>
      </c>
    </row>
    <row r="298" spans="1:40" x14ac:dyDescent="0.25">
      <c r="A298" t="str">
        <f>"20190304164600603"</f>
        <v>20190304164600603</v>
      </c>
      <c r="B298" t="str">
        <f>"1551689160598152"</f>
        <v>1551689160598152</v>
      </c>
      <c r="C298" t="s">
        <v>40</v>
      </c>
      <c r="D298">
        <v>4.2564929999999999</v>
      </c>
      <c r="E298">
        <v>0.59221459999999904</v>
      </c>
      <c r="F298" t="s">
        <v>41</v>
      </c>
      <c r="G298">
        <v>-390.78109999999998</v>
      </c>
      <c r="H298">
        <v>1.033657</v>
      </c>
      <c r="I298">
        <v>367.3562</v>
      </c>
      <c r="J298">
        <v>-391.39069999999998</v>
      </c>
      <c r="K298">
        <v>1.1082110000000001</v>
      </c>
      <c r="L298">
        <v>367.48430000000002</v>
      </c>
      <c r="M298">
        <v>0.99991859999999999</v>
      </c>
      <c r="N298">
        <v>-1.276046E-2</v>
      </c>
      <c r="O298">
        <v>-2.280095E-4</v>
      </c>
      <c r="P298">
        <v>0.95725740000000004</v>
      </c>
      <c r="Q298">
        <v>0.28283140000000001</v>
      </c>
      <c r="R298">
        <v>6.0540429999999999E-2</v>
      </c>
      <c r="S298">
        <v>3.2344360000000001</v>
      </c>
      <c r="T298">
        <v>-0.24796180000000001</v>
      </c>
      <c r="U298">
        <v>-0.42901610000000001</v>
      </c>
      <c r="V298">
        <v>-6.0724779999999999E-2</v>
      </c>
      <c r="W298">
        <v>0.29503049999999997</v>
      </c>
      <c r="X298">
        <v>0.95355619999999996</v>
      </c>
      <c r="Y298">
        <v>0.13082179999999999</v>
      </c>
      <c r="Z298">
        <v>-5.8107860000000001E-3</v>
      </c>
      <c r="AA298">
        <v>0.99138890000000002</v>
      </c>
      <c r="AB298">
        <v>34</v>
      </c>
      <c r="AC298">
        <v>0.60960000000000003</v>
      </c>
      <c r="AD298">
        <v>-7.4553999999999995E-2</v>
      </c>
      <c r="AE298">
        <v>-0.12810000000001701</v>
      </c>
      <c r="AF298">
        <v>0.12615387325150501</v>
      </c>
      <c r="AG298">
        <v>-7.4553999999999995E-2</v>
      </c>
      <c r="AH298">
        <v>0.60101976139860103</v>
      </c>
      <c r="AI298">
        <v>96.921854952399698</v>
      </c>
      <c r="AJ298">
        <v>78.145724513690197</v>
      </c>
      <c r="AK298">
        <v>0.618625777222375</v>
      </c>
      <c r="AL298">
        <v>72.840633011042399</v>
      </c>
      <c r="AM298">
        <v>93.643814254949405</v>
      </c>
      <c r="AN298">
        <v>0.99999996069736796</v>
      </c>
    </row>
    <row r="299" spans="1:40" x14ac:dyDescent="0.25">
      <c r="A299" t="str">
        <f>"20190304164600625"</f>
        <v>20190304164600625</v>
      </c>
      <c r="B299" t="str">
        <f>"1551689160617670"</f>
        <v>1551689160617670</v>
      </c>
      <c r="C299" t="s">
        <v>40</v>
      </c>
      <c r="D299">
        <v>4.2464559999999896</v>
      </c>
      <c r="E299">
        <v>0.59236909999999998</v>
      </c>
      <c r="F299" t="s">
        <v>41</v>
      </c>
      <c r="G299">
        <v>-390.47390000000001</v>
      </c>
      <c r="H299">
        <v>1.0386150000000001</v>
      </c>
      <c r="I299">
        <v>367.36149999999998</v>
      </c>
      <c r="J299">
        <v>-391.04059999999998</v>
      </c>
      <c r="K299">
        <v>1.1086389999999999</v>
      </c>
      <c r="L299">
        <v>367.48419999999999</v>
      </c>
      <c r="M299">
        <v>0.99991589999999997</v>
      </c>
      <c r="N299">
        <v>-1.297442E-2</v>
      </c>
      <c r="O299">
        <v>-2.5485010000000002E-4</v>
      </c>
      <c r="P299">
        <v>0.95733279999999998</v>
      </c>
      <c r="Q299">
        <v>0.28266920000000001</v>
      </c>
      <c r="R299">
        <v>6.0103629999999998E-2</v>
      </c>
      <c r="S299">
        <v>3.2339169999999999</v>
      </c>
      <c r="T299">
        <v>-0.24585099999999999</v>
      </c>
      <c r="U299">
        <v>-0.4319153</v>
      </c>
      <c r="V299">
        <v>-6.0316090000000003E-2</v>
      </c>
      <c r="W299">
        <v>0.29507290000000003</v>
      </c>
      <c r="X299">
        <v>0.95356909999999895</v>
      </c>
      <c r="Y299">
        <v>0.13169220000000001</v>
      </c>
      <c r="Z299">
        <v>-5.8201579999999998E-3</v>
      </c>
      <c r="AA299">
        <v>0.99127359999999998</v>
      </c>
      <c r="AB299">
        <v>34</v>
      </c>
      <c r="AC299">
        <v>0.56669999999996801</v>
      </c>
      <c r="AD299">
        <v>-7.0023999999999795E-2</v>
      </c>
      <c r="AE299">
        <v>-0.122700000000008</v>
      </c>
      <c r="AF299">
        <v>0.120793845813234</v>
      </c>
      <c r="AG299">
        <v>-7.0023999999999795E-2</v>
      </c>
      <c r="AH299">
        <v>0.55858459276696004</v>
      </c>
      <c r="AI299">
        <v>96.985489795455905</v>
      </c>
      <c r="AJ299">
        <v>77.797689159083404</v>
      </c>
      <c r="AK299">
        <v>0.57577014601226295</v>
      </c>
      <c r="AL299">
        <v>72.838091843076597</v>
      </c>
      <c r="AM299">
        <v>93.619307225488001</v>
      </c>
      <c r="AN299">
        <v>1.0000000377510501</v>
      </c>
    </row>
    <row r="300" spans="1:40" x14ac:dyDescent="0.25">
      <c r="A300" t="str">
        <f>"20190304164600646"</f>
        <v>20190304164600646</v>
      </c>
      <c r="B300" t="str">
        <f>"1551689160638168"</f>
        <v>1551689160638168</v>
      </c>
      <c r="C300" t="s">
        <v>40</v>
      </c>
      <c r="D300">
        <v>4.2356629999999997</v>
      </c>
      <c r="E300">
        <v>0.59249719999999995</v>
      </c>
      <c r="F300" t="s">
        <v>41</v>
      </c>
      <c r="G300">
        <v>-390.16789999999997</v>
      </c>
      <c r="H300">
        <v>1.0425690000000001</v>
      </c>
      <c r="I300">
        <v>367.36680000000001</v>
      </c>
      <c r="J300">
        <v>-390.7063</v>
      </c>
      <c r="K300">
        <v>1.1089899999999999</v>
      </c>
      <c r="L300">
        <v>367.48410000000001</v>
      </c>
      <c r="M300">
        <v>0.99991350000000001</v>
      </c>
      <c r="N300">
        <v>-1.3156859999999999E-2</v>
      </c>
      <c r="O300">
        <v>-2.726486E-4</v>
      </c>
      <c r="P300">
        <v>0.95746520000000002</v>
      </c>
      <c r="Q300">
        <v>0.28229179999999998</v>
      </c>
      <c r="R300">
        <v>5.976418E-2</v>
      </c>
      <c r="S300">
        <v>3.233276</v>
      </c>
      <c r="T300">
        <v>-0.2448554</v>
      </c>
      <c r="U300">
        <v>-0.4347839</v>
      </c>
      <c r="V300">
        <v>-5.9997630000000003E-2</v>
      </c>
      <c r="W300">
        <v>0.29487010000000002</v>
      </c>
      <c r="X300">
        <v>0.9536519</v>
      </c>
      <c r="Y300">
        <v>0.1325636</v>
      </c>
      <c r="Z300">
        <v>-5.8504589999999997E-3</v>
      </c>
      <c r="AA300">
        <v>0.99115719999999996</v>
      </c>
      <c r="AB300">
        <v>34</v>
      </c>
      <c r="AC300">
        <v>0.53840000000002397</v>
      </c>
      <c r="AD300">
        <v>-6.64209999999998E-2</v>
      </c>
      <c r="AE300">
        <v>-0.1173</v>
      </c>
      <c r="AF300">
        <v>0.11547535132855501</v>
      </c>
      <c r="AG300">
        <v>-6.64209999999998E-2</v>
      </c>
      <c r="AH300">
        <v>0.53072068137357298</v>
      </c>
      <c r="AI300">
        <v>96.972149602608496</v>
      </c>
      <c r="AJ300">
        <v>77.724785020132501</v>
      </c>
      <c r="AK300">
        <v>0.54718438176092199</v>
      </c>
      <c r="AL300">
        <v>72.850252169629698</v>
      </c>
      <c r="AM300">
        <v>93.599936448317706</v>
      </c>
      <c r="AN300">
        <v>1.0000000189266101</v>
      </c>
    </row>
    <row r="301" spans="1:40" x14ac:dyDescent="0.25">
      <c r="A301" t="str">
        <f>"20190304164600668"</f>
        <v>20190304164600668</v>
      </c>
      <c r="B301" t="str">
        <f>"1551689160657686"</f>
        <v>1551689160657686</v>
      </c>
      <c r="C301" t="s">
        <v>40</v>
      </c>
      <c r="D301">
        <v>4.2508759999999999</v>
      </c>
      <c r="E301">
        <v>0.59262250000000005</v>
      </c>
      <c r="F301" t="s">
        <v>41</v>
      </c>
      <c r="G301">
        <v>-389.86329999999998</v>
      </c>
      <c r="H301">
        <v>1.045075</v>
      </c>
      <c r="I301">
        <v>367.3698</v>
      </c>
      <c r="J301">
        <v>-390.3836</v>
      </c>
      <c r="K301">
        <v>1.10927</v>
      </c>
      <c r="L301">
        <v>367.48399999999998</v>
      </c>
      <c r="M301">
        <v>0.99991140000000001</v>
      </c>
      <c r="N301">
        <v>-1.331416E-2</v>
      </c>
      <c r="O301">
        <v>-2.843268E-4</v>
      </c>
      <c r="P301">
        <v>0.95764680000000002</v>
      </c>
      <c r="Q301">
        <v>0.28175990000000001</v>
      </c>
      <c r="R301">
        <v>5.9364470000000003E-2</v>
      </c>
      <c r="S301">
        <v>3.2328800000000002</v>
      </c>
      <c r="T301">
        <v>-0.24546100000000001</v>
      </c>
      <c r="U301">
        <v>-0.43640139999999999</v>
      </c>
      <c r="V301">
        <v>-5.961342E-2</v>
      </c>
      <c r="W301">
        <v>0.29448970000000002</v>
      </c>
      <c r="X301">
        <v>0.95379349999999996</v>
      </c>
      <c r="Y301">
        <v>0.13305069999999999</v>
      </c>
      <c r="Z301">
        <v>-5.8946449999999996E-3</v>
      </c>
      <c r="AA301">
        <v>0.99109170000000002</v>
      </c>
      <c r="AB301">
        <v>34</v>
      </c>
      <c r="AC301">
        <v>0.52030000000001997</v>
      </c>
      <c r="AD301">
        <v>-6.4195000000000002E-2</v>
      </c>
      <c r="AE301">
        <v>-0.11420000000003901</v>
      </c>
      <c r="AF301">
        <v>0.112419363747957</v>
      </c>
      <c r="AG301">
        <v>-6.4195000000000002E-2</v>
      </c>
      <c r="AH301">
        <v>0.51288376404943903</v>
      </c>
      <c r="AI301">
        <v>96.970516259291202</v>
      </c>
      <c r="AJ301">
        <v>77.636816445676104</v>
      </c>
      <c r="AK301">
        <v>0.528969627479704</v>
      </c>
      <c r="AL301">
        <v>72.873059777189894</v>
      </c>
      <c r="AM301">
        <v>93.576413734780999</v>
      </c>
      <c r="AN301">
        <v>0.99999999194621803</v>
      </c>
    </row>
    <row r="302" spans="1:40" x14ac:dyDescent="0.25">
      <c r="A302" t="str">
        <f>"20190304164600689"</f>
        <v>20190304164600689</v>
      </c>
      <c r="B302" t="str">
        <f>"1551689160678182"</f>
        <v>1551689160678182</v>
      </c>
      <c r="C302" t="s">
        <v>40</v>
      </c>
      <c r="D302">
        <v>4.2562689999999996</v>
      </c>
      <c r="E302">
        <v>0.59270699999999998</v>
      </c>
      <c r="F302" t="s">
        <v>41</v>
      </c>
      <c r="G302">
        <v>-389.55990000000003</v>
      </c>
      <c r="H302">
        <v>1.0462910000000001</v>
      </c>
      <c r="I302">
        <v>367.3723</v>
      </c>
      <c r="J302">
        <v>-390.07010000000002</v>
      </c>
      <c r="K302">
        <v>1.109504</v>
      </c>
      <c r="L302">
        <v>367.48390000000001</v>
      </c>
      <c r="M302">
        <v>0.99990959999999995</v>
      </c>
      <c r="N302">
        <v>-1.3451050000000001E-2</v>
      </c>
      <c r="O302">
        <v>-2.9148279999999997E-4</v>
      </c>
      <c r="P302">
        <v>0.95777900000000005</v>
      </c>
      <c r="Q302">
        <v>0.28135830000000001</v>
      </c>
      <c r="R302">
        <v>5.9135300000000002E-2</v>
      </c>
      <c r="S302">
        <v>3.2325439999999999</v>
      </c>
      <c r="T302">
        <v>-0.2471894</v>
      </c>
      <c r="U302">
        <v>-0.43823240000000002</v>
      </c>
      <c r="V302">
        <v>-5.9394830000000003E-2</v>
      </c>
      <c r="W302">
        <v>0.29421979999999998</v>
      </c>
      <c r="X302">
        <v>0.95389040000000003</v>
      </c>
      <c r="Y302">
        <v>0.1336001</v>
      </c>
      <c r="Z302">
        <v>-5.963487E-3</v>
      </c>
      <c r="AA302">
        <v>0.99101740000000005</v>
      </c>
      <c r="AB302">
        <v>34</v>
      </c>
      <c r="AC302">
        <v>0.51019999999999699</v>
      </c>
      <c r="AD302">
        <v>-6.3212999999999894E-2</v>
      </c>
      <c r="AE302">
        <v>-0.111600000000009</v>
      </c>
      <c r="AF302">
        <v>0.10984209276596001</v>
      </c>
      <c r="AG302">
        <v>-6.3212999999999894E-2</v>
      </c>
      <c r="AH302">
        <v>0.50286558544738102</v>
      </c>
      <c r="AI302">
        <v>97.001430419027699</v>
      </c>
      <c r="AJ302">
        <v>77.678284793697699</v>
      </c>
      <c r="AK302">
        <v>0.51858939994907605</v>
      </c>
      <c r="AL302">
        <v>72.889240328285098</v>
      </c>
      <c r="AM302">
        <v>93.5629725758983</v>
      </c>
      <c r="AN302">
        <v>0.99999996587746298</v>
      </c>
    </row>
    <row r="303" spans="1:40" x14ac:dyDescent="0.25">
      <c r="A303" t="str">
        <f>"20190304164600711"</f>
        <v>20190304164600711</v>
      </c>
      <c r="B303" t="str">
        <f>"1551689160708439"</f>
        <v>1551689160708439</v>
      </c>
      <c r="C303" t="s">
        <v>40</v>
      </c>
      <c r="D303">
        <v>4.2756369999999997</v>
      </c>
      <c r="E303">
        <v>0.59286430000000001</v>
      </c>
      <c r="F303" t="s">
        <v>41</v>
      </c>
      <c r="G303">
        <v>-389.25709999999998</v>
      </c>
      <c r="H303">
        <v>1.0472079999999999</v>
      </c>
      <c r="I303">
        <v>367.37279999999998</v>
      </c>
      <c r="J303">
        <v>-389.74239999999998</v>
      </c>
      <c r="K303">
        <v>1.1097060000000001</v>
      </c>
      <c r="L303">
        <v>367.48390000000001</v>
      </c>
      <c r="M303">
        <v>0.99990789999999996</v>
      </c>
      <c r="N303">
        <v>-1.3578750000000001E-2</v>
      </c>
      <c r="O303">
        <v>-2.8950440000000003E-4</v>
      </c>
      <c r="P303">
        <v>0.95790419999999998</v>
      </c>
      <c r="Q303">
        <v>0.281020099999999</v>
      </c>
      <c r="R303">
        <v>5.8715660000000003E-2</v>
      </c>
      <c r="S303">
        <v>3.2323</v>
      </c>
      <c r="T303">
        <v>-0.2479285</v>
      </c>
      <c r="U303">
        <v>-0.44024659999999899</v>
      </c>
      <c r="V303">
        <v>-5.8978170000000003E-2</v>
      </c>
      <c r="W303">
        <v>0.294004299999999</v>
      </c>
      <c r="X303">
        <v>0.95398269999999996</v>
      </c>
      <c r="Y303">
        <v>0.1342131</v>
      </c>
      <c r="Z303">
        <v>-6.0150769999999998E-3</v>
      </c>
      <c r="AA303">
        <v>0.99093430000000005</v>
      </c>
      <c r="AB303">
        <v>34</v>
      </c>
      <c r="AC303">
        <v>0.48529999999999501</v>
      </c>
      <c r="AD303">
        <v>-6.2497999999999901E-2</v>
      </c>
      <c r="AE303">
        <v>-0.111100000000021</v>
      </c>
      <c r="AF303">
        <v>0.109238010594793</v>
      </c>
      <c r="AG303">
        <v>-6.2497999999999901E-2</v>
      </c>
      <c r="AH303">
        <v>0.47780248553606902</v>
      </c>
      <c r="AI303">
        <v>97.266736417184703</v>
      </c>
      <c r="AJ303">
        <v>77.122033897463794</v>
      </c>
      <c r="AK303">
        <v>0.49409934036300102</v>
      </c>
      <c r="AL303">
        <v>72.902159063002003</v>
      </c>
      <c r="AM303">
        <v>93.537700276218004</v>
      </c>
      <c r="AN303">
        <v>0.99999997242716399</v>
      </c>
    </row>
    <row r="304" spans="1:40" x14ac:dyDescent="0.25">
      <c r="A304" t="str">
        <f>"20190304164600735"</f>
        <v>20190304164600735</v>
      </c>
      <c r="B304" t="str">
        <f>"1551689160727959"</f>
        <v>1551689160727959</v>
      </c>
      <c r="C304" t="s">
        <v>40</v>
      </c>
      <c r="D304">
        <v>4.0700940000000001</v>
      </c>
      <c r="E304">
        <v>0.59276070000000003</v>
      </c>
      <c r="F304" t="s">
        <v>41</v>
      </c>
      <c r="G304">
        <v>-388.95159999999998</v>
      </c>
      <c r="H304">
        <v>1.0489409999999999</v>
      </c>
      <c r="I304">
        <v>367.37520000000001</v>
      </c>
      <c r="J304">
        <v>-389.37009999999998</v>
      </c>
      <c r="K304">
        <v>1.1099060000000001</v>
      </c>
      <c r="L304">
        <v>367.48379999999997</v>
      </c>
      <c r="M304">
        <v>0.99990610000000002</v>
      </c>
      <c r="N304">
        <v>-1.3706930000000001E-2</v>
      </c>
      <c r="O304">
        <v>-2.6586719999999999E-4</v>
      </c>
      <c r="P304">
        <v>0.95791839999999995</v>
      </c>
      <c r="Q304">
        <v>0.28100019999999998</v>
      </c>
      <c r="R304">
        <v>5.8578129999999999E-2</v>
      </c>
      <c r="S304">
        <v>3.2318419999999999</v>
      </c>
      <c r="T304">
        <v>-0.24854470000000001</v>
      </c>
      <c r="U304">
        <v>-0.44305420000000001</v>
      </c>
      <c r="V304">
        <v>-5.8826160000000002E-2</v>
      </c>
      <c r="W304">
        <v>0.29410500000000001</v>
      </c>
      <c r="X304">
        <v>0.95396110000000001</v>
      </c>
      <c r="Y304">
        <v>0.1350944</v>
      </c>
      <c r="Z304">
        <v>-6.0781230000000004E-3</v>
      </c>
      <c r="AA304">
        <v>0.99081410000000003</v>
      </c>
      <c r="AB304">
        <v>34</v>
      </c>
      <c r="AC304">
        <v>0.41849999999999399</v>
      </c>
      <c r="AD304">
        <v>-6.0965000000000102E-2</v>
      </c>
      <c r="AE304">
        <v>-0.108599999999967</v>
      </c>
      <c r="AF304">
        <v>0.106373759927374</v>
      </c>
      <c r="AG304">
        <v>-6.0965000000000102E-2</v>
      </c>
      <c r="AH304">
        <v>0.410369746020948</v>
      </c>
      <c r="AI304">
        <v>98.183502296431399</v>
      </c>
      <c r="AJ304">
        <v>75.467951685887897</v>
      </c>
      <c r="AK304">
        <v>0.428293633475194</v>
      </c>
      <c r="AL304">
        <v>72.896123405780699</v>
      </c>
      <c r="AM304">
        <v>93.528684989478407</v>
      </c>
      <c r="AN304">
        <v>1.0000000242192699</v>
      </c>
    </row>
    <row r="305" spans="1:40" x14ac:dyDescent="0.25">
      <c r="A305" t="str">
        <f>"20190304164600757"</f>
        <v>20190304164600757</v>
      </c>
      <c r="B305" t="str">
        <f>"1551689160748454"</f>
        <v>1551689160748454</v>
      </c>
      <c r="C305" t="s">
        <v>40</v>
      </c>
      <c r="D305">
        <v>4.1053350000000002</v>
      </c>
      <c r="E305">
        <v>0.57445599999999997</v>
      </c>
      <c r="F305" t="s">
        <v>41</v>
      </c>
      <c r="G305">
        <v>-388.36169999999998</v>
      </c>
      <c r="H305">
        <v>1.032618</v>
      </c>
      <c r="I305">
        <v>367.34539999999998</v>
      </c>
      <c r="J305">
        <v>-389.03500000000003</v>
      </c>
      <c r="K305">
        <v>1.110055</v>
      </c>
      <c r="L305">
        <v>367.4837</v>
      </c>
      <c r="M305">
        <v>0.99990460000000003</v>
      </c>
      <c r="N305">
        <v>-1.380728E-2</v>
      </c>
      <c r="O305">
        <v>-2.2289630000000001E-4</v>
      </c>
      <c r="P305">
        <v>0.95791899999999996</v>
      </c>
      <c r="Q305">
        <v>0.28100839999999999</v>
      </c>
      <c r="R305">
        <v>5.8526620000000001E-2</v>
      </c>
      <c r="S305">
        <v>3.231506</v>
      </c>
      <c r="T305">
        <v>-0.24772230000000001</v>
      </c>
      <c r="U305">
        <v>-0.44296259999999998</v>
      </c>
      <c r="V305">
        <v>-5.8745079999999998E-2</v>
      </c>
      <c r="W305">
        <v>0.2942071</v>
      </c>
      <c r="X305">
        <v>0.95393459999999997</v>
      </c>
      <c r="Y305">
        <v>0.1351253</v>
      </c>
      <c r="Z305">
        <v>-6.0726069999999998E-3</v>
      </c>
      <c r="AA305">
        <v>0.99080990000000002</v>
      </c>
      <c r="AB305">
        <v>34</v>
      </c>
      <c r="AC305">
        <v>0.67330000000003998</v>
      </c>
      <c r="AD305">
        <v>-7.7436999999999895E-2</v>
      </c>
      <c r="AE305">
        <v>-0.13830000000001499</v>
      </c>
      <c r="AF305">
        <v>0.13641847439223501</v>
      </c>
      <c r="AG305">
        <v>-7.7436999999999895E-2</v>
      </c>
      <c r="AH305">
        <v>0.66489196254852601</v>
      </c>
      <c r="AI305">
        <v>96.508671912174805</v>
      </c>
      <c r="AJ305">
        <v>78.405312423543094</v>
      </c>
      <c r="AK305">
        <v>0.68314552694585895</v>
      </c>
      <c r="AL305">
        <v>72.890002488802594</v>
      </c>
      <c r="AM305">
        <v>93.523931316703496</v>
      </c>
      <c r="AN305">
        <v>1.00000001159588</v>
      </c>
    </row>
    <row r="306" spans="1:40" x14ac:dyDescent="0.25">
      <c r="A306" t="str">
        <f>"20190304164600778"</f>
        <v>20190304164600778</v>
      </c>
      <c r="B306" t="str">
        <f>"1551689160767975"</f>
        <v>1551689160767975</v>
      </c>
      <c r="C306" t="s">
        <v>40</v>
      </c>
      <c r="D306">
        <v>4.1254809999999997</v>
      </c>
      <c r="E306">
        <v>0.57345059999999903</v>
      </c>
      <c r="F306" t="s">
        <v>41</v>
      </c>
      <c r="G306">
        <v>-388.0489</v>
      </c>
      <c r="H306">
        <v>1.050999</v>
      </c>
      <c r="I306">
        <v>367.39019999999999</v>
      </c>
      <c r="J306">
        <v>-388.72359999999998</v>
      </c>
      <c r="K306">
        <v>1.1101749999999999</v>
      </c>
      <c r="L306">
        <v>367.4837</v>
      </c>
      <c r="M306">
        <v>0.9999036</v>
      </c>
      <c r="N306">
        <v>-1.3890400000000001E-2</v>
      </c>
      <c r="O306">
        <v>-1.6837239999999999E-4</v>
      </c>
      <c r="P306">
        <v>0.95781110000000003</v>
      </c>
      <c r="Q306">
        <v>0.28138210000000002</v>
      </c>
      <c r="R306">
        <v>5.8501259999999999E-2</v>
      </c>
      <c r="S306">
        <v>3.2067260000000002</v>
      </c>
      <c r="T306">
        <v>-0.1922469</v>
      </c>
      <c r="U306">
        <v>-0.30319210000000002</v>
      </c>
      <c r="V306">
        <v>-5.8678809999999998E-2</v>
      </c>
      <c r="W306">
        <v>0.29465599999999997</v>
      </c>
      <c r="X306">
        <v>0.95380010000000004</v>
      </c>
      <c r="Y306">
        <v>9.3755710000000006E-2</v>
      </c>
      <c r="Z306">
        <v>-3.4472470000000001E-3</v>
      </c>
      <c r="AA306">
        <v>0.99558930000000001</v>
      </c>
      <c r="AB306">
        <v>34</v>
      </c>
      <c r="AC306">
        <v>0.67469999999997299</v>
      </c>
      <c r="AD306">
        <v>-5.9175999999999902E-2</v>
      </c>
      <c r="AE306">
        <v>-9.3500000000005898E-2</v>
      </c>
      <c r="AF306">
        <v>9.2686824425095904E-2</v>
      </c>
      <c r="AG306">
        <v>-5.9175999999999902E-2</v>
      </c>
      <c r="AH306">
        <v>0.66966140295832599</v>
      </c>
      <c r="AI306">
        <v>95.002498035549394</v>
      </c>
      <c r="AJ306">
        <v>82.1198429129754</v>
      </c>
      <c r="AK306">
        <v>0.67863026826845996</v>
      </c>
      <c r="AL306">
        <v>72.863089149583999</v>
      </c>
      <c r="AM306">
        <v>93.520461109238795</v>
      </c>
      <c r="AN306">
        <v>0.99999999591951305</v>
      </c>
    </row>
    <row r="307" spans="1:40" x14ac:dyDescent="0.25">
      <c r="A307" t="str">
        <f>"20190304164600801"</f>
        <v>20190304164600801</v>
      </c>
      <c r="B307" t="str">
        <f>"1551689160798231"</f>
        <v>1551689160798231</v>
      </c>
      <c r="C307" t="s">
        <v>40</v>
      </c>
      <c r="D307">
        <v>4.2184720000000002</v>
      </c>
      <c r="E307">
        <v>0.57244839999999997</v>
      </c>
      <c r="F307" t="s">
        <v>41</v>
      </c>
      <c r="G307">
        <v>-387.7491</v>
      </c>
      <c r="H307">
        <v>1.0511189999999999</v>
      </c>
      <c r="I307">
        <v>367.3938</v>
      </c>
      <c r="J307">
        <v>-388.38409999999999</v>
      </c>
      <c r="K307">
        <v>1.110287</v>
      </c>
      <c r="L307">
        <v>367.4837</v>
      </c>
      <c r="M307">
        <v>0.99990239999999997</v>
      </c>
      <c r="N307">
        <v>-1.3970389999999999E-2</v>
      </c>
      <c r="O307" s="1">
        <v>-9.4519750000000006E-5</v>
      </c>
      <c r="P307">
        <v>0.95758869999999896</v>
      </c>
      <c r="Q307">
        <v>0.28192040000000002</v>
      </c>
      <c r="R307">
        <v>5.9538290000000001E-2</v>
      </c>
      <c r="S307">
        <v>3.2072750000000001</v>
      </c>
      <c r="T307">
        <v>-0.19442780000000001</v>
      </c>
      <c r="U307">
        <v>-0.29565429999999998</v>
      </c>
      <c r="V307">
        <v>-5.965579E-2</v>
      </c>
      <c r="W307">
        <v>0.2952651</v>
      </c>
      <c r="X307">
        <v>0.95355109999999998</v>
      </c>
      <c r="Y307">
        <v>9.1493900000000003E-2</v>
      </c>
      <c r="Z307">
        <v>-3.4016390000000001E-3</v>
      </c>
      <c r="AA307">
        <v>0.99579980000000001</v>
      </c>
      <c r="AB307">
        <v>34</v>
      </c>
      <c r="AC307">
        <v>0.63499999999999002</v>
      </c>
      <c r="AD307">
        <v>-5.9167999999999797E-2</v>
      </c>
      <c r="AE307">
        <v>-8.9899999999999994E-2</v>
      </c>
      <c r="AF307">
        <v>8.9081751639003101E-2</v>
      </c>
      <c r="AG307">
        <v>-5.9167999999999797E-2</v>
      </c>
      <c r="AH307">
        <v>0.62964921670824903</v>
      </c>
      <c r="AI307">
        <v>95.315679352544095</v>
      </c>
      <c r="AJ307">
        <v>81.947329848232002</v>
      </c>
      <c r="AK307">
        <v>0.63866622487836699</v>
      </c>
      <c r="AL307">
        <v>72.826565332714793</v>
      </c>
      <c r="AM307">
        <v>93.579856482652303</v>
      </c>
      <c r="AN307">
        <v>0.99999999643487203</v>
      </c>
    </row>
    <row r="308" spans="1:40" x14ac:dyDescent="0.25">
      <c r="A308" t="str">
        <f>"20190304164600826"</f>
        <v>20190304164600826</v>
      </c>
      <c r="B308" t="str">
        <f>"1551689160818387"</f>
        <v>1551689160818387</v>
      </c>
      <c r="C308" t="s">
        <v>40</v>
      </c>
      <c r="D308">
        <v>4.2124790000000001</v>
      </c>
      <c r="E308">
        <v>0.57249189999999905</v>
      </c>
      <c r="F308" t="s">
        <v>42</v>
      </c>
      <c r="G308">
        <v>-369.82900000000001</v>
      </c>
      <c r="H308" s="1">
        <v>-1.0507810000000001E-6</v>
      </c>
      <c r="I308">
        <v>365.83339999999998</v>
      </c>
      <c r="J308">
        <v>-388.00869999999998</v>
      </c>
      <c r="K308">
        <v>1.110393</v>
      </c>
      <c r="L308">
        <v>367.4837</v>
      </c>
      <c r="M308">
        <v>0.99990129999999999</v>
      </c>
      <c r="N308">
        <v>-1.404764E-2</v>
      </c>
      <c r="O308" s="1">
        <v>1.7716300000000001E-6</v>
      </c>
      <c r="P308">
        <v>0.95736350000000003</v>
      </c>
      <c r="Q308">
        <v>0.28249360000000001</v>
      </c>
      <c r="R308">
        <v>6.0435410000000002E-2</v>
      </c>
      <c r="S308">
        <v>3.2070919999999998</v>
      </c>
      <c r="T308">
        <v>-0.1919032</v>
      </c>
      <c r="U308">
        <v>-0.28521729999999901</v>
      </c>
      <c r="V308">
        <v>-6.047027E-2</v>
      </c>
      <c r="W308">
        <v>0.29590739999999999</v>
      </c>
      <c r="X308">
        <v>0.9533007</v>
      </c>
      <c r="Y308">
        <v>8.8391449999999996E-2</v>
      </c>
      <c r="Z308">
        <v>-3.259854E-3</v>
      </c>
      <c r="AA308">
        <v>0.99608050000000004</v>
      </c>
      <c r="AB308">
        <v>34</v>
      </c>
      <c r="AC308">
        <v>18.179699999999901</v>
      </c>
      <c r="AD308">
        <v>-1.110394050781</v>
      </c>
      <c r="AE308">
        <v>-1.6503000000000101</v>
      </c>
      <c r="AF308">
        <v>1.6442482824548399</v>
      </c>
      <c r="AG308">
        <v>-1.110394050781</v>
      </c>
      <c r="AH308">
        <v>18.112677857015601</v>
      </c>
      <c r="AI308">
        <v>93.493785285270903</v>
      </c>
      <c r="AJ308">
        <v>84.812971589292403</v>
      </c>
      <c r="AK308">
        <v>18.221021555181501</v>
      </c>
      <c r="AL308">
        <v>72.788043581913598</v>
      </c>
      <c r="AM308">
        <v>93.629553089916698</v>
      </c>
      <c r="AN308">
        <v>1.00000003377456</v>
      </c>
    </row>
    <row r="309" spans="1:40" x14ac:dyDescent="0.25">
      <c r="A309" t="str">
        <f>"20190304164600847"</f>
        <v>20190304164600847</v>
      </c>
      <c r="B309" t="str">
        <f>"1551689160837906"</f>
        <v>1551689160837906</v>
      </c>
      <c r="C309" t="s">
        <v>40</v>
      </c>
      <c r="D309">
        <v>4.2293580000000004</v>
      </c>
      <c r="E309">
        <v>0.57256379999999996</v>
      </c>
      <c r="F309" t="s">
        <v>42</v>
      </c>
      <c r="G309">
        <v>-369.24360000000001</v>
      </c>
      <c r="H309" s="1">
        <v>-1.2512120000000001E-6</v>
      </c>
      <c r="I309">
        <v>365.82889999999998</v>
      </c>
      <c r="J309">
        <v>-387.68619999999999</v>
      </c>
      <c r="K309">
        <v>1.1104639999999999</v>
      </c>
      <c r="L309">
        <v>367.48379999999997</v>
      </c>
      <c r="M309">
        <v>0.99990049999999997</v>
      </c>
      <c r="N309">
        <v>-1.4105339999999999E-2</v>
      </c>
      <c r="O309" s="1">
        <v>9.4051559999999996E-5</v>
      </c>
      <c r="P309">
        <v>0.95712039999999998</v>
      </c>
      <c r="Q309">
        <v>0.28314519999999999</v>
      </c>
      <c r="R309">
        <v>6.1232759999999997E-2</v>
      </c>
      <c r="S309">
        <v>3.2074280000000002</v>
      </c>
      <c r="T309">
        <v>-0.18979309999999999</v>
      </c>
      <c r="U309">
        <v>-0.2828369</v>
      </c>
      <c r="V309">
        <v>-6.1184509999999998E-2</v>
      </c>
      <c r="W309">
        <v>0.29660930000000002</v>
      </c>
      <c r="X309">
        <v>0.95303689999999996</v>
      </c>
      <c r="Y309">
        <v>8.7745669999999998E-2</v>
      </c>
      <c r="Z309">
        <v>-3.2137720000000002E-3</v>
      </c>
      <c r="AA309">
        <v>0.99613770000000001</v>
      </c>
      <c r="AB309">
        <v>34</v>
      </c>
      <c r="AC309">
        <v>18.442599999999899</v>
      </c>
      <c r="AD309">
        <v>-1.1104652512119999</v>
      </c>
      <c r="AE309">
        <v>-1.65489999999999</v>
      </c>
      <c r="AF309">
        <v>1.6506979486557201</v>
      </c>
      <c r="AG309">
        <v>-1.1104652512119999</v>
      </c>
      <c r="AH309">
        <v>18.376353293270601</v>
      </c>
      <c r="AI309">
        <v>93.444288933040198</v>
      </c>
      <c r="AJ309">
        <v>84.867051847080504</v>
      </c>
      <c r="AK309">
        <v>18.483730606967299</v>
      </c>
      <c r="AL309">
        <v>72.745936427522295</v>
      </c>
      <c r="AM309">
        <v>93.673320360326201</v>
      </c>
      <c r="AN309">
        <v>0.99999997693601905</v>
      </c>
    </row>
    <row r="310" spans="1:40" x14ac:dyDescent="0.25">
      <c r="A310" t="str">
        <f>"20190304164600879"</f>
        <v>20190304164600879</v>
      </c>
      <c r="B310" t="str">
        <f>"1551689160868162"</f>
        <v>1551689160868162</v>
      </c>
      <c r="C310" t="s">
        <v>40</v>
      </c>
      <c r="D310">
        <v>4.1059140000000003</v>
      </c>
      <c r="E310">
        <v>0.57266340000000004</v>
      </c>
      <c r="F310" t="s">
        <v>42</v>
      </c>
      <c r="G310">
        <v>-368.90249999999997</v>
      </c>
      <c r="H310" s="1">
        <v>-1.3630269999999901E-6</v>
      </c>
      <c r="I310">
        <v>365.84480000000002</v>
      </c>
      <c r="J310">
        <v>-387.21159999999998</v>
      </c>
      <c r="K310">
        <v>1.1105449999999999</v>
      </c>
      <c r="L310">
        <v>367.48399999999998</v>
      </c>
      <c r="M310">
        <v>0.9998996</v>
      </c>
      <c r="N310">
        <v>-1.417801E-2</v>
      </c>
      <c r="O310">
        <v>2.3830969999999999E-4</v>
      </c>
      <c r="P310">
        <v>0.95721630000000002</v>
      </c>
      <c r="Q310">
        <v>0.28258759999999999</v>
      </c>
      <c r="R310">
        <v>6.2304039999999998E-2</v>
      </c>
      <c r="S310">
        <v>3.2084350000000001</v>
      </c>
      <c r="T310">
        <v>-0.1896776</v>
      </c>
      <c r="U310">
        <v>-0.27993770000000001</v>
      </c>
      <c r="V310">
        <v>-6.2122780000000002E-2</v>
      </c>
      <c r="W310">
        <v>0.29612110000000003</v>
      </c>
      <c r="X310">
        <v>0.95312799999999998</v>
      </c>
      <c r="Y310">
        <v>8.6970399999999906E-2</v>
      </c>
      <c r="Z310">
        <v>-3.192753E-3</v>
      </c>
      <c r="AA310">
        <v>0.99620580000000003</v>
      </c>
      <c r="AB310">
        <v>34</v>
      </c>
      <c r="AC310">
        <v>18.309100000000001</v>
      </c>
      <c r="AD310">
        <v>-1.110546363027</v>
      </c>
      <c r="AE310">
        <v>-1.63920000000001</v>
      </c>
      <c r="AF310">
        <v>1.63758672056065</v>
      </c>
      <c r="AG310">
        <v>-1.110546363027</v>
      </c>
      <c r="AH310">
        <v>18.2421282051254</v>
      </c>
      <c r="AI310">
        <v>93.469840861251996</v>
      </c>
      <c r="AJ310">
        <v>84.870336296999696</v>
      </c>
      <c r="AK310">
        <v>18.349121094592501</v>
      </c>
      <c r="AL310">
        <v>72.775223768874895</v>
      </c>
      <c r="AM310">
        <v>93.729137817476101</v>
      </c>
      <c r="AN310">
        <v>0.999999965022068</v>
      </c>
    </row>
    <row r="311" spans="1:40" x14ac:dyDescent="0.25">
      <c r="A311" t="str">
        <f>"20190304164600901"</f>
        <v>20190304164600901</v>
      </c>
      <c r="B311" t="str">
        <f>"1551689160887682"</f>
        <v>1551689160887682</v>
      </c>
      <c r="C311" t="s">
        <v>40</v>
      </c>
      <c r="D311">
        <v>4.2525209999999998</v>
      </c>
      <c r="E311">
        <v>0.57287399999999999</v>
      </c>
      <c r="F311" t="s">
        <v>42</v>
      </c>
      <c r="G311">
        <v>-368.66019999999997</v>
      </c>
      <c r="H311" s="1">
        <v>-1.4347739999999999E-6</v>
      </c>
      <c r="I311">
        <v>365.88510000000002</v>
      </c>
      <c r="J311">
        <v>-386.88369999999998</v>
      </c>
      <c r="K311">
        <v>1.1105860000000001</v>
      </c>
      <c r="L311">
        <v>367.48419999999999</v>
      </c>
      <c r="M311">
        <v>0.99989890000000003</v>
      </c>
      <c r="N311">
        <v>-1.4220429999999999E-2</v>
      </c>
      <c r="O311">
        <v>3.3951119999999998E-4</v>
      </c>
      <c r="P311">
        <v>0.95693859999999997</v>
      </c>
      <c r="Q311">
        <v>0.28352509999999997</v>
      </c>
      <c r="R311">
        <v>6.230894E-2</v>
      </c>
      <c r="S311">
        <v>3.2088320000000001</v>
      </c>
      <c r="T311">
        <v>-0.1920905</v>
      </c>
      <c r="U311">
        <v>-0.27655030000000003</v>
      </c>
      <c r="V311">
        <v>-6.2033129999999999E-2</v>
      </c>
      <c r="W311">
        <v>0.29709459999999999</v>
      </c>
      <c r="X311">
        <v>0.95283090000000004</v>
      </c>
      <c r="Y311">
        <v>8.6014300000000002E-2</v>
      </c>
      <c r="Z311">
        <v>-3.1963600000000001E-3</v>
      </c>
      <c r="AA311">
        <v>0.99628879999999997</v>
      </c>
      <c r="AB311">
        <v>33</v>
      </c>
      <c r="AC311">
        <v>18.223500000000001</v>
      </c>
      <c r="AD311">
        <v>-1.1105874347739999</v>
      </c>
      <c r="AE311">
        <v>-1.59909999999996</v>
      </c>
      <c r="AF311">
        <v>1.59939285921353</v>
      </c>
      <c r="AG311">
        <v>-1.1105874347739999</v>
      </c>
      <c r="AH311">
        <v>18.156039698020301</v>
      </c>
      <c r="AI311">
        <v>93.486896495622801</v>
      </c>
      <c r="AJ311">
        <v>84.965723906352594</v>
      </c>
      <c r="AK311">
        <v>18.260154421156201</v>
      </c>
      <c r="AL311">
        <v>72.716818958288002</v>
      </c>
      <c r="AM311">
        <v>93.724929246307298</v>
      </c>
      <c r="AN311">
        <v>1.0000000172807799</v>
      </c>
    </row>
    <row r="312" spans="1:40" x14ac:dyDescent="0.25">
      <c r="A312" t="str">
        <f>"20190304164600924"</f>
        <v>20190304164600924</v>
      </c>
      <c r="B312" t="str">
        <f>"1551689160918508"</f>
        <v>1551689160918508</v>
      </c>
      <c r="C312" t="s">
        <v>40</v>
      </c>
      <c r="D312">
        <v>4.1640269999999999</v>
      </c>
      <c r="E312">
        <v>0.57321160000000004</v>
      </c>
      <c r="F312" t="s">
        <v>42</v>
      </c>
      <c r="G312">
        <v>-368.21089999999998</v>
      </c>
      <c r="H312" s="1">
        <v>-1.5936709999999999E-6</v>
      </c>
      <c r="I312">
        <v>365.86259999999999</v>
      </c>
      <c r="J312">
        <v>-386.53800000000001</v>
      </c>
      <c r="K312">
        <v>1.1106240000000001</v>
      </c>
      <c r="L312">
        <v>367.48439999999999</v>
      </c>
      <c r="M312">
        <v>0.99989830000000002</v>
      </c>
      <c r="N312">
        <v>-1.4259249999999999E-2</v>
      </c>
      <c r="O312">
        <v>4.4561189999999998E-4</v>
      </c>
      <c r="P312">
        <v>0.95693980000000001</v>
      </c>
      <c r="Q312">
        <v>0.28363870000000002</v>
      </c>
      <c r="R312">
        <v>6.1770930000000002E-2</v>
      </c>
      <c r="S312">
        <v>3.209686</v>
      </c>
      <c r="T312">
        <v>-0.1908984</v>
      </c>
      <c r="U312">
        <v>-0.27871699999999999</v>
      </c>
      <c r="V312">
        <v>-6.1395400000000003E-2</v>
      </c>
      <c r="W312">
        <v>0.29724479999999998</v>
      </c>
      <c r="X312">
        <v>0.95282529999999999</v>
      </c>
      <c r="Y312">
        <v>8.6765239999999993E-2</v>
      </c>
      <c r="Z312">
        <v>-3.2136690000000002E-3</v>
      </c>
      <c r="AA312">
        <v>0.99622359999999999</v>
      </c>
      <c r="AB312">
        <v>33</v>
      </c>
      <c r="AC312">
        <v>18.327100000000002</v>
      </c>
      <c r="AD312">
        <v>-1.1106255936710001</v>
      </c>
      <c r="AE312">
        <v>-1.6217999999999999</v>
      </c>
      <c r="AF312">
        <v>1.6240496529758499</v>
      </c>
      <c r="AG312">
        <v>-1.1106255936710001</v>
      </c>
      <c r="AH312">
        <v>18.2598393389015</v>
      </c>
      <c r="AI312">
        <v>93.466984187344096</v>
      </c>
      <c r="AJ312">
        <v>84.917425820884006</v>
      </c>
      <c r="AK312">
        <v>18.365531823694699</v>
      </c>
      <c r="AL312">
        <v>72.707804933305894</v>
      </c>
      <c r="AM312">
        <v>93.686762974814599</v>
      </c>
      <c r="AN312">
        <v>0.99999995929414398</v>
      </c>
    </row>
    <row r="313" spans="1:40" x14ac:dyDescent="0.25">
      <c r="A313" t="str">
        <f>"20190304164600947"</f>
        <v>20190304164600947</v>
      </c>
      <c r="B313" t="str">
        <f>"1551689160938027"</f>
        <v>1551689160938027</v>
      </c>
      <c r="C313" t="s">
        <v>40</v>
      </c>
      <c r="D313">
        <v>4.2622429999999998</v>
      </c>
      <c r="E313">
        <v>0.57330760000000003</v>
      </c>
      <c r="F313" t="s">
        <v>42</v>
      </c>
      <c r="G313">
        <v>-368.00670000000002</v>
      </c>
      <c r="H313" s="1">
        <v>-1.666069E-6</v>
      </c>
      <c r="I313">
        <v>365.85169999999999</v>
      </c>
      <c r="J313">
        <v>-386.20080000000002</v>
      </c>
      <c r="K313">
        <v>1.1106499999999999</v>
      </c>
      <c r="L313">
        <v>367.48469999999998</v>
      </c>
      <c r="M313">
        <v>0.9998977</v>
      </c>
      <c r="N313">
        <v>-1.429191E-2</v>
      </c>
      <c r="O313">
        <v>5.4858429999999996E-4</v>
      </c>
      <c r="P313">
        <v>0.9568565</v>
      </c>
      <c r="Q313">
        <v>0.2840453</v>
      </c>
      <c r="R313">
        <v>6.1190660000000001E-2</v>
      </c>
      <c r="S313">
        <v>3.2102659999999998</v>
      </c>
      <c r="T313">
        <v>-0.19239829999999999</v>
      </c>
      <c r="U313">
        <v>-0.2828369</v>
      </c>
      <c r="V313">
        <v>-6.0718380000000002E-2</v>
      </c>
      <c r="W313">
        <v>0.29768149999999999</v>
      </c>
      <c r="X313">
        <v>0.95273240000000003</v>
      </c>
      <c r="Y313">
        <v>8.8115250000000006E-2</v>
      </c>
      <c r="Z313">
        <v>-3.2895939999999999E-3</v>
      </c>
      <c r="AA313">
        <v>0.99610480000000001</v>
      </c>
      <c r="AB313">
        <v>33</v>
      </c>
      <c r="AC313">
        <v>18.194099999999899</v>
      </c>
      <c r="AD313">
        <v>-1.110651666069</v>
      </c>
      <c r="AE313">
        <v>-1.63299999999998</v>
      </c>
      <c r="AF313">
        <v>1.6369305888577601</v>
      </c>
      <c r="AG313">
        <v>-1.110651666069</v>
      </c>
      <c r="AH313">
        <v>18.126194877077801</v>
      </c>
      <c r="AI313">
        <v>93.492141790268406</v>
      </c>
      <c r="AJ313">
        <v>84.839761400249998</v>
      </c>
      <c r="AK313">
        <v>18.2338155523708</v>
      </c>
      <c r="AL313">
        <v>72.681598476708302</v>
      </c>
      <c r="AM313">
        <v>93.646573127166604</v>
      </c>
      <c r="AN313">
        <v>1.00000001156091</v>
      </c>
    </row>
    <row r="314" spans="1:40" x14ac:dyDescent="0.25">
      <c r="A314" t="str">
        <f>"20190304164600968"</f>
        <v>20190304164600968</v>
      </c>
      <c r="B314" t="str">
        <f>"1551689160958524"</f>
        <v>1551689160958524</v>
      </c>
      <c r="C314" t="s">
        <v>40</v>
      </c>
      <c r="D314">
        <v>4.27393</v>
      </c>
      <c r="E314">
        <v>0.57334049999999903</v>
      </c>
      <c r="F314" t="s">
        <v>42</v>
      </c>
      <c r="G314">
        <v>-367.68650000000002</v>
      </c>
      <c r="H314" s="1">
        <v>-1.779099E-6</v>
      </c>
      <c r="I314">
        <v>365.83640000000003</v>
      </c>
      <c r="J314">
        <v>-385.88909999999998</v>
      </c>
      <c r="K314">
        <v>1.1106720000000001</v>
      </c>
      <c r="L314">
        <v>367.48500000000001</v>
      </c>
      <c r="M314">
        <v>0.99989720000000004</v>
      </c>
      <c r="N314">
        <v>-1.4318040000000001E-2</v>
      </c>
      <c r="O314">
        <v>6.4294949999999895E-4</v>
      </c>
      <c r="P314">
        <v>0.95672069999999998</v>
      </c>
      <c r="Q314">
        <v>0.28459659999999998</v>
      </c>
      <c r="R314">
        <v>6.07498E-2</v>
      </c>
      <c r="S314">
        <v>3.2107239999999999</v>
      </c>
      <c r="T314">
        <v>-0.19260679999999999</v>
      </c>
      <c r="U314">
        <v>-0.28582760000000001</v>
      </c>
      <c r="V314">
        <v>-6.0187820000000003E-2</v>
      </c>
      <c r="W314">
        <v>0.2982554</v>
      </c>
      <c r="X314">
        <v>0.9525865</v>
      </c>
      <c r="Y314">
        <v>8.9114730000000003E-2</v>
      </c>
      <c r="Z314">
        <v>-3.334526E-3</v>
      </c>
      <c r="AA314">
        <v>0.99601580000000001</v>
      </c>
      <c r="AB314">
        <v>33</v>
      </c>
      <c r="AC314">
        <v>18.202599999999901</v>
      </c>
      <c r="AD314">
        <v>-1.11067377909899</v>
      </c>
      <c r="AE314">
        <v>-1.6485999999999801</v>
      </c>
      <c r="AF314">
        <v>1.65419556418764</v>
      </c>
      <c r="AG314">
        <v>-1.11067377909899</v>
      </c>
      <c r="AH314">
        <v>18.134568443681001</v>
      </c>
      <c r="AI314">
        <v>93.490317281738498</v>
      </c>
      <c r="AJ314">
        <v>84.7880284371291</v>
      </c>
      <c r="AK314">
        <v>18.243698414704902</v>
      </c>
      <c r="AL314">
        <v>72.647150582511998</v>
      </c>
      <c r="AM314">
        <v>93.615346240518306</v>
      </c>
      <c r="AN314">
        <v>0.99999994864387898</v>
      </c>
    </row>
    <row r="315" spans="1:40" x14ac:dyDescent="0.25">
      <c r="A315" t="str">
        <f>"20190304164600990"</f>
        <v>20190304164600990</v>
      </c>
      <c r="B315" t="str">
        <f>"1551689160978044"</f>
        <v>1551689160978044</v>
      </c>
      <c r="C315" t="s">
        <v>40</v>
      </c>
      <c r="D315">
        <v>4.182912</v>
      </c>
      <c r="E315">
        <v>0.57345880000000005</v>
      </c>
      <c r="F315" t="s">
        <v>42</v>
      </c>
      <c r="G315">
        <v>-367.24810000000002</v>
      </c>
      <c r="H315" s="1">
        <v>-1.9352670000000001E-6</v>
      </c>
      <c r="I315">
        <v>365.81009999999998</v>
      </c>
      <c r="J315">
        <v>-385.5487</v>
      </c>
      <c r="K315">
        <v>1.1106830000000001</v>
      </c>
      <c r="L315">
        <v>367.4853</v>
      </c>
      <c r="M315">
        <v>0.99989689999999998</v>
      </c>
      <c r="N315">
        <v>-1.434276E-2</v>
      </c>
      <c r="O315">
        <v>7.4607789999999905E-4</v>
      </c>
      <c r="P315">
        <v>0.95665449999999996</v>
      </c>
      <c r="Q315">
        <v>0.28469029999999901</v>
      </c>
      <c r="R315">
        <v>6.1347789999999999E-2</v>
      </c>
      <c r="S315">
        <v>3.2109380000000001</v>
      </c>
      <c r="T315">
        <v>-0.19131419999999999</v>
      </c>
      <c r="U315">
        <v>-0.28848269999999998</v>
      </c>
      <c r="V315">
        <v>-6.0687869999999998E-2</v>
      </c>
      <c r="W315">
        <v>0.29837200000000003</v>
      </c>
      <c r="X315">
        <v>0.95251830000000004</v>
      </c>
      <c r="Y315">
        <v>9.0028880000000006E-2</v>
      </c>
      <c r="Z315">
        <v>-3.3556240000000002E-3</v>
      </c>
      <c r="AA315">
        <v>0.99593350000000003</v>
      </c>
      <c r="AB315">
        <v>33</v>
      </c>
      <c r="AC315">
        <v>18.3005999999999</v>
      </c>
      <c r="AD315">
        <v>-1.1106849352670001</v>
      </c>
      <c r="AE315">
        <v>-1.67520000000001</v>
      </c>
      <c r="AF315">
        <v>1.68270799630973</v>
      </c>
      <c r="AG315">
        <v>-1.1106849352670001</v>
      </c>
      <c r="AH315">
        <v>18.232744175267101</v>
      </c>
      <c r="AI315">
        <v>93.471266276847402</v>
      </c>
      <c r="AJ315">
        <v>84.727084133664604</v>
      </c>
      <c r="AK315">
        <v>18.343884195747901</v>
      </c>
      <c r="AL315">
        <v>72.640151936213798</v>
      </c>
      <c r="AM315">
        <v>93.645562753662304</v>
      </c>
      <c r="AN315">
        <v>0.999999989892013</v>
      </c>
    </row>
    <row r="316" spans="1:40" x14ac:dyDescent="0.25">
      <c r="A316" t="str">
        <f>"20190304164601014"</f>
        <v>20190304164601014</v>
      </c>
      <c r="B316" t="str">
        <f>"1551689161008300"</f>
        <v>1551689161008300</v>
      </c>
      <c r="C316" t="s">
        <v>40</v>
      </c>
      <c r="D316">
        <v>4.3106049999999998</v>
      </c>
      <c r="E316">
        <v>0.57367609999999902</v>
      </c>
      <c r="F316" t="s">
        <v>42</v>
      </c>
      <c r="G316">
        <v>-366.91090000000003</v>
      </c>
      <c r="H316" s="1">
        <v>-2.0493710000000001E-6</v>
      </c>
      <c r="I316">
        <v>365.8125</v>
      </c>
      <c r="J316">
        <v>-385.2079</v>
      </c>
      <c r="K316">
        <v>1.1107039999999999</v>
      </c>
      <c r="L316">
        <v>367.48559999999998</v>
      </c>
      <c r="M316">
        <v>0.99989660000000002</v>
      </c>
      <c r="N316">
        <v>-1.4363900000000001E-2</v>
      </c>
      <c r="O316">
        <v>8.4827850000000001E-4</v>
      </c>
      <c r="P316">
        <v>0.95653679999999996</v>
      </c>
      <c r="Q316">
        <v>0.28506670000000001</v>
      </c>
      <c r="R316">
        <v>6.1439290000000001E-2</v>
      </c>
      <c r="S316">
        <v>3.2113649999999998</v>
      </c>
      <c r="T316">
        <v>-0.19137489999999999</v>
      </c>
      <c r="U316">
        <v>-0.28820800000000002</v>
      </c>
      <c r="V316">
        <v>-6.0682729999999997E-2</v>
      </c>
      <c r="W316">
        <v>0.298767</v>
      </c>
      <c r="X316">
        <v>0.95239479999999999</v>
      </c>
      <c r="Y316">
        <v>9.0034130000000004E-2</v>
      </c>
      <c r="Z316">
        <v>-3.3618749999999998E-3</v>
      </c>
      <c r="AA316">
        <v>0.99593299999999996</v>
      </c>
      <c r="AB316">
        <v>33</v>
      </c>
      <c r="AC316">
        <v>18.296999999999901</v>
      </c>
      <c r="AD316">
        <v>-1.1107060493709999</v>
      </c>
      <c r="AE316">
        <v>-1.6730999999999701</v>
      </c>
      <c r="AF316">
        <v>1.6824734309332401</v>
      </c>
      <c r="AG316">
        <v>-1.1107060493709999</v>
      </c>
      <c r="AH316">
        <v>18.228957168341001</v>
      </c>
      <c r="AI316">
        <v>93.472049499657004</v>
      </c>
      <c r="AJ316">
        <v>84.726725917537706</v>
      </c>
      <c r="AK316">
        <v>18.340099896650401</v>
      </c>
      <c r="AL316">
        <v>72.616438386255894</v>
      </c>
      <c r="AM316">
        <v>93.645726239606304</v>
      </c>
      <c r="AN316">
        <v>0.99999998453814598</v>
      </c>
    </row>
    <row r="317" spans="1:40" x14ac:dyDescent="0.25">
      <c r="A317" t="str">
        <f>"20190304164601039"</f>
        <v>20190304164601039</v>
      </c>
      <c r="B317" t="str">
        <f>"1551689161028552"</f>
        <v>1551689161028552</v>
      </c>
      <c r="C317" t="s">
        <v>40</v>
      </c>
      <c r="D317">
        <v>4.3233160000000002</v>
      </c>
      <c r="E317">
        <v>0.57379569999999902</v>
      </c>
      <c r="F317" t="s">
        <v>42</v>
      </c>
      <c r="G317">
        <v>-366.61930000000001</v>
      </c>
      <c r="H317" s="1">
        <v>-2.1480029999999999E-6</v>
      </c>
      <c r="I317">
        <v>365.81479999999999</v>
      </c>
      <c r="J317">
        <v>-384.8528</v>
      </c>
      <c r="K317">
        <v>1.1107209999999901</v>
      </c>
      <c r="L317">
        <v>367.48610000000002</v>
      </c>
      <c r="M317">
        <v>0.99989620000000001</v>
      </c>
      <c r="N317">
        <v>-1.4382219999999999E-2</v>
      </c>
      <c r="O317">
        <v>9.5478230000000004E-4</v>
      </c>
      <c r="P317">
        <v>0.9564549</v>
      </c>
      <c r="Q317">
        <v>0.28519729999999999</v>
      </c>
      <c r="R317">
        <v>6.2102020000000001E-2</v>
      </c>
      <c r="S317">
        <v>3.2120359999999999</v>
      </c>
      <c r="T317">
        <v>-0.19192500000000001</v>
      </c>
      <c r="U317">
        <v>-0.28869630000000002</v>
      </c>
      <c r="V317">
        <v>-6.1243829999999999E-2</v>
      </c>
      <c r="W317">
        <v>0.29891309999999999</v>
      </c>
      <c r="X317">
        <v>0.95231310000000002</v>
      </c>
      <c r="Y317">
        <v>9.0270240000000002E-2</v>
      </c>
      <c r="Z317">
        <v>-3.383484E-3</v>
      </c>
      <c r="AA317">
        <v>0.99591149999999995</v>
      </c>
      <c r="AB317">
        <v>33</v>
      </c>
      <c r="AC317">
        <v>18.2334999999999</v>
      </c>
      <c r="AD317">
        <v>-1.11072314800299</v>
      </c>
      <c r="AE317">
        <v>-1.67130000000003</v>
      </c>
      <c r="AF317">
        <v>1.68251853248695</v>
      </c>
      <c r="AG317">
        <v>-1.11072314800299</v>
      </c>
      <c r="AH317">
        <v>18.165049925317199</v>
      </c>
      <c r="AI317">
        <v>93.484183875480696</v>
      </c>
      <c r="AJ317">
        <v>84.708137873982395</v>
      </c>
      <c r="AK317">
        <v>18.2765864786873</v>
      </c>
      <c r="AL317">
        <v>72.607667703342699</v>
      </c>
      <c r="AM317">
        <v>93.679658886659496</v>
      </c>
      <c r="AN317">
        <v>1.00000004424814</v>
      </c>
    </row>
    <row r="318" spans="1:40" x14ac:dyDescent="0.25">
      <c r="A318" t="str">
        <f>"20190304164601058"</f>
        <v>20190304164601058</v>
      </c>
      <c r="B318" t="str">
        <f>"1551689161048072"</f>
        <v>1551689161048072</v>
      </c>
      <c r="C318" t="s">
        <v>40</v>
      </c>
      <c r="D318">
        <v>4.3356940000000002</v>
      </c>
      <c r="E318">
        <v>0.57394060000000002</v>
      </c>
      <c r="F318" t="s">
        <v>41</v>
      </c>
      <c r="G318">
        <v>-383.87049999999999</v>
      </c>
      <c r="H318">
        <v>1.0517110000000001</v>
      </c>
      <c r="I318">
        <v>367.39850000000001</v>
      </c>
      <c r="J318">
        <v>-384.5446</v>
      </c>
      <c r="K318">
        <v>1.110735</v>
      </c>
      <c r="L318">
        <v>367.4864</v>
      </c>
      <c r="M318">
        <v>0.9998958</v>
      </c>
      <c r="N318">
        <v>-1.439583E-2</v>
      </c>
      <c r="O318">
        <v>1.047194E-3</v>
      </c>
      <c r="P318">
        <v>0.95639339999999995</v>
      </c>
      <c r="Q318">
        <v>0.28520759999999901</v>
      </c>
      <c r="R318">
        <v>6.2993259999999995E-2</v>
      </c>
      <c r="S318">
        <v>3.2127080000000001</v>
      </c>
      <c r="T318">
        <v>-0.19295409999999999</v>
      </c>
      <c r="U318">
        <v>-0.2863464</v>
      </c>
      <c r="V318">
        <v>-6.2046650000000002E-2</v>
      </c>
      <c r="W318">
        <v>0.29893530000000001</v>
      </c>
      <c r="X318">
        <v>0.95225409999999999</v>
      </c>
      <c r="Y318">
        <v>8.9620469999999994E-2</v>
      </c>
      <c r="Z318">
        <v>-3.3783440000000001E-3</v>
      </c>
      <c r="AA318">
        <v>0.99597020000000003</v>
      </c>
      <c r="AB318">
        <v>33</v>
      </c>
      <c r="AC318">
        <v>0.67410000000000903</v>
      </c>
      <c r="AD318">
        <v>-5.9023999999999903E-2</v>
      </c>
      <c r="AE318">
        <v>-8.78999999999905E-2</v>
      </c>
      <c r="AF318">
        <v>8.7942978184295195E-2</v>
      </c>
      <c r="AG318">
        <v>-5.9023999999999903E-2</v>
      </c>
      <c r="AH318">
        <v>0.66896456689695105</v>
      </c>
      <c r="AI318">
        <v>94.999462151820296</v>
      </c>
      <c r="AJ318">
        <v>82.510766206304496</v>
      </c>
      <c r="AK318">
        <v>0.67729712220822902</v>
      </c>
      <c r="AL318">
        <v>72.606333740730506</v>
      </c>
      <c r="AM318">
        <v>93.727989195986794</v>
      </c>
      <c r="AN318">
        <v>0.99999998566456105</v>
      </c>
    </row>
    <row r="319" spans="1:40" x14ac:dyDescent="0.25">
      <c r="A319" t="str">
        <f>"20190304164601080"</f>
        <v>20190304164601080</v>
      </c>
      <c r="B319" t="str">
        <f>"1551689161068569"</f>
        <v>1551689161068569</v>
      </c>
      <c r="C319" t="s">
        <v>40</v>
      </c>
      <c r="D319">
        <v>4.2873760000000001</v>
      </c>
      <c r="E319">
        <v>0.57402350000000002</v>
      </c>
      <c r="F319" t="s">
        <v>42</v>
      </c>
      <c r="G319">
        <v>-365.99290000000002</v>
      </c>
      <c r="H319" s="1">
        <v>-2.3709649999999999E-6</v>
      </c>
      <c r="I319">
        <v>365.84140000000002</v>
      </c>
      <c r="J319">
        <v>-384.2346</v>
      </c>
      <c r="K319">
        <v>1.110751</v>
      </c>
      <c r="L319">
        <v>367.48689999999999</v>
      </c>
      <c r="M319">
        <v>0.9998956</v>
      </c>
      <c r="N319">
        <v>-1.440751E-2</v>
      </c>
      <c r="O319">
        <v>1.1402680000000001E-3</v>
      </c>
      <c r="P319">
        <v>0.95629410000000004</v>
      </c>
      <c r="Q319">
        <v>0.28535519999999998</v>
      </c>
      <c r="R319">
        <v>6.3828070000000001E-2</v>
      </c>
      <c r="S319">
        <v>3.2129210000000001</v>
      </c>
      <c r="T319">
        <v>-0.19236449999999999</v>
      </c>
      <c r="U319">
        <v>-0.28488160000000001</v>
      </c>
      <c r="V319">
        <v>-6.2792599999999907E-2</v>
      </c>
      <c r="W319">
        <v>0.2990932</v>
      </c>
      <c r="X319">
        <v>0.95215559999999999</v>
      </c>
      <c r="Y319">
        <v>8.9258599999999994E-2</v>
      </c>
      <c r="Z319">
        <v>-3.3611380000000001E-3</v>
      </c>
      <c r="AA319">
        <v>0.99600279999999997</v>
      </c>
      <c r="AB319">
        <v>33</v>
      </c>
      <c r="AC319">
        <v>18.241699999999899</v>
      </c>
      <c r="AD319">
        <v>-1.1107533709649999</v>
      </c>
      <c r="AE319">
        <v>-1.64549999999997</v>
      </c>
      <c r="AF319">
        <v>1.66019568964956</v>
      </c>
      <c r="AG319">
        <v>-1.1107533709649999</v>
      </c>
      <c r="AH319">
        <v>18.172975526327299</v>
      </c>
      <c r="AI319">
        <v>93.4831647232444</v>
      </c>
      <c r="AJ319">
        <v>84.780221843210199</v>
      </c>
      <c r="AK319">
        <v>18.282424955665299</v>
      </c>
      <c r="AL319">
        <v>72.596852693621102</v>
      </c>
      <c r="AM319">
        <v>93.773069079101205</v>
      </c>
      <c r="AN319">
        <v>0.999999969756179</v>
      </c>
    </row>
    <row r="320" spans="1:40" x14ac:dyDescent="0.25">
      <c r="A320" t="str">
        <f>"20190304164601105"</f>
        <v>20190304164601105</v>
      </c>
      <c r="B320" t="str">
        <f>"1551689161097849"</f>
        <v>1551689161097849</v>
      </c>
      <c r="C320" t="s">
        <v>40</v>
      </c>
      <c r="D320">
        <v>4.3167559999999998</v>
      </c>
      <c r="E320">
        <v>0.53664209999999901</v>
      </c>
      <c r="F320" t="s">
        <v>42</v>
      </c>
      <c r="G320">
        <v>-365.66039999999998</v>
      </c>
      <c r="H320" s="1">
        <v>-2.5126470000000001E-6</v>
      </c>
      <c r="I320">
        <v>365.84679999999997</v>
      </c>
      <c r="J320">
        <v>-383.86270000000002</v>
      </c>
      <c r="K320">
        <v>1.11076</v>
      </c>
      <c r="L320">
        <v>367.48739999999998</v>
      </c>
      <c r="M320">
        <v>0.99989539999999999</v>
      </c>
      <c r="N320">
        <v>-1.441915E-2</v>
      </c>
      <c r="O320">
        <v>1.2525889999999999E-3</v>
      </c>
      <c r="P320">
        <v>0.95611489999999999</v>
      </c>
      <c r="Q320">
        <v>0.28577930000000001</v>
      </c>
      <c r="R320">
        <v>6.4613939999999995E-2</v>
      </c>
      <c r="S320">
        <v>3.2133479999999999</v>
      </c>
      <c r="T320">
        <v>-0.19216</v>
      </c>
      <c r="U320">
        <v>-0.28372190000000003</v>
      </c>
      <c r="V320">
        <v>-6.3471410000000006E-2</v>
      </c>
      <c r="W320">
        <v>0.2995255</v>
      </c>
      <c r="X320">
        <v>0.95197469999999995</v>
      </c>
      <c r="Y320">
        <v>8.9002999999999999E-2</v>
      </c>
      <c r="Z320">
        <v>-3.3540309999999999E-3</v>
      </c>
      <c r="AA320">
        <v>0.99602570000000001</v>
      </c>
      <c r="AB320">
        <v>33</v>
      </c>
      <c r="AC320">
        <v>18.202300000000001</v>
      </c>
      <c r="AD320">
        <v>-1.110762512647</v>
      </c>
      <c r="AE320">
        <v>-1.6406000000000001</v>
      </c>
      <c r="AF320">
        <v>1.6572793840567499</v>
      </c>
      <c r="AG320">
        <v>-1.110762512647</v>
      </c>
      <c r="AH320">
        <v>18.133249493383602</v>
      </c>
      <c r="AI320">
        <v>93.490792989382101</v>
      </c>
      <c r="AJ320">
        <v>84.777988020853897</v>
      </c>
      <c r="AK320">
        <v>18.242672652482099</v>
      </c>
      <c r="AL320">
        <v>72.570893979054802</v>
      </c>
      <c r="AM320">
        <v>93.814460119274102</v>
      </c>
      <c r="AN320">
        <v>0.99999998723886296</v>
      </c>
    </row>
    <row r="321" spans="1:40" x14ac:dyDescent="0.25">
      <c r="A321" t="str">
        <f>"20190304164601126"</f>
        <v>20190304164601126</v>
      </c>
      <c r="B321" t="str">
        <f>"1551689161118406"</f>
        <v>1551689161118406</v>
      </c>
      <c r="C321" t="s">
        <v>40</v>
      </c>
      <c r="D321">
        <v>4.3322209999999997</v>
      </c>
      <c r="E321">
        <v>0.52453070000000002</v>
      </c>
      <c r="F321" t="s">
        <v>42</v>
      </c>
      <c r="G321">
        <v>-354.66829999999999</v>
      </c>
      <c r="H321" s="1">
        <v>-2.6328980000000002E-6</v>
      </c>
      <c r="I321">
        <v>367.56819999999999</v>
      </c>
      <c r="J321">
        <v>-383.54750000000001</v>
      </c>
      <c r="K321">
        <v>1.1107610000000001</v>
      </c>
      <c r="L321">
        <v>367.48790000000002</v>
      </c>
      <c r="M321">
        <v>0.99989519999999998</v>
      </c>
      <c r="N321">
        <v>-1.4427280000000001E-2</v>
      </c>
      <c r="O321">
        <v>1.3481859999999999E-3</v>
      </c>
      <c r="P321">
        <v>0.95612660000000005</v>
      </c>
      <c r="Q321">
        <v>0.28569339999999999</v>
      </c>
      <c r="R321">
        <v>6.48199E-2</v>
      </c>
      <c r="S321">
        <v>3.1731569999999998</v>
      </c>
      <c r="T321">
        <v>-0.12072919999999999</v>
      </c>
      <c r="U321">
        <v>8.7890629999999997E-3</v>
      </c>
      <c r="V321">
        <v>-6.3585610000000001E-2</v>
      </c>
      <c r="W321">
        <v>0.29944769999999998</v>
      </c>
      <c r="X321">
        <v>0.95199160000000005</v>
      </c>
      <c r="Y321">
        <v>-1.42044E-3</v>
      </c>
      <c r="Z321" s="1">
        <v>5.4356220000000003E-6</v>
      </c>
      <c r="AA321">
        <v>0.99999899999999997</v>
      </c>
      <c r="AB321">
        <v>33</v>
      </c>
      <c r="AC321">
        <v>28.879200000000001</v>
      </c>
      <c r="AD321">
        <v>-1.110763632898</v>
      </c>
      <c r="AE321">
        <v>8.0299999999965593E-2</v>
      </c>
      <c r="AF321">
        <v>-4.1300251162050501E-2</v>
      </c>
      <c r="AG321">
        <v>-1.110763632898</v>
      </c>
      <c r="AH321">
        <v>28.8366226901414</v>
      </c>
      <c r="AI321">
        <v>92.205894769477695</v>
      </c>
      <c r="AJ321">
        <v>90.082059833839494</v>
      </c>
      <c r="AK321">
        <v>28.858037177405102</v>
      </c>
      <c r="AL321">
        <v>72.575566816477604</v>
      </c>
      <c r="AM321">
        <v>93.821235278968501</v>
      </c>
      <c r="AN321">
        <v>1.0000000306524599</v>
      </c>
    </row>
    <row r="322" spans="1:40" x14ac:dyDescent="0.25">
      <c r="A322" t="str">
        <f>"20190304164601148"</f>
        <v>20190304164601148</v>
      </c>
      <c r="B322" t="str">
        <f>"1551689161137929"</f>
        <v>1551689161137929</v>
      </c>
      <c r="C322" t="s">
        <v>40</v>
      </c>
      <c r="D322">
        <v>4.2962239999999996</v>
      </c>
      <c r="E322">
        <v>0.51911179999999901</v>
      </c>
      <c r="F322" t="s">
        <v>42</v>
      </c>
      <c r="G322">
        <v>-359.00360000000001</v>
      </c>
      <c r="H322" s="1">
        <v>-6.678925E-7</v>
      </c>
      <c r="I322">
        <v>368.32819999999998</v>
      </c>
      <c r="J322">
        <v>-383.2176</v>
      </c>
      <c r="K322">
        <v>1.11076</v>
      </c>
      <c r="L322">
        <v>367.48849999999999</v>
      </c>
      <c r="M322">
        <v>0.99989470000000003</v>
      </c>
      <c r="N322">
        <v>-1.4434280000000001E-2</v>
      </c>
      <c r="O322">
        <v>1.4478500000000001E-3</v>
      </c>
      <c r="P322">
        <v>0.9560649</v>
      </c>
      <c r="Q322">
        <v>0.2857498</v>
      </c>
      <c r="R322">
        <v>6.547509E-2</v>
      </c>
      <c r="S322">
        <v>3.173187</v>
      </c>
      <c r="T322">
        <v>-0.1436056</v>
      </c>
      <c r="U322">
        <v>0.10864260000000001</v>
      </c>
      <c r="V322">
        <v>-6.4145359999999998E-2</v>
      </c>
      <c r="W322">
        <v>0.29951</v>
      </c>
      <c r="X322">
        <v>0.95193439999999996</v>
      </c>
      <c r="Y322">
        <v>-3.2726989999999997E-2</v>
      </c>
      <c r="Z322">
        <v>9.3180200000000002E-4</v>
      </c>
      <c r="AA322">
        <v>0.99946389999999996</v>
      </c>
      <c r="AB322">
        <v>33</v>
      </c>
      <c r="AC322">
        <v>24.213999999999999</v>
      </c>
      <c r="AD322">
        <v>-1.1107606678924999</v>
      </c>
      <c r="AE322">
        <v>0.83969999999999301</v>
      </c>
      <c r="AF322">
        <v>-0.80294960618827504</v>
      </c>
      <c r="AG322">
        <v>-1.1107606678924999</v>
      </c>
      <c r="AH322">
        <v>24.164402396726601</v>
      </c>
      <c r="AI322">
        <v>92.630402285271302</v>
      </c>
      <c r="AJ322">
        <v>91.903159110702205</v>
      </c>
      <c r="AK322">
        <v>24.203240702896402</v>
      </c>
      <c r="AL322">
        <v>72.571824749467794</v>
      </c>
      <c r="AM322">
        <v>93.855003918353503</v>
      </c>
      <c r="AN322">
        <v>0.99999998460644401</v>
      </c>
    </row>
    <row r="323" spans="1:40" x14ac:dyDescent="0.25">
      <c r="A323" t="str">
        <f>"20190304164601180"</f>
        <v>20190304164601180</v>
      </c>
      <c r="B323" t="str">
        <f>"1551689161168181"</f>
        <v>1551689161168181</v>
      </c>
      <c r="C323" t="s">
        <v>40</v>
      </c>
      <c r="D323">
        <v>4.2788139999999997</v>
      </c>
      <c r="E323">
        <v>0.5159821</v>
      </c>
      <c r="F323" t="s">
        <v>42</v>
      </c>
      <c r="G323">
        <v>-360.26740000000001</v>
      </c>
      <c r="H323" s="1">
        <v>-4.335715E-6</v>
      </c>
      <c r="I323">
        <v>368.6121</v>
      </c>
      <c r="J323">
        <v>-382.75369999999998</v>
      </c>
      <c r="K323">
        <v>1.1107689999999999</v>
      </c>
      <c r="L323">
        <v>367.48930000000001</v>
      </c>
      <c r="M323">
        <v>0.99989459999999997</v>
      </c>
      <c r="N323">
        <v>-1.4441849999999999E-2</v>
      </c>
      <c r="O323">
        <v>1.5871469999999999E-3</v>
      </c>
      <c r="P323">
        <v>0.95604429999999996</v>
      </c>
      <c r="Q323">
        <v>0.28587069999999998</v>
      </c>
      <c r="R323">
        <v>6.5250279999999994E-2</v>
      </c>
      <c r="S323">
        <v>3.1731259999999999</v>
      </c>
      <c r="T323">
        <v>-0.15357509999999999</v>
      </c>
      <c r="U323">
        <v>0.155365</v>
      </c>
      <c r="V323">
        <v>-6.3787709999999997E-2</v>
      </c>
      <c r="W323">
        <v>0.29963779999999901</v>
      </c>
      <c r="X323">
        <v>0.95191820000000005</v>
      </c>
      <c r="Y323">
        <v>-4.7247919999999999E-2</v>
      </c>
      <c r="Z323">
        <v>1.429846E-3</v>
      </c>
      <c r="AA323">
        <v>0.99888220000000005</v>
      </c>
      <c r="AB323">
        <v>33</v>
      </c>
      <c r="AC323">
        <v>22.4862999999999</v>
      </c>
      <c r="AD323">
        <v>-1.110773335715</v>
      </c>
      <c r="AE323">
        <v>1.12279999999998</v>
      </c>
      <c r="AF323">
        <v>-1.0844661361810799</v>
      </c>
      <c r="AG323">
        <v>-1.110773335715</v>
      </c>
      <c r="AH323">
        <v>22.433449274973</v>
      </c>
      <c r="AI323">
        <v>92.831336283233497</v>
      </c>
      <c r="AJ323">
        <v>92.767608239546703</v>
      </c>
      <c r="AK323">
        <v>22.4870969797492</v>
      </c>
      <c r="AL323">
        <v>72.564149625856899</v>
      </c>
      <c r="AM323">
        <v>93.833639207078704</v>
      </c>
      <c r="AN323">
        <v>0.999999971313561</v>
      </c>
    </row>
    <row r="324" spans="1:40" x14ac:dyDescent="0.25">
      <c r="A324" t="str">
        <f>"20190304164601203"</f>
        <v>20190304164601203</v>
      </c>
      <c r="B324" t="str">
        <f>"1551689161198437"</f>
        <v>1551689161198437</v>
      </c>
      <c r="C324" t="s">
        <v>40</v>
      </c>
      <c r="D324">
        <v>4.2759470000000004</v>
      </c>
      <c r="E324">
        <v>0.51446139999999996</v>
      </c>
      <c r="F324" t="s">
        <v>42</v>
      </c>
      <c r="G324">
        <v>-361.48840000000001</v>
      </c>
      <c r="H324" s="1">
        <v>-3.795819E-6</v>
      </c>
      <c r="I324">
        <v>368.70269999999999</v>
      </c>
      <c r="J324">
        <v>-382.42790000000002</v>
      </c>
      <c r="K324">
        <v>1.110776</v>
      </c>
      <c r="L324">
        <v>367.48989999999998</v>
      </c>
      <c r="M324">
        <v>0.99989430000000001</v>
      </c>
      <c r="N324">
        <v>-1.444579E-2</v>
      </c>
      <c r="O324">
        <v>1.685282E-3</v>
      </c>
      <c r="P324">
        <v>0.95622050000000003</v>
      </c>
      <c r="Q324">
        <v>0.28534039999999999</v>
      </c>
      <c r="R324">
        <v>6.4987500000000004E-2</v>
      </c>
      <c r="S324">
        <v>3.1751399999999999</v>
      </c>
      <c r="T324">
        <v>-0.16585</v>
      </c>
      <c r="U324">
        <v>0.18118290000000001</v>
      </c>
      <c r="V324">
        <v>-6.3430959999999995E-2</v>
      </c>
      <c r="W324">
        <v>0.29911379999999999</v>
      </c>
      <c r="X324">
        <v>0.95210689999999998</v>
      </c>
      <c r="Y324">
        <v>-5.5192850000000002E-2</v>
      </c>
      <c r="Z324">
        <v>1.775081E-3</v>
      </c>
      <c r="AA324">
        <v>0.99847410000000003</v>
      </c>
      <c r="AB324">
        <v>33</v>
      </c>
      <c r="AC324">
        <v>20.939499999999999</v>
      </c>
      <c r="AD324">
        <v>-1.110779795819</v>
      </c>
      <c r="AE324">
        <v>1.2128000000000101</v>
      </c>
      <c r="AF324">
        <v>-1.17421245400984</v>
      </c>
      <c r="AG324">
        <v>-1.110779795819</v>
      </c>
      <c r="AH324">
        <v>20.8829463479974</v>
      </c>
      <c r="AI324">
        <v>93.039944040589006</v>
      </c>
      <c r="AJ324">
        <v>93.218255175373201</v>
      </c>
      <c r="AK324">
        <v>20.9454065325858</v>
      </c>
      <c r="AL324">
        <v>72.595617225991703</v>
      </c>
      <c r="AM324">
        <v>93.811508612618596</v>
      </c>
      <c r="AN324">
        <v>1.0000000505322799</v>
      </c>
    </row>
    <row r="325" spans="1:40" x14ac:dyDescent="0.25">
      <c r="A325" t="str">
        <f>"20190304164601227"</f>
        <v>20190304164601227</v>
      </c>
      <c r="B325" t="str">
        <f>"1551689161218467"</f>
        <v>1551689161218467</v>
      </c>
      <c r="C325" t="s">
        <v>40</v>
      </c>
      <c r="D325">
        <v>4.2747609999999998</v>
      </c>
      <c r="E325">
        <v>0.51386980000000004</v>
      </c>
      <c r="F325" t="s">
        <v>42</v>
      </c>
      <c r="G325">
        <v>-362.2004</v>
      </c>
      <c r="H325" s="1">
        <v>-3.4873660000000002E-6</v>
      </c>
      <c r="I325">
        <v>368.71960000000001</v>
      </c>
      <c r="J325">
        <v>-382.06920000000002</v>
      </c>
      <c r="K325">
        <v>1.1107849999999999</v>
      </c>
      <c r="L325">
        <v>367.4907</v>
      </c>
      <c r="M325">
        <v>0.99989399999999995</v>
      </c>
      <c r="N325">
        <v>-1.444907E-2</v>
      </c>
      <c r="O325">
        <v>1.7935479999999901E-3</v>
      </c>
      <c r="P325">
        <v>0.95611069999999998</v>
      </c>
      <c r="Q325">
        <v>0.28568909999999997</v>
      </c>
      <c r="R325">
        <v>6.5069569999999993E-2</v>
      </c>
      <c r="S325">
        <v>3.1762700000000001</v>
      </c>
      <c r="T325">
        <v>-0.17442199999999999</v>
      </c>
      <c r="U325">
        <v>0.19311519999999999</v>
      </c>
      <c r="V325">
        <v>-6.3409129999999994E-2</v>
      </c>
      <c r="W325">
        <v>0.29946400000000001</v>
      </c>
      <c r="X325">
        <v>0.95199820000000002</v>
      </c>
      <c r="Y325">
        <v>-5.8786690000000003E-2</v>
      </c>
      <c r="Z325">
        <v>1.964487E-3</v>
      </c>
      <c r="AA325">
        <v>0.99826870000000001</v>
      </c>
      <c r="AB325">
        <v>33</v>
      </c>
      <c r="AC325">
        <v>19.8688</v>
      </c>
      <c r="AD325">
        <v>-1.1107884873659899</v>
      </c>
      <c r="AE325">
        <v>1.2289000000000001</v>
      </c>
      <c r="AF325">
        <v>-1.18955487153685</v>
      </c>
      <c r="AG325">
        <v>-1.1107884873659899</v>
      </c>
      <c r="AH325">
        <v>19.809294363601001</v>
      </c>
      <c r="AI325">
        <v>93.203689575334593</v>
      </c>
      <c r="AJ325">
        <v>93.436504305581195</v>
      </c>
      <c r="AK325">
        <v>19.8760417347081</v>
      </c>
      <c r="AL325">
        <v>72.574587226241704</v>
      </c>
      <c r="AM325">
        <v>93.810634502742303</v>
      </c>
      <c r="AN325">
        <v>0.999999988933298</v>
      </c>
    </row>
    <row r="326" spans="1:40" x14ac:dyDescent="0.25">
      <c r="A326" t="str">
        <f>"20190304164601249"</f>
        <v>20190304164601249</v>
      </c>
      <c r="B326" t="str">
        <f>"1551689161237988"</f>
        <v>1551689161237988</v>
      </c>
      <c r="C326" t="s">
        <v>40</v>
      </c>
      <c r="D326">
        <v>4.2844749999999996</v>
      </c>
      <c r="E326">
        <v>0.51343819999999996</v>
      </c>
      <c r="F326" t="s">
        <v>42</v>
      </c>
      <c r="G326">
        <v>-361.9751</v>
      </c>
      <c r="H326" s="1">
        <v>-3.5800040000000001E-6</v>
      </c>
      <c r="I326">
        <v>368.74220000000003</v>
      </c>
      <c r="J326">
        <v>-381.74829999999997</v>
      </c>
      <c r="K326">
        <v>1.1107849999999999</v>
      </c>
      <c r="L326">
        <v>367.49130000000002</v>
      </c>
      <c r="M326">
        <v>0.9998939</v>
      </c>
      <c r="N326">
        <v>-1.4451149999999999E-2</v>
      </c>
      <c r="O326">
        <v>1.8907360000000001E-3</v>
      </c>
      <c r="P326">
        <v>0.95607129999999996</v>
      </c>
      <c r="Q326">
        <v>0.28597679999999998</v>
      </c>
      <c r="R326">
        <v>6.438518E-2</v>
      </c>
      <c r="S326">
        <v>3.1767270000000001</v>
      </c>
      <c r="T326">
        <v>-0.17560680000000001</v>
      </c>
      <c r="U326">
        <v>0.197876</v>
      </c>
      <c r="V326">
        <v>-6.2631880000000001E-2</v>
      </c>
      <c r="W326">
        <v>0.29975380000000001</v>
      </c>
      <c r="X326">
        <v>0.95195850000000004</v>
      </c>
      <c r="Y326">
        <v>-6.0167409999999998E-2</v>
      </c>
      <c r="Z326">
        <v>2.018681E-3</v>
      </c>
      <c r="AA326">
        <v>0.99818620000000002</v>
      </c>
      <c r="AB326">
        <v>33</v>
      </c>
      <c r="AC326">
        <v>19.7731999999999</v>
      </c>
      <c r="AD326">
        <v>-1.110788580004</v>
      </c>
      <c r="AE326">
        <v>1.2508999999999999</v>
      </c>
      <c r="AF326">
        <v>-1.20970559605343</v>
      </c>
      <c r="AG326">
        <v>-1.110788580004</v>
      </c>
      <c r="AH326">
        <v>19.713566016730301</v>
      </c>
      <c r="AI326">
        <v>93.218958939860002</v>
      </c>
      <c r="AJ326">
        <v>93.511501821634795</v>
      </c>
      <c r="AK326">
        <v>19.781858456539801</v>
      </c>
      <c r="AL326">
        <v>72.557184322531896</v>
      </c>
      <c r="AM326">
        <v>93.764216525205498</v>
      </c>
      <c r="AN326">
        <v>1.0000000393645101</v>
      </c>
    </row>
    <row r="327" spans="1:40" x14ac:dyDescent="0.25">
      <c r="A327" t="str">
        <f>"20190304164601270"</f>
        <v>20190304164601270</v>
      </c>
      <c r="B327" t="str">
        <f>"1551689161258484"</f>
        <v>1551689161258484</v>
      </c>
      <c r="C327" t="s">
        <v>40</v>
      </c>
      <c r="D327">
        <v>4.3059139999999996</v>
      </c>
      <c r="E327">
        <v>0.51307709999999995</v>
      </c>
      <c r="F327" t="s">
        <v>42</v>
      </c>
      <c r="G327">
        <v>-361.80930000000001</v>
      </c>
      <c r="H327" s="1">
        <v>-3.6498000000000002E-6</v>
      </c>
      <c r="I327">
        <v>368.74979999999999</v>
      </c>
      <c r="J327">
        <v>-381.44970000000001</v>
      </c>
      <c r="K327">
        <v>1.110787</v>
      </c>
      <c r="L327">
        <v>367.49189999999999</v>
      </c>
      <c r="M327">
        <v>0.9998937</v>
      </c>
      <c r="N327">
        <v>-1.4452420000000001E-2</v>
      </c>
      <c r="O327">
        <v>1.9807840000000002E-3</v>
      </c>
      <c r="P327">
        <v>0.95617289999999999</v>
      </c>
      <c r="Q327">
        <v>0.28571029999999997</v>
      </c>
      <c r="R327">
        <v>6.4055440000000005E-2</v>
      </c>
      <c r="S327">
        <v>3.1772459999999998</v>
      </c>
      <c r="T327">
        <v>-0.1770012</v>
      </c>
      <c r="U327">
        <v>0.2005615</v>
      </c>
      <c r="V327">
        <v>-6.2215590000000001E-2</v>
      </c>
      <c r="W327">
        <v>0.29948989999999998</v>
      </c>
      <c r="X327">
        <v>0.95206880000000005</v>
      </c>
      <c r="Y327">
        <v>-6.0904850000000003E-2</v>
      </c>
      <c r="Z327">
        <v>2.0529120000000001E-3</v>
      </c>
      <c r="AA327">
        <v>0.99814150000000001</v>
      </c>
      <c r="AB327">
        <v>33</v>
      </c>
      <c r="AC327">
        <v>19.6404</v>
      </c>
      <c r="AD327">
        <v>-1.1107906498</v>
      </c>
      <c r="AE327">
        <v>1.2579</v>
      </c>
      <c r="AF327">
        <v>-1.21511924542409</v>
      </c>
      <c r="AG327">
        <v>-1.1107906498</v>
      </c>
      <c r="AH327">
        <v>19.580478537035098</v>
      </c>
      <c r="AI327">
        <v>93.240659695930205</v>
      </c>
      <c r="AJ327">
        <v>93.551089730981204</v>
      </c>
      <c r="AK327">
        <v>19.649567689584799</v>
      </c>
      <c r="AL327">
        <v>72.573031897828201</v>
      </c>
      <c r="AM327">
        <v>93.738836467576505</v>
      </c>
      <c r="AN327">
        <v>0.99999998988724903</v>
      </c>
    </row>
    <row r="328" spans="1:40" x14ac:dyDescent="0.25">
      <c r="A328" t="str">
        <f>"20190304164601293"</f>
        <v>20190304164601293</v>
      </c>
      <c r="B328" t="str">
        <f>"1551689161287764"</f>
        <v>1551689161287764</v>
      </c>
      <c r="C328" t="s">
        <v>40</v>
      </c>
      <c r="D328">
        <v>4.3408480000000003</v>
      </c>
      <c r="E328">
        <v>0.51263300000000001</v>
      </c>
      <c r="F328" t="s">
        <v>42</v>
      </c>
      <c r="G328">
        <v>-361.72</v>
      </c>
      <c r="H328" s="1">
        <v>-3.6878070000000001E-6</v>
      </c>
      <c r="I328">
        <v>368.75139999999999</v>
      </c>
      <c r="J328">
        <v>-381.10860000000002</v>
      </c>
      <c r="K328">
        <v>1.1107899999999999</v>
      </c>
      <c r="L328">
        <v>367.49279999999999</v>
      </c>
      <c r="M328">
        <v>0.99989349999999999</v>
      </c>
      <c r="N328">
        <v>-1.4453239999999999E-2</v>
      </c>
      <c r="O328">
        <v>2.0837080000000001E-3</v>
      </c>
      <c r="P328">
        <v>0.95619019999999999</v>
      </c>
      <c r="Q328">
        <v>0.28576820000000003</v>
      </c>
      <c r="R328">
        <v>6.3535649999999999E-2</v>
      </c>
      <c r="S328">
        <v>3.1773989999999999</v>
      </c>
      <c r="T328">
        <v>-0.17888860000000001</v>
      </c>
      <c r="U328">
        <v>0.20285030000000001</v>
      </c>
      <c r="V328">
        <v>-6.1597399999999997E-2</v>
      </c>
      <c r="W328">
        <v>0.29954910000000001</v>
      </c>
      <c r="X328">
        <v>0.9520904</v>
      </c>
      <c r="Y328">
        <v>-6.1511870000000003E-2</v>
      </c>
      <c r="Z328">
        <v>2.0868530000000001E-3</v>
      </c>
      <c r="AA328">
        <v>0.9981042</v>
      </c>
      <c r="AB328">
        <v>33</v>
      </c>
      <c r="AC328">
        <v>19.3886</v>
      </c>
      <c r="AD328">
        <v>-1.1107936878069999</v>
      </c>
      <c r="AE328">
        <v>1.2585999999999999</v>
      </c>
      <c r="AF328">
        <v>-1.2142241864490899</v>
      </c>
      <c r="AG328">
        <v>-1.1107936878069999</v>
      </c>
      <c r="AH328">
        <v>19.328007254179699</v>
      </c>
      <c r="AI328">
        <v>93.282751924209407</v>
      </c>
      <c r="AJ328">
        <v>93.594711798799395</v>
      </c>
      <c r="AK328">
        <v>19.3979397722916</v>
      </c>
      <c r="AL328">
        <v>72.569477249136895</v>
      </c>
      <c r="AM328">
        <v>93.701706496407994</v>
      </c>
      <c r="AN328">
        <v>1.0000000163848599</v>
      </c>
    </row>
    <row r="329" spans="1:40" x14ac:dyDescent="0.25">
      <c r="A329" t="str">
        <f>"20190304164601317"</f>
        <v>20190304164601317</v>
      </c>
      <c r="B329" t="str">
        <f>"1551689161308260"</f>
        <v>1551689161308260</v>
      </c>
      <c r="C329" t="s">
        <v>40</v>
      </c>
      <c r="D329">
        <v>4.3387320000000003</v>
      </c>
      <c r="E329">
        <v>0.51242940000000003</v>
      </c>
      <c r="F329" t="s">
        <v>42</v>
      </c>
      <c r="G329">
        <v>-361.46069999999997</v>
      </c>
      <c r="H329" s="1">
        <v>-3.7979149999999999E-6</v>
      </c>
      <c r="I329">
        <v>368.75790000000001</v>
      </c>
      <c r="J329">
        <v>-380.76499999999999</v>
      </c>
      <c r="K329">
        <v>1.1107880000000001</v>
      </c>
      <c r="L329">
        <v>367.49360000000001</v>
      </c>
      <c r="M329">
        <v>0.99989329999999998</v>
      </c>
      <c r="N329">
        <v>-1.445363E-2</v>
      </c>
      <c r="O329">
        <v>2.1867610000000002E-3</v>
      </c>
      <c r="P329">
        <v>0.95642749999999999</v>
      </c>
      <c r="Q329">
        <v>0.28502620000000001</v>
      </c>
      <c r="R329">
        <v>6.3299010000000003E-2</v>
      </c>
      <c r="S329">
        <v>3.1775509999999998</v>
      </c>
      <c r="T329">
        <v>-0.17964179999999999</v>
      </c>
      <c r="U329">
        <v>0.20462040000000001</v>
      </c>
      <c r="V329">
        <v>-6.126177E-2</v>
      </c>
      <c r="W329">
        <v>0.2988111</v>
      </c>
      <c r="X329">
        <v>0.95234390000000002</v>
      </c>
      <c r="Y329">
        <v>-6.1957970000000001E-2</v>
      </c>
      <c r="Z329">
        <v>2.105034E-3</v>
      </c>
      <c r="AA329">
        <v>0.99807659999999998</v>
      </c>
      <c r="AB329">
        <v>33</v>
      </c>
      <c r="AC329">
        <v>19.304300000000001</v>
      </c>
      <c r="AD329">
        <v>-1.1107917979149999</v>
      </c>
      <c r="AE329">
        <v>1.26429999999999</v>
      </c>
      <c r="AF329">
        <v>-1.21806291935536</v>
      </c>
      <c r="AG329">
        <v>-1.1107917979149999</v>
      </c>
      <c r="AH329">
        <v>19.2435757841114</v>
      </c>
      <c r="AI329">
        <v>93.297019568458097</v>
      </c>
      <c r="AJ329">
        <v>93.621825990451399</v>
      </c>
      <c r="AK329">
        <v>19.3140556241475</v>
      </c>
      <c r="AL329">
        <v>72.613790807830497</v>
      </c>
      <c r="AM329">
        <v>93.680615084842998</v>
      </c>
      <c r="AN329">
        <v>0.999999990906976</v>
      </c>
    </row>
    <row r="330" spans="1:40" x14ac:dyDescent="0.25">
      <c r="A330" t="str">
        <f>"20190304164601337"</f>
        <v>20190304164601337</v>
      </c>
      <c r="B330" t="str">
        <f>"1551689161327783"</f>
        <v>1551689161327783</v>
      </c>
      <c r="C330" t="s">
        <v>40</v>
      </c>
      <c r="D330">
        <v>4.3331790000000003</v>
      </c>
      <c r="E330">
        <v>0.51221000000000005</v>
      </c>
      <c r="F330" t="s">
        <v>42</v>
      </c>
      <c r="G330">
        <v>-361.4042</v>
      </c>
      <c r="H330" s="1">
        <v>-3.8243570000000001E-6</v>
      </c>
      <c r="I330">
        <v>368.74549999999999</v>
      </c>
      <c r="J330">
        <v>-380.45749999999998</v>
      </c>
      <c r="K330">
        <v>1.1107819999999999</v>
      </c>
      <c r="L330">
        <v>367.49439999999998</v>
      </c>
      <c r="M330">
        <v>0.99989309999999998</v>
      </c>
      <c r="N330">
        <v>-1.445332E-2</v>
      </c>
      <c r="O330">
        <v>2.2800350000000001E-3</v>
      </c>
      <c r="P330">
        <v>0.95656269999999999</v>
      </c>
      <c r="Q330">
        <v>0.28465049999999997</v>
      </c>
      <c r="R330">
        <v>6.2947959999999997E-2</v>
      </c>
      <c r="S330">
        <v>3.1774290000000001</v>
      </c>
      <c r="T330">
        <v>-0.18229870000000001</v>
      </c>
      <c r="U330">
        <v>0.20547489999999999</v>
      </c>
      <c r="V330">
        <v>-6.0821010000000002E-2</v>
      </c>
      <c r="W330">
        <v>0.29843750000000002</v>
      </c>
      <c r="X330">
        <v>0.95248929999999998</v>
      </c>
      <c r="Y330">
        <v>-6.2131110000000003E-2</v>
      </c>
      <c r="Z330">
        <v>2.1312940000000002E-3</v>
      </c>
      <c r="AA330">
        <v>0.99806569999999994</v>
      </c>
      <c r="AB330">
        <v>33</v>
      </c>
      <c r="AC330">
        <v>19.053299999999901</v>
      </c>
      <c r="AD330">
        <v>-1.1107858243569999</v>
      </c>
      <c r="AE330">
        <v>1.2511000000000001</v>
      </c>
      <c r="AF330">
        <v>-1.20357692007101</v>
      </c>
      <c r="AG330">
        <v>-1.1107858243569999</v>
      </c>
      <c r="AH330">
        <v>18.991831789758201</v>
      </c>
      <c r="AI330">
        <v>93.340590528973195</v>
      </c>
      <c r="AJ330">
        <v>93.626178971285796</v>
      </c>
      <c r="AK330">
        <v>19.062321927839498</v>
      </c>
      <c r="AL330">
        <v>72.636220128016305</v>
      </c>
      <c r="AM330">
        <v>93.653649863872403</v>
      </c>
      <c r="AN330">
        <v>1.00000000163908</v>
      </c>
    </row>
    <row r="331" spans="1:40" x14ac:dyDescent="0.25">
      <c r="A331" t="str">
        <f>"20190304164601359"</f>
        <v>20190304164601359</v>
      </c>
      <c r="B331" t="str">
        <f>"1551689161348276"</f>
        <v>1551689161348276</v>
      </c>
      <c r="C331" t="s">
        <v>40</v>
      </c>
      <c r="D331">
        <v>4.3216570000000001</v>
      </c>
      <c r="E331">
        <v>0.5120903</v>
      </c>
      <c r="F331" t="s">
        <v>42</v>
      </c>
      <c r="G331">
        <v>-361.20589999999999</v>
      </c>
      <c r="H331" s="1">
        <v>-3.909024E-6</v>
      </c>
      <c r="I331">
        <v>368.74770000000001</v>
      </c>
      <c r="J331">
        <v>-380.14879999999999</v>
      </c>
      <c r="K331">
        <v>1.110781</v>
      </c>
      <c r="L331">
        <v>367.49520000000001</v>
      </c>
      <c r="M331">
        <v>0.99989280000000003</v>
      </c>
      <c r="N331">
        <v>-1.4452420000000001E-2</v>
      </c>
      <c r="O331">
        <v>2.3736709999999999E-3</v>
      </c>
      <c r="P331">
        <v>0.9566479</v>
      </c>
      <c r="Q331">
        <v>0.2842652</v>
      </c>
      <c r="R331">
        <v>6.3389379999999995E-2</v>
      </c>
      <c r="S331">
        <v>3.1771240000000001</v>
      </c>
      <c r="T331">
        <v>-0.18331439999999999</v>
      </c>
      <c r="U331">
        <v>0.20684810000000001</v>
      </c>
      <c r="V331">
        <v>-6.1172530000000003E-2</v>
      </c>
      <c r="W331">
        <v>0.2980525</v>
      </c>
      <c r="X331">
        <v>0.95258739999999997</v>
      </c>
      <c r="Y331">
        <v>-6.2471529999999997E-2</v>
      </c>
      <c r="Z331">
        <v>2.148807E-3</v>
      </c>
      <c r="AA331">
        <v>0.99804440000000005</v>
      </c>
      <c r="AB331">
        <v>33</v>
      </c>
      <c r="AC331">
        <v>18.942900000000002</v>
      </c>
      <c r="AD331">
        <v>-1.1107849090240001</v>
      </c>
      <c r="AE331">
        <v>1.25249999999999</v>
      </c>
      <c r="AF331">
        <v>-1.20340767777641</v>
      </c>
      <c r="AG331">
        <v>-1.1107849090240001</v>
      </c>
      <c r="AH331">
        <v>18.8811799166022</v>
      </c>
      <c r="AI331">
        <v>93.360043434994495</v>
      </c>
      <c r="AJ331">
        <v>93.646861252751293</v>
      </c>
      <c r="AK331">
        <v>18.9520708155111</v>
      </c>
      <c r="AL331">
        <v>72.659331880429207</v>
      </c>
      <c r="AM331">
        <v>93.674331343311906</v>
      </c>
      <c r="AN331">
        <v>1.0000000629107999</v>
      </c>
    </row>
    <row r="332" spans="1:40" x14ac:dyDescent="0.25">
      <c r="A332" t="str">
        <f>"20190304164601381"</f>
        <v>20190304164601381</v>
      </c>
      <c r="B332" t="str">
        <f>"1551689161367799"</f>
        <v>1551689161367799</v>
      </c>
      <c r="C332" t="s">
        <v>40</v>
      </c>
      <c r="D332">
        <v>4.2737959999999999</v>
      </c>
      <c r="E332">
        <v>0.51196649999999999</v>
      </c>
      <c r="F332" t="s">
        <v>42</v>
      </c>
      <c r="G332">
        <v>-360.97559999999999</v>
      </c>
      <c r="H332" s="1">
        <v>-4.0057340000000001E-6</v>
      </c>
      <c r="I332">
        <v>368.75959999999998</v>
      </c>
      <c r="J332">
        <v>-379.82889999999998</v>
      </c>
      <c r="K332">
        <v>1.110779</v>
      </c>
      <c r="L332">
        <v>367.49599999999998</v>
      </c>
      <c r="M332">
        <v>0.99989260000000002</v>
      </c>
      <c r="N332">
        <v>-1.445112E-2</v>
      </c>
      <c r="O332">
        <v>2.4699990000000001E-3</v>
      </c>
      <c r="P332">
        <v>0.95660489999999998</v>
      </c>
      <c r="Q332">
        <v>0.28439140000000002</v>
      </c>
      <c r="R332">
        <v>6.3474710000000004E-2</v>
      </c>
      <c r="S332">
        <v>3.1767270000000001</v>
      </c>
      <c r="T332">
        <v>-0.18404000000000001</v>
      </c>
      <c r="U332">
        <v>0.2095032</v>
      </c>
      <c r="V332">
        <v>-6.1165949999999997E-2</v>
      </c>
      <c r="W332">
        <v>0.29817719999999998</v>
      </c>
      <c r="X332">
        <v>0.95254870000000003</v>
      </c>
      <c r="Y332">
        <v>-6.3211649999999994E-2</v>
      </c>
      <c r="Z332">
        <v>2.1780850000000002E-3</v>
      </c>
      <c r="AA332">
        <v>0.99799780000000005</v>
      </c>
      <c r="AB332">
        <v>33</v>
      </c>
      <c r="AC332">
        <v>18.853299999999901</v>
      </c>
      <c r="AD332">
        <v>-1.110783005734</v>
      </c>
      <c r="AE332">
        <v>1.2635999999999901</v>
      </c>
      <c r="AF332">
        <v>-1.2128324563744</v>
      </c>
      <c r="AG332">
        <v>-1.110783005734</v>
      </c>
      <c r="AH332">
        <v>18.791426188352201</v>
      </c>
      <c r="AI332">
        <v>93.375875849217607</v>
      </c>
      <c r="AJ332">
        <v>93.692850681713793</v>
      </c>
      <c r="AK332">
        <v>18.863257927657902</v>
      </c>
      <c r="AL332">
        <v>72.651845102452</v>
      </c>
      <c r="AM332">
        <v>93.674086053094996</v>
      </c>
      <c r="AN332">
        <v>0.999999970955465</v>
      </c>
    </row>
    <row r="333" spans="1:40" x14ac:dyDescent="0.25">
      <c r="A333" t="str">
        <f>"20190304164601404"</f>
        <v>20190304164601404</v>
      </c>
      <c r="B333" t="str">
        <f>"1551689161398052"</f>
        <v>1551689161398052</v>
      </c>
      <c r="C333" t="s">
        <v>40</v>
      </c>
      <c r="D333">
        <v>4.2382119999999999</v>
      </c>
      <c r="E333">
        <v>0.5118085</v>
      </c>
      <c r="F333" t="s">
        <v>42</v>
      </c>
      <c r="G333">
        <v>-360.58620000000002</v>
      </c>
      <c r="H333" s="1">
        <v>-4.1701850000000001E-6</v>
      </c>
      <c r="I333">
        <v>368.774</v>
      </c>
      <c r="J333">
        <v>-379.47660000000002</v>
      </c>
      <c r="K333">
        <v>1.1107819999999999</v>
      </c>
      <c r="L333">
        <v>367.49700000000001</v>
      </c>
      <c r="M333">
        <v>0.99989220000000001</v>
      </c>
      <c r="N333">
        <v>-1.444935E-2</v>
      </c>
      <c r="O333">
        <v>2.5762239999999998E-3</v>
      </c>
      <c r="P333">
        <v>0.95658480000000001</v>
      </c>
      <c r="Q333">
        <v>0.28441860000000002</v>
      </c>
      <c r="R333">
        <v>6.3650440000000003E-2</v>
      </c>
      <c r="S333">
        <v>3.1766359999999998</v>
      </c>
      <c r="T333">
        <v>-0.18337020000000001</v>
      </c>
      <c r="U333">
        <v>0.21099850000000001</v>
      </c>
      <c r="V333">
        <v>-6.1239920000000003E-2</v>
      </c>
      <c r="W333">
        <v>0.29820219999999997</v>
      </c>
      <c r="X333">
        <v>0.95253620000000006</v>
      </c>
      <c r="Y333">
        <v>-6.3575439999999997E-2</v>
      </c>
      <c r="Z333">
        <v>2.1804559999999999E-3</v>
      </c>
      <c r="AA333">
        <v>0.99797460000000004</v>
      </c>
      <c r="AB333">
        <v>32</v>
      </c>
      <c r="AC333">
        <v>18.8904</v>
      </c>
      <c r="AD333">
        <v>-1.1107861701849999</v>
      </c>
      <c r="AE333">
        <v>1.2770000000000401</v>
      </c>
      <c r="AF333">
        <v>-1.22411150263782</v>
      </c>
      <c r="AG333">
        <v>-1.1107861701849999</v>
      </c>
      <c r="AH333">
        <v>18.8288205278456</v>
      </c>
      <c r="AI333">
        <v>93.369094246965105</v>
      </c>
      <c r="AJ333">
        <v>93.719715665571002</v>
      </c>
      <c r="AK333">
        <v>18.901237455695501</v>
      </c>
      <c r="AL333">
        <v>72.650345782684099</v>
      </c>
      <c r="AM333">
        <v>93.6785651943364</v>
      </c>
      <c r="AN333">
        <v>1.00000004609844</v>
      </c>
    </row>
    <row r="334" spans="1:40" x14ac:dyDescent="0.25">
      <c r="A334" t="str">
        <f>"20190304164601428"</f>
        <v>20190304164601428</v>
      </c>
      <c r="B334" t="str">
        <f>"1551689161418547"</f>
        <v>1551689161418547</v>
      </c>
      <c r="C334" t="s">
        <v>40</v>
      </c>
      <c r="D334">
        <v>4.2531470000000002</v>
      </c>
      <c r="E334">
        <v>0.5117197</v>
      </c>
      <c r="F334" t="s">
        <v>42</v>
      </c>
      <c r="G334">
        <v>-360.16180000000003</v>
      </c>
      <c r="H334" s="1">
        <v>-4.3491389999999996E-6</v>
      </c>
      <c r="I334">
        <v>368.79169999999999</v>
      </c>
      <c r="J334">
        <v>-379.1463</v>
      </c>
      <c r="K334">
        <v>1.1107830000000001</v>
      </c>
      <c r="L334">
        <v>367.49799999999999</v>
      </c>
      <c r="M334">
        <v>0.99989220000000001</v>
      </c>
      <c r="N334">
        <v>-1.4447450000000001E-2</v>
      </c>
      <c r="O334">
        <v>2.6758889999999999E-3</v>
      </c>
      <c r="P334">
        <v>0.95655009999999996</v>
      </c>
      <c r="Q334">
        <v>0.28446399999999999</v>
      </c>
      <c r="R334">
        <v>6.3971440000000004E-2</v>
      </c>
      <c r="S334">
        <v>3.1762999999999999</v>
      </c>
      <c r="T334">
        <v>-0.18266669999999999</v>
      </c>
      <c r="U334">
        <v>0.2129211</v>
      </c>
      <c r="V334">
        <v>-6.1465249999999999E-2</v>
      </c>
      <c r="W334">
        <v>0.29824539999999999</v>
      </c>
      <c r="X334">
        <v>0.95250809999999997</v>
      </c>
      <c r="Y334">
        <v>-6.4084249999999995E-2</v>
      </c>
      <c r="Z334">
        <v>2.1880960000000001E-3</v>
      </c>
      <c r="AA334">
        <v>0.99794210000000005</v>
      </c>
      <c r="AB334">
        <v>32</v>
      </c>
      <c r="AC334">
        <v>18.984499999999901</v>
      </c>
      <c r="AD334">
        <v>-1.1107873491389999</v>
      </c>
      <c r="AE334">
        <v>1.2936999999999399</v>
      </c>
      <c r="AF334">
        <v>-1.2386687425931699</v>
      </c>
      <c r="AG334">
        <v>-1.1107873491389999</v>
      </c>
      <c r="AH334">
        <v>18.923410343245902</v>
      </c>
      <c r="AI334">
        <v>93.3521991486855</v>
      </c>
      <c r="AJ334">
        <v>93.745064410139605</v>
      </c>
      <c r="AK334">
        <v>18.9964103926966</v>
      </c>
      <c r="AL334">
        <v>72.647751566272305</v>
      </c>
      <c r="AM334">
        <v>93.6921715872504</v>
      </c>
      <c r="AN334">
        <v>0.99999998807216595</v>
      </c>
    </row>
    <row r="335" spans="1:40" x14ac:dyDescent="0.25">
      <c r="A335" t="str">
        <f>"20190304164601450"</f>
        <v>20190304164601450</v>
      </c>
      <c r="B335" t="str">
        <f>"1551689161438068"</f>
        <v>1551689161438068</v>
      </c>
      <c r="C335" t="s">
        <v>40</v>
      </c>
      <c r="D335">
        <v>4.2055059999999997</v>
      </c>
      <c r="E335">
        <v>0.51255220000000001</v>
      </c>
      <c r="F335" t="s">
        <v>42</v>
      </c>
      <c r="G335">
        <v>-359.81880000000001</v>
      </c>
      <c r="H335" s="1">
        <v>-2.6286249999999998E-7</v>
      </c>
      <c r="I335">
        <v>368.80770000000001</v>
      </c>
      <c r="J335">
        <v>-378.82440000000003</v>
      </c>
      <c r="K335">
        <v>1.1107819999999999</v>
      </c>
      <c r="L335">
        <v>367.49889999999999</v>
      </c>
      <c r="M335">
        <v>0.99989189999999994</v>
      </c>
      <c r="N335">
        <v>-1.4445390000000001E-2</v>
      </c>
      <c r="O335">
        <v>2.773228E-3</v>
      </c>
      <c r="P335">
        <v>0.95667789999999997</v>
      </c>
      <c r="Q335">
        <v>0.284112799999999</v>
      </c>
      <c r="R335">
        <v>6.3620399999999994E-2</v>
      </c>
      <c r="S335">
        <v>3.1761170000000001</v>
      </c>
      <c r="T335">
        <v>-0.18253639999999999</v>
      </c>
      <c r="U335">
        <v>0.2152405</v>
      </c>
      <c r="V335">
        <v>-6.1020789999999998E-2</v>
      </c>
      <c r="W335">
        <v>0.29789450000000001</v>
      </c>
      <c r="X335">
        <v>0.95264649999999995</v>
      </c>
      <c r="Y335">
        <v>-6.4715309999999998E-2</v>
      </c>
      <c r="Z335">
        <v>2.2053760000000002E-3</v>
      </c>
      <c r="AA335">
        <v>0.99790129999999999</v>
      </c>
      <c r="AB335">
        <v>32</v>
      </c>
      <c r="AC335">
        <v>19.005600000000001</v>
      </c>
      <c r="AD335">
        <v>-1.1107822628624999</v>
      </c>
      <c r="AE335">
        <v>1.30880000000001</v>
      </c>
      <c r="AF335">
        <v>-1.2518267784364701</v>
      </c>
      <c r="AG335">
        <v>-1.1107822628624999</v>
      </c>
      <c r="AH335">
        <v>18.9447504934259</v>
      </c>
      <c r="AI335">
        <v>93.348280579843205</v>
      </c>
      <c r="AJ335">
        <v>93.780481266192993</v>
      </c>
      <c r="AK335">
        <v>19.018529879484898</v>
      </c>
      <c r="AL335">
        <v>72.668814499335895</v>
      </c>
      <c r="AM335">
        <v>93.665015184079294</v>
      </c>
      <c r="AN335">
        <v>1.00000001195236</v>
      </c>
    </row>
    <row r="336" spans="1:40" x14ac:dyDescent="0.25">
      <c r="A336" t="str">
        <f>"20190304164601472"</f>
        <v>20190304164601472</v>
      </c>
      <c r="B336" t="str">
        <f>"1551689161458565"</f>
        <v>1551689161458565</v>
      </c>
      <c r="C336" t="s">
        <v>40</v>
      </c>
      <c r="D336">
        <v>4.2139069999999998</v>
      </c>
      <c r="E336">
        <v>0.54459769999999996</v>
      </c>
      <c r="F336" t="s">
        <v>42</v>
      </c>
      <c r="G336">
        <v>-359.43239999999997</v>
      </c>
      <c r="H336" s="1">
        <v>-4.0620360000000001E-7</v>
      </c>
      <c r="I336">
        <v>368.76330000000002</v>
      </c>
      <c r="J336">
        <v>-378.51549999999997</v>
      </c>
      <c r="K336">
        <v>1.110779</v>
      </c>
      <c r="L336">
        <v>367.49990000000003</v>
      </c>
      <c r="M336">
        <v>0.99989159999999999</v>
      </c>
      <c r="N336">
        <v>-1.4443309999999999E-2</v>
      </c>
      <c r="O336">
        <v>2.8668140000000001E-3</v>
      </c>
      <c r="P336">
        <v>0.95669139999999997</v>
      </c>
      <c r="Q336">
        <v>0.28410829999999998</v>
      </c>
      <c r="R336">
        <v>6.3435430000000001E-2</v>
      </c>
      <c r="S336">
        <v>3.1761170000000001</v>
      </c>
      <c r="T336">
        <v>-0.18192800000000001</v>
      </c>
      <c r="U336">
        <v>0.20709230000000001</v>
      </c>
      <c r="V336">
        <v>-6.0745630000000002E-2</v>
      </c>
      <c r="W336">
        <v>0.29788819999999999</v>
      </c>
      <c r="X336">
        <v>0.95266600000000001</v>
      </c>
      <c r="Y336">
        <v>-6.2079120000000002E-2</v>
      </c>
      <c r="Z336">
        <v>2.101323E-3</v>
      </c>
      <c r="AA336">
        <v>0.99806899999999998</v>
      </c>
      <c r="AB336">
        <v>32</v>
      </c>
      <c r="AC336">
        <v>19.083100000000002</v>
      </c>
      <c r="AD336">
        <v>-1.1107794062036001</v>
      </c>
      <c r="AE336">
        <v>1.2633999999999901</v>
      </c>
      <c r="AF336">
        <v>-1.2046178336151101</v>
      </c>
      <c r="AG336">
        <v>-1.1107794062036001</v>
      </c>
      <c r="AH336">
        <v>19.022474856993401</v>
      </c>
      <c r="AI336">
        <v>93.335212089171094</v>
      </c>
      <c r="AJ336">
        <v>93.623475877485703</v>
      </c>
      <c r="AK336">
        <v>19.0929171343526</v>
      </c>
      <c r="AL336">
        <v>72.669191690520094</v>
      </c>
      <c r="AM336">
        <v>93.648458855808002</v>
      </c>
      <c r="AN336">
        <v>0.99999995940966702</v>
      </c>
    </row>
    <row r="337" spans="1:40" x14ac:dyDescent="0.25">
      <c r="A337" t="str">
        <f>"20190304164601493"</f>
        <v>20190304164601493</v>
      </c>
      <c r="B337" t="str">
        <f>"1551689161487844"</f>
        <v>1551689161487844</v>
      </c>
      <c r="C337" t="s">
        <v>40</v>
      </c>
      <c r="D337">
        <v>4.153378</v>
      </c>
      <c r="E337">
        <v>0.5456744</v>
      </c>
      <c r="F337" t="s">
        <v>42</v>
      </c>
      <c r="G337">
        <v>-359.38350000000003</v>
      </c>
      <c r="H337" s="1">
        <v>-8.3697199999999996E-7</v>
      </c>
      <c r="I337">
        <v>367.20679999999999</v>
      </c>
      <c r="J337">
        <v>-378.19439999999997</v>
      </c>
      <c r="K337">
        <v>1.110778</v>
      </c>
      <c r="L337">
        <v>367.5009</v>
      </c>
      <c r="M337">
        <v>0.99989130000000004</v>
      </c>
      <c r="N337">
        <v>-1.4440980000000001E-2</v>
      </c>
      <c r="O337">
        <v>2.963977E-3</v>
      </c>
      <c r="P337">
        <v>0.95675350000000003</v>
      </c>
      <c r="Q337">
        <v>0.28397509999999998</v>
      </c>
      <c r="R337">
        <v>6.3093979999999994E-2</v>
      </c>
      <c r="S337">
        <v>3.1941220000000001</v>
      </c>
      <c r="T337">
        <v>-0.18544579999999999</v>
      </c>
      <c r="U337">
        <v>-4.891968E-2</v>
      </c>
      <c r="V337">
        <v>-6.031127E-2</v>
      </c>
      <c r="W337">
        <v>0.29775380000000001</v>
      </c>
      <c r="X337">
        <v>0.95273569999999996</v>
      </c>
      <c r="Y337">
        <v>1.8236430000000001E-2</v>
      </c>
      <c r="Z337">
        <v>-7.8989689999999998E-4</v>
      </c>
      <c r="AA337">
        <v>0.99983339999999998</v>
      </c>
      <c r="AB337">
        <v>32</v>
      </c>
      <c r="AC337">
        <v>18.810899999999901</v>
      </c>
      <c r="AD337">
        <v>-1.110778836972</v>
      </c>
      <c r="AE337">
        <v>-0.29410000000001402</v>
      </c>
      <c r="AF337">
        <v>0.34864421828241698</v>
      </c>
      <c r="AG337">
        <v>-1.110778836972</v>
      </c>
      <c r="AH337">
        <v>18.744601498279199</v>
      </c>
      <c r="AI337">
        <v>93.390716674092403</v>
      </c>
      <c r="AJ337">
        <v>88.9344377795437</v>
      </c>
      <c r="AK337">
        <v>18.7807206396586</v>
      </c>
      <c r="AL337">
        <v>72.6772598104926</v>
      </c>
      <c r="AM337">
        <v>93.622176058052602</v>
      </c>
      <c r="AN337">
        <v>1.0000000443789701</v>
      </c>
    </row>
    <row r="338" spans="1:40" x14ac:dyDescent="0.25">
      <c r="A338" t="str">
        <f>"20190304164601519"</f>
        <v>20190304164601519</v>
      </c>
      <c r="B338" t="str">
        <f>"1551689161508340"</f>
        <v>1551689161508340</v>
      </c>
      <c r="C338" t="s">
        <v>40</v>
      </c>
      <c r="D338">
        <v>4.1105039999999997</v>
      </c>
      <c r="E338">
        <v>0.54510209999999903</v>
      </c>
      <c r="F338" t="s">
        <v>42</v>
      </c>
      <c r="G338">
        <v>-356.67910000000001</v>
      </c>
      <c r="H338" s="1">
        <v>-1.854862E-6</v>
      </c>
      <c r="I338">
        <v>367.0915</v>
      </c>
      <c r="J338">
        <v>-377.85120000000001</v>
      </c>
      <c r="K338">
        <v>1.1107819999999999</v>
      </c>
      <c r="L338">
        <v>367.50200000000001</v>
      </c>
      <c r="M338">
        <v>0.99989099999999997</v>
      </c>
      <c r="N338">
        <v>-1.443824E-2</v>
      </c>
      <c r="O338">
        <v>3.0676449999999999E-3</v>
      </c>
      <c r="P338">
        <v>0.95686789999999999</v>
      </c>
      <c r="Q338">
        <v>0.28366970000000002</v>
      </c>
      <c r="R338">
        <v>6.2731339999999997E-2</v>
      </c>
      <c r="S338">
        <v>3.188507</v>
      </c>
      <c r="T338">
        <v>-0.16461310000000001</v>
      </c>
      <c r="U338">
        <v>-6.0668949999999999E-2</v>
      </c>
      <c r="V338">
        <v>-5.9848850000000002E-2</v>
      </c>
      <c r="W338">
        <v>0.29744789999999999</v>
      </c>
      <c r="X338">
        <v>0.95286040000000005</v>
      </c>
      <c r="Y338">
        <v>2.205155E-2</v>
      </c>
      <c r="Z338">
        <v>-8.4213549999999999E-4</v>
      </c>
      <c r="AA338">
        <v>0.99975650000000005</v>
      </c>
      <c r="AB338">
        <v>32</v>
      </c>
      <c r="AC338">
        <v>21.1721</v>
      </c>
      <c r="AD338">
        <v>-1.1107838548619999</v>
      </c>
      <c r="AE338">
        <v>-0.41049999999995601</v>
      </c>
      <c r="AF338">
        <v>0.47414871359545802</v>
      </c>
      <c r="AG338">
        <v>-1.1107838548619999</v>
      </c>
      <c r="AH338">
        <v>21.1126497053374</v>
      </c>
      <c r="AI338">
        <v>93.010924883257204</v>
      </c>
      <c r="AJ338">
        <v>88.713465405317095</v>
      </c>
      <c r="AK338">
        <v>21.147166130597899</v>
      </c>
      <c r="AL338">
        <v>72.695618331101898</v>
      </c>
      <c r="AM338">
        <v>93.5940079425893</v>
      </c>
      <c r="AN338">
        <v>1.00000003997444</v>
      </c>
    </row>
    <row r="339" spans="1:40" x14ac:dyDescent="0.25">
      <c r="A339" t="str">
        <f>"20190304164601538"</f>
        <v>20190304164601538</v>
      </c>
      <c r="B339" t="str">
        <f>"1551689161527860"</f>
        <v>1551689161527860</v>
      </c>
      <c r="C339" t="s">
        <v>40</v>
      </c>
      <c r="D339">
        <v>4.1390229999999999</v>
      </c>
      <c r="E339">
        <v>0.5450779</v>
      </c>
      <c r="F339" t="s">
        <v>42</v>
      </c>
      <c r="G339">
        <v>-355.4796</v>
      </c>
      <c r="H339" s="1">
        <v>-2.3698749999999999E-6</v>
      </c>
      <c r="I339">
        <v>367.08909999999997</v>
      </c>
      <c r="J339">
        <v>-377.55020000000002</v>
      </c>
      <c r="K339">
        <v>1.1107849999999999</v>
      </c>
      <c r="L339">
        <v>367.50310000000002</v>
      </c>
      <c r="M339">
        <v>0.99989090000000003</v>
      </c>
      <c r="N339">
        <v>-1.4435760000000001E-2</v>
      </c>
      <c r="O339">
        <v>3.1589069999999999E-3</v>
      </c>
      <c r="P339">
        <v>0.95687529999999998</v>
      </c>
      <c r="Q339">
        <v>0.28360390000000002</v>
      </c>
      <c r="R339">
        <v>6.2921519999999995E-2</v>
      </c>
      <c r="S339">
        <v>3.1860050000000002</v>
      </c>
      <c r="T339">
        <v>-0.15818889999999999</v>
      </c>
      <c r="U339">
        <v>-5.8807369999999998E-2</v>
      </c>
      <c r="V339">
        <v>-5.995151E-2</v>
      </c>
      <c r="W339">
        <v>0.29737970000000002</v>
      </c>
      <c r="X339">
        <v>0.95287520000000003</v>
      </c>
      <c r="Y339">
        <v>2.1577229999999999E-2</v>
      </c>
      <c r="Z339">
        <v>-8.0233429999999905E-4</v>
      </c>
      <c r="AA339">
        <v>0.99976690000000001</v>
      </c>
      <c r="AB339">
        <v>32</v>
      </c>
      <c r="AC339">
        <v>22.070599999999999</v>
      </c>
      <c r="AD339">
        <v>-1.1107873698749999</v>
      </c>
      <c r="AE339">
        <v>-0.414000000000044</v>
      </c>
      <c r="AF339">
        <v>0.48250242177930602</v>
      </c>
      <c r="AG339">
        <v>-1.1107873698749999</v>
      </c>
      <c r="AH339">
        <v>22.013441706151202</v>
      </c>
      <c r="AI339">
        <v>92.887974193848393</v>
      </c>
      <c r="AJ339">
        <v>88.7443614283426</v>
      </c>
      <c r="AK339">
        <v>22.046729302057798</v>
      </c>
      <c r="AL339">
        <v>72.699710538658806</v>
      </c>
      <c r="AM339">
        <v>93.600100850093199</v>
      </c>
      <c r="AN339">
        <v>1.0000000081492</v>
      </c>
    </row>
    <row r="340" spans="1:40" x14ac:dyDescent="0.25">
      <c r="A340" t="str">
        <f>"20190304164601562"</f>
        <v>20190304164601562</v>
      </c>
      <c r="B340" t="str">
        <f>"1551689161558116"</f>
        <v>1551689161558116</v>
      </c>
      <c r="C340" t="s">
        <v>40</v>
      </c>
      <c r="D340">
        <v>4.1593010000000001</v>
      </c>
      <c r="E340">
        <v>0.54450580000000004</v>
      </c>
      <c r="F340" t="s">
        <v>42</v>
      </c>
      <c r="G340">
        <v>-355.13780000000003</v>
      </c>
      <c r="H340" s="1">
        <v>-2.5153950000000002E-6</v>
      </c>
      <c r="I340">
        <v>367.0951</v>
      </c>
      <c r="J340">
        <v>-377.22859999999997</v>
      </c>
      <c r="K340">
        <v>1.1107880000000001</v>
      </c>
      <c r="L340">
        <v>367.50420000000003</v>
      </c>
      <c r="M340">
        <v>0.99989059999999996</v>
      </c>
      <c r="N340">
        <v>-1.4433029999999999E-2</v>
      </c>
      <c r="O340">
        <v>3.2565509999999999E-3</v>
      </c>
      <c r="P340">
        <v>0.95690600000000003</v>
      </c>
      <c r="Q340">
        <v>0.28348370000000001</v>
      </c>
      <c r="R340">
        <v>6.2992720000000002E-2</v>
      </c>
      <c r="S340">
        <v>3.1858219999999999</v>
      </c>
      <c r="T340">
        <v>-0.157892899999999</v>
      </c>
      <c r="U340">
        <v>-5.7983399999999997E-2</v>
      </c>
      <c r="V340">
        <v>-5.99289E-2</v>
      </c>
      <c r="W340">
        <v>0.29725760000000001</v>
      </c>
      <c r="X340">
        <v>0.9529147</v>
      </c>
      <c r="Y340">
        <v>2.1417740000000001E-2</v>
      </c>
      <c r="Z340">
        <v>-7.9938649999999997E-4</v>
      </c>
      <c r="AA340">
        <v>0.9997703</v>
      </c>
      <c r="AB340">
        <v>32</v>
      </c>
      <c r="AC340">
        <v>22.090799999999899</v>
      </c>
      <c r="AD340">
        <v>-1.110790515395</v>
      </c>
      <c r="AE340">
        <v>-0.409100000000023</v>
      </c>
      <c r="AF340">
        <v>0.47983235651614498</v>
      </c>
      <c r="AG340">
        <v>-1.110790515395</v>
      </c>
      <c r="AH340">
        <v>22.033660193687599</v>
      </c>
      <c r="AI340">
        <v>92.885345660812902</v>
      </c>
      <c r="AJ340">
        <v>88.752453118218298</v>
      </c>
      <c r="AK340">
        <v>22.066859228044802</v>
      </c>
      <c r="AL340">
        <v>72.707037369813506</v>
      </c>
      <c r="AM340">
        <v>93.598597901183396</v>
      </c>
      <c r="AN340">
        <v>0.99999998964452996</v>
      </c>
    </row>
    <row r="341" spans="1:40" x14ac:dyDescent="0.25">
      <c r="A341" t="str">
        <f>"20190304164601583"</f>
        <v>20190304164601583</v>
      </c>
      <c r="B341" t="str">
        <f>"1551689161577637"</f>
        <v>1551689161577637</v>
      </c>
      <c r="C341" t="s">
        <v>40</v>
      </c>
      <c r="D341">
        <v>4.1872639999999999</v>
      </c>
      <c r="E341">
        <v>0.54431819999999997</v>
      </c>
      <c r="F341" t="s">
        <v>42</v>
      </c>
      <c r="G341">
        <v>-353.95249999999999</v>
      </c>
      <c r="H341" s="1">
        <v>-3.0209569999999998E-6</v>
      </c>
      <c r="I341">
        <v>367.11180000000002</v>
      </c>
      <c r="J341">
        <v>-376.9076</v>
      </c>
      <c r="K341">
        <v>1.1107910000000001</v>
      </c>
      <c r="L341">
        <v>367.50529999999998</v>
      </c>
      <c r="M341">
        <v>0.99989030000000001</v>
      </c>
      <c r="N341">
        <v>-1.443024E-2</v>
      </c>
      <c r="O341">
        <v>3.3534810000000002E-3</v>
      </c>
      <c r="P341">
        <v>0.95701670000000005</v>
      </c>
      <c r="Q341">
        <v>0.28312870000000001</v>
      </c>
      <c r="R341">
        <v>6.2907790000000005E-2</v>
      </c>
      <c r="S341">
        <v>3.1836850000000001</v>
      </c>
      <c r="T341">
        <v>-0.15193190000000001</v>
      </c>
      <c r="U341">
        <v>-5.36499E-2</v>
      </c>
      <c r="V341">
        <v>-5.9750909999999997E-2</v>
      </c>
      <c r="W341">
        <v>0.29690159999999999</v>
      </c>
      <c r="X341">
        <v>0.95303689999999996</v>
      </c>
      <c r="Y341">
        <v>2.017062E-2</v>
      </c>
      <c r="Z341">
        <v>-7.3820500000000002E-4</v>
      </c>
      <c r="AA341">
        <v>0.99979629999999997</v>
      </c>
      <c r="AB341">
        <v>32</v>
      </c>
      <c r="AC341">
        <v>22.955100000000002</v>
      </c>
      <c r="AD341">
        <v>-1.110794020957</v>
      </c>
      <c r="AE341">
        <v>-0.39349999999995999</v>
      </c>
      <c r="AF341">
        <v>0.46938650881441901</v>
      </c>
      <c r="AG341">
        <v>-1.110794020957</v>
      </c>
      <c r="AH341">
        <v>22.900044670304698</v>
      </c>
      <c r="AI341">
        <v>92.776441350429195</v>
      </c>
      <c r="AJ341">
        <v>88.825762093348999</v>
      </c>
      <c r="AK341">
        <v>22.931773436731799</v>
      </c>
      <c r="AL341">
        <v>72.728399846735698</v>
      </c>
      <c r="AM341">
        <v>93.587479106174797</v>
      </c>
      <c r="AN341">
        <v>1.00000003204499</v>
      </c>
    </row>
    <row r="342" spans="1:40" x14ac:dyDescent="0.25">
      <c r="A342" t="str">
        <f>"20190304164601605"</f>
        <v>20190304164601605</v>
      </c>
      <c r="B342" t="str">
        <f>"1551689161598132"</f>
        <v>1551689161598132</v>
      </c>
      <c r="C342" t="s">
        <v>40</v>
      </c>
      <c r="D342">
        <v>4.1270519999999999</v>
      </c>
      <c r="E342">
        <v>0.54437569999999902</v>
      </c>
      <c r="F342" t="s">
        <v>42</v>
      </c>
      <c r="G342">
        <v>-353.8621</v>
      </c>
      <c r="H342" s="1">
        <v>-3.0577960000000001E-6</v>
      </c>
      <c r="I342">
        <v>367.12270000000001</v>
      </c>
      <c r="J342">
        <v>-376.57530000000003</v>
      </c>
      <c r="K342">
        <v>1.1107899999999999</v>
      </c>
      <c r="L342">
        <v>367.50650000000002</v>
      </c>
      <c r="M342">
        <v>0.9998901</v>
      </c>
      <c r="N342">
        <v>-1.4427280000000001E-2</v>
      </c>
      <c r="O342">
        <v>3.4529690000000002E-3</v>
      </c>
      <c r="P342">
        <v>0.95699880000000004</v>
      </c>
      <c r="Q342">
        <v>0.28314479999999997</v>
      </c>
      <c r="R342">
        <v>6.3106090000000004E-2</v>
      </c>
      <c r="S342">
        <v>3.183624</v>
      </c>
      <c r="T342">
        <v>-0.15345010000000001</v>
      </c>
      <c r="U342">
        <v>-5.2856449999999999E-2</v>
      </c>
      <c r="V342">
        <v>-5.985335E-2</v>
      </c>
      <c r="W342">
        <v>0.29691479999999998</v>
      </c>
      <c r="X342">
        <v>0.95302640000000005</v>
      </c>
      <c r="Y342">
        <v>2.002089E-2</v>
      </c>
      <c r="Z342">
        <v>-7.4326830000000005E-4</v>
      </c>
      <c r="AA342">
        <v>0.99979929999999995</v>
      </c>
      <c r="AB342">
        <v>32</v>
      </c>
      <c r="AC342">
        <v>22.713200000000001</v>
      </c>
      <c r="AD342">
        <v>-1.1107930577959999</v>
      </c>
      <c r="AE342">
        <v>-0.38380000000000702</v>
      </c>
      <c r="AF342">
        <v>0.46113125914071801</v>
      </c>
      <c r="AG342">
        <v>-1.1107930577959999</v>
      </c>
      <c r="AH342">
        <v>22.6575641825447</v>
      </c>
      <c r="AI342">
        <v>92.806113355274107</v>
      </c>
      <c r="AJ342">
        <v>88.8340658468002</v>
      </c>
      <c r="AK342">
        <v>22.689462707202502</v>
      </c>
      <c r="AL342">
        <v>72.727608512807706</v>
      </c>
      <c r="AM342">
        <v>93.593653048061398</v>
      </c>
      <c r="AN342">
        <v>1.0000000705311001</v>
      </c>
    </row>
    <row r="343" spans="1:40" x14ac:dyDescent="0.25">
      <c r="A343" t="str">
        <f>"20190304164601629"</f>
        <v>20190304164601629</v>
      </c>
      <c r="B343" t="str">
        <f>"1551689161617652"</f>
        <v>1551689161617652</v>
      </c>
      <c r="C343" t="s">
        <v>40</v>
      </c>
      <c r="D343">
        <v>4.1973699999999896</v>
      </c>
      <c r="E343">
        <v>0.54432749999999996</v>
      </c>
      <c r="F343" t="s">
        <v>42</v>
      </c>
      <c r="G343">
        <v>-353.28530000000001</v>
      </c>
      <c r="H343" s="1">
        <v>-3.3052039999999998E-6</v>
      </c>
      <c r="I343">
        <v>367.12290000000002</v>
      </c>
      <c r="J343">
        <v>-376.25720000000001</v>
      </c>
      <c r="K343">
        <v>1.110792</v>
      </c>
      <c r="L343">
        <v>367.50779999999997</v>
      </c>
      <c r="M343">
        <v>0.99988969999999999</v>
      </c>
      <c r="N343">
        <v>-1.4424370000000001E-2</v>
      </c>
      <c r="O343">
        <v>3.5470129999999999E-3</v>
      </c>
      <c r="P343">
        <v>0.95699599999999996</v>
      </c>
      <c r="Q343">
        <v>0.2831243</v>
      </c>
      <c r="R343">
        <v>6.3238320000000001E-2</v>
      </c>
      <c r="S343">
        <v>3.1831670000000001</v>
      </c>
      <c r="T343">
        <v>-0.15181710000000001</v>
      </c>
      <c r="U343">
        <v>-5.2429199999999898E-2</v>
      </c>
      <c r="V343">
        <v>-5.9894700000000002E-2</v>
      </c>
      <c r="W343">
        <v>0.29689149999999997</v>
      </c>
      <c r="X343">
        <v>0.95303090000000001</v>
      </c>
      <c r="Y343">
        <v>1.9983790000000001E-2</v>
      </c>
      <c r="Z343">
        <v>-7.3842009999999997E-4</v>
      </c>
      <c r="AA343">
        <v>0.99980000000000002</v>
      </c>
      <c r="AB343">
        <v>32</v>
      </c>
      <c r="AC343">
        <v>22.971900000000002</v>
      </c>
      <c r="AD343">
        <v>-1.110795305204</v>
      </c>
      <c r="AE343">
        <v>-0.384899999999959</v>
      </c>
      <c r="AF343">
        <v>0.46530004120190499</v>
      </c>
      <c r="AG343">
        <v>-1.110795305204</v>
      </c>
      <c r="AH343">
        <v>22.916821915005301</v>
      </c>
      <c r="AI343">
        <v>92.774426037175402</v>
      </c>
      <c r="AJ343">
        <v>88.836834090286899</v>
      </c>
      <c r="AK343">
        <v>22.948444326848701</v>
      </c>
      <c r="AL343">
        <v>72.729003811936096</v>
      </c>
      <c r="AM343">
        <v>93.596112293736994</v>
      </c>
      <c r="AN343">
        <v>0.99999991710757097</v>
      </c>
    </row>
    <row r="344" spans="1:40" x14ac:dyDescent="0.25">
      <c r="A344" t="str">
        <f>"20190304164601651"</f>
        <v>20190304164601651</v>
      </c>
      <c r="B344" t="str">
        <f>"1551689161638149"</f>
        <v>1551689161638149</v>
      </c>
      <c r="C344" t="s">
        <v>40</v>
      </c>
      <c r="D344">
        <v>4.18161</v>
      </c>
      <c r="E344">
        <v>0.54426379999999996</v>
      </c>
      <c r="F344" t="s">
        <v>42</v>
      </c>
      <c r="G344">
        <v>-352.97809999999998</v>
      </c>
      <c r="H344" s="1">
        <v>-3.435456E-6</v>
      </c>
      <c r="I344">
        <v>367.13139999999999</v>
      </c>
      <c r="J344">
        <v>-375.94690000000003</v>
      </c>
      <c r="K344">
        <v>1.1107849999999999</v>
      </c>
      <c r="L344">
        <v>367.50889999999998</v>
      </c>
      <c r="M344">
        <v>0.99988960000000005</v>
      </c>
      <c r="N344">
        <v>-1.442148E-2</v>
      </c>
      <c r="O344">
        <v>3.6367069999999999E-3</v>
      </c>
      <c r="P344">
        <v>0.9569164</v>
      </c>
      <c r="Q344">
        <v>0.28336040000000001</v>
      </c>
      <c r="R344">
        <v>6.3390580000000002E-2</v>
      </c>
      <c r="S344">
        <v>3.1831360000000002</v>
      </c>
      <c r="T344">
        <v>-0.15188769999999999</v>
      </c>
      <c r="U344">
        <v>-5.1452640000000001E-2</v>
      </c>
      <c r="V344">
        <v>-5.996013E-2</v>
      </c>
      <c r="W344">
        <v>0.29712470000000002</v>
      </c>
      <c r="X344">
        <v>0.95295419999999997</v>
      </c>
      <c r="Y344">
        <v>1.9767219999999999E-2</v>
      </c>
      <c r="Z344">
        <v>-7.3496599999999998E-4</v>
      </c>
      <c r="AA344">
        <v>0.99980429999999998</v>
      </c>
      <c r="AB344">
        <v>32</v>
      </c>
      <c r="AC344">
        <v>22.968800000000002</v>
      </c>
      <c r="AD344">
        <v>-1.110788435456</v>
      </c>
      <c r="AE344">
        <v>-0.377499999999997</v>
      </c>
      <c r="AF344">
        <v>0.45996151897760901</v>
      </c>
      <c r="AG344">
        <v>-1.110788435456</v>
      </c>
      <c r="AH344">
        <v>22.913699854156</v>
      </c>
      <c r="AI344">
        <v>92.774799207592594</v>
      </c>
      <c r="AJ344">
        <v>88.850019201354002</v>
      </c>
      <c r="AK344">
        <v>22.945218598950699</v>
      </c>
      <c r="AL344">
        <v>72.715012592532702</v>
      </c>
      <c r="AM344">
        <v>93.600319414891501</v>
      </c>
      <c r="AN344">
        <v>1.00000000591867</v>
      </c>
    </row>
    <row r="345" spans="1:40" x14ac:dyDescent="0.25">
      <c r="A345" t="str">
        <f>"20190304164601672"</f>
        <v>20190304164601672</v>
      </c>
      <c r="B345" t="str">
        <f>"1551689161668404"</f>
        <v>1551689161668404</v>
      </c>
      <c r="C345" t="s">
        <v>40</v>
      </c>
      <c r="D345">
        <v>4.1474149999999996</v>
      </c>
      <c r="E345">
        <v>0.54430119999999904</v>
      </c>
      <c r="F345" t="s">
        <v>42</v>
      </c>
      <c r="G345">
        <v>-352.66460000000001</v>
      </c>
      <c r="H345" s="1">
        <v>-3.5697080000000001E-6</v>
      </c>
      <c r="I345">
        <v>367.13299999999998</v>
      </c>
      <c r="J345">
        <v>-375.64190000000002</v>
      </c>
      <c r="K345">
        <v>1.110784</v>
      </c>
      <c r="L345">
        <v>367.5102</v>
      </c>
      <c r="M345">
        <v>0.99988909999999998</v>
      </c>
      <c r="N345">
        <v>-1.441857E-2</v>
      </c>
      <c r="O345">
        <v>3.7240160000000001E-3</v>
      </c>
      <c r="P345">
        <v>0.95708130000000002</v>
      </c>
      <c r="Q345">
        <v>0.28261799999999998</v>
      </c>
      <c r="R345">
        <v>6.4206349999999995E-2</v>
      </c>
      <c r="S345">
        <v>3.1834720000000001</v>
      </c>
      <c r="T345">
        <v>-0.15188119999999999</v>
      </c>
      <c r="U345">
        <v>-5.1391600000000003E-2</v>
      </c>
      <c r="V345">
        <v>-6.0690470000000003E-2</v>
      </c>
      <c r="W345">
        <v>0.29638199999999998</v>
      </c>
      <c r="X345">
        <v>0.95313919999999996</v>
      </c>
      <c r="Y345">
        <v>1.983352E-2</v>
      </c>
      <c r="Z345">
        <v>-7.3981610000000005E-4</v>
      </c>
      <c r="AA345">
        <v>0.999803</v>
      </c>
      <c r="AB345">
        <v>32</v>
      </c>
      <c r="AC345">
        <v>22.9773</v>
      </c>
      <c r="AD345">
        <v>-1.1107875697080001</v>
      </c>
      <c r="AE345">
        <v>-0.37719999999995901</v>
      </c>
      <c r="AF345">
        <v>0.46169540902919898</v>
      </c>
      <c r="AG345">
        <v>-1.1107875697080001</v>
      </c>
      <c r="AH345">
        <v>22.922180434186799</v>
      </c>
      <c r="AI345">
        <v>92.773768255596394</v>
      </c>
      <c r="AJ345">
        <v>88.846112306044702</v>
      </c>
      <c r="AK345">
        <v>22.953722302344602</v>
      </c>
      <c r="AL345">
        <v>72.759572968578794</v>
      </c>
      <c r="AM345">
        <v>93.643349997990896</v>
      </c>
      <c r="AN345">
        <v>0.99999997882473002</v>
      </c>
    </row>
    <row r="346" spans="1:40" x14ac:dyDescent="0.25">
      <c r="A346" t="str">
        <f>"20190304164601695"</f>
        <v>20190304164601695</v>
      </c>
      <c r="B346" t="str">
        <f>"1551689161687924"</f>
        <v>1551689161687924</v>
      </c>
      <c r="C346" t="s">
        <v>40</v>
      </c>
      <c r="D346">
        <v>4.1917540000000004</v>
      </c>
      <c r="E346">
        <v>0.54429649999999996</v>
      </c>
      <c r="F346" t="s">
        <v>42</v>
      </c>
      <c r="G346">
        <v>-352.65339999999998</v>
      </c>
      <c r="H346" s="1">
        <v>-3.5708249999999998E-6</v>
      </c>
      <c r="I346">
        <v>367.15370000000001</v>
      </c>
      <c r="J346">
        <v>-375.30579999999998</v>
      </c>
      <c r="K346">
        <v>1.1107800000000001</v>
      </c>
      <c r="L346">
        <v>367.51150000000001</v>
      </c>
      <c r="M346">
        <v>0.99988880000000002</v>
      </c>
      <c r="N346">
        <v>-1.4415290000000001E-2</v>
      </c>
      <c r="O346">
        <v>3.8190820000000001E-3</v>
      </c>
      <c r="P346">
        <v>0.9570478</v>
      </c>
      <c r="Q346">
        <v>0.2827442</v>
      </c>
      <c r="R346">
        <v>6.4151479999999997E-2</v>
      </c>
      <c r="S346">
        <v>3.1832579999999999</v>
      </c>
      <c r="T346">
        <v>-0.1538117</v>
      </c>
      <c r="U346">
        <v>-4.9346920000000002E-2</v>
      </c>
      <c r="V346">
        <v>-6.0543979999999997E-2</v>
      </c>
      <c r="W346">
        <v>0.2965045</v>
      </c>
      <c r="X346">
        <v>0.95311049999999997</v>
      </c>
      <c r="Y346">
        <v>1.928765E-2</v>
      </c>
      <c r="Z346">
        <v>-7.3420579999999998E-4</v>
      </c>
      <c r="AA346">
        <v>0.99981370000000003</v>
      </c>
      <c r="AB346">
        <v>32</v>
      </c>
      <c r="AC346">
        <v>22.6524</v>
      </c>
      <c r="AD346">
        <v>-1.11078357082499</v>
      </c>
      <c r="AE346">
        <v>-0.35779999999999701</v>
      </c>
      <c r="AF346">
        <v>0.44325220524950198</v>
      </c>
      <c r="AG346">
        <v>-1.11078357082499</v>
      </c>
      <c r="AH346">
        <v>22.596547602824799</v>
      </c>
      <c r="AI346">
        <v>92.813695758657701</v>
      </c>
      <c r="AJ346">
        <v>88.876234351030803</v>
      </c>
      <c r="AK346">
        <v>22.6281743900254</v>
      </c>
      <c r="AL346">
        <v>72.752225317625204</v>
      </c>
      <c r="AM346">
        <v>93.634688711306197</v>
      </c>
      <c r="AN346">
        <v>1.0000000586223601</v>
      </c>
    </row>
    <row r="347" spans="1:40" x14ac:dyDescent="0.25">
      <c r="A347" t="str">
        <f>"20190304164601708"</f>
        <v>20190304164601708</v>
      </c>
      <c r="B347" t="str">
        <f>"1551689161697684"</f>
        <v>1551689161697684</v>
      </c>
      <c r="C347" t="s">
        <v>40</v>
      </c>
      <c r="D347">
        <v>4.1977830000000003</v>
      </c>
      <c r="E347">
        <v>0.54424779999999995</v>
      </c>
      <c r="F347" t="s">
        <v>42</v>
      </c>
      <c r="G347">
        <v>-352.33940000000001</v>
      </c>
      <c r="H347" s="1">
        <v>-3.7046819999999998E-6</v>
      </c>
      <c r="I347">
        <v>367.1585</v>
      </c>
      <c r="J347">
        <v>-375.11070000000001</v>
      </c>
      <c r="K347">
        <v>1.1107800000000001</v>
      </c>
      <c r="L347">
        <v>367.51229999999998</v>
      </c>
      <c r="M347">
        <v>0.99988880000000002</v>
      </c>
      <c r="N347">
        <v>-1.441334E-2</v>
      </c>
      <c r="O347">
        <v>3.8736220000000002E-3</v>
      </c>
      <c r="P347">
        <v>0.9570341</v>
      </c>
      <c r="Q347">
        <v>0.28273720000000002</v>
      </c>
      <c r="R347">
        <v>6.4388290000000001E-2</v>
      </c>
      <c r="S347">
        <v>3.1834410000000002</v>
      </c>
      <c r="T347">
        <v>-0.15396760000000001</v>
      </c>
      <c r="U347">
        <v>-4.891968E-2</v>
      </c>
      <c r="V347">
        <v>-6.0728219999999999E-2</v>
      </c>
      <c r="W347">
        <v>0.29649540000000002</v>
      </c>
      <c r="X347">
        <v>0.95310159999999999</v>
      </c>
      <c r="Y347">
        <v>1.9207180000000001E-2</v>
      </c>
      <c r="Z347">
        <v>-7.3414110000000004E-4</v>
      </c>
      <c r="AA347">
        <v>0.99981529999999996</v>
      </c>
      <c r="AB347">
        <v>32</v>
      </c>
      <c r="AC347">
        <v>22.7713</v>
      </c>
      <c r="AD347">
        <v>-1.1107837046819999</v>
      </c>
      <c r="AE347">
        <v>-0.35379999999997802</v>
      </c>
      <c r="AF347">
        <v>0.44096488447166698</v>
      </c>
      <c r="AG347">
        <v>-1.1107837046819999</v>
      </c>
      <c r="AH347">
        <v>22.715719776674899</v>
      </c>
      <c r="AI347">
        <v>92.7989693990408</v>
      </c>
      <c r="AJ347">
        <v>88.887895514670603</v>
      </c>
      <c r="AK347">
        <v>22.7471364228631</v>
      </c>
      <c r="AL347">
        <v>72.752771094966505</v>
      </c>
      <c r="AM347">
        <v>93.645753515713295</v>
      </c>
      <c r="AN347">
        <v>1.00000004942404</v>
      </c>
    </row>
    <row r="348" spans="1:40" x14ac:dyDescent="0.25">
      <c r="A348" t="str">
        <f>"20190304164601721"</f>
        <v>20190304164601721</v>
      </c>
      <c r="B348" t="str">
        <f>"1551689161718180"</f>
        <v>1551689161718180</v>
      </c>
      <c r="C348" t="s">
        <v>40</v>
      </c>
      <c r="D348">
        <v>4.2175940000000001</v>
      </c>
      <c r="E348">
        <v>0.54419079999999997</v>
      </c>
      <c r="F348" t="s">
        <v>42</v>
      </c>
      <c r="G348">
        <v>-352.24509999999998</v>
      </c>
      <c r="H348" s="1">
        <v>-3.7428960000000001E-6</v>
      </c>
      <c r="I348">
        <v>367.1712</v>
      </c>
      <c r="J348">
        <v>-374.94479999999999</v>
      </c>
      <c r="K348">
        <v>1.1107800000000001</v>
      </c>
      <c r="L348">
        <v>367.51299999999998</v>
      </c>
      <c r="M348">
        <v>0.99988860000000002</v>
      </c>
      <c r="N348">
        <v>-1.441169E-2</v>
      </c>
      <c r="O348">
        <v>3.9198790000000002E-3</v>
      </c>
      <c r="P348">
        <v>0.95712319999999995</v>
      </c>
      <c r="Q348">
        <v>0.28247440000000001</v>
      </c>
      <c r="R348">
        <v>6.4217930000000006E-2</v>
      </c>
      <c r="S348">
        <v>3.1835939999999998</v>
      </c>
      <c r="T348">
        <v>-0.15465409999999999</v>
      </c>
      <c r="U348">
        <v>-4.7485350000000003E-2</v>
      </c>
      <c r="V348">
        <v>-6.0512959999999998E-2</v>
      </c>
      <c r="W348">
        <v>0.29623310000000003</v>
      </c>
      <c r="X348">
        <v>0.95319679999999996</v>
      </c>
      <c r="Y348">
        <v>1.8802679999999999E-2</v>
      </c>
      <c r="Z348">
        <v>-7.2584759999999896E-4</v>
      </c>
      <c r="AA348">
        <v>0.99982300000000002</v>
      </c>
      <c r="AB348">
        <v>32</v>
      </c>
      <c r="AC348">
        <v>22.6997</v>
      </c>
      <c r="AD348">
        <v>-1.1107837428959999</v>
      </c>
      <c r="AE348">
        <v>-0.34180000000003402</v>
      </c>
      <c r="AF348">
        <v>0.42975784920754401</v>
      </c>
      <c r="AG348">
        <v>-1.1107837428959999</v>
      </c>
      <c r="AH348">
        <v>22.6439764095933</v>
      </c>
      <c r="AI348">
        <v>92.807846672235797</v>
      </c>
      <c r="AJ348">
        <v>88.912719447471503</v>
      </c>
      <c r="AK348">
        <v>22.675277285419401</v>
      </c>
      <c r="AL348">
        <v>72.768505886813998</v>
      </c>
      <c r="AM348">
        <v>93.632503422752706</v>
      </c>
      <c r="AN348">
        <v>1.0000000036968999</v>
      </c>
    </row>
    <row r="349" spans="1:40" x14ac:dyDescent="0.25">
      <c r="A349" t="str">
        <f>"20190304164601739"</f>
        <v>20190304164601739</v>
      </c>
      <c r="B349" t="str">
        <f>"1551689161727941"</f>
        <v>1551689161727941</v>
      </c>
      <c r="C349" t="s">
        <v>40</v>
      </c>
      <c r="D349">
        <v>4.2217949999999904</v>
      </c>
      <c r="E349">
        <v>0.54419549999999905</v>
      </c>
      <c r="F349" t="s">
        <v>42</v>
      </c>
      <c r="G349">
        <v>-352.31619999999998</v>
      </c>
      <c r="H349" s="1">
        <v>-3.7106570000000002E-6</v>
      </c>
      <c r="I349">
        <v>367.18079999999998</v>
      </c>
      <c r="J349">
        <v>-374.67910000000001</v>
      </c>
      <c r="K349">
        <v>1.1107800000000001</v>
      </c>
      <c r="L349">
        <v>367.51409999999998</v>
      </c>
      <c r="M349">
        <v>0.99988840000000001</v>
      </c>
      <c r="N349">
        <v>-1.440904E-2</v>
      </c>
      <c r="O349">
        <v>3.9934380000000002E-3</v>
      </c>
      <c r="P349">
        <v>0.95726579999999994</v>
      </c>
      <c r="Q349">
        <v>0.281943</v>
      </c>
      <c r="R349">
        <v>6.4426289999999997E-2</v>
      </c>
      <c r="S349">
        <v>3.183624</v>
      </c>
      <c r="T349">
        <v>-0.15627569999999999</v>
      </c>
      <c r="U349">
        <v>-4.6722409999999999E-2</v>
      </c>
      <c r="V349">
        <v>-6.064932E-2</v>
      </c>
      <c r="W349">
        <v>0.29570109999999999</v>
      </c>
      <c r="X349">
        <v>0.95335329999999996</v>
      </c>
      <c r="Y349">
        <v>1.8636150000000001E-2</v>
      </c>
      <c r="Z349">
        <v>-7.2986649999999998E-4</v>
      </c>
      <c r="AA349">
        <v>0.99982610000000005</v>
      </c>
      <c r="AB349">
        <v>32</v>
      </c>
      <c r="AC349">
        <v>22.3629</v>
      </c>
      <c r="AD349">
        <v>-1.11078371065699</v>
      </c>
      <c r="AE349">
        <v>-0.33330000000000798</v>
      </c>
      <c r="AF349">
        <v>0.421571585032889</v>
      </c>
      <c r="AG349">
        <v>-1.11078371065699</v>
      </c>
      <c r="AH349">
        <v>22.306368646436201</v>
      </c>
      <c r="AI349">
        <v>92.850278198699996</v>
      </c>
      <c r="AJ349">
        <v>88.917286906219502</v>
      </c>
      <c r="AK349">
        <v>22.337986597808701</v>
      </c>
      <c r="AL349">
        <v>72.800416807200193</v>
      </c>
      <c r="AM349">
        <v>93.640070885892499</v>
      </c>
      <c r="AN349">
        <v>0.99999999758928104</v>
      </c>
    </row>
    <row r="350" spans="1:40" x14ac:dyDescent="0.25">
      <c r="A350" t="str">
        <f>"20190304164601762"</f>
        <v>20190304164601762</v>
      </c>
      <c r="B350" t="str">
        <f>"1551689161758196"</f>
        <v>1551689161758196</v>
      </c>
      <c r="C350" t="s">
        <v>40</v>
      </c>
      <c r="D350">
        <v>4.2226520000000001</v>
      </c>
      <c r="E350">
        <v>0.54422649999999995</v>
      </c>
      <c r="F350" t="s">
        <v>42</v>
      </c>
      <c r="G350">
        <v>-352.33330000000001</v>
      </c>
      <c r="H350" s="1">
        <v>-3.7029429999999999E-6</v>
      </c>
      <c r="I350">
        <v>367.18299999999999</v>
      </c>
      <c r="J350">
        <v>-374.36619999999999</v>
      </c>
      <c r="K350">
        <v>1.1107800000000001</v>
      </c>
      <c r="L350">
        <v>367.51549999999997</v>
      </c>
      <c r="M350">
        <v>0.999888</v>
      </c>
      <c r="N350">
        <v>-1.4405869999999999E-2</v>
      </c>
      <c r="O350">
        <v>4.0780119999999998E-3</v>
      </c>
      <c r="P350">
        <v>0.95722099999999999</v>
      </c>
      <c r="Q350">
        <v>0.28201379999999998</v>
      </c>
      <c r="R350">
        <v>6.4778269999999999E-2</v>
      </c>
      <c r="S350">
        <v>3.183716</v>
      </c>
      <c r="T350">
        <v>-0.15825799999999901</v>
      </c>
      <c r="U350">
        <v>-4.7180180000000002E-2</v>
      </c>
      <c r="V350">
        <v>-6.0919840000000003E-2</v>
      </c>
      <c r="W350">
        <v>0.29576849999999999</v>
      </c>
      <c r="X350">
        <v>0.95331509999999997</v>
      </c>
      <c r="Y350">
        <v>1.886287E-2</v>
      </c>
      <c r="Z350">
        <v>-7.4835479999999996E-4</v>
      </c>
      <c r="AA350">
        <v>0.99982179999999998</v>
      </c>
      <c r="AB350">
        <v>32</v>
      </c>
      <c r="AC350">
        <v>22.032899999999898</v>
      </c>
      <c r="AD350">
        <v>-1.1107837029430001</v>
      </c>
      <c r="AE350">
        <v>-0.33249999999992402</v>
      </c>
      <c r="AF350">
        <v>0.42128646350290599</v>
      </c>
      <c r="AG350">
        <v>-1.1107837029430001</v>
      </c>
      <c r="AH350">
        <v>21.9755193241763</v>
      </c>
      <c r="AI350">
        <v>92.893102849840304</v>
      </c>
      <c r="AJ350">
        <v>88.901733351942099</v>
      </c>
      <c r="AK350">
        <v>22.0076071458552</v>
      </c>
      <c r="AL350">
        <v>72.796373513949106</v>
      </c>
      <c r="AM350">
        <v>93.656409211291503</v>
      </c>
      <c r="AN350">
        <v>0.99999995619294102</v>
      </c>
    </row>
    <row r="351" spans="1:40" x14ac:dyDescent="0.25">
      <c r="A351" t="str">
        <f>"20190304164601774"</f>
        <v>20190304164601774</v>
      </c>
      <c r="B351" t="str">
        <f>"1551689161767956"</f>
        <v>1551689161767956</v>
      </c>
      <c r="C351" t="s">
        <v>40</v>
      </c>
      <c r="D351">
        <v>4.202826</v>
      </c>
      <c r="E351">
        <v>0.54423359999999998</v>
      </c>
      <c r="F351" t="s">
        <v>42</v>
      </c>
      <c r="G351">
        <v>-352.08120000000002</v>
      </c>
      <c r="H351" s="1">
        <v>-3.8104680000000002E-6</v>
      </c>
      <c r="I351">
        <v>367.18650000000002</v>
      </c>
      <c r="J351">
        <v>-374.17559999999997</v>
      </c>
      <c r="K351">
        <v>1.110779</v>
      </c>
      <c r="L351">
        <v>367.5163</v>
      </c>
      <c r="M351">
        <v>0.99988779999999999</v>
      </c>
      <c r="N351">
        <v>-1.4403920000000001E-2</v>
      </c>
      <c r="O351">
        <v>4.1283020000000004E-3</v>
      </c>
      <c r="P351">
        <v>0.95725079999999996</v>
      </c>
      <c r="Q351">
        <v>0.2818698</v>
      </c>
      <c r="R351">
        <v>6.4966019999999999E-2</v>
      </c>
      <c r="S351">
        <v>3.184021</v>
      </c>
      <c r="T351">
        <v>-0.15870499999999901</v>
      </c>
      <c r="U351">
        <v>-4.6997070000000002E-2</v>
      </c>
      <c r="V351">
        <v>-6.1058179999999997E-2</v>
      </c>
      <c r="W351">
        <v>0.29562319999999997</v>
      </c>
      <c r="X351">
        <v>0.95335139999999996</v>
      </c>
      <c r="Y351">
        <v>1.8854070000000001E-2</v>
      </c>
      <c r="Z351">
        <v>-7.5167249999999995E-4</v>
      </c>
      <c r="AA351">
        <v>0.99982199999999999</v>
      </c>
      <c r="AB351">
        <v>32</v>
      </c>
      <c r="AC351">
        <v>22.094399999999901</v>
      </c>
      <c r="AD351">
        <v>-1.110782810468</v>
      </c>
      <c r="AE351">
        <v>-0.329799999999977</v>
      </c>
      <c r="AF351">
        <v>0.41995778891651397</v>
      </c>
      <c r="AG351">
        <v>-1.110782810468</v>
      </c>
      <c r="AH351">
        <v>22.0371631588655</v>
      </c>
      <c r="AI351">
        <v>92.885027714229906</v>
      </c>
      <c r="AJ351">
        <v>88.908257992885297</v>
      </c>
      <c r="AK351">
        <v>22.069135984151298</v>
      </c>
      <c r="AL351">
        <v>72.805089691392695</v>
      </c>
      <c r="AM351">
        <v>93.664550620351406</v>
      </c>
      <c r="AN351">
        <v>1.00000003480255</v>
      </c>
    </row>
    <row r="352" spans="1:40" x14ac:dyDescent="0.25">
      <c r="A352" t="str">
        <f>"20190304164601788"</f>
        <v>20190304164601788</v>
      </c>
      <c r="B352" t="str">
        <f>"1551689161777717"</f>
        <v>1551689161777717</v>
      </c>
      <c r="C352" t="s">
        <v>40</v>
      </c>
      <c r="D352">
        <v>4.1919029999999999</v>
      </c>
      <c r="E352">
        <v>0.54424349999999999</v>
      </c>
      <c r="F352" t="s">
        <v>42</v>
      </c>
      <c r="G352">
        <v>-351.98750000000001</v>
      </c>
      <c r="H352" s="1">
        <v>-3.8503040000000003E-6</v>
      </c>
      <c r="I352">
        <v>367.18860000000001</v>
      </c>
      <c r="J352">
        <v>-373.97640000000001</v>
      </c>
      <c r="K352">
        <v>1.1107800000000001</v>
      </c>
      <c r="L352">
        <v>367.5172</v>
      </c>
      <c r="M352">
        <v>0.99988770000000005</v>
      </c>
      <c r="N352">
        <v>-1.4401860000000001E-2</v>
      </c>
      <c r="O352">
        <v>4.1774400000000001E-3</v>
      </c>
      <c r="P352">
        <v>0.9573007</v>
      </c>
      <c r="Q352">
        <v>0.2816515</v>
      </c>
      <c r="R352">
        <v>6.5177219999999994E-2</v>
      </c>
      <c r="S352">
        <v>3.1841430000000002</v>
      </c>
      <c r="T352">
        <v>-0.15940379999999901</v>
      </c>
      <c r="U352">
        <v>-4.7027590000000001E-2</v>
      </c>
      <c r="V352">
        <v>-6.1219799999999998E-2</v>
      </c>
      <c r="W352">
        <v>0.295404099999999</v>
      </c>
      <c r="X352">
        <v>0.9534089</v>
      </c>
      <c r="Y352">
        <v>1.8911830000000001E-2</v>
      </c>
      <c r="Z352">
        <v>-7.5821809999999999E-4</v>
      </c>
      <c r="AA352">
        <v>0.99982090000000001</v>
      </c>
      <c r="AB352">
        <v>32</v>
      </c>
      <c r="AC352">
        <v>21.988900000000001</v>
      </c>
      <c r="AD352">
        <v>-1.110783850304</v>
      </c>
      <c r="AE352">
        <v>-0.32859999999999401</v>
      </c>
      <c r="AF352">
        <v>0.419393973505443</v>
      </c>
      <c r="AG352">
        <v>-1.110783850304</v>
      </c>
      <c r="AH352">
        <v>21.931382534477802</v>
      </c>
      <c r="AI352">
        <v>92.898918308960802</v>
      </c>
      <c r="AJ352">
        <v>88.904465957480696</v>
      </c>
      <c r="AK352">
        <v>21.9634986270563</v>
      </c>
      <c r="AL352">
        <v>72.818229242802403</v>
      </c>
      <c r="AM352">
        <v>93.674003104343797</v>
      </c>
      <c r="AN352">
        <v>0.99999998840402904</v>
      </c>
    </row>
    <row r="353" spans="1:40" x14ac:dyDescent="0.25">
      <c r="A353" t="str">
        <f>"20190304164601807"</f>
        <v>20190304164601807</v>
      </c>
      <c r="B353" t="str">
        <f>"1551689161798212"</f>
        <v>1551689161798212</v>
      </c>
      <c r="C353" t="s">
        <v>40</v>
      </c>
      <c r="D353">
        <v>4.2124509999999997</v>
      </c>
      <c r="E353">
        <v>0.54427890000000001</v>
      </c>
      <c r="F353" t="s">
        <v>42</v>
      </c>
      <c r="G353">
        <v>-351.88990000000001</v>
      </c>
      <c r="H353" s="1">
        <v>-3.8915449999999997E-6</v>
      </c>
      <c r="I353">
        <v>367.19220000000001</v>
      </c>
      <c r="J353">
        <v>-373.70549999999997</v>
      </c>
      <c r="K353">
        <v>1.110771</v>
      </c>
      <c r="L353">
        <v>367.51839999999999</v>
      </c>
      <c r="M353">
        <v>0.99988739999999998</v>
      </c>
      <c r="N353">
        <v>-1.439906E-2</v>
      </c>
      <c r="O353">
        <v>4.2394119999999997E-3</v>
      </c>
      <c r="P353">
        <v>0.95718630000000005</v>
      </c>
      <c r="Q353">
        <v>0.2819276</v>
      </c>
      <c r="R353">
        <v>6.5660239999999995E-2</v>
      </c>
      <c r="S353">
        <v>3.1841430000000002</v>
      </c>
      <c r="T353">
        <v>-0.16013729999999901</v>
      </c>
      <c r="U353">
        <v>-4.6844480000000001E-2</v>
      </c>
      <c r="V353">
        <v>-6.1640800000000003E-2</v>
      </c>
      <c r="W353">
        <v>0.29567700000000002</v>
      </c>
      <c r="X353">
        <v>0.95329719999999996</v>
      </c>
      <c r="Y353">
        <v>1.8915990000000001E-2</v>
      </c>
      <c r="Z353">
        <v>-7.6369619999999997E-4</v>
      </c>
      <c r="AA353">
        <v>0.99982079999999995</v>
      </c>
      <c r="AB353">
        <v>32</v>
      </c>
      <c r="AC353">
        <v>21.8155999999999</v>
      </c>
      <c r="AD353">
        <v>-1.110774891545</v>
      </c>
      <c r="AE353">
        <v>-0.32619999999997101</v>
      </c>
      <c r="AF353">
        <v>0.417609559787537</v>
      </c>
      <c r="AG353">
        <v>-1.110774891545</v>
      </c>
      <c r="AH353">
        <v>21.757626965342698</v>
      </c>
      <c r="AI353">
        <v>92.922001520617201</v>
      </c>
      <c r="AJ353">
        <v>88.900416498011097</v>
      </c>
      <c r="AK353">
        <v>21.789964427853501</v>
      </c>
      <c r="AL353">
        <v>72.801862562223704</v>
      </c>
      <c r="AM353">
        <v>93.699631034993601</v>
      </c>
      <c r="AN353">
        <v>1.0000000140407399</v>
      </c>
    </row>
    <row r="354" spans="1:40" x14ac:dyDescent="0.25">
      <c r="A354" t="str">
        <f>"20190304164601831"</f>
        <v>20190304164601831</v>
      </c>
      <c r="B354" t="str">
        <f>"1551689161828468"</f>
        <v>1551689161828468</v>
      </c>
      <c r="C354" t="s">
        <v>40</v>
      </c>
      <c r="D354">
        <v>4.2569269999999904</v>
      </c>
      <c r="E354">
        <v>0.54425999999999997</v>
      </c>
      <c r="F354" t="s">
        <v>42</v>
      </c>
      <c r="G354">
        <v>-351.5686</v>
      </c>
      <c r="H354" s="1">
        <v>-4.0274489999999996E-6</v>
      </c>
      <c r="I354">
        <v>367.20310000000001</v>
      </c>
      <c r="J354">
        <v>-373.38420000000002</v>
      </c>
      <c r="K354">
        <v>1.1107659999999999</v>
      </c>
      <c r="L354">
        <v>367.51979999999998</v>
      </c>
      <c r="M354">
        <v>0.99988719999999998</v>
      </c>
      <c r="N354">
        <v>-1.4395710000000001E-2</v>
      </c>
      <c r="O354">
        <v>4.3016749999999996E-3</v>
      </c>
      <c r="P354">
        <v>0.95714370000000004</v>
      </c>
      <c r="Q354">
        <v>0.28197090000000002</v>
      </c>
      <c r="R354">
        <v>6.6094180000000002E-2</v>
      </c>
      <c r="S354">
        <v>3.184326</v>
      </c>
      <c r="T354">
        <v>-0.15978049999999999</v>
      </c>
      <c r="U354">
        <v>-4.534912E-2</v>
      </c>
      <c r="V354">
        <v>-6.2007720000000002E-2</v>
      </c>
      <c r="W354">
        <v>0.29571740000000002</v>
      </c>
      <c r="X354">
        <v>0.95326080000000002</v>
      </c>
      <c r="Y354">
        <v>1.8508739999999999E-2</v>
      </c>
      <c r="Z354">
        <v>-7.5119019999999996E-4</v>
      </c>
      <c r="AA354">
        <v>0.99982839999999995</v>
      </c>
      <c r="AB354">
        <v>32</v>
      </c>
      <c r="AC354">
        <v>21.8156</v>
      </c>
      <c r="AD354">
        <v>-1.110770027449</v>
      </c>
      <c r="AE354">
        <v>-0.31669999999996801</v>
      </c>
      <c r="AF354">
        <v>0.40948904357784999</v>
      </c>
      <c r="AG354">
        <v>-1.110770027449</v>
      </c>
      <c r="AH354">
        <v>21.757641454149098</v>
      </c>
      <c r="AI354">
        <v>92.922007490662097</v>
      </c>
      <c r="AJ354">
        <v>88.921793778362002</v>
      </c>
      <c r="AK354">
        <v>21.789824528389399</v>
      </c>
      <c r="AL354">
        <v>72.799438238321997</v>
      </c>
      <c r="AM354">
        <v>93.721733278560507</v>
      </c>
      <c r="AN354">
        <v>0.99999994540949699</v>
      </c>
    </row>
    <row r="355" spans="1:40" x14ac:dyDescent="0.25">
      <c r="A355" t="str">
        <f>"20190304164601851"</f>
        <v>20190304164601851</v>
      </c>
      <c r="B355" t="str">
        <f>"1551689161847988"</f>
        <v>1551689161847988</v>
      </c>
      <c r="C355" t="s">
        <v>40</v>
      </c>
      <c r="D355">
        <v>4.2169210000000001</v>
      </c>
      <c r="E355">
        <v>0.54426200000000002</v>
      </c>
      <c r="F355" t="s">
        <v>42</v>
      </c>
      <c r="G355">
        <v>-351.28489999999999</v>
      </c>
      <c r="H355" s="1">
        <v>-4.1467490000000003E-6</v>
      </c>
      <c r="I355">
        <v>367.2167</v>
      </c>
      <c r="J355">
        <v>-373.09410000000003</v>
      </c>
      <c r="K355">
        <v>1.110754</v>
      </c>
      <c r="L355">
        <v>367.52109999999999</v>
      </c>
      <c r="M355">
        <v>0.99988719999999998</v>
      </c>
      <c r="N355">
        <v>-1.439268E-2</v>
      </c>
      <c r="O355">
        <v>4.3444180000000001E-3</v>
      </c>
      <c r="P355">
        <v>0.95716199999999996</v>
      </c>
      <c r="Q355">
        <v>0.281779</v>
      </c>
      <c r="R355">
        <v>6.6647799999999993E-2</v>
      </c>
      <c r="S355">
        <v>3.1845089999999998</v>
      </c>
      <c r="T355">
        <v>-0.16006099999999901</v>
      </c>
      <c r="U355">
        <v>-4.3670649999999998E-2</v>
      </c>
      <c r="V355">
        <v>-6.2512979999999996E-2</v>
      </c>
      <c r="W355">
        <v>0.29552479999999998</v>
      </c>
      <c r="X355">
        <v>0.95328760000000001</v>
      </c>
      <c r="Y355">
        <v>1.8024439999999999E-2</v>
      </c>
      <c r="Z355">
        <v>-7.3821089999999998E-4</v>
      </c>
      <c r="AA355">
        <v>0.99983730000000004</v>
      </c>
      <c r="AB355">
        <v>32</v>
      </c>
      <c r="AC355">
        <v>21.809200000000001</v>
      </c>
      <c r="AD355">
        <v>-1.110758146749</v>
      </c>
      <c r="AE355">
        <v>-0.30439999999998602</v>
      </c>
      <c r="AF355">
        <v>0.39812269786347299</v>
      </c>
      <c r="AG355">
        <v>-1.110758146749</v>
      </c>
      <c r="AH355">
        <v>21.751261138478799</v>
      </c>
      <c r="AI355">
        <v>92.922859904089094</v>
      </c>
      <c r="AJ355">
        <v>88.951407766023195</v>
      </c>
      <c r="AK355">
        <v>21.783242331145701</v>
      </c>
      <c r="AL355">
        <v>72.810990914571505</v>
      </c>
      <c r="AM355">
        <v>93.751867775914704</v>
      </c>
      <c r="AN355">
        <v>1.00000001419864</v>
      </c>
    </row>
    <row r="356" spans="1:40" x14ac:dyDescent="0.25">
      <c r="A356" t="str">
        <f>"20190304164601874"</f>
        <v>20190304164601874</v>
      </c>
      <c r="B356" t="str">
        <f>"1551689161868485"</f>
        <v>1551689161868485</v>
      </c>
      <c r="C356" t="s">
        <v>40</v>
      </c>
      <c r="D356">
        <v>4.2395750000000003</v>
      </c>
      <c r="E356">
        <v>0.54423900000000003</v>
      </c>
      <c r="F356" t="s">
        <v>42</v>
      </c>
      <c r="G356">
        <v>-351.07600000000002</v>
      </c>
      <c r="H356" s="1">
        <v>-4.2330489999999998E-6</v>
      </c>
      <c r="I356">
        <v>367.23540000000003</v>
      </c>
      <c r="J356">
        <v>-372.77300000000002</v>
      </c>
      <c r="K356">
        <v>1.1107389999999999</v>
      </c>
      <c r="L356">
        <v>367.52249999999998</v>
      </c>
      <c r="M356">
        <v>0.99988699999999997</v>
      </c>
      <c r="N356">
        <v>-1.4389320000000001E-2</v>
      </c>
      <c r="O356">
        <v>4.3765169999999999E-3</v>
      </c>
      <c r="P356">
        <v>0.95711210000000002</v>
      </c>
      <c r="Q356">
        <v>0.28195150000000002</v>
      </c>
      <c r="R356">
        <v>6.6635949999999999E-2</v>
      </c>
      <c r="S356">
        <v>3.1844790000000001</v>
      </c>
      <c r="T356">
        <v>-0.1606475</v>
      </c>
      <c r="U356">
        <v>-4.1320799999999998E-2</v>
      </c>
      <c r="V356">
        <v>-6.2461339999999997E-2</v>
      </c>
      <c r="W356">
        <v>0.295695599999999</v>
      </c>
      <c r="X356">
        <v>0.95323800000000003</v>
      </c>
      <c r="Y356">
        <v>1.7319919999999999E-2</v>
      </c>
      <c r="Z356">
        <v>-7.1898459999999997E-4</v>
      </c>
      <c r="AA356">
        <v>0.99984969999999995</v>
      </c>
      <c r="AB356">
        <v>32</v>
      </c>
      <c r="AC356">
        <v>21.696999999999999</v>
      </c>
      <c r="AD356">
        <v>-1.1107432330489999</v>
      </c>
      <c r="AE356">
        <v>-0.287099999999952</v>
      </c>
      <c r="AF356">
        <v>0.38106585194172399</v>
      </c>
      <c r="AG356">
        <v>-1.1107432330489999</v>
      </c>
      <c r="AH356">
        <v>21.6388351766909</v>
      </c>
      <c r="AI356">
        <v>92.938016387785396</v>
      </c>
      <c r="AJ356">
        <v>88.991109814219897</v>
      </c>
      <c r="AK356">
        <v>21.670674874522899</v>
      </c>
      <c r="AL356">
        <v>72.800746653066795</v>
      </c>
      <c r="AM356">
        <v>93.748971822116999</v>
      </c>
      <c r="AN356">
        <v>0.99999999574897702</v>
      </c>
    </row>
    <row r="357" spans="1:40" x14ac:dyDescent="0.25">
      <c r="A357" t="str">
        <f>"20190304164601907"</f>
        <v>20190304164601907</v>
      </c>
      <c r="B357" t="str">
        <f>"1551689161897764"</f>
        <v>1551689161897764</v>
      </c>
      <c r="C357" t="s">
        <v>40</v>
      </c>
      <c r="D357">
        <v>4.213673</v>
      </c>
      <c r="E357">
        <v>0.54408210000000001</v>
      </c>
      <c r="F357" t="s">
        <v>42</v>
      </c>
      <c r="G357">
        <v>-350.75869999999998</v>
      </c>
      <c r="H357" s="1">
        <v>-4.3679470000000004E-6</v>
      </c>
      <c r="I357">
        <v>367.24209999999999</v>
      </c>
      <c r="J357">
        <v>-372.30930000000001</v>
      </c>
      <c r="K357">
        <v>1.1107279999999999</v>
      </c>
      <c r="L357">
        <v>367.52460000000002</v>
      </c>
      <c r="M357">
        <v>0.99988699999999997</v>
      </c>
      <c r="N357">
        <v>-1.438444E-2</v>
      </c>
      <c r="O357">
        <v>4.3976079999999999E-3</v>
      </c>
      <c r="P357">
        <v>0.95719639999999995</v>
      </c>
      <c r="Q357">
        <v>0.28166790000000003</v>
      </c>
      <c r="R357">
        <v>6.6622180000000003E-2</v>
      </c>
      <c r="S357">
        <v>3.184631</v>
      </c>
      <c r="T357">
        <v>-0.1606815</v>
      </c>
      <c r="U357">
        <v>-4.0557860000000001E-2</v>
      </c>
      <c r="V357">
        <v>-6.2414820000000003E-2</v>
      </c>
      <c r="W357">
        <v>0.29541040000000002</v>
      </c>
      <c r="X357">
        <v>0.95332939999999999</v>
      </c>
      <c r="Y357">
        <v>1.710122E-2</v>
      </c>
      <c r="Z357">
        <v>-7.1274429999999996E-4</v>
      </c>
      <c r="AA357">
        <v>0.99985349999999995</v>
      </c>
      <c r="AB357">
        <v>32</v>
      </c>
      <c r="AC357">
        <v>21.550599999999999</v>
      </c>
      <c r="AD357">
        <v>-1.110732367947</v>
      </c>
      <c r="AE357">
        <v>-0.28250000000002701</v>
      </c>
      <c r="AF357">
        <v>0.37627876193813697</v>
      </c>
      <c r="AG357">
        <v>-1.110732367947</v>
      </c>
      <c r="AH357">
        <v>21.492066529159001</v>
      </c>
      <c r="AI357">
        <v>92.958020924977006</v>
      </c>
      <c r="AJ357">
        <v>88.996979533822994</v>
      </c>
      <c r="AK357">
        <v>21.5240385567785</v>
      </c>
      <c r="AL357">
        <v>72.817850374795896</v>
      </c>
      <c r="AM357">
        <v>93.745829472703306</v>
      </c>
      <c r="AN357">
        <v>0.99999992954407302</v>
      </c>
    </row>
    <row r="358" spans="1:40" x14ac:dyDescent="0.25">
      <c r="A358" t="str">
        <f>"20190304164601928"</f>
        <v>20190304164601928</v>
      </c>
      <c r="B358" t="str">
        <f>"1551689161918260"</f>
        <v>1551689161918260</v>
      </c>
      <c r="C358" t="s">
        <v>40</v>
      </c>
      <c r="D358">
        <v>4.2328320000000001</v>
      </c>
      <c r="E358">
        <v>0.54398119999999905</v>
      </c>
      <c r="F358" t="s">
        <v>42</v>
      </c>
      <c r="G358">
        <v>-350.37860000000001</v>
      </c>
      <c r="H358" s="1">
        <v>-4.5278899999999996E-6</v>
      </c>
      <c r="I358">
        <v>367.25970000000001</v>
      </c>
      <c r="J358">
        <v>-372.00920000000002</v>
      </c>
      <c r="K358">
        <v>1.110719</v>
      </c>
      <c r="L358">
        <v>367.52589999999998</v>
      </c>
      <c r="M358">
        <v>0.99988699999999997</v>
      </c>
      <c r="N358">
        <v>-1.438125E-2</v>
      </c>
      <c r="O358">
        <v>4.4023880000000001E-3</v>
      </c>
      <c r="P358">
        <v>0.95725329999999997</v>
      </c>
      <c r="Q358">
        <v>0.28173290000000001</v>
      </c>
      <c r="R358">
        <v>6.5520729999999999E-2</v>
      </c>
      <c r="S358">
        <v>3.1842959999999998</v>
      </c>
      <c r="T358">
        <v>-0.16127549999999999</v>
      </c>
      <c r="U358">
        <v>-3.8452149999999997E-2</v>
      </c>
      <c r="V358">
        <v>-6.1303410000000003E-2</v>
      </c>
      <c r="W358">
        <v>0.29547469999999998</v>
      </c>
      <c r="X358">
        <v>0.9533817</v>
      </c>
      <c r="Y358">
        <v>1.6447119999999999E-2</v>
      </c>
      <c r="Z358">
        <v>-6.9412569999999999E-4</v>
      </c>
      <c r="AA358">
        <v>0.99986450000000004</v>
      </c>
      <c r="AB358">
        <v>32</v>
      </c>
      <c r="AC358">
        <v>21.630600000000001</v>
      </c>
      <c r="AD358">
        <v>-1.1107235278899901</v>
      </c>
      <c r="AE358">
        <v>-0.26619999999996902</v>
      </c>
      <c r="AF358">
        <v>0.36048317950780101</v>
      </c>
      <c r="AG358">
        <v>-1.1107235278899901</v>
      </c>
      <c r="AH358">
        <v>21.572345272642401</v>
      </c>
      <c r="AI358">
        <v>92.947049174723503</v>
      </c>
      <c r="AJ358">
        <v>89.042651953090996</v>
      </c>
      <c r="AK358">
        <v>21.603928703830999</v>
      </c>
      <c r="AL358">
        <v>72.813996003621099</v>
      </c>
      <c r="AM358">
        <v>93.679111720046507</v>
      </c>
      <c r="AN358">
        <v>1.0000000361563</v>
      </c>
    </row>
    <row r="359" spans="1:40" x14ac:dyDescent="0.25">
      <c r="A359" t="str">
        <f>"20190304164601952"</f>
        <v>20190304164601952</v>
      </c>
      <c r="B359" t="str">
        <f>"1551689161948516"</f>
        <v>1551689161948516</v>
      </c>
      <c r="C359" t="s">
        <v>40</v>
      </c>
      <c r="D359">
        <v>4.2428980000000003</v>
      </c>
      <c r="E359">
        <v>0.543840199999999</v>
      </c>
      <c r="F359" t="s">
        <v>42</v>
      </c>
      <c r="G359">
        <v>-350.07139999999998</v>
      </c>
      <c r="H359" s="1">
        <v>-4.6623750000000004E-6</v>
      </c>
      <c r="I359">
        <v>367.24459999999999</v>
      </c>
      <c r="J359">
        <v>-371.68459999999999</v>
      </c>
      <c r="K359">
        <v>1.1107180000000001</v>
      </c>
      <c r="L359">
        <v>367.5274</v>
      </c>
      <c r="M359">
        <v>0.99988699999999997</v>
      </c>
      <c r="N359">
        <v>-1.437778E-2</v>
      </c>
      <c r="O359">
        <v>4.4016669999999997E-3</v>
      </c>
      <c r="P359">
        <v>0.95740780000000003</v>
      </c>
      <c r="Q359">
        <v>0.28148820000000002</v>
      </c>
      <c r="R359">
        <v>6.4304429999999996E-2</v>
      </c>
      <c r="S359">
        <v>3.1842039999999998</v>
      </c>
      <c r="T359">
        <v>-0.16121729999999901</v>
      </c>
      <c r="U359">
        <v>-4.0832519999999997E-2</v>
      </c>
      <c r="V359">
        <v>-6.0083879999999999E-2</v>
      </c>
      <c r="W359">
        <v>0.29522949999999998</v>
      </c>
      <c r="X359">
        <v>0.95353529999999997</v>
      </c>
      <c r="Y359">
        <v>1.7192869999999999E-2</v>
      </c>
      <c r="Z359">
        <v>-7.1810419999999997E-4</v>
      </c>
      <c r="AA359">
        <v>0.99985190000000002</v>
      </c>
      <c r="AB359">
        <v>31</v>
      </c>
      <c r="AC359">
        <v>21.613199999999999</v>
      </c>
      <c r="AD359">
        <v>-1.1107226623749999</v>
      </c>
      <c r="AE359">
        <v>-0.28280000000000799</v>
      </c>
      <c r="AF359">
        <v>0.37694584413729099</v>
      </c>
      <c r="AG359">
        <v>-1.1107226623749999</v>
      </c>
      <c r="AH359">
        <v>21.554828485192001</v>
      </c>
      <c r="AI359">
        <v>92.949398485653603</v>
      </c>
      <c r="AJ359">
        <v>88.998126812348701</v>
      </c>
      <c r="AK359">
        <v>21.5867186952573</v>
      </c>
      <c r="AL359">
        <v>72.828701170963598</v>
      </c>
      <c r="AM359">
        <v>93.605537597986796</v>
      </c>
      <c r="AN359">
        <v>1.0000000493260901</v>
      </c>
    </row>
    <row r="360" spans="1:40" x14ac:dyDescent="0.25">
      <c r="A360" t="str">
        <f>"20190304164601973"</f>
        <v>20190304164601973</v>
      </c>
      <c r="B360" t="str">
        <f>"1551689161968037"</f>
        <v>1551689161968037</v>
      </c>
      <c r="C360" t="s">
        <v>40</v>
      </c>
      <c r="D360">
        <v>4.2483969999999998</v>
      </c>
      <c r="E360">
        <v>0.54382659999999905</v>
      </c>
      <c r="F360" t="s">
        <v>42</v>
      </c>
      <c r="G360">
        <v>-349.81290000000001</v>
      </c>
      <c r="H360" s="1">
        <v>-6.9060550000000005E-7</v>
      </c>
      <c r="I360">
        <v>367.23160000000001</v>
      </c>
      <c r="J360">
        <v>-371.37029999999999</v>
      </c>
      <c r="K360">
        <v>1.110706</v>
      </c>
      <c r="L360">
        <v>367.52870000000001</v>
      </c>
      <c r="M360">
        <v>0.99988699999999997</v>
      </c>
      <c r="N360">
        <v>-1.4374420000000001E-2</v>
      </c>
      <c r="O360">
        <v>4.3984209999999996E-3</v>
      </c>
      <c r="P360">
        <v>0.95735579999999998</v>
      </c>
      <c r="Q360">
        <v>0.28188619999999998</v>
      </c>
      <c r="R360">
        <v>6.3326820000000006E-2</v>
      </c>
      <c r="S360">
        <v>3.1838989999999998</v>
      </c>
      <c r="T360">
        <v>-0.16168929999999901</v>
      </c>
      <c r="U360">
        <v>-4.3060300000000003E-2</v>
      </c>
      <c r="V360">
        <v>-5.9107380000000001E-2</v>
      </c>
      <c r="W360">
        <v>0.29562369999999999</v>
      </c>
      <c r="X360">
        <v>0.95347420000000005</v>
      </c>
      <c r="Y360">
        <v>1.7888999999999999E-2</v>
      </c>
      <c r="Z360">
        <v>-7.4262839999999998E-4</v>
      </c>
      <c r="AA360">
        <v>0.9998397</v>
      </c>
      <c r="AB360">
        <v>31</v>
      </c>
      <c r="AC360">
        <v>21.557399999999902</v>
      </c>
      <c r="AD360">
        <v>-1.1107066906055001</v>
      </c>
      <c r="AE360">
        <v>-0.29709999999999998</v>
      </c>
      <c r="AF360">
        <v>0.390887973907524</v>
      </c>
      <c r="AG360">
        <v>-1.1107066906055001</v>
      </c>
      <c r="AH360">
        <v>21.498823674715702</v>
      </c>
      <c r="AI360">
        <v>92.956989128738499</v>
      </c>
      <c r="AJ360">
        <v>88.958372602712799</v>
      </c>
      <c r="AK360">
        <v>21.531044613701798</v>
      </c>
      <c r="AL360">
        <v>72.805060011966404</v>
      </c>
      <c r="AM360">
        <v>93.547316956394496</v>
      </c>
      <c r="AN360">
        <v>1.0000000522188901</v>
      </c>
    </row>
    <row r="361" spans="1:40" x14ac:dyDescent="0.25">
      <c r="A361" t="str">
        <f>"20190304164601997"</f>
        <v>20190304164601997</v>
      </c>
      <c r="B361" t="str">
        <f>"1551689161988532"</f>
        <v>1551689161988532</v>
      </c>
      <c r="C361" t="s">
        <v>40</v>
      </c>
      <c r="D361">
        <v>4.3373599999999897</v>
      </c>
      <c r="E361">
        <v>0.54381800000000002</v>
      </c>
      <c r="F361" t="s">
        <v>42</v>
      </c>
      <c r="G361">
        <v>-349.44799999999998</v>
      </c>
      <c r="H361" s="1">
        <v>-8.3765490000000003E-7</v>
      </c>
      <c r="I361">
        <v>367.2056</v>
      </c>
      <c r="J361">
        <v>-371.0532</v>
      </c>
      <c r="K361">
        <v>1.110703</v>
      </c>
      <c r="L361">
        <v>367.5301</v>
      </c>
      <c r="M361">
        <v>0.99988719999999998</v>
      </c>
      <c r="N361">
        <v>-1.437124E-2</v>
      </c>
      <c r="O361">
        <v>4.3947179999999997E-3</v>
      </c>
      <c r="P361">
        <v>0.95728959999999996</v>
      </c>
      <c r="Q361">
        <v>0.28212039999999999</v>
      </c>
      <c r="R361">
        <v>6.328346E-2</v>
      </c>
      <c r="S361">
        <v>3.1842649999999999</v>
      </c>
      <c r="T361">
        <v>-0.16133220000000001</v>
      </c>
      <c r="U361">
        <v>-4.6936039999999998E-2</v>
      </c>
      <c r="V361">
        <v>-5.9066149999999998E-2</v>
      </c>
      <c r="W361">
        <v>0.29585409999999901</v>
      </c>
      <c r="X361">
        <v>0.95340530000000001</v>
      </c>
      <c r="Y361">
        <v>1.90986E-2</v>
      </c>
      <c r="Z361">
        <v>-7.8022490000000003E-4</v>
      </c>
      <c r="AA361">
        <v>0.99981730000000002</v>
      </c>
      <c r="AB361">
        <v>31</v>
      </c>
      <c r="AC361">
        <v>21.6051999999999</v>
      </c>
      <c r="AD361">
        <v>-1.1107038376548899</v>
      </c>
      <c r="AE361">
        <v>-0.32450000000000001</v>
      </c>
      <c r="AF361">
        <v>0.41835001534598898</v>
      </c>
      <c r="AG361">
        <v>-1.1107038376548899</v>
      </c>
      <c r="AH361">
        <v>21.5466324354006</v>
      </c>
      <c r="AI361">
        <v>92.950363742986895</v>
      </c>
      <c r="AJ361">
        <v>88.887683309994202</v>
      </c>
      <c r="AK361">
        <v>21.579296769278098</v>
      </c>
      <c r="AL361">
        <v>72.791241099878604</v>
      </c>
      <c r="AM361">
        <v>93.545104381626203</v>
      </c>
      <c r="AN361">
        <v>1.00000006231535</v>
      </c>
    </row>
    <row r="362" spans="1:40" x14ac:dyDescent="0.25">
      <c r="A362" t="str">
        <f>"20190304164602017"</f>
        <v>20190304164602017</v>
      </c>
      <c r="B362" t="str">
        <f>"1551689162008056"</f>
        <v>1551689162008056</v>
      </c>
      <c r="C362" t="s">
        <v>40</v>
      </c>
      <c r="D362">
        <v>4.2531829999999999</v>
      </c>
      <c r="E362">
        <v>0.5438231</v>
      </c>
      <c r="F362" t="s">
        <v>42</v>
      </c>
      <c r="G362">
        <v>-349.1662</v>
      </c>
      <c r="H362" s="1">
        <v>-9.4652570000000001E-7</v>
      </c>
      <c r="I362">
        <v>367.20310000000001</v>
      </c>
      <c r="J362">
        <v>-370.7534</v>
      </c>
      <c r="K362">
        <v>1.110703</v>
      </c>
      <c r="L362">
        <v>367.53140000000002</v>
      </c>
      <c r="M362">
        <v>0.99988710000000003</v>
      </c>
      <c r="N362">
        <v>-1.436802E-2</v>
      </c>
      <c r="O362">
        <v>4.392689E-3</v>
      </c>
      <c r="P362">
        <v>0.95740820000000004</v>
      </c>
      <c r="Q362">
        <v>0.28175470000000002</v>
      </c>
      <c r="R362">
        <v>6.3119739999999994E-2</v>
      </c>
      <c r="S362">
        <v>3.1846009999999998</v>
      </c>
      <c r="T362">
        <v>-0.16160929999999901</v>
      </c>
      <c r="U362">
        <v>-4.7576899999999998E-2</v>
      </c>
      <c r="V362">
        <v>-5.8903110000000002E-2</v>
      </c>
      <c r="W362">
        <v>0.29548740000000001</v>
      </c>
      <c r="X362">
        <v>0.95352899999999996</v>
      </c>
      <c r="Y362">
        <v>1.929575E-2</v>
      </c>
      <c r="Z362">
        <v>-7.8768700000000002E-4</v>
      </c>
      <c r="AA362">
        <v>0.99981350000000002</v>
      </c>
      <c r="AB362">
        <v>31</v>
      </c>
      <c r="AC362">
        <v>21.587199999999999</v>
      </c>
      <c r="AD362">
        <v>-1.1107039465257</v>
      </c>
      <c r="AE362">
        <v>-0.32830000000001203</v>
      </c>
      <c r="AF362">
        <v>0.42201553425338101</v>
      </c>
      <c r="AG362">
        <v>-1.1107039465257</v>
      </c>
      <c r="AH362">
        <v>21.528569902240601</v>
      </c>
      <c r="AI362">
        <v>92.952824293005406</v>
      </c>
      <c r="AJ362">
        <v>88.876998671184893</v>
      </c>
      <c r="AK362">
        <v>21.561333038651401</v>
      </c>
      <c r="AL362">
        <v>72.813233110191106</v>
      </c>
      <c r="AM362">
        <v>93.534886228379605</v>
      </c>
      <c r="AN362">
        <v>0.99999996688371495</v>
      </c>
    </row>
    <row r="363" spans="1:40" x14ac:dyDescent="0.25">
      <c r="A363" t="str">
        <f>"20190304164602040"</f>
        <v>20190304164602040</v>
      </c>
      <c r="B363" t="str">
        <f>"1551689162038308"</f>
        <v>1551689162038308</v>
      </c>
      <c r="C363" t="s">
        <v>40</v>
      </c>
      <c r="D363">
        <v>4.3339660000000002</v>
      </c>
      <c r="E363">
        <v>0.54372189999999998</v>
      </c>
      <c r="F363" t="s">
        <v>42</v>
      </c>
      <c r="G363">
        <v>-349.18619999999999</v>
      </c>
      <c r="H363" s="1">
        <v>-9.3749340000000001E-7</v>
      </c>
      <c r="I363">
        <v>367.20819999999998</v>
      </c>
      <c r="J363">
        <v>-370.4384</v>
      </c>
      <c r="K363">
        <v>1.1107009999999999</v>
      </c>
      <c r="L363">
        <v>367.53280000000001</v>
      </c>
      <c r="M363">
        <v>0.99988719999999998</v>
      </c>
      <c r="N363">
        <v>-1.4364419999999999E-2</v>
      </c>
      <c r="O363">
        <v>4.3913279999999999E-3</v>
      </c>
      <c r="P363">
        <v>0.95743780000000001</v>
      </c>
      <c r="Q363">
        <v>0.28153430000000002</v>
      </c>
      <c r="R363">
        <v>6.3652879999999995E-2</v>
      </c>
      <c r="S363">
        <v>3.1848749999999999</v>
      </c>
      <c r="T363">
        <v>-0.16401959999999999</v>
      </c>
      <c r="U363">
        <v>-4.7729489999999999E-2</v>
      </c>
      <c r="V363">
        <v>-5.9436629999999997E-2</v>
      </c>
      <c r="W363">
        <v>0.29526469999999999</v>
      </c>
      <c r="X363">
        <v>0.95356490000000005</v>
      </c>
      <c r="Y363">
        <v>1.9339950000000002E-2</v>
      </c>
      <c r="Z363">
        <v>-7.9961959999999999E-4</v>
      </c>
      <c r="AA363">
        <v>0.9998127</v>
      </c>
      <c r="AB363">
        <v>31</v>
      </c>
      <c r="AC363">
        <v>21.252199999999998</v>
      </c>
      <c r="AD363">
        <v>-1.11070193749339</v>
      </c>
      <c r="AE363">
        <v>-0.32460000000003197</v>
      </c>
      <c r="AF363">
        <v>0.41679370870509003</v>
      </c>
      <c r="AG363">
        <v>-1.11070193749339</v>
      </c>
      <c r="AH363">
        <v>21.192696979817399</v>
      </c>
      <c r="AI363">
        <v>92.999528206025403</v>
      </c>
      <c r="AJ363">
        <v>88.873317431182002</v>
      </c>
      <c r="AK363">
        <v>21.225875272127801</v>
      </c>
      <c r="AL363">
        <v>72.826589158442403</v>
      </c>
      <c r="AM363">
        <v>93.566687540432696</v>
      </c>
      <c r="AN363">
        <v>0.99999998728192796</v>
      </c>
    </row>
    <row r="364" spans="1:40" x14ac:dyDescent="0.25">
      <c r="A364" t="str">
        <f>"20190304164602064"</f>
        <v>20190304164602064</v>
      </c>
      <c r="B364" t="str">
        <f>"1551689162057828"</f>
        <v>1551689162057828</v>
      </c>
      <c r="C364" t="s">
        <v>40</v>
      </c>
      <c r="D364">
        <v>4.3338489999999998</v>
      </c>
      <c r="E364">
        <v>0.54362900000000003</v>
      </c>
      <c r="F364" t="s">
        <v>42</v>
      </c>
      <c r="G364">
        <v>-349.04950000000002</v>
      </c>
      <c r="H364" s="1">
        <v>-9.827485000000001E-7</v>
      </c>
      <c r="I364">
        <v>367.23540000000003</v>
      </c>
      <c r="J364">
        <v>-370.11219999999997</v>
      </c>
      <c r="K364">
        <v>1.1107</v>
      </c>
      <c r="L364">
        <v>367.5342</v>
      </c>
      <c r="M364">
        <v>0.99988730000000003</v>
      </c>
      <c r="N364">
        <v>-1.4360700000000001E-2</v>
      </c>
      <c r="O364">
        <v>4.3905100000000002E-3</v>
      </c>
      <c r="P364">
        <v>0.95748880000000003</v>
      </c>
      <c r="Q364">
        <v>0.28125440000000002</v>
      </c>
      <c r="R364">
        <v>6.4119990000000002E-2</v>
      </c>
      <c r="S364">
        <v>3.1849059999999998</v>
      </c>
      <c r="T364">
        <v>-0.16538849999999999</v>
      </c>
      <c r="U364">
        <v>-4.4281010000000003E-2</v>
      </c>
      <c r="V364">
        <v>-5.9903610000000003E-2</v>
      </c>
      <c r="W364">
        <v>0.29498220000000003</v>
      </c>
      <c r="X364">
        <v>0.95362309999999995</v>
      </c>
      <c r="Y364">
        <v>1.8257949999999998E-2</v>
      </c>
      <c r="Z364">
        <v>-7.6975000000000003E-4</v>
      </c>
      <c r="AA364">
        <v>0.99983299999999997</v>
      </c>
      <c r="AB364">
        <v>31</v>
      </c>
      <c r="AC364">
        <v>21.0626999999999</v>
      </c>
      <c r="AD364">
        <v>-1.1107009827484999</v>
      </c>
      <c r="AE364">
        <v>-0.29879999999997098</v>
      </c>
      <c r="AF364">
        <v>0.39019781112855501</v>
      </c>
      <c r="AG364">
        <v>-1.1107009827484999</v>
      </c>
      <c r="AH364">
        <v>21.002792589189301</v>
      </c>
      <c r="AI364">
        <v>93.026659593309006</v>
      </c>
      <c r="AJ364">
        <v>88.935659817233997</v>
      </c>
      <c r="AK364">
        <v>21.035760208497202</v>
      </c>
      <c r="AL364">
        <v>72.843529616359504</v>
      </c>
      <c r="AM364">
        <v>93.594418191228499</v>
      </c>
      <c r="AN364">
        <v>0.99999997883073999</v>
      </c>
    </row>
    <row r="365" spans="1:40" x14ac:dyDescent="0.25">
      <c r="A365" t="str">
        <f>"20190304164602086"</f>
        <v>20190304164602086</v>
      </c>
      <c r="B365" t="str">
        <f>"1551689162078324"</f>
        <v>1551689162078324</v>
      </c>
      <c r="C365" t="s">
        <v>40</v>
      </c>
      <c r="D365">
        <v>4.347702</v>
      </c>
      <c r="E365">
        <v>0.54355419999999999</v>
      </c>
      <c r="F365" t="s">
        <v>42</v>
      </c>
      <c r="G365">
        <v>-348.89159999999998</v>
      </c>
      <c r="H365" s="1">
        <v>-1.0370749999999999E-6</v>
      </c>
      <c r="I365">
        <v>367.25909999999999</v>
      </c>
      <c r="J365">
        <v>-369.79910000000001</v>
      </c>
      <c r="K365">
        <v>1.110697</v>
      </c>
      <c r="L365">
        <v>367.53559999999999</v>
      </c>
      <c r="M365">
        <v>0.99988730000000003</v>
      </c>
      <c r="N365">
        <v>-1.4357150000000001E-2</v>
      </c>
      <c r="O365">
        <v>4.3904119999999998E-3</v>
      </c>
      <c r="P365">
        <v>0.9575089</v>
      </c>
      <c r="Q365">
        <v>0.28111639999999999</v>
      </c>
      <c r="R365">
        <v>6.4425350000000006E-2</v>
      </c>
      <c r="S365">
        <v>3.1849669999999999</v>
      </c>
      <c r="T365">
        <v>-0.16670309999999999</v>
      </c>
      <c r="U365">
        <v>-4.1290279999999999E-2</v>
      </c>
      <c r="V365">
        <v>-6.0209220000000001E-2</v>
      </c>
      <c r="W365">
        <v>0.29484050000000001</v>
      </c>
      <c r="X365">
        <v>0.95364769999999999</v>
      </c>
      <c r="Y365">
        <v>1.7320019999999998E-2</v>
      </c>
      <c r="Z365">
        <v>-7.4402240000000003E-4</v>
      </c>
      <c r="AA365">
        <v>0.99984969999999995</v>
      </c>
      <c r="AB365">
        <v>31</v>
      </c>
      <c r="AC365">
        <v>20.907499999999999</v>
      </c>
      <c r="AD365">
        <v>-1.1106980370749999</v>
      </c>
      <c r="AE365">
        <v>-0.27649999999999803</v>
      </c>
      <c r="AF365">
        <v>0.36726302618689399</v>
      </c>
      <c r="AG365">
        <v>-1.1106980370749999</v>
      </c>
      <c r="AH365">
        <v>20.8472595310541</v>
      </c>
      <c r="AI365">
        <v>93.049242706423598</v>
      </c>
      <c r="AJ365">
        <v>88.990733296968898</v>
      </c>
      <c r="AK365">
        <v>20.880056566376702</v>
      </c>
      <c r="AL365">
        <v>72.852026752970701</v>
      </c>
      <c r="AM365">
        <v>93.612614431553595</v>
      </c>
      <c r="AN365">
        <v>1.00000000316427</v>
      </c>
    </row>
    <row r="366" spans="1:40" x14ac:dyDescent="0.25">
      <c r="A366" t="str">
        <f>"20190304164602107"</f>
        <v>20190304164602107</v>
      </c>
      <c r="B366" t="str">
        <f>"1551689162097848"</f>
        <v>1551689162097848</v>
      </c>
      <c r="C366" t="s">
        <v>40</v>
      </c>
      <c r="D366">
        <v>4.3454430000000004</v>
      </c>
      <c r="E366">
        <v>0.54352829999999996</v>
      </c>
      <c r="F366" t="s">
        <v>42</v>
      </c>
      <c r="G366">
        <v>-348.7174</v>
      </c>
      <c r="H366" s="1">
        <v>-1.099283E-6</v>
      </c>
      <c r="I366">
        <v>367.27659999999997</v>
      </c>
      <c r="J366">
        <v>-369.50459999999998</v>
      </c>
      <c r="K366">
        <v>1.110697</v>
      </c>
      <c r="L366">
        <v>367.5369</v>
      </c>
      <c r="M366">
        <v>0.99988750000000004</v>
      </c>
      <c r="N366">
        <v>-1.435381E-2</v>
      </c>
      <c r="O366">
        <v>4.390077E-3</v>
      </c>
      <c r="P366">
        <v>0.95757939999999997</v>
      </c>
      <c r="Q366">
        <v>0.28079330000000002</v>
      </c>
      <c r="R366">
        <v>6.4784990000000001E-2</v>
      </c>
      <c r="S366">
        <v>3.1850589999999999</v>
      </c>
      <c r="T366">
        <v>-0.1678065</v>
      </c>
      <c r="U366">
        <v>-3.9123539999999998E-2</v>
      </c>
      <c r="V366">
        <v>-6.0568429999999999E-2</v>
      </c>
      <c r="W366">
        <v>0.29451559999999999</v>
      </c>
      <c r="X366">
        <v>0.9537253</v>
      </c>
      <c r="Y366">
        <v>1.6640019999999998E-2</v>
      </c>
      <c r="Z366">
        <v>-7.2570600000000001E-4</v>
      </c>
      <c r="AA366">
        <v>0.99986129999999995</v>
      </c>
      <c r="AB366">
        <v>31</v>
      </c>
      <c r="AC366">
        <v>20.787199999999899</v>
      </c>
      <c r="AD366">
        <v>-1.110698099283</v>
      </c>
      <c r="AE366">
        <v>-0.26030000000002901</v>
      </c>
      <c r="AF366">
        <v>0.350563599436788</v>
      </c>
      <c r="AG366">
        <v>-1.110698099283</v>
      </c>
      <c r="AH366">
        <v>20.726692184303001</v>
      </c>
      <c r="AI366">
        <v>93.0669837386952</v>
      </c>
      <c r="AJ366">
        <v>89.0310127864809</v>
      </c>
      <c r="AK366">
        <v>20.759390983548801</v>
      </c>
      <c r="AL366">
        <v>72.871506396254205</v>
      </c>
      <c r="AM366">
        <v>93.6338149111658</v>
      </c>
      <c r="AN366">
        <v>0.99999996060805596</v>
      </c>
    </row>
    <row r="367" spans="1:40" x14ac:dyDescent="0.25">
      <c r="A367" t="str">
        <f>"20190304164602130"</f>
        <v>20190304164602130</v>
      </c>
      <c r="B367" t="str">
        <f>"1551689162118341"</f>
        <v>1551689162118341</v>
      </c>
      <c r="C367" t="s">
        <v>40</v>
      </c>
      <c r="D367">
        <v>4.3847180000000003</v>
      </c>
      <c r="E367">
        <v>0.54349139999999996</v>
      </c>
      <c r="F367" t="s">
        <v>42</v>
      </c>
      <c r="G367">
        <v>-348.625</v>
      </c>
      <c r="H367" s="1">
        <v>-1.1311310000000001E-6</v>
      </c>
      <c r="I367">
        <v>367.29039999999998</v>
      </c>
      <c r="J367">
        <v>-369.1952</v>
      </c>
      <c r="K367">
        <v>1.1107</v>
      </c>
      <c r="L367">
        <v>367.53820000000002</v>
      </c>
      <c r="M367">
        <v>0.99988739999999998</v>
      </c>
      <c r="N367">
        <v>-1.435031E-2</v>
      </c>
      <c r="O367">
        <v>4.3901019999999999E-3</v>
      </c>
      <c r="P367">
        <v>0.95753449999999996</v>
      </c>
      <c r="Q367">
        <v>0.28101300000000001</v>
      </c>
      <c r="R367">
        <v>6.4496280000000003E-2</v>
      </c>
      <c r="S367">
        <v>3.1850890000000001</v>
      </c>
      <c r="T367">
        <v>-0.16943169999999999</v>
      </c>
      <c r="U367">
        <v>-3.7597659999999998E-2</v>
      </c>
      <c r="V367">
        <v>-6.0280449999999999E-2</v>
      </c>
      <c r="W367">
        <v>0.29473110000000002</v>
      </c>
      <c r="X367">
        <v>0.953677</v>
      </c>
      <c r="Y367">
        <v>1.616126E-2</v>
      </c>
      <c r="Z367">
        <v>-7.1599909999999997E-4</v>
      </c>
      <c r="AA367">
        <v>0.99986920000000001</v>
      </c>
      <c r="AB367">
        <v>31</v>
      </c>
      <c r="AC367">
        <v>20.5702</v>
      </c>
      <c r="AD367">
        <v>-1.110701131131</v>
      </c>
      <c r="AE367">
        <v>-0.24780000000003999</v>
      </c>
      <c r="AF367">
        <v>0.33712941868860902</v>
      </c>
      <c r="AG367">
        <v>-1.110701131131</v>
      </c>
      <c r="AH367">
        <v>20.509127469781099</v>
      </c>
      <c r="AI367">
        <v>93.0994887521545</v>
      </c>
      <c r="AJ367">
        <v>89.058255727334696</v>
      </c>
      <c r="AK367">
        <v>20.541947882792599</v>
      </c>
      <c r="AL367">
        <v>72.8585861168077</v>
      </c>
      <c r="AM367">
        <v>93.616766138580502</v>
      </c>
      <c r="AN367">
        <v>0.99999998714420602</v>
      </c>
    </row>
    <row r="368" spans="1:40" x14ac:dyDescent="0.25">
      <c r="A368" t="str">
        <f>"20190304164602151"</f>
        <v>20190304164602151</v>
      </c>
      <c r="B368" t="str">
        <f>"1551689162137860"</f>
        <v>1551689162137860</v>
      </c>
      <c r="C368" t="s">
        <v>40</v>
      </c>
      <c r="D368">
        <v>4.4295450000000001</v>
      </c>
      <c r="E368">
        <v>0.54367270000000001</v>
      </c>
      <c r="F368" t="s">
        <v>42</v>
      </c>
      <c r="G368">
        <v>-348.18200000000002</v>
      </c>
      <c r="H368" s="1">
        <v>-1.3028930000000001E-6</v>
      </c>
      <c r="I368">
        <v>367.28410000000002</v>
      </c>
      <c r="J368">
        <v>-368.89159999999998</v>
      </c>
      <c r="K368">
        <v>1.1107009999999999</v>
      </c>
      <c r="L368">
        <v>367.53960000000001</v>
      </c>
      <c r="M368">
        <v>0.99988759999999999</v>
      </c>
      <c r="N368">
        <v>-1.4346930000000001E-2</v>
      </c>
      <c r="O368">
        <v>4.3901259999999899E-3</v>
      </c>
      <c r="P368">
        <v>0.95748960000000005</v>
      </c>
      <c r="Q368">
        <v>0.28131339999999999</v>
      </c>
      <c r="R368">
        <v>6.3850850000000001E-2</v>
      </c>
      <c r="S368">
        <v>3.1850589999999999</v>
      </c>
      <c r="T368">
        <v>-0.16835429999999901</v>
      </c>
      <c r="U368">
        <v>-3.8513180000000001E-2</v>
      </c>
      <c r="V368">
        <v>-5.9634449999999999E-2</v>
      </c>
      <c r="W368">
        <v>0.29502729999999999</v>
      </c>
      <c r="X368">
        <v>0.95362599999999997</v>
      </c>
      <c r="Y368">
        <v>1.6448629999999999E-2</v>
      </c>
      <c r="Z368">
        <v>-7.2143479999999904E-4</v>
      </c>
      <c r="AA368">
        <v>0.99986450000000004</v>
      </c>
      <c r="AB368">
        <v>31</v>
      </c>
      <c r="AC368">
        <v>20.709599999999998</v>
      </c>
      <c r="AD368">
        <v>-1.1107023028930001</v>
      </c>
      <c r="AE368">
        <v>-0.25549999999998302</v>
      </c>
      <c r="AF368">
        <v>0.34543118153670699</v>
      </c>
      <c r="AG368">
        <v>-1.1107023028930001</v>
      </c>
      <c r="AH368">
        <v>20.648892797635199</v>
      </c>
      <c r="AI368">
        <v>93.078538288789105</v>
      </c>
      <c r="AJ368">
        <v>89.041599805863797</v>
      </c>
      <c r="AK368">
        <v>20.6816284676778</v>
      </c>
      <c r="AL368">
        <v>72.840824915182907</v>
      </c>
      <c r="AM368">
        <v>93.578298889299703</v>
      </c>
      <c r="AN368">
        <v>0.99999996162404503</v>
      </c>
    </row>
    <row r="369" spans="1:40" x14ac:dyDescent="0.25">
      <c r="A369" t="str">
        <f>"20190304164602175"</f>
        <v>20190304164602175</v>
      </c>
      <c r="B369" t="str">
        <f>"1551689162168116"</f>
        <v>1551689162168116</v>
      </c>
      <c r="C369" t="s">
        <v>40</v>
      </c>
      <c r="D369">
        <v>4.5605260000000003</v>
      </c>
      <c r="E369">
        <v>0.56369349999999996</v>
      </c>
      <c r="F369" t="s">
        <v>42</v>
      </c>
      <c r="G369">
        <v>-347.89260000000002</v>
      </c>
      <c r="H369" s="1">
        <v>-1.4212710000000001E-6</v>
      </c>
      <c r="I369">
        <v>367.25689999999997</v>
      </c>
      <c r="J369">
        <v>-368.56119999999999</v>
      </c>
      <c r="K369">
        <v>1.110706</v>
      </c>
      <c r="L369">
        <v>367.541</v>
      </c>
      <c r="M369">
        <v>0.99988759999999999</v>
      </c>
      <c r="N369">
        <v>-1.434324E-2</v>
      </c>
      <c r="O369">
        <v>4.3901529999999999E-3</v>
      </c>
      <c r="P369">
        <v>0.95755619999999997</v>
      </c>
      <c r="Q369">
        <v>0.28120060000000002</v>
      </c>
      <c r="R369">
        <v>6.334621E-2</v>
      </c>
      <c r="S369">
        <v>3.1855470000000001</v>
      </c>
      <c r="T369">
        <v>-0.1684937</v>
      </c>
      <c r="U369">
        <v>-4.2877199999999997E-2</v>
      </c>
      <c r="V369">
        <v>-5.9130080000000002E-2</v>
      </c>
      <c r="W369">
        <v>0.29491250000000002</v>
      </c>
      <c r="X369">
        <v>0.95369300000000001</v>
      </c>
      <c r="Y369">
        <v>1.7813849999999999E-2</v>
      </c>
      <c r="Z369">
        <v>-7.6774609999999996E-4</v>
      </c>
      <c r="AA369">
        <v>0.99984099999999998</v>
      </c>
      <c r="AB369">
        <v>31</v>
      </c>
      <c r="AC369">
        <v>20.668599999999898</v>
      </c>
      <c r="AD369">
        <v>-1.110707421271</v>
      </c>
      <c r="AE369">
        <v>-0.284100000000023</v>
      </c>
      <c r="AF369">
        <v>0.37376572146903297</v>
      </c>
      <c r="AG369">
        <v>-1.110707421271</v>
      </c>
      <c r="AH369">
        <v>20.607652487086099</v>
      </c>
      <c r="AI369">
        <v>93.084625833270394</v>
      </c>
      <c r="AJ369">
        <v>88.960927228260005</v>
      </c>
      <c r="AK369">
        <v>20.640947478706501</v>
      </c>
      <c r="AL369">
        <v>72.847710207075394</v>
      </c>
      <c r="AM369">
        <v>93.547863740053799</v>
      </c>
      <c r="AN369">
        <v>1.0000000436330201</v>
      </c>
    </row>
    <row r="370" spans="1:40" x14ac:dyDescent="0.25">
      <c r="A370" t="str">
        <f>"20190304164602197"</f>
        <v>20190304164602197</v>
      </c>
      <c r="B370" t="str">
        <f>"1551689162187636"</f>
        <v>1551689162187636</v>
      </c>
      <c r="C370" t="s">
        <v>40</v>
      </c>
      <c r="D370">
        <v>4.6573289999999998</v>
      </c>
      <c r="E370">
        <v>0.55350999999999995</v>
      </c>
      <c r="F370" t="s">
        <v>41</v>
      </c>
      <c r="G370">
        <v>-367.62740000000002</v>
      </c>
      <c r="H370">
        <v>0.92545860000000002</v>
      </c>
      <c r="I370">
        <v>367.4991</v>
      </c>
      <c r="J370">
        <v>-368.25670000000002</v>
      </c>
      <c r="K370">
        <v>1.1107070000000001</v>
      </c>
      <c r="L370">
        <v>367.54239999999999</v>
      </c>
      <c r="M370">
        <v>0.99988750000000004</v>
      </c>
      <c r="N370">
        <v>-1.434E-2</v>
      </c>
      <c r="O370">
        <v>4.3903550000000003E-3</v>
      </c>
      <c r="P370">
        <v>0.95756419999999998</v>
      </c>
      <c r="Q370">
        <v>0.28117409999999998</v>
      </c>
      <c r="R370">
        <v>6.3339619999999999E-2</v>
      </c>
      <c r="S370">
        <v>3.3373409999999999</v>
      </c>
      <c r="T370">
        <v>-0.66215930000000001</v>
      </c>
      <c r="U370">
        <v>-0.149231</v>
      </c>
      <c r="V370">
        <v>-5.9122910000000001E-2</v>
      </c>
      <c r="W370">
        <v>0.2948829</v>
      </c>
      <c r="X370">
        <v>0.95370259999999996</v>
      </c>
      <c r="Y370">
        <v>4.798094E-2</v>
      </c>
      <c r="Z370">
        <v>-5.8593839999999996E-3</v>
      </c>
      <c r="AA370">
        <v>0.99883109999999997</v>
      </c>
      <c r="AB370">
        <v>31</v>
      </c>
      <c r="AC370">
        <v>0.62929999999999997</v>
      </c>
      <c r="AD370">
        <v>-0.18524840000000001</v>
      </c>
      <c r="AE370">
        <v>-4.3299999999987897E-2</v>
      </c>
      <c r="AF370">
        <v>4.2405394181849999E-2</v>
      </c>
      <c r="AG370">
        <v>-0.18524840000000001</v>
      </c>
      <c r="AH370">
        <v>0.57915374363293803</v>
      </c>
      <c r="AI370">
        <v>107.69302186479</v>
      </c>
      <c r="AJ370">
        <v>85.812299957376894</v>
      </c>
      <c r="AK370">
        <v>0.60953609074633597</v>
      </c>
      <c r="AL370">
        <v>72.849485139130906</v>
      </c>
      <c r="AM370">
        <v>93.547399014164696</v>
      </c>
      <c r="AN370">
        <v>1.0000000462230101</v>
      </c>
    </row>
    <row r="371" spans="1:40" x14ac:dyDescent="0.25">
      <c r="A371" t="str">
        <f>"20190304164602218"</f>
        <v>20190304164602218</v>
      </c>
      <c r="B371" t="str">
        <f>"1551689162208132"</f>
        <v>1551689162208132</v>
      </c>
      <c r="C371" t="s">
        <v>40</v>
      </c>
      <c r="D371">
        <v>4.7100660000000003</v>
      </c>
      <c r="E371">
        <v>0.55502910000000005</v>
      </c>
      <c r="F371" t="s">
        <v>41</v>
      </c>
      <c r="G371">
        <v>-367.39490000000001</v>
      </c>
      <c r="H371">
        <v>0.81974230000000003</v>
      </c>
      <c r="I371">
        <v>367.53949999999998</v>
      </c>
      <c r="J371">
        <v>-367.95850000000002</v>
      </c>
      <c r="K371">
        <v>1.110708</v>
      </c>
      <c r="L371">
        <v>367.5437</v>
      </c>
      <c r="M371">
        <v>0.99988759999999999</v>
      </c>
      <c r="N371">
        <v>-1.433681E-2</v>
      </c>
      <c r="O371">
        <v>4.3903780000000003E-3</v>
      </c>
      <c r="P371">
        <v>0.95765940000000005</v>
      </c>
      <c r="Q371">
        <v>0.28089599999999998</v>
      </c>
      <c r="R371">
        <v>6.3133880000000003E-2</v>
      </c>
      <c r="S371">
        <v>3.4785159999999999</v>
      </c>
      <c r="T371">
        <v>-1.174329</v>
      </c>
      <c r="U371">
        <v>-1.0803220000000001E-2</v>
      </c>
      <c r="V371">
        <v>-5.891677E-2</v>
      </c>
      <c r="W371">
        <v>0.29460310000000001</v>
      </c>
      <c r="X371">
        <v>0.95380180000000003</v>
      </c>
      <c r="Y371">
        <v>6.8749700000000002E-3</v>
      </c>
      <c r="Z371">
        <v>-2.560704E-3</v>
      </c>
      <c r="AA371">
        <v>0.99997309999999995</v>
      </c>
      <c r="AB371">
        <v>31</v>
      </c>
      <c r="AC371">
        <v>0.56360000000000798</v>
      </c>
      <c r="AD371">
        <v>-0.29096569999999999</v>
      </c>
      <c r="AE371">
        <v>-4.20000000002573E-3</v>
      </c>
      <c r="AF371">
        <v>5.2700870341755397E-3</v>
      </c>
      <c r="AG371">
        <v>-0.29096569999999999</v>
      </c>
      <c r="AH371">
        <v>0.44498269596399298</v>
      </c>
      <c r="AI371">
        <v>123.17806713317999</v>
      </c>
      <c r="AJ371">
        <v>89.321457596432893</v>
      </c>
      <c r="AK371">
        <v>0.53169390827921004</v>
      </c>
      <c r="AL371">
        <v>72.866261363087304</v>
      </c>
      <c r="AM371">
        <v>93.534695217213894</v>
      </c>
      <c r="AN371">
        <v>1.0000000230000401</v>
      </c>
    </row>
    <row r="372" spans="1:40" x14ac:dyDescent="0.25">
      <c r="A372" t="str">
        <f>"20190304164602242"</f>
        <v>20190304164602242</v>
      </c>
      <c r="B372" t="str">
        <f>"1551689162227652"</f>
        <v>1551689162227652</v>
      </c>
      <c r="C372" t="s">
        <v>40</v>
      </c>
      <c r="D372">
        <v>4.5446479999999996</v>
      </c>
      <c r="E372">
        <v>0.55418699999999999</v>
      </c>
      <c r="F372" t="s">
        <v>41</v>
      </c>
      <c r="G372">
        <v>-367.11360000000002</v>
      </c>
      <c r="H372">
        <v>0.83219750000000003</v>
      </c>
      <c r="I372">
        <v>367.53699999999998</v>
      </c>
      <c r="J372">
        <v>-367.64319999999998</v>
      </c>
      <c r="K372">
        <v>1.110703</v>
      </c>
      <c r="L372">
        <v>367.54509999999999</v>
      </c>
      <c r="M372">
        <v>0.99988759999999999</v>
      </c>
      <c r="N372">
        <v>-1.433339E-2</v>
      </c>
      <c r="O372">
        <v>4.3902230000000004E-3</v>
      </c>
      <c r="P372">
        <v>0.95788169999999995</v>
      </c>
      <c r="Q372">
        <v>0.2801129</v>
      </c>
      <c r="R372">
        <v>6.324109E-2</v>
      </c>
      <c r="S372">
        <v>3.469849</v>
      </c>
      <c r="T372">
        <v>-1.1436580000000001</v>
      </c>
      <c r="U372">
        <v>-2.6855469999999999E-2</v>
      </c>
      <c r="V372">
        <v>-5.9023069999999997E-2</v>
      </c>
      <c r="W372">
        <v>0.29382019999999998</v>
      </c>
      <c r="X372">
        <v>0.95403669999999996</v>
      </c>
      <c r="Y372">
        <v>1.1292440000000001E-2</v>
      </c>
      <c r="Z372">
        <v>-3.2444269999999998E-3</v>
      </c>
      <c r="AA372">
        <v>0.99993100000000001</v>
      </c>
      <c r="AB372">
        <v>31</v>
      </c>
      <c r="AC372">
        <v>0.52959999999995899</v>
      </c>
      <c r="AD372">
        <v>-0.27850550000000002</v>
      </c>
      <c r="AE372">
        <v>-8.1000000000130898E-3</v>
      </c>
      <c r="AF372">
        <v>8.1671394984684197E-3</v>
      </c>
      <c r="AG372">
        <v>-0.27850550000000002</v>
      </c>
      <c r="AH372">
        <v>0.41485778635975401</v>
      </c>
      <c r="AI372">
        <v>123.869416905808</v>
      </c>
      <c r="AJ372">
        <v>88.872186563451294</v>
      </c>
      <c r="AK372">
        <v>0.49973893044383899</v>
      </c>
      <c r="AL372">
        <v>72.913195624255394</v>
      </c>
      <c r="AM372">
        <v>93.540186793007507</v>
      </c>
      <c r="AN372">
        <v>1.00000002883357</v>
      </c>
    </row>
    <row r="373" spans="1:40" x14ac:dyDescent="0.25">
      <c r="A373" t="str">
        <f>"20190304164602265"</f>
        <v>20190304164602265</v>
      </c>
      <c r="B373" t="str">
        <f>"1551689162248149"</f>
        <v>1551689162248149</v>
      </c>
      <c r="C373" t="s">
        <v>40</v>
      </c>
      <c r="D373">
        <v>4.5239529999999997</v>
      </c>
      <c r="E373">
        <v>0.55355339999999997</v>
      </c>
      <c r="F373" t="s">
        <v>41</v>
      </c>
      <c r="G373">
        <v>-366.83429999999998</v>
      </c>
      <c r="H373">
        <v>0.84007379999999998</v>
      </c>
      <c r="I373">
        <v>367.54039999999998</v>
      </c>
      <c r="J373">
        <v>-367.31740000000002</v>
      </c>
      <c r="K373">
        <v>1.1106990000000001</v>
      </c>
      <c r="L373">
        <v>367.54649999999998</v>
      </c>
      <c r="M373">
        <v>0.99988770000000005</v>
      </c>
      <c r="N373">
        <v>-1.432988E-2</v>
      </c>
      <c r="O373">
        <v>4.3902489999999997E-3</v>
      </c>
      <c r="P373">
        <v>0.95811950000000001</v>
      </c>
      <c r="Q373">
        <v>0.27925529999999998</v>
      </c>
      <c r="R373">
        <v>6.3433059999999999E-2</v>
      </c>
      <c r="S373">
        <v>3.4729610000000002</v>
      </c>
      <c r="T373">
        <v>-1.161977</v>
      </c>
      <c r="U373">
        <v>-1.9165040000000001E-2</v>
      </c>
      <c r="V373">
        <v>-5.9214500000000003E-2</v>
      </c>
      <c r="W373">
        <v>0.29296270000000002</v>
      </c>
      <c r="X373">
        <v>0.95428849999999998</v>
      </c>
      <c r="Y373">
        <v>9.1676229999999997E-3</v>
      </c>
      <c r="Z373">
        <v>-2.929067E-3</v>
      </c>
      <c r="AA373">
        <v>0.99995369999999995</v>
      </c>
      <c r="AB373">
        <v>31</v>
      </c>
      <c r="AC373">
        <v>0.483100000000035</v>
      </c>
      <c r="AD373">
        <v>-0.27062519999999901</v>
      </c>
      <c r="AE373">
        <v>-6.1000000000035401E-3</v>
      </c>
      <c r="AF373">
        <v>6.2576941218287297E-3</v>
      </c>
      <c r="AG373">
        <v>-0.27062519999999901</v>
      </c>
      <c r="AH373">
        <v>0.36770013839284499</v>
      </c>
      <c r="AI373">
        <v>126.348895448438</v>
      </c>
      <c r="AJ373">
        <v>89.025007562282994</v>
      </c>
      <c r="AK373">
        <v>0.45659670321288998</v>
      </c>
      <c r="AL373">
        <v>72.964588291126304</v>
      </c>
      <c r="AM373">
        <v>93.550704623544306</v>
      </c>
      <c r="AN373">
        <v>1.00000002091689</v>
      </c>
    </row>
    <row r="374" spans="1:40" x14ac:dyDescent="0.25">
      <c r="A374" t="str">
        <f>"20190304164602288"</f>
        <v>20190304164602288</v>
      </c>
      <c r="B374" t="str">
        <f>"1551689162278405"</f>
        <v>1551689162278405</v>
      </c>
      <c r="C374" t="s">
        <v>40</v>
      </c>
      <c r="D374">
        <v>4.5217349999999996</v>
      </c>
      <c r="E374">
        <v>0.55292759999999996</v>
      </c>
      <c r="F374" t="s">
        <v>41</v>
      </c>
      <c r="G374">
        <v>-366.55340000000001</v>
      </c>
      <c r="H374">
        <v>0.85235799999999995</v>
      </c>
      <c r="I374">
        <v>367.5437</v>
      </c>
      <c r="J374">
        <v>-367.01249999999999</v>
      </c>
      <c r="K374">
        <v>1.1106940000000001</v>
      </c>
      <c r="L374">
        <v>367.54790000000003</v>
      </c>
      <c r="M374">
        <v>0.99988779999999999</v>
      </c>
      <c r="N374">
        <v>-1.4326520000000001E-2</v>
      </c>
      <c r="O374">
        <v>4.3902719999999998E-3</v>
      </c>
      <c r="P374">
        <v>0.95830630000000006</v>
      </c>
      <c r="Q374">
        <v>0.27857120000000002</v>
      </c>
      <c r="R374">
        <v>6.3619389999999998E-2</v>
      </c>
      <c r="S374">
        <v>3.4743650000000001</v>
      </c>
      <c r="T374">
        <v>-1.1749499999999999</v>
      </c>
      <c r="U374">
        <v>-1.2573239999999999E-2</v>
      </c>
      <c r="V374">
        <v>-5.9399529999999999E-2</v>
      </c>
      <c r="W374">
        <v>0.29227789999999998</v>
      </c>
      <c r="X374">
        <v>0.95448699999999997</v>
      </c>
      <c r="Y374">
        <v>7.3578459999999899E-3</v>
      </c>
      <c r="Z374">
        <v>-2.6478830000000002E-3</v>
      </c>
      <c r="AA374">
        <v>0.99996940000000001</v>
      </c>
      <c r="AB374">
        <v>31</v>
      </c>
      <c r="AC374">
        <v>0.45909999999997803</v>
      </c>
      <c r="AD374">
        <v>-0.25833600000000001</v>
      </c>
      <c r="AE374">
        <v>-4.20000000002573E-3</v>
      </c>
      <c r="AF374">
        <v>4.7210333661104097E-3</v>
      </c>
      <c r="AG374">
        <v>-0.25833600000000001</v>
      </c>
      <c r="AH374">
        <v>0.34868228386896999</v>
      </c>
      <c r="AI374">
        <v>126.531948209981</v>
      </c>
      <c r="AJ374">
        <v>89.224283045305299</v>
      </c>
      <c r="AK374">
        <v>0.43398054349950399</v>
      </c>
      <c r="AL374">
        <v>73.005621053041693</v>
      </c>
      <c r="AM374">
        <v>93.561032321722806</v>
      </c>
      <c r="AN374">
        <v>1.0000000540808101</v>
      </c>
    </row>
    <row r="375" spans="1:40" x14ac:dyDescent="0.25">
      <c r="A375" t="str">
        <f>"20190304164602307"</f>
        <v>20190304164602307</v>
      </c>
      <c r="B375" t="str">
        <f>"1551689162297928"</f>
        <v>1551689162297928</v>
      </c>
      <c r="C375" t="s">
        <v>40</v>
      </c>
      <c r="D375">
        <v>4.5321220000000002</v>
      </c>
      <c r="E375">
        <v>0.55280949999999995</v>
      </c>
      <c r="F375" t="s">
        <v>41</v>
      </c>
      <c r="G375">
        <v>-366.27530000000002</v>
      </c>
      <c r="H375">
        <v>0.85854229999999998</v>
      </c>
      <c r="I375">
        <v>367.54640000000001</v>
      </c>
      <c r="J375">
        <v>-366.73419999999999</v>
      </c>
      <c r="K375">
        <v>1.1107</v>
      </c>
      <c r="L375">
        <v>367.54910000000001</v>
      </c>
      <c r="M375">
        <v>0.99988779999999999</v>
      </c>
      <c r="N375">
        <v>-1.4323519999999999E-2</v>
      </c>
      <c r="O375">
        <v>4.3902940000000003E-3</v>
      </c>
      <c r="P375">
        <v>0.95843639999999997</v>
      </c>
      <c r="Q375">
        <v>0.278064799999999</v>
      </c>
      <c r="R375">
        <v>6.3873269999999996E-2</v>
      </c>
      <c r="S375">
        <v>3.4765929999999998</v>
      </c>
      <c r="T375">
        <v>-1.1891590000000001</v>
      </c>
      <c r="U375">
        <v>-5.9509280000000003E-3</v>
      </c>
      <c r="V375">
        <v>-5.9652669999999998E-2</v>
      </c>
      <c r="W375">
        <v>0.29177069999999999</v>
      </c>
      <c r="X375">
        <v>0.95462630000000004</v>
      </c>
      <c r="Y375">
        <v>5.5438889999999998E-3</v>
      </c>
      <c r="Z375">
        <v>-2.3617040000000001E-3</v>
      </c>
      <c r="AA375">
        <v>0.99998180000000003</v>
      </c>
      <c r="AB375">
        <v>31</v>
      </c>
      <c r="AC375">
        <v>0.458899999999971</v>
      </c>
      <c r="AD375">
        <v>-0.25215769999999899</v>
      </c>
      <c r="AE375">
        <v>-2.7000000000043599E-3</v>
      </c>
      <c r="AF375">
        <v>3.6214843654796898E-3</v>
      </c>
      <c r="AG375">
        <v>-0.25215769999999899</v>
      </c>
      <c r="AH375">
        <v>0.35246664108867298</v>
      </c>
      <c r="AI375">
        <v>125.57882900217</v>
      </c>
      <c r="AJ375">
        <v>89.411324521900596</v>
      </c>
      <c r="AK375">
        <v>0.43339284015616902</v>
      </c>
      <c r="AL375">
        <v>73.036004582301899</v>
      </c>
      <c r="AM375">
        <v>93.575648410265998</v>
      </c>
      <c r="AN375">
        <v>0.99999997753415404</v>
      </c>
    </row>
    <row r="376" spans="1:40" x14ac:dyDescent="0.25">
      <c r="A376" t="str">
        <f>"20190304164602331"</f>
        <v>20190304164602331</v>
      </c>
      <c r="B376" t="str">
        <f>"1551689162318421"</f>
        <v>1551689162318421</v>
      </c>
      <c r="C376" t="s">
        <v>40</v>
      </c>
      <c r="D376">
        <v>4.5496869999999996</v>
      </c>
      <c r="E376">
        <v>0.55280600000000002</v>
      </c>
      <c r="F376" t="s">
        <v>41</v>
      </c>
      <c r="G376">
        <v>-366.00020000000001</v>
      </c>
      <c r="H376">
        <v>0.85897829999999997</v>
      </c>
      <c r="I376">
        <v>367.54820000000001</v>
      </c>
      <c r="J376">
        <v>-366.41879999999998</v>
      </c>
      <c r="K376">
        <v>1.1107020000000001</v>
      </c>
      <c r="L376">
        <v>367.5505</v>
      </c>
      <c r="M376">
        <v>0.99988790000000005</v>
      </c>
      <c r="N376">
        <v>-1.43202E-2</v>
      </c>
      <c r="O376">
        <v>4.3901390000000004E-3</v>
      </c>
      <c r="P376">
        <v>0.95832720000000005</v>
      </c>
      <c r="Q376">
        <v>0.27833180000000002</v>
      </c>
      <c r="R376">
        <v>6.4348370000000002E-2</v>
      </c>
      <c r="S376">
        <v>3.4762569999999999</v>
      </c>
      <c r="T376">
        <v>-1.1921360000000001</v>
      </c>
      <c r="U376">
        <v>-3.6621090000000002E-3</v>
      </c>
      <c r="V376">
        <v>-6.0128800000000003E-2</v>
      </c>
      <c r="W376">
        <v>0.29203299999999999</v>
      </c>
      <c r="X376">
        <v>0.95451629999999998</v>
      </c>
      <c r="Y376">
        <v>4.9199020000000003E-3</v>
      </c>
      <c r="Z376">
        <v>-2.2589139999999999E-3</v>
      </c>
      <c r="AA376">
        <v>0.99998529999999997</v>
      </c>
      <c r="AB376">
        <v>31</v>
      </c>
      <c r="AC376">
        <v>0.418599999999969</v>
      </c>
      <c r="AD376">
        <v>-0.25172369999999999</v>
      </c>
      <c r="AE376">
        <v>-2.29999999999108E-3</v>
      </c>
      <c r="AF376">
        <v>3.0389670248350902E-3</v>
      </c>
      <c r="AG376">
        <v>-0.25172369999999999</v>
      </c>
      <c r="AH376">
        <v>0.307420505027929</v>
      </c>
      <c r="AI376">
        <v>129.310113925373</v>
      </c>
      <c r="AJ376">
        <v>89.433628172546193</v>
      </c>
      <c r="AK376">
        <v>0.39734295435290501</v>
      </c>
      <c r="AL376">
        <v>73.020292948568695</v>
      </c>
      <c r="AM376">
        <v>93.604527499808597</v>
      </c>
      <c r="AN376">
        <v>1.0000000563220599</v>
      </c>
    </row>
    <row r="377" spans="1:40" x14ac:dyDescent="0.25">
      <c r="A377" t="str">
        <f>"20190304164602355"</f>
        <v>20190304164602355</v>
      </c>
      <c r="B377" t="str">
        <f>"1551689162347701"</f>
        <v>1551689162347701</v>
      </c>
      <c r="C377" t="s">
        <v>40</v>
      </c>
      <c r="D377">
        <v>4.5323510000000002</v>
      </c>
      <c r="E377">
        <v>0.553075599999999</v>
      </c>
      <c r="F377" t="s">
        <v>41</v>
      </c>
      <c r="G377">
        <v>-365.72</v>
      </c>
      <c r="H377">
        <v>0.87172999999999901</v>
      </c>
      <c r="I377">
        <v>367.5498</v>
      </c>
      <c r="J377">
        <v>-366.07830000000001</v>
      </c>
      <c r="K377">
        <v>1.1106929999999999</v>
      </c>
      <c r="L377">
        <v>367.55200000000002</v>
      </c>
      <c r="M377">
        <v>0.99988790000000005</v>
      </c>
      <c r="N377">
        <v>-1.431667E-2</v>
      </c>
      <c r="O377">
        <v>4.3901640000000002E-3</v>
      </c>
      <c r="P377">
        <v>0.95821849999999997</v>
      </c>
      <c r="Q377">
        <v>0.27854089999999998</v>
      </c>
      <c r="R377">
        <v>6.5057199999999996E-2</v>
      </c>
      <c r="S377">
        <v>3.4758300000000002</v>
      </c>
      <c r="T377">
        <v>-1.188574</v>
      </c>
      <c r="U377">
        <v>-2.5634770000000002E-3</v>
      </c>
      <c r="V377">
        <v>-6.0838009999999998E-2</v>
      </c>
      <c r="W377">
        <v>0.29223729999999998</v>
      </c>
      <c r="X377">
        <v>0.95440879999999995</v>
      </c>
      <c r="Y377">
        <v>4.6244650000000003E-3</v>
      </c>
      <c r="Z377">
        <v>-2.2014299999999999E-3</v>
      </c>
      <c r="AA377">
        <v>0.99998690000000001</v>
      </c>
      <c r="AB377">
        <v>31</v>
      </c>
      <c r="AC377">
        <v>0.35829999999998502</v>
      </c>
      <c r="AD377">
        <v>-0.23896300000000001</v>
      </c>
      <c r="AE377">
        <v>-2.1999999999593399E-3</v>
      </c>
      <c r="AF377">
        <v>2.6115529511360298E-3</v>
      </c>
      <c r="AG377">
        <v>-0.23896300000000001</v>
      </c>
      <c r="AH377">
        <v>0.24798608916696199</v>
      </c>
      <c r="AI377">
        <v>133.936852418103</v>
      </c>
      <c r="AJ377">
        <v>89.396637805606304</v>
      </c>
      <c r="AK377">
        <v>0.34439401272109899</v>
      </c>
      <c r="AL377">
        <v>73.008053044063502</v>
      </c>
      <c r="AM377">
        <v>93.647337942105196</v>
      </c>
      <c r="AN377">
        <v>1.00000003024474</v>
      </c>
    </row>
    <row r="378" spans="1:40" x14ac:dyDescent="0.25">
      <c r="A378" t="str">
        <f>"20190304164602376"</f>
        <v>20190304164602376</v>
      </c>
      <c r="B378" t="str">
        <f>"1551689162368196"</f>
        <v>1551689162368196</v>
      </c>
      <c r="C378" t="s">
        <v>40</v>
      </c>
      <c r="D378">
        <v>4.5094050000000001</v>
      </c>
      <c r="E378">
        <v>0.55328389999999905</v>
      </c>
      <c r="F378" t="s">
        <v>41</v>
      </c>
      <c r="G378">
        <v>-365.19760000000002</v>
      </c>
      <c r="H378">
        <v>0.81048509999999996</v>
      </c>
      <c r="I378">
        <v>367.55020000000002</v>
      </c>
      <c r="J378">
        <v>-365.79390000000001</v>
      </c>
      <c r="K378">
        <v>1.1107</v>
      </c>
      <c r="L378">
        <v>367.5532</v>
      </c>
      <c r="M378">
        <v>0.99988809999999995</v>
      </c>
      <c r="N378">
        <v>-1.431371E-2</v>
      </c>
      <c r="O378">
        <v>4.3900060000000001E-3</v>
      </c>
      <c r="P378">
        <v>0.95829390000000003</v>
      </c>
      <c r="Q378">
        <v>0.278178599999999</v>
      </c>
      <c r="R378">
        <v>6.5495910000000004E-2</v>
      </c>
      <c r="S378">
        <v>3.4754939999999999</v>
      </c>
      <c r="T378">
        <v>-1.184604</v>
      </c>
      <c r="U378">
        <v>-5.3100589999999998E-3</v>
      </c>
      <c r="V378">
        <v>-6.12761E-2</v>
      </c>
      <c r="W378">
        <v>0.29187380000000002</v>
      </c>
      <c r="X378">
        <v>0.95449200000000001</v>
      </c>
      <c r="Y378">
        <v>5.3736460000000002E-3</v>
      </c>
      <c r="Z378">
        <v>-2.324212E-3</v>
      </c>
      <c r="AA378">
        <v>0.99998279999999995</v>
      </c>
      <c r="AB378">
        <v>31</v>
      </c>
      <c r="AC378">
        <v>0.59629999999998495</v>
      </c>
      <c r="AD378">
        <v>-0.30021490000000001</v>
      </c>
      <c r="AE378">
        <v>-2.9999999999858998E-3</v>
      </c>
      <c r="AF378">
        <v>4.4819632118625304E-3</v>
      </c>
      <c r="AG378">
        <v>-0.30021490000000001</v>
      </c>
      <c r="AH378">
        <v>0.47570490580514102</v>
      </c>
      <c r="AI378">
        <v>122.254663234365</v>
      </c>
      <c r="AJ378">
        <v>89.460190604113606</v>
      </c>
      <c r="AK378">
        <v>0.56253376039427205</v>
      </c>
      <c r="AL378">
        <v>73.029829422515206</v>
      </c>
      <c r="AM378">
        <v>93.673211156993403</v>
      </c>
      <c r="AN378">
        <v>1.00000002681082</v>
      </c>
    </row>
    <row r="379" spans="1:40" x14ac:dyDescent="0.25">
      <c r="A379" t="str">
        <f>"20190304164602397"</f>
        <v>20190304164602397</v>
      </c>
      <c r="B379" t="str">
        <f>"1551689162387720"</f>
        <v>1551689162387720</v>
      </c>
      <c r="C379" t="s">
        <v>40</v>
      </c>
      <c r="D379">
        <v>4.5176239999999996</v>
      </c>
      <c r="E379">
        <v>0.5539541</v>
      </c>
      <c r="F379" t="s">
        <v>41</v>
      </c>
      <c r="G379">
        <v>-364.92250000000001</v>
      </c>
      <c r="H379">
        <v>0.81391849999999999</v>
      </c>
      <c r="I379">
        <v>367.55180000000001</v>
      </c>
      <c r="J379">
        <v>-365.50330000000002</v>
      </c>
      <c r="K379">
        <v>1.110703</v>
      </c>
      <c r="L379">
        <v>367.55450000000002</v>
      </c>
      <c r="M379">
        <v>0.999888</v>
      </c>
      <c r="N379">
        <v>-1.4310669999999999E-2</v>
      </c>
      <c r="O379">
        <v>4.3900279999999998E-3</v>
      </c>
      <c r="P379">
        <v>0.95827200000000001</v>
      </c>
      <c r="Q379">
        <v>0.2783619</v>
      </c>
      <c r="R379">
        <v>6.5034999999999996E-2</v>
      </c>
      <c r="S379">
        <v>3.4744259999999998</v>
      </c>
      <c r="T379">
        <v>-1.1832769999999999</v>
      </c>
      <c r="U379">
        <v>-5.6152340000000002E-3</v>
      </c>
      <c r="V379">
        <v>-6.0815660000000001E-2</v>
      </c>
      <c r="W379">
        <v>0.29205340000000002</v>
      </c>
      <c r="X379">
        <v>0.9544665</v>
      </c>
      <c r="Y379">
        <v>5.4578750000000001E-3</v>
      </c>
      <c r="Z379">
        <v>-2.3369829999999999E-3</v>
      </c>
      <c r="AA379">
        <v>0.99998240000000005</v>
      </c>
      <c r="AB379">
        <v>31</v>
      </c>
      <c r="AC379">
        <v>0.58080000000000997</v>
      </c>
      <c r="AD379">
        <v>-0.29678450000000001</v>
      </c>
      <c r="AE379">
        <v>-2.7000000000043599E-3</v>
      </c>
      <c r="AF379">
        <v>4.1629774247742002E-3</v>
      </c>
      <c r="AG379">
        <v>-0.29678450000000001</v>
      </c>
      <c r="AH379">
        <v>0.46053362930992198</v>
      </c>
      <c r="AI379">
        <v>122.798127984782</v>
      </c>
      <c r="AJ379">
        <v>89.482090937304406</v>
      </c>
      <c r="AK379">
        <v>0.547895604606076</v>
      </c>
      <c r="AL379">
        <v>73.019070136485396</v>
      </c>
      <c r="AM379">
        <v>93.645781822238305</v>
      </c>
      <c r="AN379">
        <v>1.00000001628752</v>
      </c>
    </row>
    <row r="380" spans="1:40" x14ac:dyDescent="0.25">
      <c r="A380" t="str">
        <f>"20190304164602419"</f>
        <v>20190304164602419</v>
      </c>
      <c r="B380" t="str">
        <f>"1551689162408213"</f>
        <v>1551689162408213</v>
      </c>
      <c r="C380" t="s">
        <v>40</v>
      </c>
      <c r="D380">
        <v>4.7732720000000004</v>
      </c>
      <c r="E380">
        <v>0.5551604</v>
      </c>
      <c r="F380" t="s">
        <v>41</v>
      </c>
      <c r="G380">
        <v>-364.64589999999998</v>
      </c>
      <c r="H380">
        <v>0.82182199999999905</v>
      </c>
      <c r="I380">
        <v>367.55099999999999</v>
      </c>
      <c r="J380">
        <v>-365.19720000000001</v>
      </c>
      <c r="K380">
        <v>1.1106990000000001</v>
      </c>
      <c r="L380">
        <v>367.55579999999998</v>
      </c>
      <c r="M380">
        <v>0.999888</v>
      </c>
      <c r="N380">
        <v>-1.4307520000000001E-2</v>
      </c>
      <c r="O380">
        <v>4.3902300000000002E-3</v>
      </c>
      <c r="P380">
        <v>0.95838509999999999</v>
      </c>
      <c r="Q380">
        <v>0.27803070000000002</v>
      </c>
      <c r="R380">
        <v>6.4785850000000006E-2</v>
      </c>
      <c r="S380">
        <v>3.4712519999999998</v>
      </c>
      <c r="T380">
        <v>-1.1696139999999999</v>
      </c>
      <c r="U380">
        <v>-1.293945E-2</v>
      </c>
      <c r="V380">
        <v>-6.0565849999999997E-2</v>
      </c>
      <c r="W380">
        <v>0.291720599999999</v>
      </c>
      <c r="X380">
        <v>0.95458410000000005</v>
      </c>
      <c r="Y380">
        <v>7.4649919999999897E-3</v>
      </c>
      <c r="Z380">
        <v>-2.6570320000000001E-3</v>
      </c>
      <c r="AA380">
        <v>0.99996859999999999</v>
      </c>
      <c r="AB380">
        <v>31</v>
      </c>
      <c r="AC380">
        <v>0.55130000000002599</v>
      </c>
      <c r="AD380">
        <v>-0.288876999999999</v>
      </c>
      <c r="AE380">
        <v>-4.7999999999888097E-3</v>
      </c>
      <c r="AF380">
        <v>5.6651768460291704E-3</v>
      </c>
      <c r="AG380">
        <v>-0.288876999999999</v>
      </c>
      <c r="AH380">
        <v>0.43252506394141998</v>
      </c>
      <c r="AI380">
        <v>123.736097246744</v>
      </c>
      <c r="AJ380">
        <v>89.249587617739493</v>
      </c>
      <c r="AK380">
        <v>0.520153771778333</v>
      </c>
      <c r="AL380">
        <v>73.039005481370907</v>
      </c>
      <c r="AM380">
        <v>93.630400230164099</v>
      </c>
      <c r="AN380">
        <v>0.99999996731169505</v>
      </c>
    </row>
    <row r="381" spans="1:40" x14ac:dyDescent="0.25">
      <c r="A381" t="str">
        <f>"20190304164602444"</f>
        <v>20190304164602444</v>
      </c>
      <c r="B381" t="str">
        <f>"1551689162438469"</f>
        <v>1551689162438469</v>
      </c>
      <c r="C381" t="s">
        <v>40</v>
      </c>
      <c r="D381">
        <v>4.4846570000000003</v>
      </c>
      <c r="E381">
        <v>0.55623129999999998</v>
      </c>
      <c r="F381" t="s">
        <v>41</v>
      </c>
      <c r="G381">
        <v>-364.36720000000003</v>
      </c>
      <c r="H381">
        <v>0.83580469999999896</v>
      </c>
      <c r="I381">
        <v>367.55</v>
      </c>
      <c r="J381">
        <v>-364.87529999999998</v>
      </c>
      <c r="K381">
        <v>1.1107070000000001</v>
      </c>
      <c r="L381">
        <v>367.5573</v>
      </c>
      <c r="M381">
        <v>0.99988809999999995</v>
      </c>
      <c r="N381">
        <v>-1.4304229999999999E-2</v>
      </c>
      <c r="O381">
        <v>4.3900750000000002E-3</v>
      </c>
      <c r="P381">
        <v>0.95826449999999996</v>
      </c>
      <c r="Q381">
        <v>0.27840969999999998</v>
      </c>
      <c r="R381">
        <v>6.4940849999999994E-2</v>
      </c>
      <c r="S381">
        <v>3.4648129999999999</v>
      </c>
      <c r="T381">
        <v>-1.1476139999999999</v>
      </c>
      <c r="U381">
        <v>-2.3895260000000001E-2</v>
      </c>
      <c r="V381">
        <v>-6.0721549999999999E-2</v>
      </c>
      <c r="W381">
        <v>0.29209449999999998</v>
      </c>
      <c r="X381">
        <v>0.95445990000000003</v>
      </c>
      <c r="Y381">
        <v>1.04863E-2</v>
      </c>
      <c r="Z381">
        <v>-3.1234740000000002E-3</v>
      </c>
      <c r="AA381">
        <v>0.99994019999999995</v>
      </c>
      <c r="AB381">
        <v>31</v>
      </c>
      <c r="AC381">
        <v>0.50809999999995603</v>
      </c>
      <c r="AD381">
        <v>-0.27490229999999999</v>
      </c>
      <c r="AE381">
        <v>-7.2999999999865299E-3</v>
      </c>
      <c r="AF381">
        <v>7.3729583080164801E-3</v>
      </c>
      <c r="AG381">
        <v>-0.27490229999999999</v>
      </c>
      <c r="AH381">
        <v>0.393035782351493</v>
      </c>
      <c r="AI381">
        <v>124.96548753478</v>
      </c>
      <c r="AJ381">
        <v>88.9253145111755</v>
      </c>
      <c r="AK381">
        <v>0.47969027639525103</v>
      </c>
      <c r="AL381">
        <v>73.016607669082603</v>
      </c>
      <c r="AM381">
        <v>93.640180393373598</v>
      </c>
      <c r="AN381">
        <v>1.00000000213633</v>
      </c>
    </row>
    <row r="382" spans="1:40" x14ac:dyDescent="0.25">
      <c r="A382" t="str">
        <f>"20190304164602466"</f>
        <v>20190304164602466</v>
      </c>
      <c r="B382" t="str">
        <f>"1551689162457989"</f>
        <v>1551689162457989</v>
      </c>
      <c r="C382" t="s">
        <v>40</v>
      </c>
      <c r="D382">
        <v>4.4736469999999997</v>
      </c>
      <c r="E382">
        <v>0.55631850000000005</v>
      </c>
      <c r="F382" t="s">
        <v>41</v>
      </c>
      <c r="G382">
        <v>-364.08690000000001</v>
      </c>
      <c r="H382">
        <v>0.8543212</v>
      </c>
      <c r="I382">
        <v>367.54860000000002</v>
      </c>
      <c r="J382">
        <v>-364.55970000000002</v>
      </c>
      <c r="K382">
        <v>1.1107100000000001</v>
      </c>
      <c r="L382">
        <v>367.55869999999999</v>
      </c>
      <c r="M382">
        <v>0.99988809999999995</v>
      </c>
      <c r="N382">
        <v>-1.430087E-2</v>
      </c>
      <c r="O382">
        <v>4.3900989999999997E-3</v>
      </c>
      <c r="P382">
        <v>0.95811829999999998</v>
      </c>
      <c r="Q382">
        <v>0.27890179999999998</v>
      </c>
      <c r="R382">
        <v>6.4988069999999995E-2</v>
      </c>
      <c r="S382">
        <v>3.4599609999999998</v>
      </c>
      <c r="T382">
        <v>-1.1250639999999901</v>
      </c>
      <c r="U382">
        <v>-3.6529539999999999E-2</v>
      </c>
      <c r="V382">
        <v>-6.0769440000000001E-2</v>
      </c>
      <c r="W382">
        <v>0.29258149999999999</v>
      </c>
      <c r="X382">
        <v>0.95430769999999998</v>
      </c>
      <c r="Y382">
        <v>1.3986490000000001E-2</v>
      </c>
      <c r="Z382">
        <v>-3.6497790000000001E-3</v>
      </c>
      <c r="AA382">
        <v>0.99989550000000005</v>
      </c>
      <c r="AB382">
        <v>31</v>
      </c>
      <c r="AC382">
        <v>0.47280000000000599</v>
      </c>
      <c r="AD382">
        <v>-0.25638879999999997</v>
      </c>
      <c r="AE382">
        <v>-1.00999999999658E-2</v>
      </c>
      <c r="AF382">
        <v>9.4098959602795205E-3</v>
      </c>
      <c r="AG382">
        <v>-0.25638879999999997</v>
      </c>
      <c r="AH382">
        <v>0.365360432370611</v>
      </c>
      <c r="AI382">
        <v>125.050023979309</v>
      </c>
      <c r="AJ382">
        <v>88.524667386474405</v>
      </c>
      <c r="AK382">
        <v>0.44644373492016098</v>
      </c>
      <c r="AL382">
        <v>72.987430358651494</v>
      </c>
      <c r="AM382">
        <v>93.643623064283403</v>
      </c>
      <c r="AN382">
        <v>1.0000000226297201</v>
      </c>
    </row>
    <row r="383" spans="1:40" x14ac:dyDescent="0.25">
      <c r="A383" t="str">
        <f>"20190304164602487"</f>
        <v>20190304164602487</v>
      </c>
      <c r="B383" t="str">
        <f>"1551689162478484"</f>
        <v>1551689162478484</v>
      </c>
      <c r="C383" t="s">
        <v>40</v>
      </c>
      <c r="D383">
        <v>4.4658259999999999</v>
      </c>
      <c r="E383">
        <v>0.55635429999999997</v>
      </c>
      <c r="F383" t="s">
        <v>41</v>
      </c>
      <c r="G383">
        <v>-363.80889999999999</v>
      </c>
      <c r="H383">
        <v>0.86710540000000003</v>
      </c>
      <c r="I383">
        <v>367.55</v>
      </c>
      <c r="J383">
        <v>-364.27690000000001</v>
      </c>
      <c r="K383">
        <v>1.1107009999999999</v>
      </c>
      <c r="L383">
        <v>367.55990000000003</v>
      </c>
      <c r="M383">
        <v>0.9998882</v>
      </c>
      <c r="N383">
        <v>-1.4297850000000001E-2</v>
      </c>
      <c r="O383">
        <v>4.3901209999999899E-3</v>
      </c>
      <c r="P383">
        <v>0.95814339999999998</v>
      </c>
      <c r="Q383">
        <v>0.27887729999999999</v>
      </c>
      <c r="R383">
        <v>6.4724119999999996E-2</v>
      </c>
      <c r="S383">
        <v>3.4606319999999999</v>
      </c>
      <c r="T383">
        <v>-1.12283</v>
      </c>
      <c r="U383">
        <v>-3.9031980000000001E-2</v>
      </c>
      <c r="V383">
        <v>-6.0505129999999997E-2</v>
      </c>
      <c r="W383">
        <v>0.2925546</v>
      </c>
      <c r="X383">
        <v>0.95433270000000003</v>
      </c>
      <c r="Y383">
        <v>1.467454E-2</v>
      </c>
      <c r="Z383">
        <v>-3.7561410000000002E-3</v>
      </c>
      <c r="AA383">
        <v>0.99988529999999998</v>
      </c>
      <c r="AB383">
        <v>30</v>
      </c>
      <c r="AC383">
        <v>0.46800000000001701</v>
      </c>
      <c r="AD383">
        <v>-0.243595599999999</v>
      </c>
      <c r="AE383">
        <v>-9.9000000000160002E-3</v>
      </c>
      <c r="AF383">
        <v>9.4071973544378202E-3</v>
      </c>
      <c r="AG383">
        <v>-0.243595599999999</v>
      </c>
      <c r="AH383">
        <v>0.36823343915666301</v>
      </c>
      <c r="AI383">
        <v>123.477029468734</v>
      </c>
      <c r="AJ383">
        <v>88.536592721136699</v>
      </c>
      <c r="AK383">
        <v>0.44161428579085799</v>
      </c>
      <c r="AL383">
        <v>72.989041453334195</v>
      </c>
      <c r="AM383">
        <v>93.627723158793401</v>
      </c>
      <c r="AN383">
        <v>0.99999998351338304</v>
      </c>
    </row>
    <row r="384" spans="1:40" x14ac:dyDescent="0.25">
      <c r="A384" t="str">
        <f>"20190304164602500"</f>
        <v>20190304164602500</v>
      </c>
      <c r="B384" t="str">
        <f>"1551689162488246"</f>
        <v>1551689162488246</v>
      </c>
      <c r="C384" t="s">
        <v>40</v>
      </c>
      <c r="D384">
        <v>4.465948</v>
      </c>
      <c r="E384">
        <v>0.55638369999999904</v>
      </c>
      <c r="F384" t="s">
        <v>41</v>
      </c>
      <c r="G384">
        <v>-363.53559999999999</v>
      </c>
      <c r="H384">
        <v>0.8700833</v>
      </c>
      <c r="I384">
        <v>367.55079999999998</v>
      </c>
      <c r="J384">
        <v>-364.1044</v>
      </c>
      <c r="K384">
        <v>1.1106990000000001</v>
      </c>
      <c r="L384">
        <v>367.56060000000002</v>
      </c>
      <c r="M384">
        <v>0.9998882</v>
      </c>
      <c r="N384">
        <v>-1.429602E-2</v>
      </c>
      <c r="O384">
        <v>4.3901340000000004E-3</v>
      </c>
      <c r="P384">
        <v>0.95812339999999996</v>
      </c>
      <c r="Q384">
        <v>0.27890510000000002</v>
      </c>
      <c r="R384">
        <v>6.489731E-2</v>
      </c>
      <c r="S384">
        <v>3.4607239999999999</v>
      </c>
      <c r="T384">
        <v>-1.123232</v>
      </c>
      <c r="U384">
        <v>-4.1076660000000001E-2</v>
      </c>
      <c r="V384">
        <v>-6.0678450000000002E-2</v>
      </c>
      <c r="W384">
        <v>0.29258020000000001</v>
      </c>
      <c r="X384">
        <v>0.95431390000000005</v>
      </c>
      <c r="Y384">
        <v>1.523423E-2</v>
      </c>
      <c r="Z384">
        <v>-3.8499559999999999E-3</v>
      </c>
      <c r="AA384">
        <v>0.9998766</v>
      </c>
      <c r="AB384">
        <v>30</v>
      </c>
      <c r="AC384">
        <v>0.56880000000000996</v>
      </c>
      <c r="AD384">
        <v>-0.24061569999999899</v>
      </c>
      <c r="AE384">
        <v>-9.8000000000411092E-3</v>
      </c>
      <c r="AF384">
        <v>1.04311765082357E-2</v>
      </c>
      <c r="AG384">
        <v>-0.24061569999999899</v>
      </c>
      <c r="AH384">
        <v>0.48244429144600298</v>
      </c>
      <c r="AI384">
        <v>116.50205699809401</v>
      </c>
      <c r="AJ384">
        <v>88.761371432359994</v>
      </c>
      <c r="AK384">
        <v>0.53921908245041905</v>
      </c>
      <c r="AL384">
        <v>72.987508446294299</v>
      </c>
      <c r="AM384">
        <v>93.638158563160403</v>
      </c>
      <c r="AN384">
        <v>1.00000003372982</v>
      </c>
    </row>
    <row r="385" spans="1:40" x14ac:dyDescent="0.25">
      <c r="A385" t="str">
        <f>"20190304164602514"</f>
        <v>20190304164602514</v>
      </c>
      <c r="B385" t="str">
        <f>"1551689162507765"</f>
        <v>1551689162507765</v>
      </c>
      <c r="C385" t="s">
        <v>40</v>
      </c>
      <c r="D385">
        <v>4.435867</v>
      </c>
      <c r="E385">
        <v>0.556311</v>
      </c>
      <c r="F385" t="s">
        <v>41</v>
      </c>
      <c r="G385">
        <v>-363.27589999999998</v>
      </c>
      <c r="H385">
        <v>0.84188619999999903</v>
      </c>
      <c r="I385">
        <v>367.55070000000001</v>
      </c>
      <c r="J385">
        <v>-363.91180000000003</v>
      </c>
      <c r="K385">
        <v>1.1107070000000001</v>
      </c>
      <c r="L385">
        <v>367.56150000000002</v>
      </c>
      <c r="M385">
        <v>0.9998882</v>
      </c>
      <c r="N385">
        <v>-1.429396E-2</v>
      </c>
      <c r="O385">
        <v>4.38997E-3</v>
      </c>
      <c r="P385">
        <v>0.95811500000000005</v>
      </c>
      <c r="Q385">
        <v>0.27892539999999999</v>
      </c>
      <c r="R385">
        <v>6.4932909999999996E-2</v>
      </c>
      <c r="S385">
        <v>3.4607540000000001</v>
      </c>
      <c r="T385">
        <v>-1.1229070000000001</v>
      </c>
      <c r="U385">
        <v>-4.1198730000000003E-2</v>
      </c>
      <c r="V385">
        <v>-6.0714039999999997E-2</v>
      </c>
      <c r="W385">
        <v>0.29259839999999998</v>
      </c>
      <c r="X385">
        <v>0.95430599999999999</v>
      </c>
      <c r="Y385">
        <v>1.526801E-2</v>
      </c>
      <c r="Z385">
        <v>-3.854409E-3</v>
      </c>
      <c r="AA385">
        <v>0.99987599999999999</v>
      </c>
      <c r="AB385">
        <v>30</v>
      </c>
      <c r="AC385">
        <v>0.63590000000004898</v>
      </c>
      <c r="AD385">
        <v>-0.26882080000000003</v>
      </c>
      <c r="AE385">
        <v>-1.08000000000174E-2</v>
      </c>
      <c r="AF385">
        <v>1.1531556499272301E-2</v>
      </c>
      <c r="AG385">
        <v>-0.26882080000000003</v>
      </c>
      <c r="AH385">
        <v>0.53946638751808995</v>
      </c>
      <c r="AI385">
        <v>116.482251954765</v>
      </c>
      <c r="AJ385">
        <v>88.775440084084295</v>
      </c>
      <c r="AK385">
        <v>0.60284457579856698</v>
      </c>
      <c r="AL385">
        <v>72.986416998423906</v>
      </c>
      <c r="AM385">
        <v>93.640316786339696</v>
      </c>
      <c r="AN385">
        <v>0.99999997998584</v>
      </c>
    </row>
    <row r="386" spans="1:40" x14ac:dyDescent="0.25">
      <c r="A386" t="str">
        <f>"20190304164602534"</f>
        <v>20190304164602534</v>
      </c>
      <c r="B386" t="str">
        <f>"1551689162528262"</f>
        <v>1551689162528262</v>
      </c>
      <c r="C386" t="s">
        <v>40</v>
      </c>
      <c r="D386">
        <v>4.4289740000000002</v>
      </c>
      <c r="E386">
        <v>0.55624899999999999</v>
      </c>
      <c r="F386" t="s">
        <v>41</v>
      </c>
      <c r="G386">
        <v>-363.01400000000001</v>
      </c>
      <c r="H386">
        <v>0.81881230000000005</v>
      </c>
      <c r="I386">
        <v>367.55070000000001</v>
      </c>
      <c r="J386">
        <v>-363.64749999999998</v>
      </c>
      <c r="K386">
        <v>1.1107049999999901</v>
      </c>
      <c r="L386">
        <v>367.56259999999997</v>
      </c>
      <c r="M386">
        <v>0.9998882</v>
      </c>
      <c r="N386">
        <v>-1.4291130000000001E-2</v>
      </c>
      <c r="O386">
        <v>4.3901690000000002E-3</v>
      </c>
      <c r="P386">
        <v>0.95807019999999998</v>
      </c>
      <c r="Q386">
        <v>0.27904269999999998</v>
      </c>
      <c r="R386">
        <v>6.5091159999999995E-2</v>
      </c>
      <c r="S386">
        <v>3.4615480000000001</v>
      </c>
      <c r="T386">
        <v>-1.12534</v>
      </c>
      <c r="U386">
        <v>-4.0710450000000002E-2</v>
      </c>
      <c r="V386">
        <v>-6.0872450000000002E-2</v>
      </c>
      <c r="W386">
        <v>0.29271239999999998</v>
      </c>
      <c r="X386">
        <v>0.95426089999999997</v>
      </c>
      <c r="Y386">
        <v>1.512814E-2</v>
      </c>
      <c r="Z386">
        <v>-3.8382970000000001E-3</v>
      </c>
      <c r="AA386">
        <v>0.99987820000000005</v>
      </c>
      <c r="AB386">
        <v>30</v>
      </c>
      <c r="AC386">
        <v>0.63349999999996898</v>
      </c>
      <c r="AD386">
        <v>-0.29189269999999901</v>
      </c>
      <c r="AE386">
        <v>-1.18999999999687E-2</v>
      </c>
      <c r="AF386">
        <v>1.2111052805142899E-2</v>
      </c>
      <c r="AG386">
        <v>-0.29189269999999901</v>
      </c>
      <c r="AH386">
        <v>0.52254388382325501</v>
      </c>
      <c r="AI386">
        <v>119.181149704216</v>
      </c>
      <c r="AJ386">
        <v>88.672287589166601</v>
      </c>
      <c r="AK386">
        <v>0.59866529583268002</v>
      </c>
      <c r="AL386">
        <v>72.979585420876504</v>
      </c>
      <c r="AM386">
        <v>93.649961185808905</v>
      </c>
      <c r="AN386">
        <v>0.99999993477578397</v>
      </c>
    </row>
    <row r="387" spans="1:40" x14ac:dyDescent="0.25">
      <c r="A387" t="str">
        <f>"20190304164602556"</f>
        <v>20190304164602556</v>
      </c>
      <c r="B387" t="str">
        <f>"1551689162547781"</f>
        <v>1551689162547781</v>
      </c>
      <c r="C387" t="s">
        <v>40</v>
      </c>
      <c r="D387">
        <v>4.4413879999999999</v>
      </c>
      <c r="E387">
        <v>0.55650010000000005</v>
      </c>
      <c r="F387" t="s">
        <v>41</v>
      </c>
      <c r="G387">
        <v>-362.9819</v>
      </c>
      <c r="H387">
        <v>0.89399490000000004</v>
      </c>
      <c r="I387">
        <v>367.5548</v>
      </c>
      <c r="J387">
        <v>-363.34120000000001</v>
      </c>
      <c r="K387">
        <v>1.110697</v>
      </c>
      <c r="L387">
        <v>367.56400000000002</v>
      </c>
      <c r="M387">
        <v>0.99988829999999995</v>
      </c>
      <c r="N387">
        <v>-1.428781E-2</v>
      </c>
      <c r="O387">
        <v>4.3901929999999997E-3</v>
      </c>
      <c r="P387">
        <v>0.95814790000000005</v>
      </c>
      <c r="Q387">
        <v>0.27871469999999998</v>
      </c>
      <c r="R387">
        <v>6.5352770000000004E-2</v>
      </c>
      <c r="S387">
        <v>3.46225</v>
      </c>
      <c r="T387">
        <v>-1.1271690000000001</v>
      </c>
      <c r="U387">
        <v>-3.9367680000000002E-2</v>
      </c>
      <c r="V387">
        <v>-6.1133729999999997E-2</v>
      </c>
      <c r="W387">
        <v>0.29238219999999998</v>
      </c>
      <c r="X387">
        <v>0.95434549999999996</v>
      </c>
      <c r="Y387">
        <v>1.475537E-2</v>
      </c>
      <c r="Z387">
        <v>-3.781553E-3</v>
      </c>
      <c r="AA387">
        <v>0.999884</v>
      </c>
      <c r="AB387">
        <v>30</v>
      </c>
      <c r="AC387">
        <v>0.35930000000001799</v>
      </c>
      <c r="AD387">
        <v>-0.21670210000000001</v>
      </c>
      <c r="AE387">
        <v>-9.2000000000211895E-3</v>
      </c>
      <c r="AF387">
        <v>7.90415709129412E-3</v>
      </c>
      <c r="AG387">
        <v>-0.21670210000000001</v>
      </c>
      <c r="AH387">
        <v>0.263477173951494</v>
      </c>
      <c r="AI387">
        <v>129.423632732643</v>
      </c>
      <c r="AJ387">
        <v>88.281676353797096</v>
      </c>
      <c r="AK387">
        <v>0.34123671701210601</v>
      </c>
      <c r="AL387">
        <v>72.999371338368604</v>
      </c>
      <c r="AM387">
        <v>93.665261064548901</v>
      </c>
      <c r="AN387">
        <v>1.0000000085953999</v>
      </c>
    </row>
    <row r="388" spans="1:40" x14ac:dyDescent="0.25">
      <c r="A388" t="str">
        <f>"20190304164602579"</f>
        <v>20190304164602579</v>
      </c>
      <c r="B388" t="str">
        <f>"1551689162568277"</f>
        <v>1551689162568277</v>
      </c>
      <c r="C388" t="s">
        <v>40</v>
      </c>
      <c r="D388">
        <v>4.4179649999999997</v>
      </c>
      <c r="E388">
        <v>0.55644139999999997</v>
      </c>
      <c r="F388" t="s">
        <v>41</v>
      </c>
      <c r="G388">
        <v>-362.46859999999998</v>
      </c>
      <c r="H388">
        <v>0.82737229999999995</v>
      </c>
      <c r="I388">
        <v>367.5539</v>
      </c>
      <c r="J388">
        <v>-363.04320000000001</v>
      </c>
      <c r="K388">
        <v>1.1106940000000001</v>
      </c>
      <c r="L388">
        <v>367.56529999999998</v>
      </c>
      <c r="M388">
        <v>0.99988849999999996</v>
      </c>
      <c r="N388">
        <v>-1.42846E-2</v>
      </c>
      <c r="O388">
        <v>4.3899179999999996E-3</v>
      </c>
      <c r="P388">
        <v>0.95819849999999995</v>
      </c>
      <c r="Q388">
        <v>0.2785204</v>
      </c>
      <c r="R388">
        <v>6.5440760000000001E-2</v>
      </c>
      <c r="S388">
        <v>3.4606020000000002</v>
      </c>
      <c r="T388">
        <v>-1.123634</v>
      </c>
      <c r="U388">
        <v>-3.9154050000000003E-2</v>
      </c>
      <c r="V388">
        <v>-6.1221770000000002E-2</v>
      </c>
      <c r="W388">
        <v>0.2921858</v>
      </c>
      <c r="X388">
        <v>0.95440000000000003</v>
      </c>
      <c r="Y388">
        <v>1.47066E-2</v>
      </c>
      <c r="Z388">
        <v>-3.7639100000000001E-3</v>
      </c>
      <c r="AA388">
        <v>0.99988480000000002</v>
      </c>
      <c r="AB388">
        <v>30</v>
      </c>
      <c r="AC388">
        <v>0.57460000000003197</v>
      </c>
      <c r="AD388">
        <v>-0.28332170000000001</v>
      </c>
      <c r="AE388">
        <v>-1.13999999999805E-2</v>
      </c>
      <c r="AF388">
        <v>1.12005412691725E-2</v>
      </c>
      <c r="AG388">
        <v>-0.28332170000000001</v>
      </c>
      <c r="AH388">
        <v>0.46221332067725401</v>
      </c>
      <c r="AI388">
        <v>121.499447105789</v>
      </c>
      <c r="AJ388">
        <v>88.611857023938995</v>
      </c>
      <c r="AK388">
        <v>0.54225251647835304</v>
      </c>
      <c r="AL388">
        <v>73.011137973301501</v>
      </c>
      <c r="AM388">
        <v>93.670316037680905</v>
      </c>
      <c r="AN388">
        <v>1.00000000342178</v>
      </c>
    </row>
    <row r="389" spans="1:40" x14ac:dyDescent="0.25">
      <c r="A389" t="str">
        <f>"20190304164602599"</f>
        <v>20190304164602599</v>
      </c>
      <c r="B389" t="str">
        <f>"1551689162587797"</f>
        <v>1551689162587797</v>
      </c>
      <c r="C389" t="s">
        <v>40</v>
      </c>
      <c r="D389">
        <v>4.4265530000000002</v>
      </c>
      <c r="E389">
        <v>0.55636409999999903</v>
      </c>
      <c r="F389" t="s">
        <v>41</v>
      </c>
      <c r="G389">
        <v>-362.1952</v>
      </c>
      <c r="H389">
        <v>0.83464380000000005</v>
      </c>
      <c r="I389">
        <v>367.55549999999999</v>
      </c>
      <c r="J389">
        <v>-362.76409999999998</v>
      </c>
      <c r="K389">
        <v>1.1106990000000001</v>
      </c>
      <c r="L389">
        <v>367.56650000000002</v>
      </c>
      <c r="M389">
        <v>0.99988849999999996</v>
      </c>
      <c r="N389">
        <v>-1.428155E-2</v>
      </c>
      <c r="O389">
        <v>4.3899400000000002E-3</v>
      </c>
      <c r="P389">
        <v>0.95814370000000004</v>
      </c>
      <c r="Q389">
        <v>0.27857859999999901</v>
      </c>
      <c r="R389">
        <v>6.5991930000000004E-2</v>
      </c>
      <c r="S389">
        <v>3.4609990000000002</v>
      </c>
      <c r="T389">
        <v>-1.1266529999999999</v>
      </c>
      <c r="U389">
        <v>-3.9093019999999999E-2</v>
      </c>
      <c r="V389">
        <v>-6.1773149999999999E-2</v>
      </c>
      <c r="W389">
        <v>0.29224050000000001</v>
      </c>
      <c r="X389">
        <v>0.95434770000000002</v>
      </c>
      <c r="Y389">
        <v>1.4683949999999999E-2</v>
      </c>
      <c r="Z389">
        <v>-3.7692590000000001E-3</v>
      </c>
      <c r="AA389">
        <v>0.99988509999999997</v>
      </c>
      <c r="AB389">
        <v>30</v>
      </c>
      <c r="AC389">
        <v>0.56889999999998497</v>
      </c>
      <c r="AD389">
        <v>-0.276055199999999</v>
      </c>
      <c r="AE389">
        <v>-1.10000000000241E-2</v>
      </c>
      <c r="AF389">
        <v>1.0925914074153401E-2</v>
      </c>
      <c r="AG389">
        <v>-0.276055199999999</v>
      </c>
      <c r="AH389">
        <v>0.46046495176492602</v>
      </c>
      <c r="AI389">
        <v>120.936168019242</v>
      </c>
      <c r="AJ389">
        <v>88.6407405899688</v>
      </c>
      <c r="AK389">
        <v>0.536985866526551</v>
      </c>
      <c r="AL389">
        <v>73.007860487068299</v>
      </c>
      <c r="AM389">
        <v>93.703482711787004</v>
      </c>
      <c r="AN389">
        <v>0.99999998219823105</v>
      </c>
    </row>
    <row r="390" spans="1:40" x14ac:dyDescent="0.25">
      <c r="A390" t="str">
        <f>"20190304164602620"</f>
        <v>20190304164602620</v>
      </c>
      <c r="B390" t="str">
        <f>"1551689162608293"</f>
        <v>1551689162608293</v>
      </c>
      <c r="C390" t="s">
        <v>40</v>
      </c>
      <c r="D390">
        <v>4.4050180000000001</v>
      </c>
      <c r="E390">
        <v>0.55629280000000003</v>
      </c>
      <c r="F390" t="s">
        <v>41</v>
      </c>
      <c r="G390">
        <v>-361.92410000000001</v>
      </c>
      <c r="H390">
        <v>0.8368101</v>
      </c>
      <c r="I390">
        <v>367.5573</v>
      </c>
      <c r="J390">
        <v>-362.46679999999998</v>
      </c>
      <c r="K390">
        <v>1.1107089999999999</v>
      </c>
      <c r="L390">
        <v>367.56779999999998</v>
      </c>
      <c r="M390">
        <v>0.99988849999999996</v>
      </c>
      <c r="N390">
        <v>-1.42782E-2</v>
      </c>
      <c r="O390">
        <v>4.3900839999999998E-3</v>
      </c>
      <c r="P390">
        <v>0.95790549999999997</v>
      </c>
      <c r="Q390">
        <v>0.2793157</v>
      </c>
      <c r="R390">
        <v>6.6330639999999996E-2</v>
      </c>
      <c r="S390">
        <v>3.4618530000000001</v>
      </c>
      <c r="T390">
        <v>-1.1287419999999999</v>
      </c>
      <c r="U390">
        <v>-3.7414549999999998E-2</v>
      </c>
      <c r="V390">
        <v>-6.211266E-2</v>
      </c>
      <c r="W390">
        <v>0.29297089999999998</v>
      </c>
      <c r="X390">
        <v>0.95410170000000005</v>
      </c>
      <c r="Y390">
        <v>1.4218659999999999E-2</v>
      </c>
      <c r="Z390">
        <v>-3.697653E-3</v>
      </c>
      <c r="AA390">
        <v>0.99989209999999995</v>
      </c>
      <c r="AB390">
        <v>30</v>
      </c>
      <c r="AC390">
        <v>0.54269999999996799</v>
      </c>
      <c r="AD390">
        <v>-0.273898899999999</v>
      </c>
      <c r="AE390">
        <v>-1.0499999999979E-2</v>
      </c>
      <c r="AF390">
        <v>1.0268132746054299E-2</v>
      </c>
      <c r="AG390">
        <v>-0.273898899999999</v>
      </c>
      <c r="AH390">
        <v>0.43251915157739701</v>
      </c>
      <c r="AI390">
        <v>122.33732133993399</v>
      </c>
      <c r="AJ390">
        <v>88.6400366807447</v>
      </c>
      <c r="AK390">
        <v>0.512053569905075</v>
      </c>
      <c r="AL390">
        <v>72.9640964036696</v>
      </c>
      <c r="AM390">
        <v>93.724737639603504</v>
      </c>
      <c r="AN390">
        <v>0.99999999236098702</v>
      </c>
    </row>
    <row r="391" spans="1:40" x14ac:dyDescent="0.25">
      <c r="A391" t="str">
        <f>"20190304164602633"</f>
        <v>20190304164602633</v>
      </c>
      <c r="B391" t="str">
        <f>"1551689162627813"</f>
        <v>1551689162627813</v>
      </c>
      <c r="C391" t="s">
        <v>40</v>
      </c>
      <c r="D391">
        <v>4.5729009999999999</v>
      </c>
      <c r="E391">
        <v>0.55627199999999999</v>
      </c>
      <c r="F391" t="s">
        <v>41</v>
      </c>
      <c r="G391">
        <v>-361.65089999999998</v>
      </c>
      <c r="H391">
        <v>0.84486589999999995</v>
      </c>
      <c r="I391">
        <v>367.55939999999998</v>
      </c>
      <c r="J391">
        <v>-362.2944</v>
      </c>
      <c r="K391">
        <v>1.1107070000000001</v>
      </c>
      <c r="L391">
        <v>367.5686</v>
      </c>
      <c r="M391">
        <v>0.99988849999999996</v>
      </c>
      <c r="N391">
        <v>-1.427632E-2</v>
      </c>
      <c r="O391">
        <v>4.3900969999999999E-3</v>
      </c>
      <c r="P391">
        <v>0.95786360000000004</v>
      </c>
      <c r="Q391">
        <v>0.27941250000000001</v>
      </c>
      <c r="R391">
        <v>6.6528950000000003E-2</v>
      </c>
      <c r="S391">
        <v>3.4633790000000002</v>
      </c>
      <c r="T391">
        <v>-1.128557</v>
      </c>
      <c r="U391">
        <v>-3.5522459999999999E-2</v>
      </c>
      <c r="V391">
        <v>-6.2311419999999999E-2</v>
      </c>
      <c r="W391">
        <v>0.29306520000000003</v>
      </c>
      <c r="X391">
        <v>0.95405980000000001</v>
      </c>
      <c r="Y391">
        <v>1.36971E-2</v>
      </c>
      <c r="Z391">
        <v>-3.6089030000000001E-3</v>
      </c>
      <c r="AA391">
        <v>0.99989969999999995</v>
      </c>
      <c r="AB391">
        <v>30</v>
      </c>
      <c r="AC391">
        <v>0.64350000000001695</v>
      </c>
      <c r="AD391">
        <v>-0.265841099999999</v>
      </c>
      <c r="AE391">
        <v>-9.2000000000211895E-3</v>
      </c>
      <c r="AF391">
        <v>1.02724297540199E-2</v>
      </c>
      <c r="AG391">
        <v>-0.265841099999999</v>
      </c>
      <c r="AH391">
        <v>0.54966364895683895</v>
      </c>
      <c r="AI391">
        <v>115.80649694631499</v>
      </c>
      <c r="AJ391">
        <v>88.929348221919398</v>
      </c>
      <c r="AK391">
        <v>0.61066123198284705</v>
      </c>
      <c r="AL391">
        <v>72.958445737065702</v>
      </c>
      <c r="AM391">
        <v>93.736786694103699</v>
      </c>
      <c r="AN391">
        <v>1.00000001324474</v>
      </c>
    </row>
    <row r="392" spans="1:40" x14ac:dyDescent="0.25">
      <c r="A392" t="str">
        <f>"20190304164602649"</f>
        <v>20190304164602649</v>
      </c>
      <c r="B392" t="str">
        <f>"1551689162638550"</f>
        <v>1551689162638550</v>
      </c>
      <c r="C392" t="s">
        <v>40</v>
      </c>
      <c r="D392">
        <v>4.4102750000000004</v>
      </c>
      <c r="E392">
        <v>0.55622799999999994</v>
      </c>
      <c r="F392" t="s">
        <v>41</v>
      </c>
      <c r="G392">
        <v>-361.62959999999998</v>
      </c>
      <c r="H392">
        <v>0.8938699</v>
      </c>
      <c r="I392">
        <v>367.56209999999999</v>
      </c>
      <c r="J392">
        <v>-362.09879999999998</v>
      </c>
      <c r="K392">
        <v>1.110714</v>
      </c>
      <c r="L392">
        <v>367.56950000000001</v>
      </c>
      <c r="M392">
        <v>0.99988849999999996</v>
      </c>
      <c r="N392">
        <v>-1.4274210000000001E-2</v>
      </c>
      <c r="O392">
        <v>4.3901119999999998E-3</v>
      </c>
      <c r="P392">
        <v>0.95788960000000001</v>
      </c>
      <c r="Q392">
        <v>0.27941939999999998</v>
      </c>
      <c r="R392">
        <v>6.6124219999999997E-2</v>
      </c>
      <c r="S392">
        <v>3.4638059999999999</v>
      </c>
      <c r="T392">
        <v>-1.1296820000000001</v>
      </c>
      <c r="U392">
        <v>-3.3355709999999997E-2</v>
      </c>
      <c r="V392">
        <v>-6.1906410000000002E-2</v>
      </c>
      <c r="W392">
        <v>0.29307080000000002</v>
      </c>
      <c r="X392">
        <v>0.9540845</v>
      </c>
      <c r="Y392">
        <v>1.3101130000000001E-2</v>
      </c>
      <c r="Z392">
        <v>-3.5127890000000001E-3</v>
      </c>
      <c r="AA392">
        <v>0.99990800000000002</v>
      </c>
      <c r="AB392">
        <v>30</v>
      </c>
      <c r="AC392">
        <v>0.46920000000000001</v>
      </c>
      <c r="AD392">
        <v>-0.21684409999999901</v>
      </c>
      <c r="AE392">
        <v>-7.40000000001828E-3</v>
      </c>
      <c r="AF392">
        <v>7.7953836522273098E-3</v>
      </c>
      <c r="AG392">
        <v>-0.21684409999999901</v>
      </c>
      <c r="AH392">
        <v>0.386608200374293</v>
      </c>
      <c r="AI392">
        <v>119.28259822059201</v>
      </c>
      <c r="AJ392">
        <v>88.844871714725798</v>
      </c>
      <c r="AK392">
        <v>0.44333737977723497</v>
      </c>
      <c r="AL392">
        <v>72.958111059231499</v>
      </c>
      <c r="AM392">
        <v>93.712470737652396</v>
      </c>
      <c r="AN392">
        <v>1.00000006527598</v>
      </c>
    </row>
    <row r="393" spans="1:40" x14ac:dyDescent="0.25">
      <c r="A393" t="str">
        <f>"20190304164602670"</f>
        <v>20190304164602670</v>
      </c>
      <c r="B393" t="str">
        <f>"1551689162658069"</f>
        <v>1551689162658069</v>
      </c>
      <c r="C393" t="s">
        <v>40</v>
      </c>
      <c r="D393">
        <v>4.3970449999999897</v>
      </c>
      <c r="E393">
        <v>0.5561526</v>
      </c>
      <c r="F393" t="s">
        <v>41</v>
      </c>
      <c r="G393">
        <v>-361.36939999999998</v>
      </c>
      <c r="H393">
        <v>0.87256900000000004</v>
      </c>
      <c r="I393">
        <v>367.56209999999999</v>
      </c>
      <c r="J393">
        <v>-361.8261</v>
      </c>
      <c r="K393">
        <v>1.110719</v>
      </c>
      <c r="L393">
        <v>367.57069999999999</v>
      </c>
      <c r="M393">
        <v>0.99988860000000002</v>
      </c>
      <c r="N393">
        <v>-1.4271259999999999E-2</v>
      </c>
      <c r="O393">
        <v>4.3900140000000002E-3</v>
      </c>
      <c r="P393">
        <v>0.95791720000000002</v>
      </c>
      <c r="Q393">
        <v>0.27925319999999998</v>
      </c>
      <c r="R393">
        <v>6.6427379999999994E-2</v>
      </c>
      <c r="S393">
        <v>3.4641419999999998</v>
      </c>
      <c r="T393">
        <v>-1.131035</v>
      </c>
      <c r="U393">
        <v>-3.3752440000000002E-2</v>
      </c>
      <c r="V393">
        <v>-6.220958E-2</v>
      </c>
      <c r="W393">
        <v>0.2929021</v>
      </c>
      <c r="X393">
        <v>0.95411650000000003</v>
      </c>
      <c r="Y393">
        <v>1.3206900000000001E-2</v>
      </c>
      <c r="Z393">
        <v>-3.5340020000000001E-3</v>
      </c>
      <c r="AA393">
        <v>0.99990650000000003</v>
      </c>
      <c r="AB393">
        <v>30</v>
      </c>
      <c r="AC393">
        <v>0.45670000000001199</v>
      </c>
      <c r="AD393">
        <v>-0.23815</v>
      </c>
      <c r="AE393">
        <v>-8.6000000000012698E-3</v>
      </c>
      <c r="AF393">
        <v>8.3384605423931901E-3</v>
      </c>
      <c r="AG393">
        <v>-0.23815</v>
      </c>
      <c r="AH393">
        <v>0.359057880422747</v>
      </c>
      <c r="AI393">
        <v>123.54775136228599</v>
      </c>
      <c r="AJ393">
        <v>88.669649761174796</v>
      </c>
      <c r="AK393">
        <v>0.43093794671378499</v>
      </c>
      <c r="AL393">
        <v>72.968219062902904</v>
      </c>
      <c r="AM393">
        <v>93.730475581478998</v>
      </c>
      <c r="AN393">
        <v>0.99999998380021804</v>
      </c>
    </row>
    <row r="394" spans="1:40" x14ac:dyDescent="0.25">
      <c r="A394" t="str">
        <f>"20190304164602688"</f>
        <v>20190304164602688</v>
      </c>
      <c r="B394" t="str">
        <f>"1551689162678565"</f>
        <v>1551689162678565</v>
      </c>
      <c r="C394" t="s">
        <v>40</v>
      </c>
      <c r="D394">
        <v>4.4121230000000002</v>
      </c>
      <c r="E394">
        <v>0.55608429999999998</v>
      </c>
      <c r="F394" t="s">
        <v>41</v>
      </c>
      <c r="G394">
        <v>-361.1</v>
      </c>
      <c r="H394">
        <v>0.87307159999999995</v>
      </c>
      <c r="I394">
        <v>367.56400000000002</v>
      </c>
      <c r="J394">
        <v>-361.5641</v>
      </c>
      <c r="K394">
        <v>1.1107209999999901</v>
      </c>
      <c r="L394">
        <v>367.5718</v>
      </c>
      <c r="M394">
        <v>0.99988869999999996</v>
      </c>
      <c r="N394">
        <v>-1.426843E-2</v>
      </c>
      <c r="O394">
        <v>4.3900340000000001E-3</v>
      </c>
      <c r="P394">
        <v>0.9578508</v>
      </c>
      <c r="Q394">
        <v>0.27944289999999999</v>
      </c>
      <c r="R394">
        <v>6.6587190000000004E-2</v>
      </c>
      <c r="S394">
        <v>3.4645999999999999</v>
      </c>
      <c r="T394">
        <v>-1.134031</v>
      </c>
      <c r="U394">
        <v>-3.1097409999999999E-2</v>
      </c>
      <c r="V394">
        <v>-6.2370099999999998E-2</v>
      </c>
      <c r="W394">
        <v>0.29308810000000002</v>
      </c>
      <c r="X394">
        <v>0.95404889999999998</v>
      </c>
      <c r="Y394">
        <v>1.2474870000000001E-2</v>
      </c>
      <c r="Z394">
        <v>-3.4202809999999998E-3</v>
      </c>
      <c r="AA394">
        <v>0.99991629999999998</v>
      </c>
      <c r="AB394">
        <v>30</v>
      </c>
      <c r="AC394">
        <v>0.46409999999997298</v>
      </c>
      <c r="AD394">
        <v>-0.23764939999999901</v>
      </c>
      <c r="AE394">
        <v>-7.79999999997471E-3</v>
      </c>
      <c r="AF394">
        <v>7.7943598199958697E-3</v>
      </c>
      <c r="AG394">
        <v>-0.23764939999999901</v>
      </c>
      <c r="AH394">
        <v>0.36767912724699098</v>
      </c>
      <c r="AI394">
        <v>122.870738711836</v>
      </c>
      <c r="AJ394">
        <v>88.785579572181703</v>
      </c>
      <c r="AK394">
        <v>0.43786519612601299</v>
      </c>
      <c r="AL394">
        <v>72.957072883539198</v>
      </c>
      <c r="AM394">
        <v>93.740338333367603</v>
      </c>
      <c r="AN394">
        <v>0.99999998366341403</v>
      </c>
    </row>
    <row r="395" spans="1:40" x14ac:dyDescent="0.25">
      <c r="A395" t="str">
        <f>"20190304164602710"</f>
        <v>20190304164602710</v>
      </c>
      <c r="B395" t="str">
        <f>"1551689162698085"</f>
        <v>1551689162698085</v>
      </c>
      <c r="C395" t="s">
        <v>40</v>
      </c>
      <c r="D395">
        <v>4.3740959999999998</v>
      </c>
      <c r="E395">
        <v>0.55601160000000005</v>
      </c>
      <c r="F395" t="s">
        <v>41</v>
      </c>
      <c r="G395">
        <v>-360.83210000000003</v>
      </c>
      <c r="H395">
        <v>0.87083109999999997</v>
      </c>
      <c r="I395">
        <v>367.56529999999998</v>
      </c>
      <c r="J395">
        <v>-361.2672</v>
      </c>
      <c r="K395">
        <v>1.110719</v>
      </c>
      <c r="L395">
        <v>367.57319999999999</v>
      </c>
      <c r="M395">
        <v>0.99988869999999996</v>
      </c>
      <c r="N395">
        <v>-1.426522E-2</v>
      </c>
      <c r="O395">
        <v>4.3900570000000002E-3</v>
      </c>
      <c r="P395">
        <v>0.95789559999999996</v>
      </c>
      <c r="Q395">
        <v>0.27939890000000001</v>
      </c>
      <c r="R395">
        <v>6.6126210000000005E-2</v>
      </c>
      <c r="S395">
        <v>3.4653629999999902</v>
      </c>
      <c r="T395">
        <v>-1.135669</v>
      </c>
      <c r="U395">
        <v>-2.9937740000000001E-2</v>
      </c>
      <c r="V395">
        <v>-6.1908360000000003E-2</v>
      </c>
      <c r="W395">
        <v>0.29304160000000001</v>
      </c>
      <c r="X395">
        <v>0.95409330000000003</v>
      </c>
      <c r="Y395">
        <v>1.2153779999999999E-2</v>
      </c>
      <c r="Z395">
        <v>-3.3706169999999998E-3</v>
      </c>
      <c r="AA395">
        <v>0.99992049999999999</v>
      </c>
      <c r="AB395">
        <v>30</v>
      </c>
      <c r="AC395">
        <v>0.43509999999997701</v>
      </c>
      <c r="AD395">
        <v>-0.23988789999999999</v>
      </c>
      <c r="AE395">
        <v>-7.9000000000064505E-3</v>
      </c>
      <c r="AF395">
        <v>7.5239035733942203E-3</v>
      </c>
      <c r="AG395">
        <v>-0.23988789999999999</v>
      </c>
      <c r="AH395">
        <v>0.333667743120586</v>
      </c>
      <c r="AI395">
        <v>125.70705892378599</v>
      </c>
      <c r="AJ395">
        <v>88.708251284306996</v>
      </c>
      <c r="AK395">
        <v>0.41101943566038002</v>
      </c>
      <c r="AL395">
        <v>72.959860211365296</v>
      </c>
      <c r="AM395">
        <v>93.712553203349302</v>
      </c>
      <c r="AN395">
        <v>1.0000000247366601</v>
      </c>
    </row>
    <row r="396" spans="1:40" x14ac:dyDescent="0.25">
      <c r="A396" t="str">
        <f>"20190304164602725"</f>
        <v>20190304164602725</v>
      </c>
      <c r="B396" t="str">
        <f>"1551689162718581"</f>
        <v>1551689162718581</v>
      </c>
      <c r="C396" t="s">
        <v>40</v>
      </c>
      <c r="D396">
        <v>4.3726659999999997</v>
      </c>
      <c r="E396">
        <v>0.55593729999999997</v>
      </c>
      <c r="F396" t="s">
        <v>41</v>
      </c>
      <c r="G396">
        <v>-360.56020000000001</v>
      </c>
      <c r="H396">
        <v>0.87850949999999906</v>
      </c>
      <c r="I396">
        <v>367.5668</v>
      </c>
      <c r="J396">
        <v>-361.06110000000001</v>
      </c>
      <c r="K396">
        <v>1.110719</v>
      </c>
      <c r="L396">
        <v>367.57400000000001</v>
      </c>
      <c r="M396">
        <v>0.99988869999999996</v>
      </c>
      <c r="N396">
        <v>-1.4263120000000001E-2</v>
      </c>
      <c r="O396">
        <v>4.3900730000000004E-3</v>
      </c>
      <c r="P396">
        <v>0.95794610000000002</v>
      </c>
      <c r="Q396">
        <v>0.279252</v>
      </c>
      <c r="R396">
        <v>6.6013050000000004E-2</v>
      </c>
      <c r="S396">
        <v>3.4660030000000002</v>
      </c>
      <c r="T396">
        <v>-1.1383939999999999</v>
      </c>
      <c r="U396">
        <v>-3.0456540000000001E-2</v>
      </c>
      <c r="V396">
        <v>-6.1794839999999997E-2</v>
      </c>
      <c r="W396">
        <v>0.29289340000000003</v>
      </c>
      <c r="X396">
        <v>0.9541461</v>
      </c>
      <c r="Y396">
        <v>1.2290580000000001E-2</v>
      </c>
      <c r="Z396">
        <v>-3.4005540000000001E-3</v>
      </c>
      <c r="AA396">
        <v>0.99991870000000005</v>
      </c>
      <c r="AB396">
        <v>30</v>
      </c>
      <c r="AC396">
        <v>0.50090000000000101</v>
      </c>
      <c r="AD396">
        <v>-0.23220950000000001</v>
      </c>
      <c r="AE396">
        <v>-7.2000000000116398E-3</v>
      </c>
      <c r="AF396">
        <v>7.7367708895167697E-3</v>
      </c>
      <c r="AG396">
        <v>-0.23220950000000001</v>
      </c>
      <c r="AH396">
        <v>0.41227877161990101</v>
      </c>
      <c r="AI396">
        <v>119.385385880659</v>
      </c>
      <c r="AJ396">
        <v>88.924920890516802</v>
      </c>
      <c r="AK396">
        <v>0.47323872944050299</v>
      </c>
      <c r="AL396">
        <v>72.968740036405293</v>
      </c>
      <c r="AM396">
        <v>93.705560066592398</v>
      </c>
      <c r="AN396">
        <v>0.99999996307969696</v>
      </c>
    </row>
    <row r="397" spans="1:40" x14ac:dyDescent="0.25">
      <c r="A397" t="str">
        <f>"20190304164602744"</f>
        <v>20190304164602744</v>
      </c>
      <c r="B397" t="str">
        <f>"1551689162738102"</f>
        <v>1551689162738102</v>
      </c>
      <c r="C397" t="s">
        <v>40</v>
      </c>
      <c r="D397">
        <v>4.4111659999999997</v>
      </c>
      <c r="E397">
        <v>0.5558883</v>
      </c>
      <c r="F397" t="s">
        <v>41</v>
      </c>
      <c r="G397">
        <v>-360.3</v>
      </c>
      <c r="H397">
        <v>0.8601084</v>
      </c>
      <c r="I397">
        <v>367.56709999999998</v>
      </c>
      <c r="J397">
        <v>-360.79660000000001</v>
      </c>
      <c r="K397">
        <v>1.1107100000000001</v>
      </c>
      <c r="L397">
        <v>367.5752</v>
      </c>
      <c r="M397">
        <v>0.99988880000000002</v>
      </c>
      <c r="N397">
        <v>-1.4260399999999901E-2</v>
      </c>
      <c r="O397">
        <v>4.3899129999999996E-3</v>
      </c>
      <c r="P397">
        <v>0.95811369999999896</v>
      </c>
      <c r="Q397">
        <v>0.27885510000000002</v>
      </c>
      <c r="R397">
        <v>6.5253130000000006E-2</v>
      </c>
      <c r="S397">
        <v>3.4664609999999998</v>
      </c>
      <c r="T397">
        <v>-1.141445</v>
      </c>
      <c r="U397">
        <v>-2.920532E-2</v>
      </c>
      <c r="V397">
        <v>-6.1034119999999997E-2</v>
      </c>
      <c r="W397">
        <v>0.29249619999999998</v>
      </c>
      <c r="X397">
        <v>0.95431690000000002</v>
      </c>
      <c r="Y397">
        <v>1.194316E-2</v>
      </c>
      <c r="Z397">
        <v>-3.3504110000000002E-3</v>
      </c>
      <c r="AA397">
        <v>0.99992309999999995</v>
      </c>
      <c r="AB397">
        <v>30</v>
      </c>
      <c r="AC397">
        <v>0.49659999999999999</v>
      </c>
      <c r="AD397">
        <v>-0.25060159999999998</v>
      </c>
      <c r="AE397">
        <v>-8.1000000000130898E-3</v>
      </c>
      <c r="AF397">
        <v>8.1940608061375503E-3</v>
      </c>
      <c r="AG397">
        <v>-0.25060159999999998</v>
      </c>
      <c r="AH397">
        <v>0.39579484914747798</v>
      </c>
      <c r="AI397">
        <v>122.334820450024</v>
      </c>
      <c r="AJ397">
        <v>88.813986475988401</v>
      </c>
      <c r="AK397">
        <v>0.468531607436179</v>
      </c>
      <c r="AL397">
        <v>72.992540318899202</v>
      </c>
      <c r="AM397">
        <v>93.659414574119197</v>
      </c>
      <c r="AN397">
        <v>0.99999996822211101</v>
      </c>
    </row>
    <row r="398" spans="1:40" x14ac:dyDescent="0.25">
      <c r="A398" t="str">
        <f>"20190304164602757"</f>
        <v>20190304164602757</v>
      </c>
      <c r="B398" t="str">
        <f>"1551689162747861"</f>
        <v>1551689162747861</v>
      </c>
      <c r="C398" t="s">
        <v>40</v>
      </c>
      <c r="D398">
        <v>4.6373150000000001</v>
      </c>
      <c r="E398">
        <v>0.55589009999999905</v>
      </c>
      <c r="F398" t="s">
        <v>41</v>
      </c>
      <c r="G398">
        <v>-360.03280000000001</v>
      </c>
      <c r="H398">
        <v>0.85845849999999901</v>
      </c>
      <c r="I398">
        <v>367.56869999999998</v>
      </c>
      <c r="J398">
        <v>-360.63040000000001</v>
      </c>
      <c r="K398">
        <v>1.110708</v>
      </c>
      <c r="L398">
        <v>367.57589999999999</v>
      </c>
      <c r="M398">
        <v>0.99988869999999996</v>
      </c>
      <c r="N398">
        <v>-1.425861E-2</v>
      </c>
      <c r="O398">
        <v>4.390105E-3</v>
      </c>
      <c r="P398">
        <v>0.9581134</v>
      </c>
      <c r="Q398">
        <v>0.27895130000000001</v>
      </c>
      <c r="R398">
        <v>6.4844379999999993E-2</v>
      </c>
      <c r="S398">
        <v>3.4663699999999902</v>
      </c>
      <c r="T398">
        <v>-1.1447879999999999</v>
      </c>
      <c r="U398">
        <v>-2.9479979999999999E-2</v>
      </c>
      <c r="V398">
        <v>-6.062592E-2</v>
      </c>
      <c r="W398">
        <v>0.29259059999999998</v>
      </c>
      <c r="X398">
        <v>0.954314</v>
      </c>
      <c r="Y398">
        <v>1.2013859999999999E-2</v>
      </c>
      <c r="Z398">
        <v>-3.371705E-3</v>
      </c>
      <c r="AA398">
        <v>0.99992219999999998</v>
      </c>
      <c r="AB398">
        <v>30</v>
      </c>
      <c r="AC398">
        <v>0.59759999999999902</v>
      </c>
      <c r="AD398">
        <v>-0.25224950000000002</v>
      </c>
      <c r="AE398">
        <v>-7.2000000000116398E-3</v>
      </c>
      <c r="AF398">
        <v>8.3382899368502003E-3</v>
      </c>
      <c r="AG398">
        <v>-0.25224950000000002</v>
      </c>
      <c r="AH398">
        <v>0.50720586220319297</v>
      </c>
      <c r="AI398">
        <v>116.439523479266</v>
      </c>
      <c r="AJ398">
        <v>89.058161931573906</v>
      </c>
      <c r="AK398">
        <v>0.56653077937796503</v>
      </c>
      <c r="AL398">
        <v>72.986884464049993</v>
      </c>
      <c r="AM398">
        <v>93.635017037775498</v>
      </c>
      <c r="AN398">
        <v>0.99999998599010298</v>
      </c>
    </row>
    <row r="399" spans="1:40" x14ac:dyDescent="0.25">
      <c r="A399" t="str">
        <f>"20190304164602777"</f>
        <v>20190304164602777</v>
      </c>
      <c r="B399" t="str">
        <f>"1551689162768361"</f>
        <v>1551689162768361</v>
      </c>
      <c r="C399" t="s">
        <v>40</v>
      </c>
      <c r="D399">
        <v>4.3928799999999999</v>
      </c>
      <c r="E399">
        <v>0.55590399999999995</v>
      </c>
      <c r="F399" t="s">
        <v>41</v>
      </c>
      <c r="G399">
        <v>-359.77760000000001</v>
      </c>
      <c r="H399">
        <v>0.82907450000000005</v>
      </c>
      <c r="I399">
        <v>367.56819999999999</v>
      </c>
      <c r="J399">
        <v>-360.3698</v>
      </c>
      <c r="K399">
        <v>1.1107020000000001</v>
      </c>
      <c r="L399">
        <v>367.57709999999997</v>
      </c>
      <c r="M399">
        <v>0.99988889999999997</v>
      </c>
      <c r="N399">
        <v>-1.425569E-2</v>
      </c>
      <c r="O399">
        <v>4.3897679999999996E-3</v>
      </c>
      <c r="P399">
        <v>0.95829169999999997</v>
      </c>
      <c r="Q399">
        <v>0.27853440000000002</v>
      </c>
      <c r="R399">
        <v>6.3998979999999997E-2</v>
      </c>
      <c r="S399">
        <v>3.4664609999999998</v>
      </c>
      <c r="T399">
        <v>-1.1448069999999999</v>
      </c>
      <c r="U399">
        <v>-3.0273439999999999E-2</v>
      </c>
      <c r="V399">
        <v>-5.9779739999999998E-2</v>
      </c>
      <c r="W399">
        <v>0.29217340000000003</v>
      </c>
      <c r="X399">
        <v>0.95449519999999999</v>
      </c>
      <c r="Y399">
        <v>1.223018E-2</v>
      </c>
      <c r="Z399">
        <v>-3.4079430000000001E-3</v>
      </c>
      <c r="AA399">
        <v>0.99991940000000001</v>
      </c>
      <c r="AB399">
        <v>30</v>
      </c>
      <c r="AC399">
        <v>0.59219999999999096</v>
      </c>
      <c r="AD399">
        <v>-0.28162749999999998</v>
      </c>
      <c r="AE399">
        <v>-8.8999999999828001E-3</v>
      </c>
      <c r="AF399">
        <v>9.3791101800023702E-3</v>
      </c>
      <c r="AG399">
        <v>-0.28162749999999998</v>
      </c>
      <c r="AH399">
        <v>0.48295533069913299</v>
      </c>
      <c r="AI399">
        <v>120.243199149137</v>
      </c>
      <c r="AJ399">
        <v>88.887441854931893</v>
      </c>
      <c r="AK399">
        <v>0.55914923581699305</v>
      </c>
      <c r="AL399">
        <v>73.011880796270503</v>
      </c>
      <c r="AM399">
        <v>93.583736182386005</v>
      </c>
      <c r="AN399">
        <v>0.99999999990253297</v>
      </c>
    </row>
    <row r="400" spans="1:40" x14ac:dyDescent="0.25">
      <c r="A400" t="str">
        <f>"20190304164602790"</f>
        <v>20190304164602790</v>
      </c>
      <c r="B400" t="str">
        <f>"1551689162778117"</f>
        <v>1551689162778117</v>
      </c>
      <c r="C400" t="s">
        <v>40</v>
      </c>
      <c r="D400">
        <v>4.4060730000000001</v>
      </c>
      <c r="E400">
        <v>0.55587119999999901</v>
      </c>
      <c r="F400" t="s">
        <v>41</v>
      </c>
      <c r="G400">
        <v>-359.51130000000001</v>
      </c>
      <c r="H400">
        <v>0.82672019999999902</v>
      </c>
      <c r="I400">
        <v>367.56869999999998</v>
      </c>
      <c r="J400">
        <v>-360.185</v>
      </c>
      <c r="K400">
        <v>1.1107039999999999</v>
      </c>
      <c r="L400">
        <v>367.5779</v>
      </c>
      <c r="M400">
        <v>0.99988880000000002</v>
      </c>
      <c r="N400">
        <v>-1.42536E-2</v>
      </c>
      <c r="O400">
        <v>4.3899619999999999E-3</v>
      </c>
      <c r="P400">
        <v>0.95832099999999998</v>
      </c>
      <c r="Q400">
        <v>0.27848040000000002</v>
      </c>
      <c r="R400">
        <v>6.3793879999999997E-2</v>
      </c>
      <c r="S400">
        <v>3.4660639999999998</v>
      </c>
      <c r="T400">
        <v>-1.1465590000000001</v>
      </c>
      <c r="U400">
        <v>-3.3264160000000001E-2</v>
      </c>
      <c r="V400">
        <v>-5.9574599999999998E-2</v>
      </c>
      <c r="W400">
        <v>0.29211819999999999</v>
      </c>
      <c r="X400">
        <v>0.95452490000000001</v>
      </c>
      <c r="Y400">
        <v>1.304579E-2</v>
      </c>
      <c r="Z400">
        <v>-3.5506449999999998E-3</v>
      </c>
      <c r="AA400">
        <v>0.99990860000000004</v>
      </c>
      <c r="AB400">
        <v>30</v>
      </c>
      <c r="AC400">
        <v>0.67369999999999597</v>
      </c>
      <c r="AD400">
        <v>-0.28398380000000001</v>
      </c>
      <c r="AE400">
        <v>-9.2000000000211895E-3</v>
      </c>
      <c r="AF400">
        <v>1.03236921069127E-2</v>
      </c>
      <c r="AG400">
        <v>-0.28398380000000001</v>
      </c>
      <c r="AH400">
        <v>0.57203012753702398</v>
      </c>
      <c r="AI400">
        <v>116.39833987074</v>
      </c>
      <c r="AJ400">
        <v>88.966068829191201</v>
      </c>
      <c r="AK400">
        <v>0.638726736634049</v>
      </c>
      <c r="AL400">
        <v>73.015187450807403</v>
      </c>
      <c r="AM400">
        <v>93.571359289854996</v>
      </c>
      <c r="AN400">
        <v>0.99999998022820402</v>
      </c>
    </row>
    <row r="401" spans="1:40" x14ac:dyDescent="0.25">
      <c r="A401" t="str">
        <f>"20190304164602812"</f>
        <v>20190304164602812</v>
      </c>
      <c r="B401" t="str">
        <f>"1551689162808373"</f>
        <v>1551689162808373</v>
      </c>
      <c r="C401" t="s">
        <v>40</v>
      </c>
      <c r="D401">
        <v>4.3189140000000004</v>
      </c>
      <c r="E401">
        <v>0.55855440000000001</v>
      </c>
      <c r="F401" t="s">
        <v>41</v>
      </c>
      <c r="G401">
        <v>-359.48849999999999</v>
      </c>
      <c r="H401">
        <v>0.88008699999999995</v>
      </c>
      <c r="I401">
        <v>367.57089999999999</v>
      </c>
      <c r="J401">
        <v>-359.90769999999998</v>
      </c>
      <c r="K401">
        <v>1.110716</v>
      </c>
      <c r="L401">
        <v>367.57909999999998</v>
      </c>
      <c r="M401">
        <v>0.99988880000000002</v>
      </c>
      <c r="N401">
        <v>-1.4250479999999999E-2</v>
      </c>
      <c r="O401">
        <v>4.3899849999999999E-3</v>
      </c>
      <c r="P401">
        <v>0.95824189999999998</v>
      </c>
      <c r="Q401">
        <v>0.27892260000000002</v>
      </c>
      <c r="R401">
        <v>6.3044089999999997E-2</v>
      </c>
      <c r="S401">
        <v>3.466278</v>
      </c>
      <c r="T401">
        <v>-1.1477489999999999</v>
      </c>
      <c r="U401">
        <v>-3.4240720000000002E-2</v>
      </c>
      <c r="V401">
        <v>-5.8824899999999999E-2</v>
      </c>
      <c r="W401">
        <v>0.29255599999999998</v>
      </c>
      <c r="X401">
        <v>0.95443730000000004</v>
      </c>
      <c r="Y401">
        <v>1.331036E-2</v>
      </c>
      <c r="Z401">
        <v>-3.5985040000000002E-3</v>
      </c>
      <c r="AA401">
        <v>0.99990489999999999</v>
      </c>
      <c r="AB401">
        <v>30</v>
      </c>
      <c r="AC401">
        <v>0.41919999999998903</v>
      </c>
      <c r="AD401">
        <v>-0.230629</v>
      </c>
      <c r="AE401">
        <v>-8.1999999999879895E-3</v>
      </c>
      <c r="AF401">
        <v>7.70816595197109E-3</v>
      </c>
      <c r="AG401">
        <v>-0.230629</v>
      </c>
      <c r="AH401">
        <v>0.32179573162319097</v>
      </c>
      <c r="AI401">
        <v>125.621153376428</v>
      </c>
      <c r="AJ401">
        <v>88.627822266848796</v>
      </c>
      <c r="AK401">
        <v>0.39598187376980798</v>
      </c>
      <c r="AL401">
        <v>72.988957346577806</v>
      </c>
      <c r="AM401">
        <v>93.526853505508697</v>
      </c>
      <c r="AN401">
        <v>0.999999970813649</v>
      </c>
    </row>
    <row r="402" spans="1:40" x14ac:dyDescent="0.25">
      <c r="A402" t="str">
        <f>"20190304164602834"</f>
        <v>20190304164602834</v>
      </c>
      <c r="B402" t="str">
        <f>"1551689162828453"</f>
        <v>1551689162828453</v>
      </c>
      <c r="C402" t="s">
        <v>40</v>
      </c>
      <c r="D402">
        <v>4.3653240000000002</v>
      </c>
      <c r="E402">
        <v>0.55408279999999999</v>
      </c>
      <c r="F402" t="s">
        <v>41</v>
      </c>
      <c r="G402">
        <v>-359.18920000000003</v>
      </c>
      <c r="H402">
        <v>0.95313060000000005</v>
      </c>
      <c r="I402">
        <v>367.5566</v>
      </c>
      <c r="J402">
        <v>-359.61869999999999</v>
      </c>
      <c r="K402">
        <v>1.1107199999999999</v>
      </c>
      <c r="L402">
        <v>367.5804</v>
      </c>
      <c r="M402">
        <v>0.99988889999999997</v>
      </c>
      <c r="N402">
        <v>-1.424724E-2</v>
      </c>
      <c r="O402">
        <v>4.3900079999999999E-3</v>
      </c>
      <c r="P402">
        <v>0.95815799999999995</v>
      </c>
      <c r="Q402">
        <v>0.27928500000000001</v>
      </c>
      <c r="R402">
        <v>6.2718670000000004E-2</v>
      </c>
      <c r="S402">
        <v>3.3515929999999998</v>
      </c>
      <c r="T402">
        <v>-0.73514269999999904</v>
      </c>
      <c r="U402">
        <v>-0.1043091</v>
      </c>
      <c r="V402">
        <v>-5.8500089999999998E-2</v>
      </c>
      <c r="W402">
        <v>0.29291339999999999</v>
      </c>
      <c r="X402">
        <v>0.95434770000000002</v>
      </c>
      <c r="Y402">
        <v>3.4529339999999999E-2</v>
      </c>
      <c r="Z402">
        <v>-4.8801649999999997E-3</v>
      </c>
      <c r="AA402">
        <v>0.99939180000000005</v>
      </c>
      <c r="AB402">
        <v>30</v>
      </c>
      <c r="AC402">
        <v>0.42949999999996102</v>
      </c>
      <c r="AD402">
        <v>-0.15758939999999999</v>
      </c>
      <c r="AE402">
        <v>-2.3799999999994201E-2</v>
      </c>
      <c r="AF402">
        <v>2.26460633036598E-2</v>
      </c>
      <c r="AG402">
        <v>-0.15758939999999999</v>
      </c>
      <c r="AH402">
        <v>0.37858072874253001</v>
      </c>
      <c r="AI402">
        <v>112.563906255315</v>
      </c>
      <c r="AJ402">
        <v>86.576741888564598</v>
      </c>
      <c r="AK402">
        <v>0.41069530232367901</v>
      </c>
      <c r="AL402">
        <v>72.967542670477201</v>
      </c>
      <c r="AM402">
        <v>93.507756711531101</v>
      </c>
      <c r="AN402">
        <v>1.00000002646242</v>
      </c>
    </row>
    <row r="403" spans="1:40" x14ac:dyDescent="0.25">
      <c r="A403" t="str">
        <f>"20190304164602850"</f>
        <v>20190304164602850</v>
      </c>
      <c r="B403" t="str">
        <f>"1551689162838213"</f>
        <v>1551689162838213</v>
      </c>
      <c r="C403" t="s">
        <v>40</v>
      </c>
      <c r="D403">
        <v>4.354228</v>
      </c>
      <c r="E403">
        <v>0.55288000000000004</v>
      </c>
      <c r="F403" t="s">
        <v>41</v>
      </c>
      <c r="G403">
        <v>-358.89690000000002</v>
      </c>
      <c r="H403">
        <v>1.00583</v>
      </c>
      <c r="I403">
        <v>367.55880000000002</v>
      </c>
      <c r="J403">
        <v>-359.40359999999998</v>
      </c>
      <c r="K403">
        <v>1.110716</v>
      </c>
      <c r="L403">
        <v>367.5813</v>
      </c>
      <c r="M403">
        <v>0.99988889999999997</v>
      </c>
      <c r="N403">
        <v>-1.424483E-2</v>
      </c>
      <c r="O403">
        <v>4.3900249999999997E-3</v>
      </c>
      <c r="P403">
        <v>0.95812299999999995</v>
      </c>
      <c r="Q403">
        <v>0.27941480000000002</v>
      </c>
      <c r="R403">
        <v>6.2672359999999996E-2</v>
      </c>
      <c r="S403">
        <v>3.276154</v>
      </c>
      <c r="T403">
        <v>-0.47613430000000001</v>
      </c>
      <c r="U403">
        <v>-9.7442630000000002E-2</v>
      </c>
      <c r="V403">
        <v>-5.8453560000000002E-2</v>
      </c>
      <c r="W403">
        <v>0.293041099999999</v>
      </c>
      <c r="X403">
        <v>0.95431129999999997</v>
      </c>
      <c r="Y403">
        <v>3.3691890000000002E-2</v>
      </c>
      <c r="Z403">
        <v>-3.2486889999999999E-3</v>
      </c>
      <c r="AA403">
        <v>0.99942699999999995</v>
      </c>
      <c r="AB403">
        <v>30</v>
      </c>
      <c r="AC403">
        <v>0.50669999999996596</v>
      </c>
      <c r="AD403">
        <v>-0.10488599999999999</v>
      </c>
      <c r="AE403">
        <v>-2.2499999999979502E-2</v>
      </c>
      <c r="AF403">
        <v>2.3710480883665501E-2</v>
      </c>
      <c r="AG403">
        <v>-0.10488599999999999</v>
      </c>
      <c r="AH403">
        <v>0.485820721297061</v>
      </c>
      <c r="AI403">
        <v>102.16880377694</v>
      </c>
      <c r="AJ403">
        <v>87.205896456296003</v>
      </c>
      <c r="AK403">
        <v>0.497579172736693</v>
      </c>
      <c r="AL403">
        <v>72.959889408994201</v>
      </c>
      <c r="AM403">
        <v>93.505107013955197</v>
      </c>
      <c r="AN403">
        <v>0.99999998113678601</v>
      </c>
    </row>
    <row r="404" spans="1:40" x14ac:dyDescent="0.25">
      <c r="A404" t="str">
        <f>"20190304164602869"</f>
        <v>20190304164602869</v>
      </c>
      <c r="B404" t="str">
        <f>"1551689162858309"</f>
        <v>1551689162858309</v>
      </c>
      <c r="C404" t="s">
        <v>40</v>
      </c>
      <c r="D404">
        <v>4.3487090000000004</v>
      </c>
      <c r="E404">
        <v>0.55065850000000005</v>
      </c>
      <c r="F404" t="s">
        <v>41</v>
      </c>
      <c r="G404">
        <v>-358.6275</v>
      </c>
      <c r="H404">
        <v>1.012092</v>
      </c>
      <c r="I404">
        <v>367.55829999999997</v>
      </c>
      <c r="J404">
        <v>-359.15480000000002</v>
      </c>
      <c r="K404">
        <v>1.1107180000000001</v>
      </c>
      <c r="L404">
        <v>367.58240000000001</v>
      </c>
      <c r="M404">
        <v>0.99988900000000003</v>
      </c>
      <c r="N404">
        <v>-1.4242029999999999E-2</v>
      </c>
      <c r="O404">
        <v>4.3898660000000001E-3</v>
      </c>
      <c r="P404">
        <v>0.95806360000000002</v>
      </c>
      <c r="Q404">
        <v>0.279597599999999</v>
      </c>
      <c r="R404">
        <v>6.2767550000000005E-2</v>
      </c>
      <c r="S404">
        <v>3.2581180000000001</v>
      </c>
      <c r="T404">
        <v>-0.41437200000000002</v>
      </c>
      <c r="U404">
        <v>-9.4573969999999993E-2</v>
      </c>
      <c r="V404">
        <v>-5.854939E-2</v>
      </c>
      <c r="W404">
        <v>0.29322029999999999</v>
      </c>
      <c r="X404">
        <v>0.95425040000000005</v>
      </c>
      <c r="Y404">
        <v>3.3078959999999998E-2</v>
      </c>
      <c r="Z404">
        <v>-2.8249830000000001E-3</v>
      </c>
      <c r="AA404">
        <v>0.99944880000000003</v>
      </c>
      <c r="AB404">
        <v>30</v>
      </c>
      <c r="AC404">
        <v>0.52730000000002497</v>
      </c>
      <c r="AD404">
        <v>-9.8626000000000102E-2</v>
      </c>
      <c r="AE404">
        <v>-2.4100000000032599E-2</v>
      </c>
      <c r="AF404">
        <v>2.5523722612430001E-2</v>
      </c>
      <c r="AG404">
        <v>-9.8626000000000102E-2</v>
      </c>
      <c r="AH404">
        <v>0.50940531377265696</v>
      </c>
      <c r="AI404">
        <v>100.944072475944</v>
      </c>
      <c r="AJ404">
        <v>87.131597188095995</v>
      </c>
      <c r="AK404">
        <v>0.519492369522224</v>
      </c>
      <c r="AL404">
        <v>72.9491506027057</v>
      </c>
      <c r="AM404">
        <v>93.511062499269897</v>
      </c>
      <c r="AN404">
        <v>1.0000000006508101</v>
      </c>
    </row>
    <row r="405" spans="1:40" x14ac:dyDescent="0.25">
      <c r="A405" t="str">
        <f>"20190304164602889"</f>
        <v>20190304164602889</v>
      </c>
      <c r="B405" t="str">
        <f>"1551689162877828"</f>
        <v>1551689162877828</v>
      </c>
      <c r="C405" t="s">
        <v>40</v>
      </c>
      <c r="D405">
        <v>4.3229230000000003</v>
      </c>
      <c r="E405">
        <v>0.55017050000000001</v>
      </c>
      <c r="F405" t="s">
        <v>41</v>
      </c>
      <c r="G405">
        <v>-358.35359999999997</v>
      </c>
      <c r="H405">
        <v>1.027892</v>
      </c>
      <c r="I405">
        <v>367.56139999999999</v>
      </c>
      <c r="J405">
        <v>-358.87779999999998</v>
      </c>
      <c r="K405">
        <v>1.110727</v>
      </c>
      <c r="L405">
        <v>367.58359999999999</v>
      </c>
      <c r="M405">
        <v>0.99988909999999998</v>
      </c>
      <c r="N405">
        <v>-1.423894E-2</v>
      </c>
      <c r="O405">
        <v>4.3898890000000001E-3</v>
      </c>
      <c r="P405">
        <v>0.95799529999999999</v>
      </c>
      <c r="Q405">
        <v>0.2797444</v>
      </c>
      <c r="R405">
        <v>6.3152249999999993E-2</v>
      </c>
      <c r="S405">
        <v>3.2344970000000002</v>
      </c>
      <c r="T405">
        <v>-0.334362099999999</v>
      </c>
      <c r="U405">
        <v>-8.4838869999999997E-2</v>
      </c>
      <c r="V405">
        <v>-5.8934359999999998E-2</v>
      </c>
      <c r="W405">
        <v>0.2933634</v>
      </c>
      <c r="X405">
        <v>0.95418270000000005</v>
      </c>
      <c r="Y405">
        <v>3.0407179999999999E-2</v>
      </c>
      <c r="Z405">
        <v>-2.1745599999999999E-3</v>
      </c>
      <c r="AA405">
        <v>0.99953519999999896</v>
      </c>
      <c r="AB405">
        <v>30</v>
      </c>
      <c r="AC405">
        <v>0.52420000000000699</v>
      </c>
      <c r="AD405">
        <v>-8.2834999999999895E-2</v>
      </c>
      <c r="AE405">
        <v>-2.2199999999997999E-2</v>
      </c>
      <c r="AF405">
        <v>2.39053306567996E-2</v>
      </c>
      <c r="AG405">
        <v>-8.2834999999999895E-2</v>
      </c>
      <c r="AH405">
        <v>0.51135145117558001</v>
      </c>
      <c r="AI405">
        <v>99.191676438561501</v>
      </c>
      <c r="AJ405">
        <v>87.323410248505994</v>
      </c>
      <c r="AK405">
        <v>0.518568615207459</v>
      </c>
      <c r="AL405">
        <v>72.940574130793607</v>
      </c>
      <c r="AM405">
        <v>93.534339991599396</v>
      </c>
      <c r="AN405">
        <v>0.99999998411372903</v>
      </c>
    </row>
    <row r="406" spans="1:40" x14ac:dyDescent="0.25">
      <c r="A406" t="str">
        <f>"20190304164602911"</f>
        <v>20190304164602911</v>
      </c>
      <c r="B406" t="str">
        <f>"1551689162898325"</f>
        <v>1551689162898325</v>
      </c>
      <c r="C406" t="s">
        <v>40</v>
      </c>
      <c r="D406">
        <v>4.3435790000000001</v>
      </c>
      <c r="E406">
        <v>0.54946399999999995</v>
      </c>
      <c r="F406" t="s">
        <v>41</v>
      </c>
      <c r="G406">
        <v>-358.08300000000003</v>
      </c>
      <c r="H406">
        <v>1.0378369999999999</v>
      </c>
      <c r="I406">
        <v>367.56259999999997</v>
      </c>
      <c r="J406">
        <v>-358.58199999999999</v>
      </c>
      <c r="K406">
        <v>1.110725</v>
      </c>
      <c r="L406">
        <v>367.5849</v>
      </c>
      <c r="M406">
        <v>0.99988909999999998</v>
      </c>
      <c r="N406">
        <v>-1.42341E-2</v>
      </c>
      <c r="O406">
        <v>4.3899229999999996E-3</v>
      </c>
      <c r="P406">
        <v>0.95794809999999997</v>
      </c>
      <c r="Q406">
        <v>0.2798062</v>
      </c>
      <c r="R406">
        <v>6.3595040000000005E-2</v>
      </c>
      <c r="S406">
        <v>3.2234500000000001</v>
      </c>
      <c r="T406">
        <v>-0.29585980000000001</v>
      </c>
      <c r="U406">
        <v>-8.3984379999999997E-2</v>
      </c>
      <c r="V406">
        <v>-5.9377350000000002E-2</v>
      </c>
      <c r="W406">
        <v>0.29341990000000001</v>
      </c>
      <c r="X406">
        <v>0.95413789999999998</v>
      </c>
      <c r="Y406">
        <v>3.0273830000000002E-2</v>
      </c>
      <c r="Z406">
        <v>-1.94185E-3</v>
      </c>
      <c r="AA406">
        <v>0.99953970000000003</v>
      </c>
      <c r="AB406">
        <v>30</v>
      </c>
      <c r="AC406">
        <v>0.49899999999996603</v>
      </c>
      <c r="AD406">
        <v>-7.28879999999998E-2</v>
      </c>
      <c r="AE406">
        <v>-2.2300000000029699E-2</v>
      </c>
      <c r="AF406">
        <v>2.3979964144246298E-2</v>
      </c>
      <c r="AG406">
        <v>-7.28879999999998E-2</v>
      </c>
      <c r="AH406">
        <v>0.488495566511079</v>
      </c>
      <c r="AI406">
        <v>98.476385867998303</v>
      </c>
      <c r="AJ406">
        <v>87.189639395338403</v>
      </c>
      <c r="AK406">
        <v>0.49448520475878699</v>
      </c>
      <c r="AL406">
        <v>72.937188526827399</v>
      </c>
      <c r="AM406">
        <v>93.561005113615494</v>
      </c>
      <c r="AN406">
        <v>1.0000000198127199</v>
      </c>
    </row>
    <row r="407" spans="1:40" x14ac:dyDescent="0.25">
      <c r="A407" t="str">
        <f>"20190304164602935"</f>
        <v>20190304164602935</v>
      </c>
      <c r="B407" t="str">
        <f>"1551689162928580"</f>
        <v>1551689162928580</v>
      </c>
      <c r="C407" t="s">
        <v>40</v>
      </c>
      <c r="D407">
        <v>4.3170510000000002</v>
      </c>
      <c r="E407">
        <v>0.5488769</v>
      </c>
      <c r="F407" t="s">
        <v>41</v>
      </c>
      <c r="G407">
        <v>-357.81139999999999</v>
      </c>
      <c r="H407">
        <v>1.0448489999999999</v>
      </c>
      <c r="I407">
        <v>367.5659</v>
      </c>
      <c r="J407">
        <v>-358.27609999999999</v>
      </c>
      <c r="K407">
        <v>1.1107229999999999</v>
      </c>
      <c r="L407">
        <v>367.58620000000002</v>
      </c>
      <c r="M407">
        <v>0.99988929999999998</v>
      </c>
      <c r="N407">
        <v>-1.4222250000000001E-2</v>
      </c>
      <c r="O407">
        <v>4.3896500000000001E-3</v>
      </c>
      <c r="P407">
        <v>0.95792029999999995</v>
      </c>
      <c r="Q407">
        <v>0.27985539999999998</v>
      </c>
      <c r="R407">
        <v>6.3796309999999995E-2</v>
      </c>
      <c r="S407">
        <v>3.217346</v>
      </c>
      <c r="T407">
        <v>-0.27522190000000002</v>
      </c>
      <c r="U407">
        <v>-7.8613279999999994E-2</v>
      </c>
      <c r="V407">
        <v>-5.9579090000000001E-2</v>
      </c>
      <c r="W407">
        <v>0.29345690000000002</v>
      </c>
      <c r="X407">
        <v>0.95411389999999996</v>
      </c>
      <c r="Y407">
        <v>2.8682139999999998E-2</v>
      </c>
      <c r="Z407">
        <v>-1.7412389999999999E-3</v>
      </c>
      <c r="AA407">
        <v>0.99958709999999995</v>
      </c>
      <c r="AB407">
        <v>30</v>
      </c>
      <c r="AC407">
        <v>0.46469999999999301</v>
      </c>
      <c r="AD407">
        <v>-6.5873999999999905E-2</v>
      </c>
      <c r="AE407">
        <v>-2.0300000000020101E-2</v>
      </c>
      <c r="AF407">
        <v>2.19006313024083E-2</v>
      </c>
      <c r="AG407">
        <v>-6.5873999999999905E-2</v>
      </c>
      <c r="AH407">
        <v>0.455471252182654</v>
      </c>
      <c r="AI407">
        <v>98.220156694455895</v>
      </c>
      <c r="AJ407">
        <v>87.247141230813</v>
      </c>
      <c r="AK407">
        <v>0.4607310311801</v>
      </c>
      <c r="AL407">
        <v>72.934970210930999</v>
      </c>
      <c r="AM407">
        <v>93.573162309517102</v>
      </c>
      <c r="AN407">
        <v>0.99999997714802302</v>
      </c>
    </row>
    <row r="408" spans="1:40" x14ac:dyDescent="0.25">
      <c r="A408" t="str">
        <f>"20190304164602967"</f>
        <v>20190304164602967</v>
      </c>
      <c r="B408" t="str">
        <f>"1551689162957860"</f>
        <v>1551689162957860</v>
      </c>
      <c r="C408" t="s">
        <v>40</v>
      </c>
      <c r="D408">
        <v>4.3783019999999997</v>
      </c>
      <c r="E408">
        <v>0.54893950000000002</v>
      </c>
      <c r="F408" t="s">
        <v>41</v>
      </c>
      <c r="G408">
        <v>-357.29050000000001</v>
      </c>
      <c r="H408">
        <v>1.032416</v>
      </c>
      <c r="I408">
        <v>367.56290000000001</v>
      </c>
      <c r="J408">
        <v>-357.84059999999999</v>
      </c>
      <c r="K408">
        <v>1.1107180000000001</v>
      </c>
      <c r="L408">
        <v>367.5881</v>
      </c>
      <c r="M408">
        <v>0.9998899</v>
      </c>
      <c r="N408">
        <v>-1.4177459999999999E-2</v>
      </c>
      <c r="O408">
        <v>4.389792E-3</v>
      </c>
      <c r="P408">
        <v>0.95780810000000005</v>
      </c>
      <c r="Q408">
        <v>0.28035300000000002</v>
      </c>
      <c r="R408">
        <v>6.3292539999999994E-2</v>
      </c>
      <c r="S408">
        <v>3.2113649999999998</v>
      </c>
      <c r="T408">
        <v>-0.25518950000000001</v>
      </c>
      <c r="U408">
        <v>-7.5500490000000003E-2</v>
      </c>
      <c r="V408">
        <v>-5.9075500000000003E-2</v>
      </c>
      <c r="W408">
        <v>0.2939099</v>
      </c>
      <c r="X408">
        <v>0.95400580000000001</v>
      </c>
      <c r="Y408">
        <v>2.778017E-2</v>
      </c>
      <c r="Z408">
        <v>-1.5852990000000001E-3</v>
      </c>
      <c r="AA408">
        <v>0.99961279999999997</v>
      </c>
      <c r="AB408">
        <v>30</v>
      </c>
      <c r="AC408">
        <v>0.55009999999998604</v>
      </c>
      <c r="AD408">
        <v>-7.8302000000000094E-2</v>
      </c>
      <c r="AE408">
        <v>-2.5199999999983898E-2</v>
      </c>
      <c r="AF408">
        <v>2.7067555134725599E-2</v>
      </c>
      <c r="AG408">
        <v>-7.8302000000000094E-2</v>
      </c>
      <c r="AH408">
        <v>0.53908450789709605</v>
      </c>
      <c r="AI408">
        <v>98.254158582235405</v>
      </c>
      <c r="AJ408">
        <v>87.125579858085501</v>
      </c>
      <c r="AK408">
        <v>0.54541357005452795</v>
      </c>
      <c r="AL408">
        <v>72.907818373239294</v>
      </c>
      <c r="AM408">
        <v>93.543437995884204</v>
      </c>
      <c r="AN408">
        <v>1.0000000052259499</v>
      </c>
    </row>
    <row r="409" spans="1:40" x14ac:dyDescent="0.25">
      <c r="A409" t="str">
        <f>"20190304164602989"</f>
        <v>20190304164602989</v>
      </c>
      <c r="B409" t="str">
        <f>"1551689162978360"</f>
        <v>1551689162978360</v>
      </c>
      <c r="C409" t="s">
        <v>40</v>
      </c>
      <c r="D409">
        <v>4.3785980000000002</v>
      </c>
      <c r="E409">
        <v>0.54895760000000005</v>
      </c>
      <c r="F409" t="s">
        <v>41</v>
      </c>
      <c r="G409">
        <v>-357.0147</v>
      </c>
      <c r="H409">
        <v>1.0475719999999999</v>
      </c>
      <c r="I409">
        <v>367.56760000000003</v>
      </c>
      <c r="J409">
        <v>-357.5582</v>
      </c>
      <c r="K409">
        <v>1.110698</v>
      </c>
      <c r="L409">
        <v>367.58929999999998</v>
      </c>
      <c r="M409">
        <v>0.99989059999999996</v>
      </c>
      <c r="N409">
        <v>-1.4136320000000001E-2</v>
      </c>
      <c r="O409">
        <v>4.3896079999999997E-3</v>
      </c>
      <c r="P409">
        <v>0.95784749999999996</v>
      </c>
      <c r="Q409">
        <v>0.28036929999999999</v>
      </c>
      <c r="R409">
        <v>6.2620999999999996E-2</v>
      </c>
      <c r="S409">
        <v>3.2092589999999999</v>
      </c>
      <c r="T409">
        <v>-0.24567230000000001</v>
      </c>
      <c r="U409">
        <v>-7.8338619999999998E-2</v>
      </c>
      <c r="V409">
        <v>-5.840356E-2</v>
      </c>
      <c r="W409">
        <v>0.29388760000000003</v>
      </c>
      <c r="X409">
        <v>0.95405410000000002</v>
      </c>
      <c r="Y409">
        <v>2.8683480000000001E-2</v>
      </c>
      <c r="Z409">
        <v>-1.572761E-3</v>
      </c>
      <c r="AA409">
        <v>0.99958729999999996</v>
      </c>
      <c r="AB409">
        <v>30</v>
      </c>
      <c r="AC409">
        <v>0.54349999999999399</v>
      </c>
      <c r="AD409">
        <v>-6.3126000000000002E-2</v>
      </c>
      <c r="AE409">
        <v>-2.1699999999952899E-2</v>
      </c>
      <c r="AF409">
        <v>2.3765687956209001E-2</v>
      </c>
      <c r="AG409">
        <v>-6.3126000000000002E-2</v>
      </c>
      <c r="AH409">
        <v>0.53617787966237296</v>
      </c>
      <c r="AI409">
        <v>96.708185249235598</v>
      </c>
      <c r="AJ409">
        <v>87.462068120350693</v>
      </c>
      <c r="AK409">
        <v>0.54040394006638204</v>
      </c>
      <c r="AL409">
        <v>72.909156094919894</v>
      </c>
      <c r="AM409">
        <v>93.503058053304699</v>
      </c>
      <c r="AN409">
        <v>1.0000000614906199</v>
      </c>
    </row>
    <row r="410" spans="1:40" x14ac:dyDescent="0.25">
      <c r="A410" t="str">
        <f>"20190304164603011"</f>
        <v>20190304164603011</v>
      </c>
      <c r="B410" t="str">
        <f>"1551689163008613"</f>
        <v>1551689163008613</v>
      </c>
      <c r="C410" t="s">
        <v>40</v>
      </c>
      <c r="D410">
        <v>4.3900480000000002</v>
      </c>
      <c r="E410">
        <v>0.54885689999999998</v>
      </c>
      <c r="F410" t="s">
        <v>42</v>
      </c>
      <c r="G410">
        <v>-342.79660000000001</v>
      </c>
      <c r="H410" s="1">
        <v>-3.811274E-6</v>
      </c>
      <c r="I410">
        <v>367.2165</v>
      </c>
      <c r="J410">
        <v>-357.25830000000002</v>
      </c>
      <c r="K410">
        <v>1.110692</v>
      </c>
      <c r="L410">
        <v>367.59059999999999</v>
      </c>
      <c r="M410">
        <v>0.99989159999999999</v>
      </c>
      <c r="N410">
        <v>-1.406758E-2</v>
      </c>
      <c r="O410">
        <v>4.389619E-3</v>
      </c>
      <c r="P410">
        <v>0.95802589999999999</v>
      </c>
      <c r="Q410">
        <v>0.2798699</v>
      </c>
      <c r="R410">
        <v>6.2126380000000002E-2</v>
      </c>
      <c r="S410">
        <v>3.2080380000000002</v>
      </c>
      <c r="T410">
        <v>-0.24138090000000001</v>
      </c>
      <c r="U410">
        <v>-8.1024170000000006E-2</v>
      </c>
      <c r="V410">
        <v>-5.7909040000000002E-2</v>
      </c>
      <c r="W410">
        <v>0.29332520000000001</v>
      </c>
      <c r="X410">
        <v>0.95425720000000003</v>
      </c>
      <c r="Y410">
        <v>2.9529690000000001E-2</v>
      </c>
      <c r="Z410">
        <v>-1.585396E-3</v>
      </c>
      <c r="AA410">
        <v>0.99956259999999997</v>
      </c>
      <c r="AB410">
        <v>30</v>
      </c>
      <c r="AC410">
        <v>14.4617</v>
      </c>
      <c r="AD410">
        <v>-1.110695811274</v>
      </c>
      <c r="AE410">
        <v>-0.37409999999999799</v>
      </c>
      <c r="AF410">
        <v>0.435019711648576</v>
      </c>
      <c r="AG410">
        <v>-1.110695811274</v>
      </c>
      <c r="AH410">
        <v>14.3751810716519</v>
      </c>
      <c r="AI410">
        <v>94.416156585706901</v>
      </c>
      <c r="AJ410">
        <v>88.266652156066996</v>
      </c>
      <c r="AK410">
        <v>14.4245872792771</v>
      </c>
      <c r="AL410">
        <v>72.942863244079305</v>
      </c>
      <c r="AM410">
        <v>93.472732098755301</v>
      </c>
      <c r="AN410">
        <v>0.99999996681030001</v>
      </c>
    </row>
    <row r="411" spans="1:40" x14ac:dyDescent="0.25">
      <c r="A411" t="str">
        <f>"20190304164603036"</f>
        <v>20190304164603036</v>
      </c>
      <c r="B411" t="str">
        <f>"1551689163028397"</f>
        <v>1551689163028397</v>
      </c>
      <c r="C411" t="s">
        <v>40</v>
      </c>
      <c r="D411">
        <v>4.3598189999999999</v>
      </c>
      <c r="E411">
        <v>0.54877830000000005</v>
      </c>
      <c r="F411" t="s">
        <v>42</v>
      </c>
      <c r="G411">
        <v>-342.23250000000002</v>
      </c>
      <c r="H411" s="1">
        <v>-4.080273E-6</v>
      </c>
      <c r="I411">
        <v>367.20319999999998</v>
      </c>
      <c r="J411">
        <v>-356.93860000000001</v>
      </c>
      <c r="K411">
        <v>1.110673</v>
      </c>
      <c r="L411">
        <v>367.59210000000002</v>
      </c>
      <c r="M411">
        <v>0.99989300000000003</v>
      </c>
      <c r="N411">
        <v>-1.396057E-2</v>
      </c>
      <c r="O411">
        <v>4.3894800000000003E-3</v>
      </c>
      <c r="P411">
        <v>0.95798000000000005</v>
      </c>
      <c r="Q411">
        <v>0.28016370000000002</v>
      </c>
      <c r="R411">
        <v>6.1502800000000003E-2</v>
      </c>
      <c r="S411">
        <v>3.2059630000000001</v>
      </c>
      <c r="T411">
        <v>-0.2369832</v>
      </c>
      <c r="U411">
        <v>-8.2672120000000002E-2</v>
      </c>
      <c r="V411">
        <v>-5.7285290000000003E-2</v>
      </c>
      <c r="W411">
        <v>0.29351660000000002</v>
      </c>
      <c r="X411">
        <v>0.95423599999999997</v>
      </c>
      <c r="Y411">
        <v>3.0061239999999999E-2</v>
      </c>
      <c r="Z411">
        <v>-1.582352E-3</v>
      </c>
      <c r="AA411">
        <v>0.99954679999999996</v>
      </c>
      <c r="AB411">
        <v>30</v>
      </c>
      <c r="AC411">
        <v>14.7060999999999</v>
      </c>
      <c r="AD411">
        <v>-1.1106770802729999</v>
      </c>
      <c r="AE411">
        <v>-0.388900000000035</v>
      </c>
      <c r="AF411">
        <v>0.45088461536287899</v>
      </c>
      <c r="AG411">
        <v>-1.1106770802729999</v>
      </c>
      <c r="AH411">
        <v>14.6209114582035</v>
      </c>
      <c r="AI411">
        <v>94.342072454584894</v>
      </c>
      <c r="AJ411">
        <v>88.233653153953995</v>
      </c>
      <c r="AK411">
        <v>14.669967702133601</v>
      </c>
      <c r="AL411">
        <v>72.9313919806212</v>
      </c>
      <c r="AM411">
        <v>93.435492811738499</v>
      </c>
      <c r="AN411">
        <v>0.99999997131097096</v>
      </c>
    </row>
    <row r="412" spans="1:40" x14ac:dyDescent="0.25">
      <c r="A412" t="str">
        <f>"20190304164603058"</f>
        <v>20190304164603058</v>
      </c>
      <c r="B412" t="str">
        <f>"1551689163047916"</f>
        <v>1551689163047916</v>
      </c>
      <c r="C412" t="s">
        <v>40</v>
      </c>
      <c r="D412">
        <v>4.3607360000000002</v>
      </c>
      <c r="E412">
        <v>0.54880139999999999</v>
      </c>
      <c r="F412" t="s">
        <v>41</v>
      </c>
      <c r="G412">
        <v>-355.96539999999999</v>
      </c>
      <c r="H412">
        <v>1.040232</v>
      </c>
      <c r="I412">
        <v>367.56580000000002</v>
      </c>
      <c r="J412">
        <v>-356.64089999999999</v>
      </c>
      <c r="K412">
        <v>1.1106400000000001</v>
      </c>
      <c r="L412">
        <v>367.59339999999997</v>
      </c>
      <c r="M412">
        <v>0.99989479999999997</v>
      </c>
      <c r="N412">
        <v>-1.3834269999999999E-2</v>
      </c>
      <c r="O412">
        <v>4.3895310000000003E-3</v>
      </c>
      <c r="P412">
        <v>0.95799820000000002</v>
      </c>
      <c r="Q412">
        <v>0.27997929999999999</v>
      </c>
      <c r="R412">
        <v>6.2059139999999999E-2</v>
      </c>
      <c r="S412">
        <v>3.2050169999999998</v>
      </c>
      <c r="T412">
        <v>-0.2322496</v>
      </c>
      <c r="U412">
        <v>-8.5235599999999995E-2</v>
      </c>
      <c r="V412">
        <v>-5.784152E-2</v>
      </c>
      <c r="W412">
        <v>0.29321160000000002</v>
      </c>
      <c r="X412">
        <v>0.95429620000000004</v>
      </c>
      <c r="Y412">
        <v>3.0869259999999999E-2</v>
      </c>
      <c r="Z412">
        <v>-1.5876709999999999E-3</v>
      </c>
      <c r="AA412">
        <v>0.99952209999999997</v>
      </c>
      <c r="AB412">
        <v>30</v>
      </c>
      <c r="AC412">
        <v>0.67549999999999899</v>
      </c>
      <c r="AD412">
        <v>-7.0407999999999998E-2</v>
      </c>
      <c r="AE412">
        <v>-2.75999999999498E-2</v>
      </c>
      <c r="AF412">
        <v>3.0237193564093701E-2</v>
      </c>
      <c r="AG412">
        <v>-7.0407999999999998E-2</v>
      </c>
      <c r="AH412">
        <v>0.66812584722533197</v>
      </c>
      <c r="AI412">
        <v>96.009597140607497</v>
      </c>
      <c r="AJ412">
        <v>87.408748307347494</v>
      </c>
      <c r="AK412">
        <v>0.67250555541883905</v>
      </c>
      <c r="AL412">
        <v>72.949671288793198</v>
      </c>
      <c r="AM412">
        <v>93.468551489761595</v>
      </c>
      <c r="AN412">
        <v>0.99999996057245399</v>
      </c>
    </row>
    <row r="413" spans="1:40" x14ac:dyDescent="0.25">
      <c r="A413" t="str">
        <f>"20190304164603080"</f>
        <v>20190304164603080</v>
      </c>
      <c r="B413" t="str">
        <f>"1551689163068414"</f>
        <v>1551689163068414</v>
      </c>
      <c r="C413" t="s">
        <v>40</v>
      </c>
      <c r="D413">
        <v>4.3452500000000001</v>
      </c>
      <c r="E413">
        <v>0.54874799999999901</v>
      </c>
      <c r="F413" t="s">
        <v>41</v>
      </c>
      <c r="G413">
        <v>-355.69920000000002</v>
      </c>
      <c r="H413">
        <v>1.0425819999999999</v>
      </c>
      <c r="I413">
        <v>367.56849999999997</v>
      </c>
      <c r="J413">
        <v>-356.35849999999999</v>
      </c>
      <c r="K413">
        <v>1.1106149999999999</v>
      </c>
      <c r="L413">
        <v>367.59460000000001</v>
      </c>
      <c r="M413">
        <v>0.99989640000000002</v>
      </c>
      <c r="N413">
        <v>-1.3707220000000001E-2</v>
      </c>
      <c r="O413">
        <v>4.3897550000000004E-3</v>
      </c>
      <c r="P413">
        <v>0.95798150000000004</v>
      </c>
      <c r="Q413">
        <v>0.28002179999999999</v>
      </c>
      <c r="R413">
        <v>6.2123629999999999E-2</v>
      </c>
      <c r="S413">
        <v>3.2047729999999999</v>
      </c>
      <c r="T413">
        <v>-0.23177329999999999</v>
      </c>
      <c r="U413">
        <v>-8.4411620000000007E-2</v>
      </c>
      <c r="V413">
        <v>-5.7905779999999997E-2</v>
      </c>
      <c r="W413">
        <v>0.29313270000000002</v>
      </c>
      <c r="X413">
        <v>0.95431659999999996</v>
      </c>
      <c r="Y413">
        <v>3.0615969999999999E-2</v>
      </c>
      <c r="Z413">
        <v>-1.5725680000000001E-3</v>
      </c>
      <c r="AA413">
        <v>0.99953000000000003</v>
      </c>
      <c r="AB413">
        <v>30</v>
      </c>
      <c r="AC413">
        <v>0.65929999999997302</v>
      </c>
      <c r="AD413">
        <v>-6.8032999999999996E-2</v>
      </c>
      <c r="AE413">
        <v>-2.6100000000042201E-2</v>
      </c>
      <c r="AF413">
        <v>2.8689178001482098E-2</v>
      </c>
      <c r="AG413">
        <v>-6.8032999999999996E-2</v>
      </c>
      <c r="AH413">
        <v>0.65224474745017702</v>
      </c>
      <c r="AI413">
        <v>95.949046192128804</v>
      </c>
      <c r="AJ413">
        <v>87.481451583104601</v>
      </c>
      <c r="AK413">
        <v>0.656410518349414</v>
      </c>
      <c r="AL413">
        <v>72.954400669138906</v>
      </c>
      <c r="AM413">
        <v>93.472321465083496</v>
      </c>
      <c r="AN413">
        <v>1.00000001610112</v>
      </c>
    </row>
    <row r="414" spans="1:40" x14ac:dyDescent="0.25">
      <c r="A414" t="str">
        <f>"20190304164603100"</f>
        <v>20190304164603100</v>
      </c>
      <c r="B414" t="str">
        <f>"1551689163087935"</f>
        <v>1551689163087935</v>
      </c>
      <c r="C414" t="s">
        <v>40</v>
      </c>
      <c r="D414">
        <v>4.3095100000000004</v>
      </c>
      <c r="E414">
        <v>0.54877739999999997</v>
      </c>
      <c r="F414" t="s">
        <v>41</v>
      </c>
      <c r="G414">
        <v>-355.43400000000003</v>
      </c>
      <c r="H414">
        <v>1.0439430000000001</v>
      </c>
      <c r="I414">
        <v>367.57049999999998</v>
      </c>
      <c r="J414">
        <v>-356.08390000000003</v>
      </c>
      <c r="K414">
        <v>1.1105969999999901</v>
      </c>
      <c r="L414">
        <v>367.5958</v>
      </c>
      <c r="M414">
        <v>0.99989830000000002</v>
      </c>
      <c r="N414">
        <v>-1.3577570000000001E-2</v>
      </c>
      <c r="O414">
        <v>4.3894509999999999E-3</v>
      </c>
      <c r="P414">
        <v>0.95790580000000003</v>
      </c>
      <c r="Q414">
        <v>0.28026869999999998</v>
      </c>
      <c r="R414">
        <v>6.2177980000000001E-2</v>
      </c>
      <c r="S414">
        <v>3.204529</v>
      </c>
      <c r="T414">
        <v>-0.2312534</v>
      </c>
      <c r="U414">
        <v>-8.2611080000000003E-2</v>
      </c>
      <c r="V414">
        <v>-5.7960400000000002E-2</v>
      </c>
      <c r="W414">
        <v>0.29325489999999999</v>
      </c>
      <c r="X414">
        <v>0.95427569999999995</v>
      </c>
      <c r="Y414">
        <v>3.0058680000000001E-2</v>
      </c>
      <c r="Z414">
        <v>-1.5441929999999999E-3</v>
      </c>
      <c r="AA414">
        <v>0.99954690000000002</v>
      </c>
      <c r="AB414">
        <v>30</v>
      </c>
      <c r="AC414">
        <v>0.64990000000000203</v>
      </c>
      <c r="AD414">
        <v>-6.66539999999997E-2</v>
      </c>
      <c r="AE414">
        <v>-2.5300000000015602E-2</v>
      </c>
      <c r="AF414">
        <v>2.78601161489841E-2</v>
      </c>
      <c r="AG414">
        <v>-6.66539999999997E-2</v>
      </c>
      <c r="AH414">
        <v>0.64302912116807298</v>
      </c>
      <c r="AI414">
        <v>95.912424472802201</v>
      </c>
      <c r="AJ414">
        <v>87.519133551989995</v>
      </c>
      <c r="AK414">
        <v>0.64707448756539498</v>
      </c>
      <c r="AL414">
        <v>72.947076614387498</v>
      </c>
      <c r="AM414">
        <v>93.4757373272667</v>
      </c>
      <c r="AN414">
        <v>0.999999977976329</v>
      </c>
    </row>
    <row r="415" spans="1:40" x14ac:dyDescent="0.25">
      <c r="A415" t="str">
        <f>"20190304164603124"</f>
        <v>20190304164603124</v>
      </c>
      <c r="B415" t="str">
        <f>"1551689163118188"</f>
        <v>1551689163118188</v>
      </c>
      <c r="C415" t="s">
        <v>40</v>
      </c>
      <c r="D415">
        <v>4.2324190000000002</v>
      </c>
      <c r="E415">
        <v>0.54885329999999999</v>
      </c>
      <c r="F415" t="s">
        <v>41</v>
      </c>
      <c r="G415">
        <v>-355.16910000000001</v>
      </c>
      <c r="H415">
        <v>1.0450280000000001</v>
      </c>
      <c r="I415">
        <v>367.57240000000002</v>
      </c>
      <c r="J415">
        <v>-355.7722</v>
      </c>
      <c r="K415">
        <v>1.110581</v>
      </c>
      <c r="L415">
        <v>367.59719999999999</v>
      </c>
      <c r="M415">
        <v>0.99990029999999996</v>
      </c>
      <c r="N415">
        <v>-1.342494E-2</v>
      </c>
      <c r="O415">
        <v>4.3896550000000001E-3</v>
      </c>
      <c r="P415">
        <v>0.95778589999999997</v>
      </c>
      <c r="Q415">
        <v>0.28063329999999997</v>
      </c>
      <c r="R415">
        <v>6.2380240000000003E-2</v>
      </c>
      <c r="S415">
        <v>3.2043460000000001</v>
      </c>
      <c r="T415">
        <v>-0.22979649999999999</v>
      </c>
      <c r="U415">
        <v>-8.1420899999999893E-2</v>
      </c>
      <c r="V415">
        <v>-5.8163369999999999E-2</v>
      </c>
      <c r="W415">
        <v>0.29347240000000002</v>
      </c>
      <c r="X415">
        <v>0.9541965</v>
      </c>
      <c r="Y415">
        <v>2.9691749999999999E-2</v>
      </c>
      <c r="Z415">
        <v>-1.518258E-3</v>
      </c>
      <c r="AA415">
        <v>0.99955799999999995</v>
      </c>
      <c r="AB415">
        <v>30</v>
      </c>
      <c r="AC415">
        <v>0.60309999999998298</v>
      </c>
      <c r="AD415">
        <v>-6.5552999999999903E-2</v>
      </c>
      <c r="AE415">
        <v>-2.4799999999970599E-2</v>
      </c>
      <c r="AF415">
        <v>2.71274506918915E-2</v>
      </c>
      <c r="AG415">
        <v>-6.5552999999999903E-2</v>
      </c>
      <c r="AH415">
        <v>0.59595641698911295</v>
      </c>
      <c r="AI415">
        <v>96.270647736963099</v>
      </c>
      <c r="AJ415">
        <v>87.393741843125696</v>
      </c>
      <c r="AK415">
        <v>0.60016426529787903</v>
      </c>
      <c r="AL415">
        <v>72.934041517426706</v>
      </c>
      <c r="AM415">
        <v>93.488167710217297</v>
      </c>
      <c r="AN415">
        <v>0.99999999389188299</v>
      </c>
    </row>
    <row r="416" spans="1:40" x14ac:dyDescent="0.25">
      <c r="A416" t="str">
        <f>"20190304164603146"</f>
        <v>20190304164603146</v>
      </c>
      <c r="B416" t="str">
        <f>"1551689163138684"</f>
        <v>1551689163138684</v>
      </c>
      <c r="C416" t="s">
        <v>40</v>
      </c>
      <c r="D416">
        <v>4.2062819999999999</v>
      </c>
      <c r="E416">
        <v>0.54886959999999996</v>
      </c>
      <c r="F416" t="s">
        <v>41</v>
      </c>
      <c r="G416">
        <v>-354.90179999999998</v>
      </c>
      <c r="H416">
        <v>1.048813</v>
      </c>
      <c r="I416">
        <v>367.57459999999998</v>
      </c>
      <c r="J416">
        <v>-355.47590000000002</v>
      </c>
      <c r="K416">
        <v>1.1105640000000001</v>
      </c>
      <c r="L416">
        <v>367.5985</v>
      </c>
      <c r="M416">
        <v>0.99990219999999996</v>
      </c>
      <c r="N416">
        <v>-1.328098E-2</v>
      </c>
      <c r="O416">
        <v>4.38997E-3</v>
      </c>
      <c r="P416">
        <v>0.95768730000000002</v>
      </c>
      <c r="Q416">
        <v>0.28097250000000001</v>
      </c>
      <c r="R416">
        <v>6.236891E-2</v>
      </c>
      <c r="S416">
        <v>3.204224</v>
      </c>
      <c r="T416">
        <v>-0.2275778</v>
      </c>
      <c r="U416">
        <v>-8.2305909999999996E-2</v>
      </c>
      <c r="V416">
        <v>-5.8152349999999998E-2</v>
      </c>
      <c r="W416">
        <v>0.2936725</v>
      </c>
      <c r="X416">
        <v>0.95413559999999997</v>
      </c>
      <c r="Y416">
        <v>2.996998E-2</v>
      </c>
      <c r="Z416">
        <v>-1.5152589999999999E-3</v>
      </c>
      <c r="AA416">
        <v>0.99954960000000004</v>
      </c>
      <c r="AB416">
        <v>30</v>
      </c>
      <c r="AC416">
        <v>0.57410000000004302</v>
      </c>
      <c r="AD416">
        <v>-6.1750999999999799E-2</v>
      </c>
      <c r="AE416">
        <v>-2.3900000000026001E-2</v>
      </c>
      <c r="AF416">
        <v>2.6118618272644299E-2</v>
      </c>
      <c r="AG416">
        <v>-6.1750999999999799E-2</v>
      </c>
      <c r="AH416">
        <v>0.56743597054253103</v>
      </c>
      <c r="AI416">
        <v>96.204232818585496</v>
      </c>
      <c r="AJ416">
        <v>87.364581819054905</v>
      </c>
      <c r="AK416">
        <v>0.57138336420219304</v>
      </c>
      <c r="AL416">
        <v>72.922048065278901</v>
      </c>
      <c r="AM416">
        <v>93.487730500387599</v>
      </c>
      <c r="AN416">
        <v>0.99999998812706603</v>
      </c>
    </row>
    <row r="417" spans="1:40" x14ac:dyDescent="0.25">
      <c r="A417" t="str">
        <f>"20190304164603167"</f>
        <v>20190304164603167</v>
      </c>
      <c r="B417" t="str">
        <f>"1551689163158204"</f>
        <v>1551689163158204</v>
      </c>
      <c r="C417" t="s">
        <v>40</v>
      </c>
      <c r="D417">
        <v>4.168914</v>
      </c>
      <c r="E417">
        <v>0.54892839999999998</v>
      </c>
      <c r="F417" t="s">
        <v>42</v>
      </c>
      <c r="G417">
        <v>-339.65219999999999</v>
      </c>
      <c r="H417" s="1">
        <v>-7.5211490000000002E-7</v>
      </c>
      <c r="I417">
        <v>367.18209999999999</v>
      </c>
      <c r="J417">
        <v>-355.19560000000001</v>
      </c>
      <c r="K417">
        <v>1.1105529999999999</v>
      </c>
      <c r="L417">
        <v>367.59969999999998</v>
      </c>
      <c r="M417">
        <v>0.99990400000000002</v>
      </c>
      <c r="N417">
        <v>-1.315294E-2</v>
      </c>
      <c r="O417">
        <v>4.3899899999999999E-3</v>
      </c>
      <c r="P417">
        <v>0.95761569999999996</v>
      </c>
      <c r="Q417">
        <v>0.28114470000000003</v>
      </c>
      <c r="R417">
        <v>6.2693499999999999E-2</v>
      </c>
      <c r="S417">
        <v>3.2040410000000001</v>
      </c>
      <c r="T417">
        <v>-0.22487090000000001</v>
      </c>
      <c r="U417">
        <v>-8.4289550000000005E-2</v>
      </c>
      <c r="V417">
        <v>-5.8477189999999998E-2</v>
      </c>
      <c r="W417">
        <v>0.29372169999999997</v>
      </c>
      <c r="X417">
        <v>0.95410059999999997</v>
      </c>
      <c r="Y417">
        <v>3.0590300000000001E-2</v>
      </c>
      <c r="Z417">
        <v>-1.5234789999999999E-3</v>
      </c>
      <c r="AA417">
        <v>0.9995309</v>
      </c>
      <c r="AB417">
        <v>30</v>
      </c>
      <c r="AC417">
        <v>15.5434</v>
      </c>
      <c r="AD417">
        <v>-1.11055375211489</v>
      </c>
      <c r="AE417">
        <v>-0.41759999999999298</v>
      </c>
      <c r="AF417">
        <v>0.48337145695726702</v>
      </c>
      <c r="AG417">
        <v>-1.11055375211489</v>
      </c>
      <c r="AH417">
        <v>15.462539020580801</v>
      </c>
      <c r="AI417">
        <v>94.106056652608501</v>
      </c>
      <c r="AJ417">
        <v>88.209470767601999</v>
      </c>
      <c r="AK417">
        <v>15.5099029837301</v>
      </c>
      <c r="AL417">
        <v>72.919099035031493</v>
      </c>
      <c r="AM417">
        <v>93.507292861674998</v>
      </c>
      <c r="AN417">
        <v>0.99999998686077296</v>
      </c>
    </row>
    <row r="418" spans="1:40" x14ac:dyDescent="0.25">
      <c r="A418" t="str">
        <f>"20190304164603190"</f>
        <v>20190304164603190</v>
      </c>
      <c r="B418" t="str">
        <f>"1551689163178700"</f>
        <v>1551689163178700</v>
      </c>
      <c r="C418" t="s">
        <v>40</v>
      </c>
      <c r="D418">
        <v>4.1502249999999998</v>
      </c>
      <c r="E418">
        <v>0.54897839999999998</v>
      </c>
      <c r="F418" t="s">
        <v>42</v>
      </c>
      <c r="G418">
        <v>-339.24329999999998</v>
      </c>
      <c r="H418" s="1">
        <v>-8.9223979999999996E-7</v>
      </c>
      <c r="I418">
        <v>367.17840000000001</v>
      </c>
      <c r="J418">
        <v>-354.9024</v>
      </c>
      <c r="K418">
        <v>1.110547</v>
      </c>
      <c r="L418">
        <v>367.601</v>
      </c>
      <c r="M418">
        <v>0.99990559999999995</v>
      </c>
      <c r="N418">
        <v>-1.302994E-2</v>
      </c>
      <c r="O418">
        <v>4.3899689999999996E-3</v>
      </c>
      <c r="P418">
        <v>0.95750930000000001</v>
      </c>
      <c r="Q418">
        <v>0.28138930000000001</v>
      </c>
      <c r="R418">
        <v>6.3218819999999995E-2</v>
      </c>
      <c r="S418">
        <v>3.2037960000000001</v>
      </c>
      <c r="T418">
        <v>-0.22303919999999999</v>
      </c>
      <c r="U418">
        <v>-8.4594730000000007E-2</v>
      </c>
      <c r="V418">
        <v>-5.9003439999999997E-2</v>
      </c>
      <c r="W418">
        <v>0.29384749999999998</v>
      </c>
      <c r="X418">
        <v>0.95402949999999997</v>
      </c>
      <c r="Y418">
        <v>3.0688699999999999E-2</v>
      </c>
      <c r="Z418">
        <v>-1.5150809999999999E-3</v>
      </c>
      <c r="AA418">
        <v>0.99952790000000002</v>
      </c>
      <c r="AB418">
        <v>30</v>
      </c>
      <c r="AC418">
        <v>15.6591</v>
      </c>
      <c r="AD418">
        <v>-1.1105478922398</v>
      </c>
      <c r="AE418">
        <v>-0.42259999999998799</v>
      </c>
      <c r="AF418">
        <v>0.488887556148901</v>
      </c>
      <c r="AG418">
        <v>-1.1105478922398</v>
      </c>
      <c r="AH418">
        <v>15.578794288769901</v>
      </c>
      <c r="AI418">
        <v>94.075482448174796</v>
      </c>
      <c r="AJ418">
        <v>88.202556414469299</v>
      </c>
      <c r="AK418">
        <v>15.625977062421599</v>
      </c>
      <c r="AL418">
        <v>72.911559110365403</v>
      </c>
      <c r="AM418">
        <v>93.539039024967593</v>
      </c>
      <c r="AN418">
        <v>1.0000000230291599</v>
      </c>
    </row>
    <row r="419" spans="1:40" x14ac:dyDescent="0.25">
      <c r="A419" t="str">
        <f>"20190304164603213"</f>
        <v>20190304164603213</v>
      </c>
      <c r="B419" t="str">
        <f>"1551689163207981"</f>
        <v>1551689163207981</v>
      </c>
      <c r="C419" t="s">
        <v>40</v>
      </c>
      <c r="D419">
        <v>4.1130769999999997</v>
      </c>
      <c r="E419">
        <v>0.54913749999999995</v>
      </c>
      <c r="F419" t="s">
        <v>42</v>
      </c>
      <c r="G419">
        <v>-338.82049999999998</v>
      </c>
      <c r="H419" s="1">
        <v>-1.0347239999999901E-6</v>
      </c>
      <c r="I419">
        <v>367.18380000000002</v>
      </c>
      <c r="J419">
        <v>-354.59640000000002</v>
      </c>
      <c r="K419">
        <v>1.1105290000000001</v>
      </c>
      <c r="L419">
        <v>367.60239999999999</v>
      </c>
      <c r="M419">
        <v>0.99990710000000005</v>
      </c>
      <c r="N419">
        <v>-1.290927E-2</v>
      </c>
      <c r="O419">
        <v>4.3900429999999997E-3</v>
      </c>
      <c r="P419">
        <v>0.95742470000000002</v>
      </c>
      <c r="Q419">
        <v>0.28156300000000001</v>
      </c>
      <c r="R419">
        <v>6.3720840000000001E-2</v>
      </c>
      <c r="S419">
        <v>3.2036129999999998</v>
      </c>
      <c r="T419">
        <v>-0.22122629999999999</v>
      </c>
      <c r="U419">
        <v>-8.3099370000000006E-2</v>
      </c>
      <c r="V419">
        <v>-5.9505460000000003E-2</v>
      </c>
      <c r="W419">
        <v>0.29390490000000002</v>
      </c>
      <c r="X419">
        <v>0.95398059999999996</v>
      </c>
      <c r="Y419">
        <v>3.0226889999999999E-2</v>
      </c>
      <c r="Z419">
        <v>-1.4838049999999999E-3</v>
      </c>
      <c r="AA419">
        <v>0.99954189999999998</v>
      </c>
      <c r="AB419">
        <v>30</v>
      </c>
      <c r="AC419">
        <v>15.7759</v>
      </c>
      <c r="AD419">
        <v>-1.1105300347239999</v>
      </c>
      <c r="AE419">
        <v>-0.418599999999969</v>
      </c>
      <c r="AF419">
        <v>0.48545471751970798</v>
      </c>
      <c r="AG419">
        <v>-1.1105300347239999</v>
      </c>
      <c r="AH419">
        <v>15.696185120125801</v>
      </c>
      <c r="AI419">
        <v>94.045095786816603</v>
      </c>
      <c r="AJ419">
        <v>88.228509497990899</v>
      </c>
      <c r="AK419">
        <v>15.742908580247899</v>
      </c>
      <c r="AL419">
        <v>72.908117778817797</v>
      </c>
      <c r="AM419">
        <v>93.569255259928397</v>
      </c>
      <c r="AN419">
        <v>0.99999998759509001</v>
      </c>
    </row>
    <row r="420" spans="1:40" x14ac:dyDescent="0.25">
      <c r="A420" t="str">
        <f>"20190304164603237"</f>
        <v>20190304164603237</v>
      </c>
      <c r="B420" t="str">
        <f>"1551689163228476"</f>
        <v>1551689163228476</v>
      </c>
      <c r="C420" t="s">
        <v>40</v>
      </c>
      <c r="D420">
        <v>4.0854419999999996</v>
      </c>
      <c r="E420">
        <v>0.54924640000000002</v>
      </c>
      <c r="F420" t="s">
        <v>42</v>
      </c>
      <c r="G420">
        <v>-338.36360000000002</v>
      </c>
      <c r="H420" s="1">
        <v>-1.189646E-6</v>
      </c>
      <c r="I420">
        <v>367.18579999999997</v>
      </c>
      <c r="J420">
        <v>-354.28129999999999</v>
      </c>
      <c r="K420">
        <v>1.110517</v>
      </c>
      <c r="L420">
        <v>367.6037</v>
      </c>
      <c r="M420">
        <v>0.99990860000000004</v>
      </c>
      <c r="N420">
        <v>-1.2792329999999999E-2</v>
      </c>
      <c r="O420">
        <v>4.3905020000000001E-3</v>
      </c>
      <c r="P420">
        <v>0.95746160000000002</v>
      </c>
      <c r="Q420">
        <v>0.28149740000000001</v>
      </c>
      <c r="R420">
        <v>6.3455020000000001E-2</v>
      </c>
      <c r="S420">
        <v>3.2033079999999998</v>
      </c>
      <c r="T420">
        <v>-0.21914600000000001</v>
      </c>
      <c r="U420">
        <v>-8.2183839999999994E-2</v>
      </c>
      <c r="V420">
        <v>-5.9239090000000001E-2</v>
      </c>
      <c r="W420">
        <v>0.2937285</v>
      </c>
      <c r="X420">
        <v>0.95405150000000005</v>
      </c>
      <c r="Y420">
        <v>2.9946810000000001E-2</v>
      </c>
      <c r="Z420">
        <v>-1.458717E-3</v>
      </c>
      <c r="AA420">
        <v>0.99955039999999995</v>
      </c>
      <c r="AB420">
        <v>30</v>
      </c>
      <c r="AC420">
        <v>15.9176999999999</v>
      </c>
      <c r="AD420">
        <v>-1.1105181896459999</v>
      </c>
      <c r="AE420">
        <v>-0.41790000000003102</v>
      </c>
      <c r="AF420">
        <v>0.48542727272046898</v>
      </c>
      <c r="AG420">
        <v>-1.1105181896459999</v>
      </c>
      <c r="AH420">
        <v>15.838672680187701</v>
      </c>
      <c r="AI420">
        <v>94.008816348103693</v>
      </c>
      <c r="AJ420">
        <v>88.244535315905594</v>
      </c>
      <c r="AK420">
        <v>15.884975371613301</v>
      </c>
      <c r="AL420">
        <v>72.918691378231998</v>
      </c>
      <c r="AM420">
        <v>93.553055500506204</v>
      </c>
      <c r="AN420">
        <v>0.99999998307426397</v>
      </c>
    </row>
    <row r="421" spans="1:40" x14ac:dyDescent="0.25">
      <c r="A421" t="str">
        <f>"20190304164603249"</f>
        <v>20190304164603249</v>
      </c>
      <c r="B421" t="str">
        <f>"1551689163238238"</f>
        <v>1551689163238238</v>
      </c>
      <c r="C421" t="s">
        <v>40</v>
      </c>
      <c r="D421">
        <v>4.0634730000000001</v>
      </c>
      <c r="E421">
        <v>0.54933989999999999</v>
      </c>
      <c r="F421" t="s">
        <v>41</v>
      </c>
      <c r="G421">
        <v>-353.32209999999998</v>
      </c>
      <c r="H421">
        <v>1.0452360000000001</v>
      </c>
      <c r="I421">
        <v>367.57850000000002</v>
      </c>
      <c r="J421">
        <v>-354.11559999999997</v>
      </c>
      <c r="K421">
        <v>1.110509</v>
      </c>
      <c r="L421">
        <v>367.60449999999997</v>
      </c>
      <c r="M421">
        <v>0.9999093</v>
      </c>
      <c r="N421">
        <v>-1.2730429999999999E-2</v>
      </c>
      <c r="O421">
        <v>4.3907219999999997E-3</v>
      </c>
      <c r="P421">
        <v>0.95742799999999995</v>
      </c>
      <c r="Q421">
        <v>0.2815764</v>
      </c>
      <c r="R421">
        <v>6.3612360000000007E-2</v>
      </c>
      <c r="S421">
        <v>3.2029719999999999</v>
      </c>
      <c r="T421">
        <v>-0.2181401</v>
      </c>
      <c r="U421">
        <v>-8.3801269999999997E-2</v>
      </c>
      <c r="V421">
        <v>-5.9396570000000003E-2</v>
      </c>
      <c r="W421">
        <v>0.2937477</v>
      </c>
      <c r="X421">
        <v>0.95403579999999999</v>
      </c>
      <c r="Y421">
        <v>3.0453529999999999E-2</v>
      </c>
      <c r="Z421">
        <v>-1.4726050000000001E-3</v>
      </c>
      <c r="AA421">
        <v>0.99953510000000001</v>
      </c>
      <c r="AB421">
        <v>30</v>
      </c>
      <c r="AC421">
        <v>0.79349999999999399</v>
      </c>
      <c r="AD421">
        <v>-6.5272999999999901E-2</v>
      </c>
      <c r="AE421">
        <v>-2.5999999999953598E-2</v>
      </c>
      <c r="AF421">
        <v>2.9286113530340201E-2</v>
      </c>
      <c r="AG421">
        <v>-6.5272999999999901E-2</v>
      </c>
      <c r="AH421">
        <v>0.78805143790088195</v>
      </c>
      <c r="AI421">
        <v>94.7316552057422</v>
      </c>
      <c r="AJ421">
        <v>87.871713951893199</v>
      </c>
      <c r="AK421">
        <v>0.79129217723440204</v>
      </c>
      <c r="AL421">
        <v>72.917540577487898</v>
      </c>
      <c r="AM421">
        <v>93.5625350532721</v>
      </c>
      <c r="AN421">
        <v>0.99999998573234705</v>
      </c>
    </row>
    <row r="422" spans="1:40" x14ac:dyDescent="0.25">
      <c r="A422" t="str">
        <f>"20190304164603269"</f>
        <v>20190304164603269</v>
      </c>
      <c r="B422" t="str">
        <f>"1551689163257756"</f>
        <v>1551689163257756</v>
      </c>
      <c r="C422" t="s">
        <v>40</v>
      </c>
      <c r="D422">
        <v>4.012391</v>
      </c>
      <c r="E422">
        <v>0.54948299999999906</v>
      </c>
      <c r="F422" t="s">
        <v>42</v>
      </c>
      <c r="G422">
        <v>-337.74869999999999</v>
      </c>
      <c r="H422" s="1">
        <v>-1.4017310000000001E-6</v>
      </c>
      <c r="I422">
        <v>367.17520000000002</v>
      </c>
      <c r="J422">
        <v>-353.85759999999999</v>
      </c>
      <c r="K422">
        <v>1.1104959999999999</v>
      </c>
      <c r="L422">
        <v>367.60559999999998</v>
      </c>
      <c r="M422">
        <v>0.99991050000000004</v>
      </c>
      <c r="N422">
        <v>-1.2635499999999999E-2</v>
      </c>
      <c r="O422">
        <v>4.3909709999999996E-3</v>
      </c>
      <c r="P422">
        <v>0.95752950000000003</v>
      </c>
      <c r="Q422">
        <v>0.2812674</v>
      </c>
      <c r="R422">
        <v>6.3448409999999997E-2</v>
      </c>
      <c r="S422">
        <v>3.2028810000000001</v>
      </c>
      <c r="T422">
        <v>-0.2173175</v>
      </c>
      <c r="U422">
        <v>-8.3984379999999997E-2</v>
      </c>
      <c r="V422">
        <v>-5.9231730000000003E-2</v>
      </c>
      <c r="W422">
        <v>0.29334969999999999</v>
      </c>
      <c r="X422">
        <v>0.95416849999999998</v>
      </c>
      <c r="Y422">
        <v>3.051218E-2</v>
      </c>
      <c r="Z422">
        <v>-1.4689589999999999E-3</v>
      </c>
      <c r="AA422">
        <v>0.99953329999999996</v>
      </c>
      <c r="AB422">
        <v>30</v>
      </c>
      <c r="AC422">
        <v>16.108899999999998</v>
      </c>
      <c r="AD422">
        <v>-1.1104974017310001</v>
      </c>
      <c r="AE422">
        <v>-0.43039999999996298</v>
      </c>
      <c r="AF422">
        <v>0.49876661715526999</v>
      </c>
      <c r="AG422">
        <v>-1.1104974017310001</v>
      </c>
      <c r="AH422">
        <v>16.030726271574</v>
      </c>
      <c r="AI422">
        <v>93.960812608195795</v>
      </c>
      <c r="AJ422">
        <v>88.217921895732502</v>
      </c>
      <c r="AK422">
        <v>16.076882701934899</v>
      </c>
      <c r="AL422">
        <v>72.941395229748395</v>
      </c>
      <c r="AM422">
        <v>93.552180685720799</v>
      </c>
      <c r="AN422">
        <v>0.999999985360566</v>
      </c>
    </row>
    <row r="423" spans="1:40" x14ac:dyDescent="0.25">
      <c r="A423" t="str">
        <f>"20190304164603291"</f>
        <v>20190304164603291</v>
      </c>
      <c r="B423" t="str">
        <f>"1551689163278252"</f>
        <v>1551689163278252</v>
      </c>
      <c r="C423" t="s">
        <v>40</v>
      </c>
      <c r="D423">
        <v>3.9398580000000001</v>
      </c>
      <c r="E423">
        <v>0.54957349999999905</v>
      </c>
      <c r="F423" t="s">
        <v>42</v>
      </c>
      <c r="G423">
        <v>-337.50110000000001</v>
      </c>
      <c r="H423" s="1">
        <v>-1.488869E-6</v>
      </c>
      <c r="I423">
        <v>367.16680000000002</v>
      </c>
      <c r="J423">
        <v>-353.56760000000003</v>
      </c>
      <c r="K423">
        <v>1.11049</v>
      </c>
      <c r="L423">
        <v>367.60680000000002</v>
      </c>
      <c r="M423">
        <v>0.99991209999999997</v>
      </c>
      <c r="N423">
        <v>-1.252327E-2</v>
      </c>
      <c r="O423">
        <v>4.3912049999999996E-3</v>
      </c>
      <c r="P423">
        <v>0.95738400000000001</v>
      </c>
      <c r="Q423">
        <v>0.2819258</v>
      </c>
      <c r="R423">
        <v>6.2722100000000003E-2</v>
      </c>
      <c r="S423">
        <v>3.2026370000000002</v>
      </c>
      <c r="T423">
        <v>-0.21743689999999999</v>
      </c>
      <c r="U423">
        <v>-8.5906979999999994E-2</v>
      </c>
      <c r="V423">
        <v>-5.850615E-2</v>
      </c>
      <c r="W423">
        <v>0.29389900000000002</v>
      </c>
      <c r="X423">
        <v>0.95404429999999996</v>
      </c>
      <c r="Y423">
        <v>3.111237E-2</v>
      </c>
      <c r="Z423">
        <v>-1.492684E-3</v>
      </c>
      <c r="AA423">
        <v>0.99951480000000004</v>
      </c>
      <c r="AB423">
        <v>30</v>
      </c>
      <c r="AC423">
        <v>16.066500000000001</v>
      </c>
      <c r="AD423">
        <v>-1.1104914888689901</v>
      </c>
      <c r="AE423">
        <v>-0.439999999999997</v>
      </c>
      <c r="AF423">
        <v>0.50812688840113696</v>
      </c>
      <c r="AG423">
        <v>-1.1104914888689901</v>
      </c>
      <c r="AH423">
        <v>15.9880891861688</v>
      </c>
      <c r="AI423">
        <v>93.971237356093795</v>
      </c>
      <c r="AJ423">
        <v>88.179661776198202</v>
      </c>
      <c r="AK423">
        <v>16.034661833242801</v>
      </c>
      <c r="AL423">
        <v>72.908472702599099</v>
      </c>
      <c r="AM423">
        <v>93.509232016725093</v>
      </c>
      <c r="AN423">
        <v>1.0000000590756499</v>
      </c>
    </row>
    <row r="424" spans="1:40" x14ac:dyDescent="0.25">
      <c r="A424" t="str">
        <f>"20190304164603326"</f>
        <v>20190304164603326</v>
      </c>
      <c r="B424" t="str">
        <f>"1551689163318268"</f>
        <v>1551689163318268</v>
      </c>
      <c r="C424" t="s">
        <v>40</v>
      </c>
      <c r="D424">
        <v>3.9386420000000002</v>
      </c>
      <c r="E424">
        <v>0.54978159999999998</v>
      </c>
      <c r="F424" t="s">
        <v>42</v>
      </c>
      <c r="G424">
        <v>-336.90440000000001</v>
      </c>
      <c r="H424" s="1">
        <v>-1.7492450000000001E-6</v>
      </c>
      <c r="I424">
        <v>367.142</v>
      </c>
      <c r="J424">
        <v>-353.11</v>
      </c>
      <c r="K424">
        <v>1.1104670000000001</v>
      </c>
      <c r="L424">
        <v>367.60890000000001</v>
      </c>
      <c r="M424">
        <v>0.99991439999999998</v>
      </c>
      <c r="N424">
        <v>-1.2329379999999999E-2</v>
      </c>
      <c r="O424">
        <v>4.3917640000000003E-3</v>
      </c>
      <c r="P424">
        <v>0.95708839999999995</v>
      </c>
      <c r="Q424">
        <v>0.28319329999999998</v>
      </c>
      <c r="R424">
        <v>6.1510639999999998E-2</v>
      </c>
      <c r="S424">
        <v>3.2022089999999999</v>
      </c>
      <c r="T424">
        <v>-0.21340509999999999</v>
      </c>
      <c r="U424">
        <v>-8.932495E-2</v>
      </c>
      <c r="V424">
        <v>-5.7294739999999997E-2</v>
      </c>
      <c r="W424">
        <v>0.29497770000000001</v>
      </c>
      <c r="X424">
        <v>0.95378479999999999</v>
      </c>
      <c r="Y424">
        <v>3.2183030000000001E-2</v>
      </c>
      <c r="Z424">
        <v>-1.5079119999999999E-3</v>
      </c>
      <c r="AA424">
        <v>0.99948079999999995</v>
      </c>
      <c r="AB424">
        <v>30</v>
      </c>
      <c r="AC424">
        <v>16.2056</v>
      </c>
      <c r="AD424">
        <v>-1.1104687492450001</v>
      </c>
      <c r="AE424">
        <v>-0.46690000000000897</v>
      </c>
      <c r="AF424">
        <v>0.53555943636012004</v>
      </c>
      <c r="AG424">
        <v>-1.1104687492450001</v>
      </c>
      <c r="AH424">
        <v>16.127727976723602</v>
      </c>
      <c r="AI424">
        <v>93.936699777903698</v>
      </c>
      <c r="AJ424">
        <v>88.098056732477502</v>
      </c>
      <c r="AK424">
        <v>16.1747820524456</v>
      </c>
      <c r="AL424">
        <v>72.843799611462998</v>
      </c>
      <c r="AM424">
        <v>93.437679759672505</v>
      </c>
      <c r="AN424">
        <v>0.99999998771999798</v>
      </c>
    </row>
    <row r="425" spans="1:40" x14ac:dyDescent="0.25">
      <c r="A425" t="str">
        <f>"20190304164603346"</f>
        <v>20190304164603346</v>
      </c>
      <c r="B425" t="str">
        <f>"1551689163337788"</f>
        <v>1551689163337788</v>
      </c>
      <c r="C425" t="s">
        <v>40</v>
      </c>
      <c r="D425">
        <v>3.8835660000000001</v>
      </c>
      <c r="E425">
        <v>0.5499018</v>
      </c>
      <c r="F425" t="s">
        <v>42</v>
      </c>
      <c r="G425">
        <v>-335.87979999999999</v>
      </c>
      <c r="H425" s="1">
        <v>-2.1959570000000001E-6</v>
      </c>
      <c r="I425">
        <v>367.10160000000002</v>
      </c>
      <c r="J425">
        <v>-352.83569999999997</v>
      </c>
      <c r="K425">
        <v>1.11046</v>
      </c>
      <c r="L425">
        <v>367.61</v>
      </c>
      <c r="M425">
        <v>0.99991580000000002</v>
      </c>
      <c r="N425">
        <v>-1.2208739999999999E-2</v>
      </c>
      <c r="O425">
        <v>4.3919730000000004E-3</v>
      </c>
      <c r="P425">
        <v>0.95709869999999997</v>
      </c>
      <c r="Q425">
        <v>0.28333950000000002</v>
      </c>
      <c r="R425">
        <v>6.0668960000000001E-2</v>
      </c>
      <c r="S425">
        <v>3.2015989999999999</v>
      </c>
      <c r="T425">
        <v>-0.2063392</v>
      </c>
      <c r="U425">
        <v>-9.4238279999999994E-2</v>
      </c>
      <c r="V425">
        <v>-5.6452750000000003E-2</v>
      </c>
      <c r="W425">
        <v>0.29500859999999901</v>
      </c>
      <c r="X425">
        <v>0.95382549999999999</v>
      </c>
      <c r="Y425">
        <v>3.3722950000000002E-2</v>
      </c>
      <c r="Z425">
        <v>-1.520647E-3</v>
      </c>
      <c r="AA425">
        <v>0.99943009999999999</v>
      </c>
      <c r="AB425">
        <v>30</v>
      </c>
      <c r="AC425">
        <v>16.9558999999999</v>
      </c>
      <c r="AD425">
        <v>-1.110462195957</v>
      </c>
      <c r="AE425">
        <v>-0.50839999999999397</v>
      </c>
      <c r="AF425">
        <v>0.58038341852959496</v>
      </c>
      <c r="AG425">
        <v>-1.110462195957</v>
      </c>
      <c r="AH425">
        <v>16.8811634826634</v>
      </c>
      <c r="AI425">
        <v>93.761343544615698</v>
      </c>
      <c r="AJ425">
        <v>88.030916081208503</v>
      </c>
      <c r="AK425">
        <v>16.927600294476498</v>
      </c>
      <c r="AL425">
        <v>72.841947566583997</v>
      </c>
      <c r="AM425">
        <v>93.387134732515904</v>
      </c>
      <c r="AN425">
        <v>1.00000003575338</v>
      </c>
    </row>
    <row r="426" spans="1:40" x14ac:dyDescent="0.25">
      <c r="A426" t="str">
        <f>"20190304164603369"</f>
        <v>20190304164603369</v>
      </c>
      <c r="B426" t="str">
        <f>"1551689163358284"</f>
        <v>1551689163358284</v>
      </c>
      <c r="C426" t="s">
        <v>40</v>
      </c>
      <c r="D426">
        <v>3.8229660000000001</v>
      </c>
      <c r="E426">
        <v>0.55001499999999903</v>
      </c>
      <c r="F426" t="s">
        <v>42</v>
      </c>
      <c r="G426">
        <v>-335.44099999999997</v>
      </c>
      <c r="H426" s="1">
        <v>-2.3890459999999999E-6</v>
      </c>
      <c r="I426">
        <v>367.07440000000003</v>
      </c>
      <c r="J426">
        <v>-352.53809999999999</v>
      </c>
      <c r="K426">
        <v>1.1104419999999999</v>
      </c>
      <c r="L426">
        <v>367.6114</v>
      </c>
      <c r="M426">
        <v>0.99991770000000002</v>
      </c>
      <c r="N426">
        <v>-1.2069939999999999E-2</v>
      </c>
      <c r="O426">
        <v>4.391987E-3</v>
      </c>
      <c r="P426">
        <v>0.95698300000000003</v>
      </c>
      <c r="Q426">
        <v>0.28374450000000001</v>
      </c>
      <c r="R426">
        <v>6.0604680000000001E-2</v>
      </c>
      <c r="S426">
        <v>3.2012330000000002</v>
      </c>
      <c r="T426">
        <v>-0.2043623</v>
      </c>
      <c r="U426">
        <v>-9.8571779999999998E-2</v>
      </c>
      <c r="V426">
        <v>-5.6389160000000001E-2</v>
      </c>
      <c r="W426">
        <v>0.29527969999999998</v>
      </c>
      <c r="X426">
        <v>0.95374530000000002</v>
      </c>
      <c r="Y426">
        <v>3.5076419999999997E-2</v>
      </c>
      <c r="Z426">
        <v>-1.557286E-3</v>
      </c>
      <c r="AA426">
        <v>0.99938340000000003</v>
      </c>
      <c r="AB426">
        <v>30</v>
      </c>
      <c r="AC426">
        <v>17.097100000000001</v>
      </c>
      <c r="AD426">
        <v>-1.1104443890459901</v>
      </c>
      <c r="AE426">
        <v>-0.53699999999997705</v>
      </c>
      <c r="AF426">
        <v>0.60952183835263796</v>
      </c>
      <c r="AG426">
        <v>-1.1104443890459901</v>
      </c>
      <c r="AH426">
        <v>17.022837881268</v>
      </c>
      <c r="AI426">
        <v>93.729882610007806</v>
      </c>
      <c r="AJ426">
        <v>87.949336304301795</v>
      </c>
      <c r="AK426">
        <v>17.069903723938399</v>
      </c>
      <c r="AL426">
        <v>72.825689271303702</v>
      </c>
      <c r="AM426">
        <v>93.383612076197295</v>
      </c>
      <c r="AN426">
        <v>0.99999996793484203</v>
      </c>
    </row>
    <row r="427" spans="1:40" x14ac:dyDescent="0.25">
      <c r="A427" t="str">
        <f>"20190304164603391"</f>
        <v>20190304164603391</v>
      </c>
      <c r="B427" t="str">
        <f>"1551689163388541"</f>
        <v>1551689163388541</v>
      </c>
      <c r="C427" t="s">
        <v>40</v>
      </c>
      <c r="D427">
        <v>3.870301</v>
      </c>
      <c r="E427">
        <v>0.55017910000000003</v>
      </c>
      <c r="F427" t="s">
        <v>42</v>
      </c>
      <c r="G427">
        <v>-334.84989999999999</v>
      </c>
      <c r="H427" s="1">
        <v>-2.6457470000000002E-6</v>
      </c>
      <c r="I427">
        <v>367.05680000000001</v>
      </c>
      <c r="J427">
        <v>-352.24290000000002</v>
      </c>
      <c r="K427">
        <v>1.110417</v>
      </c>
      <c r="L427">
        <v>367.61259999999999</v>
      </c>
      <c r="M427">
        <v>0.99991949999999996</v>
      </c>
      <c r="N427">
        <v>-1.1919839999999999E-2</v>
      </c>
      <c r="O427">
        <v>4.3922379999999997E-3</v>
      </c>
      <c r="P427">
        <v>0.95715030000000001</v>
      </c>
      <c r="Q427">
        <v>0.28319850000000002</v>
      </c>
      <c r="R427">
        <v>6.0519620000000003E-2</v>
      </c>
      <c r="S427">
        <v>3.2007750000000001</v>
      </c>
      <c r="T427">
        <v>-0.20093929999999999</v>
      </c>
      <c r="U427">
        <v>-0.10034179999999999</v>
      </c>
      <c r="V427">
        <v>-5.630342E-2</v>
      </c>
      <c r="W427">
        <v>0.29459259999999998</v>
      </c>
      <c r="X427">
        <v>0.95396289999999995</v>
      </c>
      <c r="Y427">
        <v>3.5634810000000003E-2</v>
      </c>
      <c r="Z427">
        <v>-1.5529630000000001E-3</v>
      </c>
      <c r="AA427">
        <v>0.99936369999999997</v>
      </c>
      <c r="AB427">
        <v>30</v>
      </c>
      <c r="AC427">
        <v>17.393000000000001</v>
      </c>
      <c r="AD427">
        <v>-1.1104196457469999</v>
      </c>
      <c r="AE427">
        <v>-0.55579999999997598</v>
      </c>
      <c r="AF427">
        <v>0.62963054313109901</v>
      </c>
      <c r="AG427">
        <v>-1.1104196457469999</v>
      </c>
      <c r="AH427">
        <v>17.319868501427798</v>
      </c>
      <c r="AI427">
        <v>93.665938670930004</v>
      </c>
      <c r="AJ427">
        <v>87.918038829840199</v>
      </c>
      <c r="AK427">
        <v>17.366845174563299</v>
      </c>
      <c r="AL427">
        <v>72.866891292620295</v>
      </c>
      <c r="AM427">
        <v>93.377710352871603</v>
      </c>
      <c r="AN427">
        <v>1.00000004482743</v>
      </c>
    </row>
    <row r="428" spans="1:40" x14ac:dyDescent="0.25">
      <c r="A428" t="str">
        <f>"20190304164603414"</f>
        <v>20190304164603414</v>
      </c>
      <c r="B428" t="str">
        <f>"1551689163408060"</f>
        <v>1551689163408060</v>
      </c>
      <c r="C428" t="s">
        <v>40</v>
      </c>
      <c r="D428">
        <v>3.8409309999999999</v>
      </c>
      <c r="E428">
        <v>0.55030330000000005</v>
      </c>
      <c r="F428" t="s">
        <v>42</v>
      </c>
      <c r="G428">
        <v>-334.44549999999998</v>
      </c>
      <c r="H428" s="1">
        <v>-2.8221219999999998E-6</v>
      </c>
      <c r="I428">
        <v>367.04039999999998</v>
      </c>
      <c r="J428">
        <v>-351.93849999999998</v>
      </c>
      <c r="K428">
        <v>1.1103970000000001</v>
      </c>
      <c r="L428">
        <v>367.61399999999998</v>
      </c>
      <c r="M428">
        <v>0.99992119999999995</v>
      </c>
      <c r="N428">
        <v>-1.176085E-2</v>
      </c>
      <c r="O428">
        <v>4.3928279999999997E-3</v>
      </c>
      <c r="P428">
        <v>0.95726389999999995</v>
      </c>
      <c r="Q428">
        <v>0.2827963</v>
      </c>
      <c r="R428">
        <v>6.0598869999999999E-2</v>
      </c>
      <c r="S428">
        <v>3.1998899999999999</v>
      </c>
      <c r="T428">
        <v>-0.1996473</v>
      </c>
      <c r="U428">
        <v>-0.1028748</v>
      </c>
      <c r="V428">
        <v>-5.6381670000000002E-2</v>
      </c>
      <c r="W428">
        <v>0.29404029999999998</v>
      </c>
      <c r="X428">
        <v>0.95412859999999999</v>
      </c>
      <c r="Y428">
        <v>3.6433640000000003E-2</v>
      </c>
      <c r="Z428">
        <v>-1.571876E-3</v>
      </c>
      <c r="AA428">
        <v>0.99933479999999997</v>
      </c>
      <c r="AB428">
        <v>30</v>
      </c>
      <c r="AC428">
        <v>17.492999999999899</v>
      </c>
      <c r="AD428">
        <v>-1.1103998221219999</v>
      </c>
      <c r="AE428">
        <v>-0.57360000000005495</v>
      </c>
      <c r="AF428">
        <v>0.64783599383730495</v>
      </c>
      <c r="AG428">
        <v>-1.1103998221219999</v>
      </c>
      <c r="AH428">
        <v>17.420195397869399</v>
      </c>
      <c r="AI428">
        <v>93.644706324799103</v>
      </c>
      <c r="AJ428">
        <v>87.870220740699395</v>
      </c>
      <c r="AK428">
        <v>17.467566714909999</v>
      </c>
      <c r="AL428">
        <v>72.900001301705402</v>
      </c>
      <c r="AM428">
        <v>93.3818077293828</v>
      </c>
      <c r="AN428">
        <v>0.99999998803701895</v>
      </c>
    </row>
    <row r="429" spans="1:40" x14ac:dyDescent="0.25">
      <c r="A429" t="str">
        <f>"20190304164603436"</f>
        <v>20190304164603436</v>
      </c>
      <c r="B429" t="str">
        <f>"1551689163428556"</f>
        <v>1551689163428556</v>
      </c>
      <c r="C429" t="s">
        <v>40</v>
      </c>
      <c r="D429">
        <v>3.8085300000000002</v>
      </c>
      <c r="E429">
        <v>0.55042769999999996</v>
      </c>
      <c r="F429" t="s">
        <v>41</v>
      </c>
      <c r="G429">
        <v>-350.93880000000001</v>
      </c>
      <c r="H429">
        <v>1.0482049999999901</v>
      </c>
      <c r="I429">
        <v>367.58139999999997</v>
      </c>
      <c r="J429">
        <v>-351.64499999999998</v>
      </c>
      <c r="K429">
        <v>1.1103769999999999</v>
      </c>
      <c r="L429">
        <v>367.61529999999999</v>
      </c>
      <c r="M429">
        <v>0.99992309999999995</v>
      </c>
      <c r="N429">
        <v>-1.1609660000000001E-2</v>
      </c>
      <c r="O429">
        <v>4.3933599999999998E-3</v>
      </c>
      <c r="P429">
        <v>0.95720970000000005</v>
      </c>
      <c r="Q429">
        <v>0.28285470000000001</v>
      </c>
      <c r="R429">
        <v>6.1180600000000002E-2</v>
      </c>
      <c r="S429">
        <v>3.1993100000000001</v>
      </c>
      <c r="T429">
        <v>-0.19918060000000001</v>
      </c>
      <c r="U429">
        <v>-0.1033936</v>
      </c>
      <c r="V429">
        <v>-5.696333E-2</v>
      </c>
      <c r="W429">
        <v>0.2939542</v>
      </c>
      <c r="X429">
        <v>0.95412059999999999</v>
      </c>
      <c r="Y429">
        <v>3.6601979999999999E-2</v>
      </c>
      <c r="Z429">
        <v>-1.5729819999999999E-3</v>
      </c>
      <c r="AA429">
        <v>0.99932869999999996</v>
      </c>
      <c r="AB429">
        <v>30</v>
      </c>
      <c r="AC429">
        <v>0.70619999999996697</v>
      </c>
      <c r="AD429">
        <v>-6.2172000000000102E-2</v>
      </c>
      <c r="AE429">
        <v>-3.3900000000016903E-2</v>
      </c>
      <c r="AF429">
        <v>3.6718536577266397E-2</v>
      </c>
      <c r="AG429">
        <v>-6.2172000000000102E-2</v>
      </c>
      <c r="AH429">
        <v>0.70062646103559001</v>
      </c>
      <c r="AI429">
        <v>95.064101147668197</v>
      </c>
      <c r="AJ429">
        <v>86.999978824729297</v>
      </c>
      <c r="AK429">
        <v>0.70433731011187395</v>
      </c>
      <c r="AL429">
        <v>72.905162880418601</v>
      </c>
      <c r="AM429">
        <v>93.416642411779094</v>
      </c>
      <c r="AN429">
        <v>1.00000000600334</v>
      </c>
    </row>
    <row r="430" spans="1:40" x14ac:dyDescent="0.25">
      <c r="A430" t="str">
        <f>"20190304164603457"</f>
        <v>20190304164603457</v>
      </c>
      <c r="B430" t="str">
        <f>"1551689163448076"</f>
        <v>1551689163448076</v>
      </c>
      <c r="C430" t="s">
        <v>40</v>
      </c>
      <c r="D430">
        <v>3.8628830000000001</v>
      </c>
      <c r="E430">
        <v>0.55057069999999997</v>
      </c>
      <c r="F430" t="s">
        <v>41</v>
      </c>
      <c r="G430">
        <v>-350.67110000000002</v>
      </c>
      <c r="H430">
        <v>1.0503039999999999</v>
      </c>
      <c r="I430">
        <v>367.58370000000002</v>
      </c>
      <c r="J430">
        <v>-351.35789999999997</v>
      </c>
      <c r="K430">
        <v>1.1103529999999999</v>
      </c>
      <c r="L430">
        <v>367.61649999999997</v>
      </c>
      <c r="M430">
        <v>0.9999247</v>
      </c>
      <c r="N430">
        <v>-1.1469770000000001E-2</v>
      </c>
      <c r="O430">
        <v>4.3938759999999997E-3</v>
      </c>
      <c r="P430">
        <v>0.95709239999999995</v>
      </c>
      <c r="Q430">
        <v>0.28316839999999999</v>
      </c>
      <c r="R430">
        <v>6.1564529999999999E-2</v>
      </c>
      <c r="S430">
        <v>3.1990660000000002</v>
      </c>
      <c r="T430">
        <v>-0.19752500000000001</v>
      </c>
      <c r="U430">
        <v>-0.102478</v>
      </c>
      <c r="V430">
        <v>-5.7347189999999999E-2</v>
      </c>
      <c r="W430">
        <v>0.29413270000000002</v>
      </c>
      <c r="X430">
        <v>0.95404259999999996</v>
      </c>
      <c r="Y430">
        <v>3.6321399999999997E-2</v>
      </c>
      <c r="Z430">
        <v>-1.549195E-3</v>
      </c>
      <c r="AA430">
        <v>0.99933899999999998</v>
      </c>
      <c r="AB430">
        <v>30</v>
      </c>
      <c r="AC430">
        <v>0.68679999999994801</v>
      </c>
      <c r="AD430">
        <v>-6.0048999999999998E-2</v>
      </c>
      <c r="AE430">
        <v>-3.2799999999951902E-2</v>
      </c>
      <c r="AF430">
        <v>3.5546477615420603E-2</v>
      </c>
      <c r="AG430">
        <v>-6.0048999999999998E-2</v>
      </c>
      <c r="AH430">
        <v>0.681451714850973</v>
      </c>
      <c r="AI430">
        <v>95.029050205428703</v>
      </c>
      <c r="AJ430">
        <v>87.013993978270605</v>
      </c>
      <c r="AK430">
        <v>0.68501523643288098</v>
      </c>
      <c r="AL430">
        <v>72.894462685141406</v>
      </c>
      <c r="AM430">
        <v>93.439891657814002</v>
      </c>
      <c r="AN430">
        <v>1.0000000140124701</v>
      </c>
    </row>
    <row r="431" spans="1:40" x14ac:dyDescent="0.25">
      <c r="A431" t="str">
        <f>"20190304164603481"</f>
        <v>20190304164603481</v>
      </c>
      <c r="B431" t="str">
        <f>"1551689163478332"</f>
        <v>1551689163478332</v>
      </c>
      <c r="C431" t="s">
        <v>40</v>
      </c>
      <c r="D431">
        <v>3.8003070000000001</v>
      </c>
      <c r="E431">
        <v>0.55077559999999903</v>
      </c>
      <c r="F431" t="s">
        <v>41</v>
      </c>
      <c r="G431">
        <v>-350.40320000000003</v>
      </c>
      <c r="H431">
        <v>1.0520510000000001</v>
      </c>
      <c r="I431">
        <v>367.58589999999998</v>
      </c>
      <c r="J431">
        <v>-351.04849999999999</v>
      </c>
      <c r="K431">
        <v>1.1103369999999999</v>
      </c>
      <c r="L431">
        <v>367.61790000000002</v>
      </c>
      <c r="M431">
        <v>0.99992630000000005</v>
      </c>
      <c r="N431">
        <v>-1.133028E-2</v>
      </c>
      <c r="O431">
        <v>4.3943189999999998E-3</v>
      </c>
      <c r="P431">
        <v>0.95709520000000003</v>
      </c>
      <c r="Q431">
        <v>0.28313310000000003</v>
      </c>
      <c r="R431">
        <v>6.1681510000000002E-2</v>
      </c>
      <c r="S431">
        <v>3.1989139999999998</v>
      </c>
      <c r="T431">
        <v>-0.1954466</v>
      </c>
      <c r="U431">
        <v>-0.1020508</v>
      </c>
      <c r="V431">
        <v>-5.7463590000000002E-2</v>
      </c>
      <c r="W431">
        <v>0.29396420000000001</v>
      </c>
      <c r="X431">
        <v>0.95408749999999998</v>
      </c>
      <c r="Y431">
        <v>3.6192149999999999E-2</v>
      </c>
      <c r="Z431">
        <v>-1.528069E-3</v>
      </c>
      <c r="AA431">
        <v>0.99934369999999995</v>
      </c>
      <c r="AB431">
        <v>30</v>
      </c>
      <c r="AC431">
        <v>0.64529999999996301</v>
      </c>
      <c r="AD431">
        <v>-5.8285999999999998E-2</v>
      </c>
      <c r="AE431">
        <v>-3.2000000000039101E-2</v>
      </c>
      <c r="AF431">
        <v>3.4554310207634498E-2</v>
      </c>
      <c r="AG431">
        <v>-5.8285999999999998E-2</v>
      </c>
      <c r="AH431">
        <v>0.63994501928126801</v>
      </c>
      <c r="AI431">
        <v>95.196595388022601</v>
      </c>
      <c r="AJ431">
        <v>86.909272890848996</v>
      </c>
      <c r="AK431">
        <v>0.64352224969524396</v>
      </c>
      <c r="AL431">
        <v>72.904563091843798</v>
      </c>
      <c r="AM431">
        <v>93.446695113254805</v>
      </c>
      <c r="AN431">
        <v>0.99999998635678899</v>
      </c>
    </row>
    <row r="432" spans="1:40" x14ac:dyDescent="0.25">
      <c r="A432" t="str">
        <f>"20190304164603504"</f>
        <v>20190304164603504</v>
      </c>
      <c r="B432" t="str">
        <f>"1551689163497852"</f>
        <v>1551689163497852</v>
      </c>
      <c r="C432" t="s">
        <v>40</v>
      </c>
      <c r="D432">
        <v>3.796748</v>
      </c>
      <c r="E432">
        <v>0.55087039999999998</v>
      </c>
      <c r="F432" t="s">
        <v>42</v>
      </c>
      <c r="G432">
        <v>-332.72590000000002</v>
      </c>
      <c r="H432" s="1">
        <v>-3.5629490000000001E-6</v>
      </c>
      <c r="I432">
        <v>367.02289999999999</v>
      </c>
      <c r="J432">
        <v>-350.73719999999997</v>
      </c>
      <c r="K432">
        <v>1.1103240000000001</v>
      </c>
      <c r="L432">
        <v>367.61919999999998</v>
      </c>
      <c r="M432">
        <v>0.99992780000000003</v>
      </c>
      <c r="N432">
        <v>-1.119612E-2</v>
      </c>
      <c r="O432">
        <v>4.3947229999999997E-3</v>
      </c>
      <c r="P432">
        <v>0.95704239999999996</v>
      </c>
      <c r="Q432">
        <v>0.28329349999999998</v>
      </c>
      <c r="R432">
        <v>6.1766130000000002E-2</v>
      </c>
      <c r="S432">
        <v>3.1985169999999998</v>
      </c>
      <c r="T432">
        <v>-0.1938269</v>
      </c>
      <c r="U432">
        <v>-0.10385129999999999</v>
      </c>
      <c r="V432">
        <v>-5.754807E-2</v>
      </c>
      <c r="W432">
        <v>0.29399609999999998</v>
      </c>
      <c r="X432">
        <v>0.95407260000000005</v>
      </c>
      <c r="Y432">
        <v>3.6758659999999999E-2</v>
      </c>
      <c r="Z432">
        <v>-1.5353679999999901E-3</v>
      </c>
      <c r="AA432">
        <v>0.99932299999999996</v>
      </c>
      <c r="AB432">
        <v>30</v>
      </c>
      <c r="AC432">
        <v>18.011299999999899</v>
      </c>
      <c r="AD432">
        <v>-1.1103275629489999</v>
      </c>
      <c r="AE432">
        <v>-0.59629999999998495</v>
      </c>
      <c r="AF432">
        <v>0.67289947993463906</v>
      </c>
      <c r="AG432">
        <v>-1.1103275629489999</v>
      </c>
      <c r="AH432">
        <v>17.940401949666501</v>
      </c>
      <c r="AI432">
        <v>93.539024009604901</v>
      </c>
      <c r="AJ432">
        <v>87.851985923153507</v>
      </c>
      <c r="AK432">
        <v>17.987318953160798</v>
      </c>
      <c r="AL432">
        <v>72.902651214910605</v>
      </c>
      <c r="AM432">
        <v>93.451803800215401</v>
      </c>
      <c r="AN432">
        <v>1.0000000066233401</v>
      </c>
    </row>
    <row r="433" spans="1:40" x14ac:dyDescent="0.25">
      <c r="A433" t="str">
        <f>"20190304164603517"</f>
        <v>20190304164603517</v>
      </c>
      <c r="B433" t="str">
        <f>"1551689163508588"</f>
        <v>1551689163508588</v>
      </c>
      <c r="C433" t="s">
        <v>40</v>
      </c>
      <c r="D433">
        <v>3.7731789999999998</v>
      </c>
      <c r="E433">
        <v>0.55083570000000004</v>
      </c>
      <c r="F433" t="s">
        <v>42</v>
      </c>
      <c r="G433">
        <v>-332.22469999999998</v>
      </c>
      <c r="H433" s="1">
        <v>-3.779716E-6</v>
      </c>
      <c r="I433">
        <v>367.0129</v>
      </c>
      <c r="J433">
        <v>-350.56699999999898</v>
      </c>
      <c r="K433">
        <v>1.1103160000000001</v>
      </c>
      <c r="L433">
        <v>367.62</v>
      </c>
      <c r="M433">
        <v>0.9999285</v>
      </c>
      <c r="N433">
        <v>-1.112374E-2</v>
      </c>
      <c r="O433">
        <v>4.395309E-3</v>
      </c>
      <c r="P433">
        <v>0.95697540000000003</v>
      </c>
      <c r="Q433">
        <v>0.28347650000000002</v>
      </c>
      <c r="R433">
        <v>6.1960380000000002E-2</v>
      </c>
      <c r="S433">
        <v>3.198242</v>
      </c>
      <c r="T433">
        <v>-0.19182099999999999</v>
      </c>
      <c r="U433">
        <v>-0.1047363</v>
      </c>
      <c r="V433">
        <v>-5.7741580000000001E-2</v>
      </c>
      <c r="W433">
        <v>0.29410910000000001</v>
      </c>
      <c r="X433">
        <v>0.95402600000000004</v>
      </c>
      <c r="Y433">
        <v>3.7039370000000002E-2</v>
      </c>
      <c r="Z433">
        <v>-1.5302200000000001E-3</v>
      </c>
      <c r="AA433">
        <v>0.9993126</v>
      </c>
      <c r="AB433">
        <v>30</v>
      </c>
      <c r="AC433">
        <v>18.342299999999899</v>
      </c>
      <c r="AD433">
        <v>-1.110319779716</v>
      </c>
      <c r="AE433">
        <v>-0.60710000000000197</v>
      </c>
      <c r="AF433">
        <v>0.68521113975424897</v>
      </c>
      <c r="AG433">
        <v>-1.110319779716</v>
      </c>
      <c r="AH433">
        <v>18.272571708775601</v>
      </c>
      <c r="AI433">
        <v>93.474825348568501</v>
      </c>
      <c r="AJ433">
        <v>87.852446821085493</v>
      </c>
      <c r="AK433">
        <v>18.3190938960315</v>
      </c>
      <c r="AL433">
        <v>72.895875974228701</v>
      </c>
      <c r="AM433">
        <v>93.463551320646303</v>
      </c>
      <c r="AN433">
        <v>0.99999993071985005</v>
      </c>
    </row>
    <row r="434" spans="1:40" x14ac:dyDescent="0.25">
      <c r="A434" t="str">
        <f>"20190304164603538"</f>
        <v>20190304164603538</v>
      </c>
      <c r="B434" t="str">
        <f>"1551689163528109"</f>
        <v>1551689163528109</v>
      </c>
      <c r="C434" t="s">
        <v>40</v>
      </c>
      <c r="D434">
        <v>3.7429549999999998</v>
      </c>
      <c r="E434">
        <v>0.55071309999999996</v>
      </c>
      <c r="F434" t="s">
        <v>41</v>
      </c>
      <c r="G434">
        <v>-349.59699999999998</v>
      </c>
      <c r="H434">
        <v>1.052651</v>
      </c>
      <c r="I434">
        <v>367.5881</v>
      </c>
      <c r="J434">
        <v>-350.28280000000001</v>
      </c>
      <c r="K434">
        <v>1.1103019999999999</v>
      </c>
      <c r="L434">
        <v>367.62119999999999</v>
      </c>
      <c r="M434">
        <v>0.99992999999999999</v>
      </c>
      <c r="N434">
        <v>-1.1004E-2</v>
      </c>
      <c r="O434">
        <v>4.3953209999999998E-3</v>
      </c>
      <c r="P434">
        <v>0.95682509999999998</v>
      </c>
      <c r="Q434">
        <v>0.28391480000000002</v>
      </c>
      <c r="R434">
        <v>6.2278460000000001E-2</v>
      </c>
      <c r="S434">
        <v>3.1979980000000001</v>
      </c>
      <c r="T434">
        <v>-0.1903965</v>
      </c>
      <c r="U434">
        <v>-0.10437009999999999</v>
      </c>
      <c r="V434">
        <v>-5.806037E-2</v>
      </c>
      <c r="W434">
        <v>0.29443180000000002</v>
      </c>
      <c r="X434">
        <v>0.95390719999999996</v>
      </c>
      <c r="Y434">
        <v>3.6929049999999998E-2</v>
      </c>
      <c r="Z434">
        <v>-1.5145639999999999E-3</v>
      </c>
      <c r="AA434">
        <v>0.99931680000000001</v>
      </c>
      <c r="AB434">
        <v>30</v>
      </c>
      <c r="AC434">
        <v>0.68580000000002805</v>
      </c>
      <c r="AD434">
        <v>-5.7651000000000098E-2</v>
      </c>
      <c r="AE434">
        <v>-3.3099999999990297E-2</v>
      </c>
      <c r="AF434">
        <v>3.5861339703431798E-2</v>
      </c>
      <c r="AG434">
        <v>-5.7651000000000098E-2</v>
      </c>
      <c r="AH434">
        <v>0.68084769345913199</v>
      </c>
      <c r="AI434">
        <v>94.833325276244494</v>
      </c>
      <c r="AJ434">
        <v>86.984925601815107</v>
      </c>
      <c r="AK434">
        <v>0.68422456487248795</v>
      </c>
      <c r="AL434">
        <v>72.876531583584807</v>
      </c>
      <c r="AM434">
        <v>93.483059235907604</v>
      </c>
      <c r="AN434">
        <v>1.0000000188138001</v>
      </c>
    </row>
    <row r="435" spans="1:40" x14ac:dyDescent="0.25">
      <c r="A435" t="str">
        <f>"20190304164603560"</f>
        <v>20190304164603560</v>
      </c>
      <c r="B435" t="str">
        <f>"1551689163548604"</f>
        <v>1551689163548604</v>
      </c>
      <c r="C435" t="s">
        <v>40</v>
      </c>
      <c r="D435">
        <v>3.7147549999999998</v>
      </c>
      <c r="E435">
        <v>0.55063960000000001</v>
      </c>
      <c r="F435" t="s">
        <v>42</v>
      </c>
      <c r="G435">
        <v>-331.33580000000001</v>
      </c>
      <c r="H435" s="1">
        <v>-4.1612400000000003E-6</v>
      </c>
      <c r="I435">
        <v>367.01170000000002</v>
      </c>
      <c r="J435">
        <v>-350.00310000000002</v>
      </c>
      <c r="K435">
        <v>1.1102959999999999</v>
      </c>
      <c r="L435">
        <v>367.62240000000003</v>
      </c>
      <c r="M435">
        <v>0.99993109999999996</v>
      </c>
      <c r="N435">
        <v>-1.088922E-2</v>
      </c>
      <c r="O435">
        <v>4.3959539999999997E-3</v>
      </c>
      <c r="P435">
        <v>0.95669749999999998</v>
      </c>
      <c r="Q435">
        <v>0.28425800000000001</v>
      </c>
      <c r="R435">
        <v>6.2669340000000004E-2</v>
      </c>
      <c r="S435">
        <v>3.1976930000000001</v>
      </c>
      <c r="T435">
        <v>-0.18738659999999999</v>
      </c>
      <c r="U435">
        <v>-0.1028442</v>
      </c>
      <c r="V435">
        <v>-5.8451240000000002E-2</v>
      </c>
      <c r="W435">
        <v>0.29466409999999998</v>
      </c>
      <c r="X435">
        <v>0.95381159999999998</v>
      </c>
      <c r="Y435">
        <v>3.6459900000000003E-2</v>
      </c>
      <c r="Z435">
        <v>-1.475362E-3</v>
      </c>
      <c r="AA435">
        <v>0.99933399999999994</v>
      </c>
      <c r="AB435">
        <v>30</v>
      </c>
      <c r="AC435">
        <v>18.667300000000001</v>
      </c>
      <c r="AD435">
        <v>-1.1103001612400001</v>
      </c>
      <c r="AE435">
        <v>-0.61070000000000801</v>
      </c>
      <c r="AF435">
        <v>0.69032003579021095</v>
      </c>
      <c r="AG435">
        <v>-1.1103001612400001</v>
      </c>
      <c r="AH435">
        <v>18.598709020010599</v>
      </c>
      <c r="AI435">
        <v>93.414026425086902</v>
      </c>
      <c r="AJ435">
        <v>87.874353723396695</v>
      </c>
      <c r="AK435">
        <v>18.644604726592799</v>
      </c>
      <c r="AL435">
        <v>72.862603984001396</v>
      </c>
      <c r="AM435">
        <v>93.506799909084805</v>
      </c>
      <c r="AN435">
        <v>1.0000000237904501</v>
      </c>
    </row>
    <row r="436" spans="1:40" x14ac:dyDescent="0.25">
      <c r="A436" t="str">
        <f>"20190304164603575"</f>
        <v>20190304164603575</v>
      </c>
      <c r="B436" t="str">
        <f>"1551689163568125"</f>
        <v>1551689163568125</v>
      </c>
      <c r="C436" t="s">
        <v>40</v>
      </c>
      <c r="D436">
        <v>3.7135470000000002</v>
      </c>
      <c r="E436">
        <v>0.54599180000000003</v>
      </c>
      <c r="F436" t="s">
        <v>42</v>
      </c>
      <c r="G436">
        <v>-330.87369999999999</v>
      </c>
      <c r="H436" s="1">
        <v>-4.3581650000000001E-6</v>
      </c>
      <c r="I436">
        <v>367.01929999999999</v>
      </c>
      <c r="J436">
        <v>-349.79109999999997</v>
      </c>
      <c r="K436">
        <v>1.1102860000000001</v>
      </c>
      <c r="L436">
        <v>367.6234</v>
      </c>
      <c r="M436">
        <v>0.99993189999999998</v>
      </c>
      <c r="N436">
        <v>-1.0805840000000001E-2</v>
      </c>
      <c r="O436">
        <v>4.3964069999999997E-3</v>
      </c>
      <c r="P436">
        <v>0.95662559999999996</v>
      </c>
      <c r="Q436">
        <v>0.28455000000000003</v>
      </c>
      <c r="R436">
        <v>6.2441549999999998E-2</v>
      </c>
      <c r="S436">
        <v>3.1975099999999999</v>
      </c>
      <c r="T436">
        <v>-0.18558749999999999</v>
      </c>
      <c r="U436">
        <v>-0.1007996</v>
      </c>
      <c r="V436">
        <v>-5.8223499999999997E-2</v>
      </c>
      <c r="W436">
        <v>0.29487560000000002</v>
      </c>
      <c r="X436">
        <v>0.9537601</v>
      </c>
      <c r="Y436">
        <v>3.5826549999999999E-2</v>
      </c>
      <c r="Z436">
        <v>-1.439828E-3</v>
      </c>
      <c r="AA436">
        <v>0.99935700000000005</v>
      </c>
      <c r="AB436">
        <v>30</v>
      </c>
      <c r="AC436">
        <v>18.917399999999901</v>
      </c>
      <c r="AD436">
        <v>-1.1102903581649901</v>
      </c>
      <c r="AE436">
        <v>-0.60410000000001596</v>
      </c>
      <c r="AF436">
        <v>0.68491070903657703</v>
      </c>
      <c r="AG436">
        <v>-1.1102903581649901</v>
      </c>
      <c r="AH436">
        <v>18.849695904327501</v>
      </c>
      <c r="AI436">
        <v>93.368740098127802</v>
      </c>
      <c r="AJ436">
        <v>87.919052023445204</v>
      </c>
      <c r="AK436">
        <v>18.894784546122999</v>
      </c>
      <c r="AL436">
        <v>72.849921370726804</v>
      </c>
      <c r="AM436">
        <v>93.493358630138403</v>
      </c>
      <c r="AN436">
        <v>0.999999961889809</v>
      </c>
    </row>
    <row r="437" spans="1:40" x14ac:dyDescent="0.25">
      <c r="A437" t="str">
        <f>"20190304164603593"</f>
        <v>20190304164603593</v>
      </c>
      <c r="B437" t="str">
        <f>"1551689163588621"</f>
        <v>1551689163588621</v>
      </c>
      <c r="C437" t="s">
        <v>40</v>
      </c>
      <c r="D437">
        <v>3.7182789999999999</v>
      </c>
      <c r="E437">
        <v>0.54597649999999998</v>
      </c>
      <c r="F437" t="s">
        <v>42</v>
      </c>
      <c r="G437">
        <v>-322.61720000000003</v>
      </c>
      <c r="H437" s="1">
        <v>-3.6096359999999999E-6</v>
      </c>
      <c r="I437">
        <v>367.02260000000001</v>
      </c>
      <c r="J437">
        <v>-349.54809999999998</v>
      </c>
      <c r="K437">
        <v>1.110271</v>
      </c>
      <c r="L437">
        <v>367.62450000000001</v>
      </c>
      <c r="M437">
        <v>0.99993299999999996</v>
      </c>
      <c r="N437">
        <v>-1.071421E-2</v>
      </c>
      <c r="O437">
        <v>4.3973770000000001E-3</v>
      </c>
      <c r="P437">
        <v>0.95659519999999998</v>
      </c>
      <c r="Q437">
        <v>0.28465370000000001</v>
      </c>
      <c r="R437">
        <v>6.2436690000000003E-2</v>
      </c>
      <c r="S437">
        <v>3.1792910000000001</v>
      </c>
      <c r="T437">
        <v>-0.12990080000000001</v>
      </c>
      <c r="U437">
        <v>-7.0281979999999994E-2</v>
      </c>
      <c r="V437">
        <v>-5.8217289999999998E-2</v>
      </c>
      <c r="W437">
        <v>0.29489149999999997</v>
      </c>
      <c r="X437">
        <v>0.95375560000000004</v>
      </c>
      <c r="Y437">
        <v>2.6467259999999999E-2</v>
      </c>
      <c r="Z437">
        <v>-8.1477759999999905E-4</v>
      </c>
      <c r="AA437">
        <v>0.99964929999999996</v>
      </c>
      <c r="AB437">
        <v>30</v>
      </c>
      <c r="AC437">
        <v>26.930899999999902</v>
      </c>
      <c r="AD437">
        <v>-1.1102746096359899</v>
      </c>
      <c r="AE437">
        <v>-0.60189999999999999</v>
      </c>
      <c r="AF437">
        <v>0.71910467505462405</v>
      </c>
      <c r="AG437">
        <v>-1.1102746096359899</v>
      </c>
      <c r="AH437">
        <v>26.8823249673435</v>
      </c>
      <c r="AI437">
        <v>92.364200502562198</v>
      </c>
      <c r="AJ437">
        <v>88.4676980263731</v>
      </c>
      <c r="AK437">
        <v>26.914851232959599</v>
      </c>
      <c r="AL437">
        <v>72.848968595490604</v>
      </c>
      <c r="AM437">
        <v>93.493003397947206</v>
      </c>
      <c r="AN437">
        <v>0.999999997079277</v>
      </c>
    </row>
    <row r="438" spans="1:40" x14ac:dyDescent="0.25">
      <c r="A438" t="str">
        <f>"20190304164603616"</f>
        <v>20190304164603616</v>
      </c>
      <c r="B438" t="str">
        <f>"1551689163608140"</f>
        <v>1551689163608140</v>
      </c>
      <c r="C438" t="s">
        <v>40</v>
      </c>
      <c r="D438">
        <v>3.7246730000000001</v>
      </c>
      <c r="E438">
        <v>0.5461589</v>
      </c>
      <c r="F438" t="s">
        <v>42</v>
      </c>
      <c r="G438">
        <v>-322.28190000000001</v>
      </c>
      <c r="H438" s="1">
        <v>-3.753448E-6</v>
      </c>
      <c r="I438">
        <v>367.02269999999999</v>
      </c>
      <c r="J438">
        <v>-349.24700000000001</v>
      </c>
      <c r="K438">
        <v>1.11025</v>
      </c>
      <c r="L438">
        <v>367.62580000000003</v>
      </c>
      <c r="M438">
        <v>0.9999342</v>
      </c>
      <c r="N438">
        <v>-1.060197E-2</v>
      </c>
      <c r="O438">
        <v>4.3979809999999996E-3</v>
      </c>
      <c r="P438">
        <v>0.95662990000000003</v>
      </c>
      <c r="Q438">
        <v>0.2845801</v>
      </c>
      <c r="R438">
        <v>6.2237399999999998E-2</v>
      </c>
      <c r="S438">
        <v>3.17923</v>
      </c>
      <c r="T438">
        <v>-0.12945719999999999</v>
      </c>
      <c r="U438">
        <v>-7.0159910000000006E-2</v>
      </c>
      <c r="V438">
        <v>-5.801692E-2</v>
      </c>
      <c r="W438">
        <v>0.29471150000000002</v>
      </c>
      <c r="X438">
        <v>0.95382339999999999</v>
      </c>
      <c r="Y438">
        <v>2.6430189999999999E-2</v>
      </c>
      <c r="Z438">
        <v>-8.1040840000000001E-4</v>
      </c>
      <c r="AA438">
        <v>0.99965040000000005</v>
      </c>
      <c r="AB438">
        <v>30</v>
      </c>
      <c r="AC438">
        <v>26.9650999999999</v>
      </c>
      <c r="AD438">
        <v>-1.1102537534479999</v>
      </c>
      <c r="AE438">
        <v>-0.60310000000004005</v>
      </c>
      <c r="AF438">
        <v>0.72047203255984804</v>
      </c>
      <c r="AG438">
        <v>-1.1102537534479999</v>
      </c>
      <c r="AH438">
        <v>26.9165783993726</v>
      </c>
      <c r="AI438">
        <v>92.361149920592496</v>
      </c>
      <c r="AJ438">
        <v>88.466738535778404</v>
      </c>
      <c r="AK438">
        <v>26.9490989844988</v>
      </c>
      <c r="AL438">
        <v>72.859760741160102</v>
      </c>
      <c r="AM438">
        <v>93.480764097764194</v>
      </c>
      <c r="AN438">
        <v>0.99999995481304704</v>
      </c>
    </row>
    <row r="439" spans="1:40" x14ac:dyDescent="0.25">
      <c r="A439" t="str">
        <f>"20190304164603637"</f>
        <v>20190304164603637</v>
      </c>
      <c r="B439" t="str">
        <f>"1551689163628636"</f>
        <v>1551689163628636</v>
      </c>
      <c r="C439" t="s">
        <v>40</v>
      </c>
      <c r="D439">
        <v>3.7089620000000001</v>
      </c>
      <c r="E439">
        <v>0.54631909999999995</v>
      </c>
      <c r="F439" t="s">
        <v>42</v>
      </c>
      <c r="G439">
        <v>-322.93689999999998</v>
      </c>
      <c r="H439" s="1">
        <v>-3.4706050000000002E-6</v>
      </c>
      <c r="I439">
        <v>367.03300000000002</v>
      </c>
      <c r="J439">
        <v>-348.95769999999999</v>
      </c>
      <c r="K439">
        <v>1.1102379999999901</v>
      </c>
      <c r="L439">
        <v>367.62709999999998</v>
      </c>
      <c r="M439">
        <v>0.99993540000000003</v>
      </c>
      <c r="N439">
        <v>-1.0495249999999999E-2</v>
      </c>
      <c r="O439">
        <v>4.3984319999999999E-3</v>
      </c>
      <c r="P439">
        <v>0.95677210000000001</v>
      </c>
      <c r="Q439">
        <v>0.28417209999999898</v>
      </c>
      <c r="R439">
        <v>6.1915390000000001E-2</v>
      </c>
      <c r="S439">
        <v>3.1806030000000001</v>
      </c>
      <c r="T439">
        <v>-0.13421729999999901</v>
      </c>
      <c r="U439">
        <v>-7.1655269999999993E-2</v>
      </c>
      <c r="V439">
        <v>-5.769436E-2</v>
      </c>
      <c r="W439">
        <v>0.29420299999999999</v>
      </c>
      <c r="X439">
        <v>0.95399999999999996</v>
      </c>
      <c r="Y439">
        <v>2.6888370000000002E-2</v>
      </c>
      <c r="Z439">
        <v>-8.475647E-4</v>
      </c>
      <c r="AA439">
        <v>0.99963809999999997</v>
      </c>
      <c r="AB439">
        <v>30</v>
      </c>
      <c r="AC439">
        <v>26.020800000000001</v>
      </c>
      <c r="AD439">
        <v>-1.1102414706049999</v>
      </c>
      <c r="AE439">
        <v>-0.59409999999996899</v>
      </c>
      <c r="AF439">
        <v>0.70726434609691002</v>
      </c>
      <c r="AG439">
        <v>-1.1102414706049999</v>
      </c>
      <c r="AH439">
        <v>25.970679710809801</v>
      </c>
      <c r="AI439">
        <v>92.4469867373912</v>
      </c>
      <c r="AJ439">
        <v>88.440038960827394</v>
      </c>
      <c r="AK439">
        <v>26.0040201434275</v>
      </c>
      <c r="AL439">
        <v>72.890248466518898</v>
      </c>
      <c r="AM439">
        <v>93.460819867231194</v>
      </c>
      <c r="AN439">
        <v>1.0000000221923999</v>
      </c>
    </row>
    <row r="440" spans="1:40" x14ac:dyDescent="0.25">
      <c r="A440" t="str">
        <f>"20190304164603651"</f>
        <v>20190304164603651</v>
      </c>
      <c r="B440" t="str">
        <f>"1551689163638397"</f>
        <v>1551689163638397</v>
      </c>
      <c r="C440" t="s">
        <v>40</v>
      </c>
      <c r="D440">
        <v>3.7435710000000002</v>
      </c>
      <c r="E440">
        <v>0.54638850000000005</v>
      </c>
      <c r="F440" t="s">
        <v>42</v>
      </c>
      <c r="G440">
        <v>-323.37200000000001</v>
      </c>
      <c r="H440" s="1">
        <v>-3.284852E-6</v>
      </c>
      <c r="I440">
        <v>367.02800000000002</v>
      </c>
      <c r="J440">
        <v>-348.7808</v>
      </c>
      <c r="K440">
        <v>1.110225</v>
      </c>
      <c r="L440">
        <v>367.62790000000001</v>
      </c>
      <c r="M440">
        <v>0.99993600000000005</v>
      </c>
      <c r="N440">
        <v>-1.043257E-2</v>
      </c>
      <c r="O440">
        <v>4.3982300000000004E-3</v>
      </c>
      <c r="P440">
        <v>0.95669700000000002</v>
      </c>
      <c r="Q440">
        <v>0.28445239999999999</v>
      </c>
      <c r="R440">
        <v>6.1788059999999999E-2</v>
      </c>
      <c r="S440">
        <v>3.1813660000000001</v>
      </c>
      <c r="T440">
        <v>-0.1380489</v>
      </c>
      <c r="U440">
        <v>-7.4493409999999996E-2</v>
      </c>
      <c r="V440">
        <v>-5.756791E-2</v>
      </c>
      <c r="W440">
        <v>0.29442269999999998</v>
      </c>
      <c r="X440">
        <v>0.95393989999999995</v>
      </c>
      <c r="Y440">
        <v>2.777137E-2</v>
      </c>
      <c r="Z440">
        <v>-8.9202219999999998E-4</v>
      </c>
      <c r="AA440">
        <v>0.99961390000000006</v>
      </c>
      <c r="AB440">
        <v>30</v>
      </c>
      <c r="AC440">
        <v>25.4087999999999</v>
      </c>
      <c r="AD440">
        <v>-1.110228284852</v>
      </c>
      <c r="AE440">
        <v>-0.599899999999991</v>
      </c>
      <c r="AF440">
        <v>0.71029865322081198</v>
      </c>
      <c r="AG440">
        <v>-1.110228284852</v>
      </c>
      <c r="AH440">
        <v>25.357529408429698</v>
      </c>
      <c r="AI440">
        <v>92.505997353174095</v>
      </c>
      <c r="AJ440">
        <v>88.395487382117807</v>
      </c>
      <c r="AK440">
        <v>25.3917590710181</v>
      </c>
      <c r="AL440">
        <v>72.877077914932102</v>
      </c>
      <c r="AM440">
        <v>93.453470122659795</v>
      </c>
      <c r="AN440">
        <v>1.0000000616745299</v>
      </c>
    </row>
    <row r="441" spans="1:40" x14ac:dyDescent="0.25">
      <c r="A441" t="str">
        <f>"20190304164603672"</f>
        <v>20190304164603672</v>
      </c>
      <c r="B441" t="str">
        <f>"1551689163668652"</f>
        <v>1551689163668652</v>
      </c>
      <c r="C441" t="s">
        <v>40</v>
      </c>
      <c r="D441">
        <v>3.713425</v>
      </c>
      <c r="E441">
        <v>0.54633920000000002</v>
      </c>
      <c r="F441" t="s">
        <v>42</v>
      </c>
      <c r="G441">
        <v>-323.4914</v>
      </c>
      <c r="H441" s="1">
        <v>-3.2330670000000002E-6</v>
      </c>
      <c r="I441">
        <v>367.03120000000001</v>
      </c>
      <c r="J441">
        <v>-348.49579999999997</v>
      </c>
      <c r="K441">
        <v>1.1102129999999999</v>
      </c>
      <c r="L441">
        <v>367.62920000000003</v>
      </c>
      <c r="M441">
        <v>0.99993699999999996</v>
      </c>
      <c r="N441">
        <v>-1.033888E-2</v>
      </c>
      <c r="O441">
        <v>4.3978799999999998E-3</v>
      </c>
      <c r="P441">
        <v>0.95661790000000002</v>
      </c>
      <c r="Q441">
        <v>0.28475159999999899</v>
      </c>
      <c r="R441">
        <v>6.1635910000000002E-2</v>
      </c>
      <c r="S441">
        <v>3.1821899999999999</v>
      </c>
      <c r="T441">
        <v>-0.13970070000000001</v>
      </c>
      <c r="U441">
        <v>-7.5073239999999999E-2</v>
      </c>
      <c r="V441">
        <v>-5.7416210000000002E-2</v>
      </c>
      <c r="W441">
        <v>0.2946318</v>
      </c>
      <c r="X441">
        <v>0.95388439999999997</v>
      </c>
      <c r="Y441">
        <v>2.794607E-2</v>
      </c>
      <c r="Z441">
        <v>-9.0512809999999998E-4</v>
      </c>
      <c r="AA441">
        <v>0.99960899999999997</v>
      </c>
      <c r="AB441">
        <v>30</v>
      </c>
      <c r="AC441">
        <v>25.004399999999901</v>
      </c>
      <c r="AD441">
        <v>-1.11021623306699</v>
      </c>
      <c r="AE441">
        <v>-0.59800000000001297</v>
      </c>
      <c r="AF441">
        <v>0.70657426330066797</v>
      </c>
      <c r="AG441">
        <v>-1.11021623306699</v>
      </c>
      <c r="AH441">
        <v>24.952364268607202</v>
      </c>
      <c r="AI441">
        <v>92.546585976254903</v>
      </c>
      <c r="AJ441">
        <v>88.377993068509497</v>
      </c>
      <c r="AK441">
        <v>24.987042839579601</v>
      </c>
      <c r="AL441">
        <v>72.864539903518903</v>
      </c>
      <c r="AM441">
        <v>93.444591577061701</v>
      </c>
      <c r="AN441">
        <v>0.99999998365268095</v>
      </c>
    </row>
    <row r="442" spans="1:40" x14ac:dyDescent="0.25">
      <c r="A442" t="str">
        <f>"20190304164603695"</f>
        <v>20190304164603695</v>
      </c>
      <c r="B442" t="str">
        <f>"1551689163688172"</f>
        <v>1551689163688172</v>
      </c>
      <c r="C442" t="s">
        <v>40</v>
      </c>
      <c r="D442">
        <v>3.6970809999999998</v>
      </c>
      <c r="E442">
        <v>0.54623639999999996</v>
      </c>
      <c r="F442" t="s">
        <v>42</v>
      </c>
      <c r="G442">
        <v>-322.84120000000001</v>
      </c>
      <c r="H442" s="1">
        <v>-3.5139969999999999E-6</v>
      </c>
      <c r="I442">
        <v>367.01979999999998</v>
      </c>
      <c r="J442">
        <v>-348.1891</v>
      </c>
      <c r="K442">
        <v>1.1101939999999999</v>
      </c>
      <c r="L442">
        <v>367.63049999999998</v>
      </c>
      <c r="M442">
        <v>0.99993799999999999</v>
      </c>
      <c r="N442">
        <v>-1.0248139999999999E-2</v>
      </c>
      <c r="O442">
        <v>4.3910980000000004E-3</v>
      </c>
      <c r="P442">
        <v>0.95646799999999998</v>
      </c>
      <c r="Q442">
        <v>0.28528239999999999</v>
      </c>
      <c r="R442">
        <v>6.1508729999999998E-2</v>
      </c>
      <c r="S442">
        <v>3.1818849999999999</v>
      </c>
      <c r="T442">
        <v>-0.1376976</v>
      </c>
      <c r="U442">
        <v>-7.5561519999999993E-2</v>
      </c>
      <c r="V442">
        <v>-5.7293839999999999E-2</v>
      </c>
      <c r="W442">
        <v>0.29507470000000002</v>
      </c>
      <c r="X442">
        <v>0.95375480000000001</v>
      </c>
      <c r="Y442">
        <v>2.809567E-2</v>
      </c>
      <c r="Z442">
        <v>-8.9656269999999997E-4</v>
      </c>
      <c r="AA442">
        <v>0.99960479999999996</v>
      </c>
      <c r="AB442">
        <v>30</v>
      </c>
      <c r="AC442">
        <v>25.3478999999999</v>
      </c>
      <c r="AD442">
        <v>-1.110197513997</v>
      </c>
      <c r="AE442">
        <v>-0.61070000000000801</v>
      </c>
      <c r="AF442">
        <v>0.72062348265795495</v>
      </c>
      <c r="AG442">
        <v>-1.110197513997</v>
      </c>
      <c r="AH442">
        <v>25.296475734757902</v>
      </c>
      <c r="AI442">
        <v>92.511934677611904</v>
      </c>
      <c r="AJ442">
        <v>88.368250137260802</v>
      </c>
      <c r="AK442">
        <v>25.331078171349901</v>
      </c>
      <c r="AL442">
        <v>72.837982185678101</v>
      </c>
      <c r="AM442">
        <v>93.437733759161205</v>
      </c>
      <c r="AN442">
        <v>0.99999994060253605</v>
      </c>
    </row>
    <row r="443" spans="1:40" x14ac:dyDescent="0.25">
      <c r="A443" t="str">
        <f>"20190304164603716"</f>
        <v>20190304164603716</v>
      </c>
      <c r="B443" t="str">
        <f>"1551689163708668"</f>
        <v>1551689163708668</v>
      </c>
      <c r="C443" t="s">
        <v>40</v>
      </c>
      <c r="D443">
        <v>3.7173449999999999</v>
      </c>
      <c r="E443">
        <v>0.54621850000000005</v>
      </c>
      <c r="F443" t="s">
        <v>42</v>
      </c>
      <c r="G443">
        <v>-322.00189999999998</v>
      </c>
      <c r="H443" s="1">
        <v>-3.8763620000000001E-6</v>
      </c>
      <c r="I443">
        <v>367.00700000000001</v>
      </c>
      <c r="J443">
        <v>-347.8922</v>
      </c>
      <c r="K443">
        <v>1.110179</v>
      </c>
      <c r="L443">
        <v>367.6318</v>
      </c>
      <c r="M443">
        <v>0.99993869999999896</v>
      </c>
      <c r="N443">
        <v>-1.017067E-2</v>
      </c>
      <c r="O443">
        <v>4.3711940000000001E-3</v>
      </c>
      <c r="P443">
        <v>0.95633020000000002</v>
      </c>
      <c r="Q443">
        <v>0.28554420000000003</v>
      </c>
      <c r="R443">
        <v>6.2429539999999999E-2</v>
      </c>
      <c r="S443">
        <v>3.1816409999999999</v>
      </c>
      <c r="T443">
        <v>-0.1348839</v>
      </c>
      <c r="U443">
        <v>-7.5744629999999993E-2</v>
      </c>
      <c r="V443">
        <v>-5.8228960000000003E-2</v>
      </c>
      <c r="W443">
        <v>0.29526239999999998</v>
      </c>
      <c r="X443">
        <v>0.95364020000000005</v>
      </c>
      <c r="Y443">
        <v>2.8136399999999999E-2</v>
      </c>
      <c r="Z443">
        <v>-8.8001780000000003E-4</v>
      </c>
      <c r="AA443">
        <v>0.99960369999999998</v>
      </c>
      <c r="AB443">
        <v>30</v>
      </c>
      <c r="AC443">
        <v>25.8903</v>
      </c>
      <c r="AD443">
        <v>-1.1101828763619901</v>
      </c>
      <c r="AE443">
        <v>-0.62480000000004998</v>
      </c>
      <c r="AF443">
        <v>0.73661776744416596</v>
      </c>
      <c r="AG443">
        <v>-1.1101828763619901</v>
      </c>
      <c r="AH443">
        <v>25.8398368701998</v>
      </c>
      <c r="AI443">
        <v>92.459145376804301</v>
      </c>
      <c r="AJ443">
        <v>88.367108032357194</v>
      </c>
      <c r="AK443">
        <v>25.874162425725402</v>
      </c>
      <c r="AL443">
        <v>72.826728443922605</v>
      </c>
      <c r="AM443">
        <v>93.494123582476007</v>
      </c>
      <c r="AN443">
        <v>1.0000000638462301</v>
      </c>
    </row>
    <row r="444" spans="1:40" x14ac:dyDescent="0.25">
      <c r="A444" t="str">
        <f>"20190304164603729"</f>
        <v>20190304164603729</v>
      </c>
      <c r="B444" t="str">
        <f>"1551689163718430"</f>
        <v>1551689163718430</v>
      </c>
      <c r="C444" t="s">
        <v>40</v>
      </c>
      <c r="D444">
        <v>3.7383130000000002</v>
      </c>
      <c r="E444">
        <v>0.54622490000000001</v>
      </c>
      <c r="F444" t="s">
        <v>42</v>
      </c>
      <c r="G444">
        <v>-321.60449999999997</v>
      </c>
      <c r="H444" s="1">
        <v>-4.0437090000000004E-6</v>
      </c>
      <c r="I444">
        <v>367.02460000000002</v>
      </c>
      <c r="J444">
        <v>-347.71679999999998</v>
      </c>
      <c r="K444">
        <v>1.1101650000000001</v>
      </c>
      <c r="L444">
        <v>367.63249999999999</v>
      </c>
      <c r="M444">
        <v>0.99993909999999997</v>
      </c>
      <c r="N444">
        <v>-1.012916E-2</v>
      </c>
      <c r="O444">
        <v>4.353811E-3</v>
      </c>
      <c r="P444">
        <v>0.95624399999999998</v>
      </c>
      <c r="Q444">
        <v>0.28565469999999998</v>
      </c>
      <c r="R444">
        <v>6.3236760000000003E-2</v>
      </c>
      <c r="S444">
        <v>3.181915</v>
      </c>
      <c r="T444">
        <v>-0.13437829999999901</v>
      </c>
      <c r="U444">
        <v>-7.3486330000000002E-2</v>
      </c>
      <c r="V444">
        <v>-5.9048820000000002E-2</v>
      </c>
      <c r="W444">
        <v>0.29533389999999998</v>
      </c>
      <c r="X444">
        <v>0.95356759999999996</v>
      </c>
      <c r="Y444">
        <v>2.7408970000000001E-2</v>
      </c>
      <c r="Z444">
        <v>-8.5703000000000005E-4</v>
      </c>
      <c r="AA444">
        <v>0.99962399999999996</v>
      </c>
      <c r="AB444">
        <v>30</v>
      </c>
      <c r="AC444">
        <v>26.112300000000001</v>
      </c>
      <c r="AD444">
        <v>-1.1101690437089999</v>
      </c>
      <c r="AE444">
        <v>-0.60789999999997202</v>
      </c>
      <c r="AF444">
        <v>0.72028686085478899</v>
      </c>
      <c r="AG444">
        <v>-1.1101690437089999</v>
      </c>
      <c r="AH444">
        <v>26.0623224885952</v>
      </c>
      <c r="AI444">
        <v>92.4382069745173</v>
      </c>
      <c r="AJ444">
        <v>88.4169141225033</v>
      </c>
      <c r="AK444">
        <v>26.095898949203999</v>
      </c>
      <c r="AL444">
        <v>72.822439832848602</v>
      </c>
      <c r="AM444">
        <v>93.543465226475803</v>
      </c>
      <c r="AN444">
        <v>1.00000002170118</v>
      </c>
    </row>
    <row r="445" spans="1:40" x14ac:dyDescent="0.25">
      <c r="A445" t="str">
        <f>"20190304164603748"</f>
        <v>20190304164603748</v>
      </c>
      <c r="B445" t="str">
        <f>"1551689163737948"</f>
        <v>1551689163737948</v>
      </c>
      <c r="C445" t="s">
        <v>40</v>
      </c>
      <c r="D445">
        <v>3.7309130000000001</v>
      </c>
      <c r="E445">
        <v>0.54628969999999999</v>
      </c>
      <c r="F445" t="s">
        <v>42</v>
      </c>
      <c r="G445">
        <v>-321.55040000000002</v>
      </c>
      <c r="H445" s="1">
        <v>-4.0636250000000004E-6</v>
      </c>
      <c r="I445">
        <v>367.04329999999999</v>
      </c>
      <c r="J445">
        <v>-347.46080000000001</v>
      </c>
      <c r="K445">
        <v>1.1101540000000001</v>
      </c>
      <c r="L445">
        <v>367.63369999999998</v>
      </c>
      <c r="M445">
        <v>0.99994000000000005</v>
      </c>
      <c r="N445">
        <v>-1.007038E-2</v>
      </c>
      <c r="O445">
        <v>4.3175050000000001E-3</v>
      </c>
      <c r="P445">
        <v>0.95634450000000004</v>
      </c>
      <c r="Q445">
        <v>0.2851322</v>
      </c>
      <c r="R445">
        <v>6.4069940000000006E-2</v>
      </c>
      <c r="S445">
        <v>3.182312</v>
      </c>
      <c r="T445">
        <v>-0.135016</v>
      </c>
      <c r="U445">
        <v>-7.1655269999999993E-2</v>
      </c>
      <c r="V445">
        <v>-5.9908410000000002E-2</v>
      </c>
      <c r="W445">
        <v>0.29475759999999901</v>
      </c>
      <c r="X445">
        <v>0.95369230000000005</v>
      </c>
      <c r="Y445">
        <v>2.6795369999999999E-2</v>
      </c>
      <c r="Z445">
        <v>-8.4272739999999996E-4</v>
      </c>
      <c r="AA445">
        <v>0.99964059999999999</v>
      </c>
      <c r="AB445">
        <v>30</v>
      </c>
      <c r="AC445">
        <v>25.9103999999999</v>
      </c>
      <c r="AD445">
        <v>-1.1101580636249999</v>
      </c>
      <c r="AE445">
        <v>-0.59039999999998805</v>
      </c>
      <c r="AF445">
        <v>0.70098226416666398</v>
      </c>
      <c r="AG445">
        <v>-1.1101580636249999</v>
      </c>
      <c r="AH445">
        <v>25.8601602816004</v>
      </c>
      <c r="AI445">
        <v>92.457255755945695</v>
      </c>
      <c r="AJ445">
        <v>88.447283690161498</v>
      </c>
      <c r="AK445">
        <v>25.893468613744499</v>
      </c>
      <c r="AL445">
        <v>72.856997980172395</v>
      </c>
      <c r="AM445">
        <v>93.594445303904195</v>
      </c>
      <c r="AN445">
        <v>1.0000000317128801</v>
      </c>
    </row>
    <row r="446" spans="1:40" x14ac:dyDescent="0.25">
      <c r="A446" t="str">
        <f>"20190304164603772"</f>
        <v>20190304164603772</v>
      </c>
      <c r="B446" t="str">
        <f>"1551689163768205"</f>
        <v>1551689163768205</v>
      </c>
      <c r="C446" t="s">
        <v>40</v>
      </c>
      <c r="D446">
        <v>3.6818770000000001</v>
      </c>
      <c r="E446">
        <v>0.54632799999999904</v>
      </c>
      <c r="F446" t="s">
        <v>42</v>
      </c>
      <c r="G446">
        <v>-322.03710000000001</v>
      </c>
      <c r="H446" s="1">
        <v>-3.8481989999999996E-6</v>
      </c>
      <c r="I446">
        <v>367.08049999999997</v>
      </c>
      <c r="J446">
        <v>-347.14350000000002</v>
      </c>
      <c r="K446">
        <v>1.1101289999999999</v>
      </c>
      <c r="L446">
        <v>367.63499999999999</v>
      </c>
      <c r="M446">
        <v>0.99994099999999997</v>
      </c>
      <c r="N446">
        <v>-1.000125E-2</v>
      </c>
      <c r="O446">
        <v>4.2456170000000001E-3</v>
      </c>
      <c r="P446">
        <v>0.95613599999999999</v>
      </c>
      <c r="Q446">
        <v>0.2855395</v>
      </c>
      <c r="R446">
        <v>6.5350920000000007E-2</v>
      </c>
      <c r="S446">
        <v>3.183014</v>
      </c>
      <c r="T446">
        <v>-0.13899</v>
      </c>
      <c r="U446">
        <v>-6.9244379999999994E-2</v>
      </c>
      <c r="V446">
        <v>-6.1245380000000002E-2</v>
      </c>
      <c r="W446">
        <v>0.29510019999999998</v>
      </c>
      <c r="X446">
        <v>0.95350140000000005</v>
      </c>
      <c r="Y446">
        <v>2.596103E-2</v>
      </c>
      <c r="Z446">
        <v>-8.3922839999999897E-4</v>
      </c>
      <c r="AA446">
        <v>0.99966259999999996</v>
      </c>
      <c r="AB446">
        <v>30</v>
      </c>
      <c r="AC446">
        <v>25.106400000000001</v>
      </c>
      <c r="AD446">
        <v>-1.110132848199</v>
      </c>
      <c r="AE446">
        <v>-0.55450000000001798</v>
      </c>
      <c r="AF446">
        <v>0.65980310123401498</v>
      </c>
      <c r="AG446">
        <v>-1.110132848199</v>
      </c>
      <c r="AH446">
        <v>25.054857163009</v>
      </c>
      <c r="AI446">
        <v>92.536129060924495</v>
      </c>
      <c r="AJ446">
        <v>88.491502169722907</v>
      </c>
      <c r="AK446">
        <v>25.088116759371001</v>
      </c>
      <c r="AL446">
        <v>72.836454495301595</v>
      </c>
      <c r="AM446">
        <v>93.675178448153105</v>
      </c>
      <c r="AN446">
        <v>1.0000000222066701</v>
      </c>
    </row>
    <row r="447" spans="1:40" x14ac:dyDescent="0.25">
      <c r="A447" t="str">
        <f>"20190304164603794"</f>
        <v>20190304164603794</v>
      </c>
      <c r="B447" t="str">
        <f>"1551689163788701"</f>
        <v>1551689163788701</v>
      </c>
      <c r="C447" t="s">
        <v>40</v>
      </c>
      <c r="D447">
        <v>3.7003409999999999</v>
      </c>
      <c r="E447">
        <v>0.54634329999999998</v>
      </c>
      <c r="F447" t="s">
        <v>42</v>
      </c>
      <c r="G447">
        <v>-321.66570000000002</v>
      </c>
      <c r="H447" s="1">
        <v>-4.0011209999999996E-6</v>
      </c>
      <c r="I447">
        <v>367.11660000000001</v>
      </c>
      <c r="J447">
        <v>-346.8365</v>
      </c>
      <c r="K447">
        <v>1.110096</v>
      </c>
      <c r="L447">
        <v>367.63619999999997</v>
      </c>
      <c r="M447">
        <v>0.99994209999999994</v>
      </c>
      <c r="N447">
        <v>-9.9409730000000005E-3</v>
      </c>
      <c r="O447">
        <v>4.1357490000000002E-3</v>
      </c>
      <c r="P447">
        <v>0.95615249999999996</v>
      </c>
      <c r="Q447">
        <v>0.28528369999999997</v>
      </c>
      <c r="R447">
        <v>6.6225709999999993E-2</v>
      </c>
      <c r="S447">
        <v>3.1834720000000001</v>
      </c>
      <c r="T447">
        <v>-0.13871169999999999</v>
      </c>
      <c r="U447">
        <v>-6.4758300000000005E-2</v>
      </c>
      <c r="V447">
        <v>-6.2206369999999997E-2</v>
      </c>
      <c r="W447">
        <v>0.29479090000000002</v>
      </c>
      <c r="X447">
        <v>0.95353480000000002</v>
      </c>
      <c r="Y447">
        <v>2.4441939999999999E-2</v>
      </c>
      <c r="Z447">
        <v>-7.9277229999999996E-4</v>
      </c>
      <c r="AA447">
        <v>0.99970099999999995</v>
      </c>
      <c r="AB447">
        <v>30</v>
      </c>
      <c r="AC447">
        <v>25.1707999999999</v>
      </c>
      <c r="AD447">
        <v>-1.110100001121</v>
      </c>
      <c r="AE447">
        <v>-0.51959999999996798</v>
      </c>
      <c r="AF447">
        <v>0.622490546229164</v>
      </c>
      <c r="AG447">
        <v>-1.110100001121</v>
      </c>
      <c r="AH447">
        <v>25.119597676283099</v>
      </c>
      <c r="AI447">
        <v>92.529626693097001</v>
      </c>
      <c r="AJ447">
        <v>88.580439727997501</v>
      </c>
      <c r="AK447">
        <v>25.151819097452201</v>
      </c>
      <c r="AL447">
        <v>72.855000062816003</v>
      </c>
      <c r="AM447">
        <v>93.732552846543996</v>
      </c>
      <c r="AN447">
        <v>0.99999996100121202</v>
      </c>
    </row>
    <row r="448" spans="1:40" x14ac:dyDescent="0.25">
      <c r="A448" t="str">
        <f>"20190304164603807"</f>
        <v>20190304164603807</v>
      </c>
      <c r="B448" t="str">
        <f>"1551689163798461"</f>
        <v>1551689163798461</v>
      </c>
      <c r="C448" t="s">
        <v>40</v>
      </c>
      <c r="D448">
        <v>3.6480959999999998</v>
      </c>
      <c r="E448">
        <v>0.54634769999999999</v>
      </c>
      <c r="F448" t="s">
        <v>42</v>
      </c>
      <c r="G448">
        <v>-321.78179999999998</v>
      </c>
      <c r="H448" s="1">
        <v>-3.9454439999999999E-6</v>
      </c>
      <c r="I448">
        <v>367.14980000000003</v>
      </c>
      <c r="J448">
        <v>-346.6619</v>
      </c>
      <c r="K448">
        <v>1.1100730000000001</v>
      </c>
      <c r="L448">
        <v>367.63679999999999</v>
      </c>
      <c r="M448">
        <v>0.99994269999999996</v>
      </c>
      <c r="N448">
        <v>-9.9107550000000003E-3</v>
      </c>
      <c r="O448">
        <v>4.0490090000000001E-3</v>
      </c>
      <c r="P448">
        <v>0.95614259999999995</v>
      </c>
      <c r="Q448">
        <v>0.28523850000000001</v>
      </c>
      <c r="R448">
        <v>6.6560460000000002E-2</v>
      </c>
      <c r="S448">
        <v>3.1839900000000001</v>
      </c>
      <c r="T448">
        <v>-0.14107229999999901</v>
      </c>
      <c r="U448">
        <v>-6.1798100000000002E-2</v>
      </c>
      <c r="V448">
        <v>-6.2610620000000006E-2</v>
      </c>
      <c r="W448">
        <v>0.29472019999999999</v>
      </c>
      <c r="X448">
        <v>0.95353030000000005</v>
      </c>
      <c r="Y448">
        <v>2.342313E-2</v>
      </c>
      <c r="Z448">
        <v>-7.7393669999999896E-4</v>
      </c>
      <c r="AA448">
        <v>0.99972530000000004</v>
      </c>
      <c r="AB448">
        <v>30</v>
      </c>
      <c r="AC448">
        <v>24.880099999999999</v>
      </c>
      <c r="AD448">
        <v>-1.11007694544399</v>
      </c>
      <c r="AE448">
        <v>-0.48699999999996602</v>
      </c>
      <c r="AF448">
        <v>0.586573469030367</v>
      </c>
      <c r="AG448">
        <v>-1.11007694544399</v>
      </c>
      <c r="AH448">
        <v>24.8285173100669</v>
      </c>
      <c r="AI448">
        <v>92.559262289099493</v>
      </c>
      <c r="AJ448">
        <v>88.646639542305493</v>
      </c>
      <c r="AK448">
        <v>24.8602415731559</v>
      </c>
      <c r="AL448">
        <v>72.859240949400899</v>
      </c>
      <c r="AM448">
        <v>93.756757397361696</v>
      </c>
      <c r="AN448">
        <v>1.00000005952145</v>
      </c>
    </row>
    <row r="449" spans="1:40" x14ac:dyDescent="0.25">
      <c r="A449" t="str">
        <f>"20190304164603820"</f>
        <v>20190304164603820</v>
      </c>
      <c r="B449" t="str">
        <f>"1551689163808221"</f>
        <v>1551689163808221</v>
      </c>
      <c r="C449" t="s">
        <v>40</v>
      </c>
      <c r="D449">
        <v>3.704393</v>
      </c>
      <c r="E449">
        <v>0.54639309999999996</v>
      </c>
      <c r="F449" t="s">
        <v>42</v>
      </c>
      <c r="G449">
        <v>-321.6404</v>
      </c>
      <c r="H449" s="1">
        <v>-4.0047080000000002E-6</v>
      </c>
      <c r="I449">
        <v>367.1576</v>
      </c>
      <c r="J449">
        <v>-346.48450000000003</v>
      </c>
      <c r="K449">
        <v>1.110047</v>
      </c>
      <c r="L449">
        <v>367.63749999999999</v>
      </c>
      <c r="M449">
        <v>0.99994340000000004</v>
      </c>
      <c r="N449">
        <v>-9.8817939999999993E-3</v>
      </c>
      <c r="O449">
        <v>3.9518890000000001E-3</v>
      </c>
      <c r="P449">
        <v>0.95607629999999999</v>
      </c>
      <c r="Q449">
        <v>0.28540520000000003</v>
      </c>
      <c r="R449">
        <v>6.6798499999999997E-2</v>
      </c>
      <c r="S449">
        <v>3.1839900000000001</v>
      </c>
      <c r="T449">
        <v>-0.141257299999999</v>
      </c>
      <c r="U449">
        <v>-6.097412E-2</v>
      </c>
      <c r="V449">
        <v>-6.2927860000000002E-2</v>
      </c>
      <c r="W449">
        <v>0.29486099999999998</v>
      </c>
      <c r="X449">
        <v>0.95346580000000003</v>
      </c>
      <c r="Y449">
        <v>2.3067830000000001E-2</v>
      </c>
      <c r="Z449">
        <v>-7.6164979999999896E-4</v>
      </c>
      <c r="AA449">
        <v>0.9997336</v>
      </c>
      <c r="AB449">
        <v>30</v>
      </c>
      <c r="AC449">
        <v>24.844100000000001</v>
      </c>
      <c r="AD449">
        <v>-1.1100510047079899</v>
      </c>
      <c r="AE449">
        <v>-0.479899999999986</v>
      </c>
      <c r="AF449">
        <v>0.57693083499914</v>
      </c>
      <c r="AG449">
        <v>-1.1100510047079899</v>
      </c>
      <c r="AH449">
        <v>24.792532961848199</v>
      </c>
      <c r="AI449">
        <v>92.562933360162802</v>
      </c>
      <c r="AJ449">
        <v>88.666947937452903</v>
      </c>
      <c r="AK449">
        <v>24.824076077182799</v>
      </c>
      <c r="AL449">
        <v>72.850797103770404</v>
      </c>
      <c r="AM449">
        <v>93.775992165650393</v>
      </c>
      <c r="AN449">
        <v>0.99999997832740894</v>
      </c>
    </row>
    <row r="450" spans="1:40" x14ac:dyDescent="0.25">
      <c r="A450" t="str">
        <f>"20190304164603838"</f>
        <v>20190304164603838</v>
      </c>
      <c r="B450" t="str">
        <f>"1551689163827741"</f>
        <v>1551689163827741</v>
      </c>
      <c r="C450" t="s">
        <v>40</v>
      </c>
      <c r="D450">
        <v>3.650325</v>
      </c>
      <c r="E450">
        <v>0.54642899999999905</v>
      </c>
      <c r="F450" t="s">
        <v>42</v>
      </c>
      <c r="G450">
        <v>-321.52319999999997</v>
      </c>
      <c r="H450" s="1">
        <v>-4.053984E-6</v>
      </c>
      <c r="I450">
        <v>367.16320000000002</v>
      </c>
      <c r="J450">
        <v>-346.24029999999999</v>
      </c>
      <c r="K450">
        <v>1.1100190000000001</v>
      </c>
      <c r="L450">
        <v>367.63819999999998</v>
      </c>
      <c r="M450">
        <v>0.99994439999999996</v>
      </c>
      <c r="N450">
        <v>-9.8455599999999997E-3</v>
      </c>
      <c r="O450">
        <v>3.797983E-3</v>
      </c>
      <c r="P450">
        <v>0.95601349999999996</v>
      </c>
      <c r="Q450">
        <v>0.28555770000000003</v>
      </c>
      <c r="R450">
        <v>6.7046610000000006E-2</v>
      </c>
      <c r="S450">
        <v>3.1843569999999999</v>
      </c>
      <c r="T450">
        <v>-0.14161070000000001</v>
      </c>
      <c r="U450">
        <v>-6.0485839999999999E-2</v>
      </c>
      <c r="V450">
        <v>-6.3305470000000003E-2</v>
      </c>
      <c r="W450">
        <v>0.29498259999999998</v>
      </c>
      <c r="X450">
        <v>0.95340320000000001</v>
      </c>
      <c r="Y450">
        <v>2.2758850000000001E-2</v>
      </c>
      <c r="Z450">
        <v>-7.4929909999999996E-4</v>
      </c>
      <c r="AA450">
        <v>0.99974070000000004</v>
      </c>
      <c r="AB450">
        <v>30</v>
      </c>
      <c r="AC450">
        <v>24.717099999999999</v>
      </c>
      <c r="AD450">
        <v>-1.1100230539839999</v>
      </c>
      <c r="AE450">
        <v>-0.47499999999996501</v>
      </c>
      <c r="AF450">
        <v>0.56773164733651904</v>
      </c>
      <c r="AG450">
        <v>-1.1100230539839999</v>
      </c>
      <c r="AH450">
        <v>24.665390088219301</v>
      </c>
      <c r="AI450">
        <v>92.576077057372501</v>
      </c>
      <c r="AJ450">
        <v>88.681436439292</v>
      </c>
      <c r="AK450">
        <v>24.696881151428599</v>
      </c>
      <c r="AL450">
        <v>72.843505815979498</v>
      </c>
      <c r="AM450">
        <v>93.798833232001698</v>
      </c>
      <c r="AN450">
        <v>0.99999998930246004</v>
      </c>
    </row>
    <row r="451" spans="1:40" x14ac:dyDescent="0.25">
      <c r="A451" t="str">
        <f>"20190304164603850"</f>
        <v>20190304164603850</v>
      </c>
      <c r="B451" t="str">
        <f>"1551689163838477"</f>
        <v>1551689163838477</v>
      </c>
      <c r="C451" t="s">
        <v>40</v>
      </c>
      <c r="D451">
        <v>3.699192</v>
      </c>
      <c r="E451">
        <v>0.54651559999999999</v>
      </c>
      <c r="F451" t="s">
        <v>42</v>
      </c>
      <c r="G451">
        <v>-321.16399999999999</v>
      </c>
      <c r="H451" s="1">
        <v>-4.2082910000000004E-6</v>
      </c>
      <c r="I451">
        <v>367.16210000000001</v>
      </c>
      <c r="J451">
        <v>-346.07409999999999</v>
      </c>
      <c r="K451">
        <v>1.1100000000000001</v>
      </c>
      <c r="L451">
        <v>367.6388</v>
      </c>
      <c r="M451">
        <v>0.99994499999999997</v>
      </c>
      <c r="N451">
        <v>-9.8231789999999996E-3</v>
      </c>
      <c r="O451">
        <v>3.6792209999999999E-3</v>
      </c>
      <c r="P451">
        <v>0.95597849999999995</v>
      </c>
      <c r="Q451">
        <v>0.2857575</v>
      </c>
      <c r="R451">
        <v>6.6692269999999998E-2</v>
      </c>
      <c r="S451">
        <v>3.184326</v>
      </c>
      <c r="T451">
        <v>-0.14095650000000001</v>
      </c>
      <c r="U451">
        <v>-6.045532E-2</v>
      </c>
      <c r="V451">
        <v>-6.3053109999999996E-2</v>
      </c>
      <c r="W451">
        <v>0.2951626</v>
      </c>
      <c r="X451">
        <v>0.95336419999999999</v>
      </c>
      <c r="Y451">
        <v>2.2631209999999999E-2</v>
      </c>
      <c r="Z451">
        <v>-7.3848269999999996E-4</v>
      </c>
      <c r="AA451">
        <v>0.99974359999999995</v>
      </c>
      <c r="AB451">
        <v>30</v>
      </c>
      <c r="AC451">
        <v>24.9101</v>
      </c>
      <c r="AD451">
        <v>-1.110004208291</v>
      </c>
      <c r="AE451">
        <v>-0.47669999999999302</v>
      </c>
      <c r="AF451">
        <v>0.56722507009547296</v>
      </c>
      <c r="AG451">
        <v>-1.110004208291</v>
      </c>
      <c r="AH451">
        <v>24.858835037436101</v>
      </c>
      <c r="AI451">
        <v>92.556025716424102</v>
      </c>
      <c r="AJ451">
        <v>88.692860549881303</v>
      </c>
      <c r="AK451">
        <v>24.890068964167799</v>
      </c>
      <c r="AL451">
        <v>72.832711751166997</v>
      </c>
      <c r="AM451">
        <v>93.783888030946699</v>
      </c>
      <c r="AN451">
        <v>0.99999997648053496</v>
      </c>
    </row>
    <row r="452" spans="1:40" x14ac:dyDescent="0.25">
      <c r="A452" t="str">
        <f>"20190304164603863"</f>
        <v>20190304164603863</v>
      </c>
      <c r="B452" t="str">
        <f>"1551689163857997"</f>
        <v>1551689163857997</v>
      </c>
      <c r="C452" t="s">
        <v>40</v>
      </c>
      <c r="D452">
        <v>3.6270959999999999</v>
      </c>
      <c r="E452">
        <v>0.54661470000000001</v>
      </c>
      <c r="F452" t="s">
        <v>42</v>
      </c>
      <c r="G452">
        <v>-320.98599999999999</v>
      </c>
      <c r="H452" s="1">
        <v>-4.2866240000000004E-6</v>
      </c>
      <c r="I452">
        <v>367.15089999999998</v>
      </c>
      <c r="J452">
        <v>-345.89769999999999</v>
      </c>
      <c r="K452">
        <v>1.1099779999999999</v>
      </c>
      <c r="L452">
        <v>367.63929999999999</v>
      </c>
      <c r="M452">
        <v>0.99994570000000005</v>
      </c>
      <c r="N452">
        <v>-9.8014780000000006E-3</v>
      </c>
      <c r="O452">
        <v>3.541336E-3</v>
      </c>
      <c r="P452">
        <v>0.95607909999999996</v>
      </c>
      <c r="Q452">
        <v>0.28556419999999999</v>
      </c>
      <c r="R452">
        <v>6.6077540000000004E-2</v>
      </c>
      <c r="S452">
        <v>3.1845699999999999</v>
      </c>
      <c r="T452">
        <v>-0.1408983</v>
      </c>
      <c r="U452">
        <v>-6.1920169999999997E-2</v>
      </c>
      <c r="V452">
        <v>-6.2558649999999993E-2</v>
      </c>
      <c r="W452">
        <v>0.29495209999999999</v>
      </c>
      <c r="X452">
        <v>0.95346189999999997</v>
      </c>
      <c r="Y452">
        <v>2.2951329999999999E-2</v>
      </c>
      <c r="Z452">
        <v>-7.4189130000000005E-4</v>
      </c>
      <c r="AA452">
        <v>0.99973630000000002</v>
      </c>
      <c r="AB452">
        <v>30</v>
      </c>
      <c r="AC452">
        <v>24.9117</v>
      </c>
      <c r="AD452">
        <v>-1.1099822866239999</v>
      </c>
      <c r="AE452">
        <v>-0.48840000000001199</v>
      </c>
      <c r="AF452">
        <v>0.57547981550251004</v>
      </c>
      <c r="AG452">
        <v>-1.1099822866239999</v>
      </c>
      <c r="AH452">
        <v>24.860477648571901</v>
      </c>
      <c r="AI452">
        <v>92.555787266752006</v>
      </c>
      <c r="AJ452">
        <v>88.673932272769207</v>
      </c>
      <c r="AK452">
        <v>24.891898011397501</v>
      </c>
      <c r="AL452">
        <v>72.845334197886302</v>
      </c>
      <c r="AM452">
        <v>93.753916527598903</v>
      </c>
      <c r="AN452">
        <v>0.99999996036792005</v>
      </c>
    </row>
    <row r="453" spans="1:40" x14ac:dyDescent="0.25">
      <c r="A453" t="str">
        <f>"20190304164603886"</f>
        <v>20190304164603886</v>
      </c>
      <c r="B453" t="str">
        <f>"1551689163878492"</f>
        <v>1551689163878492</v>
      </c>
      <c r="C453" t="s">
        <v>40</v>
      </c>
      <c r="D453">
        <v>3.6629900000000002</v>
      </c>
      <c r="E453">
        <v>0.54670549999999996</v>
      </c>
      <c r="F453" t="s">
        <v>42</v>
      </c>
      <c r="G453">
        <v>-320.85640000000001</v>
      </c>
      <c r="H453" s="1">
        <v>-4.3456859999999998E-6</v>
      </c>
      <c r="I453">
        <v>367.13139999999999</v>
      </c>
      <c r="J453">
        <v>-345.59660000000002</v>
      </c>
      <c r="K453">
        <v>1.109953</v>
      </c>
      <c r="L453">
        <v>367.64010000000002</v>
      </c>
      <c r="M453">
        <v>0.99994680000000002</v>
      </c>
      <c r="N453">
        <v>-9.7681810000000008E-3</v>
      </c>
      <c r="O453">
        <v>3.2872629999999999E-3</v>
      </c>
      <c r="P453">
        <v>0.95622490000000004</v>
      </c>
      <c r="Q453">
        <v>0.28536869999999998</v>
      </c>
      <c r="R453">
        <v>6.4796000000000006E-2</v>
      </c>
      <c r="S453">
        <v>3.1844480000000002</v>
      </c>
      <c r="T453">
        <v>-0.14115329999999901</v>
      </c>
      <c r="U453">
        <v>-6.4575199999999999E-2</v>
      </c>
      <c r="V453">
        <v>-6.150373E-2</v>
      </c>
      <c r="W453">
        <v>0.29472890000000002</v>
      </c>
      <c r="X453">
        <v>0.95359959999999999</v>
      </c>
      <c r="Y453">
        <v>2.353061E-2</v>
      </c>
      <c r="Z453">
        <v>-7.4973629999999997E-4</v>
      </c>
      <c r="AA453">
        <v>0.99972280000000002</v>
      </c>
      <c r="AB453">
        <v>31</v>
      </c>
      <c r="AC453">
        <v>24.740200000000002</v>
      </c>
      <c r="AD453">
        <v>-1.1099573456859999</v>
      </c>
      <c r="AE453">
        <v>-0.50870000000003202</v>
      </c>
      <c r="AF453">
        <v>0.58884394331337897</v>
      </c>
      <c r="AG453">
        <v>-1.1099573456859999</v>
      </c>
      <c r="AH453">
        <v>24.6887209128991</v>
      </c>
      <c r="AI453">
        <v>92.573443633993804</v>
      </c>
      <c r="AJ453">
        <v>88.633713037391303</v>
      </c>
      <c r="AK453">
        <v>24.720673186906598</v>
      </c>
      <c r="AL453">
        <v>72.858718522858695</v>
      </c>
      <c r="AM453">
        <v>93.690259607668594</v>
      </c>
      <c r="AN453">
        <v>1.00000001520964</v>
      </c>
    </row>
    <row r="454" spans="1:40" x14ac:dyDescent="0.25">
      <c r="A454" t="str">
        <f>"20190304164603907"</f>
        <v>20190304164603907</v>
      </c>
      <c r="B454" t="str">
        <f>"1551689163898014"</f>
        <v>1551689163898014</v>
      </c>
      <c r="C454" t="s">
        <v>40</v>
      </c>
      <c r="D454">
        <v>3.6360299999999999</v>
      </c>
      <c r="E454">
        <v>0.54687369999999902</v>
      </c>
      <c r="F454" t="s">
        <v>42</v>
      </c>
      <c r="G454">
        <v>-320.68079999999998</v>
      </c>
      <c r="H454" s="1">
        <v>-4.4259710000000003E-6</v>
      </c>
      <c r="I454">
        <v>367.1035</v>
      </c>
      <c r="J454">
        <v>-345.29090000000002</v>
      </c>
      <c r="K454">
        <v>1.109931</v>
      </c>
      <c r="L454">
        <v>367.64080000000001</v>
      </c>
      <c r="M454">
        <v>0.99994819999999995</v>
      </c>
      <c r="N454">
        <v>-9.7391509999999997E-3</v>
      </c>
      <c r="O454">
        <v>3.0103560000000001E-3</v>
      </c>
      <c r="P454">
        <v>0.95640899999999995</v>
      </c>
      <c r="Q454">
        <v>0.28527609999999998</v>
      </c>
      <c r="R454">
        <v>6.2447160000000002E-2</v>
      </c>
      <c r="S454">
        <v>3.1842959999999998</v>
      </c>
      <c r="T454">
        <v>-0.14185449999999999</v>
      </c>
      <c r="U454">
        <v>-6.8572999999999995E-2</v>
      </c>
      <c r="V454">
        <v>-5.9407790000000002E-2</v>
      </c>
      <c r="W454">
        <v>0.29461130000000002</v>
      </c>
      <c r="X454">
        <v>0.95376879999999997</v>
      </c>
      <c r="Y454">
        <v>2.4508019999999998E-2</v>
      </c>
      <c r="Z454">
        <v>-7.6971299999999999E-4</v>
      </c>
      <c r="AA454">
        <v>0.99969940000000002</v>
      </c>
      <c r="AB454">
        <v>31</v>
      </c>
      <c r="AC454">
        <v>24.610099999999999</v>
      </c>
      <c r="AD454">
        <v>-1.1099354259709999</v>
      </c>
      <c r="AE454">
        <v>-0.53730000000001599</v>
      </c>
      <c r="AF454">
        <v>0.61014573369006397</v>
      </c>
      <c r="AG454">
        <v>-1.1099354259709999</v>
      </c>
      <c r="AH454">
        <v>24.5584408297997</v>
      </c>
      <c r="AI454">
        <v>92.586963494105802</v>
      </c>
      <c r="AJ454">
        <v>88.576799500786606</v>
      </c>
      <c r="AK454">
        <v>24.591080709414499</v>
      </c>
      <c r="AL454">
        <v>72.865769553917005</v>
      </c>
      <c r="AM454">
        <v>93.564201202085101</v>
      </c>
      <c r="AN454">
        <v>1.0000000137269001</v>
      </c>
    </row>
    <row r="455" spans="1:40" x14ac:dyDescent="0.25">
      <c r="A455" t="str">
        <f>"20190304164603939"</f>
        <v>20190304164603939</v>
      </c>
      <c r="B455" t="str">
        <f>"1551689163928268"</f>
        <v>1551689163928268</v>
      </c>
      <c r="C455" t="s">
        <v>40</v>
      </c>
      <c r="D455">
        <v>3.6649080000000001</v>
      </c>
      <c r="E455">
        <v>0.54703630000000003</v>
      </c>
      <c r="F455" t="s">
        <v>42</v>
      </c>
      <c r="G455">
        <v>-320.61720000000003</v>
      </c>
      <c r="H455" s="1">
        <v>-4.4629850000000001E-6</v>
      </c>
      <c r="I455">
        <v>367.0487</v>
      </c>
      <c r="J455">
        <v>-344.86709999999999</v>
      </c>
      <c r="K455">
        <v>1.109917</v>
      </c>
      <c r="L455">
        <v>367.64170000000001</v>
      </c>
      <c r="M455">
        <v>0.99994950000000005</v>
      </c>
      <c r="N455">
        <v>-9.7059580000000006E-3</v>
      </c>
      <c r="O455">
        <v>2.6107249999999999E-3</v>
      </c>
      <c r="P455">
        <v>0.95647170000000004</v>
      </c>
      <c r="Q455">
        <v>0.28561569999999997</v>
      </c>
      <c r="R455">
        <v>5.9880379999999997E-2</v>
      </c>
      <c r="S455">
        <v>3.184418</v>
      </c>
      <c r="T455">
        <v>-0.1432494</v>
      </c>
      <c r="U455">
        <v>-7.6416020000000001E-2</v>
      </c>
      <c r="V455">
        <v>-5.7213470000000002E-2</v>
      </c>
      <c r="W455">
        <v>0.29492030000000002</v>
      </c>
      <c r="X455">
        <v>0.95380750000000003</v>
      </c>
      <c r="Y455">
        <v>2.6565689999999999E-2</v>
      </c>
      <c r="Z455">
        <v>-8.1819800000000002E-4</v>
      </c>
      <c r="AA455">
        <v>0.9996467</v>
      </c>
      <c r="AB455">
        <v>31</v>
      </c>
      <c r="AC455">
        <v>24.249899999999901</v>
      </c>
      <c r="AD455">
        <v>-1.1099214629850001</v>
      </c>
      <c r="AE455">
        <v>-0.59300000000001696</v>
      </c>
      <c r="AF455">
        <v>0.65493956356548899</v>
      </c>
      <c r="AG455">
        <v>-1.1099214629850001</v>
      </c>
      <c r="AH455">
        <v>24.197607691789099</v>
      </c>
      <c r="AI455">
        <v>92.625302482334803</v>
      </c>
      <c r="AJ455">
        <v>88.449594114545107</v>
      </c>
      <c r="AK455">
        <v>24.2319023085612</v>
      </c>
      <c r="AL455">
        <v>72.847242712526494</v>
      </c>
      <c r="AM455">
        <v>93.432733732033199</v>
      </c>
      <c r="AN455">
        <v>1.00000005577888</v>
      </c>
    </row>
    <row r="456" spans="1:40" x14ac:dyDescent="0.25">
      <c r="A456" t="str">
        <f>"20190304164603961"</f>
        <v>20190304164603961</v>
      </c>
      <c r="B456" t="str">
        <f>"1551689163947788"</f>
        <v>1551689163947788</v>
      </c>
      <c r="C456" t="s">
        <v>40</v>
      </c>
      <c r="D456">
        <v>3.6338680000000001</v>
      </c>
      <c r="E456">
        <v>0.54714269999999998</v>
      </c>
      <c r="F456" t="s">
        <v>42</v>
      </c>
      <c r="G456">
        <v>-320.06610000000001</v>
      </c>
      <c r="H456" s="1">
        <v>-4.7143729999999996E-6</v>
      </c>
      <c r="I456">
        <v>366.96420000000001</v>
      </c>
      <c r="J456">
        <v>-344.56229999999999</v>
      </c>
      <c r="K456">
        <v>1.109918</v>
      </c>
      <c r="L456">
        <v>367.6422</v>
      </c>
      <c r="M456">
        <v>0.99995049999999996</v>
      </c>
      <c r="N456">
        <v>-9.686643E-3</v>
      </c>
      <c r="O456">
        <v>2.3192989999999999E-3</v>
      </c>
      <c r="P456">
        <v>0.95649669999999998</v>
      </c>
      <c r="Q456">
        <v>0.28578530000000002</v>
      </c>
      <c r="R456">
        <v>5.8659129999999997E-2</v>
      </c>
      <c r="S456">
        <v>3.1845400000000001</v>
      </c>
      <c r="T456">
        <v>-0.1425177</v>
      </c>
      <c r="U456">
        <v>-8.69751E-2</v>
      </c>
      <c r="V456">
        <v>-5.6267409999999997E-2</v>
      </c>
      <c r="W456">
        <v>0.29507149999999999</v>
      </c>
      <c r="X456">
        <v>0.95381700000000003</v>
      </c>
      <c r="Y456">
        <v>2.9582529999999999E-2</v>
      </c>
      <c r="Z456">
        <v>-8.8616569999999998E-4</v>
      </c>
      <c r="AA456">
        <v>0.99956199999999995</v>
      </c>
      <c r="AB456">
        <v>31</v>
      </c>
      <c r="AC456">
        <v>24.496199999999899</v>
      </c>
      <c r="AD456">
        <v>-1.1099227143729999</v>
      </c>
      <c r="AE456">
        <v>-0.67799999999999705</v>
      </c>
      <c r="AF456">
        <v>0.733310517130489</v>
      </c>
      <c r="AG456">
        <v>-1.1099227143729999</v>
      </c>
      <c r="AH456">
        <v>24.444415685399498</v>
      </c>
      <c r="AI456">
        <v>92.598618047784996</v>
      </c>
      <c r="AJ456">
        <v>88.281693409185493</v>
      </c>
      <c r="AK456">
        <v>24.4805868178649</v>
      </c>
      <c r="AL456">
        <v>72.838175844033501</v>
      </c>
      <c r="AM456">
        <v>93.3760702116396</v>
      </c>
      <c r="AN456">
        <v>1.0000000405146701</v>
      </c>
    </row>
    <row r="457" spans="1:40" x14ac:dyDescent="0.25">
      <c r="A457" t="str">
        <f>"20190304164603983"</f>
        <v>20190304164603983</v>
      </c>
      <c r="B457" t="str">
        <f>"1551689163978044"</f>
        <v>1551689163978044</v>
      </c>
      <c r="C457" t="s">
        <v>40</v>
      </c>
      <c r="D457">
        <v>3.8247019999999998</v>
      </c>
      <c r="E457">
        <v>0.56624140000000001</v>
      </c>
      <c r="F457" t="s">
        <v>43</v>
      </c>
      <c r="G457">
        <v>-318.50709999999998</v>
      </c>
      <c r="H457">
        <v>-0.05</v>
      </c>
      <c r="I457">
        <v>366.88740000000001</v>
      </c>
      <c r="J457">
        <v>-344.24259999999998</v>
      </c>
      <c r="K457">
        <v>1.1099159999999999</v>
      </c>
      <c r="L457">
        <v>367.64260000000002</v>
      </c>
      <c r="M457">
        <v>0.99995129999999999</v>
      </c>
      <c r="N457">
        <v>-9.6697429999999997E-3</v>
      </c>
      <c r="O457">
        <v>2.0151800000000001E-3</v>
      </c>
      <c r="P457">
        <v>0.95622609999999997</v>
      </c>
      <c r="Q457">
        <v>0.2868619</v>
      </c>
      <c r="R457">
        <v>5.7813570000000002E-2</v>
      </c>
      <c r="S457">
        <v>3.1844480000000002</v>
      </c>
      <c r="T457">
        <v>-0.1417649</v>
      </c>
      <c r="U457">
        <v>-9.2254639999999999E-2</v>
      </c>
      <c r="V457">
        <v>-5.5709799999999997E-2</v>
      </c>
      <c r="W457">
        <v>0.2961297</v>
      </c>
      <c r="X457">
        <v>0.95352170000000003</v>
      </c>
      <c r="Y457">
        <v>3.0934099999999999E-2</v>
      </c>
      <c r="Z457">
        <v>-9.0793649999999998E-4</v>
      </c>
      <c r="AA457">
        <v>0.99952099999999999</v>
      </c>
      <c r="AB457">
        <v>31</v>
      </c>
      <c r="AC457">
        <v>25.735499999999998</v>
      </c>
      <c r="AD457">
        <v>-1.1599159999999999</v>
      </c>
      <c r="AE457">
        <v>-0.75520000000000198</v>
      </c>
      <c r="AF457">
        <v>0.80542784194044204</v>
      </c>
      <c r="AG457">
        <v>-1.1599159999999999</v>
      </c>
      <c r="AH457">
        <v>25.681801589551799</v>
      </c>
      <c r="AI457">
        <v>92.584731652912595</v>
      </c>
      <c r="AJ457">
        <v>88.203689289207304</v>
      </c>
      <c r="AK457">
        <v>25.720595872194199</v>
      </c>
      <c r="AL457">
        <v>72.7747086278236</v>
      </c>
      <c r="AM457">
        <v>93.343722464332203</v>
      </c>
      <c r="AN457">
        <v>1.0000000067045101</v>
      </c>
    </row>
    <row r="458" spans="1:40" x14ac:dyDescent="0.25">
      <c r="A458" t="str">
        <f>"20190304164604006"</f>
        <v>20190304164604006</v>
      </c>
      <c r="B458" t="str">
        <f>"1551689163998540"</f>
        <v>1551689163998540</v>
      </c>
      <c r="C458" t="s">
        <v>40</v>
      </c>
      <c r="D458">
        <v>3.8120530000000001</v>
      </c>
      <c r="E458">
        <v>0.56049340000000003</v>
      </c>
      <c r="F458" t="s">
        <v>41</v>
      </c>
      <c r="G458">
        <v>-343.40570000000002</v>
      </c>
      <c r="H458">
        <v>0.97490750000000004</v>
      </c>
      <c r="I458">
        <v>367.59089999999998</v>
      </c>
      <c r="J458">
        <v>-343.93509999999998</v>
      </c>
      <c r="K458">
        <v>1.1099110000000001</v>
      </c>
      <c r="L458">
        <v>367.64299999999997</v>
      </c>
      <c r="M458">
        <v>0.99995199999999995</v>
      </c>
      <c r="N458">
        <v>-9.6590670000000003E-3</v>
      </c>
      <c r="O458">
        <v>1.7245159999999999E-3</v>
      </c>
      <c r="P458">
        <v>0.95612399999999997</v>
      </c>
      <c r="Q458">
        <v>0.28731849999999998</v>
      </c>
      <c r="R458">
        <v>5.7226579999999999E-2</v>
      </c>
      <c r="S458">
        <v>3.3098450000000001</v>
      </c>
      <c r="T458">
        <v>-0.53402910000000003</v>
      </c>
      <c r="U458">
        <v>-0.2035217</v>
      </c>
      <c r="V458">
        <v>-5.5398540000000003E-2</v>
      </c>
      <c r="W458">
        <v>0.29657460000000002</v>
      </c>
      <c r="X458">
        <v>0.95340159999999996</v>
      </c>
      <c r="Y458">
        <v>6.2225000000000003E-2</v>
      </c>
      <c r="Z458">
        <v>-5.54551E-3</v>
      </c>
      <c r="AA458">
        <v>0.99804680000000001</v>
      </c>
      <c r="AB458">
        <v>31</v>
      </c>
      <c r="AC458">
        <v>0.52939999999995202</v>
      </c>
      <c r="AD458">
        <v>-0.1350035</v>
      </c>
      <c r="AE458">
        <v>-5.2100000000052597E-2</v>
      </c>
      <c r="AF458">
        <v>4.98051033448835E-2</v>
      </c>
      <c r="AG458">
        <v>-0.1350035</v>
      </c>
      <c r="AH458">
        <v>0.49728076797195903</v>
      </c>
      <c r="AI458">
        <v>105.11662331530501</v>
      </c>
      <c r="AJ458">
        <v>84.280620009424098</v>
      </c>
      <c r="AK458">
        <v>0.51768200232017503</v>
      </c>
      <c r="AL458">
        <v>72.748019586953106</v>
      </c>
      <c r="AM458">
        <v>93.325500481605204</v>
      </c>
      <c r="AN458">
        <v>1.00000005124092</v>
      </c>
    </row>
    <row r="459" spans="1:40" x14ac:dyDescent="0.25">
      <c r="A459" t="str">
        <f>"20190304164604027"</f>
        <v>20190304164604027</v>
      </c>
      <c r="B459" t="str">
        <f>"1551689164018061"</f>
        <v>1551689164018061</v>
      </c>
      <c r="C459" t="s">
        <v>40</v>
      </c>
      <c r="D459">
        <v>3.767617</v>
      </c>
      <c r="E459">
        <v>0.55861629999999995</v>
      </c>
      <c r="F459" t="s">
        <v>41</v>
      </c>
      <c r="G459">
        <v>-343.17619999999999</v>
      </c>
      <c r="H459">
        <v>0.87083820000000001</v>
      </c>
      <c r="I459">
        <v>367.62169999999998</v>
      </c>
      <c r="J459">
        <v>-343.63959999999997</v>
      </c>
      <c r="K459">
        <v>1.109907</v>
      </c>
      <c r="L459">
        <v>367.64319999999998</v>
      </c>
      <c r="M459">
        <v>0.99995250000000002</v>
      </c>
      <c r="N459">
        <v>-9.6555410000000001E-3</v>
      </c>
      <c r="O459">
        <v>1.447769E-3</v>
      </c>
      <c r="P459">
        <v>0.95596130000000001</v>
      </c>
      <c r="Q459">
        <v>0.28774559999999999</v>
      </c>
      <c r="R459">
        <v>5.7799580000000003E-2</v>
      </c>
      <c r="S459">
        <v>3.4719850000000001</v>
      </c>
      <c r="T459">
        <v>-1.0937220000000001</v>
      </c>
      <c r="U459">
        <v>-9.4848630000000003E-2</v>
      </c>
      <c r="V459">
        <v>-5.6234989999999999E-2</v>
      </c>
      <c r="W459">
        <v>0.29699759999999997</v>
      </c>
      <c r="X459">
        <v>0.95322090000000004</v>
      </c>
      <c r="Y459">
        <v>2.732422E-2</v>
      </c>
      <c r="Z459">
        <v>-4.7679489999999996E-3</v>
      </c>
      <c r="AA459">
        <v>0.99961529999999998</v>
      </c>
      <c r="AB459">
        <v>31</v>
      </c>
      <c r="AC459">
        <v>0.463399999999978</v>
      </c>
      <c r="AD459">
        <v>-0.2390688</v>
      </c>
      <c r="AE459">
        <v>-2.15000000000031E-2</v>
      </c>
      <c r="AF459">
        <v>1.75183365702536E-2</v>
      </c>
      <c r="AG459">
        <v>-0.2390688</v>
      </c>
      <c r="AH459">
        <v>0.36613044966956998</v>
      </c>
      <c r="AI459">
        <v>123.112976042344</v>
      </c>
      <c r="AJ459">
        <v>87.260643475472506</v>
      </c>
      <c r="AK459">
        <v>0.43762117113420201</v>
      </c>
      <c r="AL459">
        <v>72.722639347062596</v>
      </c>
      <c r="AM459">
        <v>93.376234636434404</v>
      </c>
      <c r="AN459">
        <v>1.00000001635143</v>
      </c>
    </row>
    <row r="460" spans="1:40" x14ac:dyDescent="0.25">
      <c r="A460" t="str">
        <f>"20190304164604050"</f>
        <v>20190304164604050</v>
      </c>
      <c r="B460" t="str">
        <f>"1551689164048316"</f>
        <v>1551689164048316</v>
      </c>
      <c r="C460" t="s">
        <v>40</v>
      </c>
      <c r="D460">
        <v>3.5995059999999999</v>
      </c>
      <c r="E460">
        <v>0.56049280000000001</v>
      </c>
      <c r="F460" t="s">
        <v>41</v>
      </c>
      <c r="G460">
        <v>-342.8999</v>
      </c>
      <c r="H460">
        <v>0.87018680000000004</v>
      </c>
      <c r="I460">
        <v>367.62790000000001</v>
      </c>
      <c r="J460">
        <v>-343.33010000000002</v>
      </c>
      <c r="K460">
        <v>1.109907</v>
      </c>
      <c r="L460">
        <v>367.64330000000001</v>
      </c>
      <c r="M460">
        <v>0.99995290000000003</v>
      </c>
      <c r="N460">
        <v>-9.6558129999999992E-3</v>
      </c>
      <c r="O460">
        <v>1.159799E-3</v>
      </c>
      <c r="P460">
        <v>0.95570500000000003</v>
      </c>
      <c r="Q460">
        <v>0.2884603</v>
      </c>
      <c r="R460">
        <v>5.8472280000000001E-2</v>
      </c>
      <c r="S460">
        <v>3.482208</v>
      </c>
      <c r="T460">
        <v>-1.1284730000000001</v>
      </c>
      <c r="U460">
        <v>-7.1411130000000003E-2</v>
      </c>
      <c r="V460">
        <v>-5.7181160000000002E-2</v>
      </c>
      <c r="W460">
        <v>0.29771110000000001</v>
      </c>
      <c r="X460">
        <v>0.95294199999999996</v>
      </c>
      <c r="Y460">
        <v>2.052354E-2</v>
      </c>
      <c r="Z460">
        <v>-3.6993500000000001E-3</v>
      </c>
      <c r="AA460">
        <v>0.99978250000000002</v>
      </c>
      <c r="AB460">
        <v>31</v>
      </c>
      <c r="AC460">
        <v>0.43020000000001302</v>
      </c>
      <c r="AD460">
        <v>-0.239720199999999</v>
      </c>
      <c r="AE460">
        <v>-1.53999999999996E-2</v>
      </c>
      <c r="AF460">
        <v>1.21356134788029E-2</v>
      </c>
      <c r="AG460">
        <v>-0.239720199999999</v>
      </c>
      <c r="AH460">
        <v>0.32835614341274699</v>
      </c>
      <c r="AI460">
        <v>126.11312416150299</v>
      </c>
      <c r="AJ460">
        <v>87.883386323204505</v>
      </c>
      <c r="AK460">
        <v>0.40673185800898298</v>
      </c>
      <c r="AL460">
        <v>72.679822122435993</v>
      </c>
      <c r="AM460">
        <v>93.433908342332003</v>
      </c>
      <c r="AN460">
        <v>1.0000000197430701</v>
      </c>
    </row>
    <row r="461" spans="1:40" x14ac:dyDescent="0.25">
      <c r="A461" t="str">
        <f>"20190304164604073"</f>
        <v>20190304164604073</v>
      </c>
      <c r="B461" t="str">
        <f>"1551689164067838"</f>
        <v>1551689164067838</v>
      </c>
      <c r="C461" t="s">
        <v>40</v>
      </c>
      <c r="D461">
        <v>3.744078</v>
      </c>
      <c r="E461">
        <v>0.5618805</v>
      </c>
      <c r="F461" t="s">
        <v>41</v>
      </c>
      <c r="G461">
        <v>-342.6164</v>
      </c>
      <c r="H461">
        <v>0.88684339999999995</v>
      </c>
      <c r="I461">
        <v>367.62479999999999</v>
      </c>
      <c r="J461">
        <v>-343.0138</v>
      </c>
      <c r="K461">
        <v>1.1099019999999999</v>
      </c>
      <c r="L461">
        <v>367.64339999999999</v>
      </c>
      <c r="M461">
        <v>0.99995310000000004</v>
      </c>
      <c r="N461">
        <v>-9.6579209999999999E-3</v>
      </c>
      <c r="O461">
        <v>8.662826E-4</v>
      </c>
      <c r="P461">
        <v>0.95570219999999995</v>
      </c>
      <c r="Q461">
        <v>0.28846349999999998</v>
      </c>
      <c r="R461">
        <v>5.8499620000000002E-2</v>
      </c>
      <c r="S461">
        <v>3.471924</v>
      </c>
      <c r="T461">
        <v>-1.084978</v>
      </c>
      <c r="U461">
        <v>-8.8287350000000001E-2</v>
      </c>
      <c r="V461">
        <v>-5.7488240000000003E-2</v>
      </c>
      <c r="W461">
        <v>0.2977166</v>
      </c>
      <c r="X461">
        <v>0.95292180000000004</v>
      </c>
      <c r="Y461">
        <v>2.5016989999999999E-2</v>
      </c>
      <c r="Z461">
        <v>-4.1972210000000001E-3</v>
      </c>
      <c r="AA461">
        <v>0.99967819999999996</v>
      </c>
      <c r="AB461">
        <v>31</v>
      </c>
      <c r="AC461">
        <v>0.39740000000000397</v>
      </c>
      <c r="AD461">
        <v>-0.223058599999999</v>
      </c>
      <c r="AE461">
        <v>-1.8599999999992099E-2</v>
      </c>
      <c r="AF461">
        <v>1.4413267119774999E-2</v>
      </c>
      <c r="AG461">
        <v>-0.223058599999999</v>
      </c>
      <c r="AH461">
        <v>0.30233933701481702</v>
      </c>
      <c r="AI461">
        <v>126.387939167046</v>
      </c>
      <c r="AJ461">
        <v>87.270634278007606</v>
      </c>
      <c r="AK461">
        <v>0.37599462231471498</v>
      </c>
      <c r="AL461">
        <v>72.679491930020205</v>
      </c>
      <c r="AM461">
        <v>93.452377982845604</v>
      </c>
      <c r="AN461">
        <v>1.00000001428454</v>
      </c>
    </row>
    <row r="462" spans="1:40" x14ac:dyDescent="0.25">
      <c r="A462" t="str">
        <f>"20190304164604097"</f>
        <v>20190304164604097</v>
      </c>
      <c r="B462" t="str">
        <f>"1551689164088334"</f>
        <v>1551689164088334</v>
      </c>
      <c r="C462" t="s">
        <v>40</v>
      </c>
      <c r="D462">
        <v>3.7911459999999999</v>
      </c>
      <c r="E462">
        <v>0.56174369999999996</v>
      </c>
      <c r="F462" t="s">
        <v>41</v>
      </c>
      <c r="G462">
        <v>-342.3329</v>
      </c>
      <c r="H462">
        <v>0.9021207</v>
      </c>
      <c r="I462">
        <v>367.62329999999997</v>
      </c>
      <c r="J462">
        <v>-342.68130000000002</v>
      </c>
      <c r="K462">
        <v>1.1099030000000001</v>
      </c>
      <c r="L462">
        <v>367.64339999999999</v>
      </c>
      <c r="M462">
        <v>0.99995319999999999</v>
      </c>
      <c r="N462">
        <v>-9.6615369999999996E-3</v>
      </c>
      <c r="O462">
        <v>5.585195E-4</v>
      </c>
      <c r="P462">
        <v>0.95577100000000004</v>
      </c>
      <c r="Q462">
        <v>0.28823520000000002</v>
      </c>
      <c r="R462">
        <v>5.8501060000000001E-2</v>
      </c>
      <c r="S462">
        <v>3.4643250000000001</v>
      </c>
      <c r="T462">
        <v>-1.0570440000000001</v>
      </c>
      <c r="U462">
        <v>-0.1011658</v>
      </c>
      <c r="V462">
        <v>-5.7783269999999998E-2</v>
      </c>
      <c r="W462">
        <v>0.29749209999999998</v>
      </c>
      <c r="X462">
        <v>0.95297410000000005</v>
      </c>
      <c r="Y462">
        <v>2.8390309999999998E-2</v>
      </c>
      <c r="Z462">
        <v>-4.5356900000000002E-3</v>
      </c>
      <c r="AA462">
        <v>0.99958659999999999</v>
      </c>
      <c r="AB462">
        <v>31</v>
      </c>
      <c r="AC462">
        <v>0.34840000000002602</v>
      </c>
      <c r="AD462">
        <v>-0.2077823</v>
      </c>
      <c r="AE462">
        <v>-2.0100000000013499E-2</v>
      </c>
      <c r="AF462">
        <v>1.4983075880795799E-2</v>
      </c>
      <c r="AG462">
        <v>-0.2077823</v>
      </c>
      <c r="AH462">
        <v>0.257208130220627</v>
      </c>
      <c r="AI462">
        <v>128.88513635434299</v>
      </c>
      <c r="AJ462">
        <v>86.666132021057194</v>
      </c>
      <c r="AK462">
        <v>0.330989424314027</v>
      </c>
      <c r="AL462">
        <v>72.692965879622406</v>
      </c>
      <c r="AM462">
        <v>93.469862450413501</v>
      </c>
      <c r="AN462">
        <v>1.00000004556255</v>
      </c>
    </row>
    <row r="463" spans="1:40" x14ac:dyDescent="0.25">
      <c r="A463" t="str">
        <f>"20190304164604117"</f>
        <v>20190304164604117</v>
      </c>
      <c r="B463" t="str">
        <f>"1551689164107899"</f>
        <v>1551689164107899</v>
      </c>
      <c r="C463" t="s">
        <v>40</v>
      </c>
      <c r="D463">
        <v>3.817043</v>
      </c>
      <c r="E463">
        <v>0.56152809999999997</v>
      </c>
      <c r="F463" t="s">
        <v>41</v>
      </c>
      <c r="G463">
        <v>-341.80380000000002</v>
      </c>
      <c r="H463">
        <v>0.84157870000000001</v>
      </c>
      <c r="I463">
        <v>367.61779999999999</v>
      </c>
      <c r="J463">
        <v>-342.39060000000001</v>
      </c>
      <c r="K463">
        <v>1.109901</v>
      </c>
      <c r="L463">
        <v>367.64319999999998</v>
      </c>
      <c r="M463">
        <v>0.99995330000000004</v>
      </c>
      <c r="N463">
        <v>-9.6655560000000005E-3</v>
      </c>
      <c r="O463">
        <v>2.8896530000000002E-4</v>
      </c>
      <c r="P463">
        <v>0.95592239999999995</v>
      </c>
      <c r="Q463">
        <v>0.28781230000000002</v>
      </c>
      <c r="R463">
        <v>5.8107859999999997E-2</v>
      </c>
      <c r="S463">
        <v>3.4644170000000001</v>
      </c>
      <c r="T463">
        <v>-1.059353</v>
      </c>
      <c r="U463">
        <v>-9.9639889999999995E-2</v>
      </c>
      <c r="V463">
        <v>-5.7646620000000003E-2</v>
      </c>
      <c r="W463">
        <v>0.29707460000000002</v>
      </c>
      <c r="X463">
        <v>0.95311250000000003</v>
      </c>
      <c r="Y463">
        <v>2.7717780000000001E-2</v>
      </c>
      <c r="Z463">
        <v>-4.3630129999999998E-3</v>
      </c>
      <c r="AA463">
        <v>0.99960629999999995</v>
      </c>
      <c r="AB463">
        <v>31</v>
      </c>
      <c r="AC463">
        <v>0.586799999999982</v>
      </c>
      <c r="AD463">
        <v>-0.26832230000000001</v>
      </c>
      <c r="AE463">
        <v>-2.53999999999905E-2</v>
      </c>
      <c r="AF463">
        <v>2.1154622975345198E-2</v>
      </c>
      <c r="AG463">
        <v>-0.26832230000000001</v>
      </c>
      <c r="AH463">
        <v>0.48547457572455099</v>
      </c>
      <c r="AI463">
        <v>118.90647202899299</v>
      </c>
      <c r="AJ463">
        <v>87.504906765369896</v>
      </c>
      <c r="AK463">
        <v>0.555094531071467</v>
      </c>
      <c r="AL463">
        <v>72.718017754354094</v>
      </c>
      <c r="AM463">
        <v>93.461175207431594</v>
      </c>
      <c r="AN463">
        <v>0.99999994420941496</v>
      </c>
    </row>
    <row r="464" spans="1:40" x14ac:dyDescent="0.25">
      <c r="A464" t="str">
        <f>"20190304164604140"</f>
        <v>20190304164604140</v>
      </c>
      <c r="B464" t="str">
        <f>"1551689164128395"</f>
        <v>1551689164128395</v>
      </c>
      <c r="C464" t="s">
        <v>40</v>
      </c>
      <c r="D464">
        <v>3.7186970000000001</v>
      </c>
      <c r="E464">
        <v>0.56120919999999996</v>
      </c>
      <c r="F464" t="s">
        <v>41</v>
      </c>
      <c r="G464">
        <v>-341.52460000000002</v>
      </c>
      <c r="H464">
        <v>0.84419059999999901</v>
      </c>
      <c r="I464">
        <v>367.61860000000001</v>
      </c>
      <c r="J464">
        <v>-342.09030000000001</v>
      </c>
      <c r="K464">
        <v>1.1098980000000001</v>
      </c>
      <c r="L464">
        <v>367.64299999999997</v>
      </c>
      <c r="M464">
        <v>0.99995319999999999</v>
      </c>
      <c r="N464">
        <v>-9.6690519999999992E-3</v>
      </c>
      <c r="O464" s="1">
        <v>1.0476770000000001E-5</v>
      </c>
      <c r="P464">
        <v>0.95603159999999998</v>
      </c>
      <c r="Q464">
        <v>0.28764060000000002</v>
      </c>
      <c r="R464">
        <v>5.7153959999999997E-2</v>
      </c>
      <c r="S464">
        <v>3.4642330000000001</v>
      </c>
      <c r="T464">
        <v>-1.0628</v>
      </c>
      <c r="U464">
        <v>-9.7534179999999998E-2</v>
      </c>
      <c r="V464">
        <v>-5.6959370000000002E-2</v>
      </c>
      <c r="W464">
        <v>0.29690699999999998</v>
      </c>
      <c r="X464">
        <v>0.95320609999999995</v>
      </c>
      <c r="Y464">
        <v>2.687724E-2</v>
      </c>
      <c r="Z464">
        <v>-4.1654450000000003E-3</v>
      </c>
      <c r="AA464">
        <v>0.99963000000000002</v>
      </c>
      <c r="AB464">
        <v>31</v>
      </c>
      <c r="AC464">
        <v>0.56569999999999199</v>
      </c>
      <c r="AD464">
        <v>-0.26570739999999998</v>
      </c>
      <c r="AE464">
        <v>-2.4400000000014101E-2</v>
      </c>
      <c r="AF464">
        <v>2.0001492676284701E-2</v>
      </c>
      <c r="AG464">
        <v>-0.26570739999999998</v>
      </c>
      <c r="AH464">
        <v>0.46361030663140801</v>
      </c>
      <c r="AI464">
        <v>119.795191858454</v>
      </c>
      <c r="AJ464">
        <v>87.529625916589495</v>
      </c>
      <c r="AK464">
        <v>0.534728901910966</v>
      </c>
      <c r="AL464">
        <v>72.728075317762006</v>
      </c>
      <c r="AM464">
        <v>93.4196753582969</v>
      </c>
      <c r="AN464">
        <v>1.0000000027785001</v>
      </c>
    </row>
    <row r="465" spans="1:40" x14ac:dyDescent="0.25">
      <c r="A465" t="str">
        <f>"20190304164604163"</f>
        <v>20190304164604163</v>
      </c>
      <c r="B465" t="str">
        <f>"1551689164158652"</f>
        <v>1551689164158652</v>
      </c>
      <c r="C465" t="s">
        <v>40</v>
      </c>
      <c r="D465">
        <v>3.7148850000000002</v>
      </c>
      <c r="E465">
        <v>0.56130559999999996</v>
      </c>
      <c r="F465" t="s">
        <v>41</v>
      </c>
      <c r="G465">
        <v>-341.24400000000003</v>
      </c>
      <c r="H465">
        <v>0.84965650000000004</v>
      </c>
      <c r="I465">
        <v>367.61880000000002</v>
      </c>
      <c r="J465">
        <v>-341.76409999999998</v>
      </c>
      <c r="K465">
        <v>1.109888</v>
      </c>
      <c r="L465">
        <v>367.64280000000002</v>
      </c>
      <c r="M465">
        <v>0.99995319999999999</v>
      </c>
      <c r="N465">
        <v>-9.6657510000000002E-3</v>
      </c>
      <c r="O465">
        <v>-2.8978800000000002E-4</v>
      </c>
      <c r="P465">
        <v>0.95603709999999997</v>
      </c>
      <c r="Q465">
        <v>0.28785329999999998</v>
      </c>
      <c r="R465">
        <v>5.5976959999999999E-2</v>
      </c>
      <c r="S465">
        <v>3.4643549999999999</v>
      </c>
      <c r="T465">
        <v>-1.065261</v>
      </c>
      <c r="U465">
        <v>-9.7778320000000002E-2</v>
      </c>
      <c r="V465">
        <v>-5.60692E-2</v>
      </c>
      <c r="W465">
        <v>0.29711559999999998</v>
      </c>
      <c r="X465">
        <v>0.95319390000000004</v>
      </c>
      <c r="Y465">
        <v>2.666406E-2</v>
      </c>
      <c r="Z465">
        <v>-4.0537259999999997E-3</v>
      </c>
      <c r="AA465">
        <v>0.99963619999999997</v>
      </c>
      <c r="AB465">
        <v>31</v>
      </c>
      <c r="AC465">
        <v>0.52009999999995604</v>
      </c>
      <c r="AD465">
        <v>-0.26023149999999901</v>
      </c>
      <c r="AE465">
        <v>-2.4000000000000899E-2</v>
      </c>
      <c r="AF465">
        <v>1.9082210018846201E-2</v>
      </c>
      <c r="AG465">
        <v>-0.26023149999999901</v>
      </c>
      <c r="AH465">
        <v>0.41614642298395599</v>
      </c>
      <c r="AI465">
        <v>121.99219650217501</v>
      </c>
      <c r="AJ465">
        <v>87.374566475986001</v>
      </c>
      <c r="AK465">
        <v>0.49118470018292998</v>
      </c>
      <c r="AL465">
        <v>72.715558947823993</v>
      </c>
      <c r="AM465">
        <v>93.366398999616493</v>
      </c>
      <c r="AN465">
        <v>1.0000000229746</v>
      </c>
    </row>
    <row r="466" spans="1:40" x14ac:dyDescent="0.25">
      <c r="A466" t="str">
        <f>"20190304164604185"</f>
        <v>20190304164604185</v>
      </c>
      <c r="B466" t="str">
        <f>"1551689164178171"</f>
        <v>1551689164178171</v>
      </c>
      <c r="C466" t="s">
        <v>40</v>
      </c>
      <c r="D466">
        <v>3.7746650000000002</v>
      </c>
      <c r="E466">
        <v>0.56210130000000003</v>
      </c>
      <c r="F466" t="s">
        <v>41</v>
      </c>
      <c r="G466">
        <v>-340.95830000000001</v>
      </c>
      <c r="H466">
        <v>0.86671609999999999</v>
      </c>
      <c r="I466">
        <v>367.6182</v>
      </c>
      <c r="J466">
        <v>-341.44330000000002</v>
      </c>
      <c r="K466">
        <v>1.1098790000000001</v>
      </c>
      <c r="L466">
        <v>367.64240000000001</v>
      </c>
      <c r="M466">
        <v>0.99995330000000004</v>
      </c>
      <c r="N466">
        <v>-9.6521769999999996E-3</v>
      </c>
      <c r="O466">
        <v>-5.8091049999999997E-4</v>
      </c>
      <c r="P466">
        <v>0.95618479999999995</v>
      </c>
      <c r="Q466">
        <v>0.28758529999999999</v>
      </c>
      <c r="R466">
        <v>5.4820510000000003E-2</v>
      </c>
      <c r="S466">
        <v>3.4583129999999902</v>
      </c>
      <c r="T466">
        <v>-1.04372</v>
      </c>
      <c r="U466">
        <v>-0.1042786</v>
      </c>
      <c r="V466">
        <v>-5.5192909999999998E-2</v>
      </c>
      <c r="W466">
        <v>0.29683510000000002</v>
      </c>
      <c r="X466">
        <v>0.95333239999999997</v>
      </c>
      <c r="Y466">
        <v>2.8281939999999998E-2</v>
      </c>
      <c r="Z466">
        <v>-4.1474939999999998E-3</v>
      </c>
      <c r="AA466">
        <v>0.99959140000000002</v>
      </c>
      <c r="AB466">
        <v>31</v>
      </c>
      <c r="AC466">
        <v>0.48500000000001298</v>
      </c>
      <c r="AD466">
        <v>-0.24316289999999999</v>
      </c>
      <c r="AE466">
        <v>-2.42000000000075E-2</v>
      </c>
      <c r="AF466">
        <v>1.91232048174379E-2</v>
      </c>
      <c r="AG466">
        <v>-0.24316289999999999</v>
      </c>
      <c r="AH466">
        <v>0.38778025256048398</v>
      </c>
      <c r="AI466">
        <v>122.05901879237101</v>
      </c>
      <c r="AJ466">
        <v>87.176772126030102</v>
      </c>
      <c r="AK466">
        <v>0.45811288693374802</v>
      </c>
      <c r="AL466">
        <v>72.732389312121896</v>
      </c>
      <c r="AM466">
        <v>93.313424296376198</v>
      </c>
      <c r="AN466">
        <v>0.99999999939801898</v>
      </c>
    </row>
    <row r="467" spans="1:40" x14ac:dyDescent="0.25">
      <c r="A467" t="str">
        <f>"20190304164604207"</f>
        <v>20190304164604207</v>
      </c>
      <c r="B467" t="str">
        <f>"1551689164198667"</f>
        <v>1551689164198667</v>
      </c>
      <c r="C467" t="s">
        <v>40</v>
      </c>
      <c r="D467">
        <v>3.838749</v>
      </c>
      <c r="E467">
        <v>0.56146949999999995</v>
      </c>
      <c r="F467" t="s">
        <v>41</v>
      </c>
      <c r="G467">
        <v>-340.6728</v>
      </c>
      <c r="H467">
        <v>0.88162850000000004</v>
      </c>
      <c r="I467">
        <v>367.61619999999999</v>
      </c>
      <c r="J467">
        <v>-341.1463</v>
      </c>
      <c r="K467">
        <v>1.1098749999999999</v>
      </c>
      <c r="L467">
        <v>367.64190000000002</v>
      </c>
      <c r="M467">
        <v>0.99995339999999999</v>
      </c>
      <c r="N467">
        <v>-9.6272409999999999E-3</v>
      </c>
      <c r="O467">
        <v>-8.4297500000000004E-4</v>
      </c>
      <c r="P467">
        <v>0.95613570000000003</v>
      </c>
      <c r="Q467">
        <v>0.28791889999999998</v>
      </c>
      <c r="R467">
        <v>5.3921629999999998E-2</v>
      </c>
      <c r="S467">
        <v>3.4516909999999998</v>
      </c>
      <c r="T467">
        <v>-1.022483</v>
      </c>
      <c r="U467">
        <v>-0.1166382</v>
      </c>
      <c r="V467">
        <v>-5.4547819999999997E-2</v>
      </c>
      <c r="W467">
        <v>0.2971433</v>
      </c>
      <c r="X467">
        <v>0.9532735</v>
      </c>
      <c r="Y467">
        <v>3.1563460000000002E-2</v>
      </c>
      <c r="Z467">
        <v>-4.4942890000000003E-3</v>
      </c>
      <c r="AA467">
        <v>0.99949160000000004</v>
      </c>
      <c r="AB467">
        <v>31</v>
      </c>
      <c r="AC467">
        <v>0.47350000000000098</v>
      </c>
      <c r="AD467">
        <v>-0.22824649999999899</v>
      </c>
      <c r="AE467">
        <v>-2.5700000000028901E-2</v>
      </c>
      <c r="AF467">
        <v>2.0541698755500399E-2</v>
      </c>
      <c r="AG467">
        <v>-0.22824649999999899</v>
      </c>
      <c r="AH467">
        <v>0.38445135413505399</v>
      </c>
      <c r="AI467">
        <v>120.66151594465499</v>
      </c>
      <c r="AJ467">
        <v>86.941525839727902</v>
      </c>
      <c r="AK467">
        <v>0.44757264197701901</v>
      </c>
      <c r="AL467">
        <v>72.713896120572201</v>
      </c>
      <c r="AM467">
        <v>93.2749839593845</v>
      </c>
      <c r="AN467">
        <v>0.99999998560194603</v>
      </c>
    </row>
    <row r="468" spans="1:40" x14ac:dyDescent="0.25">
      <c r="A468" t="str">
        <f>"20190304164604229"</f>
        <v>20190304164604229</v>
      </c>
      <c r="B468" t="str">
        <f>"1551689164218188"</f>
        <v>1551689164218188</v>
      </c>
      <c r="C468" t="s">
        <v>40</v>
      </c>
      <c r="D468">
        <v>3.8920110000000001</v>
      </c>
      <c r="E468">
        <v>0.56096990000000002</v>
      </c>
      <c r="F468" t="s">
        <v>41</v>
      </c>
      <c r="G468">
        <v>-340.39179999999999</v>
      </c>
      <c r="H468">
        <v>0.88468159999999896</v>
      </c>
      <c r="I468">
        <v>367.61680000000001</v>
      </c>
      <c r="J468">
        <v>-340.83499999999998</v>
      </c>
      <c r="K468">
        <v>1.1098730000000001</v>
      </c>
      <c r="L468">
        <v>367.64139999999998</v>
      </c>
      <c r="M468">
        <v>0.99995350000000005</v>
      </c>
      <c r="N468">
        <v>-9.5873759999999999E-3</v>
      </c>
      <c r="O468">
        <v>-1.1061129999999999E-3</v>
      </c>
      <c r="P468">
        <v>0.95615459999999997</v>
      </c>
      <c r="Q468">
        <v>0.28803519999999999</v>
      </c>
      <c r="R468">
        <v>5.2956160000000002E-2</v>
      </c>
      <c r="S468">
        <v>3.454529</v>
      </c>
      <c r="T468">
        <v>-1.0311589999999999</v>
      </c>
      <c r="U468">
        <v>-0.11361690000000001</v>
      </c>
      <c r="V468">
        <v>-5.3840529999999998E-2</v>
      </c>
      <c r="W468">
        <v>0.29722029999999999</v>
      </c>
      <c r="X468">
        <v>0.95328970000000002</v>
      </c>
      <c r="Y468">
        <v>3.0440760000000001E-2</v>
      </c>
      <c r="Z468">
        <v>-4.2816720000000003E-3</v>
      </c>
      <c r="AA468">
        <v>0.99952739999999995</v>
      </c>
      <c r="AB468">
        <v>31</v>
      </c>
      <c r="AC468">
        <v>0.44319999999998999</v>
      </c>
      <c r="AD468">
        <v>-0.22519140000000001</v>
      </c>
      <c r="AE468">
        <v>-2.4599999999963901E-2</v>
      </c>
      <c r="AF468">
        <v>1.9174639808221799E-2</v>
      </c>
      <c r="AG468">
        <v>-0.22519140000000001</v>
      </c>
      <c r="AH468">
        <v>0.352501492928051</v>
      </c>
      <c r="AI468">
        <v>122.533603919545</v>
      </c>
      <c r="AJ468">
        <v>86.886412409330504</v>
      </c>
      <c r="AK468">
        <v>0.41873157984828402</v>
      </c>
      <c r="AL468">
        <v>72.709275508046304</v>
      </c>
      <c r="AM468">
        <v>93.232554968366301</v>
      </c>
      <c r="AN468">
        <v>0.99999998076442997</v>
      </c>
    </row>
    <row r="469" spans="1:40" x14ac:dyDescent="0.25">
      <c r="A469" t="str">
        <f>"20190304164604251"</f>
        <v>20190304164604251</v>
      </c>
      <c r="B469" t="str">
        <f>"1551689164238684"</f>
        <v>1551689164238684</v>
      </c>
      <c r="C469" t="s">
        <v>40</v>
      </c>
      <c r="D469">
        <v>3.935959</v>
      </c>
      <c r="E469">
        <v>0.56055140000000003</v>
      </c>
      <c r="F469" t="s">
        <v>41</v>
      </c>
      <c r="G469">
        <v>-340.1087</v>
      </c>
      <c r="H469">
        <v>0.89169739999999997</v>
      </c>
      <c r="I469">
        <v>367.61779999999999</v>
      </c>
      <c r="J469">
        <v>-340.53359999999998</v>
      </c>
      <c r="K469">
        <v>1.1098699999999999</v>
      </c>
      <c r="L469">
        <v>367.64080000000001</v>
      </c>
      <c r="M469">
        <v>0.99995369999999995</v>
      </c>
      <c r="N469">
        <v>-9.5347000000000001E-3</v>
      </c>
      <c r="O469">
        <v>-1.3442389999999999E-3</v>
      </c>
      <c r="P469">
        <v>0.95620510000000003</v>
      </c>
      <c r="Q469">
        <v>0.28794550000000002</v>
      </c>
      <c r="R469">
        <v>5.2532349999999998E-2</v>
      </c>
      <c r="S469">
        <v>3.4565730000000001</v>
      </c>
      <c r="T469">
        <v>-1.0383119999999999</v>
      </c>
      <c r="U469">
        <v>-0.1118164</v>
      </c>
      <c r="V469">
        <v>-5.3652539999999999E-2</v>
      </c>
      <c r="W469">
        <v>0.29707879999999998</v>
      </c>
      <c r="X469">
        <v>0.95334450000000004</v>
      </c>
      <c r="Y469">
        <v>2.9691220000000001E-2</v>
      </c>
      <c r="Z469">
        <v>-4.1243850000000004E-3</v>
      </c>
      <c r="AA469">
        <v>0.99955059999999996</v>
      </c>
      <c r="AB469">
        <v>31</v>
      </c>
      <c r="AC469">
        <v>0.42489999999997902</v>
      </c>
      <c r="AD469">
        <v>-0.21817259999999999</v>
      </c>
      <c r="AE469">
        <v>-2.3000000000024501E-2</v>
      </c>
      <c r="AF469">
        <v>1.7760040279483299E-2</v>
      </c>
      <c r="AG469">
        <v>-0.21817259999999999</v>
      </c>
      <c r="AH469">
        <v>0.33647756820769198</v>
      </c>
      <c r="AI469">
        <v>122.923068627245</v>
      </c>
      <c r="AJ469">
        <v>86.978604079219593</v>
      </c>
      <c r="AK469">
        <v>0.401412327075852</v>
      </c>
      <c r="AL469">
        <v>72.717768013517301</v>
      </c>
      <c r="AM469">
        <v>93.221107190232999</v>
      </c>
      <c r="AN469">
        <v>1.0000000720690601</v>
      </c>
    </row>
    <row r="470" spans="1:40" x14ac:dyDescent="0.25">
      <c r="A470" t="str">
        <f>"20190304164604274"</f>
        <v>20190304164604274</v>
      </c>
      <c r="B470" t="str">
        <f>"1551689164267963"</f>
        <v>1551689164267963</v>
      </c>
      <c r="C470" t="s">
        <v>40</v>
      </c>
      <c r="D470">
        <v>3.9929760000000001</v>
      </c>
      <c r="E470">
        <v>0.56005729999999998</v>
      </c>
      <c r="F470" t="s">
        <v>41</v>
      </c>
      <c r="G470">
        <v>-339.8263</v>
      </c>
      <c r="H470">
        <v>0.89601049999999904</v>
      </c>
      <c r="I470">
        <v>367.6182</v>
      </c>
      <c r="J470">
        <v>-340.20429999999999</v>
      </c>
      <c r="K470">
        <v>1.1098629999999901</v>
      </c>
      <c r="L470">
        <v>367.64010000000002</v>
      </c>
      <c r="M470">
        <v>0.99995400000000001</v>
      </c>
      <c r="N470">
        <v>-9.4638780000000002E-3</v>
      </c>
      <c r="O470">
        <v>-1.581629E-3</v>
      </c>
      <c r="P470">
        <v>0.95629540000000002</v>
      </c>
      <c r="Q470">
        <v>0.28764800000000001</v>
      </c>
      <c r="R470">
        <v>5.2514970000000001E-2</v>
      </c>
      <c r="S470">
        <v>3.4582519999999999</v>
      </c>
      <c r="T470">
        <v>-1.045631</v>
      </c>
      <c r="U470">
        <v>-0.10906979999999999</v>
      </c>
      <c r="V470">
        <v>-5.3873530000000003E-2</v>
      </c>
      <c r="W470">
        <v>0.29671259999999999</v>
      </c>
      <c r="X470">
        <v>0.95344600000000002</v>
      </c>
      <c r="Y470">
        <v>2.8685430000000001E-2</v>
      </c>
      <c r="Z470">
        <v>-3.9266570000000001E-3</v>
      </c>
      <c r="AA470">
        <v>0.99958080000000005</v>
      </c>
      <c r="AB470">
        <v>31</v>
      </c>
      <c r="AC470">
        <v>0.37799999999998501</v>
      </c>
      <c r="AD470">
        <v>-0.213852499999999</v>
      </c>
      <c r="AE470">
        <v>-2.1900000000016399E-2</v>
      </c>
      <c r="AF470">
        <v>1.6150190549881101E-2</v>
      </c>
      <c r="AG470">
        <v>-0.213852499999999</v>
      </c>
      <c r="AH470">
        <v>0.28660679755358498</v>
      </c>
      <c r="AI470">
        <v>126.685046375165</v>
      </c>
      <c r="AJ470">
        <v>86.774814053255</v>
      </c>
      <c r="AK470">
        <v>0.35796253549075402</v>
      </c>
      <c r="AL470">
        <v>72.739739175724097</v>
      </c>
      <c r="AM470">
        <v>93.234002947428195</v>
      </c>
      <c r="AN470">
        <v>0.99999999957470997</v>
      </c>
    </row>
    <row r="471" spans="1:40" x14ac:dyDescent="0.25">
      <c r="A471" t="str">
        <f>"20190304164604297"</f>
        <v>20190304164604297</v>
      </c>
      <c r="B471" t="str">
        <f>"1551689164288459"</f>
        <v>1551689164288459</v>
      </c>
      <c r="C471" t="s">
        <v>40</v>
      </c>
      <c r="D471">
        <v>3.9553769999999999</v>
      </c>
      <c r="E471">
        <v>0.5597704</v>
      </c>
      <c r="F471" t="s">
        <v>41</v>
      </c>
      <c r="G471">
        <v>-339.291</v>
      </c>
      <c r="H471">
        <v>0.83141480000000001</v>
      </c>
      <c r="I471">
        <v>367.6121</v>
      </c>
      <c r="J471">
        <v>-339.8845</v>
      </c>
      <c r="K471">
        <v>1.109861</v>
      </c>
      <c r="L471">
        <v>367.63940000000002</v>
      </c>
      <c r="M471">
        <v>0.99995449999999997</v>
      </c>
      <c r="N471">
        <v>-9.3806549999999999E-3</v>
      </c>
      <c r="O471">
        <v>-1.7848390000000001E-3</v>
      </c>
      <c r="P471">
        <v>0.95634110000000006</v>
      </c>
      <c r="Q471">
        <v>0.2874893</v>
      </c>
      <c r="R471">
        <v>5.2552120000000001E-2</v>
      </c>
      <c r="S471">
        <v>3.4601139999999999</v>
      </c>
      <c r="T471">
        <v>-1.054853</v>
      </c>
      <c r="U471">
        <v>-0.1041565</v>
      </c>
      <c r="V471">
        <v>-5.411871E-2</v>
      </c>
      <c r="W471">
        <v>0.29647259999999998</v>
      </c>
      <c r="X471">
        <v>0.95350679999999999</v>
      </c>
      <c r="Y471">
        <v>2.7110019999999999E-2</v>
      </c>
      <c r="Z471">
        <v>-3.6542929999999999E-3</v>
      </c>
      <c r="AA471">
        <v>0.99962580000000001</v>
      </c>
      <c r="AB471">
        <v>31</v>
      </c>
      <c r="AC471">
        <v>0.59350000000000502</v>
      </c>
      <c r="AD471">
        <v>-0.27844619999999898</v>
      </c>
      <c r="AE471">
        <v>-2.73000000000252E-2</v>
      </c>
      <c r="AF471">
        <v>2.1514938729592401E-2</v>
      </c>
      <c r="AG471">
        <v>-0.27844619999999898</v>
      </c>
      <c r="AH471">
        <v>0.48665580289988702</v>
      </c>
      <c r="AI471">
        <v>119.752465206119</v>
      </c>
      <c r="AJ471">
        <v>87.468615387841297</v>
      </c>
      <c r="AK471">
        <v>0.56109629243037396</v>
      </c>
      <c r="AL471">
        <v>72.754138549739295</v>
      </c>
      <c r="AM471">
        <v>93.248482827473296</v>
      </c>
      <c r="AN471">
        <v>1.00000002748453</v>
      </c>
    </row>
    <row r="472" spans="1:40" x14ac:dyDescent="0.25">
      <c r="A472" t="str">
        <f>"20190304164604317"</f>
        <v>20190304164604317</v>
      </c>
      <c r="B472" t="str">
        <f>"1551689164307979"</f>
        <v>1551689164307979</v>
      </c>
      <c r="C472" t="s">
        <v>40</v>
      </c>
      <c r="D472">
        <v>3.943705</v>
      </c>
      <c r="E472">
        <v>0.55950900000000003</v>
      </c>
      <c r="F472" t="s">
        <v>41</v>
      </c>
      <c r="G472">
        <v>-339.00510000000003</v>
      </c>
      <c r="H472">
        <v>0.84049309999999999</v>
      </c>
      <c r="I472">
        <v>367.61349999999999</v>
      </c>
      <c r="J472">
        <v>-339.58879999999999</v>
      </c>
      <c r="K472">
        <v>1.109864</v>
      </c>
      <c r="L472">
        <v>367.6386</v>
      </c>
      <c r="M472">
        <v>0.99995489999999998</v>
      </c>
      <c r="N472">
        <v>-9.2999659999999998E-3</v>
      </c>
      <c r="O472">
        <v>-1.9528150000000001E-3</v>
      </c>
      <c r="P472">
        <v>0.95621750000000005</v>
      </c>
      <c r="Q472">
        <v>0.28790310000000002</v>
      </c>
      <c r="R472">
        <v>5.2534600000000001E-2</v>
      </c>
      <c r="S472">
        <v>3.4612729999999998</v>
      </c>
      <c r="T472">
        <v>-1.0602229999999999</v>
      </c>
      <c r="U472">
        <v>-0.10189819999999999</v>
      </c>
      <c r="V472">
        <v>-5.4272870000000001E-2</v>
      </c>
      <c r="W472">
        <v>0.29680590000000001</v>
      </c>
      <c r="X472">
        <v>0.95339430000000003</v>
      </c>
      <c r="Y472">
        <v>2.631466E-2</v>
      </c>
      <c r="Z472">
        <v>-3.4974289999999998E-3</v>
      </c>
      <c r="AA472">
        <v>0.99964759999999997</v>
      </c>
      <c r="AB472">
        <v>31</v>
      </c>
      <c r="AC472">
        <v>0.58369999999996403</v>
      </c>
      <c r="AD472">
        <v>-0.26937089999999903</v>
      </c>
      <c r="AE472">
        <v>-2.5100000000009001E-2</v>
      </c>
      <c r="AF472">
        <v>1.97595799793167E-2</v>
      </c>
      <c r="AG472">
        <v>-0.26937089999999903</v>
      </c>
      <c r="AH472">
        <v>0.48141034436521901</v>
      </c>
      <c r="AI472">
        <v>119.208445533988</v>
      </c>
      <c r="AJ472">
        <v>87.649603051594099</v>
      </c>
      <c r="AK472">
        <v>0.55200275581704095</v>
      </c>
      <c r="AL472">
        <v>72.734141119979597</v>
      </c>
      <c r="AM472">
        <v>93.2580999806911</v>
      </c>
      <c r="AN472">
        <v>0.99999998898266795</v>
      </c>
    </row>
    <row r="473" spans="1:40" x14ac:dyDescent="0.25">
      <c r="A473" t="str">
        <f>"20190304164604341"</f>
        <v>20190304164604341</v>
      </c>
      <c r="B473" t="str">
        <f>"1551689164328476"</f>
        <v>1551689164328476</v>
      </c>
      <c r="C473" t="s">
        <v>40</v>
      </c>
      <c r="D473">
        <v>4.1406489999999998</v>
      </c>
      <c r="E473">
        <v>0.5594519</v>
      </c>
      <c r="F473" t="s">
        <v>41</v>
      </c>
      <c r="G473">
        <v>-338.72120000000001</v>
      </c>
      <c r="H473">
        <v>0.84363349999999904</v>
      </c>
      <c r="I473">
        <v>367.61320000000001</v>
      </c>
      <c r="J473">
        <v>-339.27300000000002</v>
      </c>
      <c r="K473">
        <v>1.1098650000000001</v>
      </c>
      <c r="L473">
        <v>367.6379</v>
      </c>
      <c r="M473">
        <v>0.99995540000000005</v>
      </c>
      <c r="N473">
        <v>-9.2098409999999999E-3</v>
      </c>
      <c r="O473">
        <v>-2.110851E-3</v>
      </c>
      <c r="P473">
        <v>0.95621350000000005</v>
      </c>
      <c r="Q473">
        <v>0.28796749999999999</v>
      </c>
      <c r="R473">
        <v>5.2252420000000001E-2</v>
      </c>
      <c r="S473">
        <v>3.4628299999999999</v>
      </c>
      <c r="T473">
        <v>-1.06257</v>
      </c>
      <c r="U473">
        <v>-0.10046389999999999</v>
      </c>
      <c r="V473">
        <v>-5.4153260000000002E-2</v>
      </c>
      <c r="W473">
        <v>0.2967823</v>
      </c>
      <c r="X473">
        <v>0.95340849999999999</v>
      </c>
      <c r="Y473">
        <v>2.5759399999999998E-2</v>
      </c>
      <c r="Z473">
        <v>-3.3698790000000001E-3</v>
      </c>
      <c r="AA473">
        <v>0.99966250000000001</v>
      </c>
      <c r="AB473">
        <v>32</v>
      </c>
      <c r="AC473">
        <v>0.55180000000001395</v>
      </c>
      <c r="AD473">
        <v>-0.26623149999999901</v>
      </c>
      <c r="AE473">
        <v>-2.4699999999995701E-2</v>
      </c>
      <c r="AF473">
        <v>1.9098231355501399E-2</v>
      </c>
      <c r="AG473">
        <v>-0.26623149999999901</v>
      </c>
      <c r="AH473">
        <v>0.44781470297239201</v>
      </c>
      <c r="AI473">
        <v>120.709156325748</v>
      </c>
      <c r="AJ473">
        <v>87.557951189677496</v>
      </c>
      <c r="AK473">
        <v>0.52132711634002904</v>
      </c>
      <c r="AL473">
        <v>72.735557984484799</v>
      </c>
      <c r="AM473">
        <v>93.250886675519794</v>
      </c>
      <c r="AN473">
        <v>1.00000003851708</v>
      </c>
    </row>
    <row r="474" spans="1:40" x14ac:dyDescent="0.25">
      <c r="A474" t="str">
        <f>"20190304164604364"</f>
        <v>20190304164604364</v>
      </c>
      <c r="B474" t="str">
        <f>"1551689164357755"</f>
        <v>1551689164357755</v>
      </c>
      <c r="C474" t="s">
        <v>40</v>
      </c>
      <c r="D474">
        <v>3.9497490000000002</v>
      </c>
      <c r="E474">
        <v>0.55770830000000005</v>
      </c>
      <c r="F474" t="s">
        <v>41</v>
      </c>
      <c r="G474">
        <v>-338.43439999999998</v>
      </c>
      <c r="H474">
        <v>0.85244229999999999</v>
      </c>
      <c r="I474">
        <v>367.61349999999999</v>
      </c>
      <c r="J474">
        <v>-338.93740000000003</v>
      </c>
      <c r="K474">
        <v>1.109864</v>
      </c>
      <c r="L474">
        <v>367.637</v>
      </c>
      <c r="M474">
        <v>0.99995619999999996</v>
      </c>
      <c r="N474">
        <v>-9.1052600000000004E-3</v>
      </c>
      <c r="O474">
        <v>-2.2522480000000001E-3</v>
      </c>
      <c r="P474">
        <v>0.95614560000000004</v>
      </c>
      <c r="Q474">
        <v>0.28811110000000001</v>
      </c>
      <c r="R474">
        <v>5.2704929999999997E-2</v>
      </c>
      <c r="S474">
        <v>3.462952</v>
      </c>
      <c r="T474">
        <v>-1.0630029999999999</v>
      </c>
      <c r="U474">
        <v>-9.9761959999999997E-2</v>
      </c>
      <c r="V474">
        <v>-5.4753980000000001E-2</v>
      </c>
      <c r="W474">
        <v>0.29682330000000001</v>
      </c>
      <c r="X474">
        <v>0.95336140000000003</v>
      </c>
      <c r="Y474">
        <v>2.5435719999999998E-2</v>
      </c>
      <c r="Z474">
        <v>-3.2782269999999999E-3</v>
      </c>
      <c r="AA474">
        <v>0.99967110000000003</v>
      </c>
      <c r="AB474">
        <v>32</v>
      </c>
      <c r="AC474">
        <v>0.50300000000004197</v>
      </c>
      <c r="AD474">
        <v>-0.25742169999999898</v>
      </c>
      <c r="AE474">
        <v>-2.3499999999955799E-2</v>
      </c>
      <c r="AF474">
        <v>1.77327259069135E-2</v>
      </c>
      <c r="AG474">
        <v>-0.25742169999999898</v>
      </c>
      <c r="AH474">
        <v>0.39882290675899601</v>
      </c>
      <c r="AI474">
        <v>122.814594027422</v>
      </c>
      <c r="AJ474">
        <v>87.454154204320503</v>
      </c>
      <c r="AK474">
        <v>0.47501588621294999</v>
      </c>
      <c r="AL474">
        <v>72.733097578241598</v>
      </c>
      <c r="AM474">
        <v>93.2870320293014</v>
      </c>
      <c r="AN474">
        <v>1.0000000143793399</v>
      </c>
    </row>
    <row r="475" spans="1:40" x14ac:dyDescent="0.25">
      <c r="A475" t="str">
        <f>"20190304164604386"</f>
        <v>20190304164604386</v>
      </c>
      <c r="B475" t="str">
        <f>"1551689164378252"</f>
        <v>1551689164378252</v>
      </c>
      <c r="C475" t="s">
        <v>40</v>
      </c>
      <c r="D475">
        <v>3.9740289999999998</v>
      </c>
      <c r="E475">
        <v>0.55351110000000003</v>
      </c>
      <c r="F475" t="s">
        <v>41</v>
      </c>
      <c r="G475">
        <v>-338.07490000000001</v>
      </c>
      <c r="H475">
        <v>1.0196590000000001</v>
      </c>
      <c r="I475">
        <v>367.59249999999997</v>
      </c>
      <c r="J475">
        <v>-338.62580000000003</v>
      </c>
      <c r="K475">
        <v>1.1098629999999901</v>
      </c>
      <c r="L475">
        <v>367.63619999999997</v>
      </c>
      <c r="M475">
        <v>0.99995670000000003</v>
      </c>
      <c r="N475">
        <v>-9.0028139999999996E-3</v>
      </c>
      <c r="O475">
        <v>-2.3607709999999998E-3</v>
      </c>
      <c r="P475">
        <v>0.95618250000000005</v>
      </c>
      <c r="Q475">
        <v>0.28792970000000001</v>
      </c>
      <c r="R475">
        <v>5.3025629999999997E-2</v>
      </c>
      <c r="S475">
        <v>3.2492369999999999</v>
      </c>
      <c r="T475">
        <v>-0.33985159999999998</v>
      </c>
      <c r="U475">
        <v>-0.16723629999999901</v>
      </c>
      <c r="V475">
        <v>-5.5190429999999999E-2</v>
      </c>
      <c r="W475">
        <v>0.2965428</v>
      </c>
      <c r="X475">
        <v>0.95342349999999998</v>
      </c>
      <c r="Y475">
        <v>4.8765889999999999E-2</v>
      </c>
      <c r="Z475">
        <v>-2.5371249999999999E-3</v>
      </c>
      <c r="AA475">
        <v>0.998807</v>
      </c>
      <c r="AB475">
        <v>32</v>
      </c>
      <c r="AC475">
        <v>0.55090000000001205</v>
      </c>
      <c r="AD475">
        <v>-9.0203999999999701E-2</v>
      </c>
      <c r="AE475">
        <v>-4.3700000000001099E-2</v>
      </c>
      <c r="AF475">
        <v>4.1298952032868597E-2</v>
      </c>
      <c r="AG475">
        <v>-9.0203999999999701E-2</v>
      </c>
      <c r="AH475">
        <v>0.53670231678188596</v>
      </c>
      <c r="AI475">
        <v>99.512975764426301</v>
      </c>
      <c r="AJ475">
        <v>85.599792052222995</v>
      </c>
      <c r="AK475">
        <v>0.54579459679815201</v>
      </c>
      <c r="AL475">
        <v>72.749926382245704</v>
      </c>
      <c r="AM475">
        <v>93.312959865333994</v>
      </c>
      <c r="AN475">
        <v>0.99999999307383702</v>
      </c>
    </row>
    <row r="476" spans="1:40" x14ac:dyDescent="0.25">
      <c r="A476" t="str">
        <f>"20190304164604407"</f>
        <v>20190304164604407</v>
      </c>
      <c r="B476" t="str">
        <f>"1551689164397771"</f>
        <v>1551689164397771</v>
      </c>
      <c r="C476" t="s">
        <v>40</v>
      </c>
      <c r="D476">
        <v>3.9731809999999999</v>
      </c>
      <c r="E476">
        <v>0.55125760000000001</v>
      </c>
      <c r="F476" t="s">
        <v>41</v>
      </c>
      <c r="G476">
        <v>-337.7756</v>
      </c>
      <c r="H476">
        <v>1.0476289999999999</v>
      </c>
      <c r="I476">
        <v>367.59769999999997</v>
      </c>
      <c r="J476">
        <v>-338.32159999999999</v>
      </c>
      <c r="K476">
        <v>1.109855</v>
      </c>
      <c r="L476">
        <v>367.6354</v>
      </c>
      <c r="M476">
        <v>0.9999576</v>
      </c>
      <c r="N476">
        <v>-8.8976980000000008E-3</v>
      </c>
      <c r="O476">
        <v>-2.4470020000000002E-3</v>
      </c>
      <c r="P476">
        <v>0.95622660000000004</v>
      </c>
      <c r="Q476">
        <v>0.28768199999999999</v>
      </c>
      <c r="R476">
        <v>5.3574080000000003E-2</v>
      </c>
      <c r="S476">
        <v>3.2164920000000001</v>
      </c>
      <c r="T476">
        <v>-0.2354636</v>
      </c>
      <c r="U476">
        <v>-0.14608759999999901</v>
      </c>
      <c r="V476">
        <v>-5.5833239999999999E-2</v>
      </c>
      <c r="W476">
        <v>0.29619259999999997</v>
      </c>
      <c r="X476">
        <v>0.95349499999999998</v>
      </c>
      <c r="Y476">
        <v>4.2803630000000002E-2</v>
      </c>
      <c r="Z476">
        <v>-1.597577E-3</v>
      </c>
      <c r="AA476">
        <v>0.99908220000000003</v>
      </c>
      <c r="AB476">
        <v>32</v>
      </c>
      <c r="AC476">
        <v>0.54599999999999205</v>
      </c>
      <c r="AD476">
        <v>-6.2225999999999802E-2</v>
      </c>
      <c r="AE476">
        <v>-3.77000000000293E-2</v>
      </c>
      <c r="AF476">
        <v>3.5899701150988499E-2</v>
      </c>
      <c r="AG476">
        <v>-6.2225999999999802E-2</v>
      </c>
      <c r="AH476">
        <v>0.53912147573089297</v>
      </c>
      <c r="AI476">
        <v>96.569586762671193</v>
      </c>
      <c r="AJ476">
        <v>86.190340530276302</v>
      </c>
      <c r="AK476">
        <v>0.54388677977405098</v>
      </c>
      <c r="AL476">
        <v>72.770936415800193</v>
      </c>
      <c r="AM476">
        <v>93.3512081365634</v>
      </c>
      <c r="AN476">
        <v>1.00000006100432</v>
      </c>
    </row>
    <row r="477" spans="1:40" x14ac:dyDescent="0.25">
      <c r="A477" t="str">
        <f>"20190304164604441"</f>
        <v>20190304164604441</v>
      </c>
      <c r="B477" t="str">
        <f>"1551689164428027"</f>
        <v>1551689164428027</v>
      </c>
      <c r="C477" t="s">
        <v>40</v>
      </c>
      <c r="D477">
        <v>3.98488</v>
      </c>
      <c r="E477">
        <v>0.55032899999999996</v>
      </c>
      <c r="F477" t="s">
        <v>43</v>
      </c>
      <c r="G477">
        <v>-317.90550000000002</v>
      </c>
      <c r="H477">
        <v>-0.05</v>
      </c>
      <c r="I477">
        <v>366.79140000000001</v>
      </c>
      <c r="J477">
        <v>-337.8451</v>
      </c>
      <c r="K477">
        <v>1.1098509999999999</v>
      </c>
      <c r="L477">
        <v>367.63409999999999</v>
      </c>
      <c r="M477">
        <v>0.99995880000000004</v>
      </c>
      <c r="N477">
        <v>-8.7232179999999996E-3</v>
      </c>
      <c r="O477">
        <v>-2.5467929999999999E-3</v>
      </c>
      <c r="P477">
        <v>0.95596680000000001</v>
      </c>
      <c r="Q477">
        <v>0.28852329999999998</v>
      </c>
      <c r="R477">
        <v>5.3685049999999998E-2</v>
      </c>
      <c r="S477">
        <v>3.1994319999999998</v>
      </c>
      <c r="T477">
        <v>-0.1817626</v>
      </c>
      <c r="U477">
        <v>-0.1322632</v>
      </c>
      <c r="V477">
        <v>-5.6056559999999998E-2</v>
      </c>
      <c r="W477">
        <v>0.29686190000000001</v>
      </c>
      <c r="X477">
        <v>0.9532737</v>
      </c>
      <c r="Y477">
        <v>3.8690509999999997E-2</v>
      </c>
      <c r="Z477">
        <v>-1.14434E-3</v>
      </c>
      <c r="AA477">
        <v>0.99925059999999999</v>
      </c>
      <c r="AB477">
        <v>32</v>
      </c>
      <c r="AC477">
        <v>19.939599999999899</v>
      </c>
      <c r="AD477">
        <v>-1.159851</v>
      </c>
      <c r="AE477">
        <v>-0.84269999999997902</v>
      </c>
      <c r="AF477">
        <v>0.78924761469140103</v>
      </c>
      <c r="AG477">
        <v>-1.159851</v>
      </c>
      <c r="AH477">
        <v>19.874555106157899</v>
      </c>
      <c r="AI477">
        <v>93.337288234679505</v>
      </c>
      <c r="AJ477">
        <v>87.7258958202288</v>
      </c>
      <c r="AK477">
        <v>19.9240083017249</v>
      </c>
      <c r="AL477">
        <v>72.730781961787102</v>
      </c>
      <c r="AM477">
        <v>93.365360742385803</v>
      </c>
      <c r="AN477">
        <v>1.0000000363511601</v>
      </c>
    </row>
    <row r="478" spans="1:40" x14ac:dyDescent="0.25">
      <c r="A478" t="str">
        <f>"20190304164604464"</f>
        <v>20190304164604464</v>
      </c>
      <c r="B478" t="str">
        <f>"1551689164458283"</f>
        <v>1551689164458283</v>
      </c>
      <c r="C478" t="s">
        <v>40</v>
      </c>
      <c r="D478">
        <v>4.0129279999999996</v>
      </c>
      <c r="E478">
        <v>0.54967069999999996</v>
      </c>
      <c r="F478" t="s">
        <v>43</v>
      </c>
      <c r="G478">
        <v>-311.9239</v>
      </c>
      <c r="H478">
        <v>-0.05</v>
      </c>
      <c r="I478">
        <v>366.60570000000001</v>
      </c>
      <c r="J478">
        <v>-337.50830000000002</v>
      </c>
      <c r="K478">
        <v>1.1098490000000001</v>
      </c>
      <c r="L478">
        <v>367.63319999999999</v>
      </c>
      <c r="M478">
        <v>0.99995979999999995</v>
      </c>
      <c r="N478">
        <v>-8.5996619999999992E-3</v>
      </c>
      <c r="O478">
        <v>-2.5953180000000001E-3</v>
      </c>
      <c r="P478">
        <v>0.95606780000000002</v>
      </c>
      <c r="Q478">
        <v>0.28814420000000002</v>
      </c>
      <c r="R478">
        <v>5.3921219999999999E-2</v>
      </c>
      <c r="S478">
        <v>3.1883240000000002</v>
      </c>
      <c r="T478">
        <v>-0.14266229999999999</v>
      </c>
      <c r="U478">
        <v>-0.12649540000000001</v>
      </c>
      <c r="V478">
        <v>-5.6349780000000002E-2</v>
      </c>
      <c r="W478">
        <v>0.29636420000000002</v>
      </c>
      <c r="X478">
        <v>0.95341120000000001</v>
      </c>
      <c r="Y478">
        <v>3.7007470000000001E-2</v>
      </c>
      <c r="Z478">
        <v>-8.9277989999999999E-4</v>
      </c>
      <c r="AA478">
        <v>0.99931460000000005</v>
      </c>
      <c r="AB478">
        <v>32</v>
      </c>
      <c r="AC478">
        <v>25.584399999999999</v>
      </c>
      <c r="AD478">
        <v>-1.1598489999999999</v>
      </c>
      <c r="AE478">
        <v>-1.0274999999999701</v>
      </c>
      <c r="AF478">
        <v>0.95912642487879596</v>
      </c>
      <c r="AG478">
        <v>-1.1598489999999999</v>
      </c>
      <c r="AH478">
        <v>25.534586642272501</v>
      </c>
      <c r="AI478">
        <v>92.598909177130196</v>
      </c>
      <c r="AJ478">
        <v>87.848875562248494</v>
      </c>
      <c r="AK478">
        <v>25.578903185895701</v>
      </c>
      <c r="AL478">
        <v>72.760640768124901</v>
      </c>
      <c r="AM478">
        <v>93.382436706000703</v>
      </c>
      <c r="AN478">
        <v>0.99999997651656303</v>
      </c>
    </row>
    <row r="479" spans="1:40" x14ac:dyDescent="0.25">
      <c r="A479" t="str">
        <f>"20190304164604486"</f>
        <v>20190304164604486</v>
      </c>
      <c r="B479" t="str">
        <f>"1551689164477807"</f>
        <v>1551689164477807</v>
      </c>
      <c r="C479" t="s">
        <v>40</v>
      </c>
      <c r="D479">
        <v>4.0089259999999998</v>
      </c>
      <c r="E479">
        <v>0.54951159999999999</v>
      </c>
      <c r="F479" t="s">
        <v>43</v>
      </c>
      <c r="G479">
        <v>-309.02769999999998</v>
      </c>
      <c r="H479">
        <v>-0.05</v>
      </c>
      <c r="I479">
        <v>366.53030000000001</v>
      </c>
      <c r="J479">
        <v>-337.18699999999899</v>
      </c>
      <c r="K479">
        <v>1.1098520000000001</v>
      </c>
      <c r="L479">
        <v>367.63229999999999</v>
      </c>
      <c r="M479">
        <v>0.99996059999999998</v>
      </c>
      <c r="N479">
        <v>-8.4838440000000008E-3</v>
      </c>
      <c r="O479">
        <v>-2.629148E-3</v>
      </c>
      <c r="P479">
        <v>0.9559706</v>
      </c>
      <c r="Q479">
        <v>0.28837600000000002</v>
      </c>
      <c r="R479">
        <v>5.4401959999999999E-2</v>
      </c>
      <c r="S479">
        <v>3.1838989999999998</v>
      </c>
      <c r="T479">
        <v>-0.12966159999999999</v>
      </c>
      <c r="U479">
        <v>-0.123291</v>
      </c>
      <c r="V479">
        <v>-5.6871280000000003E-2</v>
      </c>
      <c r="W479">
        <v>0.296483099999999</v>
      </c>
      <c r="X479">
        <v>0.9533433</v>
      </c>
      <c r="Y479">
        <v>3.6032199999999903E-2</v>
      </c>
      <c r="Z479">
        <v>-8.0140050000000003E-4</v>
      </c>
      <c r="AA479">
        <v>0.99935030000000002</v>
      </c>
      <c r="AB479">
        <v>32</v>
      </c>
      <c r="AC479">
        <v>28.159299999999899</v>
      </c>
      <c r="AD479">
        <v>-1.1598520000000001</v>
      </c>
      <c r="AE479">
        <v>-1.1019999999999699</v>
      </c>
      <c r="AF479">
        <v>1.0262202118476</v>
      </c>
      <c r="AG479">
        <v>-1.1598520000000001</v>
      </c>
      <c r="AH479">
        <v>28.114475989577802</v>
      </c>
      <c r="AI479">
        <v>92.360805545445203</v>
      </c>
      <c r="AJ479">
        <v>87.909546865195097</v>
      </c>
      <c r="AK479">
        <v>28.157097591081001</v>
      </c>
      <c r="AL479">
        <v>72.753508300069996</v>
      </c>
      <c r="AM479">
        <v>93.413908992405595</v>
      </c>
      <c r="AN479">
        <v>1.0000000093646599</v>
      </c>
    </row>
    <row r="480" spans="1:40" x14ac:dyDescent="0.25">
      <c r="A480" t="str">
        <f>"20190304164604502"</f>
        <v>20190304164604502</v>
      </c>
      <c r="B480" t="str">
        <f>"1551689164488540"</f>
        <v>1551689164488540</v>
      </c>
      <c r="C480" t="s">
        <v>40</v>
      </c>
      <c r="D480">
        <v>4.0163589999999996</v>
      </c>
      <c r="E480">
        <v>0.54945980000000005</v>
      </c>
      <c r="F480" t="s">
        <v>43</v>
      </c>
      <c r="G480">
        <v>-307.39729999999997</v>
      </c>
      <c r="H480">
        <v>-0.05</v>
      </c>
      <c r="I480">
        <v>366.49340000000001</v>
      </c>
      <c r="J480">
        <v>-336.97809999999998</v>
      </c>
      <c r="K480">
        <v>1.10985</v>
      </c>
      <c r="L480">
        <v>367.63170000000002</v>
      </c>
      <c r="M480">
        <v>0.99996119999999999</v>
      </c>
      <c r="N480">
        <v>-8.4076129999999995E-3</v>
      </c>
      <c r="O480">
        <v>-2.6456869999999999E-3</v>
      </c>
      <c r="P480">
        <v>0.95588459999999997</v>
      </c>
      <c r="Q480">
        <v>0.28865590000000002</v>
      </c>
      <c r="R480">
        <v>5.4428419999999998E-2</v>
      </c>
      <c r="S480">
        <v>3.1824650000000001</v>
      </c>
      <c r="T480">
        <v>-0.1239079</v>
      </c>
      <c r="U480">
        <v>-0.12167360000000001</v>
      </c>
      <c r="V480">
        <v>-5.6917490000000001E-2</v>
      </c>
      <c r="W480">
        <v>0.29668889999999998</v>
      </c>
      <c r="X480">
        <v>0.95327649999999997</v>
      </c>
      <c r="Y480">
        <v>3.5529140000000001E-2</v>
      </c>
      <c r="Z480">
        <v>-7.5992460000000003E-4</v>
      </c>
      <c r="AA480">
        <v>0.99936840000000005</v>
      </c>
      <c r="AB480">
        <v>32</v>
      </c>
      <c r="AC480">
        <v>29.5808</v>
      </c>
      <c r="AD480">
        <v>-1.15985</v>
      </c>
      <c r="AE480">
        <v>-1.1383000000000101</v>
      </c>
      <c r="AF480">
        <v>1.05840693768203</v>
      </c>
      <c r="AG480">
        <v>-1.15985</v>
      </c>
      <c r="AH480">
        <v>29.5383633422115</v>
      </c>
      <c r="AI480">
        <v>92.247173726511903</v>
      </c>
      <c r="AJ480">
        <v>87.947878260244494</v>
      </c>
      <c r="AK480">
        <v>29.580067379989799</v>
      </c>
      <c r="AL480">
        <v>72.741161029050303</v>
      </c>
      <c r="AM480">
        <v>93.416915203193099</v>
      </c>
      <c r="AN480">
        <v>0.99999999475168</v>
      </c>
    </row>
    <row r="481" spans="1:40" x14ac:dyDescent="0.25">
      <c r="A481" t="str">
        <f>"20190304164604519"</f>
        <v>20190304164604519</v>
      </c>
      <c r="B481" t="str">
        <f>"1551689164508060"</f>
        <v>1551689164508060</v>
      </c>
      <c r="C481" t="s">
        <v>40</v>
      </c>
      <c r="D481">
        <v>4.0333379999999996</v>
      </c>
      <c r="E481">
        <v>0.54932950000000003</v>
      </c>
      <c r="F481" t="s">
        <v>43</v>
      </c>
      <c r="G481">
        <v>-306.5009</v>
      </c>
      <c r="H481">
        <v>-0.05</v>
      </c>
      <c r="I481">
        <v>366.46480000000003</v>
      </c>
      <c r="J481">
        <v>-336.71140000000003</v>
      </c>
      <c r="K481">
        <v>1.1098440000000001</v>
      </c>
      <c r="L481">
        <v>367.63099999999997</v>
      </c>
      <c r="M481">
        <v>0.99996200000000002</v>
      </c>
      <c r="N481">
        <v>-8.3103369999999992E-3</v>
      </c>
      <c r="O481">
        <v>-2.6618940000000002E-3</v>
      </c>
      <c r="P481">
        <v>0.95580209999999999</v>
      </c>
      <c r="Q481">
        <v>0.28890110000000002</v>
      </c>
      <c r="R481">
        <v>5.4575279999999997E-2</v>
      </c>
      <c r="S481">
        <v>3.181915</v>
      </c>
      <c r="T481">
        <v>-0.1210918</v>
      </c>
      <c r="U481">
        <v>-0.1218262</v>
      </c>
      <c r="V481">
        <v>-5.7084700000000002E-2</v>
      </c>
      <c r="W481">
        <v>0.29683969999999998</v>
      </c>
      <c r="X481">
        <v>0.95321959999999994</v>
      </c>
      <c r="Y481">
        <v>3.5568699999999898E-2</v>
      </c>
      <c r="Z481">
        <v>-7.4511019999999996E-4</v>
      </c>
      <c r="AA481">
        <v>0.99936689999999995</v>
      </c>
      <c r="AB481">
        <v>32</v>
      </c>
      <c r="AC481">
        <v>30.2105</v>
      </c>
      <c r="AD481">
        <v>-1.1598440000000001</v>
      </c>
      <c r="AE481">
        <v>-1.16619999999994</v>
      </c>
      <c r="AF481">
        <v>1.08418029639972</v>
      </c>
      <c r="AG481">
        <v>-1.1598440000000001</v>
      </c>
      <c r="AH481">
        <v>30.169095736038901</v>
      </c>
      <c r="AI481">
        <v>92.200220035130002</v>
      </c>
      <c r="AJ481">
        <v>87.941859602499903</v>
      </c>
      <c r="AK481">
        <v>30.210842797739399</v>
      </c>
      <c r="AL481">
        <v>72.732114001792198</v>
      </c>
      <c r="AM481">
        <v>93.427133470690407</v>
      </c>
      <c r="AN481">
        <v>1.0000000381471601</v>
      </c>
    </row>
    <row r="482" spans="1:40" x14ac:dyDescent="0.25">
      <c r="A482" t="str">
        <f>"20190304164604543"</f>
        <v>20190304164604543</v>
      </c>
      <c r="B482" t="str">
        <f>"1551689164538316"</f>
        <v>1551689164538316</v>
      </c>
      <c r="C482" t="s">
        <v>40</v>
      </c>
      <c r="D482">
        <v>4.1356449999999896</v>
      </c>
      <c r="E482">
        <v>0.54942100000000005</v>
      </c>
      <c r="F482" t="s">
        <v>43</v>
      </c>
      <c r="G482">
        <v>-304.98070000000001</v>
      </c>
      <c r="H482">
        <v>-0.05</v>
      </c>
      <c r="I482">
        <v>366.423</v>
      </c>
      <c r="J482">
        <v>-336.38369999999998</v>
      </c>
      <c r="K482">
        <v>1.1098349999999999</v>
      </c>
      <c r="L482">
        <v>367.63010000000003</v>
      </c>
      <c r="M482">
        <v>0.99996289999999999</v>
      </c>
      <c r="N482">
        <v>-8.1969999999999994E-3</v>
      </c>
      <c r="O482">
        <v>-2.6760109999999998E-3</v>
      </c>
      <c r="P482">
        <v>0.95574559999999997</v>
      </c>
      <c r="Q482">
        <v>0.28906130000000002</v>
      </c>
      <c r="R482">
        <v>5.4718919999999997E-2</v>
      </c>
      <c r="S482">
        <v>3.1807249999999998</v>
      </c>
      <c r="T482">
        <v>-0.11626450000000001</v>
      </c>
      <c r="U482">
        <v>-0.1210938</v>
      </c>
      <c r="V482">
        <v>-5.7246449999999997E-2</v>
      </c>
      <c r="W482">
        <v>0.2968906</v>
      </c>
      <c r="X482">
        <v>0.95319399999999999</v>
      </c>
      <c r="Y482">
        <v>3.5341459999999998E-2</v>
      </c>
      <c r="Z482">
        <v>-7.1460289999999895E-4</v>
      </c>
      <c r="AA482">
        <v>0.99937500000000001</v>
      </c>
      <c r="AB482">
        <v>32</v>
      </c>
      <c r="AC482">
        <v>31.402999999999899</v>
      </c>
      <c r="AD482">
        <v>-1.1598349999999999</v>
      </c>
      <c r="AE482">
        <v>-1.20710000000002</v>
      </c>
      <c r="AF482">
        <v>1.1215304509675801</v>
      </c>
      <c r="AG482">
        <v>-1.1598349999999999</v>
      </c>
      <c r="AH482">
        <v>31.363397797386298</v>
      </c>
      <c r="AI482">
        <v>92.116511526350905</v>
      </c>
      <c r="AJ482">
        <v>87.952020598129295</v>
      </c>
      <c r="AK482">
        <v>31.4048685585017</v>
      </c>
      <c r="AL482">
        <v>72.729059165280304</v>
      </c>
      <c r="AM482">
        <v>93.436913121358003</v>
      </c>
      <c r="AN482">
        <v>0.99999999302098097</v>
      </c>
    </row>
    <row r="483" spans="1:40" x14ac:dyDescent="0.25">
      <c r="A483" t="str">
        <f>"20190304164604565"</f>
        <v>20190304164604565</v>
      </c>
      <c r="B483" t="str">
        <f>"1551689164557836"</f>
        <v>1551689164557836</v>
      </c>
      <c r="C483" t="s">
        <v>40</v>
      </c>
      <c r="D483">
        <v>4.2147550000000003</v>
      </c>
      <c r="E483">
        <v>0.54944510000000002</v>
      </c>
      <c r="F483" t="s">
        <v>43</v>
      </c>
      <c r="G483">
        <v>-304.05329999999998</v>
      </c>
      <c r="H483">
        <v>-0.05</v>
      </c>
      <c r="I483">
        <v>366.39699999999999</v>
      </c>
      <c r="J483">
        <v>-336.04480000000001</v>
      </c>
      <c r="K483">
        <v>1.109831</v>
      </c>
      <c r="L483">
        <v>367.62920000000003</v>
      </c>
      <c r="M483">
        <v>0.99996379999999996</v>
      </c>
      <c r="N483">
        <v>-8.0908109999999998E-3</v>
      </c>
      <c r="O483">
        <v>-2.6863659999999999E-3</v>
      </c>
      <c r="P483">
        <v>0.95569859999999895</v>
      </c>
      <c r="Q483">
        <v>0.28912480000000002</v>
      </c>
      <c r="R483">
        <v>5.5201710000000001E-2</v>
      </c>
      <c r="S483">
        <v>3.1803889999999999</v>
      </c>
      <c r="T483">
        <v>-0.1140944</v>
      </c>
      <c r="U483">
        <v>-0.121307399999999</v>
      </c>
      <c r="V483">
        <v>-5.7743530000000001E-2</v>
      </c>
      <c r="W483">
        <v>0.29685149999999999</v>
      </c>
      <c r="X483">
        <v>0.95317620000000003</v>
      </c>
      <c r="Y483">
        <v>3.54031E-2</v>
      </c>
      <c r="Z483">
        <v>-7.0334539999999902E-4</v>
      </c>
      <c r="AA483">
        <v>0.99937279999999995</v>
      </c>
      <c r="AB483">
        <v>32</v>
      </c>
      <c r="AC483">
        <v>31.991499999999998</v>
      </c>
      <c r="AD483">
        <v>-1.1598310000000001</v>
      </c>
      <c r="AE483">
        <v>-1.2322000000000299</v>
      </c>
      <c r="AF483">
        <v>1.14474947019457</v>
      </c>
      <c r="AG483">
        <v>-1.1598310000000001</v>
      </c>
      <c r="AH483">
        <v>31.952759021205001</v>
      </c>
      <c r="AI483">
        <v>92.0774953544136</v>
      </c>
      <c r="AJ483">
        <v>87.948181158358693</v>
      </c>
      <c r="AK483">
        <v>31.994288058421802</v>
      </c>
      <c r="AL483">
        <v>72.731405288608698</v>
      </c>
      <c r="AM483">
        <v>93.466748493862795</v>
      </c>
      <c r="AN483">
        <v>0.99999999827777497</v>
      </c>
    </row>
    <row r="484" spans="1:40" x14ac:dyDescent="0.25">
      <c r="A484" t="str">
        <f>"20190304164604588"</f>
        <v>20190304164604588</v>
      </c>
      <c r="B484" t="str">
        <f>"1551689164578332"</f>
        <v>1551689164578332</v>
      </c>
      <c r="C484" t="s">
        <v>40</v>
      </c>
      <c r="D484">
        <v>4.1291580000000003</v>
      </c>
      <c r="E484">
        <v>0.54942170000000001</v>
      </c>
      <c r="F484" t="s">
        <v>43</v>
      </c>
      <c r="G484">
        <v>-303.0025</v>
      </c>
      <c r="H484">
        <v>-0.05</v>
      </c>
      <c r="I484">
        <v>366.38159999999999</v>
      </c>
      <c r="J484">
        <v>-335.72309999999999</v>
      </c>
      <c r="K484">
        <v>1.109812</v>
      </c>
      <c r="L484">
        <v>367.62830000000002</v>
      </c>
      <c r="M484">
        <v>0.99996439999999998</v>
      </c>
      <c r="N484">
        <v>-8.0009160000000003E-3</v>
      </c>
      <c r="O484">
        <v>-2.6925159999999998E-3</v>
      </c>
      <c r="P484">
        <v>0.95564280000000001</v>
      </c>
      <c r="Q484">
        <v>0.28924879999999997</v>
      </c>
      <c r="R484">
        <v>5.551797E-2</v>
      </c>
      <c r="S484">
        <v>3.1797179999999998</v>
      </c>
      <c r="T484">
        <v>-0.11161260000000001</v>
      </c>
      <c r="U484">
        <v>-0.1200562</v>
      </c>
      <c r="V484">
        <v>-5.8068700000000001E-2</v>
      </c>
      <c r="W484">
        <v>0.29688880000000001</v>
      </c>
      <c r="X484">
        <v>0.95314480000000001</v>
      </c>
      <c r="Y484">
        <v>3.501369E-2</v>
      </c>
      <c r="Z484">
        <v>-6.8136629999999998E-4</v>
      </c>
      <c r="AA484">
        <v>0.99938660000000001</v>
      </c>
      <c r="AB484">
        <v>32</v>
      </c>
      <c r="AC484">
        <v>32.720599999999898</v>
      </c>
      <c r="AD484">
        <v>-1.1598120000000001</v>
      </c>
      <c r="AE484">
        <v>-1.2467000000000299</v>
      </c>
      <c r="AF484">
        <v>1.15714018517308</v>
      </c>
      <c r="AG484">
        <v>-1.1598120000000001</v>
      </c>
      <c r="AH484">
        <v>32.682834615934397</v>
      </c>
      <c r="AI484">
        <v>92.031124325834099</v>
      </c>
      <c r="AJ484">
        <v>87.972282148931995</v>
      </c>
      <c r="AK484">
        <v>32.723872261943697</v>
      </c>
      <c r="AL484">
        <v>72.729166786182006</v>
      </c>
      <c r="AM484">
        <v>93.486337277471193</v>
      </c>
      <c r="AN484">
        <v>0.99999997162608401</v>
      </c>
    </row>
    <row r="485" spans="1:40" x14ac:dyDescent="0.25">
      <c r="A485" t="str">
        <f>"20190304164604608"</f>
        <v>20190304164604608</v>
      </c>
      <c r="B485" t="str">
        <f>"1551689164598828"</f>
        <v>1551689164598828</v>
      </c>
      <c r="C485" t="s">
        <v>40</v>
      </c>
      <c r="D485">
        <v>4.1357589999999904</v>
      </c>
      <c r="E485">
        <v>0.54926739999999996</v>
      </c>
      <c r="F485" t="s">
        <v>43</v>
      </c>
      <c r="G485">
        <v>-302.53519999999997</v>
      </c>
      <c r="H485">
        <v>-0.05</v>
      </c>
      <c r="I485">
        <v>366.39210000000003</v>
      </c>
      <c r="J485">
        <v>-335.42039999999997</v>
      </c>
      <c r="K485">
        <v>1.1098129999999999</v>
      </c>
      <c r="L485">
        <v>367.6275</v>
      </c>
      <c r="M485">
        <v>0.99996510000000005</v>
      </c>
      <c r="N485">
        <v>-7.9258519999999902E-3</v>
      </c>
      <c r="O485">
        <v>-2.6962319999999998E-3</v>
      </c>
      <c r="P485">
        <v>0.95566019999999896</v>
      </c>
      <c r="Q485">
        <v>0.289136</v>
      </c>
      <c r="R485">
        <v>5.5805180000000003E-2</v>
      </c>
      <c r="S485">
        <v>3.1797490000000002</v>
      </c>
      <c r="T485">
        <v>-0.1111224</v>
      </c>
      <c r="U485">
        <v>-0.11843869999999999</v>
      </c>
      <c r="V485">
        <v>-5.8362169999999998E-2</v>
      </c>
      <c r="W485">
        <v>0.29670400000000002</v>
      </c>
      <c r="X485">
        <v>0.95318449999999999</v>
      </c>
      <c r="Y485">
        <v>3.4502610000000003E-2</v>
      </c>
      <c r="Z485">
        <v>-6.6651459999999998E-4</v>
      </c>
      <c r="AA485">
        <v>0.99940439999999997</v>
      </c>
      <c r="AB485">
        <v>32</v>
      </c>
      <c r="AC485">
        <v>32.885199999999998</v>
      </c>
      <c r="AD485">
        <v>-1.159813</v>
      </c>
      <c r="AE485">
        <v>-1.2353999999999601</v>
      </c>
      <c r="AF485">
        <v>1.1453040069109699</v>
      </c>
      <c r="AG485">
        <v>-1.159813</v>
      </c>
      <c r="AH485">
        <v>32.847610914864198</v>
      </c>
      <c r="AI485">
        <v>92.020983752967993</v>
      </c>
      <c r="AJ485">
        <v>88.003065943177504</v>
      </c>
      <c r="AK485">
        <v>32.888028677278903</v>
      </c>
      <c r="AL485">
        <v>72.740256030700905</v>
      </c>
      <c r="AM485">
        <v>93.503767312010595</v>
      </c>
      <c r="AN485">
        <v>1.00000004877167</v>
      </c>
    </row>
    <row r="486" spans="1:40" x14ac:dyDescent="0.25">
      <c r="A486" t="str">
        <f>"20190304164604632"</f>
        <v>20190304164604632</v>
      </c>
      <c r="B486" t="str">
        <f>"1551689164618348"</f>
        <v>1551689164618348</v>
      </c>
      <c r="C486" t="s">
        <v>40</v>
      </c>
      <c r="D486">
        <v>4.1591870000000002</v>
      </c>
      <c r="E486">
        <v>0.54919280000000004</v>
      </c>
      <c r="F486" t="s">
        <v>43</v>
      </c>
      <c r="G486">
        <v>-302.06470000000002</v>
      </c>
      <c r="H486">
        <v>-0.05</v>
      </c>
      <c r="I486">
        <v>366.41079999999999</v>
      </c>
      <c r="J486">
        <v>-335.08690000000001</v>
      </c>
      <c r="K486">
        <v>1.1098129999999999</v>
      </c>
      <c r="L486">
        <v>367.6266</v>
      </c>
      <c r="M486">
        <v>0.99996549999999995</v>
      </c>
      <c r="N486">
        <v>-7.8533630000000004E-3</v>
      </c>
      <c r="O486">
        <v>-2.6980580000000001E-3</v>
      </c>
      <c r="P486">
        <v>0.95551399999999997</v>
      </c>
      <c r="Q486">
        <v>0.2896765</v>
      </c>
      <c r="R486">
        <v>5.5500750000000001E-2</v>
      </c>
      <c r="S486">
        <v>3.1794129999999998</v>
      </c>
      <c r="T486">
        <v>-0.1105515</v>
      </c>
      <c r="U486">
        <v>-0.11596679999999999</v>
      </c>
      <c r="V486">
        <v>-5.8061040000000001E-2</v>
      </c>
      <c r="W486">
        <v>0.29717389999999999</v>
      </c>
      <c r="X486">
        <v>0.95305649999999997</v>
      </c>
      <c r="Y486">
        <v>3.372957E-2</v>
      </c>
      <c r="Z486">
        <v>-6.4599850000000001E-4</v>
      </c>
      <c r="AA486">
        <v>0.99943079999999995</v>
      </c>
      <c r="AB486">
        <v>33</v>
      </c>
      <c r="AC486">
        <v>33.022199999999998</v>
      </c>
      <c r="AD486">
        <v>-1.159813</v>
      </c>
      <c r="AE486">
        <v>-1.2158</v>
      </c>
      <c r="AF486">
        <v>1.1253107431482501</v>
      </c>
      <c r="AG486">
        <v>-1.159813</v>
      </c>
      <c r="AH486">
        <v>32.984726298714797</v>
      </c>
      <c r="AI486">
        <v>92.012641610665995</v>
      </c>
      <c r="AJ486">
        <v>88.046048388397395</v>
      </c>
      <c r="AK486">
        <v>33.024288932007899</v>
      </c>
      <c r="AL486">
        <v>72.712061104008896</v>
      </c>
      <c r="AM486">
        <v>93.486200686996497</v>
      </c>
      <c r="AN486">
        <v>1.0000000516996601</v>
      </c>
    </row>
    <row r="487" spans="1:40" x14ac:dyDescent="0.25">
      <c r="A487" t="str">
        <f>"20190304164604644"</f>
        <v>20190304164604644</v>
      </c>
      <c r="B487" t="str">
        <f>"1551689164637915"</f>
        <v>1551689164637915</v>
      </c>
      <c r="C487" t="s">
        <v>40</v>
      </c>
      <c r="D487">
        <v>4.1537689999999996</v>
      </c>
      <c r="E487">
        <v>0.54911799999999999</v>
      </c>
      <c r="F487" t="s">
        <v>43</v>
      </c>
      <c r="G487">
        <v>-300.95460000000003</v>
      </c>
      <c r="H487">
        <v>-0.05</v>
      </c>
      <c r="I487">
        <v>366.3759</v>
      </c>
      <c r="J487">
        <v>-334.89359999999999</v>
      </c>
      <c r="K487">
        <v>1.1098190000000001</v>
      </c>
      <c r="L487">
        <v>367.62599999999998</v>
      </c>
      <c r="M487">
        <v>0.99996580000000002</v>
      </c>
      <c r="N487">
        <v>-7.8166069999999997E-3</v>
      </c>
      <c r="O487">
        <v>-2.6986129999999999E-3</v>
      </c>
      <c r="P487">
        <v>0.95549030000000001</v>
      </c>
      <c r="Q487">
        <v>0.28980080000000003</v>
      </c>
      <c r="R487">
        <v>5.5263020000000003E-2</v>
      </c>
      <c r="S487">
        <v>3.17923</v>
      </c>
      <c r="T487">
        <v>-0.10803020000000001</v>
      </c>
      <c r="U487">
        <v>-0.11648559999999999</v>
      </c>
      <c r="V487">
        <v>-5.7824859999999999E-2</v>
      </c>
      <c r="W487">
        <v>0.29726259999999999</v>
      </c>
      <c r="X487">
        <v>0.95304319999999998</v>
      </c>
      <c r="Y487">
        <v>3.3894870000000001E-2</v>
      </c>
      <c r="Z487">
        <v>-6.375218E-4</v>
      </c>
      <c r="AA487">
        <v>0.99942520000000001</v>
      </c>
      <c r="AB487">
        <v>33</v>
      </c>
      <c r="AC487">
        <v>33.938999999999901</v>
      </c>
      <c r="AD487">
        <v>-1.1598189999999999</v>
      </c>
      <c r="AE487">
        <v>-1.25009999999997</v>
      </c>
      <c r="AF487">
        <v>1.15715488455246</v>
      </c>
      <c r="AG487">
        <v>-1.1598189999999999</v>
      </c>
      <c r="AH487">
        <v>33.9027108432199</v>
      </c>
      <c r="AI487">
        <v>91.958197367400103</v>
      </c>
      <c r="AJ487">
        <v>88.045160353731902</v>
      </c>
      <c r="AK487">
        <v>33.9422743795784</v>
      </c>
      <c r="AL487">
        <v>72.706738483634894</v>
      </c>
      <c r="AM487">
        <v>93.472102659273006</v>
      </c>
      <c r="AN487">
        <v>1.0000000544295</v>
      </c>
    </row>
    <row r="488" spans="1:40" x14ac:dyDescent="0.25">
      <c r="A488" t="str">
        <f>"20190304164604657"</f>
        <v>20190304164604657</v>
      </c>
      <c r="B488" t="str">
        <f>"1551689164648651"</f>
        <v>1551689164648651</v>
      </c>
      <c r="C488" t="s">
        <v>40</v>
      </c>
      <c r="D488">
        <v>4.1358180000000004</v>
      </c>
      <c r="E488">
        <v>0.54910919999999996</v>
      </c>
      <c r="F488" t="s">
        <v>43</v>
      </c>
      <c r="G488">
        <v>-300.61399999999998</v>
      </c>
      <c r="H488">
        <v>-0.05</v>
      </c>
      <c r="I488">
        <v>366.36900000000003</v>
      </c>
      <c r="J488">
        <v>-334.70479999999998</v>
      </c>
      <c r="K488">
        <v>1.1098159999999999</v>
      </c>
      <c r="L488">
        <v>367.62549999999999</v>
      </c>
      <c r="M488">
        <v>0.99996609999999997</v>
      </c>
      <c r="N488">
        <v>-7.78286E-3</v>
      </c>
      <c r="O488">
        <v>-2.6988260000000001E-3</v>
      </c>
      <c r="P488">
        <v>0.95543370000000005</v>
      </c>
      <c r="Q488">
        <v>0.29007830000000001</v>
      </c>
      <c r="R488">
        <v>5.4781799999999999E-2</v>
      </c>
      <c r="S488">
        <v>3.1791079999999998</v>
      </c>
      <c r="T488">
        <v>-0.1075619</v>
      </c>
      <c r="U488">
        <v>-0.1165771</v>
      </c>
      <c r="V488">
        <v>-5.7344930000000002E-2</v>
      </c>
      <c r="W488">
        <v>0.29750759999999998</v>
      </c>
      <c r="X488">
        <v>0.9529957</v>
      </c>
      <c r="Y488">
        <v>3.3924969999999999E-2</v>
      </c>
      <c r="Z488">
        <v>-6.3540099999999996E-4</v>
      </c>
      <c r="AA488">
        <v>0.99942419999999998</v>
      </c>
      <c r="AB488">
        <v>33</v>
      </c>
      <c r="AC488">
        <v>34.090799999999902</v>
      </c>
      <c r="AD488">
        <v>-1.159816</v>
      </c>
      <c r="AE488">
        <v>-1.25649999999996</v>
      </c>
      <c r="AF488">
        <v>1.1631430440094199</v>
      </c>
      <c r="AG488">
        <v>-1.159816</v>
      </c>
      <c r="AH488">
        <v>34.0547037317166</v>
      </c>
      <c r="AI488">
        <v>91.949457703439094</v>
      </c>
      <c r="AJ488">
        <v>88.043815288523405</v>
      </c>
      <c r="AK488">
        <v>34.094294554216397</v>
      </c>
      <c r="AL488">
        <v>72.692035017963406</v>
      </c>
      <c r="AM488">
        <v>93.4435260284599</v>
      </c>
      <c r="AN488">
        <v>1.00000000863647</v>
      </c>
    </row>
    <row r="489" spans="1:40" x14ac:dyDescent="0.25">
      <c r="A489" t="str">
        <f>"20190304164604671"</f>
        <v>20190304164604671</v>
      </c>
      <c r="B489" t="str">
        <f>"1551689164658410"</f>
        <v>1551689164658410</v>
      </c>
      <c r="C489" t="s">
        <v>40</v>
      </c>
      <c r="D489">
        <v>4.163017</v>
      </c>
      <c r="E489">
        <v>0.54908780000000001</v>
      </c>
      <c r="F489" t="s">
        <v>43</v>
      </c>
      <c r="G489">
        <v>-300.10719999999998</v>
      </c>
      <c r="H489">
        <v>-0.05</v>
      </c>
      <c r="I489">
        <v>366.34089999999998</v>
      </c>
      <c r="J489">
        <v>-334.5</v>
      </c>
      <c r="K489">
        <v>1.1098129999999999</v>
      </c>
      <c r="L489">
        <v>367.625</v>
      </c>
      <c r="M489">
        <v>0.99996629999999997</v>
      </c>
      <c r="N489">
        <v>-7.7500140000000004E-3</v>
      </c>
      <c r="O489">
        <v>-2.6986860000000001E-3</v>
      </c>
      <c r="P489">
        <v>0.95553750000000004</v>
      </c>
      <c r="Q489">
        <v>0.28980109999999998</v>
      </c>
      <c r="R489">
        <v>5.4436850000000002E-2</v>
      </c>
      <c r="S489">
        <v>3.1790470000000002</v>
      </c>
      <c r="T489">
        <v>-0.1065712</v>
      </c>
      <c r="U489">
        <v>-0.11804199999999999</v>
      </c>
      <c r="V489">
        <v>-5.7000729999999999E-2</v>
      </c>
      <c r="W489">
        <v>0.29719980000000001</v>
      </c>
      <c r="X489">
        <v>0.95311239999999997</v>
      </c>
      <c r="Y489">
        <v>3.4385789999999999E-2</v>
      </c>
      <c r="Z489">
        <v>-6.3982959999999995E-4</v>
      </c>
      <c r="AA489">
        <v>0.99940839999999997</v>
      </c>
      <c r="AB489">
        <v>33</v>
      </c>
      <c r="AC489">
        <v>34.392800000000001</v>
      </c>
      <c r="AD489">
        <v>-1.159813</v>
      </c>
      <c r="AE489">
        <v>-1.28410000000002</v>
      </c>
      <c r="AF489">
        <v>1.18992585339817</v>
      </c>
      <c r="AG489">
        <v>-1.159813</v>
      </c>
      <c r="AH489">
        <v>34.3571233460721</v>
      </c>
      <c r="AI489">
        <v>91.932274416270602</v>
      </c>
      <c r="AJ489">
        <v>88.016408761978894</v>
      </c>
      <c r="AK489">
        <v>34.397282077931202</v>
      </c>
      <c r="AL489">
        <v>72.710506460643302</v>
      </c>
      <c r="AM489">
        <v>93.422488223921803</v>
      </c>
      <c r="AN489">
        <v>1.00000002568716</v>
      </c>
    </row>
    <row r="490" spans="1:40" x14ac:dyDescent="0.25">
      <c r="A490" t="str">
        <f>"20190304164604687"</f>
        <v>20190304164604687</v>
      </c>
      <c r="B490" t="str">
        <f>"1551689164677930"</f>
        <v>1551689164677930</v>
      </c>
      <c r="C490" t="s">
        <v>40</v>
      </c>
      <c r="D490">
        <v>4.2015890000000002</v>
      </c>
      <c r="E490">
        <v>0.54923559999999905</v>
      </c>
      <c r="F490" t="s">
        <v>43</v>
      </c>
      <c r="G490">
        <v>-300.11610000000002</v>
      </c>
      <c r="H490">
        <v>-0.05</v>
      </c>
      <c r="I490">
        <v>366.34129999999999</v>
      </c>
      <c r="J490">
        <v>-334.2604</v>
      </c>
      <c r="K490">
        <v>1.1098079999999999</v>
      </c>
      <c r="L490">
        <v>367.62430000000001</v>
      </c>
      <c r="M490">
        <v>0.99996669999999999</v>
      </c>
      <c r="N490">
        <v>-7.7159539999999997E-3</v>
      </c>
      <c r="O490">
        <v>-2.6986639999999999E-3</v>
      </c>
      <c r="P490">
        <v>0.95567020000000003</v>
      </c>
      <c r="Q490">
        <v>0.28953610000000002</v>
      </c>
      <c r="R490">
        <v>5.3510969999999998E-2</v>
      </c>
      <c r="S490">
        <v>3.1788639999999999</v>
      </c>
      <c r="T490">
        <v>-0.107227</v>
      </c>
      <c r="U490">
        <v>-0.11868289999999999</v>
      </c>
      <c r="V490">
        <v>-5.6076269999999998E-2</v>
      </c>
      <c r="W490">
        <v>0.29690299999999997</v>
      </c>
      <c r="X490">
        <v>0.95325970000000004</v>
      </c>
      <c r="Y490">
        <v>3.4588769999999998E-2</v>
      </c>
      <c r="Z490">
        <v>-6.4637080000000001E-4</v>
      </c>
      <c r="AA490">
        <v>0.99940150000000005</v>
      </c>
      <c r="AB490">
        <v>33</v>
      </c>
      <c r="AC490">
        <v>34.144299999999902</v>
      </c>
      <c r="AD490">
        <v>-1.159808</v>
      </c>
      <c r="AE490">
        <v>-1.2830000000000099</v>
      </c>
      <c r="AF490">
        <v>1.18947810034066</v>
      </c>
      <c r="AG490">
        <v>-1.159808</v>
      </c>
      <c r="AH490">
        <v>34.1083389601677</v>
      </c>
      <c r="AI490">
        <v>91.946332968416201</v>
      </c>
      <c r="AJ490">
        <v>88.002703468324697</v>
      </c>
      <c r="AK490">
        <v>34.1487744929412</v>
      </c>
      <c r="AL490">
        <v>72.728315230397897</v>
      </c>
      <c r="AM490">
        <v>93.366590641749994</v>
      </c>
      <c r="AN490">
        <v>0.99999999755510105</v>
      </c>
    </row>
    <row r="491" spans="1:40" x14ac:dyDescent="0.25">
      <c r="A491" t="str">
        <f>"20190304164604704"</f>
        <v>20190304164604704</v>
      </c>
      <c r="B491" t="str">
        <f>"1551689164698426"</f>
        <v>1551689164698426</v>
      </c>
      <c r="C491" t="s">
        <v>40</v>
      </c>
      <c r="D491">
        <v>4.2852350000000001</v>
      </c>
      <c r="E491">
        <v>0.56274690000000005</v>
      </c>
      <c r="F491" t="s">
        <v>43</v>
      </c>
      <c r="G491">
        <v>-299.84050000000002</v>
      </c>
      <c r="H491">
        <v>-0.05</v>
      </c>
      <c r="I491">
        <v>366.29520000000002</v>
      </c>
      <c r="J491">
        <v>-334.01639999999998</v>
      </c>
      <c r="K491">
        <v>1.1098049999999999</v>
      </c>
      <c r="L491">
        <v>367.62369999999999</v>
      </c>
      <c r="M491">
        <v>0.99996689999999999</v>
      </c>
      <c r="N491">
        <v>-7.6852500000000002E-3</v>
      </c>
      <c r="O491">
        <v>-2.6948279999999998E-3</v>
      </c>
      <c r="P491">
        <v>0.95560529999999999</v>
      </c>
      <c r="Q491">
        <v>0.28980800000000001</v>
      </c>
      <c r="R491">
        <v>5.3197410000000001E-2</v>
      </c>
      <c r="S491">
        <v>3.1784970000000001</v>
      </c>
      <c r="T491">
        <v>-0.10710219999999999</v>
      </c>
      <c r="U491">
        <v>-0.1227417</v>
      </c>
      <c r="V491">
        <v>-5.5760509999999999E-2</v>
      </c>
      <c r="W491">
        <v>0.29714469999999998</v>
      </c>
      <c r="X491">
        <v>0.95320289999999996</v>
      </c>
      <c r="Y491">
        <v>3.5870409999999998E-2</v>
      </c>
      <c r="Z491">
        <v>-6.7183849999999997E-4</v>
      </c>
      <c r="AA491">
        <v>0.99935620000000003</v>
      </c>
      <c r="AB491">
        <v>33</v>
      </c>
      <c r="AC491">
        <v>34.175899999999899</v>
      </c>
      <c r="AD491">
        <v>-1.159805</v>
      </c>
      <c r="AE491">
        <v>-1.32849999999996</v>
      </c>
      <c r="AF491">
        <v>1.2349741462802799</v>
      </c>
      <c r="AG491">
        <v>-1.159805</v>
      </c>
      <c r="AH491">
        <v>34.140097100692699</v>
      </c>
      <c r="AI491">
        <v>91.944429167840696</v>
      </c>
      <c r="AJ491">
        <v>87.928302111474395</v>
      </c>
      <c r="AK491">
        <v>34.182108460782999</v>
      </c>
      <c r="AL491">
        <v>72.713812152853805</v>
      </c>
      <c r="AM491">
        <v>93.347875964209095</v>
      </c>
      <c r="AN491">
        <v>0.99999998789097899</v>
      </c>
    </row>
    <row r="492" spans="1:40" x14ac:dyDescent="0.25">
      <c r="A492" t="str">
        <f>"20190304164604722"</f>
        <v>20190304164604722</v>
      </c>
      <c r="B492" t="str">
        <f>"1551689164717947"</f>
        <v>1551689164717947</v>
      </c>
      <c r="C492" t="s">
        <v>40</v>
      </c>
      <c r="D492">
        <v>4.2527879999999998</v>
      </c>
      <c r="E492">
        <v>0.56453409999999904</v>
      </c>
      <c r="F492" t="s">
        <v>41</v>
      </c>
      <c r="G492">
        <v>-333.1311</v>
      </c>
      <c r="H492">
        <v>1.0512269999999999</v>
      </c>
      <c r="I492">
        <v>367.56299999999999</v>
      </c>
      <c r="J492">
        <v>-333.74759999999998</v>
      </c>
      <c r="K492">
        <v>1.1098030000000001</v>
      </c>
      <c r="L492">
        <v>367.62299999999999</v>
      </c>
      <c r="M492">
        <v>0.99996700000000005</v>
      </c>
      <c r="N492">
        <v>-7.6557169999999898E-3</v>
      </c>
      <c r="O492">
        <v>-2.6844159999999998E-3</v>
      </c>
      <c r="P492">
        <v>0.95571450000000002</v>
      </c>
      <c r="Q492">
        <v>0.28952600000000001</v>
      </c>
      <c r="R492">
        <v>5.2770949999999997E-2</v>
      </c>
      <c r="S492">
        <v>3.2161870000000001</v>
      </c>
      <c r="T492">
        <v>-0.21291280000000001</v>
      </c>
      <c r="U492">
        <v>-0.2197876</v>
      </c>
      <c r="V492">
        <v>-5.5327929999999997E-2</v>
      </c>
      <c r="W492">
        <v>0.296834599999999</v>
      </c>
      <c r="X492">
        <v>0.95332470000000002</v>
      </c>
      <c r="Y492">
        <v>6.5346109999999999E-2</v>
      </c>
      <c r="Z492">
        <v>-2.252034E-3</v>
      </c>
      <c r="AA492">
        <v>0.99786010000000003</v>
      </c>
      <c r="AB492">
        <v>33</v>
      </c>
      <c r="AC492">
        <v>0.61649999999997296</v>
      </c>
      <c r="AD492">
        <v>-5.8575999999999899E-2</v>
      </c>
      <c r="AE492">
        <v>-6.0000000000002197E-2</v>
      </c>
      <c r="AF492">
        <v>5.7827645056255497E-2</v>
      </c>
      <c r="AG492">
        <v>-5.8575999999999899E-2</v>
      </c>
      <c r="AH492">
        <v>0.61119300208304295</v>
      </c>
      <c r="AI492">
        <v>95.450245131793693</v>
      </c>
      <c r="AJ492">
        <v>84.595085251613099</v>
      </c>
      <c r="AK492">
        <v>0.61671068590063804</v>
      </c>
      <c r="AL492">
        <v>72.732418817288305</v>
      </c>
      <c r="AM492">
        <v>93.321538662916197</v>
      </c>
      <c r="AN492">
        <v>0.99999997161266696</v>
      </c>
    </row>
    <row r="493" spans="1:40" x14ac:dyDescent="0.25">
      <c r="A493" t="str">
        <f>"20190304164604745"</f>
        <v>20190304164604745</v>
      </c>
      <c r="B493" t="str">
        <f>"1551689164738226"</f>
        <v>1551689164738226</v>
      </c>
      <c r="C493" t="s">
        <v>40</v>
      </c>
      <c r="D493">
        <v>4.1823819999999996</v>
      </c>
      <c r="E493">
        <v>0.56546240000000003</v>
      </c>
      <c r="F493" t="s">
        <v>41</v>
      </c>
      <c r="G493">
        <v>-332.83659999999998</v>
      </c>
      <c r="H493">
        <v>1.0497030000000001</v>
      </c>
      <c r="I493">
        <v>367.5557</v>
      </c>
      <c r="J493">
        <v>-333.41030000000001</v>
      </c>
      <c r="K493">
        <v>1.109812</v>
      </c>
      <c r="L493">
        <v>367.62209999999999</v>
      </c>
      <c r="M493">
        <v>0.99996750000000001</v>
      </c>
      <c r="N493">
        <v>-7.6223890000000002E-3</v>
      </c>
      <c r="O493">
        <v>-2.6590479999999998E-3</v>
      </c>
      <c r="P493">
        <v>0.95586749999999998</v>
      </c>
      <c r="Q493">
        <v>0.28905520000000001</v>
      </c>
      <c r="R493">
        <v>5.2582139999999999E-2</v>
      </c>
      <c r="S493">
        <v>3.216431</v>
      </c>
      <c r="T493">
        <v>-0.21246229999999999</v>
      </c>
      <c r="U493">
        <v>-0.23641970000000001</v>
      </c>
      <c r="V493">
        <v>-5.5121919999999998E-2</v>
      </c>
      <c r="W493">
        <v>0.29633189999999998</v>
      </c>
      <c r="X493">
        <v>0.95349309999999998</v>
      </c>
      <c r="Y493">
        <v>7.0487729999999998E-2</v>
      </c>
      <c r="Z493">
        <v>-2.4367299999999998E-3</v>
      </c>
      <c r="AA493">
        <v>0.99750970000000005</v>
      </c>
      <c r="AB493">
        <v>33</v>
      </c>
      <c r="AC493">
        <v>0.57370000000002996</v>
      </c>
      <c r="AD493">
        <v>-6.0108999999999899E-2</v>
      </c>
      <c r="AE493">
        <v>-6.6399999999987303E-2</v>
      </c>
      <c r="AF493">
        <v>6.4179003701289303E-2</v>
      </c>
      <c r="AG493">
        <v>-6.0108999999999899E-2</v>
      </c>
      <c r="AH493">
        <v>0.56772463867865797</v>
      </c>
      <c r="AI493">
        <v>96.005819389434393</v>
      </c>
      <c r="AJ493">
        <v>83.550322215995095</v>
      </c>
      <c r="AK493">
        <v>0.57449395276182202</v>
      </c>
      <c r="AL493">
        <v>72.762579882901406</v>
      </c>
      <c r="AM493">
        <v>93.308615511794699</v>
      </c>
      <c r="AN493">
        <v>1.0000000563848499</v>
      </c>
    </row>
    <row r="494" spans="1:40" x14ac:dyDescent="0.25">
      <c r="A494" t="str">
        <f>"20190304164604757"</f>
        <v>20190304164604757</v>
      </c>
      <c r="B494" t="str">
        <f>"1551689164747986"</f>
        <v>1551689164747986</v>
      </c>
      <c r="C494" t="s">
        <v>40</v>
      </c>
      <c r="D494">
        <v>4.2037899999999997</v>
      </c>
      <c r="E494">
        <v>0.56564119999999996</v>
      </c>
      <c r="F494" t="s">
        <v>41</v>
      </c>
      <c r="G494">
        <v>-332.5367</v>
      </c>
      <c r="H494">
        <v>1.053118</v>
      </c>
      <c r="I494">
        <v>367.55529999999999</v>
      </c>
      <c r="J494">
        <v>-333.21879999999999</v>
      </c>
      <c r="K494">
        <v>1.1098140000000001</v>
      </c>
      <c r="L494">
        <v>367.6216</v>
      </c>
      <c r="M494">
        <v>0.99996779999999996</v>
      </c>
      <c r="N494">
        <v>-7.6032390000000004E-3</v>
      </c>
      <c r="O494">
        <v>-2.6391269999999998E-3</v>
      </c>
      <c r="P494">
        <v>0.95595410000000003</v>
      </c>
      <c r="Q494">
        <v>0.28881200000000001</v>
      </c>
      <c r="R494">
        <v>5.2345410000000002E-2</v>
      </c>
      <c r="S494">
        <v>3.215179</v>
      </c>
      <c r="T494">
        <v>-0.2088315</v>
      </c>
      <c r="U494">
        <v>-0.24557499999999999</v>
      </c>
      <c r="V494">
        <v>-5.4871509999999998E-2</v>
      </c>
      <c r="W494">
        <v>0.29607050000000001</v>
      </c>
      <c r="X494">
        <v>0.95358869999999896</v>
      </c>
      <c r="Y494">
        <v>7.3358759999999995E-2</v>
      </c>
      <c r="Z494">
        <v>-2.505087E-3</v>
      </c>
      <c r="AA494">
        <v>0.99730249999999998</v>
      </c>
      <c r="AB494">
        <v>33</v>
      </c>
      <c r="AC494">
        <v>0.68209999999999105</v>
      </c>
      <c r="AD494">
        <v>-5.6695999999999802E-2</v>
      </c>
      <c r="AE494">
        <v>-6.6300000000012405E-2</v>
      </c>
      <c r="AF494">
        <v>6.4061119557640003E-2</v>
      </c>
      <c r="AG494">
        <v>-5.6695999999999802E-2</v>
      </c>
      <c r="AH494">
        <v>0.677634712810673</v>
      </c>
      <c r="AI494">
        <v>94.761523691386799</v>
      </c>
      <c r="AJ494">
        <v>84.5995156293327</v>
      </c>
      <c r="AK494">
        <v>0.68301322641730799</v>
      </c>
      <c r="AL494">
        <v>72.778259950861994</v>
      </c>
      <c r="AM494">
        <v>93.293288702072104</v>
      </c>
      <c r="AN494">
        <v>1.0000000161738001</v>
      </c>
    </row>
    <row r="495" spans="1:40" x14ac:dyDescent="0.25">
      <c r="A495" t="str">
        <f>"20190304164604777"</f>
        <v>20190304164604777</v>
      </c>
      <c r="B495" t="str">
        <f>"1551689164768485"</f>
        <v>1551689164768485</v>
      </c>
      <c r="C495" t="s">
        <v>40</v>
      </c>
      <c r="D495">
        <v>4.0446989999999996</v>
      </c>
      <c r="E495">
        <v>0.56594049999999996</v>
      </c>
      <c r="F495" t="s">
        <v>41</v>
      </c>
      <c r="G495">
        <v>-332.24489999999997</v>
      </c>
      <c r="H495">
        <v>1.0453589999999999</v>
      </c>
      <c r="I495">
        <v>367.54610000000002</v>
      </c>
      <c r="J495">
        <v>-332.93689999999998</v>
      </c>
      <c r="K495">
        <v>1.1098140000000001</v>
      </c>
      <c r="L495">
        <v>367.62090000000001</v>
      </c>
      <c r="M495">
        <v>0.99996799999999997</v>
      </c>
      <c r="N495">
        <v>-7.5731280000000002E-3</v>
      </c>
      <c r="O495">
        <v>-2.6014860000000001E-3</v>
      </c>
      <c r="P495">
        <v>0.95594500000000004</v>
      </c>
      <c r="Q495">
        <v>0.2887342</v>
      </c>
      <c r="R495">
        <v>5.2932600000000003E-2</v>
      </c>
      <c r="S495">
        <v>3.216278</v>
      </c>
      <c r="T495">
        <v>-0.21313979999999999</v>
      </c>
      <c r="U495">
        <v>-0.2481689</v>
      </c>
      <c r="V495">
        <v>-5.5430010000000002E-2</v>
      </c>
      <c r="W495">
        <v>0.29596209999999901</v>
      </c>
      <c r="X495">
        <v>0.95359000000000005</v>
      </c>
      <c r="Y495">
        <v>7.4161649999999996E-2</v>
      </c>
      <c r="Z495">
        <v>-2.5802730000000001E-3</v>
      </c>
      <c r="AA495">
        <v>0.99724290000000004</v>
      </c>
      <c r="AB495">
        <v>33</v>
      </c>
      <c r="AC495">
        <v>0.69200000000000705</v>
      </c>
      <c r="AD495">
        <v>-6.4454999999999901E-2</v>
      </c>
      <c r="AE495">
        <v>-7.4799999999981895E-2</v>
      </c>
      <c r="AF495">
        <v>7.2378787453348206E-2</v>
      </c>
      <c r="AG495">
        <v>-6.4454999999999901E-2</v>
      </c>
      <c r="AH495">
        <v>0.68630687492849796</v>
      </c>
      <c r="AI495">
        <v>95.335818435453007</v>
      </c>
      <c r="AJ495">
        <v>83.979768274425297</v>
      </c>
      <c r="AK495">
        <v>0.693116341224428</v>
      </c>
      <c r="AL495">
        <v>72.784761395617593</v>
      </c>
      <c r="AM495">
        <v>93.326729428198703</v>
      </c>
      <c r="AN495">
        <v>0.99999996937250402</v>
      </c>
    </row>
    <row r="496" spans="1:40" x14ac:dyDescent="0.25">
      <c r="A496" t="str">
        <f>"20190304164604788"</f>
        <v>20190304164604788</v>
      </c>
      <c r="B496" t="str">
        <f>"1551689164778241"</f>
        <v>1551689164778241</v>
      </c>
      <c r="C496" t="s">
        <v>40</v>
      </c>
      <c r="D496">
        <v>4.0948409999999997</v>
      </c>
      <c r="E496">
        <v>0.56619039999999998</v>
      </c>
      <c r="F496" t="s">
        <v>41</v>
      </c>
      <c r="G496">
        <v>-331.94659999999999</v>
      </c>
      <c r="H496">
        <v>1.0454779999999999</v>
      </c>
      <c r="I496">
        <v>367.54390000000001</v>
      </c>
      <c r="J496">
        <v>-332.74450000000002</v>
      </c>
      <c r="K496">
        <v>1.1098170000000001</v>
      </c>
      <c r="L496">
        <v>367.62040000000002</v>
      </c>
      <c r="M496">
        <v>0.99996819999999997</v>
      </c>
      <c r="N496">
        <v>-7.5523600000000001E-3</v>
      </c>
      <c r="O496">
        <v>-2.5702339999999998E-3</v>
      </c>
      <c r="P496">
        <v>0.95589610000000003</v>
      </c>
      <c r="Q496">
        <v>0.28876079999999998</v>
      </c>
      <c r="R496">
        <v>5.3664799999999999E-2</v>
      </c>
      <c r="S496">
        <v>3.2152099999999999</v>
      </c>
      <c r="T496">
        <v>-0.20894109999999999</v>
      </c>
      <c r="U496">
        <v>-0.24957280000000001</v>
      </c>
      <c r="V496">
        <v>-5.6136949999999998E-2</v>
      </c>
      <c r="W496">
        <v>0.29596800000000001</v>
      </c>
      <c r="X496">
        <v>0.95354680000000003</v>
      </c>
      <c r="Y496">
        <v>7.4656260000000002E-2</v>
      </c>
      <c r="Z496">
        <v>-2.555033E-3</v>
      </c>
      <c r="AA496">
        <v>0.99720600000000004</v>
      </c>
      <c r="AB496">
        <v>33</v>
      </c>
      <c r="AC496">
        <v>0.79790000000002603</v>
      </c>
      <c r="AD496">
        <v>-6.4338999999999896E-2</v>
      </c>
      <c r="AE496">
        <v>-7.6500000000009893E-2</v>
      </c>
      <c r="AF496">
        <v>7.3972306981529207E-2</v>
      </c>
      <c r="AG496">
        <v>-6.4338999999999896E-2</v>
      </c>
      <c r="AH496">
        <v>0.79298491331006005</v>
      </c>
      <c r="AI496">
        <v>94.618580582148297</v>
      </c>
      <c r="AJ496">
        <v>84.670678961020698</v>
      </c>
      <c r="AK496">
        <v>0.79902220360796805</v>
      </c>
      <c r="AL496">
        <v>72.784407275418502</v>
      </c>
      <c r="AM496">
        <v>93.369212837709597</v>
      </c>
      <c r="AN496">
        <v>0.99999995698476996</v>
      </c>
    </row>
    <row r="497" spans="1:40" x14ac:dyDescent="0.25">
      <c r="A497" t="str">
        <f>"20190304164604802"</f>
        <v>20190304164604802</v>
      </c>
      <c r="B497" t="str">
        <f>"1551689164798738"</f>
        <v>1551689164798738</v>
      </c>
      <c r="C497" t="s">
        <v>40</v>
      </c>
      <c r="D497">
        <v>4.1249209999999996</v>
      </c>
      <c r="E497">
        <v>0.56641969999999997</v>
      </c>
      <c r="F497" t="s">
        <v>43</v>
      </c>
      <c r="G497">
        <v>-314.32729999999998</v>
      </c>
      <c r="H497">
        <v>-0.05</v>
      </c>
      <c r="I497">
        <v>366.18709999999999</v>
      </c>
      <c r="J497">
        <v>-332.56</v>
      </c>
      <c r="K497">
        <v>1.109818</v>
      </c>
      <c r="L497">
        <v>367.62</v>
      </c>
      <c r="M497">
        <v>0.99996859999999999</v>
      </c>
      <c r="N497">
        <v>-7.5319139999999998E-3</v>
      </c>
      <c r="O497">
        <v>-2.537564E-3</v>
      </c>
      <c r="P497">
        <v>0.95578370000000001</v>
      </c>
      <c r="Q497">
        <v>0.28899760000000002</v>
      </c>
      <c r="R497">
        <v>5.4389420000000001E-2</v>
      </c>
      <c r="S497">
        <v>3.213562</v>
      </c>
      <c r="T497">
        <v>-0.20237330000000001</v>
      </c>
      <c r="U497">
        <v>-0.25009160000000002</v>
      </c>
      <c r="V497">
        <v>-5.6833639999999998E-2</v>
      </c>
      <c r="W497">
        <v>0.29618339999999999</v>
      </c>
      <c r="X497">
        <v>0.95343869999999997</v>
      </c>
      <c r="Y497">
        <v>7.489759E-2</v>
      </c>
      <c r="Z497">
        <v>-2.494919E-3</v>
      </c>
      <c r="AA497">
        <v>0.99718810000000002</v>
      </c>
      <c r="AB497">
        <v>33</v>
      </c>
      <c r="AC497">
        <v>18.232700000000001</v>
      </c>
      <c r="AD497">
        <v>-1.159818</v>
      </c>
      <c r="AE497">
        <v>-1.4329000000000101</v>
      </c>
      <c r="AF497">
        <v>1.38107325438044</v>
      </c>
      <c r="AG497">
        <v>-1.159818</v>
      </c>
      <c r="AH497">
        <v>18.163231421424499</v>
      </c>
      <c r="AI497">
        <v>93.643188677611505</v>
      </c>
      <c r="AJ497">
        <v>85.651781597885005</v>
      </c>
      <c r="AK497">
        <v>18.2525482274478</v>
      </c>
      <c r="AL497">
        <v>72.771487427094897</v>
      </c>
      <c r="AM497">
        <v>93.411314290734893</v>
      </c>
      <c r="AN497">
        <v>1.0000000118644401</v>
      </c>
    </row>
    <row r="498" spans="1:40" x14ac:dyDescent="0.25">
      <c r="A498" t="str">
        <f>"20190304164604815"</f>
        <v>20190304164604815</v>
      </c>
      <c r="B498" t="str">
        <f>"1551689164808498"</f>
        <v>1551689164808498</v>
      </c>
      <c r="C498" t="s">
        <v>40</v>
      </c>
      <c r="D498">
        <v>4.1258220000000003</v>
      </c>
      <c r="E498">
        <v>0.56641280000000005</v>
      </c>
      <c r="F498" t="s">
        <v>41</v>
      </c>
      <c r="G498">
        <v>-331.64170000000001</v>
      </c>
      <c r="H498">
        <v>1.053272</v>
      </c>
      <c r="I498">
        <v>367.54809999999998</v>
      </c>
      <c r="J498">
        <v>-332.36239999999998</v>
      </c>
      <c r="K498">
        <v>1.1098140000000001</v>
      </c>
      <c r="L498">
        <v>367.61950000000002</v>
      </c>
      <c r="M498">
        <v>0.99996870000000004</v>
      </c>
      <c r="N498">
        <v>-7.509717E-3</v>
      </c>
      <c r="O498">
        <v>-2.5002409999999998E-3</v>
      </c>
      <c r="P498">
        <v>0.95570440000000001</v>
      </c>
      <c r="Q498">
        <v>0.28910970000000002</v>
      </c>
      <c r="R498">
        <v>5.517938E-2</v>
      </c>
      <c r="S498">
        <v>3.212952</v>
      </c>
      <c r="T498">
        <v>-0.19812440000000001</v>
      </c>
      <c r="U498">
        <v>-0.25054929999999997</v>
      </c>
      <c r="V498">
        <v>-5.7591650000000001E-2</v>
      </c>
      <c r="W498">
        <v>0.29627310000000001</v>
      </c>
      <c r="X498">
        <v>0.95336529999999997</v>
      </c>
      <c r="Y498">
        <v>7.5096529999999995E-2</v>
      </c>
      <c r="Z498">
        <v>-2.457341E-3</v>
      </c>
      <c r="AA498">
        <v>0.99717319999999998</v>
      </c>
      <c r="AB498">
        <v>33</v>
      </c>
      <c r="AC498">
        <v>0.72069999999996504</v>
      </c>
      <c r="AD498">
        <v>-5.6541999999999801E-2</v>
      </c>
      <c r="AE498">
        <v>-7.1400000000039598E-2</v>
      </c>
      <c r="AF498">
        <v>6.9176156416746501E-2</v>
      </c>
      <c r="AG498">
        <v>-5.6541999999999801E-2</v>
      </c>
      <c r="AH498">
        <v>0.71650896843460898</v>
      </c>
      <c r="AI498">
        <v>94.491244437310399</v>
      </c>
      <c r="AJ498">
        <v>84.485406887753697</v>
      </c>
      <c r="AK498">
        <v>0.72205778177914604</v>
      </c>
      <c r="AL498">
        <v>72.766105767991306</v>
      </c>
      <c r="AM498">
        <v>93.456968063229596</v>
      </c>
      <c r="AN498">
        <v>0.99999997158871001</v>
      </c>
    </row>
    <row r="499" spans="1:40" x14ac:dyDescent="0.25">
      <c r="A499" t="str">
        <f>"20190304164604832"</f>
        <v>20190304164604832</v>
      </c>
      <c r="B499" t="str">
        <f>"1551689164828017"</f>
        <v>1551689164828017</v>
      </c>
      <c r="C499" t="s">
        <v>40</v>
      </c>
      <c r="D499">
        <v>4.034751</v>
      </c>
      <c r="E499">
        <v>0.56629059999999998</v>
      </c>
      <c r="F499" t="s">
        <v>41</v>
      </c>
      <c r="G499">
        <v>-331.34699999999998</v>
      </c>
      <c r="H499">
        <v>1.046883</v>
      </c>
      <c r="I499">
        <v>367.54109999999997</v>
      </c>
      <c r="J499">
        <v>-332.09870000000001</v>
      </c>
      <c r="K499">
        <v>1.1098140000000001</v>
      </c>
      <c r="L499">
        <v>367.6189</v>
      </c>
      <c r="M499">
        <v>0.99996910000000006</v>
      </c>
      <c r="N499">
        <v>-7.4804119999999997E-3</v>
      </c>
      <c r="O499">
        <v>-2.4457260000000001E-3</v>
      </c>
      <c r="P499">
        <v>0.95562400000000003</v>
      </c>
      <c r="Q499">
        <v>0.28915849999999998</v>
      </c>
      <c r="R499">
        <v>5.6305460000000002E-2</v>
      </c>
      <c r="S499">
        <v>3.2136230000000001</v>
      </c>
      <c r="T499">
        <v>-0.19928870000000001</v>
      </c>
      <c r="U499">
        <v>-0.2474365</v>
      </c>
      <c r="V499">
        <v>-5.8669560000000003E-2</v>
      </c>
      <c r="W499">
        <v>0.29629229999999901</v>
      </c>
      <c r="X499">
        <v>0.95329359999999996</v>
      </c>
      <c r="Y499">
        <v>7.4174859999999995E-2</v>
      </c>
      <c r="Z499">
        <v>-2.4394339999999999E-3</v>
      </c>
      <c r="AA499">
        <v>0.99724230000000003</v>
      </c>
      <c r="AB499">
        <v>33</v>
      </c>
      <c r="AC499">
        <v>0.75170000000002801</v>
      </c>
      <c r="AD499">
        <v>-6.2930999999999807E-2</v>
      </c>
      <c r="AE499">
        <v>-7.7800000000024697E-2</v>
      </c>
      <c r="AF499">
        <v>7.5438140866263506E-2</v>
      </c>
      <c r="AG499">
        <v>-6.2930999999999807E-2</v>
      </c>
      <c r="AH499">
        <v>0.74671000264087595</v>
      </c>
      <c r="AI499">
        <v>94.793088654778501</v>
      </c>
      <c r="AJ499">
        <v>84.231132177418502</v>
      </c>
      <c r="AK499">
        <v>0.75314477486223996</v>
      </c>
      <c r="AL499">
        <v>72.764953875411095</v>
      </c>
      <c r="AM499">
        <v>93.521773023725004</v>
      </c>
      <c r="AN499">
        <v>0.99999996605542096</v>
      </c>
    </row>
    <row r="500" spans="1:40" x14ac:dyDescent="0.25">
      <c r="A500" t="str">
        <f>"20190304164604845"</f>
        <v>20190304164604845</v>
      </c>
      <c r="B500" t="str">
        <f>"1551689164838753"</f>
        <v>1551689164838753</v>
      </c>
      <c r="C500" t="s">
        <v>40</v>
      </c>
      <c r="D500">
        <v>4.0499720000000003</v>
      </c>
      <c r="E500">
        <v>0.56624640000000004</v>
      </c>
      <c r="F500" t="s">
        <v>43</v>
      </c>
      <c r="G500">
        <v>-313.06959999999998</v>
      </c>
      <c r="H500">
        <v>-0.05</v>
      </c>
      <c r="I500">
        <v>366.1823</v>
      </c>
      <c r="J500">
        <v>-331.9085</v>
      </c>
      <c r="K500">
        <v>1.109818</v>
      </c>
      <c r="L500">
        <v>367.61849999999998</v>
      </c>
      <c r="M500">
        <v>0.99996940000000001</v>
      </c>
      <c r="N500">
        <v>-7.458335E-3</v>
      </c>
      <c r="O500">
        <v>-2.4033029999999999E-3</v>
      </c>
      <c r="P500">
        <v>0.95562170000000002</v>
      </c>
      <c r="Q500">
        <v>0.28911789999999998</v>
      </c>
      <c r="R500">
        <v>5.6551289999999997E-2</v>
      </c>
      <c r="S500">
        <v>3.21286</v>
      </c>
      <c r="T500">
        <v>-0.195822</v>
      </c>
      <c r="U500">
        <v>-0.24255370000000001</v>
      </c>
      <c r="V500">
        <v>-5.8876640000000001E-2</v>
      </c>
      <c r="W500">
        <v>0.29623080000000002</v>
      </c>
      <c r="X500">
        <v>0.95330000000000004</v>
      </c>
      <c r="Y500">
        <v>7.2736339999999997E-2</v>
      </c>
      <c r="Z500">
        <v>-2.3550950000000002E-3</v>
      </c>
      <c r="AA500">
        <v>0.99734840000000002</v>
      </c>
      <c r="AB500">
        <v>33</v>
      </c>
      <c r="AC500">
        <v>18.838899999999999</v>
      </c>
      <c r="AD500">
        <v>-1.159818</v>
      </c>
      <c r="AE500">
        <v>-1.4361999999999799</v>
      </c>
      <c r="AF500">
        <v>1.3856972131914</v>
      </c>
      <c r="AG500">
        <v>-1.159818</v>
      </c>
      <c r="AH500">
        <v>18.771559406982799</v>
      </c>
      <c r="AI500">
        <v>93.526008113417504</v>
      </c>
      <c r="AJ500">
        <v>85.778142000025099</v>
      </c>
      <c r="AK500">
        <v>18.858334420877501</v>
      </c>
      <c r="AL500">
        <v>72.768644110558895</v>
      </c>
      <c r="AM500">
        <v>93.534148351499994</v>
      </c>
      <c r="AN500">
        <v>1.0000000178031601</v>
      </c>
    </row>
    <row r="501" spans="1:40" x14ac:dyDescent="0.25">
      <c r="A501" t="str">
        <f>"20190304164604857"</f>
        <v>20190304164604857</v>
      </c>
      <c r="B501" t="str">
        <f>"1551689164848514"</f>
        <v>1551689164848514</v>
      </c>
      <c r="C501" t="s">
        <v>40</v>
      </c>
      <c r="D501">
        <v>4.0464739999999999</v>
      </c>
      <c r="E501">
        <v>0.56620959999999998</v>
      </c>
      <c r="F501" t="s">
        <v>41</v>
      </c>
      <c r="G501">
        <v>-331.0378</v>
      </c>
      <c r="H501">
        <v>1.0570409999999999</v>
      </c>
      <c r="I501">
        <v>367.55290000000002</v>
      </c>
      <c r="J501">
        <v>-331.72300000000001</v>
      </c>
      <c r="K501">
        <v>1.1098159999999999</v>
      </c>
      <c r="L501">
        <v>367.61810000000003</v>
      </c>
      <c r="M501">
        <v>0.99996949999999996</v>
      </c>
      <c r="N501">
        <v>-7.4360490000000001E-3</v>
      </c>
      <c r="O501">
        <v>-2.3614790000000001E-3</v>
      </c>
      <c r="P501">
        <v>0.95564530000000003</v>
      </c>
      <c r="Q501">
        <v>0.28901130000000003</v>
      </c>
      <c r="R501">
        <v>5.6698140000000001E-2</v>
      </c>
      <c r="S501">
        <v>3.212555</v>
      </c>
      <c r="T501">
        <v>-0.1949601</v>
      </c>
      <c r="U501">
        <v>-0.2409973</v>
      </c>
      <c r="V501">
        <v>-5.8985460000000003E-2</v>
      </c>
      <c r="W501">
        <v>0.2961028</v>
      </c>
      <c r="X501">
        <v>0.95333299999999999</v>
      </c>
      <c r="Y501">
        <v>7.2306750000000003E-2</v>
      </c>
      <c r="Z501">
        <v>-2.3329959999999999E-3</v>
      </c>
      <c r="AA501">
        <v>0.99737969999999998</v>
      </c>
      <c r="AB501">
        <v>34</v>
      </c>
      <c r="AC501">
        <v>0.68520000000000802</v>
      </c>
      <c r="AD501">
        <v>-5.2775000000000002E-2</v>
      </c>
      <c r="AE501">
        <v>-6.5200000000004296E-2</v>
      </c>
      <c r="AF501">
        <v>6.3210072734159697E-2</v>
      </c>
      <c r="AG501">
        <v>-5.2775000000000002E-2</v>
      </c>
      <c r="AH501">
        <v>0.681346392232133</v>
      </c>
      <c r="AI501">
        <v>94.410248741819402</v>
      </c>
      <c r="AJ501">
        <v>84.699709943260601</v>
      </c>
      <c r="AK501">
        <v>0.68630432034761402</v>
      </c>
      <c r="AL501">
        <v>72.776321791684794</v>
      </c>
      <c r="AM501">
        <v>93.540541564820202</v>
      </c>
      <c r="AN501">
        <v>0.999999980774125</v>
      </c>
    </row>
    <row r="502" spans="1:40" x14ac:dyDescent="0.25">
      <c r="A502" t="str">
        <f>"20190304164604869"</f>
        <v>20190304164604869</v>
      </c>
      <c r="B502" t="str">
        <f>"1551689164858274"</f>
        <v>1551689164858274</v>
      </c>
      <c r="C502" t="s">
        <v>40</v>
      </c>
      <c r="D502">
        <v>4.0620960000000004</v>
      </c>
      <c r="E502">
        <v>0.566245</v>
      </c>
      <c r="F502" t="s">
        <v>41</v>
      </c>
      <c r="G502">
        <v>-330.74250000000001</v>
      </c>
      <c r="H502">
        <v>1.0504230000000001</v>
      </c>
      <c r="I502">
        <v>367.5446</v>
      </c>
      <c r="J502">
        <v>-331.53480000000002</v>
      </c>
      <c r="K502">
        <v>1.1098110000000001</v>
      </c>
      <c r="L502">
        <v>367.61770000000001</v>
      </c>
      <c r="M502">
        <v>0.99997000000000003</v>
      </c>
      <c r="N502">
        <v>-7.41187099999999E-3</v>
      </c>
      <c r="O502">
        <v>-2.3183399999999999E-3</v>
      </c>
      <c r="P502">
        <v>0.95558889999999996</v>
      </c>
      <c r="Q502">
        <v>0.28913800000000001</v>
      </c>
      <c r="R502">
        <v>5.700272E-2</v>
      </c>
      <c r="S502">
        <v>3.2123719999999998</v>
      </c>
      <c r="T502">
        <v>-0.19466729999999999</v>
      </c>
      <c r="U502">
        <v>-0.24032590000000001</v>
      </c>
      <c r="V502">
        <v>-5.9249879999999998E-2</v>
      </c>
      <c r="W502">
        <v>0.2962053</v>
      </c>
      <c r="X502">
        <v>0.95328480000000004</v>
      </c>
      <c r="Y502">
        <v>7.2147429999999999E-2</v>
      </c>
      <c r="Z502">
        <v>-2.3260059999999998E-3</v>
      </c>
      <c r="AA502">
        <v>0.99739129999999998</v>
      </c>
      <c r="AB502">
        <v>34</v>
      </c>
      <c r="AC502">
        <v>0.792300000000011</v>
      </c>
      <c r="AD502">
        <v>-5.9388000000000198E-2</v>
      </c>
      <c r="AE502">
        <v>-7.3100000000010795E-2</v>
      </c>
      <c r="AF502">
        <v>7.08681229535085E-2</v>
      </c>
      <c r="AG502">
        <v>-5.9388000000000198E-2</v>
      </c>
      <c r="AH502">
        <v>0.78807693240431098</v>
      </c>
      <c r="AI502">
        <v>94.292302114536398</v>
      </c>
      <c r="AJ502">
        <v>84.861476143891196</v>
      </c>
      <c r="AK502">
        <v>0.79348249935505399</v>
      </c>
      <c r="AL502">
        <v>72.770173825800995</v>
      </c>
      <c r="AM502">
        <v>93.5565518151883</v>
      </c>
      <c r="AN502">
        <v>1.0000000189695699</v>
      </c>
    </row>
    <row r="503" spans="1:40" x14ac:dyDescent="0.25">
      <c r="A503" t="str">
        <f>"20190304164604887"</f>
        <v>20190304164604887</v>
      </c>
      <c r="B503" t="str">
        <f>"1551689164878769"</f>
        <v>1551689164878769</v>
      </c>
      <c r="C503" t="s">
        <v>40</v>
      </c>
      <c r="D503">
        <v>4.0845029999999998</v>
      </c>
      <c r="E503">
        <v>0.56628059999999902</v>
      </c>
      <c r="F503" t="s">
        <v>43</v>
      </c>
      <c r="G503">
        <v>-312.44549999999998</v>
      </c>
      <c r="H503">
        <v>-0.05</v>
      </c>
      <c r="I503">
        <v>366.19479999999999</v>
      </c>
      <c r="J503">
        <v>-331.26929999999999</v>
      </c>
      <c r="K503">
        <v>1.109809</v>
      </c>
      <c r="L503">
        <v>367.61709999999999</v>
      </c>
      <c r="M503">
        <v>0.99997029999999998</v>
      </c>
      <c r="N503">
        <v>-7.3772960000000002E-3</v>
      </c>
      <c r="O503">
        <v>-2.2564460000000001E-3</v>
      </c>
      <c r="P503">
        <v>0.95555210000000002</v>
      </c>
      <c r="Q503">
        <v>0.28933940000000002</v>
      </c>
      <c r="R503">
        <v>5.6593699999999997E-2</v>
      </c>
      <c r="S503">
        <v>3.2127690000000002</v>
      </c>
      <c r="T503">
        <v>-0.19519890000000001</v>
      </c>
      <c r="U503">
        <v>-0.2394714</v>
      </c>
      <c r="V503">
        <v>-5.8783000000000002E-2</v>
      </c>
      <c r="W503">
        <v>0.29637380000000002</v>
      </c>
      <c r="X503">
        <v>0.95326129999999998</v>
      </c>
      <c r="Y503">
        <v>7.1935910000000006E-2</v>
      </c>
      <c r="Z503">
        <v>-2.3261079999999999E-3</v>
      </c>
      <c r="AA503">
        <v>0.99740649999999997</v>
      </c>
      <c r="AB503">
        <v>34</v>
      </c>
      <c r="AC503">
        <v>18.823799999999999</v>
      </c>
      <c r="AD503">
        <v>-1.1598090000000001</v>
      </c>
      <c r="AE503">
        <v>-1.4222999999999999</v>
      </c>
      <c r="AF503">
        <v>1.37463147376009</v>
      </c>
      <c r="AG503">
        <v>-1.1598090000000001</v>
      </c>
      <c r="AH503">
        <v>18.756162046572602</v>
      </c>
      <c r="AI503">
        <v>93.529004392854702</v>
      </c>
      <c r="AJ503">
        <v>85.808309977667903</v>
      </c>
      <c r="AK503">
        <v>18.8421968815322</v>
      </c>
      <c r="AL503">
        <v>72.760065063425003</v>
      </c>
      <c r="AM503">
        <v>93.528684586871194</v>
      </c>
      <c r="AN503">
        <v>0.999999988246564</v>
      </c>
    </row>
    <row r="504" spans="1:40" x14ac:dyDescent="0.25">
      <c r="A504" t="str">
        <f>"20190304164604910"</f>
        <v>20190304164604910</v>
      </c>
      <c r="B504" t="str">
        <f>"1551689164898289"</f>
        <v>1551689164898289</v>
      </c>
      <c r="C504" t="s">
        <v>40</v>
      </c>
      <c r="D504">
        <v>4.0274419999999997</v>
      </c>
      <c r="E504">
        <v>0.56636819999999999</v>
      </c>
      <c r="F504" t="s">
        <v>43</v>
      </c>
      <c r="G504">
        <v>-312.26389999999998</v>
      </c>
      <c r="H504">
        <v>-0.05</v>
      </c>
      <c r="I504">
        <v>366.18869999999998</v>
      </c>
      <c r="J504">
        <v>-330.92380000000003</v>
      </c>
      <c r="K504">
        <v>1.109802</v>
      </c>
      <c r="L504">
        <v>367.6164</v>
      </c>
      <c r="M504">
        <v>0.99997069999999999</v>
      </c>
      <c r="N504">
        <v>-7.3342299999999997E-3</v>
      </c>
      <c r="O504">
        <v>-2.1759240000000001E-3</v>
      </c>
      <c r="P504">
        <v>0.95541860000000001</v>
      </c>
      <c r="Q504">
        <v>0.2898386</v>
      </c>
      <c r="R504">
        <v>5.6293349999999999E-2</v>
      </c>
      <c r="S504">
        <v>3.2131959999999999</v>
      </c>
      <c r="T504">
        <v>-0.1960858</v>
      </c>
      <c r="U504">
        <v>-0.24148559999999999</v>
      </c>
      <c r="V504">
        <v>-5.8407500000000001E-2</v>
      </c>
      <c r="W504">
        <v>0.296830599999999</v>
      </c>
      <c r="X504">
        <v>0.9531423</v>
      </c>
      <c r="Y504">
        <v>7.2625490000000001E-2</v>
      </c>
      <c r="Z504">
        <v>-2.3612540000000001E-3</v>
      </c>
      <c r="AA504">
        <v>0.99735649999999998</v>
      </c>
      <c r="AB504">
        <v>34</v>
      </c>
      <c r="AC504">
        <v>18.6599</v>
      </c>
      <c r="AD504">
        <v>-1.159802</v>
      </c>
      <c r="AE504">
        <v>-1.42770000000001</v>
      </c>
      <c r="AF504">
        <v>1.3817859313115699</v>
      </c>
      <c r="AG504">
        <v>-1.159802</v>
      </c>
      <c r="AH504">
        <v>18.591557265858899</v>
      </c>
      <c r="AI504">
        <v>93.559878388552207</v>
      </c>
      <c r="AJ504">
        <v>85.7494036600649</v>
      </c>
      <c r="AK504">
        <v>18.6788777663137</v>
      </c>
      <c r="AL504">
        <v>72.732660081616999</v>
      </c>
      <c r="AM504">
        <v>93.506636767572203</v>
      </c>
      <c r="AN504">
        <v>1.0000000426009401</v>
      </c>
    </row>
    <row r="505" spans="1:40" x14ac:dyDescent="0.25">
      <c r="A505" t="str">
        <f>"20190304164604934"</f>
        <v>20190304164604934</v>
      </c>
      <c r="B505" t="str">
        <f>"1551689164928545"</f>
        <v>1551689164928545</v>
      </c>
      <c r="C505" t="s">
        <v>40</v>
      </c>
      <c r="D505">
        <v>4.0360300000000002</v>
      </c>
      <c r="E505">
        <v>0.56660690000000002</v>
      </c>
      <c r="F505" t="s">
        <v>43</v>
      </c>
      <c r="G505">
        <v>-311.59989999999999</v>
      </c>
      <c r="H505">
        <v>-0.05</v>
      </c>
      <c r="I505">
        <v>366.14819999999997</v>
      </c>
      <c r="J505">
        <v>-330.58170000000001</v>
      </c>
      <c r="K505">
        <v>1.109791</v>
      </c>
      <c r="L505">
        <v>367.6157</v>
      </c>
      <c r="M505">
        <v>0.99997130000000001</v>
      </c>
      <c r="N505">
        <v>-7.2955600000000004E-3</v>
      </c>
      <c r="O505">
        <v>-2.0962569999999998E-3</v>
      </c>
      <c r="P505">
        <v>0.95549790000000001</v>
      </c>
      <c r="Q505">
        <v>0.2897845</v>
      </c>
      <c r="R505">
        <v>5.521773E-2</v>
      </c>
      <c r="S505">
        <v>3.2128909999999999</v>
      </c>
      <c r="T505">
        <v>-0.1928349</v>
      </c>
      <c r="U505">
        <v>-0.2441101</v>
      </c>
      <c r="V505">
        <v>-5.7257000000000002E-2</v>
      </c>
      <c r="W505">
        <v>0.2967399</v>
      </c>
      <c r="X505">
        <v>0.95324030000000004</v>
      </c>
      <c r="Y505">
        <v>7.3524800000000001E-2</v>
      </c>
      <c r="Z505">
        <v>-2.3599010000000002E-3</v>
      </c>
      <c r="AA505">
        <v>0.99729060000000003</v>
      </c>
      <c r="AB505">
        <v>34</v>
      </c>
      <c r="AC505">
        <v>18.9818</v>
      </c>
      <c r="AD505">
        <v>-1.159791</v>
      </c>
      <c r="AE505">
        <v>-1.46750000000002</v>
      </c>
      <c r="AF505">
        <v>1.4224262966832</v>
      </c>
      <c r="AG505">
        <v>-1.159791</v>
      </c>
      <c r="AH505">
        <v>18.914641476895799</v>
      </c>
      <c r="AI505">
        <v>93.498962667435507</v>
      </c>
      <c r="AJ505">
        <v>85.6993154602321</v>
      </c>
      <c r="AK505">
        <v>19.003475311970799</v>
      </c>
      <c r="AL505">
        <v>72.738101256191499</v>
      </c>
      <c r="AM505">
        <v>93.4373784292127</v>
      </c>
      <c r="AN505">
        <v>1.00000000092254</v>
      </c>
    </row>
    <row r="506" spans="1:40" x14ac:dyDescent="0.25">
      <c r="A506" t="str">
        <f>"20190304164604946"</f>
        <v>20190304164604946</v>
      </c>
      <c r="B506" t="str">
        <f>"1551689164938813"</f>
        <v>1551689164938813</v>
      </c>
      <c r="C506" t="s">
        <v>40</v>
      </c>
      <c r="D506">
        <v>3.9877639999999999</v>
      </c>
      <c r="E506">
        <v>0.56664219999999998</v>
      </c>
      <c r="F506" t="s">
        <v>43</v>
      </c>
      <c r="G506">
        <v>-310.83159999999998</v>
      </c>
      <c r="H506">
        <v>-0.05</v>
      </c>
      <c r="I506">
        <v>366.07619999999997</v>
      </c>
      <c r="J506">
        <v>-330.38380000000001</v>
      </c>
      <c r="K506">
        <v>1.109788</v>
      </c>
      <c r="L506">
        <v>367.61540000000002</v>
      </c>
      <c r="M506">
        <v>0.99997150000000001</v>
      </c>
      <c r="N506">
        <v>-7.2758319999999899E-3</v>
      </c>
      <c r="O506">
        <v>-2.0507590000000001E-3</v>
      </c>
      <c r="P506">
        <v>0.95554430000000001</v>
      </c>
      <c r="Q506">
        <v>0.28968890000000003</v>
      </c>
      <c r="R506">
        <v>5.4913129999999997E-2</v>
      </c>
      <c r="S506">
        <v>3.2114259999999999</v>
      </c>
      <c r="T506">
        <v>-0.1885859</v>
      </c>
      <c r="U506">
        <v>-0.25033569999999999</v>
      </c>
      <c r="V506">
        <v>-5.691003E-2</v>
      </c>
      <c r="W506">
        <v>0.29662559999999999</v>
      </c>
      <c r="X506">
        <v>0.95329660000000005</v>
      </c>
      <c r="Y506">
        <v>7.5528289999999998E-2</v>
      </c>
      <c r="Z506">
        <v>-2.3825819999999998E-3</v>
      </c>
      <c r="AA506">
        <v>0.99714080000000005</v>
      </c>
      <c r="AB506">
        <v>34</v>
      </c>
      <c r="AC506">
        <v>19.552199999999999</v>
      </c>
      <c r="AD506">
        <v>-1.15978799999999</v>
      </c>
      <c r="AE506">
        <v>-1.5392000000000501</v>
      </c>
      <c r="AF506">
        <v>1.4938749279108801</v>
      </c>
      <c r="AG506">
        <v>-1.15978799999999</v>
      </c>
      <c r="AH506">
        <v>19.487170866422201</v>
      </c>
      <c r="AI506">
        <v>93.3960266181451</v>
      </c>
      <c r="AJ506">
        <v>85.616313357298694</v>
      </c>
      <c r="AK506">
        <v>19.578728224333599</v>
      </c>
      <c r="AL506">
        <v>72.744958066842003</v>
      </c>
      <c r="AM506">
        <v>93.416396554840503</v>
      </c>
      <c r="AN506">
        <v>0.99999995283075904</v>
      </c>
    </row>
    <row r="507" spans="1:40" x14ac:dyDescent="0.25">
      <c r="A507" t="str">
        <f>"20190304164604959"</f>
        <v>20190304164604959</v>
      </c>
      <c r="B507" t="str">
        <f>"1551689164948572"</f>
        <v>1551689164948572</v>
      </c>
      <c r="C507" t="s">
        <v>40</v>
      </c>
      <c r="D507">
        <v>4.0028199999999998</v>
      </c>
      <c r="E507">
        <v>0.56672650000000002</v>
      </c>
      <c r="F507" t="s">
        <v>43</v>
      </c>
      <c r="G507">
        <v>-310.6114</v>
      </c>
      <c r="H507">
        <v>-0.05</v>
      </c>
      <c r="I507">
        <v>366.0643</v>
      </c>
      <c r="J507">
        <v>-330.1832</v>
      </c>
      <c r="K507">
        <v>1.109785</v>
      </c>
      <c r="L507">
        <v>367.61500000000001</v>
      </c>
      <c r="M507">
        <v>0.99997159999999996</v>
      </c>
      <c r="N507">
        <v>-7.2569389999999996E-3</v>
      </c>
      <c r="O507">
        <v>-2.0046679999999998E-3</v>
      </c>
      <c r="P507">
        <v>0.95563480000000001</v>
      </c>
      <c r="Q507">
        <v>0.28937590000000002</v>
      </c>
      <c r="R507">
        <v>5.498865E-2</v>
      </c>
      <c r="S507">
        <v>3.2111510000000001</v>
      </c>
      <c r="T507">
        <v>-0.18835689999999999</v>
      </c>
      <c r="U507">
        <v>-0.25189210000000001</v>
      </c>
      <c r="V507">
        <v>-5.6942510000000002E-2</v>
      </c>
      <c r="W507">
        <v>0.29629549999999999</v>
      </c>
      <c r="X507">
        <v>0.95339739999999995</v>
      </c>
      <c r="Y507">
        <v>7.6060470000000005E-2</v>
      </c>
      <c r="Z507">
        <v>-2.3993040000000001E-3</v>
      </c>
      <c r="AA507">
        <v>0.99710030000000005</v>
      </c>
      <c r="AB507">
        <v>34</v>
      </c>
      <c r="AC507">
        <v>19.5718</v>
      </c>
      <c r="AD507">
        <v>-1.1597850000000001</v>
      </c>
      <c r="AE507">
        <v>-1.5507</v>
      </c>
      <c r="AF507">
        <v>1.50620483515435</v>
      </c>
      <c r="AG507">
        <v>-1.1597850000000001</v>
      </c>
      <c r="AH507">
        <v>19.506798471127102</v>
      </c>
      <c r="AI507">
        <v>93.392465131079504</v>
      </c>
      <c r="AJ507">
        <v>85.584704259718094</v>
      </c>
      <c r="AK507">
        <v>19.599207658597699</v>
      </c>
      <c r="AL507">
        <v>72.764763179726202</v>
      </c>
      <c r="AM507">
        <v>93.417981202170594</v>
      </c>
      <c r="AN507">
        <v>1.00000003754605</v>
      </c>
    </row>
    <row r="508" spans="1:40" x14ac:dyDescent="0.25">
      <c r="A508" t="str">
        <f>"20190304164604972"</f>
        <v>20190304164604972</v>
      </c>
      <c r="B508" t="str">
        <f>"1551689164968092"</f>
        <v>1551689164968092</v>
      </c>
      <c r="C508" t="s">
        <v>40</v>
      </c>
      <c r="D508">
        <v>3.957916</v>
      </c>
      <c r="E508">
        <v>0.56691809999999998</v>
      </c>
      <c r="F508" t="s">
        <v>41</v>
      </c>
      <c r="G508">
        <v>-329.22179999999997</v>
      </c>
      <c r="H508">
        <v>1.05308</v>
      </c>
      <c r="I508">
        <v>367.53919999999999</v>
      </c>
      <c r="J508">
        <v>-329.97550000000001</v>
      </c>
      <c r="K508">
        <v>1.1097840000000001</v>
      </c>
      <c r="L508">
        <v>367.6146</v>
      </c>
      <c r="M508">
        <v>0.99997190000000002</v>
      </c>
      <c r="N508">
        <v>-7.2388169999999998E-3</v>
      </c>
      <c r="O508">
        <v>-1.957388E-3</v>
      </c>
      <c r="P508">
        <v>0.95565440000000001</v>
      </c>
      <c r="Q508">
        <v>0.289321299999999</v>
      </c>
      <c r="R508">
        <v>5.4936569999999997E-2</v>
      </c>
      <c r="S508">
        <v>3.2112430000000001</v>
      </c>
      <c r="T508">
        <v>-0.18966350000000001</v>
      </c>
      <c r="U508">
        <v>-0.25180049999999998</v>
      </c>
      <c r="V508">
        <v>-5.6845649999999998E-2</v>
      </c>
      <c r="W508">
        <v>0.29622310000000002</v>
      </c>
      <c r="X508">
        <v>0.95342559999999998</v>
      </c>
      <c r="Y508">
        <v>7.6075229999999994E-2</v>
      </c>
      <c r="Z508">
        <v>-2.416053E-3</v>
      </c>
      <c r="AA508">
        <v>0.99709919999999996</v>
      </c>
      <c r="AB508">
        <v>34</v>
      </c>
      <c r="AC508">
        <v>0.75370000000003701</v>
      </c>
      <c r="AD508">
        <v>-5.6703999999999997E-2</v>
      </c>
      <c r="AE508">
        <v>-7.5400000000001896E-2</v>
      </c>
      <c r="AF508">
        <v>7.3512562130996995E-2</v>
      </c>
      <c r="AG508">
        <v>-5.6703999999999997E-2</v>
      </c>
      <c r="AH508">
        <v>0.74964506411184395</v>
      </c>
      <c r="AI508">
        <v>94.305108102382604</v>
      </c>
      <c r="AJ508">
        <v>84.399301950619702</v>
      </c>
      <c r="AK508">
        <v>0.75537220133806504</v>
      </c>
      <c r="AL508">
        <v>72.769105060312995</v>
      </c>
      <c r="AM508">
        <v>93.412080231991297</v>
      </c>
      <c r="AN508">
        <v>0.99999996381644496</v>
      </c>
    </row>
    <row r="509" spans="1:40" x14ac:dyDescent="0.25">
      <c r="A509" t="str">
        <f>"20190304164604988"</f>
        <v>20190304164604988</v>
      </c>
      <c r="B509" t="str">
        <f>"1551689164978828"</f>
        <v>1551689164978828</v>
      </c>
      <c r="C509" t="s">
        <v>40</v>
      </c>
      <c r="D509">
        <v>3.9565510000000002</v>
      </c>
      <c r="E509">
        <v>0.56698930000000003</v>
      </c>
      <c r="F509" t="s">
        <v>43</v>
      </c>
      <c r="G509">
        <v>-310.2405</v>
      </c>
      <c r="H509">
        <v>-0.05</v>
      </c>
      <c r="I509">
        <v>366.05399999999997</v>
      </c>
      <c r="J509">
        <v>-329.74250000000001</v>
      </c>
      <c r="K509">
        <v>1.109777</v>
      </c>
      <c r="L509">
        <v>367.61419999999998</v>
      </c>
      <c r="M509">
        <v>0.99997230000000004</v>
      </c>
      <c r="N509">
        <v>-7.2212069999999899E-3</v>
      </c>
      <c r="O509">
        <v>-1.9043879999999999E-3</v>
      </c>
      <c r="P509">
        <v>0.95567349999999995</v>
      </c>
      <c r="Q509">
        <v>0.28928130000000002</v>
      </c>
      <c r="R509">
        <v>5.4818209999999999E-2</v>
      </c>
      <c r="S509">
        <v>3.2109380000000001</v>
      </c>
      <c r="T509">
        <v>-0.18870010000000001</v>
      </c>
      <c r="U509">
        <v>-0.25390629999999997</v>
      </c>
      <c r="V509">
        <v>-5.6677560000000002E-2</v>
      </c>
      <c r="W509">
        <v>0.296166599999999</v>
      </c>
      <c r="X509">
        <v>0.9534532</v>
      </c>
      <c r="Y509">
        <v>7.6785279999999997E-2</v>
      </c>
      <c r="Z509">
        <v>-2.4308260000000001E-3</v>
      </c>
      <c r="AA509">
        <v>0.99704470000000001</v>
      </c>
      <c r="AB509">
        <v>34</v>
      </c>
      <c r="AC509">
        <v>19.501999999999999</v>
      </c>
      <c r="AD509">
        <v>-1.1597770000000001</v>
      </c>
      <c r="AE509">
        <v>-1.5601999999999501</v>
      </c>
      <c r="AF509">
        <v>1.5177233317419301</v>
      </c>
      <c r="AG509">
        <v>-1.1597770000000001</v>
      </c>
      <c r="AH509">
        <v>19.436632754953902</v>
      </c>
      <c r="AI509">
        <v>93.404431214830595</v>
      </c>
      <c r="AJ509">
        <v>85.535078255260402</v>
      </c>
      <c r="AK509">
        <v>19.5302652222746</v>
      </c>
      <c r="AL509">
        <v>72.772495048523993</v>
      </c>
      <c r="AM509">
        <v>93.401916349822699</v>
      </c>
      <c r="AN509">
        <v>1.00000000267667</v>
      </c>
    </row>
    <row r="510" spans="1:40" x14ac:dyDescent="0.25">
      <c r="A510" t="str">
        <f>"20190304164605003"</f>
        <v>20190304164605003</v>
      </c>
      <c r="B510" t="str">
        <f>"1551689164998348"</f>
        <v>1551689164998348</v>
      </c>
      <c r="C510" t="s">
        <v>40</v>
      </c>
      <c r="D510">
        <v>3.9794480000000001</v>
      </c>
      <c r="E510">
        <v>0.56713590000000003</v>
      </c>
      <c r="F510" t="s">
        <v>43</v>
      </c>
      <c r="G510">
        <v>-309.96929999999998</v>
      </c>
      <c r="H510">
        <v>-0.05</v>
      </c>
      <c r="I510">
        <v>366.04579999999999</v>
      </c>
      <c r="J510">
        <v>-329.53269999999998</v>
      </c>
      <c r="K510">
        <v>1.109772</v>
      </c>
      <c r="L510">
        <v>367.61380000000003</v>
      </c>
      <c r="M510">
        <v>0.99997230000000004</v>
      </c>
      <c r="N510">
        <v>-7.2054329999999998E-3</v>
      </c>
      <c r="O510">
        <v>-1.856641E-3</v>
      </c>
      <c r="P510">
        <v>0.95553560000000004</v>
      </c>
      <c r="Q510">
        <v>0.28970430000000003</v>
      </c>
      <c r="R510">
        <v>5.4983570000000002E-2</v>
      </c>
      <c r="S510">
        <v>3.210785</v>
      </c>
      <c r="T510">
        <v>-0.1883252</v>
      </c>
      <c r="U510">
        <v>-0.25466919999999998</v>
      </c>
      <c r="V510">
        <v>-5.6797340000000002E-2</v>
      </c>
      <c r="W510">
        <v>0.2965737</v>
      </c>
      <c r="X510">
        <v>0.95331949999999999</v>
      </c>
      <c r="Y510">
        <v>7.7072000000000002E-2</v>
      </c>
      <c r="Z510">
        <v>-2.4379029999999999E-3</v>
      </c>
      <c r="AA510">
        <v>0.99702259999999998</v>
      </c>
      <c r="AB510">
        <v>34</v>
      </c>
      <c r="AC510">
        <v>19.563400000000001</v>
      </c>
      <c r="AD510">
        <v>-1.159772</v>
      </c>
      <c r="AE510">
        <v>-1.56800000000004</v>
      </c>
      <c r="AF510">
        <v>1.5263441327946501</v>
      </c>
      <c r="AG510">
        <v>-1.159772</v>
      </c>
      <c r="AH510">
        <v>19.498189676237601</v>
      </c>
      <c r="AI510">
        <v>93.393642325209598</v>
      </c>
      <c r="AJ510">
        <v>85.523938591382006</v>
      </c>
      <c r="AK510">
        <v>19.592197379422199</v>
      </c>
      <c r="AL510">
        <v>72.748072372152507</v>
      </c>
      <c r="AM510">
        <v>93.409565865957305</v>
      </c>
      <c r="AN510">
        <v>0.99999998322150696</v>
      </c>
    </row>
    <row r="511" spans="1:40" x14ac:dyDescent="0.25">
      <c r="A511" t="str">
        <f>"20190304164605015"</f>
        <v>20190304164605015</v>
      </c>
      <c r="B511" t="str">
        <f>"1551689165008108"</f>
        <v>1551689165008108</v>
      </c>
      <c r="C511" t="s">
        <v>40</v>
      </c>
      <c r="D511">
        <v>3.984594</v>
      </c>
      <c r="E511">
        <v>0.56718179999999996</v>
      </c>
      <c r="F511" t="s">
        <v>41</v>
      </c>
      <c r="G511">
        <v>-328.60640000000001</v>
      </c>
      <c r="H511">
        <v>1.0562260000000001</v>
      </c>
      <c r="I511">
        <v>367.53980000000001</v>
      </c>
      <c r="J511">
        <v>-329.3263</v>
      </c>
      <c r="K511">
        <v>1.109769</v>
      </c>
      <c r="L511">
        <v>367.61349999999999</v>
      </c>
      <c r="M511">
        <v>0.99997259999999999</v>
      </c>
      <c r="N511">
        <v>-7.1898639999999998E-3</v>
      </c>
      <c r="O511">
        <v>-1.80985E-3</v>
      </c>
      <c r="P511">
        <v>0.95547850000000001</v>
      </c>
      <c r="Q511">
        <v>0.28984769999999999</v>
      </c>
      <c r="R511">
        <v>5.522092E-2</v>
      </c>
      <c r="S511">
        <v>3.210693</v>
      </c>
      <c r="T511">
        <v>-0.1859876</v>
      </c>
      <c r="U511">
        <v>-0.25534059999999997</v>
      </c>
      <c r="V511">
        <v>-5.6990899999999997E-2</v>
      </c>
      <c r="W511">
        <v>0.2967012</v>
      </c>
      <c r="X511">
        <v>0.95326829999999996</v>
      </c>
      <c r="Y511">
        <v>7.7330940000000001E-2</v>
      </c>
      <c r="Z511">
        <v>-2.4215E-3</v>
      </c>
      <c r="AA511">
        <v>0.99700250000000001</v>
      </c>
      <c r="AB511">
        <v>34</v>
      </c>
      <c r="AC511">
        <v>0.71989999999999499</v>
      </c>
      <c r="AD511">
        <v>-5.3542999999999799E-2</v>
      </c>
      <c r="AE511">
        <v>-7.3699999999973898E-2</v>
      </c>
      <c r="AF511">
        <v>7.2002765941314203E-2</v>
      </c>
      <c r="AG511">
        <v>-5.3542999999999799E-2</v>
      </c>
      <c r="AH511">
        <v>0.71611195855924203</v>
      </c>
      <c r="AI511">
        <v>94.254620863346204</v>
      </c>
      <c r="AJ511">
        <v>84.258389398679896</v>
      </c>
      <c r="AK511">
        <v>0.72171156866420905</v>
      </c>
      <c r="AL511">
        <v>72.740423302705693</v>
      </c>
      <c r="AM511">
        <v>93.421341108056794</v>
      </c>
      <c r="AN511">
        <v>1.0000000082745699</v>
      </c>
    </row>
    <row r="512" spans="1:40" x14ac:dyDescent="0.25">
      <c r="A512" t="str">
        <f>"20190304164605029"</f>
        <v>20190304164605029</v>
      </c>
      <c r="B512" t="str">
        <f>"1551689165018844"</f>
        <v>1551689165018844</v>
      </c>
      <c r="C512" t="s">
        <v>40</v>
      </c>
      <c r="D512">
        <v>3.9548480000000001</v>
      </c>
      <c r="E512">
        <v>0.56722680000000003</v>
      </c>
      <c r="F512" t="s">
        <v>41</v>
      </c>
      <c r="G512">
        <v>-328.30349999999999</v>
      </c>
      <c r="H512">
        <v>1.0508630000000001</v>
      </c>
      <c r="I512">
        <v>367.53210000000001</v>
      </c>
      <c r="J512">
        <v>-329.10660000000001</v>
      </c>
      <c r="K512">
        <v>1.1097669999999999</v>
      </c>
      <c r="L512">
        <v>367.61309999999997</v>
      </c>
      <c r="M512">
        <v>0.9999728</v>
      </c>
      <c r="N512">
        <v>-7.1735289999999997E-3</v>
      </c>
      <c r="O512">
        <v>-1.7604329999999901E-3</v>
      </c>
      <c r="P512">
        <v>0.95548160000000004</v>
      </c>
      <c r="Q512">
        <v>0.28984070000000001</v>
      </c>
      <c r="R512">
        <v>5.520514E-2</v>
      </c>
      <c r="S512">
        <v>3.2106629999999998</v>
      </c>
      <c r="T512">
        <v>-0.18503069999999999</v>
      </c>
      <c r="U512">
        <v>-0.25488280000000002</v>
      </c>
      <c r="V512">
        <v>-5.6928590000000001E-2</v>
      </c>
      <c r="W512">
        <v>0.29667890000000002</v>
      </c>
      <c r="X512">
        <v>0.95327899999999999</v>
      </c>
      <c r="Y512">
        <v>7.7241210000000005E-2</v>
      </c>
      <c r="Z512">
        <v>-2.409511E-3</v>
      </c>
      <c r="AA512">
        <v>0.99700949999999999</v>
      </c>
      <c r="AB512">
        <v>34</v>
      </c>
      <c r="AC512">
        <v>0.80310000000002901</v>
      </c>
      <c r="AD512">
        <v>-5.8903999999999998E-2</v>
      </c>
      <c r="AE512">
        <v>-8.0999999999960395E-2</v>
      </c>
      <c r="AF512">
        <v>7.9164449667843001E-2</v>
      </c>
      <c r="AG512">
        <v>-5.8903999999999998E-2</v>
      </c>
      <c r="AH512">
        <v>0.79898640734306103</v>
      </c>
      <c r="AI512">
        <v>94.195940485269702</v>
      </c>
      <c r="AJ512">
        <v>84.341539579264605</v>
      </c>
      <c r="AK512">
        <v>0.80505650138744</v>
      </c>
      <c r="AL512">
        <v>72.7417618580739</v>
      </c>
      <c r="AM512">
        <v>93.417571046320901</v>
      </c>
      <c r="AN512">
        <v>1.00000004295279</v>
      </c>
    </row>
    <row r="513" spans="1:40" x14ac:dyDescent="0.25">
      <c r="A513" t="str">
        <f>"20190304164605045"</f>
        <v>20190304164605045</v>
      </c>
      <c r="B513" t="str">
        <f>"1551689165038410"</f>
        <v>1551689165038410</v>
      </c>
      <c r="C513" t="s">
        <v>40</v>
      </c>
      <c r="D513">
        <v>3.9367290000000001</v>
      </c>
      <c r="E513">
        <v>0.56735649999999904</v>
      </c>
      <c r="F513" t="s">
        <v>43</v>
      </c>
      <c r="G513">
        <v>-308.93459999999999</v>
      </c>
      <c r="H513">
        <v>-0.05</v>
      </c>
      <c r="I513">
        <v>366.0086</v>
      </c>
      <c r="J513">
        <v>-328.86860000000001</v>
      </c>
      <c r="K513">
        <v>1.1097539999999999</v>
      </c>
      <c r="L513">
        <v>367.61270000000002</v>
      </c>
      <c r="M513">
        <v>0.999973</v>
      </c>
      <c r="N513">
        <v>-7.1570039999999998E-3</v>
      </c>
      <c r="O513">
        <v>-1.706726E-3</v>
      </c>
      <c r="P513">
        <v>0.95530550000000003</v>
      </c>
      <c r="Q513">
        <v>0.29026239999999998</v>
      </c>
      <c r="R513">
        <v>5.6028399999999999E-2</v>
      </c>
      <c r="S513">
        <v>3.2105100000000002</v>
      </c>
      <c r="T513">
        <v>-0.18458469999999999</v>
      </c>
      <c r="U513">
        <v>-0.25537110000000002</v>
      </c>
      <c r="V513">
        <v>-5.7700540000000002E-2</v>
      </c>
      <c r="W513">
        <v>0.29708329999999999</v>
      </c>
      <c r="X513">
        <v>0.95310660000000003</v>
      </c>
      <c r="Y513">
        <v>7.7449379999999998E-2</v>
      </c>
      <c r="Z513">
        <v>-2.4132450000000001E-3</v>
      </c>
      <c r="AA513">
        <v>0.99699340000000003</v>
      </c>
      <c r="AB513">
        <v>34</v>
      </c>
      <c r="AC513">
        <v>19.934000000000001</v>
      </c>
      <c r="AD513">
        <v>-1.159754</v>
      </c>
      <c r="AE513">
        <v>-1.6041000000000101</v>
      </c>
      <c r="AF513">
        <v>1.56481229991421</v>
      </c>
      <c r="AG513">
        <v>-1.159754</v>
      </c>
      <c r="AH513">
        <v>19.869884408279599</v>
      </c>
      <c r="AI513">
        <v>93.330129752756505</v>
      </c>
      <c r="AJ513">
        <v>85.497081246304205</v>
      </c>
      <c r="AK513">
        <v>19.965118914568802</v>
      </c>
      <c r="AL513">
        <v>72.717496978047905</v>
      </c>
      <c r="AM513">
        <v>93.464426143774901</v>
      </c>
      <c r="AN513">
        <v>1.00000001520937</v>
      </c>
    </row>
    <row r="514" spans="1:40" x14ac:dyDescent="0.25">
      <c r="A514" t="str">
        <f>"20190304164605057"</f>
        <v>20190304164605057</v>
      </c>
      <c r="B514" t="str">
        <f>"1551689165048167"</f>
        <v>1551689165048167</v>
      </c>
      <c r="C514" t="s">
        <v>40</v>
      </c>
      <c r="D514">
        <v>3.9377749999999998</v>
      </c>
      <c r="E514">
        <v>0.56739899999999999</v>
      </c>
      <c r="F514" t="s">
        <v>43</v>
      </c>
      <c r="G514">
        <v>-308.38929999999999</v>
      </c>
      <c r="H514">
        <v>-0.05</v>
      </c>
      <c r="I514">
        <v>365.988</v>
      </c>
      <c r="J514">
        <v>-328.67169999999999</v>
      </c>
      <c r="K514">
        <v>1.1097509999999999</v>
      </c>
      <c r="L514">
        <v>367.61239999999998</v>
      </c>
      <c r="M514">
        <v>0.99997320000000001</v>
      </c>
      <c r="N514">
        <v>-7.1442930000000003E-3</v>
      </c>
      <c r="O514">
        <v>-1.6622129999999901E-3</v>
      </c>
      <c r="P514">
        <v>0.95535829999999999</v>
      </c>
      <c r="Q514">
        <v>0.29000930000000003</v>
      </c>
      <c r="R514">
        <v>5.6438759999999998E-2</v>
      </c>
      <c r="S514">
        <v>3.2105100000000002</v>
      </c>
      <c r="T514">
        <v>-0.1818129</v>
      </c>
      <c r="U514">
        <v>-0.25469969999999997</v>
      </c>
      <c r="V514">
        <v>-5.8069120000000002E-2</v>
      </c>
      <c r="W514">
        <v>0.29681819999999998</v>
      </c>
      <c r="X514">
        <v>0.95316679999999998</v>
      </c>
      <c r="Y514">
        <v>7.7290800000000007E-2</v>
      </c>
      <c r="Z514">
        <v>-2.3780540000000001E-3</v>
      </c>
      <c r="AA514">
        <v>0.99700580000000005</v>
      </c>
      <c r="AB514">
        <v>34</v>
      </c>
      <c r="AC514">
        <v>20.282399999999999</v>
      </c>
      <c r="AD514">
        <v>-1.159751</v>
      </c>
      <c r="AE514">
        <v>-1.6243999999999199</v>
      </c>
      <c r="AF514">
        <v>1.58553225870284</v>
      </c>
      <c r="AG514">
        <v>-1.159751</v>
      </c>
      <c r="AH514">
        <v>20.2193847610591</v>
      </c>
      <c r="AI514">
        <v>93.272770695927505</v>
      </c>
      <c r="AJ514">
        <v>85.516244088301804</v>
      </c>
      <c r="AK514">
        <v>20.314587247619301</v>
      </c>
      <c r="AL514">
        <v>72.733403456106402</v>
      </c>
      <c r="AM514">
        <v>93.486282161195206</v>
      </c>
      <c r="AN514">
        <v>1.00000000758552</v>
      </c>
    </row>
    <row r="515" spans="1:40" x14ac:dyDescent="0.25">
      <c r="A515" t="str">
        <f>"20190304164605071"</f>
        <v>20190304164605071</v>
      </c>
      <c r="B515" t="str">
        <f>"1551689165057928"</f>
        <v>1551689165057928</v>
      </c>
      <c r="C515" t="s">
        <v>40</v>
      </c>
      <c r="D515">
        <v>3.8593359999999999</v>
      </c>
      <c r="E515">
        <v>0.5674534</v>
      </c>
      <c r="F515" t="s">
        <v>41</v>
      </c>
      <c r="G515">
        <v>-327.68369999999999</v>
      </c>
      <c r="H515">
        <v>1.0537030000000001</v>
      </c>
      <c r="I515">
        <v>367.5342</v>
      </c>
      <c r="J515">
        <v>-328.4563</v>
      </c>
      <c r="K515">
        <v>1.109748</v>
      </c>
      <c r="L515">
        <v>367.6121</v>
      </c>
      <c r="M515">
        <v>0.99997329999999995</v>
      </c>
      <c r="N515">
        <v>-7.1319069999999998E-3</v>
      </c>
      <c r="O515">
        <v>-1.6134109999999999E-3</v>
      </c>
      <c r="P515">
        <v>0.95539799999999997</v>
      </c>
      <c r="Q515">
        <v>0.28985050000000001</v>
      </c>
      <c r="R515">
        <v>5.658067E-2</v>
      </c>
      <c r="S515">
        <v>3.21048</v>
      </c>
      <c r="T515">
        <v>-0.18222830000000001</v>
      </c>
      <c r="U515">
        <v>-0.2535095</v>
      </c>
      <c r="V515">
        <v>-5.8164609999999999E-2</v>
      </c>
      <c r="W515">
        <v>0.29664800000000002</v>
      </c>
      <c r="X515">
        <v>0.95321400000000001</v>
      </c>
      <c r="Y515">
        <v>7.6972830000000006E-2</v>
      </c>
      <c r="Z515">
        <v>-2.3746449999999999E-3</v>
      </c>
      <c r="AA515">
        <v>0.99703039999999998</v>
      </c>
      <c r="AB515">
        <v>34</v>
      </c>
      <c r="AC515">
        <v>0.77260000000001094</v>
      </c>
      <c r="AD515">
        <v>-5.60449999999999E-2</v>
      </c>
      <c r="AE515">
        <v>-7.7899999999999595E-2</v>
      </c>
      <c r="AF515">
        <v>7.6256111896188694E-2</v>
      </c>
      <c r="AG515">
        <v>-5.60449999999999E-2</v>
      </c>
      <c r="AH515">
        <v>0.76872026095970702</v>
      </c>
      <c r="AI515">
        <v>94.149583935065394</v>
      </c>
      <c r="AJ515">
        <v>84.334862474556601</v>
      </c>
      <c r="AK515">
        <v>0.77452364472395796</v>
      </c>
      <c r="AL515">
        <v>72.743615770881902</v>
      </c>
      <c r="AM515">
        <v>93.491828412934794</v>
      </c>
      <c r="AN515">
        <v>1.0000000437782199</v>
      </c>
    </row>
    <row r="516" spans="1:40" x14ac:dyDescent="0.25">
      <c r="A516" t="str">
        <f>"20190304164605088"</f>
        <v>20190304164605088</v>
      </c>
      <c r="B516" t="str">
        <f>"1551689165078426"</f>
        <v>1551689165078426</v>
      </c>
      <c r="C516" t="s">
        <v>40</v>
      </c>
      <c r="D516">
        <v>3.933697</v>
      </c>
      <c r="E516">
        <v>0.56760129999999998</v>
      </c>
      <c r="F516" t="s">
        <v>43</v>
      </c>
      <c r="G516">
        <v>-308.0566</v>
      </c>
      <c r="H516">
        <v>-0.05</v>
      </c>
      <c r="I516">
        <v>366.00099999999998</v>
      </c>
      <c r="J516">
        <v>-328.19990000000001</v>
      </c>
      <c r="K516">
        <v>1.1097520000000001</v>
      </c>
      <c r="L516">
        <v>367.61169999999998</v>
      </c>
      <c r="M516">
        <v>0.99997349999999996</v>
      </c>
      <c r="N516">
        <v>-7.1192349999999998E-3</v>
      </c>
      <c r="O516">
        <v>-1.555311E-3</v>
      </c>
      <c r="P516">
        <v>0.95527899999999999</v>
      </c>
      <c r="Q516">
        <v>0.290197599999999</v>
      </c>
      <c r="R516">
        <v>5.6812479999999999E-2</v>
      </c>
      <c r="S516">
        <v>3.21048</v>
      </c>
      <c r="T516">
        <v>-0.1825196</v>
      </c>
      <c r="U516">
        <v>-0.25353999999999999</v>
      </c>
      <c r="V516">
        <v>-5.8340980000000001E-2</v>
      </c>
      <c r="W516">
        <v>0.29698219999999997</v>
      </c>
      <c r="X516">
        <v>0.95309909999999998</v>
      </c>
      <c r="Y516">
        <v>7.70396E-2</v>
      </c>
      <c r="Z516">
        <v>-2.382482E-3</v>
      </c>
      <c r="AA516">
        <v>0.99702519999999994</v>
      </c>
      <c r="AB516">
        <v>34</v>
      </c>
      <c r="AC516">
        <v>20.1433</v>
      </c>
      <c r="AD516">
        <v>-1.1597519999999999</v>
      </c>
      <c r="AE516">
        <v>-1.6107</v>
      </c>
      <c r="AF516">
        <v>1.5741830739715801</v>
      </c>
      <c r="AG516">
        <v>-1.1597519999999999</v>
      </c>
      <c r="AH516">
        <v>20.079641937507699</v>
      </c>
      <c r="AI516">
        <v>93.295505106253401</v>
      </c>
      <c r="AJ516">
        <v>85.517353101166293</v>
      </c>
      <c r="AK516">
        <v>20.1746151732914</v>
      </c>
      <c r="AL516">
        <v>72.723563027251203</v>
      </c>
      <c r="AM516">
        <v>93.502811390838602</v>
      </c>
      <c r="AN516">
        <v>0.99999999574250498</v>
      </c>
    </row>
    <row r="517" spans="1:40" x14ac:dyDescent="0.25">
      <c r="A517" t="str">
        <f>"20190304164605103"</f>
        <v>20190304164605103</v>
      </c>
      <c r="B517" t="str">
        <f>"1551689165097942"</f>
        <v>1551689165097942</v>
      </c>
      <c r="C517" t="s">
        <v>40</v>
      </c>
      <c r="D517">
        <v>3.9146329999999998</v>
      </c>
      <c r="E517">
        <v>0.56784460000000003</v>
      </c>
      <c r="F517" t="s">
        <v>43</v>
      </c>
      <c r="G517">
        <v>-307.64949999999999</v>
      </c>
      <c r="H517">
        <v>-0.05</v>
      </c>
      <c r="I517">
        <v>365.99579999999997</v>
      </c>
      <c r="J517">
        <v>-327.97179999999997</v>
      </c>
      <c r="K517">
        <v>1.10975</v>
      </c>
      <c r="L517">
        <v>367.6114</v>
      </c>
      <c r="M517">
        <v>0.99997369999999997</v>
      </c>
      <c r="N517">
        <v>-7.1094560000000001E-3</v>
      </c>
      <c r="O517">
        <v>-1.5034200000000001E-3</v>
      </c>
      <c r="P517">
        <v>0.95524710000000002</v>
      </c>
      <c r="Q517">
        <v>0.29023100000000002</v>
      </c>
      <c r="R517">
        <v>5.7179689999999998E-2</v>
      </c>
      <c r="S517">
        <v>3.2105100000000002</v>
      </c>
      <c r="T517">
        <v>-0.18118419999999999</v>
      </c>
      <c r="U517">
        <v>-0.25244139999999998</v>
      </c>
      <c r="V517">
        <v>-5.8658670000000003E-2</v>
      </c>
      <c r="W517">
        <v>0.29700589999999999</v>
      </c>
      <c r="X517">
        <v>0.95307220000000004</v>
      </c>
      <c r="Y517">
        <v>7.6753879999999997E-2</v>
      </c>
      <c r="Z517">
        <v>-2.360268E-3</v>
      </c>
      <c r="AA517">
        <v>0.99704729999999997</v>
      </c>
      <c r="AB517">
        <v>35</v>
      </c>
      <c r="AC517">
        <v>20.322299999999899</v>
      </c>
      <c r="AD517">
        <v>-1.1597500000000001</v>
      </c>
      <c r="AE517">
        <v>-1.6156000000000199</v>
      </c>
      <c r="AF517">
        <v>1.5799313428792801</v>
      </c>
      <c r="AG517">
        <v>-1.1597500000000001</v>
      </c>
      <c r="AH517">
        <v>20.259141639384001</v>
      </c>
      <c r="AI517">
        <v>93.266468288437196</v>
      </c>
      <c r="AJ517">
        <v>85.540751417530601</v>
      </c>
      <c r="AK517">
        <v>20.3537225852013</v>
      </c>
      <c r="AL517">
        <v>72.722140695033204</v>
      </c>
      <c r="AM517">
        <v>93.521936874314903</v>
      </c>
      <c r="AN517">
        <v>0.99999998130690904</v>
      </c>
    </row>
    <row r="518" spans="1:40" x14ac:dyDescent="0.25">
      <c r="A518" t="str">
        <f>"20190304164605125"</f>
        <v>20190304164605125</v>
      </c>
      <c r="B518" t="str">
        <f>"1551689165118439"</f>
        <v>1551689165118439</v>
      </c>
      <c r="C518" t="s">
        <v>40</v>
      </c>
      <c r="D518">
        <v>3.9556840000000002</v>
      </c>
      <c r="E518">
        <v>0.56799290000000002</v>
      </c>
      <c r="F518" t="s">
        <v>41</v>
      </c>
      <c r="G518">
        <v>-327.05070000000001</v>
      </c>
      <c r="H518">
        <v>1.0580099999999999</v>
      </c>
      <c r="I518">
        <v>367.53859999999997</v>
      </c>
      <c r="J518">
        <v>-327.64030000000002</v>
      </c>
      <c r="K518">
        <v>1.109739</v>
      </c>
      <c r="L518">
        <v>367.61099999999999</v>
      </c>
      <c r="M518">
        <v>0.99997389999999997</v>
      </c>
      <c r="N518">
        <v>-7.0977509999999898E-3</v>
      </c>
      <c r="O518">
        <v>-1.428038E-3</v>
      </c>
      <c r="P518">
        <v>0.95523610000000003</v>
      </c>
      <c r="Q518">
        <v>0.29020319999999999</v>
      </c>
      <c r="R518">
        <v>5.7503369999999998E-2</v>
      </c>
      <c r="S518">
        <v>3.2106020000000002</v>
      </c>
      <c r="T518">
        <v>-0.18055589999999999</v>
      </c>
      <c r="U518">
        <v>-0.25308229999999998</v>
      </c>
      <c r="V518">
        <v>-5.8910270000000001E-2</v>
      </c>
      <c r="W518">
        <v>0.29696669999999997</v>
      </c>
      <c r="X518">
        <v>0.9530689</v>
      </c>
      <c r="Y518">
        <v>7.7024949999999995E-2</v>
      </c>
      <c r="Z518">
        <v>-2.364802E-3</v>
      </c>
      <c r="AA518">
        <v>0.99702639999999998</v>
      </c>
      <c r="AB518">
        <v>35</v>
      </c>
      <c r="AC518">
        <v>0.589600000000018</v>
      </c>
      <c r="AD518">
        <v>-5.17289999999999E-2</v>
      </c>
      <c r="AE518">
        <v>-7.2400000000015993E-2</v>
      </c>
      <c r="AF518">
        <v>7.1019378440415795E-2</v>
      </c>
      <c r="AG518">
        <v>-5.17289999999999E-2</v>
      </c>
      <c r="AH518">
        <v>0.58526460240864797</v>
      </c>
      <c r="AI518">
        <v>95.014406363709895</v>
      </c>
      <c r="AJ518">
        <v>83.081226888273306</v>
      </c>
      <c r="AK518">
        <v>0.59182285896002296</v>
      </c>
      <c r="AL518">
        <v>72.7244928697191</v>
      </c>
      <c r="AM518">
        <v>93.537017187452406</v>
      </c>
      <c r="AN518">
        <v>0.99999998448378602</v>
      </c>
    </row>
    <row r="519" spans="1:40" x14ac:dyDescent="0.25">
      <c r="A519" t="str">
        <f>"20190304164605146"</f>
        <v>20190304164605146</v>
      </c>
      <c r="B519" t="str">
        <f>"1551689165137960"</f>
        <v>1551689165137960</v>
      </c>
      <c r="C519" t="s">
        <v>40</v>
      </c>
      <c r="D519">
        <v>3.945611</v>
      </c>
      <c r="E519">
        <v>0.56815629999999995</v>
      </c>
      <c r="F519" t="s">
        <v>43</v>
      </c>
      <c r="G519">
        <v>-307.04680000000002</v>
      </c>
      <c r="H519">
        <v>-0.05</v>
      </c>
      <c r="I519">
        <v>365.98340000000002</v>
      </c>
      <c r="J519">
        <v>-327.2962</v>
      </c>
      <c r="K519">
        <v>1.1097379999999999</v>
      </c>
      <c r="L519">
        <v>367.6105</v>
      </c>
      <c r="M519">
        <v>0.99997400000000003</v>
      </c>
      <c r="N519">
        <v>-7.0885469999999997E-3</v>
      </c>
      <c r="O519">
        <v>-1.3496840000000001E-3</v>
      </c>
      <c r="P519">
        <v>0.95520970000000005</v>
      </c>
      <c r="Q519">
        <v>0.29025200000000001</v>
      </c>
      <c r="R519">
        <v>5.7690869999999998E-2</v>
      </c>
      <c r="S519">
        <v>3.210785</v>
      </c>
      <c r="T519">
        <v>-0.18081820000000001</v>
      </c>
      <c r="U519">
        <v>-0.25375370000000003</v>
      </c>
      <c r="V519">
        <v>-5.9023119999999998E-2</v>
      </c>
      <c r="W519">
        <v>0.2970063</v>
      </c>
      <c r="X519">
        <v>0.95304960000000005</v>
      </c>
      <c r="Y519">
        <v>7.7304880000000006E-2</v>
      </c>
      <c r="Z519">
        <v>-2.3800240000000001E-3</v>
      </c>
      <c r="AA519">
        <v>0.99700469999999997</v>
      </c>
      <c r="AB519">
        <v>35</v>
      </c>
      <c r="AC519">
        <v>20.249399999999898</v>
      </c>
      <c r="AD519">
        <v>-1.1597379999999999</v>
      </c>
      <c r="AE519">
        <v>-1.62709999999998</v>
      </c>
      <c r="AF519">
        <v>1.5945706433398701</v>
      </c>
      <c r="AG519">
        <v>-1.1597379999999999</v>
      </c>
      <c r="AH519">
        <v>20.185789762539699</v>
      </c>
      <c r="AI519">
        <v>93.278021044430105</v>
      </c>
      <c r="AJ519">
        <v>85.483315782097193</v>
      </c>
      <c r="AK519">
        <v>20.281857806983599</v>
      </c>
      <c r="AL519">
        <v>72.722117124777895</v>
      </c>
      <c r="AM519">
        <v>93.543847117844606</v>
      </c>
      <c r="AN519">
        <v>1.00000000549719</v>
      </c>
    </row>
    <row r="520" spans="1:40" x14ac:dyDescent="0.25">
      <c r="A520" t="str">
        <f>"20190304164605159"</f>
        <v>20190304164605159</v>
      </c>
      <c r="B520" t="str">
        <f>"1551689165148696"</f>
        <v>1551689165148696</v>
      </c>
      <c r="C520" t="s">
        <v>40</v>
      </c>
      <c r="D520">
        <v>3.8396089999999998</v>
      </c>
      <c r="E520">
        <v>0.56824280000000005</v>
      </c>
      <c r="F520" t="s">
        <v>43</v>
      </c>
      <c r="G520">
        <v>-306.6266</v>
      </c>
      <c r="H520">
        <v>-0.05</v>
      </c>
      <c r="I520">
        <v>365.96370000000002</v>
      </c>
      <c r="J520">
        <v>-327.09629999999999</v>
      </c>
      <c r="K520">
        <v>1.1097360000000001</v>
      </c>
      <c r="L520">
        <v>367.6103</v>
      </c>
      <c r="M520">
        <v>0.99997400000000003</v>
      </c>
      <c r="N520">
        <v>-7.0834690000000002E-3</v>
      </c>
      <c r="O520">
        <v>-1.304127E-3</v>
      </c>
      <c r="P520">
        <v>0.95525349999999998</v>
      </c>
      <c r="Q520">
        <v>0.29016920000000002</v>
      </c>
      <c r="R520">
        <v>5.737942E-2</v>
      </c>
      <c r="S520">
        <v>3.2108460000000001</v>
      </c>
      <c r="T520">
        <v>-0.1801548</v>
      </c>
      <c r="U520">
        <v>-0.25582890000000003</v>
      </c>
      <c r="V520">
        <v>-5.8668489999999997E-2</v>
      </c>
      <c r="W520">
        <v>0.2969193</v>
      </c>
      <c r="X520">
        <v>0.95309860000000002</v>
      </c>
      <c r="Y520">
        <v>7.7988829999999995E-2</v>
      </c>
      <c r="Z520">
        <v>-2.3958550000000001E-3</v>
      </c>
      <c r="AA520">
        <v>0.99695129999999998</v>
      </c>
      <c r="AB520">
        <v>35</v>
      </c>
      <c r="AC520">
        <v>20.4696999999999</v>
      </c>
      <c r="AD520">
        <v>-1.1597360000000001</v>
      </c>
      <c r="AE520">
        <v>-1.6465999999999701</v>
      </c>
      <c r="AF520">
        <v>1.61475292260467</v>
      </c>
      <c r="AG520">
        <v>-1.1597360000000001</v>
      </c>
      <c r="AH520">
        <v>20.406746963577302</v>
      </c>
      <c r="AI520">
        <v>93.242564354548406</v>
      </c>
      <c r="AJ520">
        <v>85.475704465884604</v>
      </c>
      <c r="AK520">
        <v>20.503359144935899</v>
      </c>
      <c r="AL520">
        <v>72.727337282244406</v>
      </c>
      <c r="AM520">
        <v>93.522427669226104</v>
      </c>
      <c r="AN520">
        <v>1.0000000018766599</v>
      </c>
    </row>
    <row r="521" spans="1:40" x14ac:dyDescent="0.25">
      <c r="A521" t="str">
        <f>"20190304164605178"</f>
        <v>20190304164605178</v>
      </c>
      <c r="B521" t="str">
        <f>"1551689165168215"</f>
        <v>1551689165168215</v>
      </c>
      <c r="C521" t="s">
        <v>40</v>
      </c>
      <c r="D521">
        <v>4.0171809999999999</v>
      </c>
      <c r="E521">
        <v>0.56838259999999996</v>
      </c>
      <c r="F521" t="s">
        <v>41</v>
      </c>
      <c r="G521">
        <v>-326.12529999999998</v>
      </c>
      <c r="H521">
        <v>1.055545</v>
      </c>
      <c r="I521">
        <v>367.53199999999998</v>
      </c>
      <c r="J521">
        <v>-326.7978</v>
      </c>
      <c r="K521">
        <v>1.1097330000000001</v>
      </c>
      <c r="L521">
        <v>367.61</v>
      </c>
      <c r="M521">
        <v>0.99997429999999998</v>
      </c>
      <c r="N521">
        <v>-7.0748909999999998E-3</v>
      </c>
      <c r="O521">
        <v>-1.236979E-3</v>
      </c>
      <c r="P521">
        <v>0.95536379999999999</v>
      </c>
      <c r="Q521">
        <v>0.28984559999999998</v>
      </c>
      <c r="R521">
        <v>5.7183930000000001E-2</v>
      </c>
      <c r="S521">
        <v>3.2105709999999998</v>
      </c>
      <c r="T521">
        <v>-0.17950769999999999</v>
      </c>
      <c r="U521">
        <v>-0.25787349999999998</v>
      </c>
      <c r="V521">
        <v>-5.8409370000000002E-2</v>
      </c>
      <c r="W521">
        <v>0.29658830000000003</v>
      </c>
      <c r="X521">
        <v>0.9532176</v>
      </c>
      <c r="Y521">
        <v>7.8692999999999999E-2</v>
      </c>
      <c r="Z521">
        <v>-2.4134809999999999E-3</v>
      </c>
      <c r="AA521">
        <v>0.996896</v>
      </c>
      <c r="AB521">
        <v>35</v>
      </c>
      <c r="AC521">
        <v>0.67250000000001298</v>
      </c>
      <c r="AD521">
        <v>-5.4187999999999903E-2</v>
      </c>
      <c r="AE521">
        <v>-7.8000000000031294E-2</v>
      </c>
      <c r="AF521">
        <v>7.6676824050796094E-2</v>
      </c>
      <c r="AG521">
        <v>-5.4187999999999903E-2</v>
      </c>
      <c r="AH521">
        <v>0.66831444124224104</v>
      </c>
      <c r="AI521">
        <v>94.605411613818802</v>
      </c>
      <c r="AJ521">
        <v>83.454978234711604</v>
      </c>
      <c r="AK521">
        <v>0.67487766822102302</v>
      </c>
      <c r="AL521">
        <v>72.747197339711406</v>
      </c>
      <c r="AM521">
        <v>93.506472430889801</v>
      </c>
      <c r="AN521">
        <v>1.0000000335752199</v>
      </c>
    </row>
    <row r="522" spans="1:40" x14ac:dyDescent="0.25">
      <c r="A522" t="str">
        <f>"20190304164605201"</f>
        <v>20190304164605201</v>
      </c>
      <c r="B522" t="str">
        <f>"1551689165188711"</f>
        <v>1551689165188711</v>
      </c>
      <c r="C522" t="s">
        <v>40</v>
      </c>
      <c r="D522">
        <v>4.0154579999999997</v>
      </c>
      <c r="E522">
        <v>0.56842950000000003</v>
      </c>
      <c r="F522" t="s">
        <v>41</v>
      </c>
      <c r="G522">
        <v>-325.81259999999997</v>
      </c>
      <c r="H522">
        <v>1.0544849999999999</v>
      </c>
      <c r="I522">
        <v>367.5299</v>
      </c>
      <c r="J522">
        <v>-326.44450000000001</v>
      </c>
      <c r="K522">
        <v>1.109726</v>
      </c>
      <c r="L522">
        <v>367.6096</v>
      </c>
      <c r="M522">
        <v>0.99997440000000004</v>
      </c>
      <c r="N522">
        <v>-7.0640219999999997E-3</v>
      </c>
      <c r="O522">
        <v>-1.1569499999999999E-3</v>
      </c>
      <c r="P522">
        <v>0.95537309999999998</v>
      </c>
      <c r="Q522">
        <v>0.2897884</v>
      </c>
      <c r="R522">
        <v>5.7314450000000003E-2</v>
      </c>
      <c r="S522">
        <v>3.2104189999999999</v>
      </c>
      <c r="T522">
        <v>-0.18045749999999999</v>
      </c>
      <c r="U522">
        <v>-0.25946039999999998</v>
      </c>
      <c r="V522">
        <v>-5.8463380000000002E-2</v>
      </c>
      <c r="W522">
        <v>0.29652089999999998</v>
      </c>
      <c r="X522">
        <v>0.95323519999999995</v>
      </c>
      <c r="Y522">
        <v>7.9263689999999998E-2</v>
      </c>
      <c r="Z522">
        <v>-2.446279E-3</v>
      </c>
      <c r="AA522">
        <v>0.99685069999999998</v>
      </c>
      <c r="AB522">
        <v>35</v>
      </c>
      <c r="AC522">
        <v>0.63190000000002999</v>
      </c>
      <c r="AD522">
        <v>-5.5240999999999797E-2</v>
      </c>
      <c r="AE522">
        <v>-7.9700000000002505E-2</v>
      </c>
      <c r="AF522">
        <v>7.8379230781498999E-2</v>
      </c>
      <c r="AG522">
        <v>-5.5240999999999797E-2</v>
      </c>
      <c r="AH522">
        <v>0.62727302149865605</v>
      </c>
      <c r="AI522">
        <v>94.994150061958905</v>
      </c>
      <c r="AJ522">
        <v>82.877672469249703</v>
      </c>
      <c r="AK522">
        <v>0.63455993838167402</v>
      </c>
      <c r="AL522">
        <v>72.751239998681299</v>
      </c>
      <c r="AM522">
        <v>93.509642056911105</v>
      </c>
      <c r="AN522">
        <v>0.99999997872843605</v>
      </c>
    </row>
    <row r="523" spans="1:40" x14ac:dyDescent="0.25">
      <c r="A523" t="str">
        <f>"20190304164605214"</f>
        <v>20190304164605214</v>
      </c>
      <c r="B523" t="str">
        <f>"1551689165198471"</f>
        <v>1551689165198471</v>
      </c>
      <c r="C523" t="s">
        <v>40</v>
      </c>
      <c r="D523">
        <v>3.986656</v>
      </c>
      <c r="E523">
        <v>0.56853379999999998</v>
      </c>
      <c r="F523" t="s">
        <v>41</v>
      </c>
      <c r="G523">
        <v>-325.49650000000003</v>
      </c>
      <c r="H523">
        <v>1.056467</v>
      </c>
      <c r="I523">
        <v>367.53269999999998</v>
      </c>
      <c r="J523">
        <v>-326.23719999999997</v>
      </c>
      <c r="K523">
        <v>1.109723</v>
      </c>
      <c r="L523">
        <v>367.60939999999999</v>
      </c>
      <c r="M523">
        <v>0.99997449999999999</v>
      </c>
      <c r="N523">
        <v>-7.0579079999999999E-3</v>
      </c>
      <c r="O523">
        <v>-1.1100789999999999E-3</v>
      </c>
      <c r="P523">
        <v>0.95551149999999996</v>
      </c>
      <c r="Q523">
        <v>0.28929519999999997</v>
      </c>
      <c r="R523">
        <v>5.7499450000000001E-2</v>
      </c>
      <c r="S523">
        <v>3.2105100000000002</v>
      </c>
      <c r="T523">
        <v>-0.18070410000000001</v>
      </c>
      <c r="U523">
        <v>-0.2593994</v>
      </c>
      <c r="V523">
        <v>-5.8603759999999998E-2</v>
      </c>
      <c r="W523">
        <v>0.29602260000000002</v>
      </c>
      <c r="X523">
        <v>0.95338149999999999</v>
      </c>
      <c r="Y523">
        <v>7.9288860000000003E-2</v>
      </c>
      <c r="Z523">
        <v>-2.452011E-3</v>
      </c>
      <c r="AA523">
        <v>0.99684859999999997</v>
      </c>
      <c r="AB523">
        <v>35</v>
      </c>
      <c r="AC523">
        <v>0.74069999999994696</v>
      </c>
      <c r="AD523">
        <v>-5.3255999999999901E-2</v>
      </c>
      <c r="AE523">
        <v>-7.6700000000016602E-2</v>
      </c>
      <c r="AF523">
        <v>7.5491579808491999E-2</v>
      </c>
      <c r="AG523">
        <v>-5.3255999999999901E-2</v>
      </c>
      <c r="AH523">
        <v>0.73701507609343497</v>
      </c>
      <c r="AI523">
        <v>94.111516946366606</v>
      </c>
      <c r="AJ523">
        <v>84.151657317555802</v>
      </c>
      <c r="AK523">
        <v>0.74278287712291302</v>
      </c>
      <c r="AL523">
        <v>72.781133506441506</v>
      </c>
      <c r="AM523">
        <v>93.517509631006007</v>
      </c>
      <c r="AN523">
        <v>1.0000000324695699</v>
      </c>
    </row>
    <row r="524" spans="1:40" x14ac:dyDescent="0.25">
      <c r="A524" t="str">
        <f>"20190304164605226"</f>
        <v>20190304164605226</v>
      </c>
      <c r="B524" t="str">
        <f>"1551689165217992"</f>
        <v>1551689165217992</v>
      </c>
      <c r="C524" t="s">
        <v>40</v>
      </c>
      <c r="D524">
        <v>4.0317480000000003</v>
      </c>
      <c r="E524">
        <v>0.58181430000000001</v>
      </c>
      <c r="F524" t="s">
        <v>43</v>
      </c>
      <c r="G524">
        <v>-305.84070000000003</v>
      </c>
      <c r="H524">
        <v>-0.05</v>
      </c>
      <c r="I524">
        <v>365.95870000000002</v>
      </c>
      <c r="J524">
        <v>-326.04160000000002</v>
      </c>
      <c r="K524">
        <v>1.10972</v>
      </c>
      <c r="L524">
        <v>367.60919999999999</v>
      </c>
      <c r="M524">
        <v>0.99997469999999999</v>
      </c>
      <c r="N524">
        <v>-7.051084E-3</v>
      </c>
      <c r="O524">
        <v>-1.0655910000000001E-3</v>
      </c>
      <c r="P524">
        <v>0.95555100000000004</v>
      </c>
      <c r="Q524">
        <v>0.28916259999999999</v>
      </c>
      <c r="R524">
        <v>5.7507410000000002E-2</v>
      </c>
      <c r="S524">
        <v>3.2105410000000001</v>
      </c>
      <c r="T524">
        <v>-0.1825483</v>
      </c>
      <c r="U524">
        <v>-0.25982670000000002</v>
      </c>
      <c r="V524">
        <v>-5.8569589999999998E-2</v>
      </c>
      <c r="W524">
        <v>0.29588370000000003</v>
      </c>
      <c r="X524">
        <v>0.95342669999999996</v>
      </c>
      <c r="Y524">
        <v>7.9461219999999999E-2</v>
      </c>
      <c r="Z524">
        <v>-2.48146E-3</v>
      </c>
      <c r="AA524">
        <v>0.99683489999999997</v>
      </c>
      <c r="AB524">
        <v>35</v>
      </c>
      <c r="AC524">
        <v>20.200899999999901</v>
      </c>
      <c r="AD524">
        <v>-1.1597200000000001</v>
      </c>
      <c r="AE524">
        <v>-1.6504999999999601</v>
      </c>
      <c r="AF524">
        <v>1.62365682191594</v>
      </c>
      <c r="AG524">
        <v>-1.1597200000000001</v>
      </c>
      <c r="AH524">
        <v>20.136720219509499</v>
      </c>
      <c r="AI524">
        <v>93.285514992344304</v>
      </c>
      <c r="AJ524">
        <v>85.390120257984805</v>
      </c>
      <c r="AK524">
        <v>20.2353332849389</v>
      </c>
      <c r="AL524">
        <v>72.789464843244602</v>
      </c>
      <c r="AM524">
        <v>93.5152975843137</v>
      </c>
      <c r="AN524">
        <v>1.0000000165356699</v>
      </c>
    </row>
    <row r="525" spans="1:40" x14ac:dyDescent="0.25">
      <c r="A525" t="str">
        <f>"20190304164605246"</f>
        <v>20190304164605246</v>
      </c>
      <c r="B525" t="str">
        <f>"1551689165238495"</f>
        <v>1551689165238495</v>
      </c>
      <c r="C525" t="s">
        <v>40</v>
      </c>
      <c r="D525">
        <v>4.1373709999999999</v>
      </c>
      <c r="E525">
        <v>0.58469269999999995</v>
      </c>
      <c r="F525" t="s">
        <v>43</v>
      </c>
      <c r="G525">
        <v>-307.05399999999997</v>
      </c>
      <c r="H525">
        <v>-0.05</v>
      </c>
      <c r="I525">
        <v>365.46120000000002</v>
      </c>
      <c r="J525">
        <v>-325.73020000000002</v>
      </c>
      <c r="K525">
        <v>1.1097159999999999</v>
      </c>
      <c r="L525">
        <v>367.60890000000001</v>
      </c>
      <c r="M525">
        <v>0.99997480000000005</v>
      </c>
      <c r="N525">
        <v>-7.0394400000000001E-3</v>
      </c>
      <c r="O525">
        <v>-9.9497819999999995E-4</v>
      </c>
      <c r="P525">
        <v>0.95555730000000005</v>
      </c>
      <c r="Q525">
        <v>0.28908909999999999</v>
      </c>
      <c r="R525">
        <v>5.777467E-2</v>
      </c>
      <c r="S525">
        <v>3.2210390000000002</v>
      </c>
      <c r="T525">
        <v>-0.19673350000000001</v>
      </c>
      <c r="U525">
        <v>-0.36437989999999998</v>
      </c>
      <c r="V525">
        <v>-5.876895E-2</v>
      </c>
      <c r="W525">
        <v>0.29579949999999999</v>
      </c>
      <c r="X525">
        <v>0.95344050000000002</v>
      </c>
      <c r="Y525">
        <v>0.1111922</v>
      </c>
      <c r="Z525">
        <v>-3.7212360000000002E-3</v>
      </c>
      <c r="AA525">
        <v>0.99379189999999995</v>
      </c>
      <c r="AB525">
        <v>35</v>
      </c>
      <c r="AC525">
        <v>18.676199999999898</v>
      </c>
      <c r="AD525">
        <v>-1.159716</v>
      </c>
      <c r="AE525">
        <v>-2.14769999999998</v>
      </c>
      <c r="AF525">
        <v>2.1210442651458501</v>
      </c>
      <c r="AG525">
        <v>-1.159716</v>
      </c>
      <c r="AH525">
        <v>18.607515359375501</v>
      </c>
      <c r="AI525">
        <v>93.543467005914493</v>
      </c>
      <c r="AJ525">
        <v>83.4970038207491</v>
      </c>
      <c r="AK525">
        <v>18.7638854671616</v>
      </c>
      <c r="AL525">
        <v>72.794514221017593</v>
      </c>
      <c r="AM525">
        <v>93.527181922541899</v>
      </c>
      <c r="AN525">
        <v>0.99999996036229999</v>
      </c>
    </row>
    <row r="526" spans="1:40" x14ac:dyDescent="0.25">
      <c r="A526" t="str">
        <f>"20190304164605267"</f>
        <v>20190304164605267</v>
      </c>
      <c r="B526" t="str">
        <f>"1551689165258011"</f>
        <v>1551689165258011</v>
      </c>
      <c r="C526" t="s">
        <v>40</v>
      </c>
      <c r="D526">
        <v>4.1104859999999999</v>
      </c>
      <c r="E526">
        <v>0.58610519999999999</v>
      </c>
      <c r="F526" t="s">
        <v>43</v>
      </c>
      <c r="G526">
        <v>-306.54689999999999</v>
      </c>
      <c r="H526">
        <v>-0.05</v>
      </c>
      <c r="I526">
        <v>365.30779999999999</v>
      </c>
      <c r="J526">
        <v>-325.39479999999998</v>
      </c>
      <c r="K526">
        <v>1.1097090000000001</v>
      </c>
      <c r="L526">
        <v>367.6087</v>
      </c>
      <c r="M526">
        <v>0.99997499999999995</v>
      </c>
      <c r="N526">
        <v>-7.0267690000000004E-3</v>
      </c>
      <c r="O526">
        <v>-9.1899660000000004E-4</v>
      </c>
      <c r="P526">
        <v>0.95552590000000004</v>
      </c>
      <c r="Q526">
        <v>0.28921999999999998</v>
      </c>
      <c r="R526">
        <v>5.7640660000000003E-2</v>
      </c>
      <c r="S526">
        <v>3.2218019999999998</v>
      </c>
      <c r="T526">
        <v>-0.1947731</v>
      </c>
      <c r="U526">
        <v>-0.3864746</v>
      </c>
      <c r="V526">
        <v>-5.8563490000000003E-2</v>
      </c>
      <c r="W526">
        <v>0.29591790000000001</v>
      </c>
      <c r="X526">
        <v>0.9534165</v>
      </c>
      <c r="Y526">
        <v>0.11795369999999999</v>
      </c>
      <c r="Z526">
        <v>-3.9169269999999997E-3</v>
      </c>
      <c r="AA526">
        <v>0.99301139999999999</v>
      </c>
      <c r="AB526">
        <v>35</v>
      </c>
      <c r="AC526">
        <v>18.8478999999999</v>
      </c>
      <c r="AD526">
        <v>-1.1597090000000001</v>
      </c>
      <c r="AE526">
        <v>-2.3009000000000102</v>
      </c>
      <c r="AF526">
        <v>2.27509060027087</v>
      </c>
      <c r="AG526">
        <v>-1.1597090000000001</v>
      </c>
      <c r="AH526">
        <v>18.779951133946401</v>
      </c>
      <c r="AI526">
        <v>93.508086786967596</v>
      </c>
      <c r="AJ526">
        <v>83.092582772409301</v>
      </c>
      <c r="AK526">
        <v>18.9527709530173</v>
      </c>
      <c r="AL526">
        <v>72.787414132446202</v>
      </c>
      <c r="AM526">
        <v>93.514969895135195</v>
      </c>
      <c r="AN526">
        <v>1.0000000541868099</v>
      </c>
    </row>
    <row r="527" spans="1:40" x14ac:dyDescent="0.25">
      <c r="A527" t="str">
        <f>"20190304164605280"</f>
        <v>20190304164605280</v>
      </c>
      <c r="B527" t="str">
        <f>"1551689165268744"</f>
        <v>1551689165268744</v>
      </c>
      <c r="C527" t="s">
        <v>40</v>
      </c>
      <c r="D527">
        <v>4.1279629999999896</v>
      </c>
      <c r="E527">
        <v>0.58650210000000003</v>
      </c>
      <c r="F527" t="s">
        <v>43</v>
      </c>
      <c r="G527">
        <v>-305.87700000000001</v>
      </c>
      <c r="H527">
        <v>-0.05</v>
      </c>
      <c r="I527">
        <v>365.19319999999999</v>
      </c>
      <c r="J527">
        <v>-325.18950000000001</v>
      </c>
      <c r="K527">
        <v>1.1097049999999999</v>
      </c>
      <c r="L527">
        <v>367.60849999999999</v>
      </c>
      <c r="M527">
        <v>0.99997499999999995</v>
      </c>
      <c r="N527">
        <v>-7.0196099999999999E-3</v>
      </c>
      <c r="O527">
        <v>-8.7259770000000004E-4</v>
      </c>
      <c r="P527">
        <v>0.95556319999999995</v>
      </c>
      <c r="Q527">
        <v>0.28911229999999999</v>
      </c>
      <c r="R527">
        <v>5.7561260000000003E-2</v>
      </c>
      <c r="S527">
        <v>3.2216490000000002</v>
      </c>
      <c r="T527">
        <v>-0.1914246</v>
      </c>
      <c r="U527">
        <v>-0.39871220000000002</v>
      </c>
      <c r="V527">
        <v>-5.8439709999999999E-2</v>
      </c>
      <c r="W527">
        <v>0.29580410000000001</v>
      </c>
      <c r="X527">
        <v>0.95345939999999996</v>
      </c>
      <c r="Y527">
        <v>0.1217216</v>
      </c>
      <c r="Z527">
        <v>-3.9831140000000003E-3</v>
      </c>
      <c r="AA527">
        <v>0.99255629999999995</v>
      </c>
      <c r="AB527">
        <v>35</v>
      </c>
      <c r="AC527">
        <v>19.3125</v>
      </c>
      <c r="AD527">
        <v>-1.159705</v>
      </c>
      <c r="AE527">
        <v>-2.4152999999999998</v>
      </c>
      <c r="AF527">
        <v>2.3899612931918002</v>
      </c>
      <c r="AG527">
        <v>-1.159705</v>
      </c>
      <c r="AH527">
        <v>19.246268247481201</v>
      </c>
      <c r="AI527">
        <v>93.422030758350303</v>
      </c>
      <c r="AJ527">
        <v>82.921366185002796</v>
      </c>
      <c r="AK527">
        <v>19.428733157979799</v>
      </c>
      <c r="AL527">
        <v>72.794239839257997</v>
      </c>
      <c r="AM527">
        <v>93.507401784392499</v>
      </c>
      <c r="AN527">
        <v>1.00000004636502</v>
      </c>
    </row>
    <row r="528" spans="1:40" x14ac:dyDescent="0.25">
      <c r="A528" t="str">
        <f>"20190304164605293"</f>
        <v>20190304164605293</v>
      </c>
      <c r="B528" t="str">
        <f>"1551689165288264"</f>
        <v>1551689165288264</v>
      </c>
      <c r="C528" t="s">
        <v>40</v>
      </c>
      <c r="D528">
        <v>4.2318220000000002</v>
      </c>
      <c r="E528">
        <v>0.58696190000000004</v>
      </c>
      <c r="F528" t="s">
        <v>43</v>
      </c>
      <c r="G528">
        <v>-305.35309999999998</v>
      </c>
      <c r="H528">
        <v>-0.05</v>
      </c>
      <c r="I528">
        <v>365.12490000000003</v>
      </c>
      <c r="J528">
        <v>-324.9744</v>
      </c>
      <c r="K528">
        <v>1.109704</v>
      </c>
      <c r="L528">
        <v>367.60840000000002</v>
      </c>
      <c r="M528">
        <v>0.99997510000000001</v>
      </c>
      <c r="N528">
        <v>-7.0126290000000003E-3</v>
      </c>
      <c r="O528">
        <v>-8.24291E-4</v>
      </c>
      <c r="P528">
        <v>0.95539470000000004</v>
      </c>
      <c r="Q528">
        <v>0.28958430000000002</v>
      </c>
      <c r="R528">
        <v>5.7985179999999997E-2</v>
      </c>
      <c r="S528">
        <v>3.2207949999999999</v>
      </c>
      <c r="T528">
        <v>-0.18829969999999999</v>
      </c>
      <c r="U528">
        <v>-0.40325929999999999</v>
      </c>
      <c r="V528">
        <v>-5.881774E-2</v>
      </c>
      <c r="W528">
        <v>0.29626819999999998</v>
      </c>
      <c r="X528">
        <v>0.95329200000000003</v>
      </c>
      <c r="Y528">
        <v>0.1231857</v>
      </c>
      <c r="Z528">
        <v>-3.9757330000000004E-3</v>
      </c>
      <c r="AA528">
        <v>0.99237569999999997</v>
      </c>
      <c r="AB528">
        <v>35</v>
      </c>
      <c r="AC528">
        <v>19.621300000000002</v>
      </c>
      <c r="AD528">
        <v>-1.1597040000000001</v>
      </c>
      <c r="AE528">
        <v>-2.48349999999999</v>
      </c>
      <c r="AF528">
        <v>2.4588709068388299</v>
      </c>
      <c r="AG528">
        <v>-1.1597040000000001</v>
      </c>
      <c r="AH528">
        <v>19.556101916138299</v>
      </c>
      <c r="AI528">
        <v>93.367293976689396</v>
      </c>
      <c r="AJ528">
        <v>82.833567794369102</v>
      </c>
      <c r="AK528">
        <v>19.744165762536099</v>
      </c>
      <c r="AL528">
        <v>72.766400309330095</v>
      </c>
      <c r="AM528">
        <v>93.530651302528597</v>
      </c>
      <c r="AN528">
        <v>1.00000000506697</v>
      </c>
    </row>
    <row r="529" spans="1:40" x14ac:dyDescent="0.25">
      <c r="A529" t="str">
        <f>"20190304164605307"</f>
        <v>20190304164605307</v>
      </c>
      <c r="B529" t="str">
        <f>"1551689165298023"</f>
        <v>1551689165298023</v>
      </c>
      <c r="C529" t="s">
        <v>40</v>
      </c>
      <c r="D529">
        <v>4.1280349999999997</v>
      </c>
      <c r="E529">
        <v>0.58727410000000002</v>
      </c>
      <c r="F529" t="s">
        <v>43</v>
      </c>
      <c r="G529">
        <v>-304.13749999999999</v>
      </c>
      <c r="H529">
        <v>-0.05</v>
      </c>
      <c r="I529">
        <v>364.97829999999999</v>
      </c>
      <c r="J529">
        <v>-324.76089999999999</v>
      </c>
      <c r="K529">
        <v>1.1097030000000001</v>
      </c>
      <c r="L529">
        <v>367.60820000000001</v>
      </c>
      <c r="M529">
        <v>0.99997519999999995</v>
      </c>
      <c r="N529">
        <v>-7.0070280000000002E-3</v>
      </c>
      <c r="O529">
        <v>-7.7622899999999905E-4</v>
      </c>
      <c r="P529">
        <v>0.95532910000000004</v>
      </c>
      <c r="Q529">
        <v>0.28977009999999997</v>
      </c>
      <c r="R529">
        <v>5.8138019999999999E-2</v>
      </c>
      <c r="S529">
        <v>3.2190249999999998</v>
      </c>
      <c r="T529">
        <v>-0.17915929999999999</v>
      </c>
      <c r="U529">
        <v>-0.40631099999999998</v>
      </c>
      <c r="V529">
        <v>-5.892476E-2</v>
      </c>
      <c r="W529">
        <v>0.29644809999999999</v>
      </c>
      <c r="X529">
        <v>0.95322949999999995</v>
      </c>
      <c r="Y529">
        <v>0.12424549999999999</v>
      </c>
      <c r="Z529">
        <v>-3.8410440000000001E-3</v>
      </c>
      <c r="AA529">
        <v>0.99224409999999996</v>
      </c>
      <c r="AB529">
        <v>35</v>
      </c>
      <c r="AC529">
        <v>20.6234</v>
      </c>
      <c r="AD529">
        <v>-1.1597029999999999</v>
      </c>
      <c r="AE529">
        <v>-2.6299000000000201</v>
      </c>
      <c r="AF529">
        <v>2.6057824832739498</v>
      </c>
      <c r="AG529">
        <v>-1.1597029999999999</v>
      </c>
      <c r="AH529">
        <v>20.561458587648001</v>
      </c>
      <c r="AI529">
        <v>93.202602276148994</v>
      </c>
      <c r="AJ529">
        <v>82.777328687819406</v>
      </c>
      <c r="AK529">
        <v>20.7583379067283</v>
      </c>
      <c r="AL529">
        <v>72.755608621217306</v>
      </c>
      <c r="AM529">
        <v>93.537290419685505</v>
      </c>
      <c r="AN529">
        <v>1.0000000415024499</v>
      </c>
    </row>
    <row r="530" spans="1:40" x14ac:dyDescent="0.25">
      <c r="A530" t="str">
        <f>"20190304164605326"</f>
        <v>20190304164605326</v>
      </c>
      <c r="B530" t="str">
        <f>"1551689165318519"</f>
        <v>1551689165318519</v>
      </c>
      <c r="C530" t="s">
        <v>40</v>
      </c>
      <c r="D530">
        <v>4.1755440000000004</v>
      </c>
      <c r="E530">
        <v>0.58767999999999998</v>
      </c>
      <c r="F530" t="s">
        <v>43</v>
      </c>
      <c r="G530">
        <v>-303.67320000000001</v>
      </c>
      <c r="H530">
        <v>-0.05</v>
      </c>
      <c r="I530">
        <v>364.93329999999997</v>
      </c>
      <c r="J530">
        <v>-324.46559999999999</v>
      </c>
      <c r="K530">
        <v>1.109694</v>
      </c>
      <c r="L530">
        <v>367.60809999999998</v>
      </c>
      <c r="M530">
        <v>0.99997530000000001</v>
      </c>
      <c r="N530">
        <v>-7.0004300000000002E-3</v>
      </c>
      <c r="O530">
        <v>-7.095666E-4</v>
      </c>
      <c r="P530">
        <v>0.95528880000000005</v>
      </c>
      <c r="Q530">
        <v>0.28988799999999998</v>
      </c>
      <c r="R530">
        <v>5.8207660000000001E-2</v>
      </c>
      <c r="S530">
        <v>3.2187809999999999</v>
      </c>
      <c r="T530">
        <v>-0.17701410000000001</v>
      </c>
      <c r="U530">
        <v>-0.40829470000000001</v>
      </c>
      <c r="V530">
        <v>-5.893081E-2</v>
      </c>
      <c r="W530">
        <v>0.29655910000000002</v>
      </c>
      <c r="X530">
        <v>0.9531946</v>
      </c>
      <c r="Y530">
        <v>0.1249263</v>
      </c>
      <c r="Z530">
        <v>-3.824343E-3</v>
      </c>
      <c r="AA530">
        <v>0.99215869999999995</v>
      </c>
      <c r="AB530">
        <v>36</v>
      </c>
      <c r="AC530">
        <v>20.792399999999901</v>
      </c>
      <c r="AD530">
        <v>-1.159694</v>
      </c>
      <c r="AE530">
        <v>-2.6747999999999998</v>
      </c>
      <c r="AF530">
        <v>2.6519299480841401</v>
      </c>
      <c r="AG530">
        <v>-1.159694</v>
      </c>
      <c r="AH530">
        <v>20.730852290704199</v>
      </c>
      <c r="AI530">
        <v>93.175989919295503</v>
      </c>
      <c r="AJ530">
        <v>82.710206580119106</v>
      </c>
      <c r="AK530">
        <v>20.931933960391198</v>
      </c>
      <c r="AL530">
        <v>72.7489493567019</v>
      </c>
      <c r="AM530">
        <v>93.537781880361806</v>
      </c>
      <c r="AN530">
        <v>1.0000000428146101</v>
      </c>
    </row>
    <row r="531" spans="1:40" x14ac:dyDescent="0.25">
      <c r="A531" t="str">
        <f>"20190304164605346"</f>
        <v>20190304164605346</v>
      </c>
      <c r="B531" t="str">
        <f>"1551689165338039"</f>
        <v>1551689165338039</v>
      </c>
      <c r="C531" t="s">
        <v>40</v>
      </c>
      <c r="D531">
        <v>4.13544</v>
      </c>
      <c r="E531">
        <v>0.58799429999999997</v>
      </c>
      <c r="F531" t="s">
        <v>43</v>
      </c>
      <c r="G531">
        <v>-303.41250000000002</v>
      </c>
      <c r="H531">
        <v>-0.05</v>
      </c>
      <c r="I531">
        <v>364.92129999999997</v>
      </c>
      <c r="J531">
        <v>-324.1275</v>
      </c>
      <c r="K531">
        <v>1.1096999999999999</v>
      </c>
      <c r="L531">
        <v>367.60789999999997</v>
      </c>
      <c r="M531">
        <v>0.99997530000000001</v>
      </c>
      <c r="N531">
        <v>-6.9948179999999999E-3</v>
      </c>
      <c r="O531">
        <v>-6.3349010000000004E-4</v>
      </c>
      <c r="P531">
        <v>0.95534450000000004</v>
      </c>
      <c r="Q531">
        <v>0.28969200000000001</v>
      </c>
      <c r="R531">
        <v>5.8269460000000002E-2</v>
      </c>
      <c r="S531">
        <v>3.2192379999999998</v>
      </c>
      <c r="T531">
        <v>-0.17732919999999999</v>
      </c>
      <c r="U531">
        <v>-0.41082760000000001</v>
      </c>
      <c r="V531">
        <v>-5.8920119999999999E-2</v>
      </c>
      <c r="W531">
        <v>0.29635790000000001</v>
      </c>
      <c r="X531">
        <v>0.95325780000000004</v>
      </c>
      <c r="Y531">
        <v>0.12575029999999901</v>
      </c>
      <c r="Z531">
        <v>-3.8584930000000002E-3</v>
      </c>
      <c r="AA531">
        <v>0.9920544</v>
      </c>
      <c r="AB531">
        <v>36</v>
      </c>
      <c r="AC531">
        <v>20.7149999999999</v>
      </c>
      <c r="AD531">
        <v>-1.1597</v>
      </c>
      <c r="AE531">
        <v>-2.6865999999999901</v>
      </c>
      <c r="AF531">
        <v>2.6652612141033698</v>
      </c>
      <c r="AG531">
        <v>-1.1597</v>
      </c>
      <c r="AH531">
        <v>20.6530386235506</v>
      </c>
      <c r="AI531">
        <v>93.187494458599105</v>
      </c>
      <c r="AJ531">
        <v>82.646657372541299</v>
      </c>
      <c r="AK531">
        <v>20.856570327244</v>
      </c>
      <c r="AL531">
        <v>72.761019293907495</v>
      </c>
      <c r="AM531">
        <v>93.536907845630495</v>
      </c>
      <c r="AN531">
        <v>1.00000000934703</v>
      </c>
    </row>
    <row r="532" spans="1:40" x14ac:dyDescent="0.25">
      <c r="A532" t="str">
        <f>"20190304164605368"</f>
        <v>20190304164605368</v>
      </c>
      <c r="B532" t="str">
        <f>"1551689165358537"</f>
        <v>1551689165358537</v>
      </c>
      <c r="C532" t="s">
        <v>40</v>
      </c>
      <c r="D532">
        <v>4.170401</v>
      </c>
      <c r="E532">
        <v>0.58813389999999999</v>
      </c>
      <c r="F532" t="s">
        <v>43</v>
      </c>
      <c r="G532">
        <v>-303.18950000000001</v>
      </c>
      <c r="H532">
        <v>-0.05</v>
      </c>
      <c r="I532">
        <v>364.91989999999998</v>
      </c>
      <c r="J532">
        <v>-323.79219999999998</v>
      </c>
      <c r="K532">
        <v>1.109699</v>
      </c>
      <c r="L532">
        <v>367.6078</v>
      </c>
      <c r="M532">
        <v>0.99997539999999996</v>
      </c>
      <c r="N532">
        <v>-6.9912769999999997E-3</v>
      </c>
      <c r="O532">
        <v>-5.5766059999999996E-4</v>
      </c>
      <c r="P532">
        <v>0.95522280000000004</v>
      </c>
      <c r="Q532">
        <v>0.28999419999999998</v>
      </c>
      <c r="R532">
        <v>5.8762309999999998E-2</v>
      </c>
      <c r="S532">
        <v>3.2195429999999998</v>
      </c>
      <c r="T532">
        <v>-0.1783217</v>
      </c>
      <c r="U532">
        <v>-0.41333009999999898</v>
      </c>
      <c r="V532">
        <v>-5.9340730000000001E-2</v>
      </c>
      <c r="W532">
        <v>0.29665609999999998</v>
      </c>
      <c r="X532">
        <v>0.95313890000000001</v>
      </c>
      <c r="Y532">
        <v>0.12656869999999901</v>
      </c>
      <c r="Z532">
        <v>-3.9059530000000002E-3</v>
      </c>
      <c r="AA532">
        <v>0.9919502</v>
      </c>
      <c r="AB532">
        <v>36</v>
      </c>
      <c r="AC532">
        <v>20.602699999999899</v>
      </c>
      <c r="AD532">
        <v>-1.159699</v>
      </c>
      <c r="AE532">
        <v>-2.6879000000000102</v>
      </c>
      <c r="AF532">
        <v>2.6680978206127399</v>
      </c>
      <c r="AG532">
        <v>-1.159699</v>
      </c>
      <c r="AH532">
        <v>20.540205009951801</v>
      </c>
      <c r="AI532">
        <v>93.204620240237006</v>
      </c>
      <c r="AJ532">
        <v>82.598927517015994</v>
      </c>
      <c r="AK532">
        <v>20.7452083528175</v>
      </c>
      <c r="AL532">
        <v>72.743128366988799</v>
      </c>
      <c r="AM532">
        <v>93.562535017154303</v>
      </c>
      <c r="AN532">
        <v>0.99999996329867502</v>
      </c>
    </row>
    <row r="533" spans="1:40" x14ac:dyDescent="0.25">
      <c r="A533" t="str">
        <f>"20190304164605380"</f>
        <v>20190304164605380</v>
      </c>
      <c r="B533" t="str">
        <f>"1551689165368299"</f>
        <v>1551689165368299</v>
      </c>
      <c r="C533" t="s">
        <v>40</v>
      </c>
      <c r="D533">
        <v>4.2850080000000004</v>
      </c>
      <c r="E533">
        <v>0.58815260000000003</v>
      </c>
      <c r="F533" t="s">
        <v>43</v>
      </c>
      <c r="G533">
        <v>-302.32670000000002</v>
      </c>
      <c r="H533">
        <v>-0.05</v>
      </c>
      <c r="I533">
        <v>364.84769999999997</v>
      </c>
      <c r="J533">
        <v>-323.59109999999998</v>
      </c>
      <c r="K533">
        <v>1.1096950000000001</v>
      </c>
      <c r="L533">
        <v>367.60770000000002</v>
      </c>
      <c r="M533">
        <v>0.99997539999999996</v>
      </c>
      <c r="N533">
        <v>-6.9900889999999997E-3</v>
      </c>
      <c r="O533">
        <v>-5.1211829999999999E-4</v>
      </c>
      <c r="P533">
        <v>0.95522410000000002</v>
      </c>
      <c r="Q533">
        <v>0.29001070000000001</v>
      </c>
      <c r="R533">
        <v>5.8655539999999999E-2</v>
      </c>
      <c r="S533">
        <v>3.2188720000000002</v>
      </c>
      <c r="T533">
        <v>-0.17390320000000001</v>
      </c>
      <c r="U533">
        <v>-0.41387940000000001</v>
      </c>
      <c r="V533">
        <v>-5.9190010000000001E-2</v>
      </c>
      <c r="W533">
        <v>0.29667120000000002</v>
      </c>
      <c r="X533">
        <v>0.95314359999999998</v>
      </c>
      <c r="Y533">
        <v>0.12681589999999901</v>
      </c>
      <c r="Z533">
        <v>-3.830628E-3</v>
      </c>
      <c r="AA533">
        <v>0.99191890000000005</v>
      </c>
      <c r="AB533">
        <v>36</v>
      </c>
      <c r="AC533">
        <v>21.264399999999899</v>
      </c>
      <c r="AD533">
        <v>-1.1596949999999999</v>
      </c>
      <c r="AE533">
        <v>-2.7600000000000402</v>
      </c>
      <c r="AF533">
        <v>2.7410917897589</v>
      </c>
      <c r="AG533">
        <v>-1.1596949999999999</v>
      </c>
      <c r="AH533">
        <v>21.203789608174901</v>
      </c>
      <c r="AI533">
        <v>93.104764385300697</v>
      </c>
      <c r="AJ533">
        <v>82.634015455236295</v>
      </c>
      <c r="AK533">
        <v>21.411659684402199</v>
      </c>
      <c r="AL533">
        <v>72.742222895590402</v>
      </c>
      <c r="AM533">
        <v>93.553492243183797</v>
      </c>
      <c r="AN533">
        <v>0.99999999020709995</v>
      </c>
    </row>
    <row r="534" spans="1:40" x14ac:dyDescent="0.25">
      <c r="A534" t="str">
        <f>"20190304164605394"</f>
        <v>20190304164605394</v>
      </c>
      <c r="B534" t="str">
        <f>"1551689165388794"</f>
        <v>1551689165388794</v>
      </c>
      <c r="C534" t="s">
        <v>40</v>
      </c>
      <c r="D534">
        <v>4.1787839999999896</v>
      </c>
      <c r="E534">
        <v>0.58834059999999999</v>
      </c>
      <c r="F534" t="s">
        <v>43</v>
      </c>
      <c r="G534">
        <v>-301.96499999999997</v>
      </c>
      <c r="H534">
        <v>-0.05</v>
      </c>
      <c r="I534">
        <v>364.822</v>
      </c>
      <c r="J534">
        <v>-323.3673</v>
      </c>
      <c r="K534">
        <v>1.1096919999999999</v>
      </c>
      <c r="L534">
        <v>367.60759999999999</v>
      </c>
      <c r="M534">
        <v>0.99997539999999996</v>
      </c>
      <c r="N534">
        <v>-6.9893830000000001E-3</v>
      </c>
      <c r="O534">
        <v>-4.6168929999999998E-4</v>
      </c>
      <c r="P534">
        <v>0.95519209999999999</v>
      </c>
      <c r="Q534">
        <v>0.29007640000000001</v>
      </c>
      <c r="R534">
        <v>5.8853589999999997E-2</v>
      </c>
      <c r="S534">
        <v>3.2184750000000002</v>
      </c>
      <c r="T534">
        <v>-0.17258970000000001</v>
      </c>
      <c r="U534">
        <v>-0.41458129999999999</v>
      </c>
      <c r="V534">
        <v>-5.9340549999999999E-2</v>
      </c>
      <c r="W534">
        <v>0.29673630000000001</v>
      </c>
      <c r="X534">
        <v>0.95311400000000002</v>
      </c>
      <c r="Y534">
        <v>0.1270966</v>
      </c>
      <c r="Z534">
        <v>-3.8162539999999998E-3</v>
      </c>
      <c r="AA534">
        <v>0.99188299999999996</v>
      </c>
      <c r="AB534">
        <v>36</v>
      </c>
      <c r="AC534">
        <v>21.4023</v>
      </c>
      <c r="AD534">
        <v>-1.1596919999999999</v>
      </c>
      <c r="AE534">
        <v>-2.78560000000004</v>
      </c>
      <c r="AF534">
        <v>2.7677274095611599</v>
      </c>
      <c r="AG534">
        <v>-1.1596919999999999</v>
      </c>
      <c r="AH534">
        <v>21.341966416821599</v>
      </c>
      <c r="AI534">
        <v>93.084532667226</v>
      </c>
      <c r="AJ534">
        <v>82.610851346322903</v>
      </c>
      <c r="AK534">
        <v>21.551907829360299</v>
      </c>
      <c r="AL534">
        <v>72.738317496717301</v>
      </c>
      <c r="AM534">
        <v>93.562617069498799</v>
      </c>
      <c r="AN534">
        <v>1.00000001480399</v>
      </c>
    </row>
    <row r="535" spans="1:40" x14ac:dyDescent="0.25">
      <c r="A535" t="str">
        <f>"20190304164605406"</f>
        <v>20190304164605406</v>
      </c>
      <c r="B535" t="str">
        <f>"1551689165398554"</f>
        <v>1551689165398554</v>
      </c>
      <c r="C535" t="s">
        <v>40</v>
      </c>
      <c r="D535">
        <v>4.2445550000000001</v>
      </c>
      <c r="E535">
        <v>0.58844049999999903</v>
      </c>
      <c r="F535" t="s">
        <v>43</v>
      </c>
      <c r="G535">
        <v>-301.42439999999999</v>
      </c>
      <c r="H535">
        <v>-0.05</v>
      </c>
      <c r="I535">
        <v>364.77229999999997</v>
      </c>
      <c r="J535">
        <v>-323.16129999999998</v>
      </c>
      <c r="K535">
        <v>1.1096900000000001</v>
      </c>
      <c r="L535">
        <v>367.60759999999999</v>
      </c>
      <c r="M535">
        <v>0.99997559999999996</v>
      </c>
      <c r="N535">
        <v>-6.9897559999999997E-3</v>
      </c>
      <c r="O535">
        <v>-4.1567299999999998E-4</v>
      </c>
      <c r="P535">
        <v>0.95523190000000002</v>
      </c>
      <c r="Q535">
        <v>0.289937</v>
      </c>
      <c r="R535">
        <v>5.8894790000000002E-2</v>
      </c>
      <c r="S535">
        <v>3.2179869999999999</v>
      </c>
      <c r="T535">
        <v>-0.17007220000000001</v>
      </c>
      <c r="U535">
        <v>-0.415802</v>
      </c>
      <c r="V535">
        <v>-5.9337769999999998E-2</v>
      </c>
      <c r="W535">
        <v>0.29659740000000001</v>
      </c>
      <c r="X535">
        <v>0.95315740000000004</v>
      </c>
      <c r="Y535">
        <v>0.12753610000000001</v>
      </c>
      <c r="Z535">
        <v>-3.7828610000000002E-3</v>
      </c>
      <c r="AA535">
        <v>0.99182669999999995</v>
      </c>
      <c r="AB535">
        <v>36</v>
      </c>
      <c r="AC535">
        <v>21.736899999999899</v>
      </c>
      <c r="AD535">
        <v>-1.1596899999999899</v>
      </c>
      <c r="AE535">
        <v>-2.8353000000000099</v>
      </c>
      <c r="AF535">
        <v>2.8183762055199701</v>
      </c>
      <c r="AG535">
        <v>-1.1596899999999899</v>
      </c>
      <c r="AH535">
        <v>21.6774073951701</v>
      </c>
      <c r="AI535">
        <v>93.036759128963197</v>
      </c>
      <c r="AJ535">
        <v>82.592273693793103</v>
      </c>
      <c r="AK535">
        <v>21.890594252055301</v>
      </c>
      <c r="AL535">
        <v>72.746650943253698</v>
      </c>
      <c r="AM535">
        <v>93.562288806085405</v>
      </c>
      <c r="AN535">
        <v>1.00000000890504</v>
      </c>
    </row>
    <row r="536" spans="1:40" x14ac:dyDescent="0.25">
      <c r="A536" t="str">
        <f>"20190304164605419"</f>
        <v>20190304164605419</v>
      </c>
      <c r="B536" t="str">
        <f>"1551689165408314"</f>
        <v>1551689165408314</v>
      </c>
      <c r="C536" t="s">
        <v>40</v>
      </c>
      <c r="D536">
        <v>4.2786900000000001</v>
      </c>
      <c r="E536">
        <v>0.58855429999999997</v>
      </c>
      <c r="F536" t="s">
        <v>43</v>
      </c>
      <c r="G536">
        <v>-301.38249999999999</v>
      </c>
      <c r="H536">
        <v>-0.05</v>
      </c>
      <c r="I536">
        <v>364.78820000000002</v>
      </c>
      <c r="J536">
        <v>-322.96749999999997</v>
      </c>
      <c r="K536">
        <v>1.109686</v>
      </c>
      <c r="L536">
        <v>367.60750000000002</v>
      </c>
      <c r="M536">
        <v>0.99997550000000002</v>
      </c>
      <c r="N536">
        <v>-6.9904729999999997E-3</v>
      </c>
      <c r="O536">
        <v>-3.7216220000000001E-4</v>
      </c>
      <c r="P536">
        <v>0.95526080000000002</v>
      </c>
      <c r="Q536">
        <v>0.2898155</v>
      </c>
      <c r="R536">
        <v>5.9024800000000002E-2</v>
      </c>
      <c r="S536">
        <v>3.2182919999999999</v>
      </c>
      <c r="T536">
        <v>-0.17136970000000001</v>
      </c>
      <c r="U536">
        <v>-0.416626</v>
      </c>
      <c r="V536">
        <v>-5.9426449999999999E-2</v>
      </c>
      <c r="W536">
        <v>0.2964772</v>
      </c>
      <c r="X536">
        <v>0.95318930000000002</v>
      </c>
      <c r="Y536">
        <v>0.12781380000000001</v>
      </c>
      <c r="Z536">
        <v>-3.8182699999999999E-3</v>
      </c>
      <c r="AA536">
        <v>0.99179079999999997</v>
      </c>
      <c r="AB536">
        <v>36</v>
      </c>
      <c r="AC536">
        <v>21.584999999999901</v>
      </c>
      <c r="AD536">
        <v>-1.159686</v>
      </c>
      <c r="AE536">
        <v>-2.8192999999999899</v>
      </c>
      <c r="AF536">
        <v>2.8033103671102899</v>
      </c>
      <c r="AG536">
        <v>-1.159686</v>
      </c>
      <c r="AH536">
        <v>21.5249574393494</v>
      </c>
      <c r="AI536">
        <v>93.058129406522696</v>
      </c>
      <c r="AJ536">
        <v>82.579827807459907</v>
      </c>
      <c r="AK536">
        <v>21.737691077912299</v>
      </c>
      <c r="AL536">
        <v>72.753862757418702</v>
      </c>
      <c r="AM536">
        <v>93.567479802052702</v>
      </c>
      <c r="AN536">
        <v>1.00000003735696</v>
      </c>
    </row>
    <row r="537" spans="1:40" x14ac:dyDescent="0.25">
      <c r="A537" t="str">
        <f>"20190304164605436"</f>
        <v>20190304164605436</v>
      </c>
      <c r="B537" t="str">
        <f>"1551689165428810"</f>
        <v>1551689165428810</v>
      </c>
      <c r="C537" t="s">
        <v>40</v>
      </c>
      <c r="D537">
        <v>4.2426279999999998</v>
      </c>
      <c r="E537">
        <v>0.58860630000000003</v>
      </c>
      <c r="F537" t="s">
        <v>43</v>
      </c>
      <c r="G537">
        <v>-301.46379999999999</v>
      </c>
      <c r="H537">
        <v>-0.05</v>
      </c>
      <c r="I537">
        <v>364.82389999999998</v>
      </c>
      <c r="J537">
        <v>-322.68950000000001</v>
      </c>
      <c r="K537">
        <v>1.1096820000000001</v>
      </c>
      <c r="L537">
        <v>367.60750000000002</v>
      </c>
      <c r="M537">
        <v>0.99997559999999996</v>
      </c>
      <c r="N537">
        <v>-6.992776E-3</v>
      </c>
      <c r="O537">
        <v>-3.1006179999999999E-4</v>
      </c>
      <c r="P537">
        <v>0.95529359999999997</v>
      </c>
      <c r="Q537">
        <v>0.28963709999999998</v>
      </c>
      <c r="R537">
        <v>5.9369449999999997E-2</v>
      </c>
      <c r="S537">
        <v>3.2189329999999998</v>
      </c>
      <c r="T537">
        <v>-0.173595899999999</v>
      </c>
      <c r="U537">
        <v>-0.41668699999999997</v>
      </c>
      <c r="V537">
        <v>-5.9712130000000002E-2</v>
      </c>
      <c r="W537">
        <v>0.29630089999999998</v>
      </c>
      <c r="X537">
        <v>0.95322620000000002</v>
      </c>
      <c r="Y537">
        <v>0.1278637</v>
      </c>
      <c r="Z537">
        <v>-3.8658389999999998E-3</v>
      </c>
      <c r="AA537">
        <v>0.9917842</v>
      </c>
      <c r="AB537">
        <v>36</v>
      </c>
      <c r="AC537">
        <v>21.2257</v>
      </c>
      <c r="AD537">
        <v>-1.1596819999999901</v>
      </c>
      <c r="AE537">
        <v>-2.7836000000000301</v>
      </c>
      <c r="AF537">
        <v>2.7688928495335299</v>
      </c>
      <c r="AG537">
        <v>-1.1596819999999901</v>
      </c>
      <c r="AH537">
        <v>21.164453002018899</v>
      </c>
      <c r="AI537">
        <v>93.1098719980982</v>
      </c>
      <c r="AJ537">
        <v>82.546467510222797</v>
      </c>
      <c r="AK537">
        <v>21.3762882846389</v>
      </c>
      <c r="AL537">
        <v>72.764438125804404</v>
      </c>
      <c r="AM537">
        <v>93.584446692011696</v>
      </c>
      <c r="AN537">
        <v>0.99999997508819305</v>
      </c>
    </row>
    <row r="538" spans="1:40" x14ac:dyDescent="0.25">
      <c r="A538" t="str">
        <f>"20190304164605458"</f>
        <v>20190304164605458</v>
      </c>
      <c r="B538" t="str">
        <f>"1551689165448334"</f>
        <v>1551689165448334</v>
      </c>
      <c r="C538" t="s">
        <v>40</v>
      </c>
      <c r="D538">
        <v>4.2494269999999998</v>
      </c>
      <c r="E538">
        <v>0.567752699999999</v>
      </c>
      <c r="F538" t="s">
        <v>43</v>
      </c>
      <c r="G538">
        <v>-301.73919999999998</v>
      </c>
      <c r="H538">
        <v>-0.05</v>
      </c>
      <c r="I538">
        <v>364.90929999999997</v>
      </c>
      <c r="J538">
        <v>-322.34769999999997</v>
      </c>
      <c r="K538">
        <v>1.1096779999999999</v>
      </c>
      <c r="L538">
        <v>367.60739999999998</v>
      </c>
      <c r="M538">
        <v>0.99997570000000002</v>
      </c>
      <c r="N538">
        <v>-7.0012859999999998E-3</v>
      </c>
      <c r="O538">
        <v>-2.3368029999999999E-4</v>
      </c>
      <c r="P538">
        <v>0.95548239999999995</v>
      </c>
      <c r="Q538">
        <v>0.28902480000000003</v>
      </c>
      <c r="R538">
        <v>5.9316960000000002E-2</v>
      </c>
      <c r="S538">
        <v>3.2202449999999998</v>
      </c>
      <c r="T538">
        <v>-0.17825289999999999</v>
      </c>
      <c r="U538">
        <v>-0.41473389999999999</v>
      </c>
      <c r="V538">
        <v>-5.9586500000000001E-2</v>
      </c>
      <c r="W538">
        <v>0.29569839999999997</v>
      </c>
      <c r="X538">
        <v>0.95342119999999997</v>
      </c>
      <c r="Y538">
        <v>0.12728680000000001</v>
      </c>
      <c r="Z538">
        <v>-3.9423239999999997E-3</v>
      </c>
      <c r="AA538">
        <v>0.99185809999999996</v>
      </c>
      <c r="AB538">
        <v>36</v>
      </c>
      <c r="AC538">
        <v>20.6084999999999</v>
      </c>
      <c r="AD538">
        <v>-1.159678</v>
      </c>
      <c r="AE538">
        <v>-2.6981000000000099</v>
      </c>
      <c r="AF538">
        <v>2.6849254126283402</v>
      </c>
      <c r="AG538">
        <v>-1.159678</v>
      </c>
      <c r="AH538">
        <v>20.545169591576801</v>
      </c>
      <c r="AI538">
        <v>93.203466975925295</v>
      </c>
      <c r="AJ538">
        <v>82.554550954984805</v>
      </c>
      <c r="AK538">
        <v>20.7522931523654</v>
      </c>
      <c r="AL538">
        <v>72.8005794940741</v>
      </c>
      <c r="AM538">
        <v>93.576195197926197</v>
      </c>
      <c r="AN538">
        <v>1.00000003967712</v>
      </c>
    </row>
    <row r="539" spans="1:40" x14ac:dyDescent="0.25">
      <c r="A539" t="str">
        <f>"20190304164605479"</f>
        <v>20190304164605479</v>
      </c>
      <c r="B539" t="str">
        <f>"1551689165467850"</f>
        <v>1551689165467850</v>
      </c>
      <c r="C539" t="s">
        <v>40</v>
      </c>
      <c r="D539">
        <v>4.1863849999999996</v>
      </c>
      <c r="E539">
        <v>0.55642910000000001</v>
      </c>
      <c r="F539" t="s">
        <v>41</v>
      </c>
      <c r="G539">
        <v>-321.3383</v>
      </c>
      <c r="H539">
        <v>1.055256</v>
      </c>
      <c r="I539">
        <v>367.529</v>
      </c>
      <c r="J539">
        <v>-321.99340000000001</v>
      </c>
      <c r="K539">
        <v>1.1096809999999999</v>
      </c>
      <c r="L539">
        <v>367.60739999999998</v>
      </c>
      <c r="M539">
        <v>0.99997539999999996</v>
      </c>
      <c r="N539">
        <v>-7.0186119999999996E-3</v>
      </c>
      <c r="O539">
        <v>-1.554196E-4</v>
      </c>
      <c r="P539">
        <v>0.95549580000000001</v>
      </c>
      <c r="Q539">
        <v>0.28906019999999999</v>
      </c>
      <c r="R539">
        <v>5.892505E-2</v>
      </c>
      <c r="S539">
        <v>3.2075499999999999</v>
      </c>
      <c r="T539">
        <v>-0.1731211</v>
      </c>
      <c r="U539">
        <v>-0.2484741</v>
      </c>
      <c r="V539">
        <v>-5.9119520000000002E-2</v>
      </c>
      <c r="W539">
        <v>0.29574980000000001</v>
      </c>
      <c r="X539">
        <v>0.95343429999999996</v>
      </c>
      <c r="Y539">
        <v>7.6953320000000006E-2</v>
      </c>
      <c r="Z539">
        <v>-2.3354930000000001E-3</v>
      </c>
      <c r="AA539">
        <v>0.99703200000000003</v>
      </c>
      <c r="AB539">
        <v>36</v>
      </c>
      <c r="AC539">
        <v>0.65510000000000401</v>
      </c>
      <c r="AD539">
        <v>-5.4424999999999897E-2</v>
      </c>
      <c r="AE539">
        <v>-7.8399999999987799E-2</v>
      </c>
      <c r="AF539">
        <v>7.7768990587876799E-2</v>
      </c>
      <c r="AG539">
        <v>-5.4424999999999897E-2</v>
      </c>
      <c r="AH539">
        <v>0.65068449851764398</v>
      </c>
      <c r="AI539">
        <v>94.747610840095106</v>
      </c>
      <c r="AJ539">
        <v>83.184410938961406</v>
      </c>
      <c r="AK539">
        <v>0.65757160304655404</v>
      </c>
      <c r="AL539">
        <v>72.797496133021497</v>
      </c>
      <c r="AM539">
        <v>93.548191776706801</v>
      </c>
      <c r="AN539">
        <v>1.00000001313078</v>
      </c>
    </row>
    <row r="540" spans="1:40" x14ac:dyDescent="0.25">
      <c r="A540" t="str">
        <f>"20190304164605502"</f>
        <v>20190304164605502</v>
      </c>
      <c r="B540" t="str">
        <f>"1551689165488350"</f>
        <v>1551689165488350</v>
      </c>
      <c r="C540" t="s">
        <v>40</v>
      </c>
      <c r="D540">
        <v>4.1738559999999998</v>
      </c>
      <c r="E540">
        <v>0.55039659999999901</v>
      </c>
      <c r="F540" t="s">
        <v>43</v>
      </c>
      <c r="G540">
        <v>-298.71069999999997</v>
      </c>
      <c r="H540">
        <v>-0.05</v>
      </c>
      <c r="I540">
        <v>366.43579999999997</v>
      </c>
      <c r="J540">
        <v>-321.63069999999999</v>
      </c>
      <c r="K540">
        <v>1.109685</v>
      </c>
      <c r="L540">
        <v>367.60739999999998</v>
      </c>
      <c r="M540">
        <v>0.99997519999999995</v>
      </c>
      <c r="N540">
        <v>-7.0418269999999996E-3</v>
      </c>
      <c r="O540" s="1">
        <v>-7.5509440000000002E-5</v>
      </c>
      <c r="P540">
        <v>0.95548599999999995</v>
      </c>
      <c r="Q540">
        <v>0.2891341</v>
      </c>
      <c r="R540">
        <v>5.8719899999999998E-2</v>
      </c>
      <c r="S540">
        <v>3.197845</v>
      </c>
      <c r="T540">
        <v>-0.15928030000000001</v>
      </c>
      <c r="U540">
        <v>-0.16091920000000001</v>
      </c>
      <c r="V540">
        <v>-5.8838519999999998E-2</v>
      </c>
      <c r="W540">
        <v>0.29584640000000001</v>
      </c>
      <c r="X540">
        <v>0.95342170000000004</v>
      </c>
      <c r="Y540">
        <v>5.011144E-2</v>
      </c>
      <c r="Z540">
        <v>-1.4198819999999999E-3</v>
      </c>
      <c r="AA540">
        <v>0.99874260000000004</v>
      </c>
      <c r="AB540">
        <v>36</v>
      </c>
      <c r="AC540">
        <v>22.92</v>
      </c>
      <c r="AD540">
        <v>-1.1596850000000001</v>
      </c>
      <c r="AE540">
        <v>-1.17160000000001</v>
      </c>
      <c r="AF540">
        <v>1.16688975005471</v>
      </c>
      <c r="AG540">
        <v>-1.1596850000000001</v>
      </c>
      <c r="AH540">
        <v>22.861713480139599</v>
      </c>
      <c r="AI540">
        <v>92.900132218155704</v>
      </c>
      <c r="AJ540">
        <v>87.078089138941806</v>
      </c>
      <c r="AK540">
        <v>22.920829920315001</v>
      </c>
      <c r="AL540">
        <v>72.791701863198796</v>
      </c>
      <c r="AM540">
        <v>93.531416256072902</v>
      </c>
      <c r="AN540">
        <v>1.00000000092982</v>
      </c>
    </row>
    <row r="541" spans="1:40" x14ac:dyDescent="0.25">
      <c r="A541" t="str">
        <f>"20190304164605526"</f>
        <v>20190304164605526</v>
      </c>
      <c r="B541" t="str">
        <f>"1551689165518602"</f>
        <v>1551689165518602</v>
      </c>
      <c r="C541" t="s">
        <v>40</v>
      </c>
      <c r="D541">
        <v>4.2029129999999997</v>
      </c>
      <c r="E541">
        <v>0.54628549999999998</v>
      </c>
      <c r="F541" t="s">
        <v>43</v>
      </c>
      <c r="G541">
        <v>-299.21179999999998</v>
      </c>
      <c r="H541">
        <v>-0.05</v>
      </c>
      <c r="I541">
        <v>366.81700000000001</v>
      </c>
      <c r="J541">
        <v>-321.22719999999998</v>
      </c>
      <c r="K541">
        <v>1.1096870000000001</v>
      </c>
      <c r="L541">
        <v>367.60750000000002</v>
      </c>
      <c r="M541">
        <v>0.99997499999999995</v>
      </c>
      <c r="N541">
        <v>-7.071918E-3</v>
      </c>
      <c r="O541" s="1">
        <v>1.2840729999999999E-5</v>
      </c>
      <c r="P541">
        <v>0.95540760000000002</v>
      </c>
      <c r="Q541">
        <v>0.28952529999999999</v>
      </c>
      <c r="R541">
        <v>5.8063940000000001E-2</v>
      </c>
      <c r="S541">
        <v>3.1967469999999998</v>
      </c>
      <c r="T541">
        <v>-0.1653616</v>
      </c>
      <c r="U541">
        <v>-0.11270139999999999</v>
      </c>
      <c r="V541">
        <v>-5.8098200000000003E-2</v>
      </c>
      <c r="W541">
        <v>0.29626540000000001</v>
      </c>
      <c r="X541">
        <v>0.95333699999999999</v>
      </c>
      <c r="Y541">
        <v>3.519253E-2</v>
      </c>
      <c r="Z541">
        <v>-1.0344779999999999E-3</v>
      </c>
      <c r="AA541">
        <v>0.99938000000000005</v>
      </c>
      <c r="AB541">
        <v>36</v>
      </c>
      <c r="AC541">
        <v>22.0154</v>
      </c>
      <c r="AD541">
        <v>-1.1596869999999999</v>
      </c>
      <c r="AE541">
        <v>-0.79050000000006504</v>
      </c>
      <c r="AF541">
        <v>0.78859733496796403</v>
      </c>
      <c r="AG541">
        <v>-1.1596869999999999</v>
      </c>
      <c r="AH541">
        <v>21.954549263803202</v>
      </c>
      <c r="AI541">
        <v>93.021732368675799</v>
      </c>
      <c r="AJ541">
        <v>87.942846310250104</v>
      </c>
      <c r="AK541">
        <v>21.999295285791501</v>
      </c>
      <c r="AL541">
        <v>72.766568398550902</v>
      </c>
      <c r="AM541">
        <v>93.487402538484005</v>
      </c>
      <c r="AN541">
        <v>1.0000000118246899</v>
      </c>
    </row>
    <row r="542" spans="1:40" x14ac:dyDescent="0.25">
      <c r="A542" t="str">
        <f>"20190304164605547"</f>
        <v>20190304164605547</v>
      </c>
      <c r="B542" t="str">
        <f>"1551689165538123"</f>
        <v>1551689165538123</v>
      </c>
      <c r="C542" t="s">
        <v>40</v>
      </c>
      <c r="D542">
        <v>4.1673159999999996</v>
      </c>
      <c r="E542">
        <v>0.54491080000000003</v>
      </c>
      <c r="F542" t="s">
        <v>43</v>
      </c>
      <c r="G542">
        <v>-299.2593</v>
      </c>
      <c r="H542">
        <v>-0.05</v>
      </c>
      <c r="I542">
        <v>367.0428</v>
      </c>
      <c r="J542">
        <v>-320.88080000000002</v>
      </c>
      <c r="K542">
        <v>1.10959599999999</v>
      </c>
      <c r="L542">
        <v>367.60750000000002</v>
      </c>
      <c r="M542">
        <v>0.99997740000000002</v>
      </c>
      <c r="N542">
        <v>-6.7431430000000001E-3</v>
      </c>
      <c r="O542" s="1">
        <v>8.9997450000000003E-5</v>
      </c>
      <c r="P542">
        <v>0.95530550000000003</v>
      </c>
      <c r="Q542">
        <v>0.28990670000000002</v>
      </c>
      <c r="R542">
        <v>5.7841669999999998E-2</v>
      </c>
      <c r="S542">
        <v>3.1961360000000001</v>
      </c>
      <c r="T542">
        <v>-0.16872429999999999</v>
      </c>
      <c r="U542">
        <v>-8.2153320000000002E-2</v>
      </c>
      <c r="V542">
        <v>-5.7801440000000003E-2</v>
      </c>
      <c r="W542">
        <v>0.29633330000000002</v>
      </c>
      <c r="X542">
        <v>0.95333389999999996</v>
      </c>
      <c r="Y542">
        <v>2.5744929999999999E-2</v>
      </c>
      <c r="Z542">
        <v>-7.6997839999999997E-4</v>
      </c>
      <c r="AA542">
        <v>0.99966820000000001</v>
      </c>
      <c r="AB542">
        <v>36</v>
      </c>
      <c r="AC542">
        <v>21.621500000000001</v>
      </c>
      <c r="AD542">
        <v>-1.1595959999999901</v>
      </c>
      <c r="AE542">
        <v>-0.56470000000001597</v>
      </c>
      <c r="AF542">
        <v>0.56502182867182105</v>
      </c>
      <c r="AG542">
        <v>-1.1595959999999901</v>
      </c>
      <c r="AH542">
        <v>21.559478747916199</v>
      </c>
      <c r="AI542">
        <v>93.077683867651103</v>
      </c>
      <c r="AJ542">
        <v>88.498759742722697</v>
      </c>
      <c r="AK542">
        <v>21.5980331611918</v>
      </c>
      <c r="AL542">
        <v>72.762494503488199</v>
      </c>
      <c r="AM542">
        <v>93.469644105655107</v>
      </c>
      <c r="AN542">
        <v>0.99999997802208596</v>
      </c>
    </row>
    <row r="543" spans="1:40" x14ac:dyDescent="0.25">
      <c r="A543" t="str">
        <f>"20190304164605570"</f>
        <v>20190304164605570</v>
      </c>
      <c r="B543" t="str">
        <f>"1551689165558618"</f>
        <v>1551689165558618</v>
      </c>
      <c r="C543" t="s">
        <v>40</v>
      </c>
      <c r="D543">
        <v>4.1881750000000002</v>
      </c>
      <c r="E543">
        <v>0.54402819999999996</v>
      </c>
      <c r="F543" t="s">
        <v>43</v>
      </c>
      <c r="G543">
        <v>-299.43029999999999</v>
      </c>
      <c r="H543">
        <v>-0.05</v>
      </c>
      <c r="I543">
        <v>367.12700000000001</v>
      </c>
      <c r="J543">
        <v>-320.5086</v>
      </c>
      <c r="K543">
        <v>1.109375</v>
      </c>
      <c r="L543">
        <v>367.60770000000002</v>
      </c>
      <c r="M543">
        <v>0.99998069999999895</v>
      </c>
      <c r="N543">
        <v>-6.2251440000000002E-3</v>
      </c>
      <c r="O543">
        <v>1.73404E-4</v>
      </c>
      <c r="P543">
        <v>0.95509100000000002</v>
      </c>
      <c r="Q543">
        <v>0.29056850000000001</v>
      </c>
      <c r="R543">
        <v>5.806567E-2</v>
      </c>
      <c r="S543">
        <v>3.1971440000000002</v>
      </c>
      <c r="T543">
        <v>-0.17283490000000001</v>
      </c>
      <c r="U543">
        <v>-7.1624759999999996E-2</v>
      </c>
      <c r="V543">
        <v>-5.7945129999999997E-2</v>
      </c>
      <c r="W543">
        <v>0.29649989999999998</v>
      </c>
      <c r="X543">
        <v>0.95327340000000005</v>
      </c>
      <c r="Y543">
        <v>2.2533600000000001E-2</v>
      </c>
      <c r="Z543">
        <v>-6.870445E-4</v>
      </c>
      <c r="AA543">
        <v>0.99974580000000002</v>
      </c>
      <c r="AB543">
        <v>37</v>
      </c>
      <c r="AC543">
        <v>21.078299999999999</v>
      </c>
      <c r="AD543">
        <v>-1.159375</v>
      </c>
      <c r="AE543">
        <v>-0.48070000000006902</v>
      </c>
      <c r="AF543">
        <v>0.48289495434690699</v>
      </c>
      <c r="AG543">
        <v>-1.159375</v>
      </c>
      <c r="AH543">
        <v>21.014672477866</v>
      </c>
      <c r="AI543">
        <v>93.156963044745595</v>
      </c>
      <c r="AJ543">
        <v>88.683635228197204</v>
      </c>
      <c r="AK543">
        <v>21.052168469769001</v>
      </c>
      <c r="AL543">
        <v>72.752500280230606</v>
      </c>
      <c r="AM543">
        <v>93.478468435322995</v>
      </c>
      <c r="AN543">
        <v>1.00000000196914</v>
      </c>
    </row>
    <row r="544" spans="1:40" x14ac:dyDescent="0.25">
      <c r="A544" t="str">
        <f>"20190304164605591"</f>
        <v>20190304164605591</v>
      </c>
      <c r="B544" t="str">
        <f>"1551689165578139"</f>
        <v>1551689165578139</v>
      </c>
      <c r="C544" t="s">
        <v>40</v>
      </c>
      <c r="D544">
        <v>4.1722710000000003</v>
      </c>
      <c r="E544">
        <v>0.54349479999999994</v>
      </c>
      <c r="F544" t="s">
        <v>43</v>
      </c>
      <c r="G544">
        <v>-299.39319999999998</v>
      </c>
      <c r="H544">
        <v>-0.05</v>
      </c>
      <c r="I544">
        <v>367.1918</v>
      </c>
      <c r="J544">
        <v>-320.1454</v>
      </c>
      <c r="K544">
        <v>1.1090789999999999</v>
      </c>
      <c r="L544">
        <v>367.6078</v>
      </c>
      <c r="M544">
        <v>0.99998149999999997</v>
      </c>
      <c r="N544">
        <v>-6.0849509999999999E-3</v>
      </c>
      <c r="O544">
        <v>2.5470560000000002E-4</v>
      </c>
      <c r="P544">
        <v>0.95498989999999995</v>
      </c>
      <c r="Q544">
        <v>0.29080020000000001</v>
      </c>
      <c r="R544">
        <v>5.8563839999999999E-2</v>
      </c>
      <c r="S544">
        <v>3.1982729999999999</v>
      </c>
      <c r="T544">
        <v>-0.17560599999999901</v>
      </c>
      <c r="U544">
        <v>-6.2988279999999994E-2</v>
      </c>
      <c r="V544">
        <v>-5.8365569999999999E-2</v>
      </c>
      <c r="W544">
        <v>0.296597</v>
      </c>
      <c r="X544">
        <v>0.9532176</v>
      </c>
      <c r="Y544">
        <v>1.9911700000000001E-2</v>
      </c>
      <c r="Z544">
        <v>-6.1923909999999998E-4</v>
      </c>
      <c r="AA544">
        <v>0.99980159999999996</v>
      </c>
      <c r="AB544">
        <v>37</v>
      </c>
      <c r="AC544">
        <v>20.752199999999998</v>
      </c>
      <c r="AD544">
        <v>-1.159079</v>
      </c>
      <c r="AE544">
        <v>-0.41599999999999598</v>
      </c>
      <c r="AF544">
        <v>0.41997615771427899</v>
      </c>
      <c r="AG544">
        <v>-1.159079</v>
      </c>
      <c r="AH544">
        <v>20.687582475651499</v>
      </c>
      <c r="AI544">
        <v>93.206142526436906</v>
      </c>
      <c r="AJ544">
        <v>88.837004926179105</v>
      </c>
      <c r="AK544">
        <v>20.724283167052398</v>
      </c>
      <c r="AL544">
        <v>72.746675789414198</v>
      </c>
      <c r="AM544">
        <v>93.503849551652706</v>
      </c>
      <c r="AN544">
        <v>1.0000000565600899</v>
      </c>
    </row>
    <row r="545" spans="1:40" x14ac:dyDescent="0.25">
      <c r="A545" t="str">
        <f>"20190304164605615"</f>
        <v>20190304164605615</v>
      </c>
      <c r="B545" t="str">
        <f>"1551689165608397"</f>
        <v>1551689165608397</v>
      </c>
      <c r="C545" t="s">
        <v>40</v>
      </c>
      <c r="D545">
        <v>4.1437939999999998</v>
      </c>
      <c r="E545">
        <v>0.54311500000000001</v>
      </c>
      <c r="F545" t="s">
        <v>43</v>
      </c>
      <c r="G545">
        <v>-299.15170000000001</v>
      </c>
      <c r="H545">
        <v>-0.05</v>
      </c>
      <c r="I545">
        <v>367.2312</v>
      </c>
      <c r="J545">
        <v>-319.7525</v>
      </c>
      <c r="K545">
        <v>1.1086290000000001</v>
      </c>
      <c r="L545">
        <v>367.60789999999997</v>
      </c>
      <c r="M545">
        <v>0.99997910000000001</v>
      </c>
      <c r="N545">
        <v>-6.4667040000000002E-3</v>
      </c>
      <c r="O545">
        <v>3.396847E-4</v>
      </c>
      <c r="P545">
        <v>0.95513210000000004</v>
      </c>
      <c r="Q545">
        <v>0.29012939999999998</v>
      </c>
      <c r="R545">
        <v>5.9563070000000003E-2</v>
      </c>
      <c r="S545">
        <v>3.1987000000000001</v>
      </c>
      <c r="T545">
        <v>-0.17660219999999999</v>
      </c>
      <c r="U545">
        <v>-5.7373050000000002E-2</v>
      </c>
      <c r="V545">
        <v>-5.928551E-2</v>
      </c>
      <c r="W545">
        <v>0.29629100000000003</v>
      </c>
      <c r="X545">
        <v>0.95325599999999999</v>
      </c>
      <c r="Y545">
        <v>1.824168E-2</v>
      </c>
      <c r="Z545">
        <v>-5.7872449999999895E-4</v>
      </c>
      <c r="AA545">
        <v>0.99983350000000004</v>
      </c>
      <c r="AB545">
        <v>37</v>
      </c>
      <c r="AC545">
        <v>20.6007999999999</v>
      </c>
      <c r="AD545">
        <v>-1.1586289999999999</v>
      </c>
      <c r="AE545">
        <v>-0.376699999999971</v>
      </c>
      <c r="AF545">
        <v>0.38248843448768</v>
      </c>
      <c r="AG545">
        <v>-1.1586289999999999</v>
      </c>
      <c r="AH545">
        <v>20.535734828187699</v>
      </c>
      <c r="AI545">
        <v>93.228653474795394</v>
      </c>
      <c r="AJ545">
        <v>88.932960541756202</v>
      </c>
      <c r="AK545">
        <v>20.571949919630899</v>
      </c>
      <c r="AL545">
        <v>72.765033619606101</v>
      </c>
      <c r="AM545">
        <v>93.558792297656694</v>
      </c>
      <c r="AN545">
        <v>1.00000006495647</v>
      </c>
    </row>
    <row r="546" spans="1:40" x14ac:dyDescent="0.25">
      <c r="A546" t="str">
        <f>"20190304164605636"</f>
        <v>20190304164605636</v>
      </c>
      <c r="B546" t="str">
        <f>"1551689165627914"</f>
        <v>1551689165627914</v>
      </c>
      <c r="C546" t="s">
        <v>40</v>
      </c>
      <c r="D546">
        <v>4.1367500000000001</v>
      </c>
      <c r="E546">
        <v>0.54294160000000002</v>
      </c>
      <c r="F546" t="s">
        <v>41</v>
      </c>
      <c r="G546">
        <v>-318.69319999999999</v>
      </c>
      <c r="H546">
        <v>1.048913</v>
      </c>
      <c r="I546">
        <v>367.59089999999998</v>
      </c>
      <c r="J546">
        <v>-319.40469999999999</v>
      </c>
      <c r="K546">
        <v>1.1080239999999999</v>
      </c>
      <c r="L546">
        <v>367.60809999999998</v>
      </c>
      <c r="M546">
        <v>0.99997429999999998</v>
      </c>
      <c r="N546">
        <v>-7.1783649999999999E-3</v>
      </c>
      <c r="O546">
        <v>4.1369429999999998E-4</v>
      </c>
      <c r="P546">
        <v>0.95532850000000002</v>
      </c>
      <c r="Q546">
        <v>0.2893637</v>
      </c>
      <c r="R546">
        <v>6.0135960000000002E-2</v>
      </c>
      <c r="S546">
        <v>3.1989139999999998</v>
      </c>
      <c r="T546">
        <v>-0.18038670000000001</v>
      </c>
      <c r="U546">
        <v>-5.096436E-2</v>
      </c>
      <c r="V546">
        <v>-5.9789450000000001E-2</v>
      </c>
      <c r="W546">
        <v>0.29620439999999998</v>
      </c>
      <c r="X546">
        <v>0.95325139999999997</v>
      </c>
      <c r="Y546">
        <v>1.6313689999999999E-2</v>
      </c>
      <c r="Z546">
        <v>-5.3852049999999997E-4</v>
      </c>
      <c r="AA546">
        <v>0.99986679999999994</v>
      </c>
      <c r="AB546">
        <v>37</v>
      </c>
      <c r="AC546">
        <v>0.71150000000000002</v>
      </c>
      <c r="AD546">
        <v>-5.91109999999999E-2</v>
      </c>
      <c r="AE546">
        <v>-1.7200000000002501E-2</v>
      </c>
      <c r="AF546">
        <v>1.7374497549217102E-2</v>
      </c>
      <c r="AG546">
        <v>-5.91109999999999E-2</v>
      </c>
      <c r="AH546">
        <v>0.70661845828060099</v>
      </c>
      <c r="AI546">
        <v>94.780412106597197</v>
      </c>
      <c r="AJ546">
        <v>88.591481973616297</v>
      </c>
      <c r="AK546">
        <v>0.70929939311192203</v>
      </c>
      <c r="AL546">
        <v>72.770227979800495</v>
      </c>
      <c r="AM546">
        <v>93.5889813611509</v>
      </c>
      <c r="AN546">
        <v>1.00000002825631</v>
      </c>
    </row>
    <row r="547" spans="1:40" x14ac:dyDescent="0.25">
      <c r="A547" t="str">
        <f>"20190304164605658"</f>
        <v>20190304164605658</v>
      </c>
      <c r="B547" t="str">
        <f>"1551689165648414"</f>
        <v>1551689165648414</v>
      </c>
      <c r="C547" t="s">
        <v>40</v>
      </c>
      <c r="D547">
        <v>4.1047909999999996</v>
      </c>
      <c r="E547">
        <v>0.54282439999999998</v>
      </c>
      <c r="F547" t="s">
        <v>43</v>
      </c>
      <c r="G547">
        <v>-299.32690000000002</v>
      </c>
      <c r="H547">
        <v>-0.05</v>
      </c>
      <c r="I547">
        <v>367.31209999999999</v>
      </c>
      <c r="J547">
        <v>-319.04090000000002</v>
      </c>
      <c r="K547">
        <v>1.1071679999999999</v>
      </c>
      <c r="L547">
        <v>367.60829999999999</v>
      </c>
      <c r="M547">
        <v>0.99996600000000002</v>
      </c>
      <c r="N547">
        <v>-8.25124E-3</v>
      </c>
      <c r="O547">
        <v>4.845486E-4</v>
      </c>
      <c r="P547">
        <v>0.95567670000000005</v>
      </c>
      <c r="Q547">
        <v>0.28817710000000002</v>
      </c>
      <c r="R547">
        <v>6.0301609999999999E-2</v>
      </c>
      <c r="S547">
        <v>3.1991269999999998</v>
      </c>
      <c r="T547">
        <v>-0.1845154</v>
      </c>
      <c r="U547">
        <v>-4.7149660000000003E-2</v>
      </c>
      <c r="V547">
        <v>-5.9890770000000003E-2</v>
      </c>
      <c r="W547">
        <v>0.29604269999999999</v>
      </c>
      <c r="X547">
        <v>0.95329520000000001</v>
      </c>
      <c r="Y547">
        <v>1.519175E-2</v>
      </c>
      <c r="Z547">
        <v>-5.2438479999999997E-4</v>
      </c>
      <c r="AA547">
        <v>0.99988449999999995</v>
      </c>
      <c r="AB547">
        <v>37</v>
      </c>
      <c r="AC547">
        <v>19.713999999999999</v>
      </c>
      <c r="AD547">
        <v>-1.157168</v>
      </c>
      <c r="AE547">
        <v>-0.29619999999999802</v>
      </c>
      <c r="AF547">
        <v>0.30470308404560298</v>
      </c>
      <c r="AG547">
        <v>-1.157168</v>
      </c>
      <c r="AH547">
        <v>19.646179913262401</v>
      </c>
      <c r="AI547">
        <v>93.370445822839201</v>
      </c>
      <c r="AJ547">
        <v>89.1114404343122</v>
      </c>
      <c r="AK547">
        <v>19.682587912516102</v>
      </c>
      <c r="AL547">
        <v>72.779926558624695</v>
      </c>
      <c r="AM547">
        <v>93.594882615367894</v>
      </c>
      <c r="AN547">
        <v>0.99999996144876002</v>
      </c>
    </row>
    <row r="548" spans="1:40" x14ac:dyDescent="0.25">
      <c r="A548" t="str">
        <f>"20190304164605681"</f>
        <v>20190304164605681</v>
      </c>
      <c r="B548" t="str">
        <f>"1551689165667976"</f>
        <v>1551689165667976</v>
      </c>
      <c r="C548" t="s">
        <v>40</v>
      </c>
      <c r="D548">
        <v>4.095726</v>
      </c>
      <c r="E548">
        <v>0.54280069999999903</v>
      </c>
      <c r="F548" t="s">
        <v>43</v>
      </c>
      <c r="G548">
        <v>-299.25909999999999</v>
      </c>
      <c r="H548">
        <v>-0.05</v>
      </c>
      <c r="I548">
        <v>367.32749999999999</v>
      </c>
      <c r="J548">
        <v>-318.66000000000003</v>
      </c>
      <c r="K548">
        <v>1.1060700000000001</v>
      </c>
      <c r="L548">
        <v>367.60860000000002</v>
      </c>
      <c r="M548">
        <v>0.99995160000000005</v>
      </c>
      <c r="N548">
        <v>-9.8363370000000006E-3</v>
      </c>
      <c r="O548">
        <v>5.5539969999999995E-4</v>
      </c>
      <c r="P548">
        <v>0.9559955</v>
      </c>
      <c r="Q548">
        <v>0.28704420000000003</v>
      </c>
      <c r="R548">
        <v>6.0650519999999999E-2</v>
      </c>
      <c r="S548">
        <v>3.1984560000000002</v>
      </c>
      <c r="T548">
        <v>-0.1870984</v>
      </c>
      <c r="U548">
        <v>-4.5410159999999998E-2</v>
      </c>
      <c r="V548">
        <v>-6.017426E-2</v>
      </c>
      <c r="W548">
        <v>0.29642299999999999</v>
      </c>
      <c r="X548">
        <v>0.95315919999999998</v>
      </c>
      <c r="Y548">
        <v>1.4721410000000001E-2</v>
      </c>
      <c r="Z548">
        <v>-5.2966639999999995E-4</v>
      </c>
      <c r="AA548">
        <v>0.99989150000000004</v>
      </c>
      <c r="AB548">
        <v>37</v>
      </c>
      <c r="AC548">
        <v>19.4009</v>
      </c>
      <c r="AD548">
        <v>-1.1560699999999999</v>
      </c>
      <c r="AE548">
        <v>-0.28110000000003699</v>
      </c>
      <c r="AF548">
        <v>0.29084322524593997</v>
      </c>
      <c r="AG548">
        <v>-1.1560699999999999</v>
      </c>
      <c r="AH548">
        <v>19.332111093657598</v>
      </c>
      <c r="AI548">
        <v>93.421854681004206</v>
      </c>
      <c r="AJ548">
        <v>89.138074876961596</v>
      </c>
      <c r="AK548">
        <v>19.368830810456501</v>
      </c>
      <c r="AL548">
        <v>72.757113662520098</v>
      </c>
      <c r="AM548">
        <v>93.612367862890494</v>
      </c>
      <c r="AN548">
        <v>0.99999999852009303</v>
      </c>
    </row>
    <row r="549" spans="1:40" x14ac:dyDescent="0.25">
      <c r="A549" t="str">
        <f>"20190304164605704"</f>
        <v>20190304164605704</v>
      </c>
      <c r="B549" t="str">
        <f>"1551689165698187"</f>
        <v>1551689165698187</v>
      </c>
      <c r="C549" t="s">
        <v>40</v>
      </c>
      <c r="D549">
        <v>4.0773609999999998</v>
      </c>
      <c r="E549">
        <v>0.54283859999999995</v>
      </c>
      <c r="F549" t="s">
        <v>43</v>
      </c>
      <c r="G549">
        <v>-299.23790000000002</v>
      </c>
      <c r="H549">
        <v>-0.05</v>
      </c>
      <c r="I549">
        <v>367.33589999999998</v>
      </c>
      <c r="J549">
        <v>-318.26650000000001</v>
      </c>
      <c r="K549">
        <v>1.104576</v>
      </c>
      <c r="L549">
        <v>367.60879999999997</v>
      </c>
      <c r="M549">
        <v>0.99993560000000004</v>
      </c>
      <c r="N549">
        <v>-1.1338900000000001E-2</v>
      </c>
      <c r="O549">
        <v>6.3841609999999997E-4</v>
      </c>
      <c r="P549">
        <v>0.95637490000000003</v>
      </c>
      <c r="Q549">
        <v>0.28568870000000002</v>
      </c>
      <c r="R549">
        <v>6.1067799999999998E-2</v>
      </c>
      <c r="S549">
        <v>3.1980590000000002</v>
      </c>
      <c r="T549">
        <v>-0.19035969999999999</v>
      </c>
      <c r="U549">
        <v>-4.4891359999999998E-2</v>
      </c>
      <c r="V549">
        <v>-6.051219E-2</v>
      </c>
      <c r="W549">
        <v>0.29650399999999999</v>
      </c>
      <c r="X549">
        <v>0.95311259999999998</v>
      </c>
      <c r="Y549">
        <v>1.4642469999999999E-2</v>
      </c>
      <c r="Z549">
        <v>-5.4921970000000001E-4</v>
      </c>
      <c r="AA549">
        <v>0.99989269999999997</v>
      </c>
      <c r="AB549">
        <v>37</v>
      </c>
      <c r="AC549">
        <v>19.028599999999901</v>
      </c>
      <c r="AD549">
        <v>-1.154576</v>
      </c>
      <c r="AE549">
        <v>-0.27289999999999198</v>
      </c>
      <c r="AF549">
        <v>0.284003529089981</v>
      </c>
      <c r="AG549">
        <v>-1.154576</v>
      </c>
      <c r="AH549">
        <v>18.958638954149599</v>
      </c>
      <c r="AI549">
        <v>93.484603423931404</v>
      </c>
      <c r="AJ549">
        <v>89.141763994917198</v>
      </c>
      <c r="AK549">
        <v>18.995886258295801</v>
      </c>
      <c r="AL549">
        <v>72.752254053128596</v>
      </c>
      <c r="AM549">
        <v>93.632777364283498</v>
      </c>
      <c r="AN549">
        <v>0.99999998771667797</v>
      </c>
    </row>
    <row r="550" spans="1:40" x14ac:dyDescent="0.25">
      <c r="A550" t="str">
        <f>"20190304164605728"</f>
        <v>20190304164605728</v>
      </c>
      <c r="B550" t="str">
        <f>"1551689165718682"</f>
        <v>1551689165718682</v>
      </c>
      <c r="C550" t="s">
        <v>40</v>
      </c>
      <c r="D550">
        <v>4.0683239999999996</v>
      </c>
      <c r="E550">
        <v>0.5428866</v>
      </c>
      <c r="F550" t="s">
        <v>43</v>
      </c>
      <c r="G550">
        <v>-299.21640000000002</v>
      </c>
      <c r="H550">
        <v>-0.05</v>
      </c>
      <c r="I550">
        <v>367.34300000000002</v>
      </c>
      <c r="J550">
        <v>-317.8682</v>
      </c>
      <c r="K550">
        <v>1.1026959999999999</v>
      </c>
      <c r="L550">
        <v>367.60910000000001</v>
      </c>
      <c r="M550">
        <v>0.99991949999999996</v>
      </c>
      <c r="N550">
        <v>-1.2678740000000001E-2</v>
      </c>
      <c r="O550">
        <v>7.2943879999999995E-4</v>
      </c>
      <c r="P550">
        <v>0.95688899999999999</v>
      </c>
      <c r="Q550">
        <v>0.28397139999999998</v>
      </c>
      <c r="R550">
        <v>6.1022739999999999E-2</v>
      </c>
      <c r="S550">
        <v>3.1976010000000001</v>
      </c>
      <c r="T550">
        <v>-0.19379830000000001</v>
      </c>
      <c r="U550">
        <v>-4.4616700000000002E-2</v>
      </c>
      <c r="V550">
        <v>-6.0380250000000003E-2</v>
      </c>
      <c r="W550">
        <v>0.296070099999999</v>
      </c>
      <c r="X550">
        <v>0.95325590000000004</v>
      </c>
      <c r="Y550">
        <v>1.46478999999999E-2</v>
      </c>
      <c r="Z550">
        <v>-5.7135200000000001E-4</v>
      </c>
      <c r="AA550">
        <v>0.99989249999999996</v>
      </c>
      <c r="AB550">
        <v>37</v>
      </c>
      <c r="AC550">
        <v>18.651799999999898</v>
      </c>
      <c r="AD550">
        <v>-1.1526959999999999</v>
      </c>
      <c r="AE550">
        <v>-0.26609999999999401</v>
      </c>
      <c r="AF550">
        <v>0.278642354790266</v>
      </c>
      <c r="AG550">
        <v>-1.1526959999999999</v>
      </c>
      <c r="AH550">
        <v>18.580649581716902</v>
      </c>
      <c r="AI550">
        <v>93.549536121581298</v>
      </c>
      <c r="AJ550">
        <v>89.140835511914602</v>
      </c>
      <c r="AK550">
        <v>18.618455588712401</v>
      </c>
      <c r="AL550">
        <v>72.778284453216102</v>
      </c>
      <c r="AM550">
        <v>93.624334181300597</v>
      </c>
      <c r="AN550">
        <v>1.0000000447944399</v>
      </c>
    </row>
    <row r="551" spans="1:40" x14ac:dyDescent="0.25">
      <c r="A551" t="str">
        <f>"20190304164605748"</f>
        <v>20190304164605748</v>
      </c>
      <c r="B551" t="str">
        <f>"1551689165738203"</f>
        <v>1551689165738203</v>
      </c>
      <c r="C551" t="s">
        <v>40</v>
      </c>
      <c r="D551">
        <v>4.0249499999999996</v>
      </c>
      <c r="E551">
        <v>0.54297980000000001</v>
      </c>
      <c r="F551" t="s">
        <v>43</v>
      </c>
      <c r="G551">
        <v>-299.39350000000002</v>
      </c>
      <c r="H551">
        <v>-0.05</v>
      </c>
      <c r="I551">
        <v>367.34780000000001</v>
      </c>
      <c r="J551">
        <v>-317.51979999999998</v>
      </c>
      <c r="K551">
        <v>1.1007670000000001</v>
      </c>
      <c r="L551">
        <v>367.60950000000003</v>
      </c>
      <c r="M551">
        <v>0.99990610000000002</v>
      </c>
      <c r="N551">
        <v>-1.368426E-2</v>
      </c>
      <c r="O551">
        <v>8.0786689999999995E-4</v>
      </c>
      <c r="P551">
        <v>0.95713570000000003</v>
      </c>
      <c r="Q551">
        <v>0.28328360000000002</v>
      </c>
      <c r="R551">
        <v>6.034693E-2</v>
      </c>
      <c r="S551">
        <v>3.1972049999999999</v>
      </c>
      <c r="T551">
        <v>-0.19948379999999999</v>
      </c>
      <c r="U551">
        <v>-4.5227049999999998E-2</v>
      </c>
      <c r="V551">
        <v>-5.9630379999999997E-2</v>
      </c>
      <c r="W551">
        <v>0.2963442</v>
      </c>
      <c r="X551">
        <v>0.95321789999999995</v>
      </c>
      <c r="Y551">
        <v>1.4915919999999999E-2</v>
      </c>
      <c r="Z551">
        <v>-6.0634540000000002E-4</v>
      </c>
      <c r="AA551">
        <v>0.99988849999999996</v>
      </c>
      <c r="AB551">
        <v>38</v>
      </c>
      <c r="AC551">
        <v>18.126299999999901</v>
      </c>
      <c r="AD551">
        <v>-1.1507670000000001</v>
      </c>
      <c r="AE551">
        <v>-0.26170000000001797</v>
      </c>
      <c r="AF551">
        <v>0.27523582223284199</v>
      </c>
      <c r="AG551">
        <v>-1.1507670000000001</v>
      </c>
      <c r="AH551">
        <v>18.053334256648402</v>
      </c>
      <c r="AI551">
        <v>93.646826605669403</v>
      </c>
      <c r="AJ551">
        <v>89.126553071729404</v>
      </c>
      <c r="AK551">
        <v>18.0920672458513</v>
      </c>
      <c r="AL551">
        <v>72.761841283330298</v>
      </c>
      <c r="AM551">
        <v>93.579583194173495</v>
      </c>
      <c r="AN551">
        <v>1.0000000159864899</v>
      </c>
    </row>
    <row r="552" spans="1:40" x14ac:dyDescent="0.25">
      <c r="A552" t="str">
        <f>"20190304164605770"</f>
        <v>20190304164605770</v>
      </c>
      <c r="B552" t="str">
        <f>"1551689165758699"</f>
        <v>1551689165758699</v>
      </c>
      <c r="C552" t="s">
        <v>40</v>
      </c>
      <c r="D552">
        <v>4.0119850000000001</v>
      </c>
      <c r="E552">
        <v>0.54310829999999999</v>
      </c>
      <c r="F552" t="s">
        <v>43</v>
      </c>
      <c r="G552">
        <v>-299.2842</v>
      </c>
      <c r="H552">
        <v>-0.05</v>
      </c>
      <c r="I552">
        <v>367.34350000000001</v>
      </c>
      <c r="J552">
        <v>-317.15050000000002</v>
      </c>
      <c r="K552">
        <v>1.0984609999999999</v>
      </c>
      <c r="L552">
        <v>367.60980000000001</v>
      </c>
      <c r="M552">
        <v>0.99989410000000001</v>
      </c>
      <c r="N552">
        <v>-1.4531290000000001E-2</v>
      </c>
      <c r="O552">
        <v>8.8338259999999895E-4</v>
      </c>
      <c r="P552">
        <v>0.95745130000000001</v>
      </c>
      <c r="Q552">
        <v>0.28226499999999999</v>
      </c>
      <c r="R552">
        <v>6.0115210000000002E-2</v>
      </c>
      <c r="S552">
        <v>3.1969910000000001</v>
      </c>
      <c r="T552">
        <v>-0.20174810000000001</v>
      </c>
      <c r="U552">
        <v>-4.6630860000000003E-2</v>
      </c>
      <c r="V552">
        <v>-5.932846E-2</v>
      </c>
      <c r="W552">
        <v>0.2961374</v>
      </c>
      <c r="X552">
        <v>0.95330099999999995</v>
      </c>
      <c r="Y552">
        <v>1.5428880000000001E-2</v>
      </c>
      <c r="Z552">
        <v>-6.4142609999999999E-4</v>
      </c>
      <c r="AA552">
        <v>0.99988080000000001</v>
      </c>
      <c r="AB552">
        <v>38</v>
      </c>
      <c r="AC552">
        <v>17.866299999999999</v>
      </c>
      <c r="AD552">
        <v>-1.148461</v>
      </c>
      <c r="AE552">
        <v>-0.26630000000000098</v>
      </c>
      <c r="AF552">
        <v>0.280923812789176</v>
      </c>
      <c r="AG552">
        <v>-1.148461</v>
      </c>
      <c r="AH552">
        <v>17.792554752468099</v>
      </c>
      <c r="AI552">
        <v>93.6927043901498</v>
      </c>
      <c r="AJ552">
        <v>89.095441224048301</v>
      </c>
      <c r="AK552">
        <v>17.831794230438099</v>
      </c>
      <c r="AL552">
        <v>72.774246812998598</v>
      </c>
      <c r="AM552">
        <v>93.561196188922807</v>
      </c>
      <c r="AN552">
        <v>1.00000001122286</v>
      </c>
    </row>
    <row r="553" spans="1:40" x14ac:dyDescent="0.25">
      <c r="A553" t="str">
        <f>"20190304164605792"</f>
        <v>20190304164605792</v>
      </c>
      <c r="B553" t="str">
        <f>"1551689165787979"</f>
        <v>1551689165787979</v>
      </c>
      <c r="C553" t="s">
        <v>40</v>
      </c>
      <c r="D553">
        <v>3.9377629999999999</v>
      </c>
      <c r="E553">
        <v>0.54318759999999999</v>
      </c>
      <c r="F553" t="s">
        <v>43</v>
      </c>
      <c r="G553">
        <v>-299.23200000000003</v>
      </c>
      <c r="H553">
        <v>-0.05</v>
      </c>
      <c r="I553">
        <v>367.33780000000002</v>
      </c>
      <c r="J553">
        <v>-316.77890000000002</v>
      </c>
      <c r="K553">
        <v>1.0958889999999999</v>
      </c>
      <c r="L553">
        <v>367.61020000000002</v>
      </c>
      <c r="M553">
        <v>0.99988540000000004</v>
      </c>
      <c r="N553">
        <v>-1.510382E-2</v>
      </c>
      <c r="O553">
        <v>9.5410310000000002E-4</v>
      </c>
      <c r="P553">
        <v>0.95748250000000001</v>
      </c>
      <c r="Q553">
        <v>0.28214679999999998</v>
      </c>
      <c r="R553">
        <v>6.0168680000000002E-2</v>
      </c>
      <c r="S553">
        <v>3.196777</v>
      </c>
      <c r="T553">
        <v>-0.20489370000000001</v>
      </c>
      <c r="U553">
        <v>-4.8522950000000002E-2</v>
      </c>
      <c r="V553">
        <v>-5.931612E-2</v>
      </c>
      <c r="W553">
        <v>0.29656510000000003</v>
      </c>
      <c r="X553">
        <v>0.95316880000000004</v>
      </c>
      <c r="Y553">
        <v>1.608911E-2</v>
      </c>
      <c r="Z553">
        <v>-6.8340640000000004E-4</v>
      </c>
      <c r="AA553">
        <v>0.99987029999999999</v>
      </c>
      <c r="AB553">
        <v>38</v>
      </c>
      <c r="AC553">
        <v>17.546899999999901</v>
      </c>
      <c r="AD553">
        <v>-1.1458889999999999</v>
      </c>
      <c r="AE553">
        <v>-0.27240000000000397</v>
      </c>
      <c r="AF553">
        <v>0.28791577213813002</v>
      </c>
      <c r="AG553">
        <v>-1.1458889999999999</v>
      </c>
      <c r="AH553">
        <v>17.472137331688</v>
      </c>
      <c r="AI553">
        <v>93.751792837555698</v>
      </c>
      <c r="AJ553">
        <v>89.055933148237102</v>
      </c>
      <c r="AK553">
        <v>17.5120398591807</v>
      </c>
      <c r="AL553">
        <v>72.748588821610994</v>
      </c>
      <c r="AM553">
        <v>93.560949932925496</v>
      </c>
      <c r="AN553">
        <v>1.00000001096165</v>
      </c>
    </row>
    <row r="554" spans="1:40" x14ac:dyDescent="0.25">
      <c r="A554" t="str">
        <f>"20190304164605817"</f>
        <v>20190304164605817</v>
      </c>
      <c r="B554" t="str">
        <f>"1551689165808479"</f>
        <v>1551689165808479</v>
      </c>
      <c r="C554" t="s">
        <v>40</v>
      </c>
      <c r="D554">
        <v>3.9376950000000002</v>
      </c>
      <c r="E554">
        <v>0.54314010000000001</v>
      </c>
      <c r="F554" t="s">
        <v>43</v>
      </c>
      <c r="G554">
        <v>-298.82639999999998</v>
      </c>
      <c r="H554">
        <v>-0.05</v>
      </c>
      <c r="I554">
        <v>367.32479999999998</v>
      </c>
      <c r="J554">
        <v>-316.37520000000001</v>
      </c>
      <c r="K554">
        <v>1.0928610000000001</v>
      </c>
      <c r="L554">
        <v>367.61070000000001</v>
      </c>
      <c r="M554">
        <v>0.99988089999999996</v>
      </c>
      <c r="N554">
        <v>-1.5412169999999999E-2</v>
      </c>
      <c r="O554">
        <v>1.0147890000000001E-3</v>
      </c>
      <c r="P554">
        <v>0.95745860000000005</v>
      </c>
      <c r="Q554">
        <v>0.28209899999999999</v>
      </c>
      <c r="R554">
        <v>6.0772329999999999E-2</v>
      </c>
      <c r="S554">
        <v>3.1965330000000001</v>
      </c>
      <c r="T554">
        <v>-0.2040313</v>
      </c>
      <c r="U554">
        <v>-5.0811769999999999E-2</v>
      </c>
      <c r="V554">
        <v>-5.9862199999999997E-2</v>
      </c>
      <c r="W554">
        <v>0.29681049999999998</v>
      </c>
      <c r="X554">
        <v>0.95305819999999997</v>
      </c>
      <c r="Y554">
        <v>1.6864859999999999E-2</v>
      </c>
      <c r="Z554">
        <v>-7.1686929999999996E-4</v>
      </c>
      <c r="AA554">
        <v>0.99985749999999995</v>
      </c>
      <c r="AB554">
        <v>38</v>
      </c>
      <c r="AC554">
        <v>17.5488</v>
      </c>
      <c r="AD554">
        <v>-1.1428609999999999</v>
      </c>
      <c r="AE554">
        <v>-0.28590000000002602</v>
      </c>
      <c r="AF554">
        <v>0.302427967349222</v>
      </c>
      <c r="AG554">
        <v>-1.1428609999999999</v>
      </c>
      <c r="AH554">
        <v>17.474407458207398</v>
      </c>
      <c r="AI554">
        <v>93.7413700411973</v>
      </c>
      <c r="AJ554">
        <v>89.008486186238201</v>
      </c>
      <c r="AK554">
        <v>17.5143515425553</v>
      </c>
      <c r="AL554">
        <v>72.733864325387401</v>
      </c>
      <c r="AM554">
        <v>93.594063407704198</v>
      </c>
      <c r="AN554">
        <v>0.99999994424316296</v>
      </c>
    </row>
    <row r="555" spans="1:40" x14ac:dyDescent="0.25">
      <c r="A555" t="str">
        <f>"20190304164605836"</f>
        <v>20190304164605836</v>
      </c>
      <c r="B555" t="str">
        <f>"1551689165827995"</f>
        <v>1551689165827995</v>
      </c>
      <c r="C555" t="s">
        <v>40</v>
      </c>
      <c r="D555">
        <v>3.9180670000000002</v>
      </c>
      <c r="E555">
        <v>0.54318789999999995</v>
      </c>
      <c r="F555" t="s">
        <v>43</v>
      </c>
      <c r="G555">
        <v>-298.351</v>
      </c>
      <c r="H555">
        <v>-0.05</v>
      </c>
      <c r="I555">
        <v>367.3306</v>
      </c>
      <c r="J555">
        <v>-316.02350000000001</v>
      </c>
      <c r="K555">
        <v>1.0901179999999999</v>
      </c>
      <c r="L555">
        <v>367.61110000000002</v>
      </c>
      <c r="M555">
        <v>0.99987760000000003</v>
      </c>
      <c r="N555">
        <v>-1.560917E-2</v>
      </c>
      <c r="O555">
        <v>1.0608639999999999E-3</v>
      </c>
      <c r="P555">
        <v>0.95752440000000005</v>
      </c>
      <c r="Q555">
        <v>0.28170030000000001</v>
      </c>
      <c r="R555">
        <v>6.157907E-2</v>
      </c>
      <c r="S555">
        <v>3.1961059999999999</v>
      </c>
      <c r="T555">
        <v>-0.2026558</v>
      </c>
      <c r="U555">
        <v>-4.9652099999999998E-2</v>
      </c>
      <c r="V555">
        <v>-6.0621139999999997E-2</v>
      </c>
      <c r="W555">
        <v>0.29660150000000002</v>
      </c>
      <c r="X555">
        <v>0.95307529999999996</v>
      </c>
      <c r="Y555">
        <v>1.6551529999999998E-2</v>
      </c>
      <c r="Z555">
        <v>-7.0418740000000003E-4</v>
      </c>
      <c r="AA555">
        <v>0.99986280000000005</v>
      </c>
      <c r="AB555">
        <v>38</v>
      </c>
      <c r="AC555">
        <v>17.672499999999999</v>
      </c>
      <c r="AD555">
        <v>-1.140118</v>
      </c>
      <c r="AE555">
        <v>-0.28050000000001701</v>
      </c>
      <c r="AF555">
        <v>0.29801023502580598</v>
      </c>
      <c r="AG555">
        <v>-1.140118</v>
      </c>
      <c r="AH555">
        <v>17.598963744240699</v>
      </c>
      <c r="AI555">
        <v>93.706097144296294</v>
      </c>
      <c r="AJ555">
        <v>89.029880551754403</v>
      </c>
      <c r="AK555">
        <v>17.638373054939098</v>
      </c>
      <c r="AL555">
        <v>72.746403912679199</v>
      </c>
      <c r="AM555">
        <v>93.639442532154305</v>
      </c>
      <c r="AN555">
        <v>0.99999994994361796</v>
      </c>
    </row>
    <row r="556" spans="1:40" x14ac:dyDescent="0.25">
      <c r="A556" t="str">
        <f>"20190304164605859"</f>
        <v>20190304164605859</v>
      </c>
      <c r="B556" t="str">
        <f>"1551689165848491"</f>
        <v>1551689165848491</v>
      </c>
      <c r="C556" t="s">
        <v>40</v>
      </c>
      <c r="D556">
        <v>3.939403</v>
      </c>
      <c r="E556">
        <v>0.54332619999999998</v>
      </c>
      <c r="F556" t="s">
        <v>43</v>
      </c>
      <c r="G556">
        <v>-298.0915</v>
      </c>
      <c r="H556">
        <v>-0.05</v>
      </c>
      <c r="I556">
        <v>367.34219999999999</v>
      </c>
      <c r="J556">
        <v>-315.65170000000001</v>
      </c>
      <c r="K556">
        <v>1.08718</v>
      </c>
      <c r="L556">
        <v>367.61149999999998</v>
      </c>
      <c r="M556">
        <v>0.99987559999999998</v>
      </c>
      <c r="N556">
        <v>-1.5742180000000001E-2</v>
      </c>
      <c r="O556">
        <v>1.109339E-3</v>
      </c>
      <c r="P556">
        <v>0.95756220000000003</v>
      </c>
      <c r="Q556">
        <v>0.28134579999999998</v>
      </c>
      <c r="R556">
        <v>6.2605569999999999E-2</v>
      </c>
      <c r="S556">
        <v>3.1959230000000001</v>
      </c>
      <c r="T556">
        <v>-0.2031966</v>
      </c>
      <c r="U556">
        <v>-4.79126E-2</v>
      </c>
      <c r="V556">
        <v>-6.1593639999999998E-2</v>
      </c>
      <c r="W556">
        <v>0.29637560000000002</v>
      </c>
      <c r="X556">
        <v>0.95308329999999997</v>
      </c>
      <c r="Y556">
        <v>1.6057720000000001E-2</v>
      </c>
      <c r="Z556">
        <v>-6.8950330000000005E-4</v>
      </c>
      <c r="AA556">
        <v>0.99987079999999995</v>
      </c>
      <c r="AB556">
        <v>38</v>
      </c>
      <c r="AC556">
        <v>17.560199999999998</v>
      </c>
      <c r="AD556">
        <v>-1.1371799999999901</v>
      </c>
      <c r="AE556">
        <v>-0.26929999999998699</v>
      </c>
      <c r="AF556">
        <v>0.287576727689559</v>
      </c>
      <c r="AG556">
        <v>-1.1371799999999901</v>
      </c>
      <c r="AH556">
        <v>17.486573845525601</v>
      </c>
      <c r="AI556">
        <v>93.720295661601995</v>
      </c>
      <c r="AJ556">
        <v>89.057823005461302</v>
      </c>
      <c r="AK556">
        <v>17.5258706939692</v>
      </c>
      <c r="AL556">
        <v>72.759957728542005</v>
      </c>
      <c r="AM556">
        <v>93.6976357533064</v>
      </c>
      <c r="AN556">
        <v>1.0000000247513401</v>
      </c>
    </row>
    <row r="557" spans="1:40" x14ac:dyDescent="0.25">
      <c r="A557" t="str">
        <f>"20190304164605881"</f>
        <v>20190304164605881</v>
      </c>
      <c r="B557" t="str">
        <f>"1551689165868011"</f>
        <v>1551689165868011</v>
      </c>
      <c r="C557" t="s">
        <v>40</v>
      </c>
      <c r="D557">
        <v>3.9471820000000002</v>
      </c>
      <c r="E557">
        <v>0.54341609999999996</v>
      </c>
      <c r="F557" t="s">
        <v>43</v>
      </c>
      <c r="G557">
        <v>-297.86410000000001</v>
      </c>
      <c r="H557">
        <v>-0.05</v>
      </c>
      <c r="I557">
        <v>367.35739999999998</v>
      </c>
      <c r="J557">
        <v>-315.27199999999999</v>
      </c>
      <c r="K557">
        <v>1.0842069999999999</v>
      </c>
      <c r="L557">
        <v>367.6121</v>
      </c>
      <c r="M557">
        <v>0.99987559999999998</v>
      </c>
      <c r="N557">
        <v>-1.5741080000000001E-2</v>
      </c>
      <c r="O557">
        <v>1.1545500000000001E-3</v>
      </c>
      <c r="P557">
        <v>0.95757239999999999</v>
      </c>
      <c r="Q557">
        <v>0.28106989999999998</v>
      </c>
      <c r="R557">
        <v>6.3680120000000007E-2</v>
      </c>
      <c r="S557">
        <v>3.1959840000000002</v>
      </c>
      <c r="T557">
        <v>-0.20432359999999999</v>
      </c>
      <c r="U557">
        <v>-4.5654300000000002E-2</v>
      </c>
      <c r="V557">
        <v>-6.2614459999999997E-2</v>
      </c>
      <c r="W557">
        <v>0.2961009</v>
      </c>
      <c r="X557">
        <v>0.95310209999999995</v>
      </c>
      <c r="Y557">
        <v>1.539748E-2</v>
      </c>
      <c r="Z557">
        <v>-6.6859129999999995E-4</v>
      </c>
      <c r="AA557">
        <v>0.99988120000000003</v>
      </c>
      <c r="AB557">
        <v>38</v>
      </c>
      <c r="AC557">
        <v>17.407899999999898</v>
      </c>
      <c r="AD557">
        <v>-1.134207</v>
      </c>
      <c r="AE557">
        <v>-0.25470000000001303</v>
      </c>
      <c r="AF557">
        <v>0.273639220475487</v>
      </c>
      <c r="AG557">
        <v>-1.134207</v>
      </c>
      <c r="AH557">
        <v>17.334024705594899</v>
      </c>
      <c r="AI557">
        <v>93.743199218308206</v>
      </c>
      <c r="AJ557">
        <v>89.095589713073096</v>
      </c>
      <c r="AK557">
        <v>17.3732471471514</v>
      </c>
      <c r="AL557">
        <v>72.776435454311994</v>
      </c>
      <c r="AM557">
        <v>93.758670208420497</v>
      </c>
      <c r="AN557">
        <v>0.99999996330315499</v>
      </c>
    </row>
    <row r="558" spans="1:40" x14ac:dyDescent="0.25">
      <c r="A558" t="str">
        <f>"20190304164605905"</f>
        <v>20190304164605905</v>
      </c>
      <c r="B558" t="str">
        <f>"1551689165898266"</f>
        <v>1551689165898266</v>
      </c>
      <c r="C558" t="s">
        <v>40</v>
      </c>
      <c r="D558">
        <v>3.9139729999999999</v>
      </c>
      <c r="E558">
        <v>0.5435738</v>
      </c>
      <c r="F558" t="s">
        <v>43</v>
      </c>
      <c r="G558">
        <v>-297.63400000000001</v>
      </c>
      <c r="H558">
        <v>-0.05</v>
      </c>
      <c r="I558">
        <v>367.37860000000001</v>
      </c>
      <c r="J558">
        <v>-314.87189999999998</v>
      </c>
      <c r="K558">
        <v>1.08118799999999</v>
      </c>
      <c r="L558">
        <v>367.61250000000001</v>
      </c>
      <c r="M558">
        <v>0.99987789999999999</v>
      </c>
      <c r="N558">
        <v>-1.5581920000000001E-2</v>
      </c>
      <c r="O558">
        <v>1.192746E-3</v>
      </c>
      <c r="P558">
        <v>0.95756019999999997</v>
      </c>
      <c r="Q558">
        <v>0.2810532</v>
      </c>
      <c r="R558">
        <v>6.3933589999999998E-2</v>
      </c>
      <c r="S558">
        <v>3.1960449999999998</v>
      </c>
      <c r="T558">
        <v>-0.20552039999999999</v>
      </c>
      <c r="U558">
        <v>-4.2297359999999999E-2</v>
      </c>
      <c r="V558">
        <v>-6.2820100000000004E-2</v>
      </c>
      <c r="W558">
        <v>0.2959348</v>
      </c>
      <c r="X558">
        <v>0.95314019999999999</v>
      </c>
      <c r="Y558">
        <v>1.4387560000000001E-2</v>
      </c>
      <c r="Z558">
        <v>-6.3238979999999997E-4</v>
      </c>
      <c r="AA558">
        <v>0.99989629999999996</v>
      </c>
      <c r="AB558">
        <v>38</v>
      </c>
      <c r="AC558">
        <v>17.2378999999999</v>
      </c>
      <c r="AD558">
        <v>-1.1311880000000001</v>
      </c>
      <c r="AE558">
        <v>-0.23390000000000499</v>
      </c>
      <c r="AF558">
        <v>0.253371880067571</v>
      </c>
      <c r="AG558">
        <v>-1.1311880000000001</v>
      </c>
      <c r="AH558">
        <v>17.163710817614</v>
      </c>
      <c r="AI558">
        <v>93.770261192797406</v>
      </c>
      <c r="AJ558">
        <v>89.154257191310094</v>
      </c>
      <c r="AK558">
        <v>17.202812346579599</v>
      </c>
      <c r="AL558">
        <v>72.786399572628994</v>
      </c>
      <c r="AM558">
        <v>93.770828666246601</v>
      </c>
      <c r="AN558">
        <v>1.0000000058355401</v>
      </c>
    </row>
    <row r="559" spans="1:40" x14ac:dyDescent="0.25">
      <c r="A559" t="str">
        <f>"20190304164605927"</f>
        <v>20190304164605927</v>
      </c>
      <c r="B559" t="str">
        <f>"1551689165918762"</f>
        <v>1551689165918762</v>
      </c>
      <c r="C559" t="s">
        <v>40</v>
      </c>
      <c r="D559">
        <v>3.941989</v>
      </c>
      <c r="E559">
        <v>0.54367349999999903</v>
      </c>
      <c r="F559" t="s">
        <v>43</v>
      </c>
      <c r="G559">
        <v>-297.21929999999998</v>
      </c>
      <c r="H559">
        <v>-0.05</v>
      </c>
      <c r="I559">
        <v>367.37889999999999</v>
      </c>
      <c r="J559">
        <v>-314.49930000000001</v>
      </c>
      <c r="K559">
        <v>1.078557</v>
      </c>
      <c r="L559">
        <v>367.613</v>
      </c>
      <c r="M559">
        <v>0.99988189999999999</v>
      </c>
      <c r="N559">
        <v>-1.531946E-2</v>
      </c>
      <c r="O559">
        <v>1.217063E-3</v>
      </c>
      <c r="P559">
        <v>0.95747599999999999</v>
      </c>
      <c r="Q559">
        <v>0.28141250000000001</v>
      </c>
      <c r="R559">
        <v>6.3615580000000005E-2</v>
      </c>
      <c r="S559">
        <v>3.1959230000000001</v>
      </c>
      <c r="T559">
        <v>-0.2047968</v>
      </c>
      <c r="U559">
        <v>-4.2297359999999999E-2</v>
      </c>
      <c r="V559">
        <v>-6.2469719999999999E-2</v>
      </c>
      <c r="W559">
        <v>0.29604459999999999</v>
      </c>
      <c r="X559">
        <v>0.95312909999999995</v>
      </c>
      <c r="Y559">
        <v>1.4412640000000001E-2</v>
      </c>
      <c r="Z559">
        <v>-6.3111730000000004E-4</v>
      </c>
      <c r="AA559">
        <v>0.99989589999999995</v>
      </c>
      <c r="AB559">
        <v>38</v>
      </c>
      <c r="AC559">
        <v>17.28</v>
      </c>
      <c r="AD559">
        <v>-1.128557</v>
      </c>
      <c r="AE559">
        <v>-0.234100000000069</v>
      </c>
      <c r="AF559">
        <v>0.25404971945308602</v>
      </c>
      <c r="AG559">
        <v>-1.128557</v>
      </c>
      <c r="AH559">
        <v>17.206323905656902</v>
      </c>
      <c r="AI559">
        <v>93.752227983038495</v>
      </c>
      <c r="AJ559">
        <v>89.154094786115294</v>
      </c>
      <c r="AK559">
        <v>17.245166409999801</v>
      </c>
      <c r="AL559">
        <v>72.779812849544498</v>
      </c>
      <c r="AM559">
        <v>93.749900535494405</v>
      </c>
      <c r="AN559">
        <v>0.999999976186423</v>
      </c>
    </row>
    <row r="560" spans="1:40" x14ac:dyDescent="0.25">
      <c r="A560" t="str">
        <f>"20190304164605949"</f>
        <v>20190304164605949</v>
      </c>
      <c r="B560" t="str">
        <f>"1551689165938284"</f>
        <v>1551689165938284</v>
      </c>
      <c r="C560" t="s">
        <v>40</v>
      </c>
      <c r="D560">
        <v>3.9351569999999998</v>
      </c>
      <c r="E560">
        <v>0.54372860000000001</v>
      </c>
      <c r="F560" t="s">
        <v>43</v>
      </c>
      <c r="G560">
        <v>-296.74599999999998</v>
      </c>
      <c r="H560">
        <v>-0.05</v>
      </c>
      <c r="I560">
        <v>367.36739999999998</v>
      </c>
      <c r="J560">
        <v>-314.13569999999999</v>
      </c>
      <c r="K560">
        <v>1.076179</v>
      </c>
      <c r="L560">
        <v>367.61349999999999</v>
      </c>
      <c r="M560">
        <v>0.99988679999999996</v>
      </c>
      <c r="N560">
        <v>-1.499517E-2</v>
      </c>
      <c r="O560">
        <v>1.2309689999999999E-3</v>
      </c>
      <c r="P560">
        <v>0.95724390000000004</v>
      </c>
      <c r="Q560">
        <v>0.28236109999999998</v>
      </c>
      <c r="R560">
        <v>6.2899629999999998E-2</v>
      </c>
      <c r="S560">
        <v>3.1958920000000002</v>
      </c>
      <c r="T560">
        <v>-0.20315920000000001</v>
      </c>
      <c r="U560">
        <v>-4.4219969999999997E-2</v>
      </c>
      <c r="V560">
        <v>-6.1734270000000001E-2</v>
      </c>
      <c r="W560">
        <v>0.2966821</v>
      </c>
      <c r="X560">
        <v>0.95297880000000001</v>
      </c>
      <c r="Y560">
        <v>1.5027209999999999E-2</v>
      </c>
      <c r="Z560">
        <v>-6.4967129999999999E-4</v>
      </c>
      <c r="AA560">
        <v>0.99988690000000002</v>
      </c>
      <c r="AB560">
        <v>38</v>
      </c>
      <c r="AC560">
        <v>17.389700000000001</v>
      </c>
      <c r="AD560">
        <v>-1.126179</v>
      </c>
      <c r="AE560">
        <v>-0.246100000000012</v>
      </c>
      <c r="AF560">
        <v>0.26639137487251502</v>
      </c>
      <c r="AG560">
        <v>-1.126179</v>
      </c>
      <c r="AH560">
        <v>17.316771474390801</v>
      </c>
      <c r="AI560">
        <v>93.720495141114199</v>
      </c>
      <c r="AJ560">
        <v>89.118663795490093</v>
      </c>
      <c r="AK560">
        <v>17.355397367992499</v>
      </c>
      <c r="AL560">
        <v>72.741568941037698</v>
      </c>
      <c r="AM560">
        <v>93.706459916694598</v>
      </c>
      <c r="AN560">
        <v>0.999999990901141</v>
      </c>
    </row>
    <row r="561" spans="1:40" x14ac:dyDescent="0.25">
      <c r="A561" t="str">
        <f>"20190304164605971"</f>
        <v>20190304164605971</v>
      </c>
      <c r="B561" t="str">
        <f>"1551689165958779"</f>
        <v>1551689165958779</v>
      </c>
      <c r="C561" t="s">
        <v>40</v>
      </c>
      <c r="D561">
        <v>3.9367220000000001</v>
      </c>
      <c r="E561">
        <v>0.54380260000000002</v>
      </c>
      <c r="F561" t="s">
        <v>43</v>
      </c>
      <c r="G561">
        <v>-296.0874</v>
      </c>
      <c r="H561">
        <v>-0.05</v>
      </c>
      <c r="I561">
        <v>367.35059999999999</v>
      </c>
      <c r="J561">
        <v>-313.75889999999998</v>
      </c>
      <c r="K561">
        <v>1.0739369999999999</v>
      </c>
      <c r="L561">
        <v>367.6139</v>
      </c>
      <c r="M561">
        <v>0.99989240000000001</v>
      </c>
      <c r="N561">
        <v>-1.462395E-2</v>
      </c>
      <c r="O561">
        <v>1.237819E-3</v>
      </c>
      <c r="P561">
        <v>0.95707109999999995</v>
      </c>
      <c r="Q561">
        <v>0.28322429999999998</v>
      </c>
      <c r="R561">
        <v>6.1636650000000001E-2</v>
      </c>
      <c r="S561">
        <v>3.1958920000000002</v>
      </c>
      <c r="T561">
        <v>-0.19941819999999999</v>
      </c>
      <c r="U561">
        <v>-4.653931E-2</v>
      </c>
      <c r="V561">
        <v>-6.0459600000000002E-2</v>
      </c>
      <c r="W561">
        <v>0.297189799999999</v>
      </c>
      <c r="X561">
        <v>0.95290240000000004</v>
      </c>
      <c r="Y561">
        <v>1.5759240000000001E-2</v>
      </c>
      <c r="Z561">
        <v>-6.6562320000000002E-4</v>
      </c>
      <c r="AA561">
        <v>0.99987559999999998</v>
      </c>
      <c r="AB561">
        <v>38</v>
      </c>
      <c r="AC561">
        <v>17.671499999999899</v>
      </c>
      <c r="AD561">
        <v>-1.123937</v>
      </c>
      <c r="AE561">
        <v>-0.26330000000001502</v>
      </c>
      <c r="AF561">
        <v>0.28402756818798802</v>
      </c>
      <c r="AG561">
        <v>-1.123937</v>
      </c>
      <c r="AH561">
        <v>17.599981337837701</v>
      </c>
      <c r="AI561">
        <v>93.653479498755601</v>
      </c>
      <c r="AJ561">
        <v>89.075443996034096</v>
      </c>
      <c r="AK561">
        <v>17.638119206187898</v>
      </c>
      <c r="AL561">
        <v>72.711107182492697</v>
      </c>
      <c r="AM561">
        <v>93.630427145648696</v>
      </c>
      <c r="AN561">
        <v>1.0000000621909699</v>
      </c>
    </row>
    <row r="562" spans="1:40" x14ac:dyDescent="0.25">
      <c r="A562" t="str">
        <f>"20190304164605984"</f>
        <v>20190304164605984</v>
      </c>
      <c r="B562" t="str">
        <f>"1551689165978299"</f>
        <v>1551689165978299</v>
      </c>
      <c r="C562" t="s">
        <v>40</v>
      </c>
      <c r="D562">
        <v>3.8895420000000001</v>
      </c>
      <c r="E562">
        <v>0.54384080000000001</v>
      </c>
      <c r="F562" t="s">
        <v>43</v>
      </c>
      <c r="G562">
        <v>-295.48599999999999</v>
      </c>
      <c r="H562">
        <v>-0.05</v>
      </c>
      <c r="I562">
        <v>367.32830000000001</v>
      </c>
      <c r="J562">
        <v>-313.54520000000002</v>
      </c>
      <c r="K562">
        <v>1.0727869999999999</v>
      </c>
      <c r="L562">
        <v>367.61419999999998</v>
      </c>
      <c r="M562">
        <v>0.99989539999999999</v>
      </c>
      <c r="N562">
        <v>-1.440955E-2</v>
      </c>
      <c r="O562">
        <v>1.2394979999999999E-3</v>
      </c>
      <c r="P562">
        <v>0.95714160000000004</v>
      </c>
      <c r="Q562">
        <v>0.28322370000000002</v>
      </c>
      <c r="R562">
        <v>6.0534070000000002E-2</v>
      </c>
      <c r="S562">
        <v>3.1959840000000002</v>
      </c>
      <c r="T562">
        <v>-0.19657920000000001</v>
      </c>
      <c r="U562">
        <v>-4.995728E-2</v>
      </c>
      <c r="V562">
        <v>-5.9352990000000001E-2</v>
      </c>
      <c r="W562">
        <v>0.29698629999999998</v>
      </c>
      <c r="X562">
        <v>0.95303539999999998</v>
      </c>
      <c r="Y562">
        <v>1.6828180000000002E-2</v>
      </c>
      <c r="Z562">
        <v>-6.9672929999999998E-4</v>
      </c>
      <c r="AA562">
        <v>0.99985809999999997</v>
      </c>
      <c r="AB562">
        <v>38</v>
      </c>
      <c r="AC562">
        <v>18.059200000000001</v>
      </c>
      <c r="AD562">
        <v>-1.122787</v>
      </c>
      <c r="AE562">
        <v>-0.28589999999996901</v>
      </c>
      <c r="AF562">
        <v>0.307099672424748</v>
      </c>
      <c r="AG562">
        <v>-1.122787</v>
      </c>
      <c r="AH562">
        <v>17.9893127219175</v>
      </c>
      <c r="AI562">
        <v>93.570913597773497</v>
      </c>
      <c r="AJ562">
        <v>89.021985641027499</v>
      </c>
      <c r="AK562">
        <v>18.0269335457563</v>
      </c>
      <c r="AL562">
        <v>72.723318101895799</v>
      </c>
      <c r="AM562">
        <v>93.563655128214407</v>
      </c>
      <c r="AN562">
        <v>1.00000005673139</v>
      </c>
    </row>
    <row r="563" spans="1:40" x14ac:dyDescent="0.25">
      <c r="A563" t="str">
        <f>"20190304164605995"</f>
        <v>20190304164605995</v>
      </c>
      <c r="B563" t="str">
        <f>"1551689165988060"</f>
        <v>1551689165988060</v>
      </c>
      <c r="C563" t="s">
        <v>40</v>
      </c>
      <c r="D563">
        <v>3.913805</v>
      </c>
      <c r="E563">
        <v>0.54383899999999996</v>
      </c>
      <c r="F563" t="s">
        <v>43</v>
      </c>
      <c r="G563">
        <v>-295.24770000000001</v>
      </c>
      <c r="H563">
        <v>-0.05</v>
      </c>
      <c r="I563">
        <v>367.31</v>
      </c>
      <c r="J563">
        <v>-313.33139999999997</v>
      </c>
      <c r="K563">
        <v>1.0716870000000001</v>
      </c>
      <c r="L563">
        <v>367.61450000000002</v>
      </c>
      <c r="M563">
        <v>0.99989859999999997</v>
      </c>
      <c r="N563">
        <v>-1.419656E-2</v>
      </c>
      <c r="O563">
        <v>1.2401370000000001E-3</v>
      </c>
      <c r="P563">
        <v>0.95710589999999995</v>
      </c>
      <c r="Q563">
        <v>0.28343639999999998</v>
      </c>
      <c r="R563">
        <v>6.010186E-2</v>
      </c>
      <c r="S563">
        <v>3.1957089999999999</v>
      </c>
      <c r="T563">
        <v>-0.19609760000000001</v>
      </c>
      <c r="U563">
        <v>-5.3131100000000001E-2</v>
      </c>
      <c r="V563">
        <v>-5.891834E-2</v>
      </c>
      <c r="W563">
        <v>0.29699579999999998</v>
      </c>
      <c r="X563">
        <v>0.95305930000000005</v>
      </c>
      <c r="Y563">
        <v>1.7820889999999999E-2</v>
      </c>
      <c r="Z563">
        <v>-7.3130649999999999E-4</v>
      </c>
      <c r="AA563">
        <v>0.99984090000000003</v>
      </c>
      <c r="AB563">
        <v>38</v>
      </c>
      <c r="AC563">
        <v>18.083699999999901</v>
      </c>
      <c r="AD563">
        <v>-1.1216870000000001</v>
      </c>
      <c r="AE563">
        <v>-0.30450000000001798</v>
      </c>
      <c r="AF563">
        <v>0.32567563483074902</v>
      </c>
      <c r="AG563">
        <v>-1.1216870000000001</v>
      </c>
      <c r="AH563">
        <v>18.0140207029755</v>
      </c>
      <c r="AI563">
        <v>93.562480819460205</v>
      </c>
      <c r="AJ563">
        <v>88.964261944662098</v>
      </c>
      <c r="AK563">
        <v>18.051847224932999</v>
      </c>
      <c r="AL563">
        <v>72.722746217842598</v>
      </c>
      <c r="AM563">
        <v>93.537536028185698</v>
      </c>
      <c r="AN563">
        <v>0.99999995266124098</v>
      </c>
    </row>
    <row r="564" spans="1:40" x14ac:dyDescent="0.25">
      <c r="A564" t="str">
        <f>"20190304164606008"</f>
        <v>20190304164606008</v>
      </c>
      <c r="B564" t="str">
        <f>"1551689165998796"</f>
        <v>1551689165998796</v>
      </c>
      <c r="C564" t="s">
        <v>40</v>
      </c>
      <c r="D564">
        <v>3.9474149999999999</v>
      </c>
      <c r="E564">
        <v>0.54385719999999904</v>
      </c>
      <c r="F564" t="s">
        <v>43</v>
      </c>
      <c r="G564">
        <v>-294.9171</v>
      </c>
      <c r="H564">
        <v>-0.05</v>
      </c>
      <c r="I564">
        <v>367.29880000000003</v>
      </c>
      <c r="J564">
        <v>-313.11700000000002</v>
      </c>
      <c r="K564">
        <v>1.070686</v>
      </c>
      <c r="L564">
        <v>367.61470000000003</v>
      </c>
      <c r="M564">
        <v>0.99990140000000005</v>
      </c>
      <c r="N564">
        <v>-1.399132E-2</v>
      </c>
      <c r="O564">
        <v>1.239995E-3</v>
      </c>
      <c r="P564">
        <v>0.95717439999999998</v>
      </c>
      <c r="Q564">
        <v>0.2833677</v>
      </c>
      <c r="R564">
        <v>5.9329560000000003E-2</v>
      </c>
      <c r="S564">
        <v>3.1955260000000001</v>
      </c>
      <c r="T564">
        <v>-0.1946514</v>
      </c>
      <c r="U564">
        <v>-5.4779050000000003E-2</v>
      </c>
      <c r="V564">
        <v>-5.8144830000000002E-2</v>
      </c>
      <c r="W564">
        <v>0.29673310000000003</v>
      </c>
      <c r="X564">
        <v>0.9531887</v>
      </c>
      <c r="Y564">
        <v>1.8336660000000001E-2</v>
      </c>
      <c r="Z564">
        <v>-7.4447890000000001E-4</v>
      </c>
      <c r="AA564">
        <v>0.99983160000000004</v>
      </c>
      <c r="AB564">
        <v>38</v>
      </c>
      <c r="AC564">
        <v>18.1999</v>
      </c>
      <c r="AD564">
        <v>-1.1206860000000001</v>
      </c>
      <c r="AE564">
        <v>-0.31589999999999901</v>
      </c>
      <c r="AF564">
        <v>0.33719161775723</v>
      </c>
      <c r="AG564">
        <v>-1.1206860000000001</v>
      </c>
      <c r="AH564">
        <v>18.130769165811099</v>
      </c>
      <c r="AI564">
        <v>93.536415357994997</v>
      </c>
      <c r="AJ564">
        <v>88.934549909883103</v>
      </c>
      <c r="AK564">
        <v>18.168500924446398</v>
      </c>
      <c r="AL564">
        <v>72.738509687270593</v>
      </c>
      <c r="AM564">
        <v>93.490736307071202</v>
      </c>
      <c r="AN564">
        <v>1.0000000258495101</v>
      </c>
    </row>
    <row r="565" spans="1:40" x14ac:dyDescent="0.25">
      <c r="A565" t="str">
        <f>"20190304164606022"</f>
        <v>20190304164606022</v>
      </c>
      <c r="B565" t="str">
        <f>"1551689166018315"</f>
        <v>1551689166018315</v>
      </c>
      <c r="C565" t="s">
        <v>40</v>
      </c>
      <c r="D565">
        <v>3.9172020000000001</v>
      </c>
      <c r="E565">
        <v>0.543857699999999</v>
      </c>
      <c r="F565" t="s">
        <v>43</v>
      </c>
      <c r="G565">
        <v>-294.71300000000002</v>
      </c>
      <c r="H565">
        <v>-0.05</v>
      </c>
      <c r="I565">
        <v>367.28160000000003</v>
      </c>
      <c r="J565">
        <v>-312.89659999999998</v>
      </c>
      <c r="K565">
        <v>1.0697270000000001</v>
      </c>
      <c r="L565">
        <v>367.61509999999998</v>
      </c>
      <c r="M565">
        <v>0.99990420000000002</v>
      </c>
      <c r="N565">
        <v>-1.3788969999999999E-2</v>
      </c>
      <c r="O565">
        <v>1.239516E-3</v>
      </c>
      <c r="P565">
        <v>0.95712169999999996</v>
      </c>
      <c r="Q565">
        <v>0.28361649999999999</v>
      </c>
      <c r="R565">
        <v>5.899095E-2</v>
      </c>
      <c r="S565">
        <v>3.1954349999999998</v>
      </c>
      <c r="T565">
        <v>-0.19458249999999999</v>
      </c>
      <c r="U565">
        <v>-5.7830810000000003E-2</v>
      </c>
      <c r="V565">
        <v>-5.7805160000000001E-2</v>
      </c>
      <c r="W565">
        <v>0.2967882</v>
      </c>
      <c r="X565">
        <v>0.95319219999999905</v>
      </c>
      <c r="Y565">
        <v>1.9289199999999999E-2</v>
      </c>
      <c r="Z565">
        <v>-7.7818780000000001E-4</v>
      </c>
      <c r="AA565">
        <v>0.99981359999999997</v>
      </c>
      <c r="AB565">
        <v>38</v>
      </c>
      <c r="AC565">
        <v>18.183599999999998</v>
      </c>
      <c r="AD565">
        <v>-1.1197269999999999</v>
      </c>
      <c r="AE565">
        <v>-0.333499999999958</v>
      </c>
      <c r="AF565">
        <v>0.35469620493918802</v>
      </c>
      <c r="AG565">
        <v>-1.1197269999999999</v>
      </c>
      <c r="AH565">
        <v>18.114506097525801</v>
      </c>
      <c r="AI565">
        <v>93.536494864307798</v>
      </c>
      <c r="AJ565">
        <v>88.878247148179994</v>
      </c>
      <c r="AK565">
        <v>18.152546077881901</v>
      </c>
      <c r="AL565">
        <v>72.735203680853701</v>
      </c>
      <c r="AM565">
        <v>93.470381424521605</v>
      </c>
      <c r="AN565">
        <v>1.00000002116135</v>
      </c>
    </row>
    <row r="566" spans="1:40" x14ac:dyDescent="0.25">
      <c r="A566" t="str">
        <f>"20190304164606034"</f>
        <v>20190304164606034</v>
      </c>
      <c r="B566" t="str">
        <f>"1551689166028075"</f>
        <v>1551689166028075</v>
      </c>
      <c r="C566" t="s">
        <v>40</v>
      </c>
      <c r="D566">
        <v>3.9092449999999999</v>
      </c>
      <c r="E566">
        <v>0.54386020000000002</v>
      </c>
      <c r="F566" t="s">
        <v>43</v>
      </c>
      <c r="G566">
        <v>-294.3449</v>
      </c>
      <c r="H566">
        <v>-0.05</v>
      </c>
      <c r="I566">
        <v>367.26830000000001</v>
      </c>
      <c r="J566">
        <v>-312.6662</v>
      </c>
      <c r="K566">
        <v>1.0687869999999999</v>
      </c>
      <c r="L566">
        <v>367.61529999999999</v>
      </c>
      <c r="M566">
        <v>0.99990699999999999</v>
      </c>
      <c r="N566">
        <v>-1.3585299999999899E-2</v>
      </c>
      <c r="O566">
        <v>1.2393860000000001E-3</v>
      </c>
      <c r="P566">
        <v>0.95713939999999997</v>
      </c>
      <c r="Q566">
        <v>0.2836031</v>
      </c>
      <c r="R566">
        <v>5.8767170000000001E-2</v>
      </c>
      <c r="S566">
        <v>3.1951900000000002</v>
      </c>
      <c r="T566">
        <v>-0.19285189999999999</v>
      </c>
      <c r="U566">
        <v>-5.9722900000000002E-2</v>
      </c>
      <c r="V566">
        <v>-5.7579970000000001E-2</v>
      </c>
      <c r="W566">
        <v>0.2965815</v>
      </c>
      <c r="X566">
        <v>0.95327010000000001</v>
      </c>
      <c r="Y566">
        <v>1.9881820000000001E-2</v>
      </c>
      <c r="Z566">
        <v>-7.9253039999999998E-4</v>
      </c>
      <c r="AA566">
        <v>0.99980199999999997</v>
      </c>
      <c r="AB566">
        <v>38</v>
      </c>
      <c r="AC566">
        <v>18.321300000000001</v>
      </c>
      <c r="AD566">
        <v>-1.118787</v>
      </c>
      <c r="AE566">
        <v>-0.34699999999997899</v>
      </c>
      <c r="AF566">
        <v>0.36833599033133602</v>
      </c>
      <c r="AG566">
        <v>-1.118787</v>
      </c>
      <c r="AH566">
        <v>18.2528170588986</v>
      </c>
      <c r="AI566">
        <v>93.506783580799095</v>
      </c>
      <c r="AJ566">
        <v>88.843946462945397</v>
      </c>
      <c r="AK566">
        <v>18.290781457848201</v>
      </c>
      <c r="AL566">
        <v>72.747604021216105</v>
      </c>
      <c r="AM566">
        <v>93.456612994543704</v>
      </c>
      <c r="AN566">
        <v>0.99999996132072899</v>
      </c>
    </row>
    <row r="567" spans="1:40" x14ac:dyDescent="0.25">
      <c r="A567" t="str">
        <f>"20190304164606048"</f>
        <v>20190304164606048</v>
      </c>
      <c r="B567" t="str">
        <f>"1551689166038811"</f>
        <v>1551689166038811</v>
      </c>
      <c r="C567" t="s">
        <v>40</v>
      </c>
      <c r="D567">
        <v>3.9226420000000002</v>
      </c>
      <c r="E567">
        <v>0.54386190000000001</v>
      </c>
      <c r="F567" t="s">
        <v>41</v>
      </c>
      <c r="G567">
        <v>-311.6046</v>
      </c>
      <c r="H567">
        <v>1.0049060000000001</v>
      </c>
      <c r="I567">
        <v>367.5951</v>
      </c>
      <c r="J567">
        <v>-312.44540000000001</v>
      </c>
      <c r="K567">
        <v>1.0679799999999999</v>
      </c>
      <c r="L567">
        <v>367.61559999999997</v>
      </c>
      <c r="M567">
        <v>0.99990939999999995</v>
      </c>
      <c r="N567">
        <v>-1.340703E-2</v>
      </c>
      <c r="O567">
        <v>1.2391889999999999E-3</v>
      </c>
      <c r="P567">
        <v>0.95719949999999998</v>
      </c>
      <c r="Q567">
        <v>0.28353230000000001</v>
      </c>
      <c r="R567">
        <v>5.8125120000000002E-2</v>
      </c>
      <c r="S567">
        <v>3.195068</v>
      </c>
      <c r="T567">
        <v>-0.19229940000000001</v>
      </c>
      <c r="U567">
        <v>-6.0852049999999998E-2</v>
      </c>
      <c r="V567">
        <v>-5.6936189999999998E-2</v>
      </c>
      <c r="W567">
        <v>0.29634189999999999</v>
      </c>
      <c r="X567">
        <v>0.95338330000000004</v>
      </c>
      <c r="Y567">
        <v>2.0235099999999999E-2</v>
      </c>
      <c r="Z567">
        <v>-8.0205399999999996E-4</v>
      </c>
      <c r="AA567">
        <v>0.99979490000000004</v>
      </c>
      <c r="AB567">
        <v>38</v>
      </c>
      <c r="AC567">
        <v>0.84080000000000099</v>
      </c>
      <c r="AD567">
        <v>-6.3074000000000005E-2</v>
      </c>
      <c r="AE567">
        <v>-2.04999999999699E-2</v>
      </c>
      <c r="AF567">
        <v>2.1421510090177499E-2</v>
      </c>
      <c r="AG567">
        <v>-6.3074000000000005E-2</v>
      </c>
      <c r="AH567">
        <v>0.83607175190416605</v>
      </c>
      <c r="AI567">
        <v>94.312862487079002</v>
      </c>
      <c r="AJ567">
        <v>88.532310597073902</v>
      </c>
      <c r="AK567">
        <v>0.83872116039995404</v>
      </c>
      <c r="AL567">
        <v>72.761978694032805</v>
      </c>
      <c r="AM567">
        <v>93.417653167227201</v>
      </c>
      <c r="AN567">
        <v>0.99999998407310797</v>
      </c>
    </row>
    <row r="568" spans="1:40" x14ac:dyDescent="0.25">
      <c r="A568" t="str">
        <f>"20190304164606071"</f>
        <v>20190304164606071</v>
      </c>
      <c r="B568" t="str">
        <f>"1551689166058331"</f>
        <v>1551689166058331</v>
      </c>
      <c r="C568" t="s">
        <v>40</v>
      </c>
      <c r="D568">
        <v>4.1189549999999997</v>
      </c>
      <c r="E568">
        <v>0.54392030000000002</v>
      </c>
      <c r="F568" t="s">
        <v>43</v>
      </c>
      <c r="G568">
        <v>-293.86130000000003</v>
      </c>
      <c r="H568">
        <v>-0.05</v>
      </c>
      <c r="I568">
        <v>367.24919999999997</v>
      </c>
      <c r="J568">
        <v>-312.05849999999998</v>
      </c>
      <c r="K568">
        <v>1.0667009999999999</v>
      </c>
      <c r="L568">
        <v>367.61610000000002</v>
      </c>
      <c r="M568">
        <v>0.9999133</v>
      </c>
      <c r="N568">
        <v>-1.311963E-2</v>
      </c>
      <c r="O568">
        <v>1.239204E-3</v>
      </c>
      <c r="P568">
        <v>0.95708439999999995</v>
      </c>
      <c r="Q568">
        <v>0.28392689999999998</v>
      </c>
      <c r="R568">
        <v>5.8096540000000002E-2</v>
      </c>
      <c r="S568">
        <v>3.194855</v>
      </c>
      <c r="T568">
        <v>-0.19219510000000001</v>
      </c>
      <c r="U568">
        <v>-6.2988279999999994E-2</v>
      </c>
      <c r="V568">
        <v>-5.6905810000000001E-2</v>
      </c>
      <c r="W568">
        <v>0.29646080000000002</v>
      </c>
      <c r="X568">
        <v>0.95334819999999998</v>
      </c>
      <c r="Y568">
        <v>2.0903359999999999E-2</v>
      </c>
      <c r="Z568">
        <v>-8.2364020000000001E-4</v>
      </c>
      <c r="AA568">
        <v>0.99978120000000004</v>
      </c>
      <c r="AB568">
        <v>38</v>
      </c>
      <c r="AC568">
        <v>18.197199999999899</v>
      </c>
      <c r="AD568">
        <v>-1.1167009999999999</v>
      </c>
      <c r="AE568">
        <v>-0.36690000000004303</v>
      </c>
      <c r="AF568">
        <v>0.38799117082673301</v>
      </c>
      <c r="AG568">
        <v>-1.1167009999999999</v>
      </c>
      <c r="AH568">
        <v>18.1284896313988</v>
      </c>
      <c r="AI568">
        <v>93.524116999322402</v>
      </c>
      <c r="AJ568">
        <v>88.773926360524797</v>
      </c>
      <c r="AK568">
        <v>18.1669946493022</v>
      </c>
      <c r="AL568">
        <v>72.754846577802894</v>
      </c>
      <c r="AM568">
        <v>93.415959360696803</v>
      </c>
      <c r="AN568">
        <v>1.0000000337958099</v>
      </c>
    </row>
    <row r="569" spans="1:40" x14ac:dyDescent="0.25">
      <c r="A569" t="str">
        <f>"20190304164606085"</f>
        <v>20190304164606085</v>
      </c>
      <c r="B569" t="str">
        <f>"1551689166078827"</f>
        <v>1551689166078827</v>
      </c>
      <c r="C569" t="s">
        <v>40</v>
      </c>
      <c r="D569">
        <v>4.1733419999999999</v>
      </c>
      <c r="E569">
        <v>0.54445140000000003</v>
      </c>
      <c r="F569" t="s">
        <v>43</v>
      </c>
      <c r="G569">
        <v>-293.34140000000002</v>
      </c>
      <c r="H569">
        <v>-0.05</v>
      </c>
      <c r="I569">
        <v>367.25060000000002</v>
      </c>
      <c r="J569">
        <v>-311.81380000000001</v>
      </c>
      <c r="K569">
        <v>1.065995</v>
      </c>
      <c r="L569">
        <v>367.6164</v>
      </c>
      <c r="M569">
        <v>0.9999152</v>
      </c>
      <c r="N569">
        <v>-1.296166E-2</v>
      </c>
      <c r="O569">
        <v>1.2397350000000001E-3</v>
      </c>
      <c r="P569">
        <v>0.95700339999999995</v>
      </c>
      <c r="Q569">
        <v>0.28418680000000002</v>
      </c>
      <c r="R569">
        <v>5.8159120000000002E-2</v>
      </c>
      <c r="S569">
        <v>3.1949160000000001</v>
      </c>
      <c r="T569">
        <v>-0.19061549999999999</v>
      </c>
      <c r="U569">
        <v>-6.2377929999999998E-2</v>
      </c>
      <c r="V569">
        <v>-5.6966530000000001E-2</v>
      </c>
      <c r="W569">
        <v>0.29656919999999998</v>
      </c>
      <c r="X569">
        <v>0.95331080000000001</v>
      </c>
      <c r="Y569">
        <v>2.0713800000000001E-2</v>
      </c>
      <c r="Z569">
        <v>-8.0954919999999997E-4</v>
      </c>
      <c r="AA569">
        <v>0.99978509999999998</v>
      </c>
      <c r="AB569">
        <v>38</v>
      </c>
      <c r="AC569">
        <v>18.4724</v>
      </c>
      <c r="AD569">
        <v>-1.1159950000000001</v>
      </c>
      <c r="AE569">
        <v>-0.36579999999997798</v>
      </c>
      <c r="AF569">
        <v>0.38728952043404002</v>
      </c>
      <c r="AG569">
        <v>-1.1159950000000001</v>
      </c>
      <c r="AH569">
        <v>18.404783463523799</v>
      </c>
      <c r="AI569">
        <v>93.469180168454699</v>
      </c>
      <c r="AJ569">
        <v>88.794510100389601</v>
      </c>
      <c r="AK569">
        <v>18.442654156922799</v>
      </c>
      <c r="AL569">
        <v>72.748342268142594</v>
      </c>
      <c r="AM569">
        <v>93.419729472666404</v>
      </c>
      <c r="AN569">
        <v>0.99999997866276003</v>
      </c>
    </row>
    <row r="570" spans="1:40" x14ac:dyDescent="0.25">
      <c r="A570" t="str">
        <f>"20190304164606106"</f>
        <v>20190304164606106</v>
      </c>
      <c r="B570" t="str">
        <f>"1551689166098347"</f>
        <v>1551689166098347</v>
      </c>
      <c r="C570" t="s">
        <v>40</v>
      </c>
      <c r="D570">
        <v>4.1354800000000003</v>
      </c>
      <c r="E570">
        <v>0.56383950000000005</v>
      </c>
      <c r="F570" t="s">
        <v>43</v>
      </c>
      <c r="G570">
        <v>-293.69569999999999</v>
      </c>
      <c r="H570">
        <v>-0.05</v>
      </c>
      <c r="I570">
        <v>367.24489999999997</v>
      </c>
      <c r="J570">
        <v>-311.46559999999999</v>
      </c>
      <c r="K570">
        <v>1.0651060000000001</v>
      </c>
      <c r="L570">
        <v>367.61680000000001</v>
      </c>
      <c r="M570">
        <v>0.99991779999999997</v>
      </c>
      <c r="N570">
        <v>-1.2761679999999999E-2</v>
      </c>
      <c r="O570">
        <v>1.239984E-3</v>
      </c>
      <c r="P570">
        <v>0.95689590000000002</v>
      </c>
      <c r="Q570">
        <v>0.2844005</v>
      </c>
      <c r="R570">
        <v>5.8876659999999997E-2</v>
      </c>
      <c r="S570">
        <v>3.1972659999999999</v>
      </c>
      <c r="T570">
        <v>-0.19693730000000001</v>
      </c>
      <c r="U570">
        <v>-6.5551760000000001E-2</v>
      </c>
      <c r="V570">
        <v>-5.7682959999999998E-2</v>
      </c>
      <c r="W570">
        <v>0.29659150000000001</v>
      </c>
      <c r="X570">
        <v>0.95326080000000002</v>
      </c>
      <c r="Y570">
        <v>2.1686850000000001E-2</v>
      </c>
      <c r="Z570">
        <v>-8.6624939999999995E-4</v>
      </c>
      <c r="AA570">
        <v>0.9997644</v>
      </c>
      <c r="AB570">
        <v>38</v>
      </c>
      <c r="AC570">
        <v>17.7699</v>
      </c>
      <c r="AD570">
        <v>-1.1151059999999999</v>
      </c>
      <c r="AE570">
        <v>-0.37190000000003898</v>
      </c>
      <c r="AF570">
        <v>0.39239138697083498</v>
      </c>
      <c r="AG570">
        <v>-1.1151059999999999</v>
      </c>
      <c r="AH570">
        <v>17.699756171259502</v>
      </c>
      <c r="AI570">
        <v>93.604055564766199</v>
      </c>
      <c r="AJ570">
        <v>88.730000116399694</v>
      </c>
      <c r="AK570">
        <v>17.739188282270501</v>
      </c>
      <c r="AL570">
        <v>72.747004709041306</v>
      </c>
      <c r="AM570">
        <v>93.462814310328696</v>
      </c>
      <c r="AN570">
        <v>0.99999999728162503</v>
      </c>
    </row>
    <row r="571" spans="1:40" x14ac:dyDescent="0.25">
      <c r="A571" t="str">
        <f>"20190304164606118"</f>
        <v>20190304164606118</v>
      </c>
      <c r="B571" t="str">
        <f>"1551689166108107"</f>
        <v>1551689166108107</v>
      </c>
      <c r="C571" t="s">
        <v>40</v>
      </c>
      <c r="D571">
        <v>4.1360640000000002</v>
      </c>
      <c r="E571">
        <v>0.56187240000000005</v>
      </c>
      <c r="F571" t="s">
        <v>41</v>
      </c>
      <c r="G571">
        <v>-310.67160000000001</v>
      </c>
      <c r="H571">
        <v>0.84418069999999901</v>
      </c>
      <c r="I571">
        <v>367.5856</v>
      </c>
      <c r="J571">
        <v>-311.25779999999997</v>
      </c>
      <c r="K571">
        <v>1.064629</v>
      </c>
      <c r="L571">
        <v>367.61709999999999</v>
      </c>
      <c r="M571">
        <v>0.99991920000000001</v>
      </c>
      <c r="N571">
        <v>-1.265499E-2</v>
      </c>
      <c r="O571">
        <v>1.240293E-3</v>
      </c>
      <c r="P571">
        <v>0.95691479999999995</v>
      </c>
      <c r="Q571">
        <v>0.2842616</v>
      </c>
      <c r="R571">
        <v>5.9241410000000001E-2</v>
      </c>
      <c r="S571">
        <v>3.4268190000000001</v>
      </c>
      <c r="T571">
        <v>-0.95361499999999999</v>
      </c>
      <c r="U571">
        <v>-0.13415529999999901</v>
      </c>
      <c r="V571">
        <v>-5.8046590000000002E-2</v>
      </c>
      <c r="W571">
        <v>0.29635099999999998</v>
      </c>
      <c r="X571">
        <v>0.95331350000000004</v>
      </c>
      <c r="Y571">
        <v>3.8774459999999997E-2</v>
      </c>
      <c r="Z571">
        <v>-5.8659849999999998E-3</v>
      </c>
      <c r="AA571">
        <v>0.99923070000000003</v>
      </c>
      <c r="AB571">
        <v>38</v>
      </c>
      <c r="AC571">
        <v>0.58619999999996197</v>
      </c>
      <c r="AD571">
        <v>-0.22044830000000001</v>
      </c>
      <c r="AE571">
        <v>-3.1499999999993998E-2</v>
      </c>
      <c r="AF571">
        <v>2.8244198385360301E-2</v>
      </c>
      <c r="AG571">
        <v>-0.22044830000000001</v>
      </c>
      <c r="AH571">
        <v>0.51371783429129103</v>
      </c>
      <c r="AI571">
        <v>113.193981050256</v>
      </c>
      <c r="AJ571">
        <v>86.853047266913094</v>
      </c>
      <c r="AK571">
        <v>0.559733151585875</v>
      </c>
      <c r="AL571">
        <v>72.761432628681703</v>
      </c>
      <c r="AM571">
        <v>93.484397911903997</v>
      </c>
      <c r="AN571">
        <v>0.99999997554693798</v>
      </c>
    </row>
    <row r="572" spans="1:40" x14ac:dyDescent="0.25">
      <c r="A572" t="str">
        <f>"20190304164606133"</f>
        <v>20190304164606133</v>
      </c>
      <c r="B572" t="str">
        <f>"1551689166128603"</f>
        <v>1551689166128603</v>
      </c>
      <c r="C572" t="s">
        <v>40</v>
      </c>
      <c r="D572">
        <v>4.1393300000000002</v>
      </c>
      <c r="E572">
        <v>0.55996619999999997</v>
      </c>
      <c r="F572" t="s">
        <v>41</v>
      </c>
      <c r="G572">
        <v>-310.35000000000002</v>
      </c>
      <c r="H572">
        <v>0.79910709999999996</v>
      </c>
      <c r="I572">
        <v>367.58749999999998</v>
      </c>
      <c r="J572">
        <v>-311.0061</v>
      </c>
      <c r="K572">
        <v>1.0641080000000001</v>
      </c>
      <c r="L572">
        <v>367.61739999999998</v>
      </c>
      <c r="M572">
        <v>0.9999207</v>
      </c>
      <c r="N572">
        <v>-1.253687E-2</v>
      </c>
      <c r="O572">
        <v>1.240667E-3</v>
      </c>
      <c r="P572">
        <v>0.95682860000000003</v>
      </c>
      <c r="Q572">
        <v>0.28445100000000001</v>
      </c>
      <c r="R572">
        <v>5.9722049999999999E-2</v>
      </c>
      <c r="S572">
        <v>3.4409480000000001</v>
      </c>
      <c r="T572">
        <v>-1.006481</v>
      </c>
      <c r="U572">
        <v>-0.11154169999999999</v>
      </c>
      <c r="V572">
        <v>-5.8526069999999999E-2</v>
      </c>
      <c r="W572">
        <v>0.2964271</v>
      </c>
      <c r="X572">
        <v>0.95326049999999996</v>
      </c>
      <c r="Y572">
        <v>3.2184070000000002E-2</v>
      </c>
      <c r="Z572">
        <v>-5.1554549999999998E-3</v>
      </c>
      <c r="AA572">
        <v>0.99946869999999999</v>
      </c>
      <c r="AB572">
        <v>38</v>
      </c>
      <c r="AC572">
        <v>0.65609999999998003</v>
      </c>
      <c r="AD572">
        <v>-0.26500089999999998</v>
      </c>
      <c r="AE572">
        <v>-2.98999999999978E-2</v>
      </c>
      <c r="AF572">
        <v>2.6413872092247399E-2</v>
      </c>
      <c r="AG572">
        <v>-0.26500089999999998</v>
      </c>
      <c r="AH572">
        <v>0.56420929278002496</v>
      </c>
      <c r="AI572">
        <v>115.134635777277</v>
      </c>
      <c r="AJ572">
        <v>87.319613104701503</v>
      </c>
      <c r="AK572">
        <v>0.62390327431345605</v>
      </c>
      <c r="AL572">
        <v>72.756866897549202</v>
      </c>
      <c r="AM572">
        <v>93.513302993597506</v>
      </c>
      <c r="AN572">
        <v>0.999999953672151</v>
      </c>
    </row>
    <row r="573" spans="1:40" x14ac:dyDescent="0.25">
      <c r="A573" t="str">
        <f>"20190304164606150"</f>
        <v>20190304164606150</v>
      </c>
      <c r="B573" t="str">
        <f>"1551689166138364"</f>
        <v>1551689166138364</v>
      </c>
      <c r="C573" t="s">
        <v>40</v>
      </c>
      <c r="D573">
        <v>4.146331</v>
      </c>
      <c r="E573">
        <v>0.55941589999999997</v>
      </c>
      <c r="F573" t="s">
        <v>41</v>
      </c>
      <c r="G573">
        <v>-310.32499999999999</v>
      </c>
      <c r="H573">
        <v>0.85665290000000005</v>
      </c>
      <c r="I573">
        <v>367.59949999999998</v>
      </c>
      <c r="J573">
        <v>-310.72199999999998</v>
      </c>
      <c r="K573">
        <v>1.0636060000000001</v>
      </c>
      <c r="L573">
        <v>367.61779999999999</v>
      </c>
      <c r="M573">
        <v>0.99992219999999998</v>
      </c>
      <c r="N573">
        <v>-1.241738E-2</v>
      </c>
      <c r="O573">
        <v>1.2409260000000001E-3</v>
      </c>
      <c r="P573">
        <v>0.95683240000000003</v>
      </c>
      <c r="Q573">
        <v>0.28436509999999998</v>
      </c>
      <c r="R573">
        <v>6.0071510000000002E-2</v>
      </c>
      <c r="S573">
        <v>3.453735</v>
      </c>
      <c r="T573">
        <v>-1.0520529999999999</v>
      </c>
      <c r="U573">
        <v>-8.9477539999999994E-2</v>
      </c>
      <c r="V573">
        <v>-5.8875339999999998E-2</v>
      </c>
      <c r="W573">
        <v>0.29622720000000002</v>
      </c>
      <c r="X573">
        <v>0.95330119999999896</v>
      </c>
      <c r="Y573">
        <v>2.5864950000000001E-2</v>
      </c>
      <c r="Z573">
        <v>-4.3702350000000001E-3</v>
      </c>
      <c r="AA573">
        <v>0.99965590000000004</v>
      </c>
      <c r="AB573">
        <v>38</v>
      </c>
      <c r="AC573">
        <v>0.39699999999999103</v>
      </c>
      <c r="AD573">
        <v>-0.2069531</v>
      </c>
      <c r="AE573">
        <v>-1.8300000000010599E-2</v>
      </c>
      <c r="AF573">
        <v>1.47837637834891E-2</v>
      </c>
      <c r="AG573">
        <v>-0.2069531</v>
      </c>
      <c r="AH573">
        <v>0.31229269125860698</v>
      </c>
      <c r="AI573">
        <v>123.50249693202301</v>
      </c>
      <c r="AJ573">
        <v>87.289672821886299</v>
      </c>
      <c r="AK573">
        <v>0.374933154421904</v>
      </c>
      <c r="AL573">
        <v>72.768860085925994</v>
      </c>
      <c r="AM573">
        <v>93.534066077697304</v>
      </c>
      <c r="AN573">
        <v>1.0000000188006899</v>
      </c>
    </row>
    <row r="574" spans="1:40" x14ac:dyDescent="0.25">
      <c r="A574" t="str">
        <f>"20190304164606173"</f>
        <v>20190304164606173</v>
      </c>
      <c r="B574" t="str">
        <f>"1551689166168619"</f>
        <v>1551689166168619</v>
      </c>
      <c r="C574" t="s">
        <v>40</v>
      </c>
      <c r="D574">
        <v>4.1513849999999897</v>
      </c>
      <c r="E574">
        <v>0.55950269999999902</v>
      </c>
      <c r="F574" t="s">
        <v>41</v>
      </c>
      <c r="G574">
        <v>-309.99220000000003</v>
      </c>
      <c r="H574">
        <v>0.83856450000000005</v>
      </c>
      <c r="I574">
        <v>367.60050000000001</v>
      </c>
      <c r="J574">
        <v>-310.3408</v>
      </c>
      <c r="K574">
        <v>1.06301</v>
      </c>
      <c r="L574">
        <v>367.6182</v>
      </c>
      <c r="M574">
        <v>0.99992400000000004</v>
      </c>
      <c r="N574">
        <v>-1.22711E-2</v>
      </c>
      <c r="O574">
        <v>1.241462E-3</v>
      </c>
      <c r="P574">
        <v>0.95679449999999999</v>
      </c>
      <c r="Q574">
        <v>0.28447420000000001</v>
      </c>
      <c r="R574">
        <v>6.0156910000000001E-2</v>
      </c>
      <c r="S574">
        <v>3.4573059999999902</v>
      </c>
      <c r="T574">
        <v>-1.066044</v>
      </c>
      <c r="U574">
        <v>-8.169556E-2</v>
      </c>
      <c r="V574">
        <v>-5.8959119999999997E-2</v>
      </c>
      <c r="W574">
        <v>0.29619669999999998</v>
      </c>
      <c r="X574">
        <v>0.95330550000000003</v>
      </c>
      <c r="Y574">
        <v>2.366652E-2</v>
      </c>
      <c r="Z574">
        <v>-4.0732570000000003E-3</v>
      </c>
      <c r="AA574">
        <v>0.99971160000000003</v>
      </c>
      <c r="AB574">
        <v>38</v>
      </c>
      <c r="AC574">
        <v>0.34859999999997598</v>
      </c>
      <c r="AD574">
        <v>-0.22444549999999999</v>
      </c>
      <c r="AE574">
        <v>-1.7699999999990699E-2</v>
      </c>
      <c r="AF574">
        <v>1.28285237269328E-2</v>
      </c>
      <c r="AG574">
        <v>-0.22444549999999999</v>
      </c>
      <c r="AH574">
        <v>0.24661055341383201</v>
      </c>
      <c r="AI574">
        <v>132.267458704413</v>
      </c>
      <c r="AJ574">
        <v>87.022194146157403</v>
      </c>
      <c r="AK574">
        <v>0.33370214045813201</v>
      </c>
      <c r="AL574">
        <v>72.770689731584795</v>
      </c>
      <c r="AM574">
        <v>93.539066381477397</v>
      </c>
      <c r="AN574">
        <v>1.00000001962615</v>
      </c>
    </row>
    <row r="575" spans="1:40" x14ac:dyDescent="0.25">
      <c r="A575" t="str">
        <f>"20190304164606186"</f>
        <v>20190304164606186</v>
      </c>
      <c r="B575" t="str">
        <f>"1551689166178379"</f>
        <v>1551689166178379</v>
      </c>
      <c r="C575" t="s">
        <v>40</v>
      </c>
      <c r="D575">
        <v>4.1766990000000002</v>
      </c>
      <c r="E575">
        <v>0.55931039999999999</v>
      </c>
      <c r="F575" t="s">
        <v>41</v>
      </c>
      <c r="G575">
        <v>-309.64679999999998</v>
      </c>
      <c r="H575">
        <v>0.84902929999999999</v>
      </c>
      <c r="I575">
        <v>367.60160000000002</v>
      </c>
      <c r="J575">
        <v>-310.11090000000002</v>
      </c>
      <c r="K575">
        <v>1.0627</v>
      </c>
      <c r="L575">
        <v>367.61849999999998</v>
      </c>
      <c r="M575">
        <v>0.99992490000000001</v>
      </c>
      <c r="N575">
        <v>-1.219227E-2</v>
      </c>
      <c r="O575">
        <v>1.24194E-3</v>
      </c>
      <c r="P575">
        <v>0.95677160000000006</v>
      </c>
      <c r="Q575">
        <v>0.28455059999999999</v>
      </c>
      <c r="R575">
        <v>6.0160060000000001E-2</v>
      </c>
      <c r="S575">
        <v>3.4575809999999998</v>
      </c>
      <c r="T575">
        <v>-1.066092</v>
      </c>
      <c r="U575">
        <v>-8.1939699999999893E-2</v>
      </c>
      <c r="V575">
        <v>-5.8962279999999999E-2</v>
      </c>
      <c r="W575">
        <v>0.2961975</v>
      </c>
      <c r="X575">
        <v>0.95330499999999996</v>
      </c>
      <c r="Y575">
        <v>2.373279E-2</v>
      </c>
      <c r="Z575">
        <v>-4.0827980000000003E-3</v>
      </c>
      <c r="AA575">
        <v>0.99970999999999999</v>
      </c>
      <c r="AB575">
        <v>38</v>
      </c>
      <c r="AC575">
        <v>0.46410000000002999</v>
      </c>
      <c r="AD575">
        <v>-0.21367069999999999</v>
      </c>
      <c r="AE575">
        <v>-1.68999999999641E-2</v>
      </c>
      <c r="AF575">
        <v>1.44232251569038E-2</v>
      </c>
      <c r="AG575">
        <v>-0.21367069999999999</v>
      </c>
      <c r="AH575">
        <v>0.38300253250081701</v>
      </c>
      <c r="AI575">
        <v>119.13914637371199</v>
      </c>
      <c r="AJ575">
        <v>87.843357307698398</v>
      </c>
      <c r="AK575">
        <v>0.43880991028514399</v>
      </c>
      <c r="AL575">
        <v>72.770640793044905</v>
      </c>
      <c r="AM575">
        <v>93.539257432354205</v>
      </c>
      <c r="AN575">
        <v>0.99999996624702303</v>
      </c>
    </row>
    <row r="576" spans="1:40" x14ac:dyDescent="0.25">
      <c r="A576" t="str">
        <f>"20190304164606198"</f>
        <v>20190304164606198</v>
      </c>
      <c r="B576" t="str">
        <f>"1551689166188140"</f>
        <v>1551689166188140</v>
      </c>
      <c r="C576" t="s">
        <v>40</v>
      </c>
      <c r="D576">
        <v>4.186007</v>
      </c>
      <c r="E576">
        <v>0.55912819999999996</v>
      </c>
      <c r="F576" t="s">
        <v>41</v>
      </c>
      <c r="G576">
        <v>-309.31939999999997</v>
      </c>
      <c r="H576">
        <v>0.81779579999999996</v>
      </c>
      <c r="I576">
        <v>367.6</v>
      </c>
      <c r="J576">
        <v>-309.89499999999998</v>
      </c>
      <c r="K576">
        <v>1.062432</v>
      </c>
      <c r="L576">
        <v>367.61880000000002</v>
      </c>
      <c r="M576">
        <v>0.99992590000000003</v>
      </c>
      <c r="N576">
        <v>-1.212185E-2</v>
      </c>
      <c r="O576">
        <v>1.2421870000000001E-3</v>
      </c>
      <c r="P576">
        <v>0.95666399999999996</v>
      </c>
      <c r="Q576">
        <v>0.28495090000000001</v>
      </c>
      <c r="R576">
        <v>5.9977370000000002E-2</v>
      </c>
      <c r="S576">
        <v>3.4588930000000002</v>
      </c>
      <c r="T576">
        <v>-1.070279</v>
      </c>
      <c r="U576">
        <v>-8.0566410000000005E-2</v>
      </c>
      <c r="V576">
        <v>-5.8779119999999997E-2</v>
      </c>
      <c r="W576">
        <v>0.2965295</v>
      </c>
      <c r="X576">
        <v>0.95321310000000004</v>
      </c>
      <c r="Y576">
        <v>2.333855E-2</v>
      </c>
      <c r="Z576">
        <v>-4.0334860000000002E-3</v>
      </c>
      <c r="AA576">
        <v>0.99971949999999998</v>
      </c>
      <c r="AB576">
        <v>38</v>
      </c>
      <c r="AC576">
        <v>0.57560000000000799</v>
      </c>
      <c r="AD576">
        <v>-0.2446362</v>
      </c>
      <c r="AE576">
        <v>-1.87999999999988E-2</v>
      </c>
      <c r="AF576">
        <v>1.65319823508258E-2</v>
      </c>
      <c r="AG576">
        <v>-0.2446362</v>
      </c>
      <c r="AH576">
        <v>0.487593939039419</v>
      </c>
      <c r="AI576">
        <v>116.630698994135</v>
      </c>
      <c r="AJ576">
        <v>88.058117565990699</v>
      </c>
      <c r="AK576">
        <v>0.54577287050463097</v>
      </c>
      <c r="AL576">
        <v>72.750723924537695</v>
      </c>
      <c r="AM576">
        <v>93.528630231091199</v>
      </c>
      <c r="AN576">
        <v>0.99999997166491605</v>
      </c>
    </row>
    <row r="577" spans="1:40" x14ac:dyDescent="0.25">
      <c r="A577" t="str">
        <f>"20190304164606212"</f>
        <v>20190304164606212</v>
      </c>
      <c r="B577" t="str">
        <f>"1551689166197899"</f>
        <v>1551689166197899</v>
      </c>
      <c r="C577" t="s">
        <v>40</v>
      </c>
      <c r="D577">
        <v>4.4738860000000003</v>
      </c>
      <c r="E577">
        <v>0.55915360000000003</v>
      </c>
      <c r="F577" t="s">
        <v>41</v>
      </c>
      <c r="G577">
        <v>-308.99290000000002</v>
      </c>
      <c r="H577">
        <v>0.7827499</v>
      </c>
      <c r="I577">
        <v>367.59800000000001</v>
      </c>
      <c r="J577">
        <v>-309.6619</v>
      </c>
      <c r="K577">
        <v>1.0621719999999999</v>
      </c>
      <c r="L577">
        <v>367.6191</v>
      </c>
      <c r="M577">
        <v>0.9999266</v>
      </c>
      <c r="N577">
        <v>-1.2051020000000001E-2</v>
      </c>
      <c r="O577">
        <v>1.2426119999999999E-3</v>
      </c>
      <c r="P577">
        <v>0.95658849999999995</v>
      </c>
      <c r="Q577">
        <v>0.28524549999999999</v>
      </c>
      <c r="R577">
        <v>5.9780319999999998E-2</v>
      </c>
      <c r="S577">
        <v>3.4604490000000001</v>
      </c>
      <c r="T577">
        <v>-1.0727799999999901</v>
      </c>
      <c r="U577">
        <v>-7.9528810000000005E-2</v>
      </c>
      <c r="V577">
        <v>-5.8581170000000002E-2</v>
      </c>
      <c r="W577">
        <v>0.29675590000000002</v>
      </c>
      <c r="X577">
        <v>0.95315490000000003</v>
      </c>
      <c r="Y577">
        <v>2.3039400000000002E-2</v>
      </c>
      <c r="Z577">
        <v>-3.9927599999999997E-3</v>
      </c>
      <c r="AA577">
        <v>0.99972660000000002</v>
      </c>
      <c r="AB577">
        <v>38</v>
      </c>
      <c r="AC577">
        <v>0.66899999999998205</v>
      </c>
      <c r="AD577">
        <v>-0.27942209999999901</v>
      </c>
      <c r="AE577">
        <v>-2.1099999999989901E-2</v>
      </c>
      <c r="AF577">
        <v>1.86764886293239E-2</v>
      </c>
      <c r="AG577">
        <v>-0.27942209999999901</v>
      </c>
      <c r="AH577">
        <v>0.56968999469138504</v>
      </c>
      <c r="AI577">
        <v>116.114907023784</v>
      </c>
      <c r="AJ577">
        <v>88.122310609527403</v>
      </c>
      <c r="AK577">
        <v>0.63480092253193898</v>
      </c>
      <c r="AL577">
        <v>72.737141987710601</v>
      </c>
      <c r="AM577">
        <v>93.516990960453597</v>
      </c>
      <c r="AN577">
        <v>1.00000004052869</v>
      </c>
    </row>
    <row r="578" spans="1:40" x14ac:dyDescent="0.25">
      <c r="A578" t="str">
        <f>"20190304164606228"</f>
        <v>20190304164606228</v>
      </c>
      <c r="B578" t="str">
        <f>"1551689166218395"</f>
        <v>1551689166218395</v>
      </c>
      <c r="C578" t="s">
        <v>40</v>
      </c>
      <c r="D578">
        <v>4.2062920000000004</v>
      </c>
      <c r="E578">
        <v>0.55929019999999996</v>
      </c>
      <c r="F578" t="s">
        <v>41</v>
      </c>
      <c r="G578">
        <v>-308.96559999999999</v>
      </c>
      <c r="H578">
        <v>0.84669519999999998</v>
      </c>
      <c r="I578">
        <v>367.60300000000001</v>
      </c>
      <c r="J578">
        <v>-309.38819999999998</v>
      </c>
      <c r="K578">
        <v>1.061898</v>
      </c>
      <c r="L578">
        <v>367.61939999999998</v>
      </c>
      <c r="M578">
        <v>0.99992760000000003</v>
      </c>
      <c r="N578">
        <v>-1.197495E-2</v>
      </c>
      <c r="O578">
        <v>1.243067E-3</v>
      </c>
      <c r="P578">
        <v>0.95655009999999996</v>
      </c>
      <c r="Q578">
        <v>0.28547479999999997</v>
      </c>
      <c r="R578">
        <v>5.929545E-2</v>
      </c>
      <c r="S578">
        <v>3.46048</v>
      </c>
      <c r="T578">
        <v>-1.070848</v>
      </c>
      <c r="U578">
        <v>-7.9620360000000001E-2</v>
      </c>
      <c r="V578">
        <v>-5.8095540000000001E-2</v>
      </c>
      <c r="W578">
        <v>0.29691200000000001</v>
      </c>
      <c r="X578">
        <v>0.95313599999999998</v>
      </c>
      <c r="Y578">
        <v>2.3068990000000001E-2</v>
      </c>
      <c r="Z578">
        <v>-3.9900450000000002E-3</v>
      </c>
      <c r="AA578">
        <v>0.99972589999999995</v>
      </c>
      <c r="AB578">
        <v>38</v>
      </c>
      <c r="AC578">
        <v>0.42259999999998799</v>
      </c>
      <c r="AD578">
        <v>-0.2152028</v>
      </c>
      <c r="AE578">
        <v>-1.6399999999975899E-2</v>
      </c>
      <c r="AF578">
        <v>1.34442246337574E-2</v>
      </c>
      <c r="AG578">
        <v>-0.2152028</v>
      </c>
      <c r="AH578">
        <v>0.33566528885328001</v>
      </c>
      <c r="AI578">
        <v>122.644012921509</v>
      </c>
      <c r="AJ578">
        <v>87.706388333484597</v>
      </c>
      <c r="AK578">
        <v>0.39895385503188002</v>
      </c>
      <c r="AL578">
        <v>72.727775813053199</v>
      </c>
      <c r="AM578">
        <v>93.487976847651694</v>
      </c>
      <c r="AN578">
        <v>1.0000000310039401</v>
      </c>
    </row>
    <row r="579" spans="1:40" x14ac:dyDescent="0.25">
      <c r="A579" t="str">
        <f>"20190304164606250"</f>
        <v>20190304164606250</v>
      </c>
      <c r="B579" t="str">
        <f>"1551689166238892"</f>
        <v>1551689166238892</v>
      </c>
      <c r="C579" t="s">
        <v>40</v>
      </c>
      <c r="D579">
        <v>4.2299829999999998</v>
      </c>
      <c r="E579">
        <v>0.5590311</v>
      </c>
      <c r="F579" t="s">
        <v>41</v>
      </c>
      <c r="G579">
        <v>-308.63220000000001</v>
      </c>
      <c r="H579">
        <v>0.82876679999999903</v>
      </c>
      <c r="I579">
        <v>367.60109999999997</v>
      </c>
      <c r="J579">
        <v>-309.0086</v>
      </c>
      <c r="K579">
        <v>1.0615810000000001</v>
      </c>
      <c r="L579">
        <v>367.61989999999997</v>
      </c>
      <c r="M579">
        <v>0.99992879999999995</v>
      </c>
      <c r="N579">
        <v>-1.1878379999999999E-2</v>
      </c>
      <c r="O579">
        <v>1.2435219999999999E-3</v>
      </c>
      <c r="P579">
        <v>0.95656459999999999</v>
      </c>
      <c r="Q579">
        <v>0.28547209999999901</v>
      </c>
      <c r="R579">
        <v>5.9079529999999998E-2</v>
      </c>
      <c r="S579">
        <v>3.4599000000000002</v>
      </c>
      <c r="T579">
        <v>-1.0669879999999901</v>
      </c>
      <c r="U579">
        <v>-8.3557129999999993E-2</v>
      </c>
      <c r="V579">
        <v>-5.787962E-2</v>
      </c>
      <c r="W579">
        <v>0.29681740000000001</v>
      </c>
      <c r="X579">
        <v>0.95317859999999999</v>
      </c>
      <c r="Y579">
        <v>2.4165300000000001E-2</v>
      </c>
      <c r="Z579">
        <v>-4.1482419999999999E-3</v>
      </c>
      <c r="AA579">
        <v>0.99969940000000002</v>
      </c>
      <c r="AB579">
        <v>38</v>
      </c>
      <c r="AC579">
        <v>0.37639999999998902</v>
      </c>
      <c r="AD579">
        <v>-0.2328142</v>
      </c>
      <c r="AE579">
        <v>-1.87999999999988E-2</v>
      </c>
      <c r="AF579">
        <v>1.39459478938995E-2</v>
      </c>
      <c r="AG579">
        <v>-0.2328142</v>
      </c>
      <c r="AH579">
        <v>0.27241555172961102</v>
      </c>
      <c r="AI579">
        <v>130.481127404669</v>
      </c>
      <c r="AJ579">
        <v>87.069378000146401</v>
      </c>
      <c r="AK579">
        <v>0.35861842396682198</v>
      </c>
      <c r="AL579">
        <v>72.733451880455803</v>
      </c>
      <c r="AM579">
        <v>93.474890204653704</v>
      </c>
      <c r="AN579">
        <v>1.00000003142603</v>
      </c>
    </row>
    <row r="580" spans="1:40" x14ac:dyDescent="0.25">
      <c r="A580" t="str">
        <f>"20190304164606263"</f>
        <v>20190304164606263</v>
      </c>
      <c r="B580" t="str">
        <f>"1551689166258411"</f>
        <v>1551689166258411</v>
      </c>
      <c r="C580" t="s">
        <v>40</v>
      </c>
      <c r="D580">
        <v>4.2449479999999999</v>
      </c>
      <c r="E580">
        <v>0.55878539999999999</v>
      </c>
      <c r="F580" t="s">
        <v>41</v>
      </c>
      <c r="G580">
        <v>-308.2867</v>
      </c>
      <c r="H580">
        <v>0.83789720000000001</v>
      </c>
      <c r="I580">
        <v>367.6028</v>
      </c>
      <c r="J580">
        <v>-308.79880000000003</v>
      </c>
      <c r="K580">
        <v>1.061429</v>
      </c>
      <c r="L580">
        <v>367.62020000000001</v>
      </c>
      <c r="M580">
        <v>0.99992939999999997</v>
      </c>
      <c r="N580">
        <v>-1.183006E-2</v>
      </c>
      <c r="O580">
        <v>1.243807E-3</v>
      </c>
      <c r="P580">
        <v>0.95654839999999997</v>
      </c>
      <c r="Q580">
        <v>0.2855432</v>
      </c>
      <c r="R580">
        <v>5.8995409999999998E-2</v>
      </c>
      <c r="S580">
        <v>3.4613040000000002</v>
      </c>
      <c r="T580">
        <v>-1.0724209999999901</v>
      </c>
      <c r="U580">
        <v>-8.1298830000000002E-2</v>
      </c>
      <c r="V580">
        <v>-5.7794619999999998E-2</v>
      </c>
      <c r="W580">
        <v>0.29684240000000001</v>
      </c>
      <c r="X580">
        <v>0.95317600000000002</v>
      </c>
      <c r="Y580">
        <v>2.3524260000000002E-2</v>
      </c>
      <c r="Z580">
        <v>-4.0649120000000004E-3</v>
      </c>
      <c r="AA580">
        <v>0.99971500000000002</v>
      </c>
      <c r="AB580">
        <v>38</v>
      </c>
      <c r="AC580">
        <v>0.51210000000003197</v>
      </c>
      <c r="AD580">
        <v>-0.2235318</v>
      </c>
      <c r="AE580">
        <v>-1.7400000000009099E-2</v>
      </c>
      <c r="AF580">
        <v>1.5153146888911199E-2</v>
      </c>
      <c r="AG580">
        <v>-0.2235318</v>
      </c>
      <c r="AH580">
        <v>0.43020453401679398</v>
      </c>
      <c r="AI580">
        <v>117.44159865730199</v>
      </c>
      <c r="AJ580">
        <v>87.982697746348606</v>
      </c>
      <c r="AK580">
        <v>0.485048476505682</v>
      </c>
      <c r="AL580">
        <v>72.731952350600693</v>
      </c>
      <c r="AM580">
        <v>93.469809019977603</v>
      </c>
      <c r="AN580">
        <v>1.00000005775735</v>
      </c>
    </row>
    <row r="581" spans="1:40" x14ac:dyDescent="0.25">
      <c r="A581" t="str">
        <f>"20190304164606275"</f>
        <v>20190304164606275</v>
      </c>
      <c r="B581" t="str">
        <f>"1551689166268172"</f>
        <v>1551689166268172</v>
      </c>
      <c r="C581" t="s">
        <v>40</v>
      </c>
      <c r="D581">
        <v>4.2746420000000001</v>
      </c>
      <c r="E581">
        <v>0.55867650000000002</v>
      </c>
      <c r="F581" t="s">
        <v>41</v>
      </c>
      <c r="G581">
        <v>-307.96109999999999</v>
      </c>
      <c r="H581">
        <v>0.80071709999999996</v>
      </c>
      <c r="I581">
        <v>367.60109999999997</v>
      </c>
      <c r="J581">
        <v>-308.57409999999999</v>
      </c>
      <c r="K581">
        <v>1.061277</v>
      </c>
      <c r="L581">
        <v>367.62049999999999</v>
      </c>
      <c r="M581">
        <v>0.99992990000000004</v>
      </c>
      <c r="N581">
        <v>-1.178065E-2</v>
      </c>
      <c r="O581">
        <v>1.244099E-3</v>
      </c>
      <c r="P581">
        <v>0.95662080000000005</v>
      </c>
      <c r="Q581">
        <v>0.28535110000000002</v>
      </c>
      <c r="R581">
        <v>5.8748950000000001E-2</v>
      </c>
      <c r="S581">
        <v>3.462799</v>
      </c>
      <c r="T581">
        <v>-1.0776139999999901</v>
      </c>
      <c r="U581">
        <v>-7.8613279999999994E-2</v>
      </c>
      <c r="V581">
        <v>-5.7548170000000003E-2</v>
      </c>
      <c r="W581">
        <v>0.29660379999999997</v>
      </c>
      <c r="X581">
        <v>0.95326509999999998</v>
      </c>
      <c r="Y581">
        <v>2.2766660000000001E-2</v>
      </c>
      <c r="Z581">
        <v>-3.9613850000000004E-3</v>
      </c>
      <c r="AA581">
        <v>0.99973299999999998</v>
      </c>
      <c r="AB581">
        <v>38</v>
      </c>
      <c r="AC581">
        <v>0.61299999999999899</v>
      </c>
      <c r="AD581">
        <v>-0.26055990000000001</v>
      </c>
      <c r="AE581">
        <v>-1.9400000000018701E-2</v>
      </c>
      <c r="AF581">
        <v>1.7079878523260102E-2</v>
      </c>
      <c r="AG581">
        <v>-0.26055990000000001</v>
      </c>
      <c r="AH581">
        <v>0.51925389283583501</v>
      </c>
      <c r="AI581">
        <v>116.634931276969</v>
      </c>
      <c r="AJ581">
        <v>88.116042536743194</v>
      </c>
      <c r="AK581">
        <v>0.58121234412523304</v>
      </c>
      <c r="AL581">
        <v>72.746266430448699</v>
      </c>
      <c r="AM581">
        <v>93.454726693625503</v>
      </c>
      <c r="AN581">
        <v>0.99999997846139899</v>
      </c>
    </row>
    <row r="582" spans="1:40" x14ac:dyDescent="0.25">
      <c r="A582" t="str">
        <f>"20190304164606288"</f>
        <v>20190304164606288</v>
      </c>
      <c r="B582" t="str">
        <f>"1551689166277931"</f>
        <v>1551689166277931</v>
      </c>
      <c r="C582" t="s">
        <v>40</v>
      </c>
      <c r="D582">
        <v>4.2838219999999998</v>
      </c>
      <c r="E582">
        <v>0.55857509999999999</v>
      </c>
      <c r="F582" t="s">
        <v>41</v>
      </c>
      <c r="G582">
        <v>-307.63279999999997</v>
      </c>
      <c r="H582">
        <v>0.76763579999999998</v>
      </c>
      <c r="I582">
        <v>367.59899999999999</v>
      </c>
      <c r="J582">
        <v>-308.34640000000002</v>
      </c>
      <c r="K582">
        <v>1.0611429999999999</v>
      </c>
      <c r="L582">
        <v>367.62079999999997</v>
      </c>
      <c r="M582">
        <v>0.99993050000000006</v>
      </c>
      <c r="N582">
        <v>-1.173482E-2</v>
      </c>
      <c r="O582">
        <v>1.244368E-3</v>
      </c>
      <c r="P582">
        <v>0.95656439999999998</v>
      </c>
      <c r="Q582">
        <v>0.28552450000000001</v>
      </c>
      <c r="R582">
        <v>5.8829079999999999E-2</v>
      </c>
      <c r="S582">
        <v>3.463104</v>
      </c>
      <c r="T582">
        <v>-1.0803560000000001</v>
      </c>
      <c r="U582">
        <v>-7.830811E-2</v>
      </c>
      <c r="V582">
        <v>-5.7628039999999998E-2</v>
      </c>
      <c r="W582">
        <v>0.29673310000000003</v>
      </c>
      <c r="X582">
        <v>0.95322010000000001</v>
      </c>
      <c r="Y582">
        <v>2.267593E-2</v>
      </c>
      <c r="Z582">
        <v>-3.955638E-3</v>
      </c>
      <c r="AA582">
        <v>0.99973509999999999</v>
      </c>
      <c r="AB582">
        <v>38</v>
      </c>
      <c r="AC582">
        <v>0.71360000000004198</v>
      </c>
      <c r="AD582">
        <v>-0.29350720000000002</v>
      </c>
      <c r="AE582">
        <v>-2.17999999999847E-2</v>
      </c>
      <c r="AF582">
        <v>1.9407829927505602E-2</v>
      </c>
      <c r="AG582">
        <v>-0.29350720000000002</v>
      </c>
      <c r="AH582">
        <v>0.61040527328774397</v>
      </c>
      <c r="AI582">
        <v>115.66880070696099</v>
      </c>
      <c r="AJ582">
        <v>88.178894728292207</v>
      </c>
      <c r="AK582">
        <v>0.67758227395041903</v>
      </c>
      <c r="AL582">
        <v>72.738509962999501</v>
      </c>
      <c r="AM582">
        <v>93.459672726694194</v>
      </c>
      <c r="AN582">
        <v>1.0000000413369201</v>
      </c>
    </row>
    <row r="583" spans="1:40" x14ac:dyDescent="0.25">
      <c r="A583" t="str">
        <f>"20190304164606301"</f>
        <v>20190304164606301</v>
      </c>
      <c r="B583" t="str">
        <f>"1551689166288668"</f>
        <v>1551689166288668</v>
      </c>
      <c r="C583" t="s">
        <v>40</v>
      </c>
      <c r="D583">
        <v>4.2900199999999904</v>
      </c>
      <c r="E583">
        <v>0.55848279999999995</v>
      </c>
      <c r="F583" t="s">
        <v>41</v>
      </c>
      <c r="G583">
        <v>-307.60660000000001</v>
      </c>
      <c r="H583">
        <v>0.83007240000000004</v>
      </c>
      <c r="I583">
        <v>367.60399999999998</v>
      </c>
      <c r="J583">
        <v>-308.13459999999998</v>
      </c>
      <c r="K583">
        <v>1.061029</v>
      </c>
      <c r="L583">
        <v>367.62099999999998</v>
      </c>
      <c r="M583">
        <v>0.99993100000000001</v>
      </c>
      <c r="N583">
        <v>-1.16948E-2</v>
      </c>
      <c r="O583">
        <v>1.244602E-3</v>
      </c>
      <c r="P583">
        <v>0.95655639999999997</v>
      </c>
      <c r="Q583">
        <v>0.28559669999999998</v>
      </c>
      <c r="R583">
        <v>5.8603919999999997E-2</v>
      </c>
      <c r="S583">
        <v>3.4638979999999999</v>
      </c>
      <c r="T583">
        <v>-1.081923</v>
      </c>
      <c r="U583">
        <v>-7.7331540000000004E-2</v>
      </c>
      <c r="V583">
        <v>-5.7402410000000001E-2</v>
      </c>
      <c r="W583">
        <v>0.296766799999999</v>
      </c>
      <c r="X583">
        <v>0.95322320000000005</v>
      </c>
      <c r="Y583">
        <v>2.240027E-2</v>
      </c>
      <c r="Z583">
        <v>-3.9160810000000001E-3</v>
      </c>
      <c r="AA583">
        <v>0.9997414</v>
      </c>
      <c r="AB583">
        <v>38</v>
      </c>
      <c r="AC583">
        <v>0.52799999999996305</v>
      </c>
      <c r="AD583">
        <v>-0.23095660000000001</v>
      </c>
      <c r="AE583">
        <v>-1.6999999999939001E-2</v>
      </c>
      <c r="AF583">
        <v>1.4823814113668799E-2</v>
      </c>
      <c r="AG583">
        <v>-0.23095660000000001</v>
      </c>
      <c r="AH583">
        <v>0.44325613977345701</v>
      </c>
      <c r="AI583">
        <v>117.508441770359</v>
      </c>
      <c r="AJ583">
        <v>88.084571251726999</v>
      </c>
      <c r="AK583">
        <v>0.50003670064836503</v>
      </c>
      <c r="AL583">
        <v>72.736487630830297</v>
      </c>
      <c r="AM583">
        <v>93.446148662692806</v>
      </c>
      <c r="AN583">
        <v>1.0000000196371399</v>
      </c>
    </row>
    <row r="584" spans="1:40" x14ac:dyDescent="0.25">
      <c r="A584" t="str">
        <f>"20190304164606316"</f>
        <v>20190304164606316</v>
      </c>
      <c r="B584" t="str">
        <f>"1551689166308187"</f>
        <v>1551689166308187</v>
      </c>
      <c r="C584" t="s">
        <v>40</v>
      </c>
      <c r="D584">
        <v>4.3144460000000002</v>
      </c>
      <c r="E584">
        <v>0.55834519999999999</v>
      </c>
      <c r="F584" t="s">
        <v>41</v>
      </c>
      <c r="G584">
        <v>-307.2801</v>
      </c>
      <c r="H584">
        <v>0.79372790000000004</v>
      </c>
      <c r="I584">
        <v>367.60219999999998</v>
      </c>
      <c r="J584">
        <v>-307.86829999999998</v>
      </c>
      <c r="K584">
        <v>1.0608979999999999</v>
      </c>
      <c r="L584">
        <v>367.62130000000002</v>
      </c>
      <c r="M584">
        <v>0.99993149999999997</v>
      </c>
      <c r="N584">
        <v>-1.1647599999999999E-2</v>
      </c>
      <c r="O584">
        <v>1.245176E-3</v>
      </c>
      <c r="P584">
        <v>0.9565536</v>
      </c>
      <c r="Q584">
        <v>0.28571340000000001</v>
      </c>
      <c r="R584">
        <v>5.807843E-2</v>
      </c>
      <c r="S584">
        <v>3.4644780000000002</v>
      </c>
      <c r="T584">
        <v>-1.0837110000000001</v>
      </c>
      <c r="U584">
        <v>-7.5561519999999993E-2</v>
      </c>
      <c r="V584">
        <v>-5.6876070000000001E-2</v>
      </c>
      <c r="W584">
        <v>0.29683880000000001</v>
      </c>
      <c r="X584">
        <v>0.95323230000000003</v>
      </c>
      <c r="Y584">
        <v>2.190781E-2</v>
      </c>
      <c r="Z584">
        <v>-3.8430220000000002E-3</v>
      </c>
      <c r="AA584">
        <v>0.99975259999999999</v>
      </c>
      <c r="AB584">
        <v>38</v>
      </c>
      <c r="AC584">
        <v>0.58819999999997197</v>
      </c>
      <c r="AD584">
        <v>-0.26717009999999902</v>
      </c>
      <c r="AE584">
        <v>-1.9100000000037198E-2</v>
      </c>
      <c r="AF584">
        <v>1.6443516694728801E-2</v>
      </c>
      <c r="AG584">
        <v>-0.26717009999999902</v>
      </c>
      <c r="AH584">
        <v>0.48766941186094498</v>
      </c>
      <c r="AI584">
        <v>118.702453844787</v>
      </c>
      <c r="AJ584">
        <v>88.068799738157495</v>
      </c>
      <c r="AK584">
        <v>0.55630181272408197</v>
      </c>
      <c r="AL584">
        <v>72.732167129144202</v>
      </c>
      <c r="AM584">
        <v>93.414592478222403</v>
      </c>
      <c r="AN584">
        <v>0.99999998914368704</v>
      </c>
    </row>
    <row r="585" spans="1:40" x14ac:dyDescent="0.25">
      <c r="A585" t="str">
        <f>"20190304164606332"</f>
        <v>20190304164606332</v>
      </c>
      <c r="B585" t="str">
        <f>"1551689166317947"</f>
        <v>1551689166317947</v>
      </c>
      <c r="C585" t="s">
        <v>40</v>
      </c>
      <c r="D585">
        <v>4.2926479999999998</v>
      </c>
      <c r="E585">
        <v>0.55828109999999997</v>
      </c>
      <c r="F585" t="s">
        <v>41</v>
      </c>
      <c r="G585">
        <v>-306.9468</v>
      </c>
      <c r="H585">
        <v>0.77215100000000003</v>
      </c>
      <c r="I585">
        <v>367.60129999999998</v>
      </c>
      <c r="J585">
        <v>-307.61059999999998</v>
      </c>
      <c r="K585">
        <v>1.060791</v>
      </c>
      <c r="L585">
        <v>367.6216</v>
      </c>
      <c r="M585">
        <v>0.99993189999999998</v>
      </c>
      <c r="N585">
        <v>-1.160568E-2</v>
      </c>
      <c r="O585">
        <v>1.245599E-3</v>
      </c>
      <c r="P585">
        <v>0.95642990000000006</v>
      </c>
      <c r="Q585">
        <v>0.286149599999999</v>
      </c>
      <c r="R585">
        <v>5.7969189999999997E-2</v>
      </c>
      <c r="S585">
        <v>3.4650569999999998</v>
      </c>
      <c r="T585">
        <v>-1.085628</v>
      </c>
      <c r="U585">
        <v>-7.4646000000000004E-2</v>
      </c>
      <c r="V585">
        <v>-5.6766520000000001E-2</v>
      </c>
      <c r="W585">
        <v>0.29723349999999998</v>
      </c>
      <c r="X585">
        <v>0.95311579999999996</v>
      </c>
      <c r="Y585">
        <v>2.1649970000000001E-2</v>
      </c>
      <c r="Z585">
        <v>-3.8074659999999998E-3</v>
      </c>
      <c r="AA585">
        <v>0.99975840000000005</v>
      </c>
      <c r="AB585">
        <v>38</v>
      </c>
      <c r="AC585">
        <v>0.66379999999997996</v>
      </c>
      <c r="AD585">
        <v>-0.28864000000000001</v>
      </c>
      <c r="AE585">
        <v>-2.0300000000020101E-2</v>
      </c>
      <c r="AF585">
        <v>1.7770093258065799E-2</v>
      </c>
      <c r="AG585">
        <v>-0.28864000000000001</v>
      </c>
      <c r="AH585">
        <v>0.55830940464158696</v>
      </c>
      <c r="AI585">
        <v>117.32664923446301</v>
      </c>
      <c r="AJ585">
        <v>88.176982630171693</v>
      </c>
      <c r="AK585">
        <v>0.628759268023656</v>
      </c>
      <c r="AL585">
        <v>72.708483031583398</v>
      </c>
      <c r="AM585">
        <v>93.408446672272703</v>
      </c>
      <c r="AN585">
        <v>0.99999995976239897</v>
      </c>
    </row>
    <row r="586" spans="1:40" x14ac:dyDescent="0.25">
      <c r="A586" t="str">
        <f>"20190304164606351"</f>
        <v>20190304164606351</v>
      </c>
      <c r="B586" t="str">
        <f>"1551689166338443"</f>
        <v>1551689166338443</v>
      </c>
      <c r="C586" t="s">
        <v>40</v>
      </c>
      <c r="D586">
        <v>4.2710359999999996</v>
      </c>
      <c r="E586">
        <v>0.55854139999999997</v>
      </c>
      <c r="F586" t="s">
        <v>41</v>
      </c>
      <c r="G586">
        <v>-306.91660000000002</v>
      </c>
      <c r="H586">
        <v>0.8434931</v>
      </c>
      <c r="I586">
        <v>367.60649999999998</v>
      </c>
      <c r="J586">
        <v>-307.29070000000002</v>
      </c>
      <c r="K586">
        <v>1.0606799999999901</v>
      </c>
      <c r="L586">
        <v>367.62200000000001</v>
      </c>
      <c r="M586">
        <v>0.99993259999999995</v>
      </c>
      <c r="N586">
        <v>-1.155836E-2</v>
      </c>
      <c r="O586">
        <v>1.2460520000000001E-3</v>
      </c>
      <c r="P586">
        <v>0.95631440000000001</v>
      </c>
      <c r="Q586">
        <v>0.28653400000000001</v>
      </c>
      <c r="R586">
        <v>5.7977679999999997E-2</v>
      </c>
      <c r="S586">
        <v>3.4658199999999999</v>
      </c>
      <c r="T586">
        <v>-1.085127</v>
      </c>
      <c r="U586">
        <v>-7.4432369999999998E-2</v>
      </c>
      <c r="V586">
        <v>-5.6775260000000001E-2</v>
      </c>
      <c r="W586">
        <v>0.29757080000000002</v>
      </c>
      <c r="X586">
        <v>0.95301009999999997</v>
      </c>
      <c r="Y586">
        <v>2.1588739999999999E-2</v>
      </c>
      <c r="Z586">
        <v>-3.7950060000000001E-3</v>
      </c>
      <c r="AA586">
        <v>0.99975970000000003</v>
      </c>
      <c r="AB586">
        <v>38</v>
      </c>
      <c r="AC586">
        <v>0.37409999999999799</v>
      </c>
      <c r="AD586">
        <v>-0.21718689999999899</v>
      </c>
      <c r="AE586">
        <v>-1.5499999999974499E-2</v>
      </c>
      <c r="AF586">
        <v>1.19465170633352E-2</v>
      </c>
      <c r="AG586">
        <v>-0.21718689999999899</v>
      </c>
      <c r="AH586">
        <v>0.27990173181366501</v>
      </c>
      <c r="AI586">
        <v>127.78406067750601</v>
      </c>
      <c r="AJ586">
        <v>87.556035756014296</v>
      </c>
      <c r="AK586">
        <v>0.35448250771207801</v>
      </c>
      <c r="AL586">
        <v>72.688242542113301</v>
      </c>
      <c r="AM586">
        <v>93.409347415800298</v>
      </c>
      <c r="AN586">
        <v>1.0000000309313499</v>
      </c>
    </row>
    <row r="587" spans="1:40" x14ac:dyDescent="0.25">
      <c r="A587" t="str">
        <f>"20190304164606374"</f>
        <v>20190304164606374</v>
      </c>
      <c r="B587" t="str">
        <f>"1551689166368716"</f>
        <v>1551689166368716</v>
      </c>
      <c r="C587" t="s">
        <v>40</v>
      </c>
      <c r="D587">
        <v>4.2975989999999999</v>
      </c>
      <c r="E587">
        <v>0.55940749999999995</v>
      </c>
      <c r="F587" t="s">
        <v>41</v>
      </c>
      <c r="G587">
        <v>-306.57639999999998</v>
      </c>
      <c r="H587">
        <v>0.83868589999999998</v>
      </c>
      <c r="I587">
        <v>367.60579999999999</v>
      </c>
      <c r="J587">
        <v>-306.89710000000002</v>
      </c>
      <c r="K587">
        <v>1.0605629999999999</v>
      </c>
      <c r="L587">
        <v>367.6225</v>
      </c>
      <c r="M587">
        <v>0.99993290000000001</v>
      </c>
      <c r="N587">
        <v>-1.150936E-2</v>
      </c>
      <c r="O587">
        <v>1.2466930000000001E-3</v>
      </c>
      <c r="P587">
        <v>0.95631140000000003</v>
      </c>
      <c r="Q587">
        <v>0.28658489999999998</v>
      </c>
      <c r="R587">
        <v>5.7773720000000001E-2</v>
      </c>
      <c r="S587">
        <v>3.4644170000000001</v>
      </c>
      <c r="T587">
        <v>-1.0766869999999999</v>
      </c>
      <c r="U587">
        <v>-7.8857419999999998E-2</v>
      </c>
      <c r="V587">
        <v>-5.6570219999999997E-2</v>
      </c>
      <c r="W587">
        <v>0.29757539999999999</v>
      </c>
      <c r="X587">
        <v>0.9530208</v>
      </c>
      <c r="Y587">
        <v>2.2829749999999999E-2</v>
      </c>
      <c r="Z587">
        <v>-3.9643819999999998E-3</v>
      </c>
      <c r="AA587">
        <v>0.9997315</v>
      </c>
      <c r="AB587">
        <v>38</v>
      </c>
      <c r="AC587">
        <v>0.32070000000004401</v>
      </c>
      <c r="AD587">
        <v>-0.22187709999999899</v>
      </c>
      <c r="AE587">
        <v>-1.6700000000014301E-2</v>
      </c>
      <c r="AF587">
        <v>1.15745417342299E-2</v>
      </c>
      <c r="AG587">
        <v>-0.22187709999999899</v>
      </c>
      <c r="AH587">
        <v>0.21706134455221601</v>
      </c>
      <c r="AI587">
        <v>135.58792571625099</v>
      </c>
      <c r="AJ587">
        <v>86.947660574160693</v>
      </c>
      <c r="AK587">
        <v>0.310610760952648</v>
      </c>
      <c r="AL587">
        <v>72.687965509696994</v>
      </c>
      <c r="AM587">
        <v>93.397025624634793</v>
      </c>
      <c r="AN587">
        <v>0.99999997685432396</v>
      </c>
    </row>
    <row r="588" spans="1:40" x14ac:dyDescent="0.25">
      <c r="A588" t="str">
        <f>"20190304164606396"</f>
        <v>20190304164606396</v>
      </c>
      <c r="B588" t="str">
        <f>"1551689166388236"</f>
        <v>1551689166388236</v>
      </c>
      <c r="C588" t="s">
        <v>40</v>
      </c>
      <c r="D588">
        <v>4.2995330000000003</v>
      </c>
      <c r="E588">
        <v>0.55987290000000001</v>
      </c>
      <c r="F588" t="s">
        <v>41</v>
      </c>
      <c r="G588">
        <v>-306.22649999999999</v>
      </c>
      <c r="H588">
        <v>0.85585339999999999</v>
      </c>
      <c r="I588">
        <v>367.6053</v>
      </c>
      <c r="J588">
        <v>-306.52120000000002</v>
      </c>
      <c r="K588">
        <v>1.0604769999999999</v>
      </c>
      <c r="L588">
        <v>367.62299999999999</v>
      </c>
      <c r="M588">
        <v>0.99993350000000003</v>
      </c>
      <c r="N588">
        <v>-1.1473260000000001E-2</v>
      </c>
      <c r="O588">
        <v>1.2473779999999999E-3</v>
      </c>
      <c r="P588">
        <v>0.9561499</v>
      </c>
      <c r="Q588">
        <v>0.2871822</v>
      </c>
      <c r="R588">
        <v>5.7478679999999997E-2</v>
      </c>
      <c r="S588">
        <v>3.458771</v>
      </c>
      <c r="T588">
        <v>-1.0559019999999999</v>
      </c>
      <c r="U588">
        <v>-8.8165279999999999E-2</v>
      </c>
      <c r="V588">
        <v>-5.627451E-2</v>
      </c>
      <c r="W588">
        <v>0.29813620000000002</v>
      </c>
      <c r="X588">
        <v>0.95286300000000002</v>
      </c>
      <c r="Y588">
        <v>2.547112E-2</v>
      </c>
      <c r="Z588">
        <v>-4.3085609999999998E-3</v>
      </c>
      <c r="AA588">
        <v>0.99966630000000001</v>
      </c>
      <c r="AB588">
        <v>38</v>
      </c>
      <c r="AC588">
        <v>0.29470000000003399</v>
      </c>
      <c r="AD588">
        <v>-0.20462359999999999</v>
      </c>
      <c r="AE588">
        <v>-1.7700000000047501E-2</v>
      </c>
      <c r="AF588">
        <v>1.22046906380843E-2</v>
      </c>
      <c r="AG588">
        <v>-0.20462359999999999</v>
      </c>
      <c r="AH588">
        <v>0.19905507799934899</v>
      </c>
      <c r="AI588">
        <v>135.73658520876401</v>
      </c>
      <c r="AJ588">
        <v>86.491408420175006</v>
      </c>
      <c r="AK588">
        <v>0.285731860715353</v>
      </c>
      <c r="AL588">
        <v>72.654305889575099</v>
      </c>
      <c r="AM588">
        <v>93.379867920534906</v>
      </c>
      <c r="AN588">
        <v>0.99999995549758902</v>
      </c>
    </row>
    <row r="589" spans="1:40" x14ac:dyDescent="0.25">
      <c r="A589" t="str">
        <f>"20190304164606418"</f>
        <v>20190304164606418</v>
      </c>
      <c r="B589" t="str">
        <f>"1551689166408732"</f>
        <v>1551689166408732</v>
      </c>
      <c r="C589" t="s">
        <v>40</v>
      </c>
      <c r="D589">
        <v>4.3003999999999998</v>
      </c>
      <c r="E589">
        <v>0.56039259999999902</v>
      </c>
      <c r="F589" t="s">
        <v>41</v>
      </c>
      <c r="G589">
        <v>-305.5754</v>
      </c>
      <c r="H589">
        <v>0.77523469999999906</v>
      </c>
      <c r="I589">
        <v>367.59769999999997</v>
      </c>
      <c r="J589">
        <v>-306.14179999999999</v>
      </c>
      <c r="K589">
        <v>1.0604039999999999</v>
      </c>
      <c r="L589">
        <v>367.6234</v>
      </c>
      <c r="M589">
        <v>0.99993379999999998</v>
      </c>
      <c r="N589">
        <v>-1.1447550000000001E-2</v>
      </c>
      <c r="O589">
        <v>1.247883E-3</v>
      </c>
      <c r="P589">
        <v>0.95625610000000005</v>
      </c>
      <c r="Q589">
        <v>0.28679339999999998</v>
      </c>
      <c r="R589">
        <v>5.7655419999999999E-2</v>
      </c>
      <c r="S589">
        <v>3.4561769999999998</v>
      </c>
      <c r="T589">
        <v>-1.042335</v>
      </c>
      <c r="U589">
        <v>-9.1766360000000005E-2</v>
      </c>
      <c r="V589">
        <v>-5.6450680000000003E-2</v>
      </c>
      <c r="W589">
        <v>0.29772470000000001</v>
      </c>
      <c r="X589">
        <v>0.95298130000000003</v>
      </c>
      <c r="Y589">
        <v>2.651274E-2</v>
      </c>
      <c r="Z589">
        <v>-4.4196239999999996E-3</v>
      </c>
      <c r="AA589">
        <v>0.99963869999999999</v>
      </c>
      <c r="AB589">
        <v>38</v>
      </c>
      <c r="AC589">
        <v>0.56639999999998702</v>
      </c>
      <c r="AD589">
        <v>-0.28516930000000001</v>
      </c>
      <c r="AE589">
        <v>-2.5700000000028901E-2</v>
      </c>
      <c r="AF589">
        <v>2.1075417852970998E-2</v>
      </c>
      <c r="AG589">
        <v>-0.28516930000000001</v>
      </c>
      <c r="AH589">
        <v>0.45202065958551302</v>
      </c>
      <c r="AI589">
        <v>122.21880571093</v>
      </c>
      <c r="AJ589">
        <v>87.330523289940501</v>
      </c>
      <c r="AK589">
        <v>0.53487230213602299</v>
      </c>
      <c r="AL589">
        <v>72.679005841406706</v>
      </c>
      <c r="AM589">
        <v>93.390004217369295</v>
      </c>
      <c r="AN589">
        <v>1.0000000172061201</v>
      </c>
    </row>
    <row r="590" spans="1:40" x14ac:dyDescent="0.25">
      <c r="A590" t="str">
        <f>"20190304164606431"</f>
        <v>20190304164606431</v>
      </c>
      <c r="B590" t="str">
        <f>"1551689166418493"</f>
        <v>1551689166418493</v>
      </c>
      <c r="C590" t="s">
        <v>40</v>
      </c>
      <c r="D590">
        <v>4.3069860000000002</v>
      </c>
      <c r="E590">
        <v>0.56055129999999997</v>
      </c>
      <c r="F590" t="s">
        <v>41</v>
      </c>
      <c r="G590">
        <v>-305.22750000000002</v>
      </c>
      <c r="H590">
        <v>0.78736039999999996</v>
      </c>
      <c r="I590">
        <v>367.59800000000001</v>
      </c>
      <c r="J590">
        <v>-305.9117</v>
      </c>
      <c r="K590">
        <v>1.0603659999999999</v>
      </c>
      <c r="L590">
        <v>367.62369999999999</v>
      </c>
      <c r="M590">
        <v>0.99993390000000004</v>
      </c>
      <c r="N590">
        <v>-1.1435849999999999E-2</v>
      </c>
      <c r="O590">
        <v>1.2481289999999999E-3</v>
      </c>
      <c r="P590">
        <v>0.95633299999999999</v>
      </c>
      <c r="Q590">
        <v>0.28658529999999999</v>
      </c>
      <c r="R590">
        <v>5.741313E-2</v>
      </c>
      <c r="S590">
        <v>3.4522710000000001</v>
      </c>
      <c r="T590">
        <v>-1.0310839999999999</v>
      </c>
      <c r="U590">
        <v>-9.5886230000000003E-2</v>
      </c>
      <c r="V590">
        <v>-5.620841E-2</v>
      </c>
      <c r="W590">
        <v>0.29750569999999998</v>
      </c>
      <c r="X590">
        <v>0.95306400000000002</v>
      </c>
      <c r="Y590">
        <v>2.770475E-2</v>
      </c>
      <c r="Z590">
        <v>-4.5609070000000003E-3</v>
      </c>
      <c r="AA590">
        <v>0.99960570000000004</v>
      </c>
      <c r="AB590">
        <v>38</v>
      </c>
      <c r="AC590">
        <v>0.68419999999997505</v>
      </c>
      <c r="AD590">
        <v>-0.27300559999999902</v>
      </c>
      <c r="AE590">
        <v>-2.5699999999971999E-2</v>
      </c>
      <c r="AF590">
        <v>2.2911370146938701E-2</v>
      </c>
      <c r="AG590">
        <v>-0.27300559999999902</v>
      </c>
      <c r="AH590">
        <v>0.590314413910622</v>
      </c>
      <c r="AI590">
        <v>114.802931608726</v>
      </c>
      <c r="AJ590">
        <v>87.777343359525204</v>
      </c>
      <c r="AK590">
        <v>0.65079036239330601</v>
      </c>
      <c r="AL590">
        <v>72.692149022586605</v>
      </c>
      <c r="AM590">
        <v>93.375196788904205</v>
      </c>
      <c r="AN590">
        <v>1.0000000074916</v>
      </c>
    </row>
    <row r="591" spans="1:40" x14ac:dyDescent="0.25">
      <c r="A591" t="str">
        <f>"20190304164606444"</f>
        <v>20190304164606444</v>
      </c>
      <c r="B591" t="str">
        <f>"1551689166438013"</f>
        <v>1551689166438013</v>
      </c>
      <c r="C591" t="s">
        <v>40</v>
      </c>
      <c r="D591">
        <v>4.3237730000000001</v>
      </c>
      <c r="E591">
        <v>0.56086950000000002</v>
      </c>
      <c r="F591" t="s">
        <v>41</v>
      </c>
      <c r="G591">
        <v>-305.2013</v>
      </c>
      <c r="H591">
        <v>0.84886249999999996</v>
      </c>
      <c r="I591">
        <v>367.60329999999999</v>
      </c>
      <c r="J591">
        <v>-305.68860000000001</v>
      </c>
      <c r="K591">
        <v>1.060344</v>
      </c>
      <c r="L591">
        <v>367.6241</v>
      </c>
      <c r="M591">
        <v>0.99993399999999999</v>
      </c>
      <c r="N591">
        <v>-1.1426779999999999E-2</v>
      </c>
      <c r="O591">
        <v>1.248479E-3</v>
      </c>
      <c r="P591">
        <v>0.95632119999999998</v>
      </c>
      <c r="Q591">
        <v>0.28658329999999999</v>
      </c>
      <c r="R591">
        <v>5.7620009999999999E-2</v>
      </c>
      <c r="S591">
        <v>3.4508670000000001</v>
      </c>
      <c r="T591">
        <v>-1.0275110000000001</v>
      </c>
      <c r="U591">
        <v>-9.9090579999999998E-2</v>
      </c>
      <c r="V591">
        <v>-5.6414470000000001E-2</v>
      </c>
      <c r="W591">
        <v>0.29749520000000002</v>
      </c>
      <c r="X591">
        <v>0.95305510000000004</v>
      </c>
      <c r="Y591">
        <v>2.8610739999999999E-2</v>
      </c>
      <c r="Z591">
        <v>-4.6851559999999898E-3</v>
      </c>
      <c r="AA591">
        <v>0.99957969999999896</v>
      </c>
      <c r="AB591">
        <v>38</v>
      </c>
      <c r="AC591">
        <v>0.48730000000000401</v>
      </c>
      <c r="AD591">
        <v>-0.21148149999999999</v>
      </c>
      <c r="AE591">
        <v>-2.0800000000008301E-2</v>
      </c>
      <c r="AF591">
        <v>1.80205215160751E-2</v>
      </c>
      <c r="AG591">
        <v>-0.21148149999999999</v>
      </c>
      <c r="AH591">
        <v>0.41016247397049799</v>
      </c>
      <c r="AI591">
        <v>117.253326304597</v>
      </c>
      <c r="AJ591">
        <v>87.484323117017396</v>
      </c>
      <c r="AK591">
        <v>0.46182509577930098</v>
      </c>
      <c r="AL591">
        <v>72.692779116092893</v>
      </c>
      <c r="AM591">
        <v>93.387573056279606</v>
      </c>
      <c r="AN591">
        <v>1.00000000504221</v>
      </c>
    </row>
    <row r="592" spans="1:40" x14ac:dyDescent="0.25">
      <c r="A592" t="str">
        <f>"20190304164606463"</f>
        <v>20190304164606463</v>
      </c>
      <c r="B592" t="str">
        <f>"1551689166448748"</f>
        <v>1551689166448748</v>
      </c>
      <c r="C592" t="s">
        <v>40</v>
      </c>
      <c r="D592">
        <v>4.3099829999999999</v>
      </c>
      <c r="E592">
        <v>0.56103069999999999</v>
      </c>
      <c r="F592" t="s">
        <v>41</v>
      </c>
      <c r="G592">
        <v>-304.87139999999999</v>
      </c>
      <c r="H592">
        <v>0.81876019999999905</v>
      </c>
      <c r="I592">
        <v>367.59960000000001</v>
      </c>
      <c r="J592">
        <v>-305.36900000000003</v>
      </c>
      <c r="K592">
        <v>1.060308</v>
      </c>
      <c r="L592">
        <v>367.62439999999998</v>
      </c>
      <c r="M592">
        <v>0.99993410000000005</v>
      </c>
      <c r="N592">
        <v>-1.141902E-2</v>
      </c>
      <c r="O592">
        <v>1.2488810000000001E-3</v>
      </c>
      <c r="P592">
        <v>0.95615870000000003</v>
      </c>
      <c r="Q592">
        <v>0.28720950000000001</v>
      </c>
      <c r="R592">
        <v>5.7197720000000001E-2</v>
      </c>
      <c r="S592">
        <v>3.4486690000000002</v>
      </c>
      <c r="T592">
        <v>-1.0195069999999999</v>
      </c>
      <c r="U592">
        <v>-0.102356</v>
      </c>
      <c r="V592">
        <v>-5.5992350000000003E-2</v>
      </c>
      <c r="W592">
        <v>0.29811209999999999</v>
      </c>
      <c r="X592">
        <v>0.95288720000000005</v>
      </c>
      <c r="Y592">
        <v>2.9551689999999999E-2</v>
      </c>
      <c r="Z592">
        <v>-4.7955860000000001E-3</v>
      </c>
      <c r="AA592">
        <v>0.99955179999999999</v>
      </c>
      <c r="AB592">
        <v>38</v>
      </c>
      <c r="AC592">
        <v>0.49760000000003302</v>
      </c>
      <c r="AD592">
        <v>-0.24154780000000001</v>
      </c>
      <c r="AE592">
        <v>-2.4799999999970599E-2</v>
      </c>
      <c r="AF592">
        <v>2.0583278426079401E-2</v>
      </c>
      <c r="AG592">
        <v>-0.24154780000000001</v>
      </c>
      <c r="AH592">
        <v>0.40287190690466101</v>
      </c>
      <c r="AI592">
        <v>120.912489875535</v>
      </c>
      <c r="AJ592">
        <v>87.075223127154999</v>
      </c>
      <c r="AK592">
        <v>0.47018590409390598</v>
      </c>
      <c r="AL592">
        <v>72.655753146825802</v>
      </c>
      <c r="AM592">
        <v>93.362875067391002</v>
      </c>
      <c r="AN592">
        <v>0.99999999167438602</v>
      </c>
    </row>
    <row r="593" spans="1:40" x14ac:dyDescent="0.25">
      <c r="A593" t="str">
        <f>"20190304164606485"</f>
        <v>20190304164606485</v>
      </c>
      <c r="B593" t="str">
        <f>"1551689166478028"</f>
        <v>1551689166478028</v>
      </c>
      <c r="C593" t="s">
        <v>40</v>
      </c>
      <c r="D593">
        <v>4.3259410000000003</v>
      </c>
      <c r="E593">
        <v>0.56144150000000004</v>
      </c>
      <c r="F593" t="s">
        <v>41</v>
      </c>
      <c r="G593">
        <v>-304.53039999999999</v>
      </c>
      <c r="H593">
        <v>0.81394049999999996</v>
      </c>
      <c r="I593">
        <v>367.5985</v>
      </c>
      <c r="J593">
        <v>-304.98180000000002</v>
      </c>
      <c r="K593">
        <v>1.060276</v>
      </c>
      <c r="L593">
        <v>367.62490000000003</v>
      </c>
      <c r="M593">
        <v>0.99993399999999999</v>
      </c>
      <c r="N593">
        <v>-1.142232E-2</v>
      </c>
      <c r="O593">
        <v>1.2496969999999999E-3</v>
      </c>
      <c r="P593">
        <v>0.95609909999999998</v>
      </c>
      <c r="Q593">
        <v>0.28739999999999999</v>
      </c>
      <c r="R593">
        <v>5.7232720000000001E-2</v>
      </c>
      <c r="S593">
        <v>3.4482119999999998</v>
      </c>
      <c r="T593">
        <v>-1.0130300000000001</v>
      </c>
      <c r="U593">
        <v>-0.1063843</v>
      </c>
      <c r="V593">
        <v>-5.6026520000000003E-2</v>
      </c>
      <c r="W593">
        <v>0.29830499999999999</v>
      </c>
      <c r="X593">
        <v>0.95282480000000003</v>
      </c>
      <c r="Y593">
        <v>3.068939E-2</v>
      </c>
      <c r="Z593">
        <v>-4.9383209999999999E-3</v>
      </c>
      <c r="AA593">
        <v>0.99951679999999998</v>
      </c>
      <c r="AB593">
        <v>38</v>
      </c>
      <c r="AC593">
        <v>0.451400000000035</v>
      </c>
      <c r="AD593">
        <v>-0.24633550000000001</v>
      </c>
      <c r="AE593">
        <v>-2.64000000000237E-2</v>
      </c>
      <c r="AF593">
        <v>2.0792995122583601E-2</v>
      </c>
      <c r="AG593">
        <v>-0.24633550000000001</v>
      </c>
      <c r="AH593">
        <v>0.34806481163025099</v>
      </c>
      <c r="AI593">
        <v>125.240034194198</v>
      </c>
      <c r="AJ593">
        <v>86.581278407628105</v>
      </c>
      <c r="AK593">
        <v>0.42692228836360802</v>
      </c>
      <c r="AL593">
        <v>72.644173588627496</v>
      </c>
      <c r="AM593">
        <v>93.365142448450698</v>
      </c>
      <c r="AN593">
        <v>0.99999997173167399</v>
      </c>
    </row>
    <row r="594" spans="1:40" x14ac:dyDescent="0.25">
      <c r="A594" t="str">
        <f>"20190304164606507"</f>
        <v>20190304164606507</v>
      </c>
      <c r="B594" t="str">
        <f>"1551689166498541"</f>
        <v>1551689166498541</v>
      </c>
      <c r="C594" t="s">
        <v>40</v>
      </c>
      <c r="D594">
        <v>4.3292609999999998</v>
      </c>
      <c r="E594">
        <v>0.56166369999999999</v>
      </c>
      <c r="F594" t="s">
        <v>41</v>
      </c>
      <c r="G594">
        <v>-304.18119999999999</v>
      </c>
      <c r="H594">
        <v>0.82758829999999906</v>
      </c>
      <c r="I594">
        <v>367.59879999999998</v>
      </c>
      <c r="J594">
        <v>-304.61110000000002</v>
      </c>
      <c r="K594">
        <v>1.0602419999999999</v>
      </c>
      <c r="L594">
        <v>367.62540000000001</v>
      </c>
      <c r="M594">
        <v>0.99993390000000004</v>
      </c>
      <c r="N594">
        <v>-1.144131E-2</v>
      </c>
      <c r="O594">
        <v>1.2499449999999999E-3</v>
      </c>
      <c r="P594">
        <v>0.95600799999999997</v>
      </c>
      <c r="Q594">
        <v>0.28767680000000001</v>
      </c>
      <c r="R594">
        <v>5.7369059999999999E-2</v>
      </c>
      <c r="S594">
        <v>3.4454039999999999</v>
      </c>
      <c r="T594">
        <v>-1.001369</v>
      </c>
      <c r="U594">
        <v>-0.111084</v>
      </c>
      <c r="V594">
        <v>-5.6162869999999997E-2</v>
      </c>
      <c r="W594">
        <v>0.29859910000000001</v>
      </c>
      <c r="X594">
        <v>0.95272469999999998</v>
      </c>
      <c r="Y594">
        <v>3.2046989999999997E-2</v>
      </c>
      <c r="Z594">
        <v>-5.090603E-3</v>
      </c>
      <c r="AA594">
        <v>0.99947339999999996</v>
      </c>
      <c r="AB594">
        <v>38</v>
      </c>
      <c r="AC594">
        <v>0.42990000000003098</v>
      </c>
      <c r="AD594">
        <v>-0.23265369999999999</v>
      </c>
      <c r="AE594">
        <v>-2.6600000000030301E-2</v>
      </c>
      <c r="AF594">
        <v>2.1008057978651299E-2</v>
      </c>
      <c r="AG594">
        <v>-0.23265369999999999</v>
      </c>
      <c r="AH594">
        <v>0.332775798666755</v>
      </c>
      <c r="AI594">
        <v>124.905079649141</v>
      </c>
      <c r="AJ594">
        <v>86.387724560667905</v>
      </c>
      <c r="AK594">
        <v>0.40658186728138901</v>
      </c>
      <c r="AL594">
        <v>72.626519156105203</v>
      </c>
      <c r="AM594">
        <v>93.373666807314606</v>
      </c>
      <c r="AN594">
        <v>1.0000000222387599</v>
      </c>
    </row>
    <row r="595" spans="1:40" x14ac:dyDescent="0.25">
      <c r="A595" t="str">
        <f>"20190304164606519"</f>
        <v>20190304164606519</v>
      </c>
      <c r="B595" t="str">
        <f>"1551689166508285"</f>
        <v>1551689166508285</v>
      </c>
      <c r="C595" t="s">
        <v>40</v>
      </c>
      <c r="D595">
        <v>4.3015439999999998</v>
      </c>
      <c r="E595">
        <v>0.56154499999999996</v>
      </c>
      <c r="F595" t="s">
        <v>41</v>
      </c>
      <c r="G595">
        <v>-303.83420000000001</v>
      </c>
      <c r="H595">
        <v>0.83587029999999995</v>
      </c>
      <c r="I595">
        <v>367.6001</v>
      </c>
      <c r="J595">
        <v>-304.38810000000001</v>
      </c>
      <c r="K595">
        <v>1.060233</v>
      </c>
      <c r="L595">
        <v>367.62560000000002</v>
      </c>
      <c r="M595">
        <v>0.99993350000000003</v>
      </c>
      <c r="N595">
        <v>-1.146235E-2</v>
      </c>
      <c r="O595">
        <v>1.25048E-3</v>
      </c>
      <c r="P595">
        <v>0.95596899999999996</v>
      </c>
      <c r="Q595">
        <v>0.28779519999999997</v>
      </c>
      <c r="R595">
        <v>5.7418900000000002E-2</v>
      </c>
      <c r="S595">
        <v>3.4440309999999998</v>
      </c>
      <c r="T595">
        <v>-0.99459960000000003</v>
      </c>
      <c r="U595">
        <v>-0.11206049999999999</v>
      </c>
      <c r="V595">
        <v>-5.6212119999999997E-2</v>
      </c>
      <c r="W595">
        <v>0.29873699999999997</v>
      </c>
      <c r="X595">
        <v>0.95267860000000004</v>
      </c>
      <c r="Y595">
        <v>3.234803E-2</v>
      </c>
      <c r="Z595">
        <v>-5.1052809999999997E-3</v>
      </c>
      <c r="AA595">
        <v>0.99946360000000001</v>
      </c>
      <c r="AB595">
        <v>38</v>
      </c>
      <c r="AC595">
        <v>0.55389999999999795</v>
      </c>
      <c r="AD595">
        <v>-0.224362699999999</v>
      </c>
      <c r="AE595">
        <v>-2.5500000000022199E-2</v>
      </c>
      <c r="AF595">
        <v>2.2507578346194899E-2</v>
      </c>
      <c r="AG595">
        <v>-0.224362699999999</v>
      </c>
      <c r="AH595">
        <v>0.47594314872222598</v>
      </c>
      <c r="AI595">
        <v>115.214820879824</v>
      </c>
      <c r="AJ595">
        <v>87.2924724381174</v>
      </c>
      <c r="AK595">
        <v>0.52665652284000697</v>
      </c>
      <c r="AL595">
        <v>72.618240802045605</v>
      </c>
      <c r="AM595">
        <v>93.376781396415595</v>
      </c>
      <c r="AN595">
        <v>1.0000000562509199</v>
      </c>
    </row>
    <row r="596" spans="1:40" x14ac:dyDescent="0.25">
      <c r="A596" t="str">
        <f>"20190304164606534"</f>
        <v>20190304164606534</v>
      </c>
      <c r="B596" t="str">
        <f>"1551689166528781"</f>
        <v>1551689166528781</v>
      </c>
      <c r="C596" t="s">
        <v>40</v>
      </c>
      <c r="D596">
        <v>4.4960250000000004</v>
      </c>
      <c r="E596">
        <v>0.56139220000000001</v>
      </c>
      <c r="F596" t="s">
        <v>41</v>
      </c>
      <c r="G596">
        <v>-303.50420000000003</v>
      </c>
      <c r="H596">
        <v>0.80450239999999995</v>
      </c>
      <c r="I596">
        <v>367.59699999999998</v>
      </c>
      <c r="J596">
        <v>-304.1515</v>
      </c>
      <c r="K596">
        <v>1.0602279999999999</v>
      </c>
      <c r="L596">
        <v>367.6259</v>
      </c>
      <c r="M596">
        <v>0.99993319999999997</v>
      </c>
      <c r="N596">
        <v>-1.1491929999999999E-2</v>
      </c>
      <c r="O596">
        <v>1.250667E-3</v>
      </c>
      <c r="P596">
        <v>0.95586249999999995</v>
      </c>
      <c r="Q596">
        <v>0.28813559999999999</v>
      </c>
      <c r="R596">
        <v>5.7489220000000001E-2</v>
      </c>
      <c r="S596">
        <v>3.4449770000000002</v>
      </c>
      <c r="T596">
        <v>-0.99688399999999999</v>
      </c>
      <c r="U596">
        <v>-0.1106873</v>
      </c>
      <c r="V596">
        <v>-5.6282100000000002E-2</v>
      </c>
      <c r="W596">
        <v>0.29910419999999999</v>
      </c>
      <c r="X596">
        <v>0.95255919999999905</v>
      </c>
      <c r="Y596">
        <v>3.1952460000000002E-2</v>
      </c>
      <c r="Z596">
        <v>-5.057013E-3</v>
      </c>
      <c r="AA596">
        <v>0.99947660000000005</v>
      </c>
      <c r="AB596">
        <v>38</v>
      </c>
      <c r="AC596">
        <v>0.64729999999997201</v>
      </c>
      <c r="AD596">
        <v>-0.2557256</v>
      </c>
      <c r="AE596">
        <v>-2.8900000000021402E-2</v>
      </c>
      <c r="AF596">
        <v>2.5705541131999399E-2</v>
      </c>
      <c r="AG596">
        <v>-0.2557256</v>
      </c>
      <c r="AH596">
        <v>0.56002980648477496</v>
      </c>
      <c r="AI596">
        <v>114.520019229555</v>
      </c>
      <c r="AJ596">
        <v>87.371950608837693</v>
      </c>
      <c r="AK596">
        <v>0.61618969602844098</v>
      </c>
      <c r="AL596">
        <v>72.596192987572607</v>
      </c>
      <c r="AM596">
        <v>93.381398307966293</v>
      </c>
      <c r="AN596">
        <v>1.00000001337134</v>
      </c>
    </row>
    <row r="597" spans="1:40" x14ac:dyDescent="0.25">
      <c r="A597" t="str">
        <f>"20190304164606553"</f>
        <v>20190304164606553</v>
      </c>
      <c r="B597" t="str">
        <f>"1551689166548300"</f>
        <v>1551689166548300</v>
      </c>
      <c r="C597" t="s">
        <v>40</v>
      </c>
      <c r="D597">
        <v>4.2575209999999997</v>
      </c>
      <c r="E597">
        <v>0.56072610000000001</v>
      </c>
      <c r="F597" t="s">
        <v>41</v>
      </c>
      <c r="G597">
        <v>-303.4778</v>
      </c>
      <c r="H597">
        <v>0.86546160000000005</v>
      </c>
      <c r="I597">
        <v>367.60449999999997</v>
      </c>
      <c r="J597">
        <v>-303.82170000000002</v>
      </c>
      <c r="K597">
        <v>1.0602290000000001</v>
      </c>
      <c r="L597">
        <v>367.62630000000001</v>
      </c>
      <c r="M597">
        <v>0.9999325</v>
      </c>
      <c r="N597">
        <v>-1.155511E-2</v>
      </c>
      <c r="O597">
        <v>1.250957E-3</v>
      </c>
      <c r="P597">
        <v>0.95577239999999997</v>
      </c>
      <c r="Q597">
        <v>0.28837780000000002</v>
      </c>
      <c r="R597">
        <v>5.7770450000000001E-2</v>
      </c>
      <c r="S597">
        <v>3.4452820000000002</v>
      </c>
      <c r="T597">
        <v>-0.99605670000000002</v>
      </c>
      <c r="U597">
        <v>-0.1083069</v>
      </c>
      <c r="V597">
        <v>-5.6563559999999999E-2</v>
      </c>
      <c r="W597">
        <v>0.2994058</v>
      </c>
      <c r="X597">
        <v>0.95244779999999996</v>
      </c>
      <c r="Y597">
        <v>3.1290440000000003E-2</v>
      </c>
      <c r="Z597">
        <v>-4.9561179999999998E-3</v>
      </c>
      <c r="AA597">
        <v>0.99949809999999994</v>
      </c>
      <c r="AB597">
        <v>38</v>
      </c>
      <c r="AC597">
        <v>0.34390000000001902</v>
      </c>
      <c r="AD597">
        <v>-0.19476740000000001</v>
      </c>
      <c r="AE597">
        <v>-2.1800000000041501E-2</v>
      </c>
      <c r="AF597">
        <v>1.68478705828559E-2</v>
      </c>
      <c r="AG597">
        <v>-0.19476740000000001</v>
      </c>
      <c r="AH597">
        <v>0.26061459484345501</v>
      </c>
      <c r="AI597">
        <v>126.71491483425</v>
      </c>
      <c r="AJ597">
        <v>86.301164565616503</v>
      </c>
      <c r="AK597">
        <v>0.32578851712630202</v>
      </c>
      <c r="AL597">
        <v>72.578083129740705</v>
      </c>
      <c r="AM597">
        <v>93.398665278348801</v>
      </c>
      <c r="AN597">
        <v>1.00000004055917</v>
      </c>
    </row>
    <row r="598" spans="1:40" x14ac:dyDescent="0.25">
      <c r="A598" t="str">
        <f>"20190304164606576"</f>
        <v>20190304164606576</v>
      </c>
      <c r="B598" t="str">
        <f>"1551689166568795"</f>
        <v>1551689166568795</v>
      </c>
      <c r="C598" t="s">
        <v>40</v>
      </c>
      <c r="D598">
        <v>4.2318930000000003</v>
      </c>
      <c r="E598">
        <v>0.56054280000000001</v>
      </c>
      <c r="F598" t="s">
        <v>41</v>
      </c>
      <c r="G598">
        <v>-303.08859999999999</v>
      </c>
      <c r="H598">
        <v>0.96231889999999998</v>
      </c>
      <c r="I598">
        <v>367.58949999999999</v>
      </c>
      <c r="J598">
        <v>-303.43290000000002</v>
      </c>
      <c r="K598">
        <v>1.0602370000000001</v>
      </c>
      <c r="L598">
        <v>367.6268</v>
      </c>
      <c r="M598">
        <v>0.99993129999999997</v>
      </c>
      <c r="N598">
        <v>-1.1657539999999999E-2</v>
      </c>
      <c r="O598">
        <v>1.251374E-3</v>
      </c>
      <c r="P598">
        <v>0.95562060000000004</v>
      </c>
      <c r="Q598">
        <v>0.28891719999999999</v>
      </c>
      <c r="R598">
        <v>5.75863E-2</v>
      </c>
      <c r="S598">
        <v>3.2810060000000001</v>
      </c>
      <c r="T598">
        <v>-0.43818809999999903</v>
      </c>
      <c r="U598">
        <v>-0.1651001</v>
      </c>
      <c r="V598">
        <v>-5.6379180000000001E-2</v>
      </c>
      <c r="W598">
        <v>0.3000408</v>
      </c>
      <c r="X598">
        <v>0.95225879999999996</v>
      </c>
      <c r="Y598">
        <v>5.1005380000000003E-2</v>
      </c>
      <c r="Z598">
        <v>-3.839477E-3</v>
      </c>
      <c r="AA598">
        <v>0.998691</v>
      </c>
      <c r="AB598">
        <v>38</v>
      </c>
      <c r="AC598">
        <v>0.34430000000003202</v>
      </c>
      <c r="AD598">
        <v>-9.7918100000000105E-2</v>
      </c>
      <c r="AE598">
        <v>-3.7300000000016098E-2</v>
      </c>
      <c r="AF598">
        <v>3.4937790651399001E-2</v>
      </c>
      <c r="AG598">
        <v>-9.7918100000000105E-2</v>
      </c>
      <c r="AH598">
        <v>0.31876943201608399</v>
      </c>
      <c r="AI598">
        <v>106.979882210927</v>
      </c>
      <c r="AJ598">
        <v>83.745229428376504</v>
      </c>
      <c r="AK598">
        <v>0.33529472753246198</v>
      </c>
      <c r="AL598">
        <v>72.539945559199495</v>
      </c>
      <c r="AM598">
        <v>93.388283297791801</v>
      </c>
      <c r="AN598">
        <v>0.99999995788977503</v>
      </c>
    </row>
    <row r="599" spans="1:40" x14ac:dyDescent="0.25">
      <c r="A599" t="str">
        <f>"20190304164606598"</f>
        <v>20190304164606598</v>
      </c>
      <c r="B599" t="str">
        <f>"1551689166588315"</f>
        <v>1551689166588315</v>
      </c>
      <c r="C599" t="s">
        <v>40</v>
      </c>
      <c r="D599">
        <v>4.2584379999999999</v>
      </c>
      <c r="E599">
        <v>0.55952170000000001</v>
      </c>
      <c r="F599" t="s">
        <v>41</v>
      </c>
      <c r="G599">
        <v>-302.40190000000001</v>
      </c>
      <c r="H599">
        <v>0.96318709999999996</v>
      </c>
      <c r="I599">
        <v>367.57010000000002</v>
      </c>
      <c r="J599">
        <v>-303.0607</v>
      </c>
      <c r="K599">
        <v>1.0602560000000001</v>
      </c>
      <c r="L599">
        <v>367.62729999999999</v>
      </c>
      <c r="M599">
        <v>0.99992979999999998</v>
      </c>
      <c r="N599">
        <v>-1.178558E-2</v>
      </c>
      <c r="O599">
        <v>1.251456E-3</v>
      </c>
      <c r="P599">
        <v>0.95561719999999895</v>
      </c>
      <c r="Q599">
        <v>0.2889872</v>
      </c>
      <c r="R599">
        <v>5.7289390000000003E-2</v>
      </c>
      <c r="S599">
        <v>3.2423709999999999</v>
      </c>
      <c r="T599">
        <v>-0.30521369999999998</v>
      </c>
      <c r="U599">
        <v>-0.17846679999999901</v>
      </c>
      <c r="V599">
        <v>-5.6082300000000002E-2</v>
      </c>
      <c r="W599">
        <v>0.30023280000000002</v>
      </c>
      <c r="X599">
        <v>0.9522159</v>
      </c>
      <c r="Y599">
        <v>5.5926690000000001E-2</v>
      </c>
      <c r="Z599">
        <v>-3.057878E-3</v>
      </c>
      <c r="AA599">
        <v>0.99843020000000005</v>
      </c>
      <c r="AB599">
        <v>38</v>
      </c>
      <c r="AC599">
        <v>0.65879999999998495</v>
      </c>
      <c r="AD599">
        <v>-9.7068899999999902E-2</v>
      </c>
      <c r="AE599">
        <v>-5.7199999999966097E-2</v>
      </c>
      <c r="AF599">
        <v>5.6800576733968003E-2</v>
      </c>
      <c r="AG599">
        <v>-9.7068899999999902E-2</v>
      </c>
      <c r="AH599">
        <v>0.64483352157136897</v>
      </c>
      <c r="AI599">
        <v>98.528112272636605</v>
      </c>
      <c r="AJ599">
        <v>84.966057060091302</v>
      </c>
      <c r="AK599">
        <v>0.65456775616176999</v>
      </c>
      <c r="AL599">
        <v>72.528414547205699</v>
      </c>
      <c r="AM599">
        <v>93.370634105852204</v>
      </c>
      <c r="AN599">
        <v>1.00000003939096</v>
      </c>
    </row>
    <row r="600" spans="1:40" x14ac:dyDescent="0.25">
      <c r="A600" t="str">
        <f>"20190304164606619"</f>
        <v>20190304164606619</v>
      </c>
      <c r="B600" t="str">
        <f>"1551689166608813"</f>
        <v>1551689166608813</v>
      </c>
      <c r="C600" t="s">
        <v>40</v>
      </c>
      <c r="D600">
        <v>4.1992659999999997</v>
      </c>
      <c r="E600">
        <v>0.55912289999999998</v>
      </c>
      <c r="F600" t="s">
        <v>41</v>
      </c>
      <c r="G600">
        <v>-302.04860000000002</v>
      </c>
      <c r="H600">
        <v>0.98386810000000002</v>
      </c>
      <c r="I600">
        <v>367.57100000000003</v>
      </c>
      <c r="J600">
        <v>-302.68860000000001</v>
      </c>
      <c r="K600">
        <v>1.060279</v>
      </c>
      <c r="L600">
        <v>367.6277</v>
      </c>
      <c r="M600">
        <v>0.99992809999999999</v>
      </c>
      <c r="N600">
        <v>-1.193054E-2</v>
      </c>
      <c r="O600">
        <v>1.251605E-3</v>
      </c>
      <c r="P600">
        <v>0.95550630000000003</v>
      </c>
      <c r="Q600">
        <v>0.28947919999999999</v>
      </c>
      <c r="R600">
        <v>5.6654349999999999E-2</v>
      </c>
      <c r="S600">
        <v>3.2236630000000002</v>
      </c>
      <c r="T600">
        <v>-0.24358170000000001</v>
      </c>
      <c r="U600">
        <v>-0.17819209999999999</v>
      </c>
      <c r="V600">
        <v>-5.54469E-2</v>
      </c>
      <c r="W600">
        <v>0.3008614</v>
      </c>
      <c r="X600">
        <v>0.95205470000000003</v>
      </c>
      <c r="Y600">
        <v>5.6253989999999997E-2</v>
      </c>
      <c r="Z600">
        <v>-2.5365069999999999E-3</v>
      </c>
      <c r="AA600">
        <v>0.99841329999999995</v>
      </c>
      <c r="AB600">
        <v>38</v>
      </c>
      <c r="AC600">
        <v>0.63999999999998602</v>
      </c>
      <c r="AD600">
        <v>-7.6410900000000101E-2</v>
      </c>
      <c r="AE600">
        <v>-5.6700000000034799E-2</v>
      </c>
      <c r="AF600">
        <v>5.6699118755722998E-2</v>
      </c>
      <c r="AG600">
        <v>-7.6410900000000101E-2</v>
      </c>
      <c r="AH600">
        <v>0.63100395639350204</v>
      </c>
      <c r="AI600">
        <v>96.8771265501139</v>
      </c>
      <c r="AJ600">
        <v>84.865453421680101</v>
      </c>
      <c r="AK600">
        <v>0.63813745281932699</v>
      </c>
      <c r="AL600">
        <v>72.490652694641199</v>
      </c>
      <c r="AM600">
        <v>93.3330951171381</v>
      </c>
      <c r="AN600">
        <v>1.0000000462608201</v>
      </c>
    </row>
    <row r="601" spans="1:40" x14ac:dyDescent="0.25">
      <c r="A601" t="str">
        <f>"20190304164606632"</f>
        <v>20190304164606632</v>
      </c>
      <c r="B601" t="str">
        <f>"1551689166628333"</f>
        <v>1551689166628333</v>
      </c>
      <c r="C601" t="s">
        <v>40</v>
      </c>
      <c r="D601">
        <v>4.200323</v>
      </c>
      <c r="E601">
        <v>0.55877169999999998</v>
      </c>
      <c r="F601" t="s">
        <v>41</v>
      </c>
      <c r="G601">
        <v>-301.69909999999999</v>
      </c>
      <c r="H601">
        <v>0.99615160000000003</v>
      </c>
      <c r="I601">
        <v>367.57190000000003</v>
      </c>
      <c r="J601">
        <v>-302.45710000000003</v>
      </c>
      <c r="K601">
        <v>1.0602940000000001</v>
      </c>
      <c r="L601">
        <v>367.62799999999999</v>
      </c>
      <c r="M601">
        <v>0.99992700000000001</v>
      </c>
      <c r="N601">
        <v>-1.2030239999999999E-2</v>
      </c>
      <c r="O601">
        <v>1.251481E-3</v>
      </c>
      <c r="P601">
        <v>0.95552939999999997</v>
      </c>
      <c r="Q601">
        <v>0.28945720000000003</v>
      </c>
      <c r="R601">
        <v>5.6378879999999999E-2</v>
      </c>
      <c r="S601">
        <v>3.2135929999999999</v>
      </c>
      <c r="T601">
        <v>-0.20852570000000001</v>
      </c>
      <c r="U601">
        <v>-0.18054200000000001</v>
      </c>
      <c r="V601">
        <v>-5.5171820000000003E-2</v>
      </c>
      <c r="W601">
        <v>0.30093449999999999</v>
      </c>
      <c r="X601">
        <v>0.95204750000000005</v>
      </c>
      <c r="Y601">
        <v>5.7197850000000001E-2</v>
      </c>
      <c r="Z601">
        <v>-2.2631299999999999E-3</v>
      </c>
      <c r="AA601">
        <v>0.99836029999999998</v>
      </c>
      <c r="AB601">
        <v>38</v>
      </c>
      <c r="AC601">
        <v>0.75800000000003798</v>
      </c>
      <c r="AD601">
        <v>-6.4142400000000099E-2</v>
      </c>
      <c r="AE601">
        <v>-5.6100000000014902E-2</v>
      </c>
      <c r="AF601">
        <v>5.6645240531315803E-2</v>
      </c>
      <c r="AG601">
        <v>-6.4142400000000099E-2</v>
      </c>
      <c r="AH601">
        <v>0.75256966784757295</v>
      </c>
      <c r="AI601">
        <v>94.857937531944401</v>
      </c>
      <c r="AJ601">
        <v>85.695515007630107</v>
      </c>
      <c r="AK601">
        <v>0.75741932621026797</v>
      </c>
      <c r="AL601">
        <v>72.486259507516294</v>
      </c>
      <c r="AM601">
        <v>93.316621187224499</v>
      </c>
      <c r="AN601">
        <v>0.99999997263430596</v>
      </c>
    </row>
    <row r="602" spans="1:40" x14ac:dyDescent="0.25">
      <c r="A602" t="str">
        <f>"20190304164606645"</f>
        <v>20190304164606645</v>
      </c>
      <c r="B602" t="str">
        <f>"1551689166638093"</f>
        <v>1551689166638093</v>
      </c>
      <c r="C602" t="s">
        <v>40</v>
      </c>
      <c r="D602">
        <v>4.2051170000000004</v>
      </c>
      <c r="E602">
        <v>0.55861680000000002</v>
      </c>
      <c r="F602" t="s">
        <v>43</v>
      </c>
      <c r="G602">
        <v>-283.85590000000002</v>
      </c>
      <c r="H602">
        <v>-0.05</v>
      </c>
      <c r="I602">
        <v>366.584</v>
      </c>
      <c r="J602">
        <v>-302.23430000000002</v>
      </c>
      <c r="K602">
        <v>1.0603100000000001</v>
      </c>
      <c r="L602">
        <v>367.62830000000002</v>
      </c>
      <c r="M602">
        <v>0.99992570000000003</v>
      </c>
      <c r="N602">
        <v>-1.214018E-2</v>
      </c>
      <c r="O602">
        <v>1.2517069999999999E-3</v>
      </c>
      <c r="P602">
        <v>0.95543140000000004</v>
      </c>
      <c r="Q602">
        <v>0.2899176</v>
      </c>
      <c r="R602">
        <v>5.5670560000000001E-2</v>
      </c>
      <c r="S602">
        <v>3.2082519999999999</v>
      </c>
      <c r="T602">
        <v>-0.191499</v>
      </c>
      <c r="U602">
        <v>-0.18005370000000001</v>
      </c>
      <c r="V602">
        <v>-5.4463419999999998E-2</v>
      </c>
      <c r="W602">
        <v>0.3014984</v>
      </c>
      <c r="X602">
        <v>0.95190989999999998</v>
      </c>
      <c r="Y602">
        <v>5.7160130000000003E-2</v>
      </c>
      <c r="Z602">
        <v>-2.110116E-3</v>
      </c>
      <c r="AA602">
        <v>0.99836279999999999</v>
      </c>
      <c r="AB602">
        <v>38</v>
      </c>
      <c r="AC602">
        <v>18.378399999999999</v>
      </c>
      <c r="AD602">
        <v>-1.1103099999999999</v>
      </c>
      <c r="AE602">
        <v>-1.04430000000002</v>
      </c>
      <c r="AF602">
        <v>1.0634363705543199</v>
      </c>
      <c r="AG602">
        <v>-1.1103099999999999</v>
      </c>
      <c r="AH602">
        <v>18.310463280505498</v>
      </c>
      <c r="AI602">
        <v>93.464229588473003</v>
      </c>
      <c r="AJ602">
        <v>86.676105577763593</v>
      </c>
      <c r="AK602">
        <v>18.374894578121001</v>
      </c>
      <c r="AL602">
        <v>72.452377318015905</v>
      </c>
      <c r="AM602">
        <v>93.274601639255806</v>
      </c>
      <c r="AN602">
        <v>1.0000000035193299</v>
      </c>
    </row>
    <row r="603" spans="1:40" x14ac:dyDescent="0.25">
      <c r="A603" t="str">
        <f>"20190304164606659"</f>
        <v>20190304164606659</v>
      </c>
      <c r="B603" t="str">
        <f>"1551689166648472"</f>
        <v>1551689166648472</v>
      </c>
      <c r="C603" t="s">
        <v>40</v>
      </c>
      <c r="D603">
        <v>4.2623730000000002</v>
      </c>
      <c r="E603">
        <v>0.55860350000000003</v>
      </c>
      <c r="F603" t="s">
        <v>43</v>
      </c>
      <c r="G603">
        <v>-282.96499999999997</v>
      </c>
      <c r="H603">
        <v>-0.05</v>
      </c>
      <c r="I603">
        <v>366.53730000000002</v>
      </c>
      <c r="J603">
        <v>-302.00810000000001</v>
      </c>
      <c r="K603">
        <v>1.0603279999999999</v>
      </c>
      <c r="L603">
        <v>367.62860000000001</v>
      </c>
      <c r="M603">
        <v>0.99992409999999998</v>
      </c>
      <c r="N603">
        <v>-1.226237E-2</v>
      </c>
      <c r="O603">
        <v>1.2520889999999901E-3</v>
      </c>
      <c r="P603">
        <v>0.95531679999999997</v>
      </c>
      <c r="Q603">
        <v>0.29032989999999997</v>
      </c>
      <c r="R603">
        <v>5.5482339999999998E-2</v>
      </c>
      <c r="S603">
        <v>3.2065429999999999</v>
      </c>
      <c r="T603">
        <v>-0.1847627</v>
      </c>
      <c r="U603">
        <v>-0.18154909999999999</v>
      </c>
      <c r="V603">
        <v>-5.4274629999999997E-2</v>
      </c>
      <c r="W603">
        <v>0.3020253</v>
      </c>
      <c r="X603">
        <v>0.95175359999999998</v>
      </c>
      <c r="Y603">
        <v>5.7660929999999999E-2</v>
      </c>
      <c r="Z603">
        <v>-2.069403E-3</v>
      </c>
      <c r="AA603">
        <v>0.9983341</v>
      </c>
      <c r="AB603">
        <v>38</v>
      </c>
      <c r="AC603">
        <v>19.043099999999999</v>
      </c>
      <c r="AD603">
        <v>-1.110328</v>
      </c>
      <c r="AE603">
        <v>-1.09129999999998</v>
      </c>
      <c r="AF603">
        <v>1.1113787205914301</v>
      </c>
      <c r="AG603">
        <v>-1.110328</v>
      </c>
      <c r="AH603">
        <v>18.977414205312801</v>
      </c>
      <c r="AI603">
        <v>93.342722232936197</v>
      </c>
      <c r="AJ603">
        <v>86.648402049484105</v>
      </c>
      <c r="AK603">
        <v>19.042327611092499</v>
      </c>
      <c r="AL603">
        <v>72.420711364572298</v>
      </c>
      <c r="AM603">
        <v>93.263810001170697</v>
      </c>
      <c r="AN603">
        <v>0.99999996620734199</v>
      </c>
    </row>
    <row r="604" spans="1:40" x14ac:dyDescent="0.25">
      <c r="A604" t="str">
        <f>"20190304164606675"</f>
        <v>20190304164606675</v>
      </c>
      <c r="B604" t="str">
        <f>"1551689166667992"</f>
        <v>1551689166667992</v>
      </c>
      <c r="C604" t="s">
        <v>40</v>
      </c>
      <c r="D604">
        <v>4.2814750000000004</v>
      </c>
      <c r="E604">
        <v>0.5585272</v>
      </c>
      <c r="F604" t="s">
        <v>41</v>
      </c>
      <c r="G604">
        <v>-301.00569999999999</v>
      </c>
      <c r="H604">
        <v>1.003576</v>
      </c>
      <c r="I604">
        <v>367.57159999999999</v>
      </c>
      <c r="J604">
        <v>-301.72620000000001</v>
      </c>
      <c r="K604">
        <v>1.060349</v>
      </c>
      <c r="L604">
        <v>367.62889999999999</v>
      </c>
      <c r="M604">
        <v>0.99992190000000003</v>
      </c>
      <c r="N604">
        <v>-1.2435379999999999E-2</v>
      </c>
      <c r="O604">
        <v>1.252565E-3</v>
      </c>
      <c r="P604">
        <v>0.95522229999999997</v>
      </c>
      <c r="Q604">
        <v>0.29064590000000001</v>
      </c>
      <c r="R604">
        <v>5.5455610000000002E-2</v>
      </c>
      <c r="S604">
        <v>3.2061160000000002</v>
      </c>
      <c r="T604">
        <v>-0.18159130000000001</v>
      </c>
      <c r="U604">
        <v>-0.18194579999999999</v>
      </c>
      <c r="V604">
        <v>-5.4247360000000001E-2</v>
      </c>
      <c r="W604">
        <v>0.30250529999999998</v>
      </c>
      <c r="X604">
        <v>0.95160279999999997</v>
      </c>
      <c r="Y604">
        <v>5.7795140000000002E-2</v>
      </c>
      <c r="Z604">
        <v>-2.0493899999999999E-3</v>
      </c>
      <c r="AA604">
        <v>0.99832639999999995</v>
      </c>
      <c r="AB604">
        <v>38</v>
      </c>
      <c r="AC604">
        <v>0.72050000000001502</v>
      </c>
      <c r="AD604">
        <v>-5.67729999999999E-2</v>
      </c>
      <c r="AE604">
        <v>-5.7299999999997901E-2</v>
      </c>
      <c r="AF604">
        <v>5.7845596809716002E-2</v>
      </c>
      <c r="AG604">
        <v>-5.67729999999999E-2</v>
      </c>
      <c r="AH604">
        <v>0.71600995295823999</v>
      </c>
      <c r="AI604">
        <v>94.518881339931895</v>
      </c>
      <c r="AJ604">
        <v>85.381173114240596</v>
      </c>
      <c r="AK604">
        <v>0.72058277757280098</v>
      </c>
      <c r="AL604">
        <v>72.391861544510206</v>
      </c>
      <c r="AM604">
        <v>93.262689497932598</v>
      </c>
      <c r="AN604">
        <v>1.0000000607814401</v>
      </c>
    </row>
    <row r="605" spans="1:40" x14ac:dyDescent="0.25">
      <c r="A605" t="str">
        <f>"20190304164606697"</f>
        <v>20190304164606697</v>
      </c>
      <c r="B605" t="str">
        <f>"1551689166688487"</f>
        <v>1551689166688487</v>
      </c>
      <c r="C605" t="s">
        <v>40</v>
      </c>
      <c r="D605">
        <v>4.2579760000000002</v>
      </c>
      <c r="E605">
        <v>0.55854239999999999</v>
      </c>
      <c r="F605" t="s">
        <v>41</v>
      </c>
      <c r="G605">
        <v>-300.66680000000002</v>
      </c>
      <c r="H605">
        <v>1.0026250000000001</v>
      </c>
      <c r="I605">
        <v>367.56779999999998</v>
      </c>
      <c r="J605">
        <v>-301.35149999999999</v>
      </c>
      <c r="K605">
        <v>1.060387</v>
      </c>
      <c r="L605">
        <v>367.62939999999998</v>
      </c>
      <c r="M605">
        <v>0.99991890000000005</v>
      </c>
      <c r="N605">
        <v>-1.268624E-2</v>
      </c>
      <c r="O605">
        <v>1.252651E-3</v>
      </c>
      <c r="P605">
        <v>0.95535349999999997</v>
      </c>
      <c r="Q605">
        <v>0.2901589</v>
      </c>
      <c r="R605">
        <v>5.5750670000000002E-2</v>
      </c>
      <c r="S605">
        <v>3.2045590000000002</v>
      </c>
      <c r="T605">
        <v>-0.1749443</v>
      </c>
      <c r="U605">
        <v>-0.184082</v>
      </c>
      <c r="V605">
        <v>-5.4542239999999999E-2</v>
      </c>
      <c r="W605">
        <v>0.30225849999999999</v>
      </c>
      <c r="X605">
        <v>0.95166430000000002</v>
      </c>
      <c r="Y605">
        <v>5.8491719999999997E-2</v>
      </c>
      <c r="Z605">
        <v>-2.0181890000000001E-3</v>
      </c>
      <c r="AA605">
        <v>0.9982858</v>
      </c>
      <c r="AB605">
        <v>38</v>
      </c>
      <c r="AC605">
        <v>0.684699999999963</v>
      </c>
      <c r="AD605">
        <v>-5.7762000000000001E-2</v>
      </c>
      <c r="AE605">
        <v>-6.1599999999998503E-2</v>
      </c>
      <c r="AF605">
        <v>6.2019872496195103E-2</v>
      </c>
      <c r="AG605">
        <v>-5.7762000000000001E-2</v>
      </c>
      <c r="AH605">
        <v>0.67982298521573703</v>
      </c>
      <c r="AI605">
        <v>94.836552953353504</v>
      </c>
      <c r="AJ605">
        <v>84.7873672271961</v>
      </c>
      <c r="AK605">
        <v>0.68508554535625699</v>
      </c>
      <c r="AL605">
        <v>72.406695483814403</v>
      </c>
      <c r="AM605">
        <v>93.280174802529302</v>
      </c>
      <c r="AN605">
        <v>0.99999999833047803</v>
      </c>
    </row>
    <row r="606" spans="1:40" x14ac:dyDescent="0.25">
      <c r="A606" t="str">
        <f>"20190304164606719"</f>
        <v>20190304164606719</v>
      </c>
      <c r="B606" t="str">
        <f>"1551689166708008"</f>
        <v>1551689166708008</v>
      </c>
      <c r="C606" t="s">
        <v>40</v>
      </c>
      <c r="D606">
        <v>4.2827310000000001</v>
      </c>
      <c r="E606">
        <v>0.5586044</v>
      </c>
      <c r="F606" t="s">
        <v>41</v>
      </c>
      <c r="G606">
        <v>-300.32</v>
      </c>
      <c r="H606">
        <v>1.003592</v>
      </c>
      <c r="I606">
        <v>367.57049999999998</v>
      </c>
      <c r="J606">
        <v>-300.98599999999999</v>
      </c>
      <c r="K606">
        <v>1.060422</v>
      </c>
      <c r="L606">
        <v>367.62979999999999</v>
      </c>
      <c r="M606">
        <v>0.99991569999999996</v>
      </c>
      <c r="N606">
        <v>-1.2927050000000001E-2</v>
      </c>
      <c r="O606">
        <v>1.252771E-3</v>
      </c>
      <c r="P606">
        <v>0.95546909999999896</v>
      </c>
      <c r="Q606">
        <v>0.28966190000000003</v>
      </c>
      <c r="R606">
        <v>5.6346979999999998E-2</v>
      </c>
      <c r="S606">
        <v>3.2044679999999999</v>
      </c>
      <c r="T606">
        <v>-0.17654790000000001</v>
      </c>
      <c r="U606">
        <v>-0.18289179999999999</v>
      </c>
      <c r="V606">
        <v>-5.5138399999999997E-2</v>
      </c>
      <c r="W606">
        <v>0.30199209999999999</v>
      </c>
      <c r="X606">
        <v>0.95171450000000002</v>
      </c>
      <c r="Y606">
        <v>5.8122409999999999E-2</v>
      </c>
      <c r="Z606">
        <v>-2.0276830000000002E-3</v>
      </c>
      <c r="AA606">
        <v>0.99830739999999996</v>
      </c>
      <c r="AB606">
        <v>38</v>
      </c>
      <c r="AC606">
        <v>0.66599999999999604</v>
      </c>
      <c r="AD606">
        <v>-5.6829999999999901E-2</v>
      </c>
      <c r="AE606">
        <v>-5.9300000000007402E-2</v>
      </c>
      <c r="AF606">
        <v>5.9703073993907403E-2</v>
      </c>
      <c r="AG606">
        <v>-5.6829999999999901E-2</v>
      </c>
      <c r="AH606">
        <v>0.66114904515633199</v>
      </c>
      <c r="AI606">
        <v>94.8930515125261</v>
      </c>
      <c r="AJ606">
        <v>84.840072219518404</v>
      </c>
      <c r="AK606">
        <v>0.66626733812746097</v>
      </c>
      <c r="AL606">
        <v>72.422707019705598</v>
      </c>
      <c r="AM606">
        <v>93.315773824616699</v>
      </c>
      <c r="AN606">
        <v>0.99999998056360895</v>
      </c>
    </row>
    <row r="607" spans="1:40" x14ac:dyDescent="0.25">
      <c r="A607" t="str">
        <f>"20190304164606743"</f>
        <v>20190304164606743</v>
      </c>
      <c r="B607" t="str">
        <f>"1551689166738264"</f>
        <v>1551689166738264</v>
      </c>
      <c r="C607" t="s">
        <v>40</v>
      </c>
      <c r="D607">
        <v>4.3127449999999996</v>
      </c>
      <c r="E607">
        <v>0.55884319999999998</v>
      </c>
      <c r="F607" t="s">
        <v>43</v>
      </c>
      <c r="G607">
        <v>-281.0849</v>
      </c>
      <c r="H607">
        <v>-0.05</v>
      </c>
      <c r="I607">
        <v>366.5068</v>
      </c>
      <c r="J607">
        <v>-300.57819999999998</v>
      </c>
      <c r="K607">
        <v>1.060451</v>
      </c>
      <c r="L607">
        <v>367.63040000000001</v>
      </c>
      <c r="M607">
        <v>0.99991249999999998</v>
      </c>
      <c r="N607">
        <v>-1.317596E-2</v>
      </c>
      <c r="O607">
        <v>1.2529869999999999E-3</v>
      </c>
      <c r="P607">
        <v>0.95548339999999998</v>
      </c>
      <c r="Q607">
        <v>0.28952640000000002</v>
      </c>
      <c r="R607">
        <v>5.679795E-2</v>
      </c>
      <c r="S607">
        <v>3.2047119999999998</v>
      </c>
      <c r="T607">
        <v>-0.17881359999999999</v>
      </c>
      <c r="U607">
        <v>-0.18084720000000001</v>
      </c>
      <c r="V607">
        <v>-5.5588970000000001E-2</v>
      </c>
      <c r="W607">
        <v>0.30209390000000003</v>
      </c>
      <c r="X607">
        <v>0.95165599999999995</v>
      </c>
      <c r="Y607">
        <v>5.7481669999999999E-2</v>
      </c>
      <c r="Z607">
        <v>-2.0338230000000001E-3</v>
      </c>
      <c r="AA607">
        <v>0.99834449999999997</v>
      </c>
      <c r="AB607">
        <v>38</v>
      </c>
      <c r="AC607">
        <v>19.493299999999898</v>
      </c>
      <c r="AD607">
        <v>-1.1104510000000001</v>
      </c>
      <c r="AE607">
        <v>-1.1236000000000099</v>
      </c>
      <c r="AF607">
        <v>1.1443249355447001</v>
      </c>
      <c r="AG607">
        <v>-1.1104510000000001</v>
      </c>
      <c r="AH607">
        <v>19.429036335197299</v>
      </c>
      <c r="AI607">
        <v>93.2654889184723</v>
      </c>
      <c r="AJ607">
        <v>86.629306162950598</v>
      </c>
      <c r="AK607">
        <v>19.4943590275732</v>
      </c>
      <c r="AL607">
        <v>72.416588897407394</v>
      </c>
      <c r="AM607">
        <v>93.343012891064404</v>
      </c>
      <c r="AN607">
        <v>1.00000000016943</v>
      </c>
    </row>
    <row r="608" spans="1:40" x14ac:dyDescent="0.25">
      <c r="A608" t="str">
        <f>"20190304164606766"</f>
        <v>20190304164606766</v>
      </c>
      <c r="B608" t="str">
        <f>"1551689166758384"</f>
        <v>1551689166758384</v>
      </c>
      <c r="C608" t="s">
        <v>40</v>
      </c>
      <c r="D608">
        <v>4.3280529999999997</v>
      </c>
      <c r="E608">
        <v>0.55899560000000004</v>
      </c>
      <c r="F608" t="s">
        <v>43</v>
      </c>
      <c r="G608">
        <v>-280.9794</v>
      </c>
      <c r="H608">
        <v>-0.05</v>
      </c>
      <c r="I608">
        <v>366.52760000000001</v>
      </c>
      <c r="J608">
        <v>-300.19589999999999</v>
      </c>
      <c r="K608">
        <v>1.0604690000000001</v>
      </c>
      <c r="L608">
        <v>367.6309</v>
      </c>
      <c r="M608">
        <v>0.99990959999999995</v>
      </c>
      <c r="N608">
        <v>-1.3387970000000001E-2</v>
      </c>
      <c r="O608">
        <v>1.25348E-3</v>
      </c>
      <c r="P608">
        <v>0.95541980000000004</v>
      </c>
      <c r="Q608">
        <v>0.28960940000000002</v>
      </c>
      <c r="R608">
        <v>5.7441770000000003E-2</v>
      </c>
      <c r="S608">
        <v>3.205505</v>
      </c>
      <c r="T608">
        <v>-0.1816219</v>
      </c>
      <c r="U608">
        <v>-0.18035889999999999</v>
      </c>
      <c r="V608">
        <v>-5.6232560000000001E-2</v>
      </c>
      <c r="W608">
        <v>0.30237750000000002</v>
      </c>
      <c r="X608">
        <v>0.95152809999999999</v>
      </c>
      <c r="Y608">
        <v>5.731352E-2</v>
      </c>
      <c r="Z608">
        <v>-2.0596E-3</v>
      </c>
      <c r="AA608">
        <v>0.99835410000000002</v>
      </c>
      <c r="AB608">
        <v>38</v>
      </c>
      <c r="AC608">
        <v>19.2165</v>
      </c>
      <c r="AD608">
        <v>-1.1104689999999999</v>
      </c>
      <c r="AE608">
        <v>-1.10329999999999</v>
      </c>
      <c r="AF608">
        <v>1.12364884148545</v>
      </c>
      <c r="AG608">
        <v>-1.1104689999999999</v>
      </c>
      <c r="AH608">
        <v>19.151358498910799</v>
      </c>
      <c r="AI608">
        <v>93.3128282098114</v>
      </c>
      <c r="AJ608">
        <v>86.642190470515899</v>
      </c>
      <c r="AK608">
        <v>19.216406023831201</v>
      </c>
      <c r="AL608">
        <v>72.399542415215095</v>
      </c>
      <c r="AM608">
        <v>93.382081326187901</v>
      </c>
      <c r="AN608">
        <v>0.99999998920000599</v>
      </c>
    </row>
    <row r="609" spans="1:40" x14ac:dyDescent="0.25">
      <c r="A609" t="str">
        <f>"20190304164606786"</f>
        <v>20190304164606786</v>
      </c>
      <c r="B609" t="str">
        <f>"1551689166778880"</f>
        <v>1551689166778880</v>
      </c>
      <c r="C609" t="s">
        <v>40</v>
      </c>
      <c r="D609">
        <v>4.3141559999999997</v>
      </c>
      <c r="E609">
        <v>0.55910179999999998</v>
      </c>
      <c r="F609" t="s">
        <v>43</v>
      </c>
      <c r="G609">
        <v>-280.76530000000002</v>
      </c>
      <c r="H609">
        <v>-0.05</v>
      </c>
      <c r="I609">
        <v>366.54340000000002</v>
      </c>
      <c r="J609">
        <v>-299.8304</v>
      </c>
      <c r="K609">
        <v>1.060489</v>
      </c>
      <c r="L609">
        <v>367.63130000000001</v>
      </c>
      <c r="M609">
        <v>0.9999072</v>
      </c>
      <c r="N609">
        <v>-1.35713E-2</v>
      </c>
      <c r="O609">
        <v>1.25373E-3</v>
      </c>
      <c r="P609">
        <v>0.95546050000000005</v>
      </c>
      <c r="Q609">
        <v>0.2894835</v>
      </c>
      <c r="R609">
        <v>5.7399949999999998E-2</v>
      </c>
      <c r="S609">
        <v>3.2063290000000002</v>
      </c>
      <c r="T609">
        <v>-0.18324280000000001</v>
      </c>
      <c r="U609">
        <v>-0.1794434</v>
      </c>
      <c r="V609">
        <v>-5.6189910000000003E-2</v>
      </c>
      <c r="W609">
        <v>0.30242709999999901</v>
      </c>
      <c r="X609">
        <v>0.95151490000000005</v>
      </c>
      <c r="Y609">
        <v>5.7013710000000002E-2</v>
      </c>
      <c r="Z609">
        <v>-2.0687090000000002E-3</v>
      </c>
      <c r="AA609">
        <v>0.99837120000000001</v>
      </c>
      <c r="AB609">
        <v>38</v>
      </c>
      <c r="AC609">
        <v>19.065099999999902</v>
      </c>
      <c r="AD609">
        <v>-1.1104889999999901</v>
      </c>
      <c r="AE609">
        <v>-1.0878999999999901</v>
      </c>
      <c r="AF609">
        <v>1.10805668713213</v>
      </c>
      <c r="AG609">
        <v>-1.1104889999999901</v>
      </c>
      <c r="AH609">
        <v>18.999469936792099</v>
      </c>
      <c r="AI609">
        <v>93.339380750907793</v>
      </c>
      <c r="AJ609">
        <v>86.662267967317504</v>
      </c>
      <c r="AK609">
        <v>19.064124247394201</v>
      </c>
      <c r="AL609">
        <v>72.396561710998398</v>
      </c>
      <c r="AM609">
        <v>93.379568883527696</v>
      </c>
      <c r="AN609">
        <v>1.0000000308611099</v>
      </c>
    </row>
    <row r="610" spans="1:40" x14ac:dyDescent="0.25">
      <c r="A610" t="str">
        <f>"20190304164606808"</f>
        <v>20190304164606808</v>
      </c>
      <c r="B610" t="str">
        <f>"1551689166798400"</f>
        <v>1551689166798400</v>
      </c>
      <c r="C610" t="s">
        <v>40</v>
      </c>
      <c r="D610">
        <v>4.2556469999999997</v>
      </c>
      <c r="E610">
        <v>0.559071599999999</v>
      </c>
      <c r="F610" t="s">
        <v>43</v>
      </c>
      <c r="G610">
        <v>-280.55340000000001</v>
      </c>
      <c r="H610">
        <v>-0.05</v>
      </c>
      <c r="I610">
        <v>366.54849999999999</v>
      </c>
      <c r="J610">
        <v>-299.46600000000001</v>
      </c>
      <c r="K610">
        <v>1.060497</v>
      </c>
      <c r="L610">
        <v>367.6318</v>
      </c>
      <c r="M610">
        <v>0.99990500000000004</v>
      </c>
      <c r="N610">
        <v>-1.373569E-2</v>
      </c>
      <c r="O610">
        <v>1.254093E-3</v>
      </c>
      <c r="P610">
        <v>0.95550889999999999</v>
      </c>
      <c r="Q610">
        <v>0.28933900000000001</v>
      </c>
      <c r="R610">
        <v>5.7319559999999999E-2</v>
      </c>
      <c r="S610">
        <v>3.2065730000000001</v>
      </c>
      <c r="T610">
        <v>-0.18472060000000001</v>
      </c>
      <c r="U610">
        <v>-0.18011469999999999</v>
      </c>
      <c r="V610">
        <v>-5.6109340000000001E-2</v>
      </c>
      <c r="W610">
        <v>0.30243979999999998</v>
      </c>
      <c r="X610">
        <v>0.95151560000000002</v>
      </c>
      <c r="Y610">
        <v>5.721586E-2</v>
      </c>
      <c r="Z610">
        <v>-2.0939610000000001E-3</v>
      </c>
      <c r="AA610">
        <v>0.99835960000000001</v>
      </c>
      <c r="AB610">
        <v>38</v>
      </c>
      <c r="AC610">
        <v>18.912600000000001</v>
      </c>
      <c r="AD610">
        <v>-1.1104969999999901</v>
      </c>
      <c r="AE610">
        <v>-1.0832999999999999</v>
      </c>
      <c r="AF610">
        <v>1.1032283553398601</v>
      </c>
      <c r="AG610">
        <v>-1.1104969999999901</v>
      </c>
      <c r="AH610">
        <v>18.846461556165298</v>
      </c>
      <c r="AI610">
        <v>93.366411709259495</v>
      </c>
      <c r="AJ610">
        <v>86.649860433323894</v>
      </c>
      <c r="AK610">
        <v>18.911357158571501</v>
      </c>
      <c r="AL610">
        <v>72.395797995453407</v>
      </c>
      <c r="AM610">
        <v>93.374731693579506</v>
      </c>
      <c r="AN610">
        <v>1.0000000138513101</v>
      </c>
    </row>
    <row r="611" spans="1:40" x14ac:dyDescent="0.25">
      <c r="A611" t="str">
        <f>"20190304164606831"</f>
        <v>20190304164606831</v>
      </c>
      <c r="B611" t="str">
        <f>"1551689166818896"</f>
        <v>1551689166818896</v>
      </c>
      <c r="C611" t="s">
        <v>40</v>
      </c>
      <c r="D611">
        <v>4.2360340000000001</v>
      </c>
      <c r="E611">
        <v>0.55905499999999997</v>
      </c>
      <c r="F611" t="s">
        <v>43</v>
      </c>
      <c r="G611">
        <v>-280.2561</v>
      </c>
      <c r="H611">
        <v>-0.05</v>
      </c>
      <c r="I611">
        <v>366.54930000000002</v>
      </c>
      <c r="J611">
        <v>-299.07979999999998</v>
      </c>
      <c r="K611">
        <v>1.060505</v>
      </c>
      <c r="L611">
        <v>367.63229999999999</v>
      </c>
      <c r="M611">
        <v>0.99990279999999998</v>
      </c>
      <c r="N611">
        <v>-1.3890670000000001E-2</v>
      </c>
      <c r="O611">
        <v>1.25421E-3</v>
      </c>
      <c r="P611">
        <v>0.9555053</v>
      </c>
      <c r="Q611">
        <v>0.28943029999999997</v>
      </c>
      <c r="R611">
        <v>5.6918829999999997E-2</v>
      </c>
      <c r="S611">
        <v>3.2066349999999999</v>
      </c>
      <c r="T611">
        <v>-0.18537120000000001</v>
      </c>
      <c r="U611">
        <v>-0.18069460000000001</v>
      </c>
      <c r="V611">
        <v>-5.570837E-2</v>
      </c>
      <c r="W611">
        <v>0.30267840000000001</v>
      </c>
      <c r="X611">
        <v>0.95146330000000001</v>
      </c>
      <c r="Y611">
        <v>5.7393510000000002E-2</v>
      </c>
      <c r="Z611">
        <v>-2.1105799999999999E-3</v>
      </c>
      <c r="AA611">
        <v>0.99834940000000005</v>
      </c>
      <c r="AB611">
        <v>38</v>
      </c>
      <c r="AC611">
        <v>18.823699999999899</v>
      </c>
      <c r="AD611">
        <v>-1.1105049999999901</v>
      </c>
      <c r="AE611">
        <v>-1.08299999999997</v>
      </c>
      <c r="AF611">
        <v>1.10278481118178</v>
      </c>
      <c r="AG611">
        <v>-1.1105049999999901</v>
      </c>
      <c r="AH611">
        <v>18.757259086058699</v>
      </c>
      <c r="AI611">
        <v>93.382358069483701</v>
      </c>
      <c r="AJ611">
        <v>86.635315153715396</v>
      </c>
      <c r="AK611">
        <v>18.822436721007499</v>
      </c>
      <c r="AL611">
        <v>72.381455154875198</v>
      </c>
      <c r="AM611">
        <v>93.350854003768902</v>
      </c>
      <c r="AN611">
        <v>1.00000002378075</v>
      </c>
    </row>
    <row r="612" spans="1:40" x14ac:dyDescent="0.25">
      <c r="A612" t="str">
        <f>"20190304164606854"</f>
        <v>20190304164606854</v>
      </c>
      <c r="B612" t="str">
        <f>"1551689166848961"</f>
        <v>1551689166848961</v>
      </c>
      <c r="C612" t="s">
        <v>40</v>
      </c>
      <c r="D612">
        <v>4.2803339999999999</v>
      </c>
      <c r="E612">
        <v>0.55912790000000001</v>
      </c>
      <c r="F612" t="s">
        <v>43</v>
      </c>
      <c r="G612">
        <v>-279.80770000000001</v>
      </c>
      <c r="H612">
        <v>-0.05</v>
      </c>
      <c r="I612">
        <v>366.54160000000002</v>
      </c>
      <c r="J612">
        <v>-298.68639999999999</v>
      </c>
      <c r="K612">
        <v>1.060511</v>
      </c>
      <c r="L612">
        <v>367.63279999999997</v>
      </c>
      <c r="M612">
        <v>0.99990089999999998</v>
      </c>
      <c r="N612">
        <v>-1.4029359999999999E-2</v>
      </c>
      <c r="O612">
        <v>1.254252E-3</v>
      </c>
      <c r="P612">
        <v>0.95551779999999997</v>
      </c>
      <c r="Q612">
        <v>0.2893889</v>
      </c>
      <c r="R612">
        <v>5.6921529999999998E-2</v>
      </c>
      <c r="S612">
        <v>3.2064819999999998</v>
      </c>
      <c r="T612">
        <v>-0.1847657</v>
      </c>
      <c r="U612">
        <v>-0.18145749999999999</v>
      </c>
      <c r="V612">
        <v>-5.5711219999999999E-2</v>
      </c>
      <c r="W612">
        <v>0.30276930000000002</v>
      </c>
      <c r="X612">
        <v>0.95143420000000001</v>
      </c>
      <c r="Y612">
        <v>5.7632990000000002E-2</v>
      </c>
      <c r="Z612">
        <v>-2.1174010000000001E-3</v>
      </c>
      <c r="AA612">
        <v>0.99833559999999999</v>
      </c>
      <c r="AB612">
        <v>38</v>
      </c>
      <c r="AC612">
        <v>18.878699999999899</v>
      </c>
      <c r="AD612">
        <v>-1.110511</v>
      </c>
      <c r="AE612">
        <v>-1.09119999999995</v>
      </c>
      <c r="AF612">
        <v>1.11104846504488</v>
      </c>
      <c r="AG612">
        <v>-1.110511</v>
      </c>
      <c r="AH612">
        <v>18.812438272536902</v>
      </c>
      <c r="AI612">
        <v>93.372425591746506</v>
      </c>
      <c r="AJ612">
        <v>86.620080390711095</v>
      </c>
      <c r="AK612">
        <v>18.877910295655401</v>
      </c>
      <c r="AL612">
        <v>72.375990364316806</v>
      </c>
      <c r="AM612">
        <v>93.351127299266693</v>
      </c>
      <c r="AN612">
        <v>1.000000012993</v>
      </c>
    </row>
    <row r="613" spans="1:40" x14ac:dyDescent="0.25">
      <c r="A613" t="str">
        <f>"20190304164606876"</f>
        <v>20190304164606876</v>
      </c>
      <c r="B613" t="str">
        <f>"1551689166868484"</f>
        <v>1551689166868484</v>
      </c>
      <c r="C613" t="s">
        <v>40</v>
      </c>
      <c r="D613">
        <v>4.313822</v>
      </c>
      <c r="E613">
        <v>0.55926109999999996</v>
      </c>
      <c r="F613" t="s">
        <v>43</v>
      </c>
      <c r="G613">
        <v>-279.59550000000002</v>
      </c>
      <c r="H613">
        <v>-0.05</v>
      </c>
      <c r="I613">
        <v>366.5471</v>
      </c>
      <c r="J613">
        <v>-298.31610000000001</v>
      </c>
      <c r="K613">
        <v>1.060519</v>
      </c>
      <c r="L613">
        <v>367.63319999999999</v>
      </c>
      <c r="M613">
        <v>0.99989930000000005</v>
      </c>
      <c r="N613">
        <v>-1.414229E-2</v>
      </c>
      <c r="O613">
        <v>1.254645E-3</v>
      </c>
      <c r="P613">
        <v>0.95551090000000005</v>
      </c>
      <c r="Q613">
        <v>0.2894158</v>
      </c>
      <c r="R613">
        <v>5.6903120000000001E-2</v>
      </c>
      <c r="S613">
        <v>3.2070620000000001</v>
      </c>
      <c r="T613">
        <v>-0.18655340000000001</v>
      </c>
      <c r="U613">
        <v>-0.18237300000000001</v>
      </c>
      <c r="V613">
        <v>-5.569284E-2</v>
      </c>
      <c r="W613">
        <v>0.30290280000000003</v>
      </c>
      <c r="X613">
        <v>0.95139280000000004</v>
      </c>
      <c r="Y613">
        <v>5.7904459999999998E-2</v>
      </c>
      <c r="Z613">
        <v>-2.1467359999999998E-3</v>
      </c>
      <c r="AA613">
        <v>0.99831979999999998</v>
      </c>
      <c r="AB613">
        <v>38</v>
      </c>
      <c r="AC613">
        <v>18.720599999999902</v>
      </c>
      <c r="AD613">
        <v>-1.110519</v>
      </c>
      <c r="AE613">
        <v>-1.0860999999999801</v>
      </c>
      <c r="AF613">
        <v>1.1057113145569699</v>
      </c>
      <c r="AG613">
        <v>-1.110519</v>
      </c>
      <c r="AH613">
        <v>18.653800961640801</v>
      </c>
      <c r="AI613">
        <v>93.401019835700296</v>
      </c>
      <c r="AJ613">
        <v>86.607739629951993</v>
      </c>
      <c r="AK613">
        <v>18.719512287370399</v>
      </c>
      <c r="AL613">
        <v>72.367964801565705</v>
      </c>
      <c r="AM613">
        <v>93.350169673318305</v>
      </c>
      <c r="AN613">
        <v>1.0000000292834701</v>
      </c>
    </row>
    <row r="614" spans="1:40" x14ac:dyDescent="0.25">
      <c r="A614" t="str">
        <f>"20190304164606897"</f>
        <v>20190304164606897</v>
      </c>
      <c r="B614" t="str">
        <f>"1551689166888001"</f>
        <v>1551689166888001</v>
      </c>
      <c r="C614" t="s">
        <v>40</v>
      </c>
      <c r="D614">
        <v>4.2856829999999997</v>
      </c>
      <c r="E614">
        <v>0.55935679999999999</v>
      </c>
      <c r="F614" t="s">
        <v>41</v>
      </c>
      <c r="G614">
        <v>-297.27330000000001</v>
      </c>
      <c r="H614">
        <v>0.99931340000000002</v>
      </c>
      <c r="I614">
        <v>367.57380000000001</v>
      </c>
      <c r="J614">
        <v>-297.94670000000002</v>
      </c>
      <c r="K614">
        <v>1.0605230000000001</v>
      </c>
      <c r="L614">
        <v>367.63369999999998</v>
      </c>
      <c r="M614">
        <v>0.99989779999999995</v>
      </c>
      <c r="N614">
        <v>-1.4240630000000001E-2</v>
      </c>
      <c r="O614">
        <v>1.2547789999999999E-3</v>
      </c>
      <c r="P614">
        <v>0.9555015</v>
      </c>
      <c r="Q614">
        <v>0.28954819999999998</v>
      </c>
      <c r="R614">
        <v>5.638191E-2</v>
      </c>
      <c r="S614">
        <v>3.207611</v>
      </c>
      <c r="T614">
        <v>-0.18834999999999999</v>
      </c>
      <c r="U614">
        <v>-0.1824646</v>
      </c>
      <c r="V614">
        <v>-5.5171070000000003E-2</v>
      </c>
      <c r="W614">
        <v>0.30312869999999997</v>
      </c>
      <c r="X614">
        <v>0.95135119999999895</v>
      </c>
      <c r="Y614">
        <v>5.7921E-2</v>
      </c>
      <c r="Z614">
        <v>-2.1666440000000001E-3</v>
      </c>
      <c r="AA614">
        <v>0.99831879999999995</v>
      </c>
      <c r="AB614">
        <v>38</v>
      </c>
      <c r="AC614">
        <v>0.67340000000001499</v>
      </c>
      <c r="AD614">
        <v>-6.1209599999999802E-2</v>
      </c>
      <c r="AE614">
        <v>-5.9899999999970498E-2</v>
      </c>
      <c r="AF614">
        <v>6.0251111135251299E-2</v>
      </c>
      <c r="AG614">
        <v>-6.1209599999999802E-2</v>
      </c>
      <c r="AH614">
        <v>0.667849745648741</v>
      </c>
      <c r="AI614">
        <v>95.215564425168296</v>
      </c>
      <c r="AJ614">
        <v>84.844927021549495</v>
      </c>
      <c r="AK614">
        <v>0.67334990479562695</v>
      </c>
      <c r="AL614">
        <v>72.354382266701293</v>
      </c>
      <c r="AM614">
        <v>93.318998200633402</v>
      </c>
      <c r="AN614">
        <v>0.99999998073503704</v>
      </c>
    </row>
    <row r="615" spans="1:40" x14ac:dyDescent="0.25">
      <c r="A615" t="str">
        <f>"20190304164606920"</f>
        <v>20190304164606920</v>
      </c>
      <c r="B615" t="str">
        <f>"1551689166908496"</f>
        <v>1551689166908496</v>
      </c>
      <c r="C615" t="s">
        <v>40</v>
      </c>
      <c r="D615">
        <v>4.309545</v>
      </c>
      <c r="E615">
        <v>0.55936969999999997</v>
      </c>
      <c r="F615" t="s">
        <v>41</v>
      </c>
      <c r="G615">
        <v>-296.93430000000001</v>
      </c>
      <c r="H615">
        <v>1.000942</v>
      </c>
      <c r="I615">
        <v>367.5752</v>
      </c>
      <c r="J615">
        <v>-297.57799999999997</v>
      </c>
      <c r="K615">
        <v>1.0605260000000001</v>
      </c>
      <c r="L615">
        <v>367.63420000000002</v>
      </c>
      <c r="M615">
        <v>0.99989660000000002</v>
      </c>
      <c r="N615">
        <v>-1.432625E-2</v>
      </c>
      <c r="O615">
        <v>1.25482E-3</v>
      </c>
      <c r="P615">
        <v>0.95552619999999999</v>
      </c>
      <c r="Q615">
        <v>0.2894755</v>
      </c>
      <c r="R615">
        <v>5.6335540000000003E-2</v>
      </c>
      <c r="S615">
        <v>3.2078859999999998</v>
      </c>
      <c r="T615">
        <v>-0.18898590000000001</v>
      </c>
      <c r="U615">
        <v>-0.18490599999999999</v>
      </c>
      <c r="V615">
        <v>-5.5125059999999997E-2</v>
      </c>
      <c r="W615">
        <v>0.30313830000000003</v>
      </c>
      <c r="X615">
        <v>0.95135080000000005</v>
      </c>
      <c r="Y615">
        <v>5.8670989999999999E-2</v>
      </c>
      <c r="Z615">
        <v>-2.2022529999999999E-3</v>
      </c>
      <c r="AA615">
        <v>0.99827489999999997</v>
      </c>
      <c r="AB615">
        <v>38</v>
      </c>
      <c r="AC615">
        <v>0.64369999999996697</v>
      </c>
      <c r="AD615">
        <v>-5.9583999999999998E-2</v>
      </c>
      <c r="AE615">
        <v>-5.90000000000259E-2</v>
      </c>
      <c r="AF615">
        <v>5.9303866819117597E-2</v>
      </c>
      <c r="AG615">
        <v>-5.9583999999999998E-2</v>
      </c>
      <c r="AH615">
        <v>0.63820272554746904</v>
      </c>
      <c r="AI615">
        <v>95.311048830470895</v>
      </c>
      <c r="AJ615">
        <v>84.691135545308498</v>
      </c>
      <c r="AK615">
        <v>0.64371571409428696</v>
      </c>
      <c r="AL615">
        <v>72.353804926403996</v>
      </c>
      <c r="AM615">
        <v>93.316237888163997</v>
      </c>
      <c r="AN615">
        <v>0.99999997291376597</v>
      </c>
    </row>
    <row r="616" spans="1:40" x14ac:dyDescent="0.25">
      <c r="A616" t="str">
        <f>"20190304164606945"</f>
        <v>20190304164606945</v>
      </c>
      <c r="B616" t="str">
        <f>"1551689166938752"</f>
        <v>1551689166938752</v>
      </c>
      <c r="C616" t="s">
        <v>40</v>
      </c>
      <c r="D616">
        <v>4.2032109999999996</v>
      </c>
      <c r="E616">
        <v>0.55947100000000005</v>
      </c>
      <c r="F616" t="s">
        <v>41</v>
      </c>
      <c r="G616">
        <v>-296.5924</v>
      </c>
      <c r="H616">
        <v>1.002364</v>
      </c>
      <c r="I616">
        <v>367.577</v>
      </c>
      <c r="J616">
        <v>-297.16699999999997</v>
      </c>
      <c r="K616">
        <v>1.060527</v>
      </c>
      <c r="L616">
        <v>367.63470000000001</v>
      </c>
      <c r="M616">
        <v>0.99989550000000005</v>
      </c>
      <c r="N616">
        <v>-1.4408199999999999E-2</v>
      </c>
      <c r="O616">
        <v>1.2551229999999999E-3</v>
      </c>
      <c r="P616">
        <v>0.95546229999999999</v>
      </c>
      <c r="Q616">
        <v>0.28967579999999998</v>
      </c>
      <c r="R616">
        <v>5.6390080000000002E-2</v>
      </c>
      <c r="S616">
        <v>3.2079770000000001</v>
      </c>
      <c r="T616">
        <v>-0.18955159999999999</v>
      </c>
      <c r="U616">
        <v>-0.18505859999999999</v>
      </c>
      <c r="V616">
        <v>-5.5178940000000003E-2</v>
      </c>
      <c r="W616">
        <v>0.30341509999999999</v>
      </c>
      <c r="X616">
        <v>0.95125950000000004</v>
      </c>
      <c r="Y616">
        <v>5.8716049999999999E-2</v>
      </c>
      <c r="Z616">
        <v>-2.2115530000000002E-3</v>
      </c>
      <c r="AA616">
        <v>0.9982723</v>
      </c>
      <c r="AB616">
        <v>38</v>
      </c>
      <c r="AC616">
        <v>0.57460000000003197</v>
      </c>
      <c r="AD616">
        <v>-5.8162999999999902E-2</v>
      </c>
      <c r="AE616">
        <v>-5.7700000000011097E-2</v>
      </c>
      <c r="AF616">
        <v>5.7834555041732197E-2</v>
      </c>
      <c r="AG616">
        <v>-5.8162999999999902E-2</v>
      </c>
      <c r="AH616">
        <v>0.568757697623686</v>
      </c>
      <c r="AI616">
        <v>95.809203991318398</v>
      </c>
      <c r="AJ616">
        <v>84.193792651623795</v>
      </c>
      <c r="AK616">
        <v>0.57464170483186405</v>
      </c>
      <c r="AL616">
        <v>72.337162770719104</v>
      </c>
      <c r="AM616">
        <v>93.319789864229094</v>
      </c>
      <c r="AN616">
        <v>1.00000003733389</v>
      </c>
    </row>
    <row r="617" spans="1:40" x14ac:dyDescent="0.25">
      <c r="A617" t="str">
        <f>"20190304164606966"</f>
        <v>20190304164606966</v>
      </c>
      <c r="B617" t="str">
        <f>"1551689166958913"</f>
        <v>1551689166958913</v>
      </c>
      <c r="C617" t="s">
        <v>40</v>
      </c>
      <c r="D617">
        <v>4.1631320000000001</v>
      </c>
      <c r="E617">
        <v>0.55949469999999901</v>
      </c>
      <c r="F617" t="s">
        <v>42</v>
      </c>
      <c r="G617">
        <v>-279.20310000000001</v>
      </c>
      <c r="H617" s="1">
        <v>-1.059316E-6</v>
      </c>
      <c r="I617">
        <v>366.60180000000003</v>
      </c>
      <c r="J617">
        <v>-296.80040000000002</v>
      </c>
      <c r="K617">
        <v>1.0605329999999999</v>
      </c>
      <c r="L617">
        <v>367.63510000000002</v>
      </c>
      <c r="M617">
        <v>0.99989459999999997</v>
      </c>
      <c r="N617">
        <v>-1.447113E-2</v>
      </c>
      <c r="O617">
        <v>1.255501E-3</v>
      </c>
      <c r="P617">
        <v>0.95538719999999999</v>
      </c>
      <c r="Q617">
        <v>0.2899853</v>
      </c>
      <c r="R617">
        <v>5.6070769999999999E-2</v>
      </c>
      <c r="S617">
        <v>3.2081599999999999</v>
      </c>
      <c r="T617">
        <v>-0.18939890000000001</v>
      </c>
      <c r="U617">
        <v>-0.18444820000000001</v>
      </c>
      <c r="V617">
        <v>-5.4859640000000001E-2</v>
      </c>
      <c r="W617">
        <v>0.30378339999999998</v>
      </c>
      <c r="X617">
        <v>0.95116040000000002</v>
      </c>
      <c r="Y617">
        <v>5.8524380000000001E-2</v>
      </c>
      <c r="Z617">
        <v>-2.2047569999999999E-3</v>
      </c>
      <c r="AA617">
        <v>0.99828360000000005</v>
      </c>
      <c r="AB617">
        <v>38</v>
      </c>
      <c r="AC617">
        <v>17.597300000000001</v>
      </c>
      <c r="AD617">
        <v>-1.060534059316</v>
      </c>
      <c r="AE617">
        <v>-1.0332999999999899</v>
      </c>
      <c r="AF617">
        <v>1.0515885794261199</v>
      </c>
      <c r="AG617">
        <v>-1.060534059316</v>
      </c>
      <c r="AH617">
        <v>17.5325276920926</v>
      </c>
      <c r="AI617">
        <v>93.455381229085702</v>
      </c>
      <c r="AJ617">
        <v>86.567551924297902</v>
      </c>
      <c r="AK617">
        <v>17.5960250711728</v>
      </c>
      <c r="AL617">
        <v>72.315015064856198</v>
      </c>
      <c r="AM617">
        <v>93.3009651969207</v>
      </c>
      <c r="AN617">
        <v>1.0000000203723201</v>
      </c>
    </row>
    <row r="618" spans="1:40" x14ac:dyDescent="0.25">
      <c r="A618" t="str">
        <f>"20190304164606987"</f>
        <v>20190304164606987</v>
      </c>
      <c r="B618" t="str">
        <f>"1551689166978436"</f>
        <v>1551689166978436</v>
      </c>
      <c r="C618" t="s">
        <v>40</v>
      </c>
      <c r="D618">
        <v>4.2789929999999998</v>
      </c>
      <c r="E618">
        <v>0.55953450000000005</v>
      </c>
      <c r="F618" t="s">
        <v>42</v>
      </c>
      <c r="G618">
        <v>-278.63760000000002</v>
      </c>
      <c r="H618" s="1">
        <v>-1.2570960000000001E-6</v>
      </c>
      <c r="I618">
        <v>366.58179999999999</v>
      </c>
      <c r="J618">
        <v>-296.44450000000001</v>
      </c>
      <c r="K618">
        <v>1.0605359999999999</v>
      </c>
      <c r="L618">
        <v>367.63560000000001</v>
      </c>
      <c r="M618">
        <v>0.99989380000000005</v>
      </c>
      <c r="N618">
        <v>-1.452381E-2</v>
      </c>
      <c r="O618">
        <v>1.2555940000000001E-3</v>
      </c>
      <c r="P618">
        <v>0.95524399999999998</v>
      </c>
      <c r="Q618">
        <v>0.29043909999999901</v>
      </c>
      <c r="R618">
        <v>5.61643E-2</v>
      </c>
      <c r="S618">
        <v>3.2078859999999998</v>
      </c>
      <c r="T618">
        <v>-0.18730949999999999</v>
      </c>
      <c r="U618">
        <v>-0.18603520000000001</v>
      </c>
      <c r="V618">
        <v>-5.4953370000000001E-2</v>
      </c>
      <c r="W618">
        <v>0.30428549999999999</v>
      </c>
      <c r="X618">
        <v>0.95099449999999996</v>
      </c>
      <c r="Y618">
        <v>5.9022940000000003E-2</v>
      </c>
      <c r="Z618">
        <v>-2.204714E-3</v>
      </c>
      <c r="AA618">
        <v>0.99825419999999998</v>
      </c>
      <c r="AB618">
        <v>38</v>
      </c>
      <c r="AC618">
        <v>17.806899999999899</v>
      </c>
      <c r="AD618">
        <v>-1.0605372570960001</v>
      </c>
      <c r="AE618">
        <v>-1.0538000000000201</v>
      </c>
      <c r="AF618">
        <v>1.0723692216926599</v>
      </c>
      <c r="AG618">
        <v>-1.0605372570960001</v>
      </c>
      <c r="AH618">
        <v>17.742846410808799</v>
      </c>
      <c r="AI618">
        <v>93.414435817747503</v>
      </c>
      <c r="AJ618">
        <v>86.541277664200905</v>
      </c>
      <c r="AK618">
        <v>17.806833345063701</v>
      </c>
      <c r="AL618">
        <v>72.2848176600599</v>
      </c>
      <c r="AM618">
        <v>93.307168082482903</v>
      </c>
      <c r="AN618">
        <v>1.0000000387074199</v>
      </c>
    </row>
    <row r="619" spans="1:40" x14ac:dyDescent="0.25">
      <c r="A619" t="str">
        <f>"20190304164607009"</f>
        <v>20190304164607009</v>
      </c>
      <c r="B619" t="str">
        <f>"1551689166998929"</f>
        <v>1551689166998929</v>
      </c>
      <c r="C619" t="s">
        <v>40</v>
      </c>
      <c r="D619">
        <v>4.1982670000000004</v>
      </c>
      <c r="E619">
        <v>0.55958929999999996</v>
      </c>
      <c r="F619" t="s">
        <v>42</v>
      </c>
      <c r="G619">
        <v>-278.14729999999997</v>
      </c>
      <c r="H619" s="1">
        <v>-1.4272310000000001E-6</v>
      </c>
      <c r="I619">
        <v>366.56939999999997</v>
      </c>
      <c r="J619">
        <v>-296.07589999999999</v>
      </c>
      <c r="K619">
        <v>1.0605439999999999</v>
      </c>
      <c r="L619">
        <v>367.63600000000002</v>
      </c>
      <c r="M619">
        <v>0.99989320000000004</v>
      </c>
      <c r="N619">
        <v>-1.457082E-2</v>
      </c>
      <c r="O619">
        <v>1.2556080000000001E-3</v>
      </c>
      <c r="P619">
        <v>0.95530470000000001</v>
      </c>
      <c r="Q619">
        <v>0.2902477</v>
      </c>
      <c r="R619">
        <v>5.6120400000000001E-2</v>
      </c>
      <c r="S619">
        <v>3.2080690000000001</v>
      </c>
      <c r="T619">
        <v>-0.18594430000000001</v>
      </c>
      <c r="U619">
        <v>-0.18692020000000001</v>
      </c>
      <c r="V619">
        <v>-5.4908869999999999E-2</v>
      </c>
      <c r="W619">
        <v>0.30414010000000002</v>
      </c>
      <c r="X619">
        <v>0.95104350000000004</v>
      </c>
      <c r="Y619">
        <v>5.9295140000000003E-2</v>
      </c>
      <c r="Z619">
        <v>-2.2027409999999998E-3</v>
      </c>
      <c r="AA619">
        <v>0.99823810000000002</v>
      </c>
      <c r="AB619">
        <v>38</v>
      </c>
      <c r="AC619">
        <v>17.928599999999999</v>
      </c>
      <c r="AD619">
        <v>-1.060545427231</v>
      </c>
      <c r="AE619">
        <v>-1.06659999999999</v>
      </c>
      <c r="AF619">
        <v>1.08532847768624</v>
      </c>
      <c r="AG619">
        <v>-1.060545427231</v>
      </c>
      <c r="AH619">
        <v>17.8649543372035</v>
      </c>
      <c r="AI619">
        <v>93.391114890986202</v>
      </c>
      <c r="AJ619">
        <v>86.523450019486006</v>
      </c>
      <c r="AK619">
        <v>17.929285763188201</v>
      </c>
      <c r="AL619">
        <v>72.293561547938907</v>
      </c>
      <c r="AM619">
        <v>93.304326071403594</v>
      </c>
      <c r="AN619">
        <v>0.99999996166246696</v>
      </c>
    </row>
    <row r="620" spans="1:40" x14ac:dyDescent="0.25">
      <c r="A620" t="str">
        <f>"20190304164607032"</f>
        <v>20190304164607032</v>
      </c>
      <c r="B620" t="str">
        <f>"1551689167018449"</f>
        <v>1551689167018449</v>
      </c>
      <c r="C620" t="s">
        <v>40</v>
      </c>
      <c r="D620">
        <v>4.2586550000000001</v>
      </c>
      <c r="E620">
        <v>0.55962869999999998</v>
      </c>
      <c r="F620" t="s">
        <v>42</v>
      </c>
      <c r="G620">
        <v>-277.86709999999999</v>
      </c>
      <c r="H620" s="1">
        <v>-1.5211949999999901E-6</v>
      </c>
      <c r="I620">
        <v>366.57470000000001</v>
      </c>
      <c r="J620">
        <v>-295.6925</v>
      </c>
      <c r="K620">
        <v>1.060554</v>
      </c>
      <c r="L620">
        <v>367.63650000000001</v>
      </c>
      <c r="M620">
        <v>0.99989240000000001</v>
      </c>
      <c r="N620">
        <v>-1.461264E-2</v>
      </c>
      <c r="O620">
        <v>1.2559579999999999E-3</v>
      </c>
      <c r="P620">
        <v>0.95541710000000002</v>
      </c>
      <c r="Q620">
        <v>0.28993920000000001</v>
      </c>
      <c r="R620">
        <v>5.5798809999999997E-2</v>
      </c>
      <c r="S620">
        <v>3.2080690000000001</v>
      </c>
      <c r="T620">
        <v>-0.18684799999999999</v>
      </c>
      <c r="U620">
        <v>-0.18698119999999999</v>
      </c>
      <c r="V620">
        <v>-5.4586799999999998E-2</v>
      </c>
      <c r="W620">
        <v>0.30387249999999999</v>
      </c>
      <c r="X620">
        <v>0.95114759999999998</v>
      </c>
      <c r="Y620">
        <v>5.9313209999999998E-2</v>
      </c>
      <c r="Z620">
        <v>-2.2132829999999999E-3</v>
      </c>
      <c r="AA620">
        <v>0.99823700000000004</v>
      </c>
      <c r="AB620">
        <v>38</v>
      </c>
      <c r="AC620">
        <v>17.825399999999998</v>
      </c>
      <c r="AD620">
        <v>-1.060555521195</v>
      </c>
      <c r="AE620">
        <v>-1.0618000000000001</v>
      </c>
      <c r="AF620">
        <v>1.08037862126297</v>
      </c>
      <c r="AG620">
        <v>-1.060555521195</v>
      </c>
      <c r="AH620">
        <v>17.7614013290477</v>
      </c>
      <c r="AI620">
        <v>93.410856143693195</v>
      </c>
      <c r="AJ620">
        <v>86.519139499630498</v>
      </c>
      <c r="AK620">
        <v>17.825806381488501</v>
      </c>
      <c r="AL620">
        <v>72.309656076446501</v>
      </c>
      <c r="AM620">
        <v>93.2846282519277</v>
      </c>
      <c r="AN620">
        <v>0.99999998598812401</v>
      </c>
    </row>
    <row r="621" spans="1:40" x14ac:dyDescent="0.25">
      <c r="A621" t="str">
        <f>"20190304164607056"</f>
        <v>20190304164607056</v>
      </c>
      <c r="B621" t="str">
        <f>"1551689167048705"</f>
        <v>1551689167048705</v>
      </c>
      <c r="C621" t="s">
        <v>40</v>
      </c>
      <c r="D621">
        <v>4.2814389999999998</v>
      </c>
      <c r="E621">
        <v>0.5597008</v>
      </c>
      <c r="F621" t="s">
        <v>42</v>
      </c>
      <c r="G621">
        <v>-277.65129999999999</v>
      </c>
      <c r="H621" s="1">
        <v>-1.5924059999999999E-6</v>
      </c>
      <c r="I621">
        <v>366.5831</v>
      </c>
      <c r="J621">
        <v>-295.29430000000002</v>
      </c>
      <c r="K621">
        <v>1.0605599999999999</v>
      </c>
      <c r="L621">
        <v>367.63709999999998</v>
      </c>
      <c r="M621">
        <v>0.999892</v>
      </c>
      <c r="N621">
        <v>-1.4649189999999999E-2</v>
      </c>
      <c r="O621">
        <v>1.2560469999999999E-3</v>
      </c>
      <c r="P621">
        <v>0.95547409999999999</v>
      </c>
      <c r="Q621">
        <v>0.28968149999999998</v>
      </c>
      <c r="R621">
        <v>5.6160349999999998E-2</v>
      </c>
      <c r="S621">
        <v>3.2081599999999999</v>
      </c>
      <c r="T621">
        <v>-0.1885906</v>
      </c>
      <c r="U621">
        <v>-0.18731690000000001</v>
      </c>
      <c r="V621">
        <v>-5.4948259999999999E-2</v>
      </c>
      <c r="W621">
        <v>0.3036508</v>
      </c>
      <c r="X621">
        <v>0.95119759999999998</v>
      </c>
      <c r="Y621">
        <v>5.941333E-2</v>
      </c>
      <c r="Z621">
        <v>-2.234687E-3</v>
      </c>
      <c r="AA621">
        <v>0.99823099999999998</v>
      </c>
      <c r="AB621">
        <v>38</v>
      </c>
      <c r="AC621">
        <v>17.643000000000001</v>
      </c>
      <c r="AD621">
        <v>-1.0605615924059999</v>
      </c>
      <c r="AE621">
        <v>-1.0539999999999701</v>
      </c>
      <c r="AF621">
        <v>1.0723010116317799</v>
      </c>
      <c r="AG621">
        <v>-1.0605615924059999</v>
      </c>
      <c r="AH621">
        <v>17.578368684014698</v>
      </c>
      <c r="AI621">
        <v>93.4462695233033</v>
      </c>
      <c r="AJ621">
        <v>86.509216172658</v>
      </c>
      <c r="AK621">
        <v>17.642949468328101</v>
      </c>
      <c r="AL621">
        <v>72.322988735429803</v>
      </c>
      <c r="AM621">
        <v>93.306156722743196</v>
      </c>
      <c r="AN621">
        <v>0.99999999693171304</v>
      </c>
    </row>
    <row r="622" spans="1:40" x14ac:dyDescent="0.25">
      <c r="A622" t="str">
        <f>"20190304164607076"</f>
        <v>20190304164607076</v>
      </c>
      <c r="B622" t="str">
        <f>"1551689167068224"</f>
        <v>1551689167068224</v>
      </c>
      <c r="C622" t="s">
        <v>40</v>
      </c>
      <c r="D622">
        <v>4.2261819999999997</v>
      </c>
      <c r="E622">
        <v>0.55977509999999997</v>
      </c>
      <c r="F622" t="s">
        <v>41</v>
      </c>
      <c r="G622">
        <v>-294.2509</v>
      </c>
      <c r="H622">
        <v>0.99867700000000004</v>
      </c>
      <c r="I622">
        <v>367.57670000000002</v>
      </c>
      <c r="J622">
        <v>-294.9554</v>
      </c>
      <c r="K622">
        <v>1.060565</v>
      </c>
      <c r="L622">
        <v>367.63749999999999</v>
      </c>
      <c r="M622">
        <v>0.99989150000000004</v>
      </c>
      <c r="N622">
        <v>-1.467569E-2</v>
      </c>
      <c r="O622">
        <v>1.2563279999999999E-3</v>
      </c>
      <c r="P622">
        <v>0.95548049999999995</v>
      </c>
      <c r="Q622">
        <v>0.2896031</v>
      </c>
      <c r="R622">
        <v>5.6454049999999999E-2</v>
      </c>
      <c r="S622">
        <v>3.208466</v>
      </c>
      <c r="T622">
        <v>-0.1903135</v>
      </c>
      <c r="U622">
        <v>-0.1855774</v>
      </c>
      <c r="V622">
        <v>-5.5242260000000001E-2</v>
      </c>
      <c r="W622">
        <v>0.30359720000000001</v>
      </c>
      <c r="X622">
        <v>0.95119770000000003</v>
      </c>
      <c r="Y622">
        <v>5.8867719999999998E-2</v>
      </c>
      <c r="Z622">
        <v>-2.231715E-3</v>
      </c>
      <c r="AA622">
        <v>0.99826329999999996</v>
      </c>
      <c r="AB622">
        <v>37</v>
      </c>
      <c r="AC622">
        <v>0.70449999999999502</v>
      </c>
      <c r="AD622">
        <v>-6.1887999999999901E-2</v>
      </c>
      <c r="AE622">
        <v>-6.0799999999971897E-2</v>
      </c>
      <c r="AF622">
        <v>6.1216214812965103E-2</v>
      </c>
      <c r="AG622">
        <v>-6.1887999999999901E-2</v>
      </c>
      <c r="AH622">
        <v>0.69906819531334297</v>
      </c>
      <c r="AI622">
        <v>95.039977348483703</v>
      </c>
      <c r="AJ622">
        <v>84.9954717462589</v>
      </c>
      <c r="AK622">
        <v>0.70446709731447399</v>
      </c>
      <c r="AL622">
        <v>72.326212295680705</v>
      </c>
      <c r="AM622">
        <v>93.323806370157797</v>
      </c>
      <c r="AN622">
        <v>1.0000000158115101</v>
      </c>
    </row>
    <row r="623" spans="1:40" x14ac:dyDescent="0.25">
      <c r="A623" t="str">
        <f>"20190304164607098"</f>
        <v>20190304164607098</v>
      </c>
      <c r="B623" t="str">
        <f>"1551689167088721"</f>
        <v>1551689167088721</v>
      </c>
      <c r="C623" t="s">
        <v>40</v>
      </c>
      <c r="D623">
        <v>4.2805720000000003</v>
      </c>
      <c r="E623">
        <v>0.55963890000000005</v>
      </c>
      <c r="F623" t="s">
        <v>41</v>
      </c>
      <c r="G623">
        <v>-293.91669999999999</v>
      </c>
      <c r="H623">
        <v>0.99884799999999996</v>
      </c>
      <c r="I623">
        <v>367.577</v>
      </c>
      <c r="J623">
        <v>-294.58049999999997</v>
      </c>
      <c r="K623">
        <v>1.0605739999999999</v>
      </c>
      <c r="L623">
        <v>367.63799999999998</v>
      </c>
      <c r="M623">
        <v>0.99989119999999998</v>
      </c>
      <c r="N623">
        <v>-1.4700349999999999E-2</v>
      </c>
      <c r="O623">
        <v>1.256325E-3</v>
      </c>
      <c r="P623">
        <v>0.95540780000000003</v>
      </c>
      <c r="Q623">
        <v>0.28983399999999998</v>
      </c>
      <c r="R623">
        <v>5.6498769999999997E-2</v>
      </c>
      <c r="S623">
        <v>3.2086489999999999</v>
      </c>
      <c r="T623">
        <v>-0.19084780000000001</v>
      </c>
      <c r="U623">
        <v>-0.18643190000000001</v>
      </c>
      <c r="V623">
        <v>-5.5286549999999997E-2</v>
      </c>
      <c r="W623">
        <v>0.30385069999999997</v>
      </c>
      <c r="X623">
        <v>0.95111420000000002</v>
      </c>
      <c r="Y623">
        <v>5.9128130000000001E-2</v>
      </c>
      <c r="Z623">
        <v>-2.2470419999999999E-3</v>
      </c>
      <c r="AA623">
        <v>0.99824789999999997</v>
      </c>
      <c r="AB623">
        <v>37</v>
      </c>
      <c r="AC623">
        <v>0.66379999999997996</v>
      </c>
      <c r="AD623">
        <v>-6.1725999999999899E-2</v>
      </c>
      <c r="AE623">
        <v>-6.1000000000035401E-2</v>
      </c>
      <c r="AF623">
        <v>6.1308301383772697E-2</v>
      </c>
      <c r="AG623">
        <v>-6.1725999999999899E-2</v>
      </c>
      <c r="AH623">
        <v>0.65808011266686195</v>
      </c>
      <c r="AI623">
        <v>95.335529707591505</v>
      </c>
      <c r="AJ623">
        <v>84.677552291556196</v>
      </c>
      <c r="AK623">
        <v>0.66380587642939204</v>
      </c>
      <c r="AL623">
        <v>72.310968028745606</v>
      </c>
      <c r="AM623">
        <v>93.326756601481605</v>
      </c>
      <c r="AN623">
        <v>1.00000003597151</v>
      </c>
    </row>
    <row r="624" spans="1:40" x14ac:dyDescent="0.25">
      <c r="A624" t="str">
        <f>"20190304164607120"</f>
        <v>20190304164607120</v>
      </c>
      <c r="B624" t="str">
        <f>"1551689167118001"</f>
        <v>1551689167118001</v>
      </c>
      <c r="C624" t="s">
        <v>40</v>
      </c>
      <c r="D624">
        <v>4.2667279999999996</v>
      </c>
      <c r="E624">
        <v>0.55943419999999999</v>
      </c>
      <c r="F624" t="s">
        <v>41</v>
      </c>
      <c r="G624">
        <v>-293.5804</v>
      </c>
      <c r="H624">
        <v>1.001762</v>
      </c>
      <c r="I624">
        <v>367.57990000000001</v>
      </c>
      <c r="J624">
        <v>-294.20400000000001</v>
      </c>
      <c r="K624">
        <v>1.060568</v>
      </c>
      <c r="L624">
        <v>367.63850000000002</v>
      </c>
      <c r="M624">
        <v>0.99989090000000003</v>
      </c>
      <c r="N624">
        <v>-1.4721130000000001E-2</v>
      </c>
      <c r="O624">
        <v>1.2565289999999999E-3</v>
      </c>
      <c r="P624">
        <v>0.95528299999999999</v>
      </c>
      <c r="Q624">
        <v>0.29021789999999997</v>
      </c>
      <c r="R624">
        <v>5.6639759999999997E-2</v>
      </c>
      <c r="S624">
        <v>3.2082820000000001</v>
      </c>
      <c r="T624">
        <v>-0.18878829999999999</v>
      </c>
      <c r="U624">
        <v>-0.18585209999999999</v>
      </c>
      <c r="V624">
        <v>-5.5427379999999998E-2</v>
      </c>
      <c r="W624">
        <v>0.30425269999999999</v>
      </c>
      <c r="X624">
        <v>0.95097739999999997</v>
      </c>
      <c r="Y624">
        <v>5.895798E-2</v>
      </c>
      <c r="Z624">
        <v>-2.221878E-3</v>
      </c>
      <c r="AA624">
        <v>0.99825799999999998</v>
      </c>
      <c r="AB624">
        <v>37</v>
      </c>
      <c r="AC624">
        <v>0.62360000000001004</v>
      </c>
      <c r="AD624">
        <v>-5.88059999999999E-2</v>
      </c>
      <c r="AE624">
        <v>-5.86000000000126E-2</v>
      </c>
      <c r="AF624">
        <v>5.8864728779662999E-2</v>
      </c>
      <c r="AG624">
        <v>-5.88059999999999E-2</v>
      </c>
      <c r="AH624">
        <v>0.61807763106569302</v>
      </c>
      <c r="AI624">
        <v>95.410617999704002</v>
      </c>
      <c r="AJ624">
        <v>84.559650285783107</v>
      </c>
      <c r="AK624">
        <v>0.62365307660115199</v>
      </c>
      <c r="AL624">
        <v>72.286789017557297</v>
      </c>
      <c r="AM624">
        <v>93.335690350476895</v>
      </c>
      <c r="AN624">
        <v>0.99999995761085603</v>
      </c>
    </row>
    <row r="625" spans="1:40" x14ac:dyDescent="0.25">
      <c r="A625" t="str">
        <f>"20190304164607145"</f>
        <v>20190304164607145</v>
      </c>
      <c r="B625" t="str">
        <f>"1551689167138497"</f>
        <v>1551689167138497</v>
      </c>
      <c r="C625" t="s">
        <v>40</v>
      </c>
      <c r="D625">
        <v>4.2708019999999998</v>
      </c>
      <c r="E625">
        <v>0.55930429999999998</v>
      </c>
      <c r="F625" t="s">
        <v>42</v>
      </c>
      <c r="G625">
        <v>-275.93079999999998</v>
      </c>
      <c r="H625" s="1">
        <v>-2.2643629999999999E-6</v>
      </c>
      <c r="I625">
        <v>366.5926</v>
      </c>
      <c r="J625">
        <v>-293.80739999999997</v>
      </c>
      <c r="K625">
        <v>1.06057</v>
      </c>
      <c r="L625">
        <v>367.63900000000001</v>
      </c>
      <c r="M625">
        <v>0.99989059999999996</v>
      </c>
      <c r="N625">
        <v>-1.473932E-2</v>
      </c>
      <c r="O625">
        <v>1.256692E-3</v>
      </c>
      <c r="P625">
        <v>0.95537620000000001</v>
      </c>
      <c r="Q625">
        <v>0.28999469999999999</v>
      </c>
      <c r="R625">
        <v>5.6210339999999998E-2</v>
      </c>
      <c r="S625">
        <v>3.2078859999999998</v>
      </c>
      <c r="T625">
        <v>-0.18618370000000001</v>
      </c>
      <c r="U625">
        <v>-0.1835938</v>
      </c>
      <c r="V625">
        <v>-5.4997659999999997E-2</v>
      </c>
      <c r="W625">
        <v>0.30404789999999998</v>
      </c>
      <c r="X625">
        <v>0.95106789999999997</v>
      </c>
      <c r="Y625">
        <v>5.8269389999999997E-2</v>
      </c>
      <c r="Z625">
        <v>-2.172733E-3</v>
      </c>
      <c r="AA625">
        <v>0.99829849999999998</v>
      </c>
      <c r="AB625">
        <v>37</v>
      </c>
      <c r="AC625">
        <v>17.8765999999999</v>
      </c>
      <c r="AD625">
        <v>-1.060572264363</v>
      </c>
      <c r="AE625">
        <v>-1.0464</v>
      </c>
      <c r="AF625">
        <v>1.06513081087824</v>
      </c>
      <c r="AG625">
        <v>-1.060572264363</v>
      </c>
      <c r="AH625">
        <v>17.812788420197901</v>
      </c>
      <c r="AI625">
        <v>93.401303385675703</v>
      </c>
      <c r="AJ625">
        <v>86.578024798633606</v>
      </c>
      <c r="AK625">
        <v>17.876094329437699</v>
      </c>
      <c r="AL625">
        <v>72.299107702746696</v>
      </c>
      <c r="AM625">
        <v>93.3095727183034</v>
      </c>
      <c r="AN625">
        <v>1.00000000925514</v>
      </c>
    </row>
    <row r="626" spans="1:40" x14ac:dyDescent="0.25">
      <c r="A626" t="str">
        <f>"20190304164607167"</f>
        <v>20190304164607167</v>
      </c>
      <c r="B626" t="str">
        <f>"1551689167158525"</f>
        <v>1551689167158525</v>
      </c>
      <c r="C626" t="s">
        <v>40</v>
      </c>
      <c r="D626">
        <v>4.2234379999999998</v>
      </c>
      <c r="E626">
        <v>0.55924289999999999</v>
      </c>
      <c r="F626" t="s">
        <v>42</v>
      </c>
      <c r="G626">
        <v>-275.5487</v>
      </c>
      <c r="H626" s="1">
        <v>-2.42819E-6</v>
      </c>
      <c r="I626">
        <v>366.59309999999999</v>
      </c>
      <c r="J626">
        <v>-293.44290000000001</v>
      </c>
      <c r="K626">
        <v>1.060576</v>
      </c>
      <c r="L626">
        <v>367.63940000000002</v>
      </c>
      <c r="M626">
        <v>0.99989050000000002</v>
      </c>
      <c r="N626">
        <v>-1.4753240000000001E-2</v>
      </c>
      <c r="O626">
        <v>1.2567679999999999E-3</v>
      </c>
      <c r="P626">
        <v>0.95531719999999998</v>
      </c>
      <c r="Q626">
        <v>0.29018139999999998</v>
      </c>
      <c r="R626">
        <v>5.62485E-2</v>
      </c>
      <c r="S626">
        <v>3.2075200000000001</v>
      </c>
      <c r="T626">
        <v>-0.18631049999999999</v>
      </c>
      <c r="U626">
        <v>-0.18371580000000001</v>
      </c>
      <c r="V626">
        <v>-5.5036160000000001E-2</v>
      </c>
      <c r="W626">
        <v>0.30424679999999998</v>
      </c>
      <c r="X626">
        <v>0.95100209999999996</v>
      </c>
      <c r="Y626">
        <v>5.8313539999999997E-2</v>
      </c>
      <c r="Z626">
        <v>-2.1761290000000002E-3</v>
      </c>
      <c r="AA626">
        <v>0.99829599999999996</v>
      </c>
      <c r="AB626">
        <v>37</v>
      </c>
      <c r="AC626">
        <v>17.894200000000001</v>
      </c>
      <c r="AD626">
        <v>-1.0605784281899999</v>
      </c>
      <c r="AE626">
        <v>-1.04630000000003</v>
      </c>
      <c r="AF626">
        <v>1.06506181004971</v>
      </c>
      <c r="AG626">
        <v>-1.0605784281899999</v>
      </c>
      <c r="AH626">
        <v>17.830448290814601</v>
      </c>
      <c r="AI626">
        <v>93.3979749578384</v>
      </c>
      <c r="AJ626">
        <v>86.581626931612902</v>
      </c>
      <c r="AK626">
        <v>17.893687979647499</v>
      </c>
      <c r="AL626">
        <v>72.287145470925495</v>
      </c>
      <c r="AM626">
        <v>93.312113002110095</v>
      </c>
      <c r="AN626">
        <v>1.0000000442110899</v>
      </c>
    </row>
    <row r="627" spans="1:40" x14ac:dyDescent="0.25">
      <c r="A627" t="str">
        <f>"20190304164607187"</f>
        <v>20190304164607187</v>
      </c>
      <c r="B627" t="str">
        <f>"1551689167178045"</f>
        <v>1551689167178045</v>
      </c>
      <c r="C627" t="s">
        <v>40</v>
      </c>
      <c r="D627">
        <v>4.2064320000000004</v>
      </c>
      <c r="E627">
        <v>0.55919359999999996</v>
      </c>
      <c r="F627" t="s">
        <v>42</v>
      </c>
      <c r="G627">
        <v>-275.10539999999997</v>
      </c>
      <c r="H627" s="1">
        <v>-2.6188170000000001E-6</v>
      </c>
      <c r="I627">
        <v>366.59039999999999</v>
      </c>
      <c r="J627">
        <v>-293.09390000000002</v>
      </c>
      <c r="K627">
        <v>1.060575</v>
      </c>
      <c r="L627">
        <v>367.63990000000001</v>
      </c>
      <c r="M627">
        <v>0.99989030000000001</v>
      </c>
      <c r="N627">
        <v>-1.4764309999999999E-2</v>
      </c>
      <c r="O627">
        <v>1.2570439999999999E-3</v>
      </c>
      <c r="P627">
        <v>0.95532479999999997</v>
      </c>
      <c r="Q627">
        <v>0.29009629999999997</v>
      </c>
      <c r="R627">
        <v>5.6558690000000002E-2</v>
      </c>
      <c r="S627">
        <v>3.2074280000000002</v>
      </c>
      <c r="T627">
        <v>-0.185506</v>
      </c>
      <c r="U627">
        <v>-0.18347169999999999</v>
      </c>
      <c r="V627">
        <v>-5.5345900000000003E-2</v>
      </c>
      <c r="W627">
        <v>0.30417230000000001</v>
      </c>
      <c r="X627">
        <v>0.95100790000000002</v>
      </c>
      <c r="Y627">
        <v>5.8240800000000002E-2</v>
      </c>
      <c r="Z627">
        <v>-2.1662579999999999E-3</v>
      </c>
      <c r="AA627">
        <v>0.99830019999999997</v>
      </c>
      <c r="AB627">
        <v>37</v>
      </c>
      <c r="AC627">
        <v>17.988499999999998</v>
      </c>
      <c r="AD627">
        <v>-1.060577618817</v>
      </c>
      <c r="AE627">
        <v>-1.0495000000000201</v>
      </c>
      <c r="AF627">
        <v>1.06841263580682</v>
      </c>
      <c r="AG627">
        <v>-1.060577618817</v>
      </c>
      <c r="AH627">
        <v>17.925068024864899</v>
      </c>
      <c r="AI627">
        <v>93.380103180432798</v>
      </c>
      <c r="AJ627">
        <v>86.588955995035406</v>
      </c>
      <c r="AK627">
        <v>17.988173730035001</v>
      </c>
      <c r="AL627">
        <v>72.291625410254895</v>
      </c>
      <c r="AM627">
        <v>93.330691246296396</v>
      </c>
      <c r="AN627">
        <v>0.99999999129825501</v>
      </c>
    </row>
    <row r="628" spans="1:40" x14ac:dyDescent="0.25">
      <c r="A628" t="str">
        <f>"20190304164607201"</f>
        <v>20190304164607201</v>
      </c>
      <c r="B628" t="str">
        <f>"1551689167188782"</f>
        <v>1551689167188782</v>
      </c>
      <c r="C628" t="s">
        <v>40</v>
      </c>
      <c r="D628">
        <v>4.2411310000000002</v>
      </c>
      <c r="E628">
        <v>0.5591469</v>
      </c>
      <c r="F628" t="s">
        <v>42</v>
      </c>
      <c r="G628">
        <v>-274.78280000000001</v>
      </c>
      <c r="H628" s="1">
        <v>-2.7550630000000001E-6</v>
      </c>
      <c r="I628">
        <v>366.60250000000002</v>
      </c>
      <c r="J628">
        <v>-292.86900000000003</v>
      </c>
      <c r="K628">
        <v>1.060578</v>
      </c>
      <c r="L628">
        <v>367.64019999999999</v>
      </c>
      <c r="M628">
        <v>0.99989030000000001</v>
      </c>
      <c r="N628">
        <v>-1.477039E-2</v>
      </c>
      <c r="O628">
        <v>1.2571780000000001E-3</v>
      </c>
      <c r="P628">
        <v>0.95537439999999996</v>
      </c>
      <c r="Q628">
        <v>0.28995409999999999</v>
      </c>
      <c r="R628">
        <v>5.6448560000000002E-2</v>
      </c>
      <c r="S628">
        <v>3.2074579999999999</v>
      </c>
      <c r="T628">
        <v>-0.18577489999999999</v>
      </c>
      <c r="U628">
        <v>-0.18170169999999999</v>
      </c>
      <c r="V628">
        <v>-5.5235480000000003E-2</v>
      </c>
      <c r="W628">
        <v>0.3040369</v>
      </c>
      <c r="X628">
        <v>0.95105759999999995</v>
      </c>
      <c r="Y628">
        <v>5.769208E-2</v>
      </c>
      <c r="Z628">
        <v>-2.1490519999999998E-3</v>
      </c>
      <c r="AA628">
        <v>0.99833209999999994</v>
      </c>
      <c r="AB628">
        <v>37</v>
      </c>
      <c r="AC628">
        <v>18.086200000000002</v>
      </c>
      <c r="AD628">
        <v>-1.060580755063</v>
      </c>
      <c r="AE628">
        <v>-1.0376999999999701</v>
      </c>
      <c r="AF628">
        <v>1.0568170882382399</v>
      </c>
      <c r="AG628">
        <v>-1.060580755063</v>
      </c>
      <c r="AH628">
        <v>18.023108484094699</v>
      </c>
      <c r="AI628">
        <v>93.361959813606305</v>
      </c>
      <c r="AJ628">
        <v>86.644202379573997</v>
      </c>
      <c r="AK628">
        <v>18.085190994994999</v>
      </c>
      <c r="AL628">
        <v>72.2997686802629</v>
      </c>
      <c r="AM628">
        <v>93.323887818102193</v>
      </c>
      <c r="AN628">
        <v>0.99999997666509899</v>
      </c>
    </row>
    <row r="629" spans="1:40" x14ac:dyDescent="0.25">
      <c r="A629" t="str">
        <f>"20190304164607222"</f>
        <v>20190304164607222</v>
      </c>
      <c r="B629" t="str">
        <f>"1551689167218061"</f>
        <v>1551689167218061</v>
      </c>
      <c r="C629" t="s">
        <v>40</v>
      </c>
      <c r="D629">
        <v>4.2145900000000003</v>
      </c>
      <c r="E629">
        <v>0.55910039999999905</v>
      </c>
      <c r="F629" t="s">
        <v>42</v>
      </c>
      <c r="G629">
        <v>-274.61439999999999</v>
      </c>
      <c r="H629" s="1">
        <v>-2.8266519999999999E-6</v>
      </c>
      <c r="I629">
        <v>366.60629999999998</v>
      </c>
      <c r="J629">
        <v>-292.52350000000001</v>
      </c>
      <c r="K629">
        <v>1.0605880000000001</v>
      </c>
      <c r="L629">
        <v>367.64060000000001</v>
      </c>
      <c r="M629">
        <v>0.99988999999999995</v>
      </c>
      <c r="N629">
        <v>-1.4778339999999999E-2</v>
      </c>
      <c r="O629">
        <v>1.2572379999999999E-3</v>
      </c>
      <c r="P629">
        <v>0.95527119999999999</v>
      </c>
      <c r="Q629">
        <v>0.2903154</v>
      </c>
      <c r="R629">
        <v>5.6336570000000002E-2</v>
      </c>
      <c r="S629">
        <v>3.2073670000000001</v>
      </c>
      <c r="T629">
        <v>-0.1863446</v>
      </c>
      <c r="U629">
        <v>-0.18164060000000001</v>
      </c>
      <c r="V629">
        <v>-5.5123930000000002E-2</v>
      </c>
      <c r="W629">
        <v>0.30440450000000002</v>
      </c>
      <c r="X629">
        <v>0.95094650000000003</v>
      </c>
      <c r="Y629">
        <v>5.767415E-2</v>
      </c>
      <c r="Z629">
        <v>-2.1540040000000002E-3</v>
      </c>
      <c r="AA629">
        <v>0.99833320000000003</v>
      </c>
      <c r="AB629">
        <v>37</v>
      </c>
      <c r="AC629">
        <v>17.909099999999999</v>
      </c>
      <c r="AD629">
        <v>-1.0605908266520001</v>
      </c>
      <c r="AE629">
        <v>-1.03430000000003</v>
      </c>
      <c r="AF629">
        <v>1.05313646540414</v>
      </c>
      <c r="AG629">
        <v>-1.0605908266520001</v>
      </c>
      <c r="AH629">
        <v>17.845407754397201</v>
      </c>
      <c r="AI629">
        <v>93.395316724295697</v>
      </c>
      <c r="AJ629">
        <v>86.622639701450296</v>
      </c>
      <c r="AK629">
        <v>17.907890083341499</v>
      </c>
      <c r="AL629">
        <v>72.277659140911595</v>
      </c>
      <c r="AM629">
        <v>93.317576799783893</v>
      </c>
      <c r="AN629">
        <v>0.99999999657057204</v>
      </c>
    </row>
    <row r="630" spans="1:40" x14ac:dyDescent="0.25">
      <c r="A630" t="str">
        <f>"20190304164607236"</f>
        <v>20190304164607236</v>
      </c>
      <c r="B630" t="str">
        <f>"1551689167228798"</f>
        <v>1551689167228798</v>
      </c>
      <c r="C630" t="s">
        <v>40</v>
      </c>
      <c r="D630">
        <v>4.1826359999999996</v>
      </c>
      <c r="E630">
        <v>0.55910090000000001</v>
      </c>
      <c r="F630" t="s">
        <v>42</v>
      </c>
      <c r="G630">
        <v>-274.13330000000002</v>
      </c>
      <c r="H630" s="1">
        <v>-3.034412E-6</v>
      </c>
      <c r="I630">
        <v>366.5985</v>
      </c>
      <c r="J630">
        <v>-292.29149999999998</v>
      </c>
      <c r="K630">
        <v>1.060592</v>
      </c>
      <c r="L630">
        <v>367.64089999999999</v>
      </c>
      <c r="M630">
        <v>0.9998899</v>
      </c>
      <c r="N630">
        <v>-1.478292E-2</v>
      </c>
      <c r="O630">
        <v>1.2573829999999999E-3</v>
      </c>
      <c r="P630">
        <v>0.95527200000000001</v>
      </c>
      <c r="Q630">
        <v>0.29035229999999901</v>
      </c>
      <c r="R630">
        <v>5.6131939999999998E-2</v>
      </c>
      <c r="S630">
        <v>3.2073969999999998</v>
      </c>
      <c r="T630">
        <v>-0.18497469999999999</v>
      </c>
      <c r="U630">
        <v>-0.18173220000000001</v>
      </c>
      <c r="V630">
        <v>-5.4919129999999997E-2</v>
      </c>
      <c r="W630">
        <v>0.30444529999999997</v>
      </c>
      <c r="X630">
        <v>0.95094529999999999</v>
      </c>
      <c r="Y630">
        <v>5.770372E-2</v>
      </c>
      <c r="Z630">
        <v>-2.142372E-3</v>
      </c>
      <c r="AA630">
        <v>0.99833139999999998</v>
      </c>
      <c r="AB630">
        <v>37</v>
      </c>
      <c r="AC630">
        <v>18.158199999999901</v>
      </c>
      <c r="AD630">
        <v>-1.0605950344120001</v>
      </c>
      <c r="AE630">
        <v>-1.04239999999998</v>
      </c>
      <c r="AF630">
        <v>1.06162358292815</v>
      </c>
      <c r="AG630">
        <v>-1.0605950344120001</v>
      </c>
      <c r="AH630">
        <v>18.095344144571602</v>
      </c>
      <c r="AI630">
        <v>93.3486084688559</v>
      </c>
      <c r="AJ630">
        <v>86.642401147855793</v>
      </c>
      <c r="AK630">
        <v>18.1574608954372</v>
      </c>
      <c r="AL630">
        <v>72.275205191405703</v>
      </c>
      <c r="AM630">
        <v>93.305282663334907</v>
      </c>
      <c r="AN630">
        <v>1.0000000075620601</v>
      </c>
    </row>
    <row r="631" spans="1:40" x14ac:dyDescent="0.25">
      <c r="A631" t="str">
        <f>"20190304164607248"</f>
        <v>20190304164607248</v>
      </c>
      <c r="B631" t="str">
        <f>"1551689167238558"</f>
        <v>1551689167238558</v>
      </c>
      <c r="C631" t="s">
        <v>40</v>
      </c>
      <c r="D631">
        <v>4.2463259999999998</v>
      </c>
      <c r="E631">
        <v>0.55907700000000005</v>
      </c>
      <c r="F631" t="s">
        <v>41</v>
      </c>
      <c r="G631">
        <v>-291.25659999999999</v>
      </c>
      <c r="H631">
        <v>1.001047</v>
      </c>
      <c r="I631">
        <v>367.58179999999999</v>
      </c>
      <c r="J631">
        <v>-292.0849</v>
      </c>
      <c r="K631">
        <v>1.0605979999999999</v>
      </c>
      <c r="L631">
        <v>367.64120000000003</v>
      </c>
      <c r="M631">
        <v>0.99988999999999995</v>
      </c>
      <c r="N631">
        <v>-1.478633E-2</v>
      </c>
      <c r="O631">
        <v>1.2573580000000001E-3</v>
      </c>
      <c r="P631">
        <v>0.95520179999999999</v>
      </c>
      <c r="Q631">
        <v>0.29057349999999998</v>
      </c>
      <c r="R631">
        <v>5.6185289999999999E-2</v>
      </c>
      <c r="S631">
        <v>3.207306</v>
      </c>
      <c r="T631">
        <v>-0.1847599</v>
      </c>
      <c r="U631">
        <v>-0.18258669999999999</v>
      </c>
      <c r="V631">
        <v>-5.4972590000000002E-2</v>
      </c>
      <c r="W631">
        <v>0.30466929999999998</v>
      </c>
      <c r="X631">
        <v>0.95087049999999995</v>
      </c>
      <c r="Y631">
        <v>5.797012E-2</v>
      </c>
      <c r="Z631">
        <v>-2.1501279999999998E-3</v>
      </c>
      <c r="AA631">
        <v>0.99831599999999998</v>
      </c>
      <c r="AB631">
        <v>37</v>
      </c>
      <c r="AC631">
        <v>0.82830000000001203</v>
      </c>
      <c r="AD631">
        <v>-5.9550999999999903E-2</v>
      </c>
      <c r="AE631">
        <v>-5.9400000000039199E-2</v>
      </c>
      <c r="AF631">
        <v>6.0132305510569799E-2</v>
      </c>
      <c r="AG631">
        <v>-5.9550999999999903E-2</v>
      </c>
      <c r="AH631">
        <v>0.82398728804678201</v>
      </c>
      <c r="AI631">
        <v>94.122753313496702</v>
      </c>
      <c r="AJ631">
        <v>85.826112118151002</v>
      </c>
      <c r="AK631">
        <v>0.82832195831675703</v>
      </c>
      <c r="AL631">
        <v>72.261731379648495</v>
      </c>
      <c r="AM631">
        <v>93.308752668573405</v>
      </c>
      <c r="AN631">
        <v>1.00000003789202</v>
      </c>
    </row>
    <row r="632" spans="1:40" x14ac:dyDescent="0.25">
      <c r="A632" t="str">
        <f>"20190304164607263"</f>
        <v>20190304164607263</v>
      </c>
      <c r="B632" t="str">
        <f>"1551689167258079"</f>
        <v>1551689167258079</v>
      </c>
      <c r="C632" t="s">
        <v>40</v>
      </c>
      <c r="D632">
        <v>4.3557769999999998</v>
      </c>
      <c r="E632">
        <v>0.55916080000000001</v>
      </c>
      <c r="F632" t="s">
        <v>42</v>
      </c>
      <c r="G632">
        <v>-273.6071</v>
      </c>
      <c r="H632" s="1">
        <v>-3.261252E-6</v>
      </c>
      <c r="I632">
        <v>366.5924</v>
      </c>
      <c r="J632">
        <v>-291.84519999999998</v>
      </c>
      <c r="K632">
        <v>1.0606059999999999</v>
      </c>
      <c r="L632">
        <v>367.64150000000001</v>
      </c>
      <c r="M632">
        <v>0.99988999999999995</v>
      </c>
      <c r="N632">
        <v>-1.4789780000000001E-2</v>
      </c>
      <c r="O632">
        <v>1.257511E-3</v>
      </c>
      <c r="P632">
        <v>0.95521120000000004</v>
      </c>
      <c r="Q632">
        <v>0.29056929999999997</v>
      </c>
      <c r="R632">
        <v>5.6046190000000003E-2</v>
      </c>
      <c r="S632">
        <v>3.2073969999999998</v>
      </c>
      <c r="T632">
        <v>-0.1840996</v>
      </c>
      <c r="U632">
        <v>-0.18203739999999999</v>
      </c>
      <c r="V632">
        <v>-5.4832970000000002E-2</v>
      </c>
      <c r="W632">
        <v>0.30466789999999999</v>
      </c>
      <c r="X632">
        <v>0.95087900000000003</v>
      </c>
      <c r="Y632">
        <v>5.7799349999999999E-2</v>
      </c>
      <c r="Z632">
        <v>-2.1378199999999999E-3</v>
      </c>
      <c r="AA632">
        <v>0.99832589999999999</v>
      </c>
      <c r="AB632">
        <v>37</v>
      </c>
      <c r="AC632">
        <v>18.2380999999999</v>
      </c>
      <c r="AD632">
        <v>-1.0606092612519999</v>
      </c>
      <c r="AE632">
        <v>-1.0491000000000099</v>
      </c>
      <c r="AF632">
        <v>1.0684349386287399</v>
      </c>
      <c r="AG632">
        <v>-1.0606092612519999</v>
      </c>
      <c r="AH632">
        <v>18.175502447640099</v>
      </c>
      <c r="AI632">
        <v>93.333895726268807</v>
      </c>
      <c r="AJ632">
        <v>86.635776914395507</v>
      </c>
      <c r="AK632">
        <v>18.237744774157399</v>
      </c>
      <c r="AL632">
        <v>72.261815421155006</v>
      </c>
      <c r="AM632">
        <v>93.300338224523799</v>
      </c>
      <c r="AN632">
        <v>1.00000002826521</v>
      </c>
    </row>
    <row r="633" spans="1:40" x14ac:dyDescent="0.25">
      <c r="A633" t="str">
        <f>"20190304164607277"</f>
        <v>20190304164607277</v>
      </c>
      <c r="B633" t="str">
        <f>"1551689167268814"</f>
        <v>1551689167268814</v>
      </c>
      <c r="C633" t="s">
        <v>40</v>
      </c>
      <c r="D633">
        <v>4.3249449999999996</v>
      </c>
      <c r="E633">
        <v>0.55916080000000001</v>
      </c>
      <c r="F633" t="s">
        <v>42</v>
      </c>
      <c r="G633">
        <v>-273.37810000000002</v>
      </c>
      <c r="H633" s="1">
        <v>-3.3598110000000001E-6</v>
      </c>
      <c r="I633">
        <v>366.59070000000003</v>
      </c>
      <c r="J633">
        <v>-291.61410000000001</v>
      </c>
      <c r="K633">
        <v>1.0606100000000001</v>
      </c>
      <c r="L633">
        <v>367.64179999999999</v>
      </c>
      <c r="M633">
        <v>0.99988980000000005</v>
      </c>
      <c r="N633">
        <v>-1.4792670000000001E-2</v>
      </c>
      <c r="O633">
        <v>1.257668E-3</v>
      </c>
      <c r="P633">
        <v>0.95502849999999995</v>
      </c>
      <c r="Q633">
        <v>0.29126970000000002</v>
      </c>
      <c r="R633">
        <v>5.552199E-2</v>
      </c>
      <c r="S633">
        <v>3.2073969999999998</v>
      </c>
      <c r="T633">
        <v>-0.1842076</v>
      </c>
      <c r="U633">
        <v>-0.18249509999999999</v>
      </c>
      <c r="V633">
        <v>-5.430915E-2</v>
      </c>
      <c r="W633">
        <v>0.30536859999999999</v>
      </c>
      <c r="X633">
        <v>0.95068419999999998</v>
      </c>
      <c r="Y633">
        <v>5.7941119999999999E-2</v>
      </c>
      <c r="Z633">
        <v>-2.144029E-3</v>
      </c>
      <c r="AA633">
        <v>0.99831769999999997</v>
      </c>
      <c r="AB633">
        <v>37</v>
      </c>
      <c r="AC633">
        <v>18.235999999999901</v>
      </c>
      <c r="AD633">
        <v>-1.0606133598109999</v>
      </c>
      <c r="AE633">
        <v>-1.05109999999996</v>
      </c>
      <c r="AF633">
        <v>1.0704276362351699</v>
      </c>
      <c r="AG633">
        <v>-1.0606133598109999</v>
      </c>
      <c r="AH633">
        <v>18.1733931102765</v>
      </c>
      <c r="AI633">
        <v>93.3342719440721</v>
      </c>
      <c r="AJ633">
        <v>86.6291265799684</v>
      </c>
      <c r="AK633">
        <v>18.2357597364099</v>
      </c>
      <c r="AL633">
        <v>72.219658074603899</v>
      </c>
      <c r="AM633">
        <v>93.269547112276499</v>
      </c>
      <c r="AN633">
        <v>0.99999995688466004</v>
      </c>
    </row>
    <row r="634" spans="1:40" x14ac:dyDescent="0.25">
      <c r="A634" t="str">
        <f>"20190304164607300"</f>
        <v>20190304164607300</v>
      </c>
      <c r="B634" t="str">
        <f>"1551689167288334"</f>
        <v>1551689167288334</v>
      </c>
      <c r="C634" t="s">
        <v>40</v>
      </c>
      <c r="D634">
        <v>4.2388260000000004</v>
      </c>
      <c r="E634">
        <v>0.58045519999999995</v>
      </c>
      <c r="F634" t="s">
        <v>41</v>
      </c>
      <c r="G634">
        <v>-290.5881</v>
      </c>
      <c r="H634">
        <v>1.0024109999999999</v>
      </c>
      <c r="I634">
        <v>367.5829</v>
      </c>
      <c r="J634">
        <v>-291.24560000000002</v>
      </c>
      <c r="K634">
        <v>1.0606169999999999</v>
      </c>
      <c r="L634">
        <v>367.64229999999998</v>
      </c>
      <c r="M634">
        <v>0.99988980000000005</v>
      </c>
      <c r="N634">
        <v>-1.479623E-2</v>
      </c>
      <c r="O634">
        <v>1.2579990000000001E-3</v>
      </c>
      <c r="P634">
        <v>0.95490079999999999</v>
      </c>
      <c r="Q634">
        <v>0.29170550000000001</v>
      </c>
      <c r="R634">
        <v>5.5432299999999997E-2</v>
      </c>
      <c r="S634">
        <v>3.2074889999999998</v>
      </c>
      <c r="T634">
        <v>-0.18217040000000001</v>
      </c>
      <c r="U634">
        <v>-0.18331910000000001</v>
      </c>
      <c r="V634">
        <v>-5.4219570000000002E-2</v>
      </c>
      <c r="W634">
        <v>0.30580580000000002</v>
      </c>
      <c r="X634">
        <v>0.95054879999999997</v>
      </c>
      <c r="Y634">
        <v>5.8197329999999999E-2</v>
      </c>
      <c r="Z634">
        <v>-2.1341009999999998E-3</v>
      </c>
      <c r="AA634">
        <v>0.99830280000000005</v>
      </c>
      <c r="AB634">
        <v>37</v>
      </c>
      <c r="AC634">
        <v>0.65750000000002695</v>
      </c>
      <c r="AD634">
        <v>-5.8205999999999702E-2</v>
      </c>
      <c r="AE634">
        <v>-5.93999999999823E-2</v>
      </c>
      <c r="AF634">
        <v>5.9762616142695103E-2</v>
      </c>
      <c r="AG634">
        <v>-5.8205999999999702E-2</v>
      </c>
      <c r="AH634">
        <v>0.65235370754319399</v>
      </c>
      <c r="AI634">
        <v>95.077541106916698</v>
      </c>
      <c r="AJ634">
        <v>84.765700717111699</v>
      </c>
      <c r="AK634">
        <v>0.65766622877381298</v>
      </c>
      <c r="AL634">
        <v>72.193350401971202</v>
      </c>
      <c r="AM634">
        <v>93.264629797820305</v>
      </c>
      <c r="AN634">
        <v>0.99999998513303201</v>
      </c>
    </row>
    <row r="635" spans="1:40" x14ac:dyDescent="0.25">
      <c r="A635" t="str">
        <f>"20190304164607312"</f>
        <v>20190304164607312</v>
      </c>
      <c r="B635" t="str">
        <f>"1551689167308830"</f>
        <v>1551689167308830</v>
      </c>
      <c r="C635" t="s">
        <v>40</v>
      </c>
      <c r="D635">
        <v>4.4388569999999996</v>
      </c>
      <c r="E635">
        <v>0.58242759999999905</v>
      </c>
      <c r="F635" t="s">
        <v>41</v>
      </c>
      <c r="G635">
        <v>-290.27499999999998</v>
      </c>
      <c r="H635">
        <v>0.98919650000000003</v>
      </c>
      <c r="I635">
        <v>367.53809999999999</v>
      </c>
      <c r="J635">
        <v>-291.02589999999998</v>
      </c>
      <c r="K635">
        <v>1.0606169999999999</v>
      </c>
      <c r="L635">
        <v>367.64249999999998</v>
      </c>
      <c r="M635">
        <v>0.99988980000000005</v>
      </c>
      <c r="N635">
        <v>-1.4797920000000001E-2</v>
      </c>
      <c r="O635">
        <v>1.257986E-3</v>
      </c>
      <c r="P635">
        <v>0.95493050000000002</v>
      </c>
      <c r="Q635">
        <v>0.29165400000000002</v>
      </c>
      <c r="R635">
        <v>5.518874E-2</v>
      </c>
      <c r="S635">
        <v>3.2345280000000001</v>
      </c>
      <c r="T635">
        <v>-0.238006</v>
      </c>
      <c r="U635">
        <v>-0.34704590000000002</v>
      </c>
      <c r="V635">
        <v>-5.3975269999999999E-2</v>
      </c>
      <c r="W635">
        <v>0.30575590000000002</v>
      </c>
      <c r="X635">
        <v>0.95057879999999995</v>
      </c>
      <c r="Y635">
        <v>0.1075845</v>
      </c>
      <c r="Z635">
        <v>-4.8148319999999998E-3</v>
      </c>
      <c r="AA635">
        <v>0.99418430000000002</v>
      </c>
      <c r="AB635">
        <v>37</v>
      </c>
      <c r="AC635">
        <v>0.75090000000000101</v>
      </c>
      <c r="AD635">
        <v>-7.1420499999999804E-2</v>
      </c>
      <c r="AE635">
        <v>-0.10439999999999799</v>
      </c>
      <c r="AF635">
        <v>0.10441793685512001</v>
      </c>
      <c r="AG635">
        <v>-7.1420499999999804E-2</v>
      </c>
      <c r="AH635">
        <v>0.74416363118905704</v>
      </c>
      <c r="AI635">
        <v>95.429260896885296</v>
      </c>
      <c r="AJ635">
        <v>82.012642561721094</v>
      </c>
      <c r="AK635">
        <v>0.754840051495555</v>
      </c>
      <c r="AL635">
        <v>72.196354075242795</v>
      </c>
      <c r="AM635">
        <v>93.249849436224807</v>
      </c>
      <c r="AN635">
        <v>1.00000002758291</v>
      </c>
    </row>
    <row r="636" spans="1:40" x14ac:dyDescent="0.25">
      <c r="A636" t="str">
        <f>"20190304164607326"</f>
        <v>20190304164607326</v>
      </c>
      <c r="B636" t="str">
        <f>"1551689167318590"</f>
        <v>1551689167318590</v>
      </c>
      <c r="C636" t="s">
        <v>40</v>
      </c>
      <c r="D636">
        <v>4.4157760000000001</v>
      </c>
      <c r="E636">
        <v>0.58282259999999997</v>
      </c>
      <c r="F636" t="s">
        <v>42</v>
      </c>
      <c r="G636">
        <v>-276.48349999999999</v>
      </c>
      <c r="H636" s="1">
        <v>-2.1433599999999998E-6</v>
      </c>
      <c r="I636">
        <v>366.00599999999997</v>
      </c>
      <c r="J636">
        <v>-290.8073</v>
      </c>
      <c r="K636">
        <v>1.0606180000000001</v>
      </c>
      <c r="L636">
        <v>367.64280000000002</v>
      </c>
      <c r="M636">
        <v>0.9998899</v>
      </c>
      <c r="N636">
        <v>-1.4799140000000001E-2</v>
      </c>
      <c r="O636">
        <v>1.257977E-3</v>
      </c>
      <c r="P636">
        <v>0.95490989999999998</v>
      </c>
      <c r="Q636">
        <v>0.29169820000000002</v>
      </c>
      <c r="R636">
        <v>5.5314339999999997E-2</v>
      </c>
      <c r="S636">
        <v>3.2346499999999998</v>
      </c>
      <c r="T636">
        <v>-0.2359116</v>
      </c>
      <c r="U636">
        <v>-0.3640137</v>
      </c>
      <c r="V636">
        <v>-5.4100889999999999E-2</v>
      </c>
      <c r="W636">
        <v>0.3058013</v>
      </c>
      <c r="X636">
        <v>0.95055710000000004</v>
      </c>
      <c r="Y636">
        <v>0.1127214</v>
      </c>
      <c r="Z636">
        <v>-5.0030999999999999E-3</v>
      </c>
      <c r="AA636">
        <v>0.993614</v>
      </c>
      <c r="AB636">
        <v>37</v>
      </c>
      <c r="AC636">
        <v>14.3238</v>
      </c>
      <c r="AD636">
        <v>-1.06062014336</v>
      </c>
      <c r="AE636">
        <v>-1.63680000000005</v>
      </c>
      <c r="AF636">
        <v>1.64591178169222</v>
      </c>
      <c r="AG636">
        <v>-1.06062014336</v>
      </c>
      <c r="AH636">
        <v>14.2446354318496</v>
      </c>
      <c r="AI636">
        <v>94.230202104831605</v>
      </c>
      <c r="AJ636">
        <v>83.4089258347433</v>
      </c>
      <c r="AK636">
        <v>14.378580572084299</v>
      </c>
      <c r="AL636">
        <v>72.193622783746903</v>
      </c>
      <c r="AM636">
        <v>93.257470946288294</v>
      </c>
      <c r="AN636">
        <v>1.00000007087044</v>
      </c>
    </row>
    <row r="637" spans="1:40" x14ac:dyDescent="0.25">
      <c r="A637" t="str">
        <f>"20190304164607339"</f>
        <v>20190304164607339</v>
      </c>
      <c r="B637" t="str">
        <f>"1551689167328350"</f>
        <v>1551689167328350</v>
      </c>
      <c r="C637" t="s">
        <v>40</v>
      </c>
      <c r="D637">
        <v>4.3873110000000004</v>
      </c>
      <c r="E637">
        <v>0.58313979999999999</v>
      </c>
      <c r="F637" t="s">
        <v>41</v>
      </c>
      <c r="G637">
        <v>-289.9391</v>
      </c>
      <c r="H637">
        <v>0.99721590000000004</v>
      </c>
      <c r="I637">
        <v>367.54419999999999</v>
      </c>
      <c r="J637">
        <v>-290.60050000000001</v>
      </c>
      <c r="K637">
        <v>1.0606230000000001</v>
      </c>
      <c r="L637">
        <v>367.6431</v>
      </c>
      <c r="M637">
        <v>0.99988969999999999</v>
      </c>
      <c r="N637">
        <v>-1.48001E-2</v>
      </c>
      <c r="O637">
        <v>1.2582680000000001E-3</v>
      </c>
      <c r="P637">
        <v>0.95497109999999996</v>
      </c>
      <c r="Q637">
        <v>0.29156739999999998</v>
      </c>
      <c r="R637">
        <v>5.4942339999999999E-2</v>
      </c>
      <c r="S637">
        <v>3.2351070000000002</v>
      </c>
      <c r="T637">
        <v>-0.23642460000000001</v>
      </c>
      <c r="U637">
        <v>-0.36679079999999997</v>
      </c>
      <c r="V637">
        <v>-5.3728829999999998E-2</v>
      </c>
      <c r="W637">
        <v>0.30567230000000001</v>
      </c>
      <c r="X637">
        <v>0.95061960000000001</v>
      </c>
      <c r="Y637">
        <v>0.1135443</v>
      </c>
      <c r="Z637">
        <v>-5.0475509999999999E-3</v>
      </c>
      <c r="AA637">
        <v>0.99352010000000002</v>
      </c>
      <c r="AB637">
        <v>37</v>
      </c>
      <c r="AC637">
        <v>0.66140000000001398</v>
      </c>
      <c r="AD637">
        <v>-6.3407099999999897E-2</v>
      </c>
      <c r="AE637">
        <v>-9.8900000000014601E-2</v>
      </c>
      <c r="AF637">
        <v>9.8843659478059204E-2</v>
      </c>
      <c r="AG637">
        <v>-6.3407099999999897E-2</v>
      </c>
      <c r="AH637">
        <v>0.65538334046171898</v>
      </c>
      <c r="AI637">
        <v>95.464639845642793</v>
      </c>
      <c r="AJ637">
        <v>81.423398588598999</v>
      </c>
      <c r="AK637">
        <v>0.66582118643385502</v>
      </c>
      <c r="AL637">
        <v>72.201384039844001</v>
      </c>
      <c r="AM637">
        <v>93.2349043275388</v>
      </c>
      <c r="AN637">
        <v>0.99999998303230897</v>
      </c>
    </row>
    <row r="638" spans="1:40" x14ac:dyDescent="0.25">
      <c r="A638" t="str">
        <f>"20190304164607352"</f>
        <v>20190304164607352</v>
      </c>
      <c r="B638" t="str">
        <f>"1551689167348845"</f>
        <v>1551689167348845</v>
      </c>
      <c r="C638" t="s">
        <v>40</v>
      </c>
      <c r="D638">
        <v>4.2995939999999999</v>
      </c>
      <c r="E638">
        <v>0.58348840000000002</v>
      </c>
      <c r="F638" t="s">
        <v>41</v>
      </c>
      <c r="G638">
        <v>-289.61669999999998</v>
      </c>
      <c r="H638">
        <v>0.98821990000000004</v>
      </c>
      <c r="I638">
        <v>367.53050000000002</v>
      </c>
      <c r="J638">
        <v>-290.36360000000002</v>
      </c>
      <c r="K638">
        <v>1.0606260000000001</v>
      </c>
      <c r="L638">
        <v>367.64339999999999</v>
      </c>
      <c r="M638">
        <v>0.99988969999999999</v>
      </c>
      <c r="N638">
        <v>-1.4800900000000001E-2</v>
      </c>
      <c r="O638">
        <v>1.258262E-3</v>
      </c>
      <c r="P638">
        <v>0.95501670000000005</v>
      </c>
      <c r="Q638">
        <v>0.29141600000000001</v>
      </c>
      <c r="R638">
        <v>5.4955110000000001E-2</v>
      </c>
      <c r="S638">
        <v>3.2354430000000001</v>
      </c>
      <c r="T638">
        <v>-0.2381945</v>
      </c>
      <c r="U638">
        <v>-0.3700562</v>
      </c>
      <c r="V638">
        <v>-5.3741530000000003E-2</v>
      </c>
      <c r="W638">
        <v>0.30552210000000002</v>
      </c>
      <c r="X638">
        <v>0.95066719999999905</v>
      </c>
      <c r="Y638">
        <v>0.11451459999999999</v>
      </c>
      <c r="Z638">
        <v>-5.121273E-3</v>
      </c>
      <c r="AA638">
        <v>0.99340839999999997</v>
      </c>
      <c r="AB638">
        <v>37</v>
      </c>
      <c r="AC638">
        <v>0.74690000000003898</v>
      </c>
      <c r="AD638">
        <v>-7.2406100000000001E-2</v>
      </c>
      <c r="AE638">
        <v>-0.112899999999967</v>
      </c>
      <c r="AF638">
        <v>0.112803388650084</v>
      </c>
      <c r="AG638">
        <v>-7.2406100000000001E-2</v>
      </c>
      <c r="AH638">
        <v>0.73995870466023395</v>
      </c>
      <c r="AI638">
        <v>95.525256674560097</v>
      </c>
      <c r="AJ638">
        <v>81.332249166456606</v>
      </c>
      <c r="AK638">
        <v>0.75200141782486296</v>
      </c>
      <c r="AL638">
        <v>72.210422840845396</v>
      </c>
      <c r="AM638">
        <v>93.235505678410803</v>
      </c>
      <c r="AN638">
        <v>1.00000001539549</v>
      </c>
    </row>
    <row r="639" spans="1:40" x14ac:dyDescent="0.25">
      <c r="A639" t="str">
        <f>"20190304164607368"</f>
        <v>20190304164607368</v>
      </c>
      <c r="B639" t="str">
        <f>"1551689167358606"</f>
        <v>1551689167358606</v>
      </c>
      <c r="C639" t="s">
        <v>40</v>
      </c>
      <c r="D639">
        <v>4.3752459999999997</v>
      </c>
      <c r="E639">
        <v>0.58364490000000002</v>
      </c>
      <c r="F639" t="s">
        <v>42</v>
      </c>
      <c r="G639">
        <v>-276.34050000000002</v>
      </c>
      <c r="H639" s="1">
        <v>-2.1880090000000001E-6</v>
      </c>
      <c r="I639">
        <v>366.03219999999999</v>
      </c>
      <c r="J639">
        <v>-290.12220000000002</v>
      </c>
      <c r="K639">
        <v>1.0606279999999999</v>
      </c>
      <c r="L639">
        <v>367.64370000000002</v>
      </c>
      <c r="M639">
        <v>0.99988969999999999</v>
      </c>
      <c r="N639">
        <v>-1.480133E-2</v>
      </c>
      <c r="O639">
        <v>1.258438E-3</v>
      </c>
      <c r="P639">
        <v>0.95503159999999998</v>
      </c>
      <c r="Q639">
        <v>0.2914021</v>
      </c>
      <c r="R639">
        <v>5.4772790000000002E-2</v>
      </c>
      <c r="S639">
        <v>3.2374269999999998</v>
      </c>
      <c r="T639">
        <v>-0.2448591</v>
      </c>
      <c r="U639">
        <v>-0.37194820000000001</v>
      </c>
      <c r="V639">
        <v>-5.3559080000000002E-2</v>
      </c>
      <c r="W639">
        <v>0.30550890000000003</v>
      </c>
      <c r="X639">
        <v>0.95068169999999996</v>
      </c>
      <c r="Y639">
        <v>0.1149987</v>
      </c>
      <c r="Z639">
        <v>-5.260051E-3</v>
      </c>
      <c r="AA639">
        <v>0.99335169999999995</v>
      </c>
      <c r="AB639">
        <v>37</v>
      </c>
      <c r="AC639">
        <v>13.781700000000001</v>
      </c>
      <c r="AD639">
        <v>-1.0606301880089899</v>
      </c>
      <c r="AE639">
        <v>-1.6115000000000299</v>
      </c>
      <c r="AF639">
        <v>1.61938223310903</v>
      </c>
      <c r="AG639">
        <v>-1.0606301880089899</v>
      </c>
      <c r="AH639">
        <v>13.6996161087904</v>
      </c>
      <c r="AI639">
        <v>94.3965448593964</v>
      </c>
      <c r="AJ639">
        <v>83.258555154664904</v>
      </c>
      <c r="AK639">
        <v>13.835708031787</v>
      </c>
      <c r="AL639">
        <v>72.211216450588395</v>
      </c>
      <c r="AM639">
        <v>93.224495427834796</v>
      </c>
      <c r="AN639">
        <v>0.99999997887227199</v>
      </c>
    </row>
    <row r="640" spans="1:40" x14ac:dyDescent="0.25">
      <c r="A640" t="str">
        <f>"20190304164607389"</f>
        <v>20190304164607389</v>
      </c>
      <c r="B640" t="str">
        <f>"1551689167378126"</f>
        <v>1551689167378126</v>
      </c>
      <c r="C640" t="s">
        <v>40</v>
      </c>
      <c r="D640">
        <v>4.3186849999999897</v>
      </c>
      <c r="E640">
        <v>0.58362809999999998</v>
      </c>
      <c r="F640" t="s">
        <v>41</v>
      </c>
      <c r="G640">
        <v>-289.28179999999998</v>
      </c>
      <c r="H640">
        <v>0.99679980000000001</v>
      </c>
      <c r="I640">
        <v>367.54669999999999</v>
      </c>
      <c r="J640">
        <v>-289.76889999999997</v>
      </c>
      <c r="K640">
        <v>1.060624</v>
      </c>
      <c r="L640">
        <v>367.64420000000001</v>
      </c>
      <c r="M640">
        <v>0.99988969999999999</v>
      </c>
      <c r="N640">
        <v>-1.4801440000000001E-2</v>
      </c>
      <c r="O640">
        <v>1.2586159999999999E-3</v>
      </c>
      <c r="P640">
        <v>0.95498649999999996</v>
      </c>
      <c r="Q640">
        <v>0.2915179</v>
      </c>
      <c r="R640">
        <v>5.4937979999999997E-2</v>
      </c>
      <c r="S640">
        <v>3.237762</v>
      </c>
      <c r="T640">
        <v>-0.24605050000000001</v>
      </c>
      <c r="U640">
        <v>-0.37319950000000002</v>
      </c>
      <c r="V640">
        <v>-5.3723809999999997E-2</v>
      </c>
      <c r="W640">
        <v>0.30562420000000001</v>
      </c>
      <c r="X640">
        <v>0.95063540000000002</v>
      </c>
      <c r="Y640">
        <v>0.1153614</v>
      </c>
      <c r="Z640">
        <v>-5.2974210000000001E-3</v>
      </c>
      <c r="AA640">
        <v>0.99330940000000001</v>
      </c>
      <c r="AB640">
        <v>37</v>
      </c>
      <c r="AC640">
        <v>0.48709999999999798</v>
      </c>
      <c r="AD640">
        <v>-6.3824199999999998E-2</v>
      </c>
      <c r="AE640">
        <v>-9.7500000000024997E-2</v>
      </c>
      <c r="AF640">
        <v>9.6519789175085899E-2</v>
      </c>
      <c r="AG640">
        <v>-6.3824199999999998E-2</v>
      </c>
      <c r="AH640">
        <v>0.47906879564348998</v>
      </c>
      <c r="AI640">
        <v>97.440785909201196</v>
      </c>
      <c r="AJ640">
        <v>78.608898331791295</v>
      </c>
      <c r="AK640">
        <v>0.49284531971740098</v>
      </c>
      <c r="AL640">
        <v>72.204279374330298</v>
      </c>
      <c r="AM640">
        <v>93.234549078846996</v>
      </c>
      <c r="AN640">
        <v>1.0000000315598501</v>
      </c>
    </row>
    <row r="641" spans="1:40" x14ac:dyDescent="0.25">
      <c r="A641" t="str">
        <f>"20190304164607404"</f>
        <v>20190304164607404</v>
      </c>
      <c r="B641" t="str">
        <f>"1551689167398621"</f>
        <v>1551689167398621</v>
      </c>
      <c r="C641" t="s">
        <v>40</v>
      </c>
      <c r="D641">
        <v>4.2944339999999999</v>
      </c>
      <c r="E641">
        <v>0.58365739999999999</v>
      </c>
      <c r="F641" t="s">
        <v>41</v>
      </c>
      <c r="G641">
        <v>-288.95299999999997</v>
      </c>
      <c r="H641">
        <v>0.99750459999999996</v>
      </c>
      <c r="I641">
        <v>367.55029999999999</v>
      </c>
      <c r="J641">
        <v>-289.5324</v>
      </c>
      <c r="K641">
        <v>1.0606249999999999</v>
      </c>
      <c r="L641">
        <v>367.64449999999999</v>
      </c>
      <c r="M641">
        <v>0.9998899</v>
      </c>
      <c r="N641">
        <v>-1.4801140000000001E-2</v>
      </c>
      <c r="O641">
        <v>1.258618E-3</v>
      </c>
      <c r="P641">
        <v>0.95503450000000001</v>
      </c>
      <c r="Q641">
        <v>0.29133019999999998</v>
      </c>
      <c r="R641">
        <v>5.510309E-2</v>
      </c>
      <c r="S641">
        <v>3.2393190000000001</v>
      </c>
      <c r="T641">
        <v>-0.25071670000000001</v>
      </c>
      <c r="U641">
        <v>-0.37216189999999999</v>
      </c>
      <c r="V641">
        <v>-5.3889489999999998E-2</v>
      </c>
      <c r="W641">
        <v>0.30543710000000002</v>
      </c>
      <c r="X641">
        <v>0.95068609999999998</v>
      </c>
      <c r="Y641">
        <v>0.1149809</v>
      </c>
      <c r="Z641">
        <v>-5.3621650000000003E-3</v>
      </c>
      <c r="AA641">
        <v>0.99335320000000005</v>
      </c>
      <c r="AB641">
        <v>37</v>
      </c>
      <c r="AC641">
        <v>0.57940000000002101</v>
      </c>
      <c r="AD641">
        <v>-6.3120399999999799E-2</v>
      </c>
      <c r="AE641">
        <v>-9.42000000000007E-2</v>
      </c>
      <c r="AF641">
        <v>9.3844174610271794E-2</v>
      </c>
      <c r="AG641">
        <v>-6.3120399999999799E-2</v>
      </c>
      <c r="AH641">
        <v>0.57265958678763795</v>
      </c>
      <c r="AI641">
        <v>96.207793584784596</v>
      </c>
      <c r="AJ641">
        <v>80.693416071880506</v>
      </c>
      <c r="AK641">
        <v>0.58372075202465701</v>
      </c>
      <c r="AL641">
        <v>72.215536817033893</v>
      </c>
      <c r="AM641">
        <v>93.244330236042401</v>
      </c>
      <c r="AN641">
        <v>0.99999997996103895</v>
      </c>
    </row>
    <row r="642" spans="1:40" x14ac:dyDescent="0.25">
      <c r="A642" t="str">
        <f>"20190304164607423"</f>
        <v>20190304164607423</v>
      </c>
      <c r="B642" t="str">
        <f>"1551689167418142"</f>
        <v>1551689167418142</v>
      </c>
      <c r="C642" t="s">
        <v>40</v>
      </c>
      <c r="D642">
        <v>4.3033710000000003</v>
      </c>
      <c r="E642">
        <v>0.58372939999999995</v>
      </c>
      <c r="F642" t="s">
        <v>41</v>
      </c>
      <c r="G642">
        <v>-288.63130000000001</v>
      </c>
      <c r="H642">
        <v>0.98993430000000004</v>
      </c>
      <c r="I642">
        <v>367.54109999999997</v>
      </c>
      <c r="J642">
        <v>-289.21230000000003</v>
      </c>
      <c r="K642">
        <v>1.060627</v>
      </c>
      <c r="L642">
        <v>367.64490000000001</v>
      </c>
      <c r="M642">
        <v>0.99988969999999999</v>
      </c>
      <c r="N642">
        <v>-1.480043E-2</v>
      </c>
      <c r="O642">
        <v>1.2589809999999999E-3</v>
      </c>
      <c r="P642">
        <v>0.95504889999999998</v>
      </c>
      <c r="Q642">
        <v>0.29120770000000001</v>
      </c>
      <c r="R642">
        <v>5.5495969999999999E-2</v>
      </c>
      <c r="S642">
        <v>3.240265</v>
      </c>
      <c r="T642">
        <v>-0.25422820000000002</v>
      </c>
      <c r="U642">
        <v>-0.37127690000000002</v>
      </c>
      <c r="V642">
        <v>-5.4281589999999998E-2</v>
      </c>
      <c r="W642">
        <v>0.30531399999999997</v>
      </c>
      <c r="X642">
        <v>0.95070330000000003</v>
      </c>
      <c r="Y642">
        <v>0.1146713</v>
      </c>
      <c r="Z642">
        <v>-5.4097190000000003E-3</v>
      </c>
      <c r="AA642">
        <v>0.99338879999999996</v>
      </c>
      <c r="AB642">
        <v>37</v>
      </c>
      <c r="AC642">
        <v>0.58100000000001695</v>
      </c>
      <c r="AD642">
        <v>-7.06926999999999E-2</v>
      </c>
      <c r="AE642">
        <v>-0.103800000000035</v>
      </c>
      <c r="AF642">
        <v>0.103052997196075</v>
      </c>
      <c r="AG642">
        <v>-7.06926999999999E-2</v>
      </c>
      <c r="AH642">
        <v>0.57265316990578896</v>
      </c>
      <c r="AI642">
        <v>96.927258822191305</v>
      </c>
      <c r="AJ642">
        <v>79.7984077818343</v>
      </c>
      <c r="AK642">
        <v>0.58613055803936098</v>
      </c>
      <c r="AL642">
        <v>72.222943138359</v>
      </c>
      <c r="AM642">
        <v>93.267826017017398</v>
      </c>
      <c r="AN642">
        <v>0.99999994711990703</v>
      </c>
    </row>
    <row r="643" spans="1:40" x14ac:dyDescent="0.25">
      <c r="A643" t="str">
        <f>"20190304164607436"</f>
        <v>20190304164607436</v>
      </c>
      <c r="B643" t="str">
        <f>"1551689167428877"</f>
        <v>1551689167428877</v>
      </c>
      <c r="C643" t="s">
        <v>40</v>
      </c>
      <c r="D643">
        <v>4.2973239999999997</v>
      </c>
      <c r="E643">
        <v>0.58375949999999999</v>
      </c>
      <c r="F643" t="s">
        <v>41</v>
      </c>
      <c r="G643">
        <v>-288.30399999999997</v>
      </c>
      <c r="H643">
        <v>0.98925850000000004</v>
      </c>
      <c r="I643">
        <v>367.54109999999997</v>
      </c>
      <c r="J643">
        <v>-288.98860000000002</v>
      </c>
      <c r="K643">
        <v>1.060629</v>
      </c>
      <c r="L643">
        <v>367.64519999999999</v>
      </c>
      <c r="M643">
        <v>0.99988969999999999</v>
      </c>
      <c r="N643">
        <v>-1.479977E-2</v>
      </c>
      <c r="O643">
        <v>1.2591049999999999E-3</v>
      </c>
      <c r="P643">
        <v>0.95512209999999997</v>
      </c>
      <c r="Q643">
        <v>0.29095670000000001</v>
      </c>
      <c r="R643">
        <v>5.5553270000000002E-2</v>
      </c>
      <c r="S643">
        <v>3.240326</v>
      </c>
      <c r="T643">
        <v>-0.25462249999999997</v>
      </c>
      <c r="U643">
        <v>-0.37051390000000001</v>
      </c>
      <c r="V643">
        <v>-5.433876E-2</v>
      </c>
      <c r="W643">
        <v>0.3050639</v>
      </c>
      <c r="X643">
        <v>0.95078039999999997</v>
      </c>
      <c r="Y643">
        <v>0.1144381</v>
      </c>
      <c r="Z643">
        <v>-5.4058780000000002E-3</v>
      </c>
      <c r="AA643">
        <v>0.99341570000000001</v>
      </c>
      <c r="AB643">
        <v>37</v>
      </c>
      <c r="AC643">
        <v>0.684599999999989</v>
      </c>
      <c r="AD643">
        <v>-7.1370500000000101E-2</v>
      </c>
      <c r="AE643">
        <v>-0.104100000000016</v>
      </c>
      <c r="AF643">
        <v>0.10385873170537099</v>
      </c>
      <c r="AG643">
        <v>-7.1370500000000101E-2</v>
      </c>
      <c r="AH643">
        <v>0.67727387137958195</v>
      </c>
      <c r="AI643">
        <v>95.9465694454546</v>
      </c>
      <c r="AJ643">
        <v>81.281710589922298</v>
      </c>
      <c r="AK643">
        <v>0.68889787434363903</v>
      </c>
      <c r="AL643">
        <v>72.237992162230796</v>
      </c>
      <c r="AM643">
        <v>93.270995563987597</v>
      </c>
      <c r="AN643">
        <v>1.0000000264728499</v>
      </c>
    </row>
    <row r="644" spans="1:40" x14ac:dyDescent="0.25">
      <c r="A644" t="str">
        <f>"20190304164607449"</f>
        <v>20190304164607449</v>
      </c>
      <c r="B644" t="str">
        <f>"1551689167438637"</f>
        <v>1551689167438637</v>
      </c>
      <c r="C644" t="s">
        <v>40</v>
      </c>
      <c r="D644">
        <v>4.3240889999999998</v>
      </c>
      <c r="E644">
        <v>0.58378790000000003</v>
      </c>
      <c r="F644" t="s">
        <v>41</v>
      </c>
      <c r="G644">
        <v>-287.98070000000001</v>
      </c>
      <c r="H644">
        <v>0.98106899999999997</v>
      </c>
      <c r="I644">
        <v>367.52969999999999</v>
      </c>
      <c r="J644">
        <v>-288.78789999999998</v>
      </c>
      <c r="K644">
        <v>1.0606340000000001</v>
      </c>
      <c r="L644">
        <v>367.6454</v>
      </c>
      <c r="M644">
        <v>0.99988969999999999</v>
      </c>
      <c r="N644">
        <v>-1.4799049999999999E-2</v>
      </c>
      <c r="O644">
        <v>1.2592899999999999E-3</v>
      </c>
      <c r="P644">
        <v>0.95507600000000004</v>
      </c>
      <c r="Q644">
        <v>0.29106100000000001</v>
      </c>
      <c r="R644">
        <v>5.5798029999999998E-2</v>
      </c>
      <c r="S644">
        <v>3.2405089999999999</v>
      </c>
      <c r="T644">
        <v>-0.25594679999999997</v>
      </c>
      <c r="U644">
        <v>-0.37088009999999999</v>
      </c>
      <c r="V644">
        <v>-5.45835E-2</v>
      </c>
      <c r="W644">
        <v>0.30516650000000001</v>
      </c>
      <c r="X644">
        <v>0.95073339999999995</v>
      </c>
      <c r="Y644">
        <v>0.1145385</v>
      </c>
      <c r="Z644">
        <v>-5.4339849999999997E-3</v>
      </c>
      <c r="AA644">
        <v>0.99340399999999995</v>
      </c>
      <c r="AB644">
        <v>37</v>
      </c>
      <c r="AC644">
        <v>0.80719999999996594</v>
      </c>
      <c r="AD644">
        <v>-7.9564999999999997E-2</v>
      </c>
      <c r="AE644">
        <v>-0.11570000000000299</v>
      </c>
      <c r="AF644">
        <v>0.115615823488651</v>
      </c>
      <c r="AG644">
        <v>-7.9564999999999997E-2</v>
      </c>
      <c r="AH644">
        <v>0.79944272574165698</v>
      </c>
      <c r="AI644">
        <v>95.625535037099098</v>
      </c>
      <c r="AJ644">
        <v>81.770908740522401</v>
      </c>
      <c r="AK644">
        <v>0.81166882384825501</v>
      </c>
      <c r="AL644">
        <v>72.231818309910196</v>
      </c>
      <c r="AM644">
        <v>93.285857889364493</v>
      </c>
      <c r="AN644">
        <v>0.99999997453502898</v>
      </c>
    </row>
    <row r="645" spans="1:40" x14ac:dyDescent="0.25">
      <c r="A645" t="str">
        <f>"20190304164607463"</f>
        <v>20190304164607463</v>
      </c>
      <c r="B645" t="str">
        <f>"1551689167458158"</f>
        <v>1551689167458158</v>
      </c>
      <c r="C645" t="s">
        <v>40</v>
      </c>
      <c r="D645">
        <v>4.2965660000000003</v>
      </c>
      <c r="E645">
        <v>0.5838719</v>
      </c>
      <c r="F645" t="s">
        <v>41</v>
      </c>
      <c r="G645">
        <v>-287.97160000000002</v>
      </c>
      <c r="H645">
        <v>0.99613819999999997</v>
      </c>
      <c r="I645">
        <v>367.5521</v>
      </c>
      <c r="J645">
        <v>-288.57279999999997</v>
      </c>
      <c r="K645">
        <v>1.0606390000000001</v>
      </c>
      <c r="L645">
        <v>367.64580000000001</v>
      </c>
      <c r="M645">
        <v>0.99988969999999999</v>
      </c>
      <c r="N645">
        <v>-1.4798169999999999E-2</v>
      </c>
      <c r="O645">
        <v>1.259296E-3</v>
      </c>
      <c r="P645">
        <v>0.95504860000000003</v>
      </c>
      <c r="Q645">
        <v>0.2910972</v>
      </c>
      <c r="R645">
        <v>5.6078450000000002E-2</v>
      </c>
      <c r="S645">
        <v>3.2408450000000002</v>
      </c>
      <c r="T645">
        <v>-0.25630829999999999</v>
      </c>
      <c r="U645">
        <v>-0.37008669999999999</v>
      </c>
      <c r="V645">
        <v>-5.4863919999999997E-2</v>
      </c>
      <c r="W645">
        <v>0.305201</v>
      </c>
      <c r="X645">
        <v>0.95070619999999995</v>
      </c>
      <c r="Y645">
        <v>0.1142867</v>
      </c>
      <c r="Z645">
        <v>-5.4282150000000001E-3</v>
      </c>
      <c r="AA645">
        <v>0.99343300000000001</v>
      </c>
      <c r="AB645">
        <v>37</v>
      </c>
      <c r="AC645">
        <v>0.601199999999948</v>
      </c>
      <c r="AD645">
        <v>-6.45007999999999E-2</v>
      </c>
      <c r="AE645">
        <v>-9.3700000000012496E-2</v>
      </c>
      <c r="AF645">
        <v>9.3407433032303297E-2</v>
      </c>
      <c r="AG645">
        <v>-6.45007999999999E-2</v>
      </c>
      <c r="AH645">
        <v>0.59440193334564395</v>
      </c>
      <c r="AI645">
        <v>96.118640787936698</v>
      </c>
      <c r="AJ645">
        <v>81.069276797560306</v>
      </c>
      <c r="AK645">
        <v>0.60514375160895695</v>
      </c>
      <c r="AL645">
        <v>72.229742852903996</v>
      </c>
      <c r="AM645">
        <v>93.302795828288197</v>
      </c>
      <c r="AN645">
        <v>0.99999998941860302</v>
      </c>
    </row>
    <row r="646" spans="1:40" x14ac:dyDescent="0.25">
      <c r="A646" t="str">
        <f>"20190304164607477"</f>
        <v>20190304164607477</v>
      </c>
      <c r="B646" t="str">
        <f>"1551689167468894"</f>
        <v>1551689167468894</v>
      </c>
      <c r="C646" t="s">
        <v>40</v>
      </c>
      <c r="D646">
        <v>4.3094979999999996</v>
      </c>
      <c r="E646">
        <v>0.58390769999999903</v>
      </c>
      <c r="F646" t="s">
        <v>41</v>
      </c>
      <c r="G646">
        <v>-287.65089999999998</v>
      </c>
      <c r="H646">
        <v>0.98747070000000003</v>
      </c>
      <c r="I646">
        <v>367.54050000000001</v>
      </c>
      <c r="J646">
        <v>-288.3175</v>
      </c>
      <c r="K646">
        <v>1.0606450000000001</v>
      </c>
      <c r="L646">
        <v>367.64609999999999</v>
      </c>
      <c r="M646">
        <v>0.9998899</v>
      </c>
      <c r="N646">
        <v>-1.479697E-2</v>
      </c>
      <c r="O646">
        <v>1.259484E-3</v>
      </c>
      <c r="P646">
        <v>0.95494460000000003</v>
      </c>
      <c r="Q646">
        <v>0.29141529999999999</v>
      </c>
      <c r="R646">
        <v>5.6198110000000003E-2</v>
      </c>
      <c r="S646">
        <v>3.2413639999999999</v>
      </c>
      <c r="T646">
        <v>-0.25731999999999999</v>
      </c>
      <c r="U646">
        <v>-0.36993409999999999</v>
      </c>
      <c r="V646">
        <v>-5.4983209999999998E-2</v>
      </c>
      <c r="W646">
        <v>0.30551660000000003</v>
      </c>
      <c r="X646">
        <v>0.9505979</v>
      </c>
      <c r="Y646">
        <v>0.1142201</v>
      </c>
      <c r="Z646">
        <v>-5.4424109999999899E-3</v>
      </c>
      <c r="AA646">
        <v>0.99344060000000001</v>
      </c>
      <c r="AB646">
        <v>37</v>
      </c>
      <c r="AC646">
        <v>0.66660000000001596</v>
      </c>
      <c r="AD646">
        <v>-7.3174299999999998E-2</v>
      </c>
      <c r="AE646">
        <v>-0.105599999999981</v>
      </c>
      <c r="AF646">
        <v>0.105202921012006</v>
      </c>
      <c r="AG646">
        <v>-7.3174299999999998E-2</v>
      </c>
      <c r="AH646">
        <v>0.65872317241973499</v>
      </c>
      <c r="AI646">
        <v>96.260026029034407</v>
      </c>
      <c r="AJ646">
        <v>80.926073852012095</v>
      </c>
      <c r="AK646">
        <v>0.67107253754915996</v>
      </c>
      <c r="AL646">
        <v>72.210752715854198</v>
      </c>
      <c r="AM646">
        <v>93.310337369948101</v>
      </c>
      <c r="AN646">
        <v>0.99999995687093601</v>
      </c>
    </row>
    <row r="647" spans="1:40" x14ac:dyDescent="0.25">
      <c r="A647" t="str">
        <f>"20190304164607501"</f>
        <v>20190304164607501</v>
      </c>
      <c r="B647" t="str">
        <f>"1551689167488414"</f>
        <v>1551689167488414</v>
      </c>
      <c r="C647" t="s">
        <v>40</v>
      </c>
      <c r="D647">
        <v>4.3126749999999996</v>
      </c>
      <c r="E647">
        <v>0.58392860000000002</v>
      </c>
      <c r="F647" t="s">
        <v>41</v>
      </c>
      <c r="G647">
        <v>-287.32690000000002</v>
      </c>
      <c r="H647">
        <v>0.98214889999999999</v>
      </c>
      <c r="I647">
        <v>367.53269999999998</v>
      </c>
      <c r="J647">
        <v>-287.94850000000002</v>
      </c>
      <c r="K647">
        <v>1.060646</v>
      </c>
      <c r="L647">
        <v>367.6465</v>
      </c>
      <c r="M647">
        <v>0.99988980000000005</v>
      </c>
      <c r="N647">
        <v>-1.4794979999999999E-2</v>
      </c>
      <c r="O647">
        <v>1.259678E-3</v>
      </c>
      <c r="P647">
        <v>0.95469219999999999</v>
      </c>
      <c r="Q647">
        <v>0.2921531</v>
      </c>
      <c r="R647">
        <v>5.6651640000000003E-2</v>
      </c>
      <c r="S647">
        <v>3.2418209999999998</v>
      </c>
      <c r="T647">
        <v>-0.25693440000000001</v>
      </c>
      <c r="U647">
        <v>-0.37081910000000001</v>
      </c>
      <c r="V647">
        <v>-5.5436829999999999E-2</v>
      </c>
      <c r="W647">
        <v>0.30624879999999999</v>
      </c>
      <c r="X647">
        <v>0.95033590000000001</v>
      </c>
      <c r="Y647">
        <v>0.11447259999999999</v>
      </c>
      <c r="Z647">
        <v>-5.4465490000000002E-3</v>
      </c>
      <c r="AA647">
        <v>0.9934115</v>
      </c>
      <c r="AB647">
        <v>37</v>
      </c>
      <c r="AC647">
        <v>0.62160000000000004</v>
      </c>
      <c r="AD647">
        <v>-7.8497099999999903E-2</v>
      </c>
      <c r="AE647">
        <v>-0.11380000000002601</v>
      </c>
      <c r="AF647">
        <v>0.112841854392529</v>
      </c>
      <c r="AG647">
        <v>-7.8497099999999903E-2</v>
      </c>
      <c r="AH647">
        <v>0.61201274501533098</v>
      </c>
      <c r="AI647">
        <v>97.189008821407199</v>
      </c>
      <c r="AJ647">
        <v>79.553229058997601</v>
      </c>
      <c r="AK647">
        <v>0.62725965825354602</v>
      </c>
      <c r="AL647">
        <v>72.166688524254695</v>
      </c>
      <c r="AM647">
        <v>93.338504742467705</v>
      </c>
      <c r="AN647">
        <v>0.99999994622534705</v>
      </c>
    </row>
    <row r="648" spans="1:40" x14ac:dyDescent="0.25">
      <c r="A648" t="str">
        <f>"20190304164607524"</f>
        <v>20190304164607524</v>
      </c>
      <c r="B648" t="str">
        <f>"1551689167518670"</f>
        <v>1551689167518670</v>
      </c>
      <c r="C648" t="s">
        <v>40</v>
      </c>
      <c r="D648">
        <v>4.3137439999999998</v>
      </c>
      <c r="E648">
        <v>0.58407379999999998</v>
      </c>
      <c r="F648" t="s">
        <v>41</v>
      </c>
      <c r="G648">
        <v>-286.99919999999997</v>
      </c>
      <c r="H648">
        <v>0.98575000000000002</v>
      </c>
      <c r="I648">
        <v>367.53820000000002</v>
      </c>
      <c r="J648">
        <v>-287.56830000000002</v>
      </c>
      <c r="K648">
        <v>1.0606519999999999</v>
      </c>
      <c r="L648">
        <v>367.64690000000002</v>
      </c>
      <c r="M648">
        <v>0.99988980000000005</v>
      </c>
      <c r="N648">
        <v>-1.4792639999999999E-2</v>
      </c>
      <c r="O648">
        <v>1.2596949999999999E-3</v>
      </c>
      <c r="P648">
        <v>0.95477489999999998</v>
      </c>
      <c r="Q648">
        <v>0.29187629999999998</v>
      </c>
      <c r="R648">
        <v>5.668289E-2</v>
      </c>
      <c r="S648">
        <v>3.2425839999999999</v>
      </c>
      <c r="T648">
        <v>-0.25576070000000001</v>
      </c>
      <c r="U648">
        <v>-0.36999510000000002</v>
      </c>
      <c r="V648">
        <v>-5.546831E-2</v>
      </c>
      <c r="W648">
        <v>0.3059711</v>
      </c>
      <c r="X648">
        <v>0.95042360000000004</v>
      </c>
      <c r="Y648">
        <v>0.1142017</v>
      </c>
      <c r="Z648">
        <v>-5.41173E-3</v>
      </c>
      <c r="AA648">
        <v>0.99344279999999996</v>
      </c>
      <c r="AB648">
        <v>37</v>
      </c>
      <c r="AC648">
        <v>0.56910000000004801</v>
      </c>
      <c r="AD648">
        <v>-7.4902000000000094E-2</v>
      </c>
      <c r="AE648">
        <v>-0.10869999999999801</v>
      </c>
      <c r="AF648">
        <v>0.107618287642785</v>
      </c>
      <c r="AG648">
        <v>-7.4902000000000094E-2</v>
      </c>
      <c r="AH648">
        <v>0.55960998575022602</v>
      </c>
      <c r="AI648">
        <v>97.487939936929607</v>
      </c>
      <c r="AJ648">
        <v>79.114375920573394</v>
      </c>
      <c r="AK648">
        <v>0.57476546659531802</v>
      </c>
      <c r="AL648">
        <v>72.183403473854995</v>
      </c>
      <c r="AM648">
        <v>93.340088696501297</v>
      </c>
      <c r="AN648">
        <v>1.00000003344321</v>
      </c>
    </row>
    <row r="649" spans="1:40" x14ac:dyDescent="0.25">
      <c r="A649" t="str">
        <f>"20190304164607538"</f>
        <v>20190304164607538</v>
      </c>
      <c r="B649" t="str">
        <f>"1551689167528430"</f>
        <v>1551689167528430</v>
      </c>
      <c r="C649" t="s">
        <v>40</v>
      </c>
      <c r="D649">
        <v>4.3142820000000004</v>
      </c>
      <c r="E649">
        <v>0.58413380000000004</v>
      </c>
      <c r="F649" t="s">
        <v>41</v>
      </c>
      <c r="G649">
        <v>-286.67180000000002</v>
      </c>
      <c r="H649">
        <v>0.98918969999999995</v>
      </c>
      <c r="I649">
        <v>367.54399999999998</v>
      </c>
      <c r="J649">
        <v>-287.3408</v>
      </c>
      <c r="K649">
        <v>1.060651</v>
      </c>
      <c r="L649">
        <v>367.6472</v>
      </c>
      <c r="M649">
        <v>0.99988980000000005</v>
      </c>
      <c r="N649">
        <v>-1.4791139999999999E-2</v>
      </c>
      <c r="O649">
        <v>1.2598850000000001E-3</v>
      </c>
      <c r="P649">
        <v>0.95486649999999995</v>
      </c>
      <c r="Q649">
        <v>0.29160000000000003</v>
      </c>
      <c r="R649">
        <v>5.6565520000000001E-2</v>
      </c>
      <c r="S649">
        <v>3.2432859999999999</v>
      </c>
      <c r="T649">
        <v>-0.25869389999999998</v>
      </c>
      <c r="U649">
        <v>-0.37176510000000001</v>
      </c>
      <c r="V649">
        <v>-5.5350650000000001E-2</v>
      </c>
      <c r="W649">
        <v>0.30569499999999999</v>
      </c>
      <c r="X649">
        <v>0.95051929999999996</v>
      </c>
      <c r="Y649">
        <v>0.11470229999999999</v>
      </c>
      <c r="Z649">
        <v>-5.4865460000000001E-3</v>
      </c>
      <c r="AA649">
        <v>0.99338479999999996</v>
      </c>
      <c r="AB649">
        <v>36</v>
      </c>
      <c r="AC649">
        <v>0.66899999999998205</v>
      </c>
      <c r="AD649">
        <v>-7.1461300000000005E-2</v>
      </c>
      <c r="AE649">
        <v>-0.10319999999995801</v>
      </c>
      <c r="AF649">
        <v>0.10289610678191299</v>
      </c>
      <c r="AG649">
        <v>-7.1461300000000005E-2</v>
      </c>
      <c r="AH649">
        <v>0.66149711686919499</v>
      </c>
      <c r="AI649">
        <v>96.093020051177106</v>
      </c>
      <c r="AJ649">
        <v>81.158476757337695</v>
      </c>
      <c r="AK649">
        <v>0.67325534666634601</v>
      </c>
      <c r="AL649">
        <v>72.200018969260597</v>
      </c>
      <c r="AM649">
        <v>93.332684834907297</v>
      </c>
      <c r="AN649">
        <v>1.0000000335764501</v>
      </c>
    </row>
    <row r="650" spans="1:40" x14ac:dyDescent="0.25">
      <c r="A650" t="str">
        <f>"20190304164607559"</f>
        <v>20190304164607559</v>
      </c>
      <c r="B650" t="str">
        <f>"1551689167548926"</f>
        <v>1551689167548926</v>
      </c>
      <c r="C650" t="s">
        <v>40</v>
      </c>
      <c r="D650">
        <v>4.3055209999999997</v>
      </c>
      <c r="E650">
        <v>0.58423999999999998</v>
      </c>
      <c r="F650" t="s">
        <v>41</v>
      </c>
      <c r="G650">
        <v>-286.3503</v>
      </c>
      <c r="H650">
        <v>0.98118039999999995</v>
      </c>
      <c r="I650">
        <v>367.5333</v>
      </c>
      <c r="J650">
        <v>-287.00290000000001</v>
      </c>
      <c r="K650">
        <v>1.0606580000000001</v>
      </c>
      <c r="L650">
        <v>367.64760000000001</v>
      </c>
      <c r="M650">
        <v>0.99988999999999995</v>
      </c>
      <c r="N650">
        <v>-1.478874E-2</v>
      </c>
      <c r="O650">
        <v>1.260082E-3</v>
      </c>
      <c r="P650">
        <v>0.95496179999999997</v>
      </c>
      <c r="Q650">
        <v>0.29123500000000002</v>
      </c>
      <c r="R650">
        <v>5.6835440000000001E-2</v>
      </c>
      <c r="S650">
        <v>3.243347</v>
      </c>
      <c r="T650">
        <v>-0.26016099999999998</v>
      </c>
      <c r="U650">
        <v>-0.37323000000000001</v>
      </c>
      <c r="V650">
        <v>-5.5619929999999998E-2</v>
      </c>
      <c r="W650">
        <v>0.30532900000000002</v>
      </c>
      <c r="X650">
        <v>0.95062120000000006</v>
      </c>
      <c r="Y650">
        <v>0.11513710000000001</v>
      </c>
      <c r="Z650">
        <v>-5.5331410000000001E-3</v>
      </c>
      <c r="AA650">
        <v>0.99333419999999895</v>
      </c>
      <c r="AB650">
        <v>36</v>
      </c>
      <c r="AC650">
        <v>0.65260000000000595</v>
      </c>
      <c r="AD650">
        <v>-7.9477599999999995E-2</v>
      </c>
      <c r="AE650">
        <v>-0.114300000000014</v>
      </c>
      <c r="AF650">
        <v>0.11348917272244299</v>
      </c>
      <c r="AG650">
        <v>-7.9477599999999995E-2</v>
      </c>
      <c r="AH650">
        <v>0.64319953303913902</v>
      </c>
      <c r="AI650">
        <v>96.938001416753593</v>
      </c>
      <c r="AJ650">
        <v>79.993456614453905</v>
      </c>
      <c r="AK650">
        <v>0.65795297744500802</v>
      </c>
      <c r="AL650">
        <v>72.222041950780095</v>
      </c>
      <c r="AM650">
        <v>93.348503321973297</v>
      </c>
      <c r="AN650">
        <v>1.00000002037182</v>
      </c>
    </row>
    <row r="651" spans="1:40" x14ac:dyDescent="0.25">
      <c r="A651" t="str">
        <f>"20190304164607580"</f>
        <v>20190304164607580</v>
      </c>
      <c r="B651" t="str">
        <f>"1551689167568446"</f>
        <v>1551689167568446</v>
      </c>
      <c r="C651" t="s">
        <v>40</v>
      </c>
      <c r="D651">
        <v>4.3294240000000004</v>
      </c>
      <c r="E651">
        <v>0.58435760000000003</v>
      </c>
      <c r="F651" t="s">
        <v>41</v>
      </c>
      <c r="G651">
        <v>-286.02510000000001</v>
      </c>
      <c r="H651">
        <v>0.9816532</v>
      </c>
      <c r="I651">
        <v>367.53489999999999</v>
      </c>
      <c r="J651">
        <v>-286.65469999999999</v>
      </c>
      <c r="K651">
        <v>1.060662</v>
      </c>
      <c r="L651">
        <v>367.6481</v>
      </c>
      <c r="M651">
        <v>0.99988999999999995</v>
      </c>
      <c r="N651">
        <v>-1.478611E-2</v>
      </c>
      <c r="O651">
        <v>1.26022E-3</v>
      </c>
      <c r="P651">
        <v>0.9547892</v>
      </c>
      <c r="Q651">
        <v>0.2917669</v>
      </c>
      <c r="R651">
        <v>5.7008660000000003E-2</v>
      </c>
      <c r="S651">
        <v>3.243744</v>
      </c>
      <c r="T651">
        <v>-0.26227099999999998</v>
      </c>
      <c r="U651">
        <v>-0.37350460000000002</v>
      </c>
      <c r="V651">
        <v>-5.5793629999999997E-2</v>
      </c>
      <c r="W651">
        <v>0.30585580000000001</v>
      </c>
      <c r="X651">
        <v>0.95044169999999994</v>
      </c>
      <c r="Y651">
        <v>0.1151998</v>
      </c>
      <c r="Z651">
        <v>-5.5733839999999998E-3</v>
      </c>
      <c r="AA651">
        <v>0.99332670000000001</v>
      </c>
      <c r="AB651">
        <v>36</v>
      </c>
      <c r="AC651">
        <v>0.62959999999998195</v>
      </c>
      <c r="AD651">
        <v>-7.9008800000000101E-2</v>
      </c>
      <c r="AE651">
        <v>-0.113200000000006</v>
      </c>
      <c r="AF651">
        <v>0.112280621703474</v>
      </c>
      <c r="AG651">
        <v>-7.9008800000000101E-2</v>
      </c>
      <c r="AH651">
        <v>0.61999891696365905</v>
      </c>
      <c r="AI651">
        <v>97.1472489506599</v>
      </c>
      <c r="AJ651">
        <v>79.735096363455</v>
      </c>
      <c r="AK651">
        <v>0.635018098579615</v>
      </c>
      <c r="AL651">
        <v>72.190342861978706</v>
      </c>
      <c r="AM651">
        <v>93.359569643148902</v>
      </c>
      <c r="AN651">
        <v>1.0000000623205501</v>
      </c>
    </row>
    <row r="652" spans="1:40" x14ac:dyDescent="0.25">
      <c r="A652" t="str">
        <f>"20190304164607601"</f>
        <v>20190304164607601</v>
      </c>
      <c r="B652" t="str">
        <f>"1551689167588942"</f>
        <v>1551689167588942</v>
      </c>
      <c r="C652" t="s">
        <v>40</v>
      </c>
      <c r="D652">
        <v>4.3203440000000004</v>
      </c>
      <c r="E652">
        <v>0.58444339999999995</v>
      </c>
      <c r="F652" t="s">
        <v>41</v>
      </c>
      <c r="G652">
        <v>-285.69959999999998</v>
      </c>
      <c r="H652">
        <v>0.98376629999999998</v>
      </c>
      <c r="I652">
        <v>367.5378</v>
      </c>
      <c r="J652">
        <v>-286.31900000000002</v>
      </c>
      <c r="K652">
        <v>1.0606709999999999</v>
      </c>
      <c r="L652">
        <v>367.64850000000001</v>
      </c>
      <c r="M652">
        <v>0.99988999999999995</v>
      </c>
      <c r="N652">
        <v>-1.478345E-2</v>
      </c>
      <c r="O652">
        <v>1.260239E-3</v>
      </c>
      <c r="P652">
        <v>0.95456960000000002</v>
      </c>
      <c r="Q652">
        <v>0.29254540000000001</v>
      </c>
      <c r="R652">
        <v>5.669308E-2</v>
      </c>
      <c r="S652">
        <v>3.244202</v>
      </c>
      <c r="T652">
        <v>-0.26119940000000003</v>
      </c>
      <c r="U652">
        <v>-0.37445070000000003</v>
      </c>
      <c r="V652">
        <v>-5.5478199999999901E-2</v>
      </c>
      <c r="W652">
        <v>0.30662879999999998</v>
      </c>
      <c r="X652">
        <v>0.95021100000000003</v>
      </c>
      <c r="Y652">
        <v>0.11547209999999999</v>
      </c>
      <c r="Z652">
        <v>-5.566143E-3</v>
      </c>
      <c r="AA652">
        <v>0.99329509999999999</v>
      </c>
      <c r="AB652">
        <v>36</v>
      </c>
      <c r="AC652">
        <v>0.61940000000004103</v>
      </c>
      <c r="AD652">
        <v>-7.6904699999999798E-2</v>
      </c>
      <c r="AE652">
        <v>-0.110700000000008</v>
      </c>
      <c r="AF652">
        <v>0.109839743187268</v>
      </c>
      <c r="AG652">
        <v>-7.6904699999999798E-2</v>
      </c>
      <c r="AH652">
        <v>0.61014530002671896</v>
      </c>
      <c r="AI652">
        <v>97.071370717202498</v>
      </c>
      <c r="AJ652">
        <v>79.794790236889895</v>
      </c>
      <c r="AK652">
        <v>0.62470504176789698</v>
      </c>
      <c r="AL652">
        <v>72.143816681798697</v>
      </c>
      <c r="AM652">
        <v>93.341428635895895</v>
      </c>
      <c r="AN652">
        <v>0.99999999809283902</v>
      </c>
    </row>
    <row r="653" spans="1:40" x14ac:dyDescent="0.25">
      <c r="A653" t="str">
        <f>"20190304164607624"</f>
        <v>20190304164607624</v>
      </c>
      <c r="B653" t="str">
        <f>"1551689167618222"</f>
        <v>1551689167618222</v>
      </c>
      <c r="C653" t="s">
        <v>40</v>
      </c>
      <c r="D653">
        <v>4.3303729999999998</v>
      </c>
      <c r="E653">
        <v>0.58460049999999997</v>
      </c>
      <c r="F653" t="s">
        <v>41</v>
      </c>
      <c r="G653">
        <v>-285.37479999999999</v>
      </c>
      <c r="H653">
        <v>0.98492780000000002</v>
      </c>
      <c r="I653">
        <v>367.53919999999999</v>
      </c>
      <c r="J653">
        <v>-285.93639999999999</v>
      </c>
      <c r="K653">
        <v>1.0606719999999901</v>
      </c>
      <c r="L653">
        <v>367.649</v>
      </c>
      <c r="M653">
        <v>0.9998901</v>
      </c>
      <c r="N653">
        <v>-1.478026E-2</v>
      </c>
      <c r="O653">
        <v>1.2606189999999999E-3</v>
      </c>
      <c r="P653">
        <v>0.95415779999999994</v>
      </c>
      <c r="Q653">
        <v>0.29383749999999997</v>
      </c>
      <c r="R653">
        <v>5.6944689999999999E-2</v>
      </c>
      <c r="S653">
        <v>3.2448429999999999</v>
      </c>
      <c r="T653">
        <v>-0.2604243</v>
      </c>
      <c r="U653">
        <v>-0.37481690000000001</v>
      </c>
      <c r="V653">
        <v>-5.5729849999999997E-2</v>
      </c>
      <c r="W653">
        <v>0.30791160000000001</v>
      </c>
      <c r="X653">
        <v>0.9497814</v>
      </c>
      <c r="Y653">
        <v>0.115563</v>
      </c>
      <c r="Z653">
        <v>-5.5553529999999999E-3</v>
      </c>
      <c r="AA653">
        <v>0.99328459999999996</v>
      </c>
      <c r="AB653">
        <v>36</v>
      </c>
      <c r="AC653">
        <v>0.56159999999999799</v>
      </c>
      <c r="AD653">
        <v>-7.5744199999999803E-2</v>
      </c>
      <c r="AE653">
        <v>-0.109800000000006</v>
      </c>
      <c r="AF653">
        <v>0.108605109408452</v>
      </c>
      <c r="AG653">
        <v>-7.5744199999999803E-2</v>
      </c>
      <c r="AH653">
        <v>0.55179328412196904</v>
      </c>
      <c r="AI653">
        <v>97.670731261450101</v>
      </c>
      <c r="AJ653">
        <v>78.865251565806204</v>
      </c>
      <c r="AK653">
        <v>0.567457559668888</v>
      </c>
      <c r="AL653">
        <v>72.066581925817104</v>
      </c>
      <c r="AM653">
        <v>93.358065576390601</v>
      </c>
      <c r="AN653">
        <v>1.0000000386907699</v>
      </c>
    </row>
    <row r="654" spans="1:40" x14ac:dyDescent="0.25">
      <c r="A654" t="str">
        <f>"20190304164607638"</f>
        <v>20190304164607638</v>
      </c>
      <c r="B654" t="str">
        <f>"1551689167628958"</f>
        <v>1551689167628958</v>
      </c>
      <c r="C654" t="s">
        <v>40</v>
      </c>
      <c r="D654">
        <v>5.0318059999999996</v>
      </c>
      <c r="E654">
        <v>0.58460049999999997</v>
      </c>
      <c r="F654" t="s">
        <v>41</v>
      </c>
      <c r="G654">
        <v>-285.04840000000002</v>
      </c>
      <c r="H654">
        <v>0.99025419999999997</v>
      </c>
      <c r="I654">
        <v>367.54649999999998</v>
      </c>
      <c r="J654">
        <v>-285.70659999999998</v>
      </c>
      <c r="K654">
        <v>1.0606739999999999</v>
      </c>
      <c r="L654">
        <v>367.64920000000001</v>
      </c>
      <c r="M654">
        <v>0.99988999999999995</v>
      </c>
      <c r="N654">
        <v>-1.477825E-2</v>
      </c>
      <c r="O654">
        <v>1.260812E-3</v>
      </c>
      <c r="P654">
        <v>0.9540708</v>
      </c>
      <c r="Q654">
        <v>0.29412509999999997</v>
      </c>
      <c r="R654">
        <v>5.6917700000000002E-2</v>
      </c>
      <c r="S654">
        <v>3.2457889999999998</v>
      </c>
      <c r="T654">
        <v>-0.25743529999999998</v>
      </c>
      <c r="U654">
        <v>-0.37457279999999998</v>
      </c>
      <c r="V654">
        <v>-5.5702729999999999E-2</v>
      </c>
      <c r="W654">
        <v>0.30819600000000003</v>
      </c>
      <c r="X654">
        <v>0.9496907</v>
      </c>
      <c r="Y654">
        <v>0.11546629999999999</v>
      </c>
      <c r="Z654">
        <v>-5.4953999999999897E-3</v>
      </c>
      <c r="AA654">
        <v>0.99329619999999996</v>
      </c>
      <c r="AB654">
        <v>36</v>
      </c>
      <c r="AC654">
        <v>0.65819999999996504</v>
      </c>
      <c r="AD654">
        <v>-7.0419799999999894E-2</v>
      </c>
      <c r="AE654">
        <v>-0.10270000000002701</v>
      </c>
      <c r="AF654">
        <v>0.102385768048308</v>
      </c>
      <c r="AG654">
        <v>-7.0419799999999894E-2</v>
      </c>
      <c r="AH654">
        <v>0.65079765385203303</v>
      </c>
      <c r="AI654">
        <v>96.101216530463205</v>
      </c>
      <c r="AJ654">
        <v>81.059309242347098</v>
      </c>
      <c r="AK654">
        <v>0.66255519014659703</v>
      </c>
      <c r="AL654">
        <v>72.049453288567705</v>
      </c>
      <c r="AM654">
        <v>93.356754989490099</v>
      </c>
      <c r="AN654">
        <v>0.99999999710597098</v>
      </c>
    </row>
    <row r="655" spans="1:40" x14ac:dyDescent="0.25">
      <c r="A655" t="str">
        <f>"20190304164607657"</f>
        <v>20190304164607657</v>
      </c>
      <c r="B655" t="str">
        <f>"1551689167648481"</f>
        <v>1551689167648481</v>
      </c>
      <c r="C655" t="s">
        <v>40</v>
      </c>
      <c r="D655">
        <v>4.2901369999999996</v>
      </c>
      <c r="E655">
        <v>0.58429690000000001</v>
      </c>
      <c r="F655" t="s">
        <v>41</v>
      </c>
      <c r="G655">
        <v>-284.72809999999998</v>
      </c>
      <c r="H655">
        <v>0.98341659999999997</v>
      </c>
      <c r="I655">
        <v>367.53609999999998</v>
      </c>
      <c r="J655">
        <v>-285.40199999999999</v>
      </c>
      <c r="K655">
        <v>1.0606850000000001</v>
      </c>
      <c r="L655">
        <v>367.64960000000002</v>
      </c>
      <c r="M655">
        <v>0.99989019999999995</v>
      </c>
      <c r="N655">
        <v>-1.477551E-2</v>
      </c>
      <c r="O655">
        <v>1.260831E-3</v>
      </c>
      <c r="P655">
        <v>0.95369970000000004</v>
      </c>
      <c r="Q655">
        <v>0.29528759999999998</v>
      </c>
      <c r="R655">
        <v>5.7118099999999998E-2</v>
      </c>
      <c r="S655">
        <v>3.245819</v>
      </c>
      <c r="T655">
        <v>-0.25656469999999998</v>
      </c>
      <c r="U655">
        <v>-0.37442019999999998</v>
      </c>
      <c r="V655">
        <v>-5.5903050000000003E-2</v>
      </c>
      <c r="W655">
        <v>0.30934980000000001</v>
      </c>
      <c r="X655">
        <v>0.94930369999999997</v>
      </c>
      <c r="Y655">
        <v>0.1154221</v>
      </c>
      <c r="Z655">
        <v>-5.4774350000000001E-3</v>
      </c>
      <c r="AA655">
        <v>0.99330149999999995</v>
      </c>
      <c r="AB655">
        <v>36</v>
      </c>
      <c r="AC655">
        <v>0.67390000000000305</v>
      </c>
      <c r="AD655">
        <v>-7.7268400000000098E-2</v>
      </c>
      <c r="AE655">
        <v>-0.113500000000044</v>
      </c>
      <c r="AF655">
        <v>0.11290628780652601</v>
      </c>
      <c r="AG655">
        <v>-7.7268400000000098E-2</v>
      </c>
      <c r="AH655">
        <v>0.665251797070605</v>
      </c>
      <c r="AI655">
        <v>96.532575359531904</v>
      </c>
      <c r="AJ655">
        <v>80.367568302190193</v>
      </c>
      <c r="AK655">
        <v>0.67917463805009703</v>
      </c>
      <c r="AL655">
        <v>71.979948871854106</v>
      </c>
      <c r="AM655">
        <v>93.370169094122701</v>
      </c>
      <c r="AN655">
        <v>0.99999998229651599</v>
      </c>
    </row>
    <row r="656" spans="1:40" x14ac:dyDescent="0.25">
      <c r="A656" t="str">
        <f>"20190304164607679"</f>
        <v>20190304164607679</v>
      </c>
      <c r="B656" t="str">
        <f>"1551689167668975"</f>
        <v>1551689167668975</v>
      </c>
      <c r="C656" t="s">
        <v>40</v>
      </c>
      <c r="D656">
        <v>4.2772129999999997</v>
      </c>
      <c r="E656">
        <v>0.58326489999999998</v>
      </c>
      <c r="F656" t="s">
        <v>41</v>
      </c>
      <c r="G656">
        <v>-284.40480000000002</v>
      </c>
      <c r="H656">
        <v>0.98381419999999997</v>
      </c>
      <c r="I656">
        <v>367.53579999999999</v>
      </c>
      <c r="J656">
        <v>-285.04629999999997</v>
      </c>
      <c r="K656">
        <v>1.0606869999999999</v>
      </c>
      <c r="L656">
        <v>367.65</v>
      </c>
      <c r="M656">
        <v>0.9998901</v>
      </c>
      <c r="N656">
        <v>-1.4772230000000001E-2</v>
      </c>
      <c r="O656">
        <v>1.2610329999999999E-3</v>
      </c>
      <c r="P656">
        <v>0.95344470000000003</v>
      </c>
      <c r="Q656">
        <v>0.29624339999999999</v>
      </c>
      <c r="R656">
        <v>5.642018E-2</v>
      </c>
      <c r="S656">
        <v>3.2452700000000001</v>
      </c>
      <c r="T656">
        <v>-0.25017479999999997</v>
      </c>
      <c r="U656">
        <v>-0.37026979999999998</v>
      </c>
      <c r="V656">
        <v>-5.5205629999999999E-2</v>
      </c>
      <c r="W656">
        <v>0.31029869999999998</v>
      </c>
      <c r="X656">
        <v>0.94903479999999996</v>
      </c>
      <c r="Y656">
        <v>0.1142108</v>
      </c>
      <c r="Z656">
        <v>-5.3075630000000004E-3</v>
      </c>
      <c r="AA656">
        <v>0.99344239999999995</v>
      </c>
      <c r="AB656">
        <v>36</v>
      </c>
      <c r="AC656">
        <v>0.64149999999995</v>
      </c>
      <c r="AD656">
        <v>-7.6872800000000102E-2</v>
      </c>
      <c r="AE656">
        <v>-0.114199999999982</v>
      </c>
      <c r="AF656">
        <v>0.11343013672633601</v>
      </c>
      <c r="AG656">
        <v>-7.6872800000000102E-2</v>
      </c>
      <c r="AH656">
        <v>0.63255110070186205</v>
      </c>
      <c r="AI656">
        <v>96.821317812351197</v>
      </c>
      <c r="AJ656">
        <v>79.833674959453901</v>
      </c>
      <c r="AK656">
        <v>0.64722230979527595</v>
      </c>
      <c r="AL656">
        <v>71.922767510598902</v>
      </c>
      <c r="AM656">
        <v>93.329160468546604</v>
      </c>
      <c r="AN656">
        <v>0.99999999820821295</v>
      </c>
    </row>
    <row r="657" spans="1:40" x14ac:dyDescent="0.25">
      <c r="A657" t="str">
        <f>"20190304164607703"</f>
        <v>20190304164607703</v>
      </c>
      <c r="B657" t="str">
        <f>"1551689167698254"</f>
        <v>1551689167698254</v>
      </c>
      <c r="C657" t="s">
        <v>40</v>
      </c>
      <c r="D657">
        <v>4.3571799999999996</v>
      </c>
      <c r="E657">
        <v>0.58177109999999999</v>
      </c>
      <c r="F657" t="s">
        <v>41</v>
      </c>
      <c r="G657">
        <v>-284.08019999999999</v>
      </c>
      <c r="H657">
        <v>0.98759949999999996</v>
      </c>
      <c r="I657">
        <v>367.54169999999999</v>
      </c>
      <c r="J657">
        <v>-284.67430000000002</v>
      </c>
      <c r="K657">
        <v>1.0606910000000001</v>
      </c>
      <c r="L657">
        <v>367.65050000000002</v>
      </c>
      <c r="M657">
        <v>0.99989030000000001</v>
      </c>
      <c r="N657">
        <v>-1.4768699999999999E-2</v>
      </c>
      <c r="O657">
        <v>1.2621990000000001E-3</v>
      </c>
      <c r="P657">
        <v>0.95343659999999997</v>
      </c>
      <c r="Q657">
        <v>0.29669909999999999</v>
      </c>
      <c r="R657">
        <v>5.4117119999999998E-2</v>
      </c>
      <c r="S657">
        <v>3.2442319999999998</v>
      </c>
      <c r="T657">
        <v>-0.2456439</v>
      </c>
      <c r="U657">
        <v>-0.36282350000000002</v>
      </c>
      <c r="V657">
        <v>-5.2901549999999999E-2</v>
      </c>
      <c r="W657">
        <v>0.3107511</v>
      </c>
      <c r="X657">
        <v>0.94901800000000003</v>
      </c>
      <c r="Y657">
        <v>0.1120164</v>
      </c>
      <c r="Z657">
        <v>-5.1293750000000003E-3</v>
      </c>
      <c r="AA657">
        <v>0.9936931</v>
      </c>
      <c r="AB657">
        <v>36</v>
      </c>
      <c r="AC657">
        <v>0.59410000000002505</v>
      </c>
      <c r="AD657">
        <v>-7.3091499999999907E-2</v>
      </c>
      <c r="AE657">
        <v>-0.10880000000003</v>
      </c>
      <c r="AF657">
        <v>0.107968670707625</v>
      </c>
      <c r="AG657">
        <v>-7.3091499999999907E-2</v>
      </c>
      <c r="AH657">
        <v>0.58538918412075702</v>
      </c>
      <c r="AI657">
        <v>97.000230016046999</v>
      </c>
      <c r="AJ657">
        <v>79.549857119985901</v>
      </c>
      <c r="AK657">
        <v>0.59973335584423504</v>
      </c>
      <c r="AL657">
        <v>71.895498769686995</v>
      </c>
      <c r="AM657">
        <v>93.190563198338793</v>
      </c>
      <c r="AN657">
        <v>0.99999999223380598</v>
      </c>
    </row>
    <row r="658" spans="1:40" x14ac:dyDescent="0.25">
      <c r="A658" t="str">
        <f>"20190304164607715"</f>
        <v>20190304164607715</v>
      </c>
      <c r="B658" t="str">
        <f>"1551689167708991"</f>
        <v>1551689167708991</v>
      </c>
      <c r="C658" t="s">
        <v>40</v>
      </c>
      <c r="D658">
        <v>4.3407920000000004</v>
      </c>
      <c r="E658">
        <v>0.5812541</v>
      </c>
      <c r="F658" t="s">
        <v>41</v>
      </c>
      <c r="G658">
        <v>-283.75529999999998</v>
      </c>
      <c r="H658">
        <v>0.99198169999999997</v>
      </c>
      <c r="I658">
        <v>367.54910000000001</v>
      </c>
      <c r="J658">
        <v>-284.45620000000002</v>
      </c>
      <c r="K658">
        <v>1.0606979999999999</v>
      </c>
      <c r="L658">
        <v>367.65069999999997</v>
      </c>
      <c r="M658">
        <v>0.99989030000000001</v>
      </c>
      <c r="N658">
        <v>-1.476658E-2</v>
      </c>
      <c r="O658">
        <v>1.264797E-3</v>
      </c>
      <c r="P658">
        <v>0.95345500000000005</v>
      </c>
      <c r="Q658">
        <v>0.2968925</v>
      </c>
      <c r="R658">
        <v>5.2713200000000002E-2</v>
      </c>
      <c r="S658">
        <v>3.2423099999999998</v>
      </c>
      <c r="T658">
        <v>-0.24248049999999999</v>
      </c>
      <c r="U658">
        <v>-0.35757450000000002</v>
      </c>
      <c r="V658">
        <v>-5.1495720000000002E-2</v>
      </c>
      <c r="W658">
        <v>0.31094240000000001</v>
      </c>
      <c r="X658">
        <v>0.94903269999999995</v>
      </c>
      <c r="Y658">
        <v>0.11050839999999899</v>
      </c>
      <c r="Z658">
        <v>-5.0094270000000003E-3</v>
      </c>
      <c r="AA658">
        <v>0.99386260000000004</v>
      </c>
      <c r="AB658">
        <v>36</v>
      </c>
      <c r="AC658">
        <v>0.70090000000004604</v>
      </c>
      <c r="AD658">
        <v>-6.8716299999999994E-2</v>
      </c>
      <c r="AE658">
        <v>-0.101599999999962</v>
      </c>
      <c r="AF658">
        <v>0.10153069663973199</v>
      </c>
      <c r="AG658">
        <v>-6.8716299999999994E-2</v>
      </c>
      <c r="AH658">
        <v>0.69423535696344596</v>
      </c>
      <c r="AI658">
        <v>95.593676091331702</v>
      </c>
      <c r="AJ658">
        <v>81.679579256391307</v>
      </c>
      <c r="AK658">
        <v>0.70497740609469395</v>
      </c>
      <c r="AL658">
        <v>71.883967416611398</v>
      </c>
      <c r="AM658">
        <v>93.105895962581499</v>
      </c>
      <c r="AN658">
        <v>1.00000002548268</v>
      </c>
    </row>
    <row r="659" spans="1:40" x14ac:dyDescent="0.25">
      <c r="A659" t="str">
        <f>"20190304164607736"</f>
        <v>20190304164607736</v>
      </c>
      <c r="B659" t="str">
        <f>"1551689167728513"</f>
        <v>1551689167728513</v>
      </c>
      <c r="C659" t="s">
        <v>40</v>
      </c>
      <c r="D659">
        <v>4.4790599999999996</v>
      </c>
      <c r="E659">
        <v>0.58042859999999996</v>
      </c>
      <c r="F659" t="s">
        <v>41</v>
      </c>
      <c r="G659">
        <v>-283.43709999999999</v>
      </c>
      <c r="H659">
        <v>0.9850352</v>
      </c>
      <c r="I659">
        <v>367.5378</v>
      </c>
      <c r="J659">
        <v>-284.13720000000001</v>
      </c>
      <c r="K659">
        <v>1.0607059999999999</v>
      </c>
      <c r="L659">
        <v>367.65120000000002</v>
      </c>
      <c r="M659">
        <v>0.99989039999999996</v>
      </c>
      <c r="N659">
        <v>-1.4763429999999999E-2</v>
      </c>
      <c r="O659">
        <v>1.2785730000000001E-3</v>
      </c>
      <c r="P659">
        <v>0.95348239999999995</v>
      </c>
      <c r="Q659">
        <v>0.2973866</v>
      </c>
      <c r="R659">
        <v>4.9324439999999997E-2</v>
      </c>
      <c r="S659">
        <v>3.2413020000000001</v>
      </c>
      <c r="T659">
        <v>-0.24082980000000001</v>
      </c>
      <c r="U659">
        <v>-0.35830689999999998</v>
      </c>
      <c r="V659">
        <v>-4.809869E-2</v>
      </c>
      <c r="W659">
        <v>0.31143270000000001</v>
      </c>
      <c r="X659">
        <v>0.94905019999999995</v>
      </c>
      <c r="Y659">
        <v>0.11078109999999999</v>
      </c>
      <c r="Z659">
        <v>-4.9948420000000002E-3</v>
      </c>
      <c r="AA659">
        <v>0.9938323</v>
      </c>
      <c r="AB659">
        <v>36</v>
      </c>
      <c r="AC659">
        <v>0.70010000000002004</v>
      </c>
      <c r="AD659">
        <v>-7.5670799999999996E-2</v>
      </c>
      <c r="AE659">
        <v>-0.11340000000001201</v>
      </c>
      <c r="AF659">
        <v>0.113008660371427</v>
      </c>
      <c r="AG659">
        <v>-7.5670799999999996E-2</v>
      </c>
      <c r="AH659">
        <v>0.69207593535705703</v>
      </c>
      <c r="AI659">
        <v>96.158938888509198</v>
      </c>
      <c r="AJ659">
        <v>80.726053904333597</v>
      </c>
      <c r="AK659">
        <v>0.70531278706112299</v>
      </c>
      <c r="AL659">
        <v>71.854408000152702</v>
      </c>
      <c r="AM659">
        <v>92.901317603344296</v>
      </c>
      <c r="AN659">
        <v>1.00000004636452</v>
      </c>
    </row>
    <row r="660" spans="1:40" x14ac:dyDescent="0.25">
      <c r="A660" t="str">
        <f>"20190304164607749"</f>
        <v>20190304164607749</v>
      </c>
      <c r="B660" t="str">
        <f>"1551689167738269"</f>
        <v>1551689167738269</v>
      </c>
      <c r="C660" t="s">
        <v>40</v>
      </c>
      <c r="D660">
        <v>4.4110849999999999</v>
      </c>
      <c r="E660">
        <v>0.58003130000000003</v>
      </c>
      <c r="F660" t="s">
        <v>41</v>
      </c>
      <c r="G660">
        <v>-283.11520000000002</v>
      </c>
      <c r="H660">
        <v>0.98548199999999997</v>
      </c>
      <c r="I660">
        <v>367.53609999999998</v>
      </c>
      <c r="J660">
        <v>-283.92410000000001</v>
      </c>
      <c r="K660">
        <v>1.060713</v>
      </c>
      <c r="L660">
        <v>367.65140000000002</v>
      </c>
      <c r="M660">
        <v>0.99989019999999995</v>
      </c>
      <c r="N660">
        <v>-1.476127E-2</v>
      </c>
      <c r="O660">
        <v>1.2987560000000001E-3</v>
      </c>
      <c r="P660">
        <v>0.95355919999999905</v>
      </c>
      <c r="Q660">
        <v>0.29748750000000002</v>
      </c>
      <c r="R660">
        <v>4.718207E-2</v>
      </c>
      <c r="S660">
        <v>3.2396240000000001</v>
      </c>
      <c r="T660">
        <v>-0.23857010000000001</v>
      </c>
      <c r="U660">
        <v>-0.36422729999999998</v>
      </c>
      <c r="V660">
        <v>-4.5942450000000003E-2</v>
      </c>
      <c r="W660">
        <v>0.31153189999999997</v>
      </c>
      <c r="X660">
        <v>0.94912450000000004</v>
      </c>
      <c r="Y660">
        <v>0.112651</v>
      </c>
      <c r="Z660">
        <v>-5.0408720000000001E-3</v>
      </c>
      <c r="AA660">
        <v>0.9936218</v>
      </c>
      <c r="AB660">
        <v>36</v>
      </c>
      <c r="AC660">
        <v>0.80889999999999396</v>
      </c>
      <c r="AD660">
        <v>-7.5231000000000006E-2</v>
      </c>
      <c r="AE660">
        <v>-0.115300000000047</v>
      </c>
      <c r="AF660">
        <v>0.115372508496149</v>
      </c>
      <c r="AG660">
        <v>-7.5231000000000006E-2</v>
      </c>
      <c r="AH660">
        <v>0.80195100119450202</v>
      </c>
      <c r="AI660">
        <v>95.304930443481396</v>
      </c>
      <c r="AJ660">
        <v>81.813326666473003</v>
      </c>
      <c r="AK660">
        <v>0.81369277211645297</v>
      </c>
      <c r="AL660">
        <v>71.848427238416207</v>
      </c>
      <c r="AM660">
        <v>92.771243911933496</v>
      </c>
      <c r="AN660">
        <v>1.00000007496492</v>
      </c>
    </row>
    <row r="661" spans="1:40" x14ac:dyDescent="0.25">
      <c r="A661" t="str">
        <f>"20190304164607765"</f>
        <v>20190304164607765</v>
      </c>
      <c r="B661" t="str">
        <f>"1551689167758765"</f>
        <v>1551689167758765</v>
      </c>
      <c r="C661" t="s">
        <v>40</v>
      </c>
      <c r="D661">
        <v>4.3963169999999998</v>
      </c>
      <c r="E661">
        <v>0.57933480000000004</v>
      </c>
      <c r="F661" t="s">
        <v>41</v>
      </c>
      <c r="G661">
        <v>-283.1044</v>
      </c>
      <c r="H661">
        <v>1.0004740000000001</v>
      </c>
      <c r="I661">
        <v>367.55810000000002</v>
      </c>
      <c r="J661">
        <v>-283.66210000000001</v>
      </c>
      <c r="K661">
        <v>1.060729</v>
      </c>
      <c r="L661">
        <v>367.65179999999998</v>
      </c>
      <c r="M661">
        <v>0.9998901</v>
      </c>
      <c r="N661">
        <v>-1.475863E-2</v>
      </c>
      <c r="O661">
        <v>1.336266E-3</v>
      </c>
      <c r="P661">
        <v>0.95364360000000004</v>
      </c>
      <c r="Q661">
        <v>0.29774539999999999</v>
      </c>
      <c r="R661">
        <v>4.3724890000000002E-2</v>
      </c>
      <c r="S661">
        <v>3.2386170000000001</v>
      </c>
      <c r="T661">
        <v>-0.2381595</v>
      </c>
      <c r="U661">
        <v>-0.36804199999999998</v>
      </c>
      <c r="V661">
        <v>-4.245989E-2</v>
      </c>
      <c r="W661">
        <v>0.31178699999999998</v>
      </c>
      <c r="X661">
        <v>0.94920280000000001</v>
      </c>
      <c r="Y661">
        <v>0.11387510000000001</v>
      </c>
      <c r="Z661">
        <v>-5.0906279999999998E-3</v>
      </c>
      <c r="AA661">
        <v>0.99348210000000003</v>
      </c>
      <c r="AB661">
        <v>36</v>
      </c>
      <c r="AC661">
        <v>0.55770000000001096</v>
      </c>
      <c r="AD661">
        <v>-6.0254999999999899E-2</v>
      </c>
      <c r="AE661">
        <v>-9.3699999999955694E-2</v>
      </c>
      <c r="AF661">
        <v>9.3385069314310704E-2</v>
      </c>
      <c r="AG661">
        <v>-6.0254999999999899E-2</v>
      </c>
      <c r="AH661">
        <v>0.55131541407476803</v>
      </c>
      <c r="AI661">
        <v>96.1503581624997</v>
      </c>
      <c r="AJ661">
        <v>80.386154009849903</v>
      </c>
      <c r="AK661">
        <v>0.56240565608133097</v>
      </c>
      <c r="AL661">
        <v>71.833042897522404</v>
      </c>
      <c r="AM661">
        <v>92.561256466193797</v>
      </c>
      <c r="AN661">
        <v>0.999999965577825</v>
      </c>
    </row>
    <row r="662" spans="1:40" x14ac:dyDescent="0.25">
      <c r="A662" t="str">
        <f>"20190304164607792"</f>
        <v>20190304164607792</v>
      </c>
      <c r="B662" t="str">
        <f>"1551689167778286"</f>
        <v>1551689167778286</v>
      </c>
      <c r="C662" t="s">
        <v>40</v>
      </c>
      <c r="D662">
        <v>4.2268549999999996</v>
      </c>
      <c r="E662">
        <v>0.57864550000000003</v>
      </c>
      <c r="F662" t="s">
        <v>41</v>
      </c>
      <c r="G662">
        <v>-282.78640000000001</v>
      </c>
      <c r="H662">
        <v>0.99649679999999996</v>
      </c>
      <c r="I662">
        <v>367.55040000000002</v>
      </c>
      <c r="J662">
        <v>-283.23070000000001</v>
      </c>
      <c r="K662">
        <v>1.0607569999999999</v>
      </c>
      <c r="L662">
        <v>367.6524</v>
      </c>
      <c r="M662">
        <v>0.9998901</v>
      </c>
      <c r="N662">
        <v>-1.475425E-2</v>
      </c>
      <c r="O662">
        <v>1.4372499999999999E-3</v>
      </c>
      <c r="P662">
        <v>0.95457069999999999</v>
      </c>
      <c r="Q662">
        <v>0.29579359999999999</v>
      </c>
      <c r="R662">
        <v>3.6071760000000001E-2</v>
      </c>
      <c r="S662">
        <v>3.2371219999999998</v>
      </c>
      <c r="T662">
        <v>-0.23749960000000001</v>
      </c>
      <c r="U662">
        <v>-0.37408449999999999</v>
      </c>
      <c r="V662">
        <v>-3.4733470000000002E-2</v>
      </c>
      <c r="W662">
        <v>0.30984270000000003</v>
      </c>
      <c r="X662">
        <v>0.95015320000000003</v>
      </c>
      <c r="Y662">
        <v>0.11585230000000001</v>
      </c>
      <c r="Z662">
        <v>-5.1729219999999999E-3</v>
      </c>
      <c r="AA662">
        <v>0.99325300000000005</v>
      </c>
      <c r="AB662">
        <v>36</v>
      </c>
      <c r="AC662">
        <v>0.44429999999999797</v>
      </c>
      <c r="AD662">
        <v>-6.4260199999999795E-2</v>
      </c>
      <c r="AE662">
        <v>-0.101999999999975</v>
      </c>
      <c r="AF662">
        <v>0.100638717888909</v>
      </c>
      <c r="AG662">
        <v>-6.4260199999999795E-2</v>
      </c>
      <c r="AH662">
        <v>0.43549901862755203</v>
      </c>
      <c r="AI662">
        <v>98.181159203304105</v>
      </c>
      <c r="AJ662">
        <v>76.988028684169706</v>
      </c>
      <c r="AK662">
        <v>0.451571611228966</v>
      </c>
      <c r="AL662">
        <v>71.950249029454298</v>
      </c>
      <c r="AM662">
        <v>92.093552376580803</v>
      </c>
      <c r="AN662">
        <v>1.00000000807588</v>
      </c>
    </row>
    <row r="663" spans="1:40" x14ac:dyDescent="0.25">
      <c r="A663" t="str">
        <f>"20190304164607815"</f>
        <v>20190304164607815</v>
      </c>
      <c r="B663" t="str">
        <f>"1551689167808545"</f>
        <v>1551689167808545</v>
      </c>
      <c r="C663" t="s">
        <v>40</v>
      </c>
      <c r="D663">
        <v>4.3594619999999997</v>
      </c>
      <c r="E663">
        <v>0.57768679999999994</v>
      </c>
      <c r="F663" t="s">
        <v>42</v>
      </c>
      <c r="G663">
        <v>-269.13470000000001</v>
      </c>
      <c r="H663" s="1">
        <v>-1.2606460000000001E-6</v>
      </c>
      <c r="I663">
        <v>365.93259999999998</v>
      </c>
      <c r="J663">
        <v>-282.8802</v>
      </c>
      <c r="K663">
        <v>1.0607879999999901</v>
      </c>
      <c r="L663">
        <v>367.65300000000002</v>
      </c>
      <c r="M663">
        <v>0.99988999999999995</v>
      </c>
      <c r="N663">
        <v>-1.475067E-2</v>
      </c>
      <c r="O663">
        <v>1.5681200000000001E-3</v>
      </c>
      <c r="P663">
        <v>0.95528440000000003</v>
      </c>
      <c r="Q663">
        <v>0.29398920000000001</v>
      </c>
      <c r="R663">
        <v>3.1659390000000003E-2</v>
      </c>
      <c r="S663">
        <v>3.233063</v>
      </c>
      <c r="T663">
        <v>-0.24329580000000001</v>
      </c>
      <c r="U663">
        <v>-0.3944397</v>
      </c>
      <c r="V663">
        <v>-3.0220980000000001E-2</v>
      </c>
      <c r="W663">
        <v>0.30804320000000002</v>
      </c>
      <c r="X663">
        <v>0.95089230000000002</v>
      </c>
      <c r="Y663">
        <v>0.12224930000000001</v>
      </c>
      <c r="Z663">
        <v>-5.5772919999999898E-3</v>
      </c>
      <c r="AA663">
        <v>0.99248369999999997</v>
      </c>
      <c r="AB663">
        <v>36</v>
      </c>
      <c r="AC663">
        <v>13.7454999999999</v>
      </c>
      <c r="AD663">
        <v>-1.0607892606460001</v>
      </c>
      <c r="AE663">
        <v>-1.7204000000000399</v>
      </c>
      <c r="AF663">
        <v>1.7317997224081201</v>
      </c>
      <c r="AG663">
        <v>-1.0607892606460001</v>
      </c>
      <c r="AH663">
        <v>13.6626684895345</v>
      </c>
      <c r="AI663">
        <v>94.404518665684805</v>
      </c>
      <c r="AJ663">
        <v>82.776046816236004</v>
      </c>
      <c r="AK663">
        <v>13.8127808347543</v>
      </c>
      <c r="AL663">
        <v>72.058656667847302</v>
      </c>
      <c r="AM663">
        <v>91.820344917573607</v>
      </c>
      <c r="AN663">
        <v>1.0000000434488401</v>
      </c>
    </row>
    <row r="664" spans="1:40" x14ac:dyDescent="0.25">
      <c r="A664" t="str">
        <f>"20190304164607836"</f>
        <v>20190304164607836</v>
      </c>
      <c r="B664" t="str">
        <f>"1551689167828061"</f>
        <v>1551689167828061</v>
      </c>
      <c r="C664" t="s">
        <v>40</v>
      </c>
      <c r="D664">
        <v>4.4347580000000004</v>
      </c>
      <c r="E664">
        <v>0.57702569999999997</v>
      </c>
      <c r="F664" t="s">
        <v>41</v>
      </c>
      <c r="G664">
        <v>-281.83449999999999</v>
      </c>
      <c r="H664">
        <v>0.98064030000000002</v>
      </c>
      <c r="I664">
        <v>367.52289999999999</v>
      </c>
      <c r="J664">
        <v>-282.52069999999998</v>
      </c>
      <c r="K664">
        <v>1.060816</v>
      </c>
      <c r="L664">
        <v>367.65370000000001</v>
      </c>
      <c r="M664">
        <v>0.99988969999999999</v>
      </c>
      <c r="N664">
        <v>-1.474702E-2</v>
      </c>
      <c r="O664">
        <v>1.7471850000000001E-3</v>
      </c>
      <c r="P664">
        <v>0.95545740000000001</v>
      </c>
      <c r="Q664">
        <v>0.29388120000000001</v>
      </c>
      <c r="R664">
        <v>2.711469E-2</v>
      </c>
      <c r="S664">
        <v>3.2299500000000001</v>
      </c>
      <c r="T664">
        <v>-0.24765880000000001</v>
      </c>
      <c r="U664">
        <v>-0.40151979999999998</v>
      </c>
      <c r="V664">
        <v>-2.5532760000000002E-2</v>
      </c>
      <c r="W664">
        <v>0.30793290000000001</v>
      </c>
      <c r="X664">
        <v>0.95106539999999995</v>
      </c>
      <c r="Y664">
        <v>0.1246617</v>
      </c>
      <c r="Z664">
        <v>-5.7860269999999896E-3</v>
      </c>
      <c r="AA664">
        <v>0.99218240000000002</v>
      </c>
      <c r="AB664">
        <v>36</v>
      </c>
      <c r="AC664">
        <v>0.68619999999998504</v>
      </c>
      <c r="AD664">
        <v>-8.0175699999999905E-2</v>
      </c>
      <c r="AE664">
        <v>-0.13080000000002101</v>
      </c>
      <c r="AF664">
        <v>0.13028263738409701</v>
      </c>
      <c r="AG664">
        <v>-8.0175699999999905E-2</v>
      </c>
      <c r="AH664">
        <v>0.67705160268503195</v>
      </c>
      <c r="AI664">
        <v>96.632881103149899</v>
      </c>
      <c r="AJ664">
        <v>79.107911357261401</v>
      </c>
      <c r="AK664">
        <v>0.69411856420399498</v>
      </c>
      <c r="AL664">
        <v>72.065298369579097</v>
      </c>
      <c r="AM664">
        <v>91.537820722788794</v>
      </c>
      <c r="AN664">
        <v>0.99999999390639305</v>
      </c>
    </row>
    <row r="665" spans="1:40" x14ac:dyDescent="0.25">
      <c r="A665" t="str">
        <f>"20190304164607858"</f>
        <v>20190304164607858</v>
      </c>
      <c r="B665" t="str">
        <f>"1551689167848561"</f>
        <v>1551689167848561</v>
      </c>
      <c r="C665" t="s">
        <v>40</v>
      </c>
      <c r="D665">
        <v>4.3954399999999998</v>
      </c>
      <c r="E665">
        <v>0.5764667</v>
      </c>
      <c r="F665" t="s">
        <v>41</v>
      </c>
      <c r="G665">
        <v>-281.51339999999999</v>
      </c>
      <c r="H665">
        <v>0.98330569999999895</v>
      </c>
      <c r="I665">
        <v>367.52530000000002</v>
      </c>
      <c r="J665">
        <v>-282.18</v>
      </c>
      <c r="K665">
        <v>1.0608489999999999</v>
      </c>
      <c r="L665">
        <v>367.65449999999998</v>
      </c>
      <c r="M665">
        <v>0.99988949999999999</v>
      </c>
      <c r="N665">
        <v>-1.47435E-2</v>
      </c>
      <c r="O665">
        <v>1.9483059999999999E-3</v>
      </c>
      <c r="P665">
        <v>0.95548670000000002</v>
      </c>
      <c r="Q665">
        <v>0.2940837</v>
      </c>
      <c r="R665">
        <v>2.367E-2</v>
      </c>
      <c r="S665">
        <v>3.2279659999999999</v>
      </c>
      <c r="T665">
        <v>-0.2486266</v>
      </c>
      <c r="U665">
        <v>-0.41064450000000002</v>
      </c>
      <c r="V665">
        <v>-2.1918489999999999E-2</v>
      </c>
      <c r="W665">
        <v>0.30813210000000002</v>
      </c>
      <c r="X665">
        <v>0.95109109999999997</v>
      </c>
      <c r="Y665">
        <v>0.12768199999999999</v>
      </c>
      <c r="Z665">
        <v>-5.9576909999999898E-3</v>
      </c>
      <c r="AA665">
        <v>0.99179729999999999</v>
      </c>
      <c r="AB665">
        <v>36</v>
      </c>
      <c r="AC665">
        <v>0.66660000000001596</v>
      </c>
      <c r="AD665">
        <v>-7.7543299999999996E-2</v>
      </c>
      <c r="AE665">
        <v>-0.12919999999996801</v>
      </c>
      <c r="AF665">
        <v>0.12881859210747901</v>
      </c>
      <c r="AG665">
        <v>-7.7543299999999996E-2</v>
      </c>
      <c r="AH665">
        <v>0.65776840935769298</v>
      </c>
      <c r="AI665">
        <v>96.599252360502803</v>
      </c>
      <c r="AJ665">
        <v>78.9193299956424</v>
      </c>
      <c r="AK665">
        <v>0.67473437247289603</v>
      </c>
      <c r="AL665">
        <v>72.053302687729698</v>
      </c>
      <c r="AM665">
        <v>91.3201834353642</v>
      </c>
      <c r="AN665">
        <v>1.00000004587674</v>
      </c>
    </row>
    <row r="666" spans="1:40" x14ac:dyDescent="0.25">
      <c r="A666" t="str">
        <f>"20190304164607880"</f>
        <v>20190304164607880</v>
      </c>
      <c r="B666" t="str">
        <f>"1551689167868078"</f>
        <v>1551689167868078</v>
      </c>
      <c r="C666" t="s">
        <v>40</v>
      </c>
      <c r="D666">
        <v>4.2964869999999999</v>
      </c>
      <c r="E666">
        <v>0.57591190000000003</v>
      </c>
      <c r="F666" t="s">
        <v>41</v>
      </c>
      <c r="G666">
        <v>-281.19229999999999</v>
      </c>
      <c r="H666">
        <v>0.98520929999999995</v>
      </c>
      <c r="I666">
        <v>367.52620000000002</v>
      </c>
      <c r="J666">
        <v>-281.82089999999999</v>
      </c>
      <c r="K666">
        <v>1.0608759999999999</v>
      </c>
      <c r="L666">
        <v>367.65550000000002</v>
      </c>
      <c r="M666">
        <v>0.99988900000000003</v>
      </c>
      <c r="N666">
        <v>-1.473971E-2</v>
      </c>
      <c r="O666">
        <v>2.1882540000000002E-3</v>
      </c>
      <c r="P666">
        <v>0.95525729999999998</v>
      </c>
      <c r="Q666">
        <v>0.29504029999999998</v>
      </c>
      <c r="R666">
        <v>2.0849949999999999E-2</v>
      </c>
      <c r="S666">
        <v>3.2261959999999998</v>
      </c>
      <c r="T666">
        <v>-0.24718190000000001</v>
      </c>
      <c r="U666">
        <v>-0.41839599999999999</v>
      </c>
      <c r="V666">
        <v>-1.8889130000000001E-2</v>
      </c>
      <c r="W666">
        <v>0.3090813</v>
      </c>
      <c r="X666">
        <v>0.95084800000000003</v>
      </c>
      <c r="Y666">
        <v>0.13032679999999999</v>
      </c>
      <c r="Z666">
        <v>-6.0654719999999997E-3</v>
      </c>
      <c r="AA666">
        <v>0.99145249999999996</v>
      </c>
      <c r="AB666">
        <v>36</v>
      </c>
      <c r="AC666">
        <v>0.62860000000000504</v>
      </c>
      <c r="AD666">
        <v>-7.5666699999999795E-2</v>
      </c>
      <c r="AE666">
        <v>-0.1293</v>
      </c>
      <c r="AF666">
        <v>0.12888369113329201</v>
      </c>
      <c r="AG666">
        <v>-7.5666699999999795E-2</v>
      </c>
      <c r="AH666">
        <v>0.61970071253024395</v>
      </c>
      <c r="AI666">
        <v>96.817013985734604</v>
      </c>
      <c r="AJ666">
        <v>78.251262213746102</v>
      </c>
      <c r="AK666">
        <v>0.63746798228579604</v>
      </c>
      <c r="AL666">
        <v>71.996125612288793</v>
      </c>
      <c r="AM666">
        <v>91.138063173610604</v>
      </c>
      <c r="AN666">
        <v>0.99999998417292302</v>
      </c>
    </row>
    <row r="667" spans="1:40" x14ac:dyDescent="0.25">
      <c r="A667" t="str">
        <f>"20190304164607904"</f>
        <v>20190304164607904</v>
      </c>
      <c r="B667" t="str">
        <f>"1551689167898334"</f>
        <v>1551689167898334</v>
      </c>
      <c r="C667" t="s">
        <v>40</v>
      </c>
      <c r="D667">
        <v>4.3420069999999997</v>
      </c>
      <c r="E667">
        <v>0.5751096</v>
      </c>
      <c r="F667" t="s">
        <v>41</v>
      </c>
      <c r="G667">
        <v>-280.87020000000001</v>
      </c>
      <c r="H667">
        <v>0.98919369999999995</v>
      </c>
      <c r="I667">
        <v>367.53050000000002</v>
      </c>
      <c r="J667">
        <v>-281.45569999999998</v>
      </c>
      <c r="K667">
        <v>1.0608959999999901</v>
      </c>
      <c r="L667">
        <v>367.65660000000003</v>
      </c>
      <c r="M667">
        <v>0.99988849999999996</v>
      </c>
      <c r="N667">
        <v>-1.473583E-2</v>
      </c>
      <c r="O667">
        <v>2.4529410000000001E-3</v>
      </c>
      <c r="P667">
        <v>0.95522629999999997</v>
      </c>
      <c r="Q667">
        <v>0.2953057</v>
      </c>
      <c r="R667">
        <v>1.8373790000000001E-2</v>
      </c>
      <c r="S667">
        <v>3.2249150000000002</v>
      </c>
      <c r="T667">
        <v>-0.24323500000000001</v>
      </c>
      <c r="U667">
        <v>-0.42376710000000001</v>
      </c>
      <c r="V667">
        <v>-1.617447E-2</v>
      </c>
      <c r="W667">
        <v>0.30934260000000002</v>
      </c>
      <c r="X667">
        <v>0.95081309999999997</v>
      </c>
      <c r="Y667">
        <v>0.13226889999999999</v>
      </c>
      <c r="Z667">
        <v>-6.0882189999999997E-3</v>
      </c>
      <c r="AA667">
        <v>0.99119520000000005</v>
      </c>
      <c r="AB667">
        <v>36</v>
      </c>
      <c r="AC667">
        <v>0.58549999999996705</v>
      </c>
      <c r="AD667">
        <v>-7.1702299999999802E-2</v>
      </c>
      <c r="AE667">
        <v>-0.12610000000000801</v>
      </c>
      <c r="AF667">
        <v>0.12573389653300199</v>
      </c>
      <c r="AG667">
        <v>-7.1702299999999802E-2</v>
      </c>
      <c r="AH667">
        <v>0.57692019956131002</v>
      </c>
      <c r="AI667">
        <v>96.923763110259898</v>
      </c>
      <c r="AJ667">
        <v>77.705219128052505</v>
      </c>
      <c r="AK667">
        <v>0.59480009181617</v>
      </c>
      <c r="AL667">
        <v>71.980383091826198</v>
      </c>
      <c r="AM667">
        <v>90.9745758549671</v>
      </c>
      <c r="AN667">
        <v>1.0000000043930699</v>
      </c>
    </row>
    <row r="668" spans="1:40" x14ac:dyDescent="0.25">
      <c r="A668" t="str">
        <f>"20190304164607925"</f>
        <v>20190304164607925</v>
      </c>
      <c r="B668" t="str">
        <f>"1551689167918830"</f>
        <v>1551689167918830</v>
      </c>
      <c r="C668" t="s">
        <v>40</v>
      </c>
      <c r="D668">
        <v>4.1767709999999996</v>
      </c>
      <c r="E668">
        <v>0.57487149999999998</v>
      </c>
      <c r="F668" t="s">
        <v>41</v>
      </c>
      <c r="G668">
        <v>-280.5487</v>
      </c>
      <c r="H668">
        <v>0.99310339999999997</v>
      </c>
      <c r="I668">
        <v>367.53699999999998</v>
      </c>
      <c r="J668">
        <v>-281.10300000000001</v>
      </c>
      <c r="K668">
        <v>1.0610360000000001</v>
      </c>
      <c r="L668">
        <v>367.6576</v>
      </c>
      <c r="M668">
        <v>0.99988030000000006</v>
      </c>
      <c r="N668">
        <v>-1.524437E-2</v>
      </c>
      <c r="O668">
        <v>2.6985109999999998E-3</v>
      </c>
      <c r="P668">
        <v>0.95541909999999997</v>
      </c>
      <c r="Q668">
        <v>0.29479300000000003</v>
      </c>
      <c r="R668">
        <v>1.648759E-2</v>
      </c>
      <c r="S668">
        <v>3.2232669999999999</v>
      </c>
      <c r="T668">
        <v>-0.24102000000000001</v>
      </c>
      <c r="U668">
        <v>-0.42416379999999998</v>
      </c>
      <c r="V668">
        <v>-1.405635E-2</v>
      </c>
      <c r="W668">
        <v>0.30931760000000003</v>
      </c>
      <c r="X668">
        <v>0.95085489999999995</v>
      </c>
      <c r="Y668">
        <v>0.1327004</v>
      </c>
      <c r="Z668">
        <v>-6.1105229999999996E-3</v>
      </c>
      <c r="AA668">
        <v>0.9911373</v>
      </c>
      <c r="AB668">
        <v>36</v>
      </c>
      <c r="AC668">
        <v>0.55430000000001201</v>
      </c>
      <c r="AD668">
        <v>-6.7932600000000107E-2</v>
      </c>
      <c r="AE668">
        <v>-0.12060000000002399</v>
      </c>
      <c r="AF668">
        <v>0.12036930035091099</v>
      </c>
      <c r="AG668">
        <v>-6.7932600000000107E-2</v>
      </c>
      <c r="AH668">
        <v>0.54614029350371596</v>
      </c>
      <c r="AI668">
        <v>96.925867048754597</v>
      </c>
      <c r="AJ668">
        <v>77.570725068636307</v>
      </c>
      <c r="AK668">
        <v>0.56335852420820998</v>
      </c>
      <c r="AL668">
        <v>71.981889275189104</v>
      </c>
      <c r="AM668">
        <v>90.846933503205804</v>
      </c>
      <c r="AN668">
        <v>0.99999999974954601</v>
      </c>
    </row>
    <row r="669" spans="1:40" x14ac:dyDescent="0.25">
      <c r="A669" t="str">
        <f>"20190304164607947"</f>
        <v>20190304164607947</v>
      </c>
      <c r="B669" t="str">
        <f>"1551689167938353"</f>
        <v>1551689167938353</v>
      </c>
      <c r="C669" t="s">
        <v>40</v>
      </c>
      <c r="D669">
        <v>4.2440899999999999</v>
      </c>
      <c r="E669">
        <v>0.55880280000000004</v>
      </c>
      <c r="F669" t="s">
        <v>41</v>
      </c>
      <c r="G669">
        <v>-280.23140000000001</v>
      </c>
      <c r="H669">
        <v>0.99556149999999999</v>
      </c>
      <c r="I669">
        <v>367.54169999999999</v>
      </c>
      <c r="J669">
        <v>-280.76620000000003</v>
      </c>
      <c r="K669">
        <v>1.0615209999999999</v>
      </c>
      <c r="L669">
        <v>367.65870000000001</v>
      </c>
      <c r="M669">
        <v>0.99986209999999998</v>
      </c>
      <c r="N669">
        <v>-1.6356180000000001E-2</v>
      </c>
      <c r="O669">
        <v>2.9142019999999999E-3</v>
      </c>
      <c r="P669">
        <v>0.9557099</v>
      </c>
      <c r="Q669">
        <v>0.2938519</v>
      </c>
      <c r="R669">
        <v>1.6426059999999999E-2</v>
      </c>
      <c r="S669">
        <v>3.2221980000000001</v>
      </c>
      <c r="T669">
        <v>-0.2425283</v>
      </c>
      <c r="U669">
        <v>-0.42715449999999999</v>
      </c>
      <c r="V669">
        <v>-1.3781470000000001E-2</v>
      </c>
      <c r="W669">
        <v>0.30943920000000003</v>
      </c>
      <c r="X669">
        <v>0.95081939999999998</v>
      </c>
      <c r="Y669">
        <v>0.13384589999999999</v>
      </c>
      <c r="Z669">
        <v>-6.2802169999999899E-3</v>
      </c>
      <c r="AA669">
        <v>0.99098220000000004</v>
      </c>
      <c r="AB669">
        <v>36</v>
      </c>
      <c r="AC669">
        <v>0.53480000000001804</v>
      </c>
      <c r="AD669">
        <v>-6.5959499999999893E-2</v>
      </c>
      <c r="AE669">
        <v>-0.11700000000001801</v>
      </c>
      <c r="AF669">
        <v>0.11686177919137</v>
      </c>
      <c r="AG669">
        <v>-6.5959499999999893E-2</v>
      </c>
      <c r="AH669">
        <v>0.52680919017000905</v>
      </c>
      <c r="AI669">
        <v>96.968939594855101</v>
      </c>
      <c r="AJ669">
        <v>77.492640665709004</v>
      </c>
      <c r="AK669">
        <v>0.54363154242888001</v>
      </c>
      <c r="AL669">
        <v>71.974563396816393</v>
      </c>
      <c r="AM669">
        <v>90.830404572814999</v>
      </c>
      <c r="AN669">
        <v>1.0000000394141699</v>
      </c>
    </row>
    <row r="670" spans="1:40" x14ac:dyDescent="0.25">
      <c r="A670" t="str">
        <f>"20190304164607970"</f>
        <v>20190304164607970</v>
      </c>
      <c r="B670" t="str">
        <f>"1551689167958846"</f>
        <v>1551689167958846</v>
      </c>
      <c r="C670" t="s">
        <v>40</v>
      </c>
      <c r="D670">
        <v>4.2434519999999996</v>
      </c>
      <c r="E670">
        <v>0.55892209999999998</v>
      </c>
      <c r="F670" t="s">
        <v>42</v>
      </c>
      <c r="G670">
        <v>-259.45310000000001</v>
      </c>
      <c r="H670" s="1">
        <v>-1.239593E-6</v>
      </c>
      <c r="I670">
        <v>365.60469999999998</v>
      </c>
      <c r="J670">
        <v>-280.41000000000003</v>
      </c>
      <c r="K670">
        <v>1.062281</v>
      </c>
      <c r="L670">
        <v>367.66</v>
      </c>
      <c r="M670">
        <v>0.99985349999999995</v>
      </c>
      <c r="N670">
        <v>-1.682937E-2</v>
      </c>
      <c r="O670">
        <v>3.1545900000000001E-3</v>
      </c>
      <c r="P670">
        <v>0.95579639999999999</v>
      </c>
      <c r="Q670">
        <v>0.29360180000000002</v>
      </c>
      <c r="R670">
        <v>1.5859249999999998E-2</v>
      </c>
      <c r="S670">
        <v>3.1932369999999999</v>
      </c>
      <c r="T670">
        <v>-0.1590415</v>
      </c>
      <c r="U670">
        <v>-0.30773929999999999</v>
      </c>
      <c r="V670">
        <v>-1.299077E-2</v>
      </c>
      <c r="W670">
        <v>0.30964039999999998</v>
      </c>
      <c r="X670">
        <v>0.95076499999999997</v>
      </c>
      <c r="Y670">
        <v>9.8903179999999993E-2</v>
      </c>
      <c r="Z670">
        <v>-3.394392E-3</v>
      </c>
      <c r="AA670">
        <v>0.99509130000000001</v>
      </c>
      <c r="AB670">
        <v>35</v>
      </c>
      <c r="AC670">
        <v>20.956900000000001</v>
      </c>
      <c r="AD670">
        <v>-1.0622822395930001</v>
      </c>
      <c r="AE670">
        <v>-2.0553000000000399</v>
      </c>
      <c r="AF670">
        <v>2.1160245111428599</v>
      </c>
      <c r="AG670">
        <v>-1.0622822395930001</v>
      </c>
      <c r="AH670">
        <v>20.897130305374802</v>
      </c>
      <c r="AI670">
        <v>92.895281950583296</v>
      </c>
      <c r="AJ670">
        <v>84.217989216160802</v>
      </c>
      <c r="AK670">
        <v>21.030835891331702</v>
      </c>
      <c r="AL670">
        <v>71.962439542989202</v>
      </c>
      <c r="AM670">
        <v>90.782811714522694</v>
      </c>
      <c r="AN670">
        <v>1.00000001132117</v>
      </c>
    </row>
    <row r="671" spans="1:40" x14ac:dyDescent="0.25">
      <c r="A671" t="str">
        <f>"20190304164607993"</f>
        <v>20190304164607993</v>
      </c>
      <c r="B671" t="str">
        <f>"1551689167988126"</f>
        <v>1551689167988126</v>
      </c>
      <c r="C671" t="s">
        <v>40</v>
      </c>
      <c r="D671">
        <v>4.2652390000000002</v>
      </c>
      <c r="E671">
        <v>0.5588727</v>
      </c>
      <c r="F671" t="s">
        <v>42</v>
      </c>
      <c r="G671">
        <v>-259.05840000000001</v>
      </c>
      <c r="H671" s="1">
        <v>-1.3829999999999999E-6</v>
      </c>
      <c r="I671">
        <v>365.57049999999998</v>
      </c>
      <c r="J671">
        <v>-280.05520000000001</v>
      </c>
      <c r="K671">
        <v>1.063013</v>
      </c>
      <c r="L671">
        <v>367.66140000000001</v>
      </c>
      <c r="M671">
        <v>0.99987510000000002</v>
      </c>
      <c r="N671">
        <v>-1.5439949999999999E-2</v>
      </c>
      <c r="O671">
        <v>3.4050220000000002E-3</v>
      </c>
      <c r="P671">
        <v>0.955488</v>
      </c>
      <c r="Q671">
        <v>0.294595099999999</v>
      </c>
      <c r="R671">
        <v>1.6016800000000001E-2</v>
      </c>
      <c r="S671">
        <v>3.192688</v>
      </c>
      <c r="T671">
        <v>-0.15884200000000001</v>
      </c>
      <c r="U671">
        <v>-0.31243900000000002</v>
      </c>
      <c r="V671">
        <v>-1.292606E-2</v>
      </c>
      <c r="W671">
        <v>0.30930669999999999</v>
      </c>
      <c r="X671">
        <v>0.95087440000000001</v>
      </c>
      <c r="Y671">
        <v>0.1006203</v>
      </c>
      <c r="Z671">
        <v>-3.3913110000000002E-3</v>
      </c>
      <c r="AA671">
        <v>0.99491909999999895</v>
      </c>
      <c r="AB671">
        <v>35</v>
      </c>
      <c r="AC671">
        <v>20.9968</v>
      </c>
      <c r="AD671">
        <v>-1.0630143830000001</v>
      </c>
      <c r="AE671">
        <v>-2.0909000000000302</v>
      </c>
      <c r="AF671">
        <v>2.1569167668951601</v>
      </c>
      <c r="AG671">
        <v>-1.0630143830000001</v>
      </c>
      <c r="AH671">
        <v>20.936421820550802</v>
      </c>
      <c r="AI671">
        <v>92.891331449588094</v>
      </c>
      <c r="AJ671">
        <v>84.118012365755305</v>
      </c>
      <c r="AK671">
        <v>21.074061026907302</v>
      </c>
      <c r="AL671">
        <v>71.982544539766096</v>
      </c>
      <c r="AM671">
        <v>90.778823227305395</v>
      </c>
      <c r="AN671">
        <v>0.99999992113368297</v>
      </c>
    </row>
    <row r="672" spans="1:40" x14ac:dyDescent="0.25">
      <c r="A672" t="str">
        <f>"20190304164608016"</f>
        <v>20190304164608016</v>
      </c>
      <c r="B672" t="str">
        <f>"1551689168008625"</f>
        <v>1551689168008625</v>
      </c>
      <c r="C672" t="s">
        <v>40</v>
      </c>
      <c r="D672">
        <v>4.251201</v>
      </c>
      <c r="E672">
        <v>0.55780540000000001</v>
      </c>
      <c r="F672" t="s">
        <v>42</v>
      </c>
      <c r="G672">
        <v>-259.50290000000001</v>
      </c>
      <c r="H672" s="1">
        <v>-1.20723E-6</v>
      </c>
      <c r="I672">
        <v>365.66250000000002</v>
      </c>
      <c r="J672">
        <v>-279.69600000000003</v>
      </c>
      <c r="K672">
        <v>1.063992</v>
      </c>
      <c r="L672">
        <v>367.66300000000001</v>
      </c>
      <c r="M672">
        <v>0.99990639999999997</v>
      </c>
      <c r="N672">
        <v>-1.3191049999999999E-2</v>
      </c>
      <c r="O672">
        <v>3.643365E-3</v>
      </c>
      <c r="P672">
        <v>0.95505289999999998</v>
      </c>
      <c r="Q672">
        <v>0.29604219999999998</v>
      </c>
      <c r="R672">
        <v>1.5253879999999999E-2</v>
      </c>
      <c r="S672">
        <v>3.1959230000000001</v>
      </c>
      <c r="T672">
        <v>-0.1652999</v>
      </c>
      <c r="U672">
        <v>-0.31082149999999997</v>
      </c>
      <c r="V672">
        <v>-1.195089E-2</v>
      </c>
      <c r="W672">
        <v>0.30860880000000002</v>
      </c>
      <c r="X672">
        <v>0.95111400000000001</v>
      </c>
      <c r="Y672">
        <v>0.10025530000000001</v>
      </c>
      <c r="Z672">
        <v>-3.3882199999999999E-3</v>
      </c>
      <c r="AA672">
        <v>0.99495599999999995</v>
      </c>
      <c r="AB672">
        <v>35</v>
      </c>
      <c r="AC672">
        <v>20.193099999999902</v>
      </c>
      <c r="AD672">
        <v>-1.06399320722999</v>
      </c>
      <c r="AE672">
        <v>-2.0004999999999802</v>
      </c>
      <c r="AF672">
        <v>2.0683772586821498</v>
      </c>
      <c r="AG672">
        <v>-1.06399320722999</v>
      </c>
      <c r="AH672">
        <v>20.130331433935201</v>
      </c>
      <c r="AI672">
        <v>93.009749447216294</v>
      </c>
      <c r="AJ672">
        <v>84.133486617439104</v>
      </c>
      <c r="AK672">
        <v>20.264266817956798</v>
      </c>
      <c r="AL672">
        <v>72.024590212576101</v>
      </c>
      <c r="AM672">
        <v>90.719892174655598</v>
      </c>
      <c r="AN672">
        <v>1.00000002810261</v>
      </c>
    </row>
    <row r="673" spans="1:40" x14ac:dyDescent="0.25">
      <c r="A673" t="str">
        <f>"20190304164608036"</f>
        <v>20190304164608036</v>
      </c>
      <c r="B673" t="str">
        <f>"1551689168028142"</f>
        <v>1551689168028142</v>
      </c>
      <c r="C673" t="s">
        <v>40</v>
      </c>
      <c r="D673">
        <v>4.2503260000000003</v>
      </c>
      <c r="E673">
        <v>0.55710660000000001</v>
      </c>
      <c r="F673" t="s">
        <v>42</v>
      </c>
      <c r="G673">
        <v>-258.82</v>
      </c>
      <c r="H673" s="1">
        <v>-1.4353390000000001E-6</v>
      </c>
      <c r="I673">
        <v>365.67860000000002</v>
      </c>
      <c r="J673">
        <v>-279.36239999999998</v>
      </c>
      <c r="K673">
        <v>1.0652250000000001</v>
      </c>
      <c r="L673">
        <v>367.66449999999998</v>
      </c>
      <c r="M673">
        <v>0.99992939999999997</v>
      </c>
      <c r="N673">
        <v>-1.1237820000000001E-2</v>
      </c>
      <c r="O673">
        <v>3.882337E-3</v>
      </c>
      <c r="P673">
        <v>0.95456810000000003</v>
      </c>
      <c r="Q673">
        <v>0.29762680000000002</v>
      </c>
      <c r="R673">
        <v>1.477814E-2</v>
      </c>
      <c r="S673">
        <v>3.1965029999999999</v>
      </c>
      <c r="T673">
        <v>-0.1629168</v>
      </c>
      <c r="U673">
        <v>-0.30383300000000002</v>
      </c>
      <c r="V673">
        <v>-1.12449E-2</v>
      </c>
      <c r="W673">
        <v>0.30832939999999998</v>
      </c>
      <c r="X673">
        <v>0.95121319999999998</v>
      </c>
      <c r="Y673">
        <v>9.8331970000000005E-2</v>
      </c>
      <c r="Z673">
        <v>-3.2066199999999999E-3</v>
      </c>
      <c r="AA673">
        <v>0.99514849999999999</v>
      </c>
      <c r="AB673">
        <v>35</v>
      </c>
      <c r="AC673">
        <v>20.542399999999901</v>
      </c>
      <c r="AD673">
        <v>-1.065226435339</v>
      </c>
      <c r="AE673">
        <v>-1.98589999999995</v>
      </c>
      <c r="AF673">
        <v>2.06015423741905</v>
      </c>
      <c r="AG673">
        <v>-1.065226435339</v>
      </c>
      <c r="AH673">
        <v>20.479975170878099</v>
      </c>
      <c r="AI673">
        <v>92.962522031042496</v>
      </c>
      <c r="AJ673">
        <v>84.255735345328901</v>
      </c>
      <c r="AK673">
        <v>20.610878822609202</v>
      </c>
      <c r="AL673">
        <v>72.041418986072998</v>
      </c>
      <c r="AM673">
        <v>90.677298528188899</v>
      </c>
      <c r="AN673">
        <v>1.0000000092673</v>
      </c>
    </row>
    <row r="674" spans="1:40" x14ac:dyDescent="0.25">
      <c r="A674" t="str">
        <f>"20190304164608059"</f>
        <v>20190304164608059</v>
      </c>
      <c r="B674" t="str">
        <f>"1551689168048638"</f>
        <v>1551689168048638</v>
      </c>
      <c r="C674" t="s">
        <v>40</v>
      </c>
      <c r="D674">
        <v>4.2327389999999996</v>
      </c>
      <c r="E674">
        <v>0.55634079999999997</v>
      </c>
      <c r="F674" t="s">
        <v>42</v>
      </c>
      <c r="G674">
        <v>-258.29160000000002</v>
      </c>
      <c r="H674" s="1">
        <v>-1.610851E-6</v>
      </c>
      <c r="I674">
        <v>365.69479999999999</v>
      </c>
      <c r="J674">
        <v>-279.01679999999999</v>
      </c>
      <c r="K674">
        <v>1.06672099999999</v>
      </c>
      <c r="L674">
        <v>367.66609999999997</v>
      </c>
      <c r="M674">
        <v>0.99994720000000004</v>
      </c>
      <c r="N674">
        <v>-9.3960869999999991E-3</v>
      </c>
      <c r="O674">
        <v>4.1656310000000004E-3</v>
      </c>
      <c r="P674">
        <v>0.95396340000000002</v>
      </c>
      <c r="Q674">
        <v>0.29956759999999999</v>
      </c>
      <c r="R674">
        <v>1.4604779999999999E-2</v>
      </c>
      <c r="S674">
        <v>3.197784</v>
      </c>
      <c r="T674">
        <v>-0.16166220000000001</v>
      </c>
      <c r="U674">
        <v>-0.29891970000000001</v>
      </c>
      <c r="V674">
        <v>-1.0793830000000001E-2</v>
      </c>
      <c r="W674">
        <v>0.30851260000000003</v>
      </c>
      <c r="X674">
        <v>0.95115899999999998</v>
      </c>
      <c r="Y674">
        <v>9.7068879999999996E-2</v>
      </c>
      <c r="Z674">
        <v>-3.0750970000000002E-3</v>
      </c>
      <c r="AA674">
        <v>0.99527290000000002</v>
      </c>
      <c r="AB674">
        <v>35</v>
      </c>
      <c r="AC674">
        <v>20.725199999999901</v>
      </c>
      <c r="AD674">
        <v>-1.06672261085099</v>
      </c>
      <c r="AE674">
        <v>-1.9712999999999801</v>
      </c>
      <c r="AF674">
        <v>2.0522323262314299</v>
      </c>
      <c r="AG674">
        <v>-1.06672261085099</v>
      </c>
      <c r="AH674">
        <v>20.662560779325599</v>
      </c>
      <c r="AI674">
        <v>92.940876334620299</v>
      </c>
      <c r="AJ674">
        <v>84.327911270251207</v>
      </c>
      <c r="AK674">
        <v>20.791608225643699</v>
      </c>
      <c r="AL674">
        <v>72.030384056041299</v>
      </c>
      <c r="AM674">
        <v>90.650169276052793</v>
      </c>
      <c r="AN674">
        <v>0.99999998720291405</v>
      </c>
    </row>
    <row r="675" spans="1:40" x14ac:dyDescent="0.25">
      <c r="A675" t="str">
        <f>"20190304164608081"</f>
        <v>20190304164608081</v>
      </c>
      <c r="B675" t="str">
        <f>"1551689168068158"</f>
        <v>1551689168068158</v>
      </c>
      <c r="C675" t="s">
        <v>40</v>
      </c>
      <c r="D675">
        <v>4.2439869999999997</v>
      </c>
      <c r="E675">
        <v>0.55587390000000003</v>
      </c>
      <c r="F675" t="s">
        <v>42</v>
      </c>
      <c r="G675">
        <v>-256.9742</v>
      </c>
      <c r="H675" s="1">
        <v>-2.0723320000000001E-6</v>
      </c>
      <c r="I675">
        <v>365.6454</v>
      </c>
      <c r="J675">
        <v>-278.6671</v>
      </c>
      <c r="K675">
        <v>1.068395</v>
      </c>
      <c r="L675">
        <v>367.66789999999997</v>
      </c>
      <c r="M675">
        <v>0.99995900000000004</v>
      </c>
      <c r="N675">
        <v>-7.8778359999999992E-3</v>
      </c>
      <c r="O675">
        <v>4.4701029999999996E-3</v>
      </c>
      <c r="P675">
        <v>0.95327729999999999</v>
      </c>
      <c r="Q675">
        <v>0.30171779999999998</v>
      </c>
      <c r="R675">
        <v>1.512318E-2</v>
      </c>
      <c r="S675">
        <v>3.1978149999999999</v>
      </c>
      <c r="T675">
        <v>-0.15475329999999901</v>
      </c>
      <c r="U675">
        <v>-0.29315190000000002</v>
      </c>
      <c r="V675">
        <v>-1.1013429999999999E-2</v>
      </c>
      <c r="W675">
        <v>0.30921379999999998</v>
      </c>
      <c r="X675">
        <v>0.95092869999999996</v>
      </c>
      <c r="Y675">
        <v>9.5607620000000004E-2</v>
      </c>
      <c r="Z675">
        <v>-2.8654819999999999E-3</v>
      </c>
      <c r="AA675">
        <v>0.99541500000000005</v>
      </c>
      <c r="AB675">
        <v>35</v>
      </c>
      <c r="AC675">
        <v>21.692900000000002</v>
      </c>
      <c r="AD675">
        <v>-1.068397072332</v>
      </c>
      <c r="AE675">
        <v>-2.0224999999999702</v>
      </c>
      <c r="AF675">
        <v>2.1143677535649199</v>
      </c>
      <c r="AG675">
        <v>-1.068397072332</v>
      </c>
      <c r="AH675">
        <v>21.6316233700488</v>
      </c>
      <c r="AI675">
        <v>92.814180882219205</v>
      </c>
      <c r="AJ675">
        <v>84.417398042546694</v>
      </c>
      <c r="AK675">
        <v>21.7609547797225</v>
      </c>
      <c r="AL675">
        <v>71.988141891515397</v>
      </c>
      <c r="AM675">
        <v>90.663556420870506</v>
      </c>
      <c r="AN675">
        <v>0.99999993111724494</v>
      </c>
    </row>
    <row r="676" spans="1:40" x14ac:dyDescent="0.25">
      <c r="A676" t="str">
        <f>"20190304164608105"</f>
        <v>20190304164608105</v>
      </c>
      <c r="B676" t="str">
        <f>"1551689168098417"</f>
        <v>1551689168098417</v>
      </c>
      <c r="C676" t="s">
        <v>40</v>
      </c>
      <c r="D676">
        <v>4.2186820000000003</v>
      </c>
      <c r="E676">
        <v>0.5553534</v>
      </c>
      <c r="F676" t="s">
        <v>42</v>
      </c>
      <c r="G676">
        <v>-255.7</v>
      </c>
      <c r="H676" s="1">
        <v>-2.5394129999999999E-6</v>
      </c>
      <c r="I676">
        <v>365.6</v>
      </c>
      <c r="J676">
        <v>-278.30279999999999</v>
      </c>
      <c r="K676">
        <v>1.0705750000000001</v>
      </c>
      <c r="L676">
        <v>367.66980000000001</v>
      </c>
      <c r="M676">
        <v>0.99996169999999995</v>
      </c>
      <c r="N676">
        <v>-7.3398580000000003E-3</v>
      </c>
      <c r="O676">
        <v>4.8010229999999997E-3</v>
      </c>
      <c r="P676">
        <v>0.95288249999999997</v>
      </c>
      <c r="Q676">
        <v>0.30291030000000002</v>
      </c>
      <c r="R676">
        <v>1.6152150000000001E-2</v>
      </c>
      <c r="S676">
        <v>3.1987000000000001</v>
      </c>
      <c r="T676">
        <v>-0.14879890000000001</v>
      </c>
      <c r="U676">
        <v>-0.28799439999999998</v>
      </c>
      <c r="V676">
        <v>-1.171672E-2</v>
      </c>
      <c r="W676">
        <v>0.30989119999999998</v>
      </c>
      <c r="X676">
        <v>0.95069979999999998</v>
      </c>
      <c r="Y676">
        <v>9.4331949999999998E-2</v>
      </c>
      <c r="Z676">
        <v>-2.723226E-3</v>
      </c>
      <c r="AA676">
        <v>0.99553709999999995</v>
      </c>
      <c r="AB676">
        <v>35</v>
      </c>
      <c r="AC676">
        <v>22.602799999999998</v>
      </c>
      <c r="AD676">
        <v>-1.0705775394129999</v>
      </c>
      <c r="AE676">
        <v>-2.0697999999999799</v>
      </c>
      <c r="AF676">
        <v>2.1734601632472899</v>
      </c>
      <c r="AG676">
        <v>-1.0705775394129999</v>
      </c>
      <c r="AH676">
        <v>22.542450295022402</v>
      </c>
      <c r="AI676">
        <v>92.706494506709106</v>
      </c>
      <c r="AJ676">
        <v>84.492774783004904</v>
      </c>
      <c r="AK676">
        <v>22.672276697603099</v>
      </c>
      <c r="AL676">
        <v>71.947325683727101</v>
      </c>
      <c r="AM676">
        <v>90.706095257700298</v>
      </c>
      <c r="AN676">
        <v>0.99999997354251802</v>
      </c>
    </row>
    <row r="677" spans="1:40" x14ac:dyDescent="0.25">
      <c r="A677" t="str">
        <f>"20190304164608125"</f>
        <v>20190304164608125</v>
      </c>
      <c r="B677" t="str">
        <f>"1551689168118910"</f>
        <v>1551689168118910</v>
      </c>
      <c r="C677" t="s">
        <v>40</v>
      </c>
      <c r="D677">
        <v>4.2568149999999996</v>
      </c>
      <c r="E677">
        <v>0.55518000000000001</v>
      </c>
      <c r="F677" t="s">
        <v>42</v>
      </c>
      <c r="G677">
        <v>-254.80260000000001</v>
      </c>
      <c r="H677" s="1">
        <v>-2.923696E-6</v>
      </c>
      <c r="I677">
        <v>365.60399999999998</v>
      </c>
      <c r="J677">
        <v>-277.97329999999999</v>
      </c>
      <c r="K677">
        <v>1.0730189999999999</v>
      </c>
      <c r="L677">
        <v>367.67149999999998</v>
      </c>
      <c r="M677">
        <v>0.99995990000000001</v>
      </c>
      <c r="N677">
        <v>-7.3723879999999997E-3</v>
      </c>
      <c r="O677">
        <v>5.0944939999999998E-3</v>
      </c>
      <c r="P677">
        <v>0.95274899999999996</v>
      </c>
      <c r="Q677">
        <v>0.30325259999999998</v>
      </c>
      <c r="R677">
        <v>1.7532989999999998E-2</v>
      </c>
      <c r="S677">
        <v>3.1994319999999998</v>
      </c>
      <c r="T677">
        <v>-0.14575360000000001</v>
      </c>
      <c r="U677">
        <v>-0.28125</v>
      </c>
      <c r="V677">
        <v>-1.281621E-2</v>
      </c>
      <c r="W677">
        <v>0.31026340000000002</v>
      </c>
      <c r="X677">
        <v>0.95056430000000003</v>
      </c>
      <c r="Y677">
        <v>9.2528020000000002E-2</v>
      </c>
      <c r="Z677">
        <v>-2.6384720000000002E-3</v>
      </c>
      <c r="AA677">
        <v>0.9957066</v>
      </c>
      <c r="AB677">
        <v>35</v>
      </c>
      <c r="AC677">
        <v>23.170699999999901</v>
      </c>
      <c r="AD677">
        <v>-1.0730219236959999</v>
      </c>
      <c r="AE677">
        <v>-2.0674999999999302</v>
      </c>
      <c r="AF677">
        <v>2.1808792722157202</v>
      </c>
      <c r="AG677">
        <v>-1.0730219236959999</v>
      </c>
      <c r="AH677">
        <v>23.110695284527399</v>
      </c>
      <c r="AI677">
        <v>92.646573950979203</v>
      </c>
      <c r="AJ677">
        <v>84.609152419399393</v>
      </c>
      <c r="AK677">
        <v>23.238154982334301</v>
      </c>
      <c r="AL677">
        <v>71.924896222270107</v>
      </c>
      <c r="AM677">
        <v>90.772457214719594</v>
      </c>
      <c r="AN677">
        <v>1.0000000605263999</v>
      </c>
    </row>
    <row r="678" spans="1:40" x14ac:dyDescent="0.25">
      <c r="A678" t="str">
        <f>"20190304164608148"</f>
        <v>20190304164608148</v>
      </c>
      <c r="B678" t="str">
        <f>"1551689168138434"</f>
        <v>1551689168138434</v>
      </c>
      <c r="C678" t="s">
        <v>40</v>
      </c>
      <c r="D678">
        <v>4.2173189999999998</v>
      </c>
      <c r="E678">
        <v>0.55488740000000003</v>
      </c>
      <c r="F678" t="s">
        <v>42</v>
      </c>
      <c r="G678">
        <v>-254.32509999999999</v>
      </c>
      <c r="H678" s="1">
        <v>-3.1231319999999998E-6</v>
      </c>
      <c r="I678">
        <v>365.63459999999998</v>
      </c>
      <c r="J678">
        <v>-277.63279999999997</v>
      </c>
      <c r="K678">
        <v>1.075774</v>
      </c>
      <c r="L678">
        <v>367.67349999999999</v>
      </c>
      <c r="M678">
        <v>0.9999593</v>
      </c>
      <c r="N678">
        <v>-7.2533229999999999E-3</v>
      </c>
      <c r="O678">
        <v>5.3843529999999997E-3</v>
      </c>
      <c r="P678">
        <v>0.95267860000000004</v>
      </c>
      <c r="Q678">
        <v>0.3034403</v>
      </c>
      <c r="R678">
        <v>1.81009E-2</v>
      </c>
      <c r="S678">
        <v>3.2001040000000001</v>
      </c>
      <c r="T678">
        <v>-0.1452022</v>
      </c>
      <c r="U678">
        <v>-0.27563480000000001</v>
      </c>
      <c r="V678">
        <v>-1.3114580000000001E-2</v>
      </c>
      <c r="W678">
        <v>0.31033680000000002</v>
      </c>
      <c r="X678">
        <v>0.95053620000000005</v>
      </c>
      <c r="Y678">
        <v>9.1066850000000005E-2</v>
      </c>
      <c r="Z678">
        <v>-2.5970339999999998E-3</v>
      </c>
      <c r="AA678">
        <v>0.99584139999999999</v>
      </c>
      <c r="AB678">
        <v>35</v>
      </c>
      <c r="AC678">
        <v>23.307699999999901</v>
      </c>
      <c r="AD678">
        <v>-1.0757771231319999</v>
      </c>
      <c r="AE678">
        <v>-2.0389000000000101</v>
      </c>
      <c r="AF678">
        <v>2.1598044732177102</v>
      </c>
      <c r="AG678">
        <v>-1.0757771231319999</v>
      </c>
      <c r="AH678">
        <v>23.247235615149101</v>
      </c>
      <c r="AI678">
        <v>92.638154884561501</v>
      </c>
      <c r="AJ678">
        <v>84.692122845231196</v>
      </c>
      <c r="AK678">
        <v>23.3721204756317</v>
      </c>
      <c r="AL678">
        <v>71.920471110171903</v>
      </c>
      <c r="AM678">
        <v>90.7904616473555</v>
      </c>
      <c r="AN678">
        <v>0.99999999457662803</v>
      </c>
    </row>
    <row r="679" spans="1:40" x14ac:dyDescent="0.25">
      <c r="A679" t="str">
        <f>"20190304164608170"</f>
        <v>20190304164608170</v>
      </c>
      <c r="B679" t="str">
        <f>"1551689168158926"</f>
        <v>1551689168158926</v>
      </c>
      <c r="C679" t="s">
        <v>40</v>
      </c>
      <c r="D679">
        <v>4.2238810000000004</v>
      </c>
      <c r="E679">
        <v>0.55460089999999995</v>
      </c>
      <c r="F679" t="s">
        <v>42</v>
      </c>
      <c r="G679">
        <v>-254.12569999999999</v>
      </c>
      <c r="H679" s="1">
        <v>-3.1983119999999998E-6</v>
      </c>
      <c r="I679">
        <v>365.69310000000002</v>
      </c>
      <c r="J679">
        <v>-277.28469999999999</v>
      </c>
      <c r="K679">
        <v>1.0787450000000001</v>
      </c>
      <c r="L679">
        <v>367.6755</v>
      </c>
      <c r="M679">
        <v>0.99995959999999995</v>
      </c>
      <c r="N679">
        <v>-7.0001909999999898E-3</v>
      </c>
      <c r="O679">
        <v>5.6609919999999897E-3</v>
      </c>
      <c r="P679">
        <v>0.9526017</v>
      </c>
      <c r="Q679">
        <v>0.30365879999999901</v>
      </c>
      <c r="R679">
        <v>1.8486780000000001E-2</v>
      </c>
      <c r="S679">
        <v>3.2007750000000001</v>
      </c>
      <c r="T679">
        <v>-0.14647959999999999</v>
      </c>
      <c r="U679">
        <v>-0.26965329999999998</v>
      </c>
      <c r="V679">
        <v>-1.324385E-2</v>
      </c>
      <c r="W679">
        <v>0.31031409999999998</v>
      </c>
      <c r="X679">
        <v>0.95054179999999999</v>
      </c>
      <c r="Y679">
        <v>8.9477139999999997E-2</v>
      </c>
      <c r="Z679">
        <v>-2.575599E-3</v>
      </c>
      <c r="AA679">
        <v>0.99598560000000003</v>
      </c>
      <c r="AB679">
        <v>35</v>
      </c>
      <c r="AC679">
        <v>23.158999999999899</v>
      </c>
      <c r="AD679">
        <v>-1.078748198312</v>
      </c>
      <c r="AE679">
        <v>-1.98239999999998</v>
      </c>
      <c r="AF679">
        <v>2.1089318682901999</v>
      </c>
      <c r="AG679">
        <v>-1.078748198312</v>
      </c>
      <c r="AH679">
        <v>23.097655720630499</v>
      </c>
      <c r="AI679">
        <v>92.662926511461194</v>
      </c>
      <c r="AJ679">
        <v>84.7830728949681</v>
      </c>
      <c r="AK679">
        <v>23.218806840344499</v>
      </c>
      <c r="AL679">
        <v>71.921838939007102</v>
      </c>
      <c r="AM679">
        <v>90.798247497309703</v>
      </c>
      <c r="AN679">
        <v>0.99999997688443598</v>
      </c>
    </row>
    <row r="680" spans="1:40" x14ac:dyDescent="0.25">
      <c r="A680" t="str">
        <f>"20190304164608195"</f>
        <v>20190304164608195</v>
      </c>
      <c r="B680" t="str">
        <f>"1551689168188206"</f>
        <v>1551689168188206</v>
      </c>
      <c r="C680" t="s">
        <v>40</v>
      </c>
      <c r="D680">
        <v>4.1926240000000004</v>
      </c>
      <c r="E680">
        <v>0.55443419999999999</v>
      </c>
      <c r="F680" t="s">
        <v>42</v>
      </c>
      <c r="G680">
        <v>-253.6644</v>
      </c>
      <c r="H680" s="1">
        <v>-3.3917979999999998E-6</v>
      </c>
      <c r="I680">
        <v>365.71789999999999</v>
      </c>
      <c r="J680">
        <v>-276.9153</v>
      </c>
      <c r="K680">
        <v>1.0820160000000001</v>
      </c>
      <c r="L680">
        <v>367.67790000000002</v>
      </c>
      <c r="M680">
        <v>0.99995889999999998</v>
      </c>
      <c r="N680">
        <v>-6.8722059999999996E-3</v>
      </c>
      <c r="O680">
        <v>5.9311959999999997E-3</v>
      </c>
      <c r="P680">
        <v>0.95251669999999999</v>
      </c>
      <c r="Q680">
        <v>0.30389880000000002</v>
      </c>
      <c r="R680">
        <v>1.891497E-2</v>
      </c>
      <c r="S680">
        <v>3.2009889999999999</v>
      </c>
      <c r="T680">
        <v>-0.1461896</v>
      </c>
      <c r="U680">
        <v>-0.26528930000000001</v>
      </c>
      <c r="V680">
        <v>-1.3416910000000001E-2</v>
      </c>
      <c r="W680">
        <v>0.31043150000000003</v>
      </c>
      <c r="X680">
        <v>0.95050109999999999</v>
      </c>
      <c r="Y680">
        <v>8.8393929999999996E-2</v>
      </c>
      <c r="Z680">
        <v>-2.548037E-3</v>
      </c>
      <c r="AA680">
        <v>0.99608240000000003</v>
      </c>
      <c r="AB680">
        <v>35</v>
      </c>
      <c r="AC680">
        <v>23.250900000000001</v>
      </c>
      <c r="AD680">
        <v>-1.0820193917980001</v>
      </c>
      <c r="AE680">
        <v>-1.9600000000000299</v>
      </c>
      <c r="AF680">
        <v>2.09337286165758</v>
      </c>
      <c r="AG680">
        <v>-1.0820193917980001</v>
      </c>
      <c r="AH680">
        <v>23.18900041234</v>
      </c>
      <c r="AI680">
        <v>92.660730198111594</v>
      </c>
      <c r="AJ680">
        <v>84.841640768567203</v>
      </c>
      <c r="AK680">
        <v>23.308425859024801</v>
      </c>
      <c r="AL680">
        <v>71.9147640614285</v>
      </c>
      <c r="AM680">
        <v>90.808711601073398</v>
      </c>
      <c r="AN680">
        <v>1.0000000353837</v>
      </c>
    </row>
    <row r="681" spans="1:40" x14ac:dyDescent="0.25">
      <c r="A681" t="str">
        <f>"20190304164608216"</f>
        <v>20190304164608216</v>
      </c>
      <c r="B681" t="str">
        <f>"1551689168208713"</f>
        <v>1551689168208713</v>
      </c>
      <c r="C681" t="s">
        <v>40</v>
      </c>
      <c r="D681">
        <v>4.2124800000000002</v>
      </c>
      <c r="E681">
        <v>0.55426850000000005</v>
      </c>
      <c r="F681" t="s">
        <v>42</v>
      </c>
      <c r="G681">
        <v>-252.92189999999999</v>
      </c>
      <c r="H681" s="1">
        <v>-3.7130549999999999E-6</v>
      </c>
      <c r="I681">
        <v>365.70249999999999</v>
      </c>
      <c r="J681">
        <v>-276.57639999999998</v>
      </c>
      <c r="K681">
        <v>1.085043</v>
      </c>
      <c r="L681">
        <v>367.68</v>
      </c>
      <c r="M681">
        <v>0.99995639999999997</v>
      </c>
      <c r="N681">
        <v>-7.0025759999999999E-3</v>
      </c>
      <c r="O681">
        <v>6.1640459999999899E-3</v>
      </c>
      <c r="P681">
        <v>0.95249899999999998</v>
      </c>
      <c r="Q681">
        <v>0.30396079999999998</v>
      </c>
      <c r="R681">
        <v>1.879985E-2</v>
      </c>
      <c r="S681">
        <v>3.2008359999999998</v>
      </c>
      <c r="T681">
        <v>-0.14434620000000001</v>
      </c>
      <c r="U681">
        <v>-0.26351930000000001</v>
      </c>
      <c r="V681">
        <v>-1.307842E-2</v>
      </c>
      <c r="W681">
        <v>0.3106178</v>
      </c>
      <c r="X681">
        <v>0.95044490000000004</v>
      </c>
      <c r="Y681">
        <v>8.8085259999999999E-2</v>
      </c>
      <c r="Z681">
        <v>-2.5252370000000001E-3</v>
      </c>
      <c r="AA681">
        <v>0.99610969999999999</v>
      </c>
      <c r="AB681">
        <v>35</v>
      </c>
      <c r="AC681">
        <v>23.654499999999899</v>
      </c>
      <c r="AD681">
        <v>-1.0850467130549999</v>
      </c>
      <c r="AE681">
        <v>-1.97750000000002</v>
      </c>
      <c r="AF681">
        <v>2.11884609081301</v>
      </c>
      <c r="AG681">
        <v>-1.0850467130549999</v>
      </c>
      <c r="AH681">
        <v>23.592563968466301</v>
      </c>
      <c r="AI681">
        <v>92.622696306788598</v>
      </c>
      <c r="AJ681">
        <v>84.868039362604904</v>
      </c>
      <c r="AK681">
        <v>23.712357743004802</v>
      </c>
      <c r="AL681">
        <v>71.903533803330802</v>
      </c>
      <c r="AM681">
        <v>90.788358146041702</v>
      </c>
      <c r="AN681">
        <v>0.99999998534127299</v>
      </c>
    </row>
    <row r="682" spans="1:40" x14ac:dyDescent="0.25">
      <c r="A682" t="str">
        <f>"20190304164608237"</f>
        <v>20190304164608237</v>
      </c>
      <c r="B682" t="str">
        <f>"1551689168228222"</f>
        <v>1551689168228222</v>
      </c>
      <c r="C682" t="s">
        <v>40</v>
      </c>
      <c r="D682">
        <v>4.2492130000000001</v>
      </c>
      <c r="E682">
        <v>0.55409719999999996</v>
      </c>
      <c r="F682" t="s">
        <v>42</v>
      </c>
      <c r="G682">
        <v>-252.1551</v>
      </c>
      <c r="H682" s="1">
        <v>-4.0459840000000003E-6</v>
      </c>
      <c r="I682">
        <v>365.68</v>
      </c>
      <c r="J682">
        <v>-276.23970000000003</v>
      </c>
      <c r="K682">
        <v>1.087963</v>
      </c>
      <c r="L682">
        <v>367.6823</v>
      </c>
      <c r="M682">
        <v>0.99995299999999998</v>
      </c>
      <c r="N682">
        <v>-7.3069999999999897E-3</v>
      </c>
      <c r="O682">
        <v>6.3878809999999998E-3</v>
      </c>
      <c r="P682">
        <v>0.95257700000000001</v>
      </c>
      <c r="Q682">
        <v>0.3037395</v>
      </c>
      <c r="R682">
        <v>1.8422689999999999E-2</v>
      </c>
      <c r="S682">
        <v>3.2001650000000001</v>
      </c>
      <c r="T682">
        <v>-0.14218410000000001</v>
      </c>
      <c r="U682">
        <v>-0.26208500000000001</v>
      </c>
      <c r="V682">
        <v>-1.248487E-2</v>
      </c>
      <c r="W682">
        <v>0.31068669999999998</v>
      </c>
      <c r="X682">
        <v>0.95043040000000001</v>
      </c>
      <c r="Y682">
        <v>8.7884379999999998E-2</v>
      </c>
      <c r="Z682">
        <v>-2.5065959999999998E-3</v>
      </c>
      <c r="AA682">
        <v>0.99612750000000005</v>
      </c>
      <c r="AB682">
        <v>35</v>
      </c>
      <c r="AC682">
        <v>24.084599999999998</v>
      </c>
      <c r="AD682">
        <v>-1.0879670459840001</v>
      </c>
      <c r="AE682">
        <v>-2.0022999999999902</v>
      </c>
      <c r="AF682">
        <v>2.1517521234414199</v>
      </c>
      <c r="AG682">
        <v>-1.0879670459840001</v>
      </c>
      <c r="AH682">
        <v>24.022634277807001</v>
      </c>
      <c r="AI682">
        <v>92.582784614911006</v>
      </c>
      <c r="AJ682">
        <v>84.881569673600694</v>
      </c>
      <c r="AK682">
        <v>24.143335874297701</v>
      </c>
      <c r="AL682">
        <v>71.899381315776793</v>
      </c>
      <c r="AM682">
        <v>90.752595054232003</v>
      </c>
      <c r="AN682">
        <v>1.00000002138998</v>
      </c>
    </row>
    <row r="683" spans="1:40" x14ac:dyDescent="0.25">
      <c r="A683" t="str">
        <f>"20190304164608260"</f>
        <v>20190304164608260</v>
      </c>
      <c r="B683" t="str">
        <f>"1551689168248718"</f>
        <v>1551689168248718</v>
      </c>
      <c r="C683" t="s">
        <v>40</v>
      </c>
      <c r="D683">
        <v>4.2171669999999999</v>
      </c>
      <c r="E683">
        <v>0.55399999999999905</v>
      </c>
      <c r="F683" t="s">
        <v>42</v>
      </c>
      <c r="G683">
        <v>-251.6754</v>
      </c>
      <c r="H683" s="1">
        <v>-4.2528570000000003E-6</v>
      </c>
      <c r="I683">
        <v>365.6739</v>
      </c>
      <c r="J683">
        <v>-275.88929999999999</v>
      </c>
      <c r="K683">
        <v>1.0908230000000001</v>
      </c>
      <c r="L683">
        <v>367.68470000000002</v>
      </c>
      <c r="M683">
        <v>0.99994810000000001</v>
      </c>
      <c r="N683">
        <v>-7.7397380000000003E-3</v>
      </c>
      <c r="O683">
        <v>6.6119639999999997E-3</v>
      </c>
      <c r="P683">
        <v>0.95254609999999995</v>
      </c>
      <c r="Q683">
        <v>0.3038361</v>
      </c>
      <c r="R683">
        <v>1.8433829999999998E-2</v>
      </c>
      <c r="S683">
        <v>3.1996150000000001</v>
      </c>
      <c r="T683">
        <v>-0.14171239999999999</v>
      </c>
      <c r="U683">
        <v>-0.26159670000000002</v>
      </c>
      <c r="V683">
        <v>-1.2279689999999999E-2</v>
      </c>
      <c r="W683">
        <v>0.31119429999999998</v>
      </c>
      <c r="X683">
        <v>0.95026699999999997</v>
      </c>
      <c r="Y683">
        <v>8.7970140000000002E-2</v>
      </c>
      <c r="Z683">
        <v>-2.5262940000000001E-3</v>
      </c>
      <c r="AA683">
        <v>0.99611989999999995</v>
      </c>
      <c r="AB683">
        <v>35</v>
      </c>
      <c r="AC683">
        <v>24.213899999999899</v>
      </c>
      <c r="AD683">
        <v>-1.09082725285699</v>
      </c>
      <c r="AE683">
        <v>-2.0108000000000099</v>
      </c>
      <c r="AF683">
        <v>2.1664955650384101</v>
      </c>
      <c r="AG683">
        <v>-1.09082725285699</v>
      </c>
      <c r="AH683">
        <v>24.1513961157799</v>
      </c>
      <c r="AI683">
        <v>92.575747502664299</v>
      </c>
      <c r="AJ683">
        <v>84.874015093802697</v>
      </c>
      <c r="AK683">
        <v>24.272897261559301</v>
      </c>
      <c r="AL683">
        <v>71.868781216260203</v>
      </c>
      <c r="AM683">
        <v>90.7403553443216</v>
      </c>
      <c r="AN683">
        <v>1.00000002721399</v>
      </c>
    </row>
    <row r="684" spans="1:40" x14ac:dyDescent="0.25">
      <c r="A684" t="str">
        <f>"20190304164608282"</f>
        <v>20190304164608282</v>
      </c>
      <c r="B684" t="str">
        <f>"1551689168277998"</f>
        <v>1551689168277998</v>
      </c>
      <c r="C684" t="s">
        <v>40</v>
      </c>
      <c r="D684">
        <v>4.1862250000000003</v>
      </c>
      <c r="E684">
        <v>0.55391659999999998</v>
      </c>
      <c r="F684" t="s">
        <v>42</v>
      </c>
      <c r="G684">
        <v>-250.9667</v>
      </c>
      <c r="H684" s="1">
        <v>-4.5600429999999997E-6</v>
      </c>
      <c r="I684">
        <v>365.65609999999998</v>
      </c>
      <c r="J684">
        <v>-275.53539999999998</v>
      </c>
      <c r="K684">
        <v>1.0934980000000001</v>
      </c>
      <c r="L684">
        <v>367.68720000000002</v>
      </c>
      <c r="M684">
        <v>0.99994269999999996</v>
      </c>
      <c r="N684">
        <v>-8.2399880000000002E-3</v>
      </c>
      <c r="O684">
        <v>6.8254269999999898E-3</v>
      </c>
      <c r="P684">
        <v>0.95285980000000003</v>
      </c>
      <c r="Q684">
        <v>0.302851599999999</v>
      </c>
      <c r="R684">
        <v>1.8410530000000001E-2</v>
      </c>
      <c r="S684">
        <v>3.1991879999999999</v>
      </c>
      <c r="T684">
        <v>-0.1400237</v>
      </c>
      <c r="U684">
        <v>-0.26040649999999999</v>
      </c>
      <c r="V684">
        <v>-1.2046609999999999E-2</v>
      </c>
      <c r="W684">
        <v>0.31068810000000002</v>
      </c>
      <c r="X684">
        <v>0.95043560000000005</v>
      </c>
      <c r="Y684">
        <v>8.7827000000000002E-2</v>
      </c>
      <c r="Z684">
        <v>-2.5225949999999999E-3</v>
      </c>
      <c r="AA684">
        <v>0.99613260000000003</v>
      </c>
      <c r="AB684">
        <v>35</v>
      </c>
      <c r="AC684">
        <v>24.5686999999999</v>
      </c>
      <c r="AD684">
        <v>-1.0935025600429999</v>
      </c>
      <c r="AE684">
        <v>-2.0311000000000301</v>
      </c>
      <c r="AF684">
        <v>2.1944326853883802</v>
      </c>
      <c r="AG684">
        <v>-1.0935025600429999</v>
      </c>
      <c r="AH684">
        <v>24.506048148643899</v>
      </c>
      <c r="AI684">
        <v>92.544773769770401</v>
      </c>
      <c r="AJ684">
        <v>84.883007064626995</v>
      </c>
      <c r="AK684">
        <v>24.6283917161307</v>
      </c>
      <c r="AL684">
        <v>71.899296955928705</v>
      </c>
      <c r="AM684">
        <v>90.726175400438905</v>
      </c>
      <c r="AN684">
        <v>1.00000002302073</v>
      </c>
    </row>
    <row r="685" spans="1:40" x14ac:dyDescent="0.25">
      <c r="A685" t="str">
        <f>"20190304164608305"</f>
        <v>20190304164608305</v>
      </c>
      <c r="B685" t="str">
        <f>"1551689168298498"</f>
        <v>1551689168298498</v>
      </c>
      <c r="C685" t="s">
        <v>40</v>
      </c>
      <c r="D685">
        <v>4.157667</v>
      </c>
      <c r="E685">
        <v>0.55394709999999903</v>
      </c>
      <c r="F685" t="s">
        <v>42</v>
      </c>
      <c r="G685">
        <v>-251.21700000000001</v>
      </c>
      <c r="H685" s="1">
        <v>-4.4428820000000002E-6</v>
      </c>
      <c r="I685">
        <v>365.71120000000002</v>
      </c>
      <c r="J685">
        <v>-275.18299999999999</v>
      </c>
      <c r="K685">
        <v>1.0959139999999901</v>
      </c>
      <c r="L685">
        <v>367.68979999999999</v>
      </c>
      <c r="M685">
        <v>0.99993699999999996</v>
      </c>
      <c r="N685">
        <v>-8.7648799999999992E-3</v>
      </c>
      <c r="O685">
        <v>7.0248169999999896E-3</v>
      </c>
      <c r="P685">
        <v>0.95344799999999996</v>
      </c>
      <c r="Q685">
        <v>0.30104189999999997</v>
      </c>
      <c r="R685">
        <v>1.7635270000000002E-2</v>
      </c>
      <c r="S685">
        <v>3.1991580000000002</v>
      </c>
      <c r="T685">
        <v>-0.14385309999999901</v>
      </c>
      <c r="U685">
        <v>-0.25994869999999998</v>
      </c>
      <c r="V685">
        <v>-1.1072190000000001E-2</v>
      </c>
      <c r="W685">
        <v>0.30938339999999998</v>
      </c>
      <c r="X685">
        <v>0.95087299999999997</v>
      </c>
      <c r="Y685">
        <v>8.7878349999999994E-2</v>
      </c>
      <c r="Z685">
        <v>-2.611295E-3</v>
      </c>
      <c r="AA685">
        <v>0.99612780000000001</v>
      </c>
      <c r="AB685">
        <v>35</v>
      </c>
      <c r="AC685">
        <v>23.965999999999902</v>
      </c>
      <c r="AD685">
        <v>-1.0959184428819999</v>
      </c>
      <c r="AE685">
        <v>-1.9785999999999699</v>
      </c>
      <c r="AF685">
        <v>2.1424647104582002</v>
      </c>
      <c r="AG685">
        <v>-1.0959184428819999</v>
      </c>
      <c r="AH685">
        <v>23.901867020924499</v>
      </c>
      <c r="AI685">
        <v>92.614747071392202</v>
      </c>
      <c r="AJ685">
        <v>84.877931437275507</v>
      </c>
      <c r="AK685">
        <v>24.022706744972901</v>
      </c>
      <c r="AL685">
        <v>71.977926089287905</v>
      </c>
      <c r="AM685">
        <v>90.667135450653007</v>
      </c>
      <c r="AN685">
        <v>1.00000007185797</v>
      </c>
    </row>
    <row r="686" spans="1:40" x14ac:dyDescent="0.25">
      <c r="A686" t="str">
        <f>"20190304164608326"</f>
        <v>20190304164608326</v>
      </c>
      <c r="B686" t="str">
        <f>"1551689168318014"</f>
        <v>1551689168318014</v>
      </c>
      <c r="C686" t="s">
        <v>40</v>
      </c>
      <c r="D686">
        <v>4.2171269999999996</v>
      </c>
      <c r="E686">
        <v>0.55403279999999999</v>
      </c>
      <c r="F686" t="s">
        <v>42</v>
      </c>
      <c r="G686">
        <v>-251.96340000000001</v>
      </c>
      <c r="H686" s="1">
        <v>-4.1098449999999998E-6</v>
      </c>
      <c r="I686">
        <v>365.78370000000001</v>
      </c>
      <c r="J686">
        <v>-274.85059999999999</v>
      </c>
      <c r="K686">
        <v>1.09796</v>
      </c>
      <c r="L686">
        <v>367.69240000000002</v>
      </c>
      <c r="M686">
        <v>0.99993120000000002</v>
      </c>
      <c r="N686">
        <v>-9.2609519999999994E-3</v>
      </c>
      <c r="O686">
        <v>7.202544E-3</v>
      </c>
      <c r="P686">
        <v>0.95389559999999995</v>
      </c>
      <c r="Q686">
        <v>0.29964039999999997</v>
      </c>
      <c r="R686">
        <v>1.7293240000000001E-2</v>
      </c>
      <c r="S686">
        <v>3.1989749999999999</v>
      </c>
      <c r="T686">
        <v>-0.15098449999999999</v>
      </c>
      <c r="U686">
        <v>-0.2626038</v>
      </c>
      <c r="V686">
        <v>-1.055183E-2</v>
      </c>
      <c r="W686">
        <v>0.30845820000000002</v>
      </c>
      <c r="X686">
        <v>0.95117940000000001</v>
      </c>
      <c r="Y686">
        <v>8.8868539999999996E-2</v>
      </c>
      <c r="Z686">
        <v>-2.777645E-3</v>
      </c>
      <c r="AA686">
        <v>0.99603949999999997</v>
      </c>
      <c r="AB686">
        <v>35</v>
      </c>
      <c r="AC686">
        <v>22.887199999999901</v>
      </c>
      <c r="AD686">
        <v>-1.0979641098449999</v>
      </c>
      <c r="AE686">
        <v>-1.9087000000000101</v>
      </c>
      <c r="AF686">
        <v>2.0687754341192601</v>
      </c>
      <c r="AG686">
        <v>-1.0979641098449999</v>
      </c>
      <c r="AH686">
        <v>22.8207015212455</v>
      </c>
      <c r="AI686">
        <v>92.743294976780007</v>
      </c>
      <c r="AJ686">
        <v>84.820098239977497</v>
      </c>
      <c r="AK686">
        <v>22.9405705008637</v>
      </c>
      <c r="AL686">
        <v>72.033661486493699</v>
      </c>
      <c r="AM686">
        <v>90.635579919522399</v>
      </c>
      <c r="AN686">
        <v>1.0000000266239699</v>
      </c>
    </row>
    <row r="687" spans="1:40" x14ac:dyDescent="0.25">
      <c r="A687" t="str">
        <f>"20190304164608349"</f>
        <v>20190304164608349</v>
      </c>
      <c r="B687" t="str">
        <f>"1551689168338510"</f>
        <v>1551689168338510</v>
      </c>
      <c r="C687" t="s">
        <v>40</v>
      </c>
      <c r="D687">
        <v>4.1337199999999896</v>
      </c>
      <c r="E687">
        <v>0.55392059999999999</v>
      </c>
      <c r="F687" t="s">
        <v>42</v>
      </c>
      <c r="G687">
        <v>-252.5299</v>
      </c>
      <c r="H687" s="1">
        <v>-3.8544090000000004E-6</v>
      </c>
      <c r="I687">
        <v>365.8535</v>
      </c>
      <c r="J687">
        <v>-274.50380000000001</v>
      </c>
      <c r="K687">
        <v>1.099855</v>
      </c>
      <c r="L687">
        <v>367.69499999999999</v>
      </c>
      <c r="M687">
        <v>0.99992530000000002</v>
      </c>
      <c r="N687">
        <v>-9.7639860000000005E-3</v>
      </c>
      <c r="O687">
        <v>7.3773399999999996E-3</v>
      </c>
      <c r="P687">
        <v>0.95456110000000005</v>
      </c>
      <c r="Q687">
        <v>0.2975814</v>
      </c>
      <c r="R687">
        <v>1.6094319999999999E-2</v>
      </c>
      <c r="S687">
        <v>3.1991879999999999</v>
      </c>
      <c r="T687">
        <v>-0.1573687</v>
      </c>
      <c r="U687">
        <v>-0.2635498</v>
      </c>
      <c r="V687">
        <v>-9.1742839999999996E-3</v>
      </c>
      <c r="W687">
        <v>0.30688480000000001</v>
      </c>
      <c r="X687">
        <v>0.95170250000000001</v>
      </c>
      <c r="Y687">
        <v>8.9318220000000004E-2</v>
      </c>
      <c r="Z687">
        <v>-2.9190829999999998E-3</v>
      </c>
      <c r="AA687">
        <v>0.99599890000000002</v>
      </c>
      <c r="AB687">
        <v>35</v>
      </c>
      <c r="AC687">
        <v>21.9739</v>
      </c>
      <c r="AD687">
        <v>-1.099858854409</v>
      </c>
      <c r="AE687">
        <v>-1.8414999999999899</v>
      </c>
      <c r="AF687">
        <v>1.99859435513393</v>
      </c>
      <c r="AG687">
        <v>-1.099858854409</v>
      </c>
      <c r="AH687">
        <v>21.905219553878599</v>
      </c>
      <c r="AI687">
        <v>92.862531548660201</v>
      </c>
      <c r="AJ687">
        <v>84.786865620889998</v>
      </c>
      <c r="AK687">
        <v>22.023685263815899</v>
      </c>
      <c r="AL687">
        <v>72.128406906659606</v>
      </c>
      <c r="AM687">
        <v>90.552306494804498</v>
      </c>
      <c r="AN687">
        <v>1.0000000482321001</v>
      </c>
    </row>
    <row r="688" spans="1:40" x14ac:dyDescent="0.25">
      <c r="A688" t="str">
        <f>"20190304164608362"</f>
        <v>20190304164608362</v>
      </c>
      <c r="B688" t="str">
        <f>"1551689168358030"</f>
        <v>1551689168358030</v>
      </c>
      <c r="C688" t="s">
        <v>40</v>
      </c>
      <c r="D688">
        <v>4.1443519999999996</v>
      </c>
      <c r="E688">
        <v>0.55385519999999999</v>
      </c>
      <c r="F688" t="s">
        <v>42</v>
      </c>
      <c r="G688">
        <v>-253.0566</v>
      </c>
      <c r="H688" s="1">
        <v>-3.6198460000000001E-6</v>
      </c>
      <c r="I688">
        <v>365.90219999999999</v>
      </c>
      <c r="J688">
        <v>-274.2955</v>
      </c>
      <c r="K688">
        <v>1.1008690000000001</v>
      </c>
      <c r="L688">
        <v>367.69670000000002</v>
      </c>
      <c r="M688">
        <v>0.99992150000000002</v>
      </c>
      <c r="N688">
        <v>-1.0052810000000001E-2</v>
      </c>
      <c r="O688">
        <v>7.4763159999999898E-3</v>
      </c>
      <c r="P688">
        <v>0.95480690000000001</v>
      </c>
      <c r="Q688">
        <v>0.29681249999999998</v>
      </c>
      <c r="R688">
        <v>1.569042E-2</v>
      </c>
      <c r="S688">
        <v>3.1984560000000002</v>
      </c>
      <c r="T688">
        <v>-0.16402329999999901</v>
      </c>
      <c r="U688">
        <v>-0.2673645</v>
      </c>
      <c r="V688">
        <v>-8.6692690000000003E-3</v>
      </c>
      <c r="W688">
        <v>0.3063941</v>
      </c>
      <c r="X688">
        <v>0.95186530000000003</v>
      </c>
      <c r="Y688">
        <v>9.0601699999999993E-2</v>
      </c>
      <c r="Z688">
        <v>-3.0816469999999999E-3</v>
      </c>
      <c r="AA688">
        <v>0.9958825</v>
      </c>
      <c r="AB688">
        <v>35</v>
      </c>
      <c r="AC688">
        <v>21.238900000000001</v>
      </c>
      <c r="AD688">
        <v>-1.1008726198459999</v>
      </c>
      <c r="AE688">
        <v>-1.79450000000002</v>
      </c>
      <c r="AF688">
        <v>1.94804997823554</v>
      </c>
      <c r="AG688">
        <v>-1.1008726198459999</v>
      </c>
      <c r="AH688">
        <v>21.168420537903501</v>
      </c>
      <c r="AI688">
        <v>92.964505234480498</v>
      </c>
      <c r="AJ688">
        <v>84.742094697091105</v>
      </c>
      <c r="AK688">
        <v>21.2863535466355</v>
      </c>
      <c r="AL688">
        <v>72.157944488525402</v>
      </c>
      <c r="AM688">
        <v>90.521816261000694</v>
      </c>
      <c r="AN688">
        <v>1.0000000250419401</v>
      </c>
    </row>
    <row r="689" spans="1:40" x14ac:dyDescent="0.25">
      <c r="A689" t="str">
        <f>"20190304164608375"</f>
        <v>20190304164608375</v>
      </c>
      <c r="B689" t="str">
        <f>"1551689168368766"</f>
        <v>1551689168368766</v>
      </c>
      <c r="C689" t="s">
        <v>40</v>
      </c>
      <c r="D689">
        <v>4.2010230000000002</v>
      </c>
      <c r="E689">
        <v>0.55384739999999999</v>
      </c>
      <c r="F689" t="s">
        <v>42</v>
      </c>
      <c r="G689">
        <v>-253.19630000000001</v>
      </c>
      <c r="H689" s="1">
        <v>-3.5561149999999999E-6</v>
      </c>
      <c r="I689">
        <v>365.92360000000002</v>
      </c>
      <c r="J689">
        <v>-274.09440000000001</v>
      </c>
      <c r="K689">
        <v>1.101791</v>
      </c>
      <c r="L689">
        <v>367.69830000000002</v>
      </c>
      <c r="M689">
        <v>0.99991799999999997</v>
      </c>
      <c r="N689">
        <v>-1.032459E-2</v>
      </c>
      <c r="O689">
        <v>7.568595E-3</v>
      </c>
      <c r="P689">
        <v>0.95501409999999998</v>
      </c>
      <c r="Q689">
        <v>0.29615740000000002</v>
      </c>
      <c r="R689">
        <v>1.5460089999999999E-2</v>
      </c>
      <c r="S689">
        <v>3.1983030000000001</v>
      </c>
      <c r="T689">
        <v>-0.16687389999999999</v>
      </c>
      <c r="U689">
        <v>-0.26876830000000002</v>
      </c>
      <c r="V689">
        <v>-8.3444959999999999E-3</v>
      </c>
      <c r="W689">
        <v>0.30599959999999998</v>
      </c>
      <c r="X689">
        <v>0.95199509999999998</v>
      </c>
      <c r="Y689">
        <v>9.1125300000000006E-2</v>
      </c>
      <c r="Z689">
        <v>-3.1591219999999999E-3</v>
      </c>
      <c r="AA689">
        <v>0.99583440000000001</v>
      </c>
      <c r="AB689">
        <v>35</v>
      </c>
      <c r="AC689">
        <v>20.898099999999999</v>
      </c>
      <c r="AD689">
        <v>-1.101794556115</v>
      </c>
      <c r="AE689">
        <v>-1.77469999999999</v>
      </c>
      <c r="AF689">
        <v>1.9275074544373201</v>
      </c>
      <c r="AG689">
        <v>-1.101794556115</v>
      </c>
      <c r="AH689">
        <v>20.826592854085</v>
      </c>
      <c r="AI689">
        <v>93.015447162489806</v>
      </c>
      <c r="AJ689">
        <v>84.712321289544306</v>
      </c>
      <c r="AK689">
        <v>20.9445984955697</v>
      </c>
      <c r="AL689">
        <v>72.181688178816401</v>
      </c>
      <c r="AM689">
        <v>90.502200231151903</v>
      </c>
      <c r="AN689">
        <v>1.0000000281188299</v>
      </c>
    </row>
    <row r="690" spans="1:40" x14ac:dyDescent="0.25">
      <c r="A690" t="str">
        <f>"20190304164608389"</f>
        <v>20190304164608389</v>
      </c>
      <c r="B690" t="str">
        <f>"1551689168378527"</f>
        <v>1551689168378527</v>
      </c>
      <c r="C690" t="s">
        <v>40</v>
      </c>
      <c r="D690">
        <v>4.1576709999999997</v>
      </c>
      <c r="E690">
        <v>0.55380560000000001</v>
      </c>
      <c r="F690" t="s">
        <v>42</v>
      </c>
      <c r="G690">
        <v>-253.2527</v>
      </c>
      <c r="H690" s="1">
        <v>-3.5302149999999999E-6</v>
      </c>
      <c r="I690">
        <v>365.9332</v>
      </c>
      <c r="J690">
        <v>-273.88560000000001</v>
      </c>
      <c r="K690">
        <v>1.1026549999999999</v>
      </c>
      <c r="L690">
        <v>367.69990000000001</v>
      </c>
      <c r="M690">
        <v>0.99991450000000004</v>
      </c>
      <c r="N690">
        <v>-1.059149E-2</v>
      </c>
      <c r="O690">
        <v>7.6595400000000003E-3</v>
      </c>
      <c r="P690">
        <v>0.95513429999999999</v>
      </c>
      <c r="Q690">
        <v>0.29578850000000001</v>
      </c>
      <c r="R690">
        <v>1.508753E-2</v>
      </c>
      <c r="S690">
        <v>3.1981199999999999</v>
      </c>
      <c r="T690">
        <v>-0.169068</v>
      </c>
      <c r="U690">
        <v>-0.27084350000000001</v>
      </c>
      <c r="V690">
        <v>-7.8794989999999999E-3</v>
      </c>
      <c r="W690">
        <v>0.30588609999999999</v>
      </c>
      <c r="X690">
        <v>0.95203550000000003</v>
      </c>
      <c r="Y690">
        <v>9.1856590000000002E-2</v>
      </c>
      <c r="Z690">
        <v>-3.232721E-3</v>
      </c>
      <c r="AA690">
        <v>0.99576699999999996</v>
      </c>
      <c r="AB690">
        <v>35</v>
      </c>
      <c r="AC690">
        <v>20.632899999999999</v>
      </c>
      <c r="AD690">
        <v>-1.102658530215</v>
      </c>
      <c r="AE690">
        <v>-1.7667000000000099</v>
      </c>
      <c r="AF690">
        <v>1.9192540320923299</v>
      </c>
      <c r="AG690">
        <v>-1.102658530215</v>
      </c>
      <c r="AH690">
        <v>20.560468047817501</v>
      </c>
      <c r="AI690">
        <v>93.056570866872704</v>
      </c>
      <c r="AJ690">
        <v>84.667075831100902</v>
      </c>
      <c r="AK690">
        <v>20.679270737124298</v>
      </c>
      <c r="AL690">
        <v>72.188518130582594</v>
      </c>
      <c r="AM690">
        <v>90.4741963187398</v>
      </c>
      <c r="AN690">
        <v>0.99999999296897502</v>
      </c>
    </row>
    <row r="691" spans="1:40" x14ac:dyDescent="0.25">
      <c r="A691" t="str">
        <f>"20190304164608406"</f>
        <v>20190304164608406</v>
      </c>
      <c r="B691" t="str">
        <f>"1551689168398047"</f>
        <v>1551689168398047</v>
      </c>
      <c r="C691" t="s">
        <v>40</v>
      </c>
      <c r="D691">
        <v>4.2090690000000004</v>
      </c>
      <c r="E691">
        <v>0.55375289999999999</v>
      </c>
      <c r="F691" t="s">
        <v>42</v>
      </c>
      <c r="G691">
        <v>-253.1062</v>
      </c>
      <c r="H691" s="1">
        <v>-3.5947390000000001E-6</v>
      </c>
      <c r="I691">
        <v>365.9239</v>
      </c>
      <c r="J691">
        <v>-273.6155</v>
      </c>
      <c r="K691">
        <v>1.1036649999999999</v>
      </c>
      <c r="L691">
        <v>367.70209999999997</v>
      </c>
      <c r="M691">
        <v>0.99991030000000003</v>
      </c>
      <c r="N691">
        <v>-1.09196E-2</v>
      </c>
      <c r="O691">
        <v>7.7723949999999997E-3</v>
      </c>
      <c r="P691">
        <v>0.9552001</v>
      </c>
      <c r="Q691">
        <v>0.2956377</v>
      </c>
      <c r="R691">
        <v>1.3837550000000001E-2</v>
      </c>
      <c r="S691">
        <v>3.197784</v>
      </c>
      <c r="T691">
        <v>-0.1696897</v>
      </c>
      <c r="U691">
        <v>-0.27331539999999999</v>
      </c>
      <c r="V691">
        <v>-6.5149659999999996E-3</v>
      </c>
      <c r="W691">
        <v>0.30604910000000002</v>
      </c>
      <c r="X691">
        <v>0.95199339999999999</v>
      </c>
      <c r="Y691">
        <v>9.2738580000000001E-2</v>
      </c>
      <c r="Z691">
        <v>-3.2888449999999999E-3</v>
      </c>
      <c r="AA691">
        <v>0.99568500000000004</v>
      </c>
      <c r="AB691">
        <v>35</v>
      </c>
      <c r="AC691">
        <v>20.5093</v>
      </c>
      <c r="AD691">
        <v>-1.1036685947389999</v>
      </c>
      <c r="AE691">
        <v>-1.77819999999996</v>
      </c>
      <c r="AF691">
        <v>1.9320090870320199</v>
      </c>
      <c r="AG691">
        <v>-1.1036685947389999</v>
      </c>
      <c r="AH691">
        <v>20.436120399444999</v>
      </c>
      <c r="AI691">
        <v>93.077604069738996</v>
      </c>
      <c r="AJ691">
        <v>84.599369352626397</v>
      </c>
      <c r="AK691">
        <v>20.556890826678998</v>
      </c>
      <c r="AL691">
        <v>72.178707950969198</v>
      </c>
      <c r="AM691">
        <v>90.392097495949301</v>
      </c>
      <c r="AN691">
        <v>0.99999996501817501</v>
      </c>
    </row>
    <row r="692" spans="1:40" x14ac:dyDescent="0.25">
      <c r="A692" t="str">
        <f>"20190304164608427"</f>
        <v>20190304164608427</v>
      </c>
      <c r="B692" t="str">
        <f>"1551689168418543"</f>
        <v>1551689168418543</v>
      </c>
      <c r="C692" t="s">
        <v>40</v>
      </c>
      <c r="D692">
        <v>4.3551260000000003</v>
      </c>
      <c r="E692">
        <v>0.55384149999999999</v>
      </c>
      <c r="F692" t="s">
        <v>42</v>
      </c>
      <c r="G692">
        <v>-252.85599999999999</v>
      </c>
      <c r="H692" s="1">
        <v>-3.7065610000000002E-6</v>
      </c>
      <c r="I692">
        <v>365.89839999999998</v>
      </c>
      <c r="J692">
        <v>-273.29160000000002</v>
      </c>
      <c r="K692">
        <v>1.104732</v>
      </c>
      <c r="L692">
        <v>367.7047</v>
      </c>
      <c r="M692">
        <v>0.99990520000000005</v>
      </c>
      <c r="N692">
        <v>-1.1286350000000001E-2</v>
      </c>
      <c r="O692">
        <v>7.9027939999999994E-3</v>
      </c>
      <c r="P692">
        <v>0.95500059999999998</v>
      </c>
      <c r="Q692">
        <v>0.29630450000000003</v>
      </c>
      <c r="R692">
        <v>1.33411E-2</v>
      </c>
      <c r="S692">
        <v>3.197327</v>
      </c>
      <c r="T692">
        <v>-0.1699841</v>
      </c>
      <c r="U692">
        <v>-0.27780149999999998</v>
      </c>
      <c r="V692">
        <v>-5.8896769999999899E-3</v>
      </c>
      <c r="W692">
        <v>0.30706309999999998</v>
      </c>
      <c r="X692">
        <v>0.95167089999999999</v>
      </c>
      <c r="Y692">
        <v>9.4263109999999997E-2</v>
      </c>
      <c r="Z692">
        <v>-3.3627930000000002E-3</v>
      </c>
      <c r="AA692">
        <v>0.99554160000000003</v>
      </c>
      <c r="AB692">
        <v>35</v>
      </c>
      <c r="AC692">
        <v>20.435600000000001</v>
      </c>
      <c r="AD692">
        <v>-1.104735706561</v>
      </c>
      <c r="AE692">
        <v>-1.80630000000002</v>
      </c>
      <c r="AF692">
        <v>1.96206267874044</v>
      </c>
      <c r="AG692">
        <v>-1.104735706561</v>
      </c>
      <c r="AH692">
        <v>20.361642153600801</v>
      </c>
      <c r="AI692">
        <v>93.091288518918006</v>
      </c>
      <c r="AJ692">
        <v>84.495930756884903</v>
      </c>
      <c r="AK692">
        <v>20.485765841870599</v>
      </c>
      <c r="AL692">
        <v>72.117671336333103</v>
      </c>
      <c r="AM692">
        <v>90.354586156444398</v>
      </c>
      <c r="AN692">
        <v>0.99999996879179098</v>
      </c>
    </row>
    <row r="693" spans="1:40" x14ac:dyDescent="0.25">
      <c r="A693" t="str">
        <f>"20190304164608442"</f>
        <v>20190304164608442</v>
      </c>
      <c r="B693" t="str">
        <f>"1551689168438064"</f>
        <v>1551689168438064</v>
      </c>
      <c r="C693" t="s">
        <v>40</v>
      </c>
      <c r="D693">
        <v>4.5174529999999997</v>
      </c>
      <c r="E693">
        <v>0.57562209999999903</v>
      </c>
      <c r="F693" t="s">
        <v>42</v>
      </c>
      <c r="G693">
        <v>-252.07339999999999</v>
      </c>
      <c r="H693" s="1">
        <v>-4.0537689999999901E-6</v>
      </c>
      <c r="I693">
        <v>365.8338</v>
      </c>
      <c r="J693">
        <v>-273.06229999999999</v>
      </c>
      <c r="K693">
        <v>1.1053959999999901</v>
      </c>
      <c r="L693">
        <v>367.70670000000001</v>
      </c>
      <c r="M693">
        <v>0.99990179999999995</v>
      </c>
      <c r="N693">
        <v>-1.152736E-2</v>
      </c>
      <c r="O693">
        <v>7.99203699999999E-3</v>
      </c>
      <c r="P693">
        <v>0.95495030000000003</v>
      </c>
      <c r="Q693">
        <v>0.29645949999999999</v>
      </c>
      <c r="R693">
        <v>1.3487829999999999E-2</v>
      </c>
      <c r="S693">
        <v>3.1969910000000001</v>
      </c>
      <c r="T693">
        <v>-0.16645209999999999</v>
      </c>
      <c r="U693">
        <v>-0.2818909</v>
      </c>
      <c r="V693">
        <v>-5.948348E-3</v>
      </c>
      <c r="W693">
        <v>0.30744749999999998</v>
      </c>
      <c r="X693">
        <v>0.95154649999999996</v>
      </c>
      <c r="Y693">
        <v>9.5628169999999998E-2</v>
      </c>
      <c r="Z693">
        <v>-3.358827E-3</v>
      </c>
      <c r="AA693">
        <v>0.9954115</v>
      </c>
      <c r="AB693">
        <v>35</v>
      </c>
      <c r="AC693">
        <v>20.988900000000001</v>
      </c>
      <c r="AD693">
        <v>-1.1054000537690001</v>
      </c>
      <c r="AE693">
        <v>-1.87290000000001</v>
      </c>
      <c r="AF693">
        <v>2.0349954791578702</v>
      </c>
      <c r="AG693">
        <v>-1.1054000537690001</v>
      </c>
      <c r="AH693">
        <v>20.915704695034201</v>
      </c>
      <c r="AI693">
        <v>93.011089148976495</v>
      </c>
      <c r="AJ693">
        <v>84.4428927789982</v>
      </c>
      <c r="AK693">
        <v>21.0435220143621</v>
      </c>
      <c r="AL693">
        <v>72.094528702375897</v>
      </c>
      <c r="AM693">
        <v>90.358165151273298</v>
      </c>
      <c r="AN693">
        <v>1.0000000448812101</v>
      </c>
    </row>
    <row r="694" spans="1:40" x14ac:dyDescent="0.25">
      <c r="A694" t="str">
        <f>"20190304164608456"</f>
        <v>20190304164608456</v>
      </c>
      <c r="B694" t="str">
        <f>"1551689168448799"</f>
        <v>1551689168448799</v>
      </c>
      <c r="C694" t="s">
        <v>40</v>
      </c>
      <c r="D694">
        <v>4.4310140000000002</v>
      </c>
      <c r="E694">
        <v>0.57759740000000004</v>
      </c>
      <c r="F694" t="s">
        <v>42</v>
      </c>
      <c r="G694">
        <v>-253.9196</v>
      </c>
      <c r="H694" s="1">
        <v>-3.411536E-6</v>
      </c>
      <c r="I694">
        <v>364.98939999999999</v>
      </c>
      <c r="J694">
        <v>-272.84899999999999</v>
      </c>
      <c r="K694">
        <v>1.1059650000000001</v>
      </c>
      <c r="L694">
        <v>367.70839999999998</v>
      </c>
      <c r="M694">
        <v>0.99989850000000002</v>
      </c>
      <c r="N694">
        <v>-1.1740479999999999E-2</v>
      </c>
      <c r="O694">
        <v>8.0739119999999904E-3</v>
      </c>
      <c r="P694">
        <v>0.95498229999999995</v>
      </c>
      <c r="Q694">
        <v>0.29633949999999998</v>
      </c>
      <c r="R694">
        <v>1.3843299999999999E-2</v>
      </c>
      <c r="S694">
        <v>3.2053829999999999</v>
      </c>
      <c r="T694">
        <v>-0.1850946</v>
      </c>
      <c r="U694">
        <v>-0.45498660000000002</v>
      </c>
      <c r="V694">
        <v>-6.222226E-3</v>
      </c>
      <c r="W694">
        <v>0.30753049999999998</v>
      </c>
      <c r="X694">
        <v>0.95151790000000003</v>
      </c>
      <c r="Y694">
        <v>0.148225</v>
      </c>
      <c r="Z694">
        <v>-5.4994659999999997E-3</v>
      </c>
      <c r="AA694">
        <v>0.9889384</v>
      </c>
      <c r="AB694">
        <v>35</v>
      </c>
      <c r="AC694">
        <v>18.929399999999902</v>
      </c>
      <c r="AD694">
        <v>-1.10596841153599</v>
      </c>
      <c r="AE694">
        <v>-2.7189999999999901</v>
      </c>
      <c r="AF694">
        <v>2.8621833831059802</v>
      </c>
      <c r="AG694">
        <v>-1.10596841153599</v>
      </c>
      <c r="AH694">
        <v>18.843803698849101</v>
      </c>
      <c r="AI694">
        <v>93.320911340415904</v>
      </c>
      <c r="AJ694">
        <v>81.363363558127205</v>
      </c>
      <c r="AK694">
        <v>19.091993025522601</v>
      </c>
      <c r="AL694">
        <v>72.089530549351196</v>
      </c>
      <c r="AM694">
        <v>90.374666842795506</v>
      </c>
      <c r="AN694">
        <v>1.0000000192735199</v>
      </c>
    </row>
    <row r="695" spans="1:40" x14ac:dyDescent="0.25">
      <c r="A695" t="str">
        <f>"20190304164608473"</f>
        <v>20190304164608473</v>
      </c>
      <c r="B695" t="str">
        <f>"1551689168468319"</f>
        <v>1551689168468319</v>
      </c>
      <c r="C695" t="s">
        <v>40</v>
      </c>
      <c r="D695">
        <v>4.4714400000000003</v>
      </c>
      <c r="E695">
        <v>0.57923239999999998</v>
      </c>
      <c r="F695" t="s">
        <v>42</v>
      </c>
      <c r="G695">
        <v>-254.59690000000001</v>
      </c>
      <c r="H695" s="1">
        <v>-3.1122870000000001E-6</v>
      </c>
      <c r="I695">
        <v>365.03840000000002</v>
      </c>
      <c r="J695">
        <v>-272.59660000000002</v>
      </c>
      <c r="K695">
        <v>1.106563</v>
      </c>
      <c r="L695">
        <v>367.71050000000002</v>
      </c>
      <c r="M695">
        <v>0.99989499999999998</v>
      </c>
      <c r="N695">
        <v>-1.197461E-2</v>
      </c>
      <c r="O695">
        <v>8.1686950000000001E-3</v>
      </c>
      <c r="P695">
        <v>0.95523089999999999</v>
      </c>
      <c r="Q695">
        <v>0.2954968</v>
      </c>
      <c r="R695">
        <v>1.468298E-2</v>
      </c>
      <c r="S695">
        <v>3.2085880000000002</v>
      </c>
      <c r="T695">
        <v>-0.19442029999999999</v>
      </c>
      <c r="U695">
        <v>-0.46936040000000001</v>
      </c>
      <c r="V695">
        <v>-6.9668769999999998E-3</v>
      </c>
      <c r="W695">
        <v>0.3069133</v>
      </c>
      <c r="X695">
        <v>0.951712</v>
      </c>
      <c r="Y695">
        <v>0.15248200000000001</v>
      </c>
      <c r="Z695">
        <v>-5.9046949999999997E-3</v>
      </c>
      <c r="AA695">
        <v>0.98828859999999996</v>
      </c>
      <c r="AB695">
        <v>34</v>
      </c>
      <c r="AC695">
        <v>17.999700000000001</v>
      </c>
      <c r="AD695">
        <v>-1.1065661122870001</v>
      </c>
      <c r="AE695">
        <v>-2.6720999999999999</v>
      </c>
      <c r="AF695">
        <v>2.8086692029269198</v>
      </c>
      <c r="AG695">
        <v>-1.1065661122870001</v>
      </c>
      <c r="AH695">
        <v>17.911036714461499</v>
      </c>
      <c r="AI695">
        <v>93.492736135475695</v>
      </c>
      <c r="AJ695">
        <v>81.087899127138897</v>
      </c>
      <c r="AK695">
        <v>18.163654572775801</v>
      </c>
      <c r="AL695">
        <v>72.126690676775993</v>
      </c>
      <c r="AM695">
        <v>90.419418393869805</v>
      </c>
      <c r="AN695">
        <v>1.00000002101801</v>
      </c>
    </row>
    <row r="696" spans="1:40" x14ac:dyDescent="0.25">
      <c r="A696" t="str">
        <f>"20190304164608488"</f>
        <v>20190304164608488</v>
      </c>
      <c r="B696" t="str">
        <f>"1551689168478079"</f>
        <v>1551689168478079</v>
      </c>
      <c r="C696" t="s">
        <v>40</v>
      </c>
      <c r="D696">
        <v>4.4585059999999999</v>
      </c>
      <c r="E696">
        <v>0.57966110000000004</v>
      </c>
      <c r="F696" t="s">
        <v>42</v>
      </c>
      <c r="G696">
        <v>-256.92630000000003</v>
      </c>
      <c r="H696" s="1">
        <v>-2.159897E-6</v>
      </c>
      <c r="I696">
        <v>365.3775</v>
      </c>
      <c r="J696">
        <v>-272.3578</v>
      </c>
      <c r="K696">
        <v>1.107059</v>
      </c>
      <c r="L696">
        <v>367.71260000000001</v>
      </c>
      <c r="M696">
        <v>0.9998918</v>
      </c>
      <c r="N696">
        <v>-1.217882E-2</v>
      </c>
      <c r="O696">
        <v>8.2577429999999997E-3</v>
      </c>
      <c r="P696">
        <v>0.95544150000000005</v>
      </c>
      <c r="Q696">
        <v>0.29481259999999998</v>
      </c>
      <c r="R696">
        <v>1.473229E-2</v>
      </c>
      <c r="S696">
        <v>3.2182620000000002</v>
      </c>
      <c r="T696">
        <v>-0.2272583</v>
      </c>
      <c r="U696">
        <v>-0.479126</v>
      </c>
      <c r="V696">
        <v>-6.9271740000000004E-3</v>
      </c>
      <c r="W696">
        <v>0.30642629999999998</v>
      </c>
      <c r="X696">
        <v>0.95186919999999997</v>
      </c>
      <c r="Y696">
        <v>0.15495980000000001</v>
      </c>
      <c r="Z696">
        <v>-6.8641850000000001E-3</v>
      </c>
      <c r="AA696">
        <v>0.98789689999999997</v>
      </c>
      <c r="AB696">
        <v>34</v>
      </c>
      <c r="AC696">
        <v>15.4314999999999</v>
      </c>
      <c r="AD696">
        <v>-1.1070611598969999</v>
      </c>
      <c r="AE696">
        <v>-2.3351000000000099</v>
      </c>
      <c r="AF696">
        <v>2.4501314190227301</v>
      </c>
      <c r="AG696">
        <v>-1.1070611598969999</v>
      </c>
      <c r="AH696">
        <v>15.334534476160499</v>
      </c>
      <c r="AI696">
        <v>94.077702319954597</v>
      </c>
      <c r="AJ696">
        <v>80.9220886248075</v>
      </c>
      <c r="AK696">
        <v>15.5684513032861</v>
      </c>
      <c r="AL696">
        <v>72.156006217784693</v>
      </c>
      <c r="AM696">
        <v>90.416959418005803</v>
      </c>
      <c r="AN696">
        <v>1.00000001848997</v>
      </c>
    </row>
    <row r="697" spans="1:40" x14ac:dyDescent="0.25">
      <c r="A697" t="str">
        <f>"20190304164608503"</f>
        <v>20190304164608503</v>
      </c>
      <c r="B697" t="str">
        <f>"1551689168498575"</f>
        <v>1551689168498575</v>
      </c>
      <c r="C697" t="s">
        <v>40</v>
      </c>
      <c r="D697">
        <v>4.3830030000000004</v>
      </c>
      <c r="E697">
        <v>0.58025740000000003</v>
      </c>
      <c r="F697" t="s">
        <v>42</v>
      </c>
      <c r="G697">
        <v>-257.35770000000002</v>
      </c>
      <c r="H697" s="1">
        <v>-1.9888030000000002E-6</v>
      </c>
      <c r="I697">
        <v>365.46879999999999</v>
      </c>
      <c r="J697">
        <v>-272.137</v>
      </c>
      <c r="K697">
        <v>1.1074740000000001</v>
      </c>
      <c r="L697">
        <v>367.71449999999999</v>
      </c>
      <c r="M697">
        <v>0.99988889999999997</v>
      </c>
      <c r="N697">
        <v>-1.235616E-2</v>
      </c>
      <c r="O697">
        <v>8.3388899999999998E-3</v>
      </c>
      <c r="P697">
        <v>0.95562789999999997</v>
      </c>
      <c r="Q697">
        <v>0.29419719999999999</v>
      </c>
      <c r="R697">
        <v>1.4947220000000001E-2</v>
      </c>
      <c r="S697">
        <v>3.2206730000000001</v>
      </c>
      <c r="T697">
        <v>-0.2376964</v>
      </c>
      <c r="U697">
        <v>-0.48175050000000003</v>
      </c>
      <c r="V697">
        <v>-7.0612210000000003E-3</v>
      </c>
      <c r="W697">
        <v>0.30598239999999999</v>
      </c>
      <c r="X697">
        <v>0.95201100000000005</v>
      </c>
      <c r="Y697">
        <v>0.15567709999999901</v>
      </c>
      <c r="Z697">
        <v>-7.1829390000000002E-3</v>
      </c>
      <c r="AA697">
        <v>0.98778189999999999</v>
      </c>
      <c r="AB697">
        <v>34</v>
      </c>
      <c r="AC697">
        <v>14.7792999999999</v>
      </c>
      <c r="AD697">
        <v>-1.1074759888029999</v>
      </c>
      <c r="AE697">
        <v>-2.2456999999999998</v>
      </c>
      <c r="AF697">
        <v>2.3559438513462698</v>
      </c>
      <c r="AG697">
        <v>-1.1074759888029999</v>
      </c>
      <c r="AH697">
        <v>14.679490704757001</v>
      </c>
      <c r="AI697">
        <v>94.260123690400206</v>
      </c>
      <c r="AJ697">
        <v>80.882227779665598</v>
      </c>
      <c r="AK697">
        <v>14.9085352012704</v>
      </c>
      <c r="AL697">
        <v>72.182723113143098</v>
      </c>
      <c r="AM697">
        <v>90.424964357090204</v>
      </c>
      <c r="AN697">
        <v>1.0000000170363801</v>
      </c>
    </row>
    <row r="698" spans="1:40" x14ac:dyDescent="0.25">
      <c r="A698" t="str">
        <f>"20190304164608518"</f>
        <v>20190304164608518</v>
      </c>
      <c r="B698" t="str">
        <f>"1551689168508335"</f>
        <v>1551689168508335</v>
      </c>
      <c r="C698" t="s">
        <v>40</v>
      </c>
      <c r="D698">
        <v>4.3880140000000001</v>
      </c>
      <c r="E698">
        <v>0.58033299999999999</v>
      </c>
      <c r="F698" t="s">
        <v>41</v>
      </c>
      <c r="G698">
        <v>-271.22699999999998</v>
      </c>
      <c r="H698">
        <v>1.035552</v>
      </c>
      <c r="I698">
        <v>367.57780000000002</v>
      </c>
      <c r="J698">
        <v>-271.91019999999997</v>
      </c>
      <c r="K698">
        <v>1.1078650000000001</v>
      </c>
      <c r="L698">
        <v>367.71640000000002</v>
      </c>
      <c r="M698">
        <v>0.9998861</v>
      </c>
      <c r="N698">
        <v>-1.2527679999999999E-2</v>
      </c>
      <c r="O698">
        <v>8.4212469999999998E-3</v>
      </c>
      <c r="P698">
        <v>0.95580750000000003</v>
      </c>
      <c r="Q698">
        <v>0.29363699999999998</v>
      </c>
      <c r="R698">
        <v>1.446856E-2</v>
      </c>
      <c r="S698">
        <v>3.2253419999999999</v>
      </c>
      <c r="T698">
        <v>-0.2550058</v>
      </c>
      <c r="U698">
        <v>-0.48394779999999998</v>
      </c>
      <c r="V698">
        <v>-6.5000880000000002E-3</v>
      </c>
      <c r="W698">
        <v>0.30558780000000002</v>
      </c>
      <c r="X698">
        <v>0.95214169999999998</v>
      </c>
      <c r="Y698">
        <v>0.15613579999999999</v>
      </c>
      <c r="Z698">
        <v>-7.6701859999999998E-3</v>
      </c>
      <c r="AA698">
        <v>0.98770579999999997</v>
      </c>
      <c r="AB698">
        <v>34</v>
      </c>
      <c r="AC698">
        <v>0.68319999999994196</v>
      </c>
      <c r="AD698">
        <v>-7.2312999999999794E-2</v>
      </c>
      <c r="AE698">
        <v>-0.138599999999996</v>
      </c>
      <c r="AF698">
        <v>0.142812240072483</v>
      </c>
      <c r="AG698">
        <v>-7.2312999999999794E-2</v>
      </c>
      <c r="AH698">
        <v>0.67474805346141398</v>
      </c>
      <c r="AI698">
        <v>95.985460471921797</v>
      </c>
      <c r="AJ698">
        <v>78.049558515886702</v>
      </c>
      <c r="AK698">
        <v>0.69347634533088998</v>
      </c>
      <c r="AL698">
        <v>72.206468889486104</v>
      </c>
      <c r="AM698">
        <v>90.3911411750219</v>
      </c>
      <c r="AN698">
        <v>0.99999998576586802</v>
      </c>
    </row>
    <row r="699" spans="1:40" x14ac:dyDescent="0.25">
      <c r="A699" t="str">
        <f>"20190304164608540"</f>
        <v>20190304164608540</v>
      </c>
      <c r="B699" t="str">
        <f>"1551689168528830"</f>
        <v>1551689168528830</v>
      </c>
      <c r="C699" t="s">
        <v>40</v>
      </c>
      <c r="D699">
        <v>4.5013909999999999</v>
      </c>
      <c r="E699">
        <v>0.5805321</v>
      </c>
      <c r="F699" t="s">
        <v>41</v>
      </c>
      <c r="G699">
        <v>-270.92489999999998</v>
      </c>
      <c r="H699">
        <v>1.0272490000000001</v>
      </c>
      <c r="I699">
        <v>367.5686</v>
      </c>
      <c r="J699">
        <v>-271.5643</v>
      </c>
      <c r="K699">
        <v>1.108368</v>
      </c>
      <c r="L699">
        <v>367.71949999999998</v>
      </c>
      <c r="M699">
        <v>0.99988220000000005</v>
      </c>
      <c r="N699">
        <v>-1.276413E-2</v>
      </c>
      <c r="O699">
        <v>8.5434440000000007E-3</v>
      </c>
      <c r="P699">
        <v>0.95562460000000005</v>
      </c>
      <c r="Q699">
        <v>0.294269</v>
      </c>
      <c r="R699">
        <v>1.370236E-2</v>
      </c>
      <c r="S699">
        <v>3.2271730000000001</v>
      </c>
      <c r="T699">
        <v>-0.26416899999999999</v>
      </c>
      <c r="U699">
        <v>-0.48379519999999998</v>
      </c>
      <c r="V699">
        <v>-5.6163119999999896E-3</v>
      </c>
      <c r="W699">
        <v>0.30644270000000001</v>
      </c>
      <c r="X699">
        <v>0.95187250000000001</v>
      </c>
      <c r="Y699">
        <v>0.15608859999999999</v>
      </c>
      <c r="Z699">
        <v>-7.9323729999999995E-3</v>
      </c>
      <c r="AA699">
        <v>0.98771120000000001</v>
      </c>
      <c r="AB699">
        <v>34</v>
      </c>
      <c r="AC699">
        <v>0.63940000000002295</v>
      </c>
      <c r="AD699">
        <v>-8.11189999999999E-2</v>
      </c>
      <c r="AE699">
        <v>-0.150899999999978</v>
      </c>
      <c r="AF699">
        <v>0.15400955932507501</v>
      </c>
      <c r="AG699">
        <v>-8.11189999999999E-2</v>
      </c>
      <c r="AH699">
        <v>0.62850505980192795</v>
      </c>
      <c r="AI699">
        <v>97.145204898284703</v>
      </c>
      <c r="AJ699">
        <v>76.231478847293303</v>
      </c>
      <c r="AK699">
        <v>0.65216397226551004</v>
      </c>
      <c r="AL699">
        <v>72.155018068648602</v>
      </c>
      <c r="AM699">
        <v>90.338057082127406</v>
      </c>
      <c r="AN699">
        <v>0.99999996380000999</v>
      </c>
    </row>
    <row r="700" spans="1:40" x14ac:dyDescent="0.25">
      <c r="A700" t="str">
        <f>"20190304164608562"</f>
        <v>20190304164608562</v>
      </c>
      <c r="B700" t="str">
        <f>"1551689168558818"</f>
        <v>1551689168558818</v>
      </c>
      <c r="C700" t="s">
        <v>40</v>
      </c>
      <c r="D700">
        <v>4.4392559999999897</v>
      </c>
      <c r="E700">
        <v>0.58090030000000004</v>
      </c>
      <c r="F700" t="s">
        <v>41</v>
      </c>
      <c r="G700">
        <v>-270.61810000000003</v>
      </c>
      <c r="H700">
        <v>1.029415</v>
      </c>
      <c r="I700">
        <v>367.57709999999997</v>
      </c>
      <c r="J700">
        <v>-271.21980000000002</v>
      </c>
      <c r="K700">
        <v>1.1087899999999999</v>
      </c>
      <c r="L700">
        <v>367.7226</v>
      </c>
      <c r="M700">
        <v>0.9998783</v>
      </c>
      <c r="N700">
        <v>-1.297533E-2</v>
      </c>
      <c r="O700">
        <v>8.6593119999999902E-3</v>
      </c>
      <c r="P700">
        <v>0.95539839999999998</v>
      </c>
      <c r="Q700">
        <v>0.29505749999999997</v>
      </c>
      <c r="R700">
        <v>1.2449099999999999E-2</v>
      </c>
      <c r="S700">
        <v>3.2293090000000002</v>
      </c>
      <c r="T700">
        <v>-0.26963019999999999</v>
      </c>
      <c r="U700">
        <v>-0.48529050000000001</v>
      </c>
      <c r="V700">
        <v>-4.2504960000000003E-3</v>
      </c>
      <c r="W700">
        <v>0.3074288</v>
      </c>
      <c r="X700">
        <v>0.95156160000000001</v>
      </c>
      <c r="Y700">
        <v>0.1565281</v>
      </c>
      <c r="Z700">
        <v>-8.1165639999999997E-3</v>
      </c>
      <c r="AA700">
        <v>0.98764010000000002</v>
      </c>
      <c r="AB700">
        <v>34</v>
      </c>
      <c r="AC700">
        <v>0.60169999999999302</v>
      </c>
      <c r="AD700">
        <v>-7.9374999999999904E-2</v>
      </c>
      <c r="AE700">
        <v>-0.145500000000026</v>
      </c>
      <c r="AF700">
        <v>0.14826762905076399</v>
      </c>
      <c r="AG700">
        <v>-7.9374999999999904E-2</v>
      </c>
      <c r="AH700">
        <v>0.59070563519442199</v>
      </c>
      <c r="AI700">
        <v>97.425526756209507</v>
      </c>
      <c r="AJ700">
        <v>75.909796836633603</v>
      </c>
      <c r="AK700">
        <v>0.61417980095390701</v>
      </c>
      <c r="AL700">
        <v>72.095653949791298</v>
      </c>
      <c r="AM700">
        <v>90.255930737340094</v>
      </c>
      <c r="AN700">
        <v>1.00000000619012</v>
      </c>
    </row>
    <row r="701" spans="1:40" x14ac:dyDescent="0.25">
      <c r="A701" t="str">
        <f>"20190304164608587"</f>
        <v>20190304164608587</v>
      </c>
      <c r="B701" t="str">
        <f>"1551689168578337"</f>
        <v>1551689168578337</v>
      </c>
      <c r="C701" t="s">
        <v>40</v>
      </c>
      <c r="D701">
        <v>4.5311219999999999</v>
      </c>
      <c r="E701">
        <v>0.58103939999999998</v>
      </c>
      <c r="F701" t="s">
        <v>41</v>
      </c>
      <c r="G701">
        <v>-270.30869999999999</v>
      </c>
      <c r="H701">
        <v>1.034713</v>
      </c>
      <c r="I701">
        <v>367.58370000000002</v>
      </c>
      <c r="J701">
        <v>-270.86020000000002</v>
      </c>
      <c r="K701">
        <v>1.1091530000000001</v>
      </c>
      <c r="L701">
        <v>367.72579999999999</v>
      </c>
      <c r="M701">
        <v>0.99987479999999995</v>
      </c>
      <c r="N701">
        <v>-1.3172110000000001E-2</v>
      </c>
      <c r="O701">
        <v>8.7718729999999995E-3</v>
      </c>
      <c r="P701">
        <v>0.95542729999999998</v>
      </c>
      <c r="Q701">
        <v>0.29502250000000002</v>
      </c>
      <c r="R701">
        <v>1.097503E-2</v>
      </c>
      <c r="S701">
        <v>3.2275999999999998</v>
      </c>
      <c r="T701">
        <v>-0.26271699999999998</v>
      </c>
      <c r="U701">
        <v>-0.4906006</v>
      </c>
      <c r="V701">
        <v>-2.6622640000000001E-3</v>
      </c>
      <c r="W701">
        <v>0.30758219999999997</v>
      </c>
      <c r="X701">
        <v>0.95151779999999997</v>
      </c>
      <c r="Y701">
        <v>0.1583263</v>
      </c>
      <c r="Z701">
        <v>-8.0413269999999992E-3</v>
      </c>
      <c r="AA701">
        <v>0.98735410000000001</v>
      </c>
      <c r="AB701">
        <v>34</v>
      </c>
      <c r="AC701">
        <v>0.55150000000003196</v>
      </c>
      <c r="AD701">
        <v>-7.4440000000000006E-2</v>
      </c>
      <c r="AE701">
        <v>-0.14209999999997</v>
      </c>
      <c r="AF701">
        <v>0.14446451444028699</v>
      </c>
      <c r="AG701">
        <v>-7.4440000000000006E-2</v>
      </c>
      <c r="AH701">
        <v>0.54098957169885498</v>
      </c>
      <c r="AI701">
        <v>97.572575574116499</v>
      </c>
      <c r="AJ701">
        <v>75.048746915009104</v>
      </c>
      <c r="AK701">
        <v>0.56487257520557499</v>
      </c>
      <c r="AL701">
        <v>72.086417304704796</v>
      </c>
      <c r="AM701">
        <v>90.160308186685299</v>
      </c>
      <c r="AN701">
        <v>1.00000001056164</v>
      </c>
    </row>
    <row r="702" spans="1:40" x14ac:dyDescent="0.25">
      <c r="A702" t="str">
        <f>"20190304164608608"</f>
        <v>20190304164608608</v>
      </c>
      <c r="B702" t="str">
        <f>"1551689168598833"</f>
        <v>1551689168598833</v>
      </c>
      <c r="C702" t="s">
        <v>40</v>
      </c>
      <c r="D702">
        <v>4.4412699999999896</v>
      </c>
      <c r="E702">
        <v>0.58118159999999996</v>
      </c>
      <c r="F702" t="s">
        <v>41</v>
      </c>
      <c r="G702">
        <v>-270.00209999999998</v>
      </c>
      <c r="H702">
        <v>1.0378229999999999</v>
      </c>
      <c r="I702">
        <v>367.59379999999999</v>
      </c>
      <c r="J702">
        <v>-270.51900000000001</v>
      </c>
      <c r="K702">
        <v>1.1094329999999999</v>
      </c>
      <c r="L702">
        <v>367.72890000000001</v>
      </c>
      <c r="M702">
        <v>0.99987190000000004</v>
      </c>
      <c r="N702">
        <v>-1.333786E-2</v>
      </c>
      <c r="O702">
        <v>8.8662849999999998E-3</v>
      </c>
      <c r="P702">
        <v>0.95535769999999998</v>
      </c>
      <c r="Q702">
        <v>0.29529490000000003</v>
      </c>
      <c r="R702">
        <v>9.6288550000000004E-3</v>
      </c>
      <c r="S702">
        <v>3.2286069999999998</v>
      </c>
      <c r="T702">
        <v>-0.26866299999999999</v>
      </c>
      <c r="U702">
        <v>-0.49560549999999998</v>
      </c>
      <c r="V702">
        <v>-1.2192559999999999E-3</v>
      </c>
      <c r="W702">
        <v>0.30801139999999999</v>
      </c>
      <c r="X702">
        <v>0.9513819</v>
      </c>
      <c r="Y702">
        <v>0.15983620000000001</v>
      </c>
      <c r="Z702">
        <v>-8.2895829999999997E-3</v>
      </c>
      <c r="AA702">
        <v>0.98710880000000001</v>
      </c>
      <c r="AB702">
        <v>34</v>
      </c>
      <c r="AC702">
        <v>0.51690000000002101</v>
      </c>
      <c r="AD702">
        <v>-7.1609999999999896E-2</v>
      </c>
      <c r="AE702">
        <v>-0.13510000000002201</v>
      </c>
      <c r="AF702">
        <v>0.13721299637756801</v>
      </c>
      <c r="AG702">
        <v>-7.1609999999999896E-2</v>
      </c>
      <c r="AH702">
        <v>0.50658082616126798</v>
      </c>
      <c r="AI702">
        <v>97.769626833484693</v>
      </c>
      <c r="AJ702">
        <v>74.844454344024797</v>
      </c>
      <c r="AK702">
        <v>0.529697585334446</v>
      </c>
      <c r="AL702">
        <v>72.060571252429497</v>
      </c>
      <c r="AM702">
        <v>90.073428120401303</v>
      </c>
      <c r="AN702">
        <v>1.0000000143813801</v>
      </c>
    </row>
    <row r="703" spans="1:40" x14ac:dyDescent="0.25">
      <c r="A703" t="str">
        <f>"20190304164608630"</f>
        <v>20190304164608630</v>
      </c>
      <c r="B703" t="str">
        <f>"1551689168618355"</f>
        <v>1551689168618355</v>
      </c>
      <c r="C703" t="s">
        <v>40</v>
      </c>
      <c r="D703">
        <v>4.4561129999999904</v>
      </c>
      <c r="E703">
        <v>0.58126140000000004</v>
      </c>
      <c r="F703" t="s">
        <v>41</v>
      </c>
      <c r="G703">
        <v>-269.69549999999998</v>
      </c>
      <c r="H703">
        <v>1.0401689999999999</v>
      </c>
      <c r="I703">
        <v>367.60079999999999</v>
      </c>
      <c r="J703">
        <v>-270.1961</v>
      </c>
      <c r="K703">
        <v>1.1096520000000001</v>
      </c>
      <c r="L703">
        <v>367.73180000000002</v>
      </c>
      <c r="M703">
        <v>0.99986929999999996</v>
      </c>
      <c r="N703">
        <v>-1.347755E-2</v>
      </c>
      <c r="O703">
        <v>8.9412150000000006E-3</v>
      </c>
      <c r="P703">
        <v>0.95552820000000005</v>
      </c>
      <c r="Q703">
        <v>0.29478949999999998</v>
      </c>
      <c r="R703">
        <v>8.0880629999999995E-3</v>
      </c>
      <c r="S703">
        <v>3.2292179999999999</v>
      </c>
      <c r="T703">
        <v>-0.27175090000000002</v>
      </c>
      <c r="U703">
        <v>-0.50189209999999995</v>
      </c>
      <c r="V703">
        <v>4.033288E-4</v>
      </c>
      <c r="W703">
        <v>0.30764170000000002</v>
      </c>
      <c r="X703">
        <v>0.95150219999999996</v>
      </c>
      <c r="Y703">
        <v>0.16173650000000001</v>
      </c>
      <c r="Z703">
        <v>-8.4788599999999995E-3</v>
      </c>
      <c r="AA703">
        <v>0.98679760000000005</v>
      </c>
      <c r="AB703">
        <v>34</v>
      </c>
      <c r="AC703">
        <v>0.50060000000001903</v>
      </c>
      <c r="AD703">
        <v>-6.9482999999999906E-2</v>
      </c>
      <c r="AE703">
        <v>-0.13100000000002801</v>
      </c>
      <c r="AF703">
        <v>0.13307178210294901</v>
      </c>
      <c r="AG703">
        <v>-6.9482999999999906E-2</v>
      </c>
      <c r="AH703">
        <v>0.49056344651903699</v>
      </c>
      <c r="AI703">
        <v>97.7840308406779</v>
      </c>
      <c r="AJ703">
        <v>74.822991097156205</v>
      </c>
      <c r="AK703">
        <v>0.51301898750601005</v>
      </c>
      <c r="AL703">
        <v>72.082834423527999</v>
      </c>
      <c r="AM703">
        <v>89.975713102279698</v>
      </c>
      <c r="AN703">
        <v>1.0000000074289199</v>
      </c>
    </row>
    <row r="704" spans="1:40" x14ac:dyDescent="0.25">
      <c r="A704" t="str">
        <f>"20190304164608652"</f>
        <v>20190304164608652</v>
      </c>
      <c r="B704" t="str">
        <f>"1551689168638849"</f>
        <v>1551689168638849</v>
      </c>
      <c r="C704" t="s">
        <v>40</v>
      </c>
      <c r="D704">
        <v>4.4751729999999998</v>
      </c>
      <c r="E704">
        <v>0.58134010000000003</v>
      </c>
      <c r="F704" t="s">
        <v>41</v>
      </c>
      <c r="G704">
        <v>-269.39089999999999</v>
      </c>
      <c r="H704">
        <v>1.0401879999999999</v>
      </c>
      <c r="I704">
        <v>367.6053</v>
      </c>
      <c r="J704">
        <v>-269.86090000000002</v>
      </c>
      <c r="K704">
        <v>1.109834</v>
      </c>
      <c r="L704">
        <v>367.73489999999998</v>
      </c>
      <c r="M704">
        <v>0.99986710000000001</v>
      </c>
      <c r="N704">
        <v>-1.360713E-2</v>
      </c>
      <c r="O704">
        <v>9.0010200000000002E-3</v>
      </c>
      <c r="P704">
        <v>0.95566430000000002</v>
      </c>
      <c r="Q704">
        <v>0.29437089999999999</v>
      </c>
      <c r="R704">
        <v>7.2033030000000003E-3</v>
      </c>
      <c r="S704">
        <v>3.2299190000000002</v>
      </c>
      <c r="T704">
        <v>-0.27875800000000001</v>
      </c>
      <c r="U704">
        <v>-0.50689700000000004</v>
      </c>
      <c r="V704">
        <v>1.3573389999999999E-3</v>
      </c>
      <c r="W704">
        <v>0.30734810000000001</v>
      </c>
      <c r="X704">
        <v>0.9515962</v>
      </c>
      <c r="Y704">
        <v>0.1632159</v>
      </c>
      <c r="Z704">
        <v>-8.75646699999999E-3</v>
      </c>
      <c r="AA704">
        <v>0.98655150000000003</v>
      </c>
      <c r="AB704">
        <v>34</v>
      </c>
      <c r="AC704">
        <v>0.47000000000002701</v>
      </c>
      <c r="AD704">
        <v>-6.9646000000000097E-2</v>
      </c>
      <c r="AE704">
        <v>-0.12959999999998201</v>
      </c>
      <c r="AF704">
        <v>0.13114931052518899</v>
      </c>
      <c r="AG704">
        <v>-6.9646000000000097E-2</v>
      </c>
      <c r="AH704">
        <v>0.45943874407281599</v>
      </c>
      <c r="AI704">
        <v>98.293407071302994</v>
      </c>
      <c r="AJ704">
        <v>74.068313999905797</v>
      </c>
      <c r="AK704">
        <v>0.482840208063122</v>
      </c>
      <c r="AL704">
        <v>72.100513087937301</v>
      </c>
      <c r="AM704">
        <v>89.918274428453898</v>
      </c>
      <c r="AN704">
        <v>1.0000000123985999</v>
      </c>
    </row>
    <row r="705" spans="1:40" x14ac:dyDescent="0.25">
      <c r="A705" t="str">
        <f>"20190304164608676"</f>
        <v>20190304164608676</v>
      </c>
      <c r="B705" t="str">
        <f>"1551689168668403"</f>
        <v>1551689168668403</v>
      </c>
      <c r="C705" t="s">
        <v>40</v>
      </c>
      <c r="D705">
        <v>4.4631400000000001</v>
      </c>
      <c r="E705">
        <v>0.58142720000000003</v>
      </c>
      <c r="F705" t="s">
        <v>41</v>
      </c>
      <c r="G705">
        <v>-269.0856</v>
      </c>
      <c r="H705">
        <v>1.0417099999999999</v>
      </c>
      <c r="I705">
        <v>367.6123</v>
      </c>
      <c r="J705">
        <v>-269.50799999999998</v>
      </c>
      <c r="K705">
        <v>1.109993</v>
      </c>
      <c r="L705">
        <v>367.73809999999997</v>
      </c>
      <c r="M705">
        <v>0.999865</v>
      </c>
      <c r="N705">
        <v>-1.372756E-2</v>
      </c>
      <c r="O705">
        <v>9.0442019999999995E-3</v>
      </c>
      <c r="P705">
        <v>0.95598070000000002</v>
      </c>
      <c r="Q705">
        <v>0.29335220000000001</v>
      </c>
      <c r="R705">
        <v>6.7585149999999997E-3</v>
      </c>
      <c r="S705">
        <v>3.230499</v>
      </c>
      <c r="T705">
        <v>-0.28396250000000001</v>
      </c>
      <c r="U705">
        <v>-0.51037600000000005</v>
      </c>
      <c r="V705">
        <v>1.8590729999999999E-3</v>
      </c>
      <c r="W705">
        <v>0.3064481</v>
      </c>
      <c r="X705">
        <v>0.9518856</v>
      </c>
      <c r="Y705">
        <v>0.16423789999999999</v>
      </c>
      <c r="Z705">
        <v>-8.9625590000000002E-3</v>
      </c>
      <c r="AA705">
        <v>0.98638000000000003</v>
      </c>
      <c r="AB705">
        <v>34</v>
      </c>
      <c r="AC705">
        <v>0.42239999999998101</v>
      </c>
      <c r="AD705">
        <v>-6.8282999999999802E-2</v>
      </c>
      <c r="AE705">
        <v>-0.12579999999996899</v>
      </c>
      <c r="AF705">
        <v>0.12657722016199199</v>
      </c>
      <c r="AG705">
        <v>-6.8282999999999802E-2</v>
      </c>
      <c r="AH705">
        <v>0.41137062288529602</v>
      </c>
      <c r="AI705">
        <v>99.014765787253694</v>
      </c>
      <c r="AJ705">
        <v>72.897061871978394</v>
      </c>
      <c r="AK705">
        <v>0.43578681729255497</v>
      </c>
      <c r="AL705">
        <v>72.154694527814101</v>
      </c>
      <c r="AM705">
        <v>89.8880990517399</v>
      </c>
      <c r="AN705">
        <v>1.0000000448166899</v>
      </c>
    </row>
    <row r="706" spans="1:40" x14ac:dyDescent="0.25">
      <c r="A706" t="str">
        <f>"20190304164608696"</f>
        <v>20190304164608696</v>
      </c>
      <c r="B706" t="str">
        <f>"1551689168688899"</f>
        <v>1551689168688899</v>
      </c>
      <c r="C706" t="s">
        <v>40</v>
      </c>
      <c r="D706">
        <v>4.4638710000000001</v>
      </c>
      <c r="E706">
        <v>0.58148869999999997</v>
      </c>
      <c r="F706" t="s">
        <v>41</v>
      </c>
      <c r="G706">
        <v>-268.4898</v>
      </c>
      <c r="H706">
        <v>1.017744</v>
      </c>
      <c r="I706">
        <v>367.57679999999999</v>
      </c>
      <c r="J706">
        <v>-269.17380000000003</v>
      </c>
      <c r="K706">
        <v>1.110112</v>
      </c>
      <c r="L706">
        <v>367.74110000000002</v>
      </c>
      <c r="M706">
        <v>0.99986330000000001</v>
      </c>
      <c r="N706">
        <v>-1.3827559999999999E-2</v>
      </c>
      <c r="O706">
        <v>9.0685869999999995E-3</v>
      </c>
      <c r="P706">
        <v>0.95613999999999999</v>
      </c>
      <c r="Q706">
        <v>0.29284320000000003</v>
      </c>
      <c r="R706">
        <v>6.262086E-3</v>
      </c>
      <c r="S706">
        <v>3.2316280000000002</v>
      </c>
      <c r="T706">
        <v>-0.29286109999999999</v>
      </c>
      <c r="U706">
        <v>-0.51184079999999998</v>
      </c>
      <c r="V706">
        <v>2.391574E-3</v>
      </c>
      <c r="W706">
        <v>0.3060368</v>
      </c>
      <c r="X706">
        <v>0.95201670000000005</v>
      </c>
      <c r="Y706">
        <v>0.164599</v>
      </c>
      <c r="Z706">
        <v>-9.2357570000000007E-3</v>
      </c>
      <c r="AA706">
        <v>0.98631729999999995</v>
      </c>
      <c r="AB706">
        <v>34</v>
      </c>
      <c r="AC706">
        <v>0.68400000000002503</v>
      </c>
      <c r="AD706">
        <v>-9.2367999999999895E-2</v>
      </c>
      <c r="AE706">
        <v>-0.16430000000002501</v>
      </c>
      <c r="AF706">
        <v>0.16760699278859301</v>
      </c>
      <c r="AG706">
        <v>-9.2367999999999895E-2</v>
      </c>
      <c r="AH706">
        <v>0.67091434628375202</v>
      </c>
      <c r="AI706">
        <v>97.6079588337888</v>
      </c>
      <c r="AJ706">
        <v>75.973530175695899</v>
      </c>
      <c r="AK706">
        <v>0.69767471754750499</v>
      </c>
      <c r="AL706">
        <v>72.179449217867003</v>
      </c>
      <c r="AM706">
        <v>89.8560668018239</v>
      </c>
      <c r="AN706">
        <v>1.0000000198296599</v>
      </c>
    </row>
    <row r="707" spans="1:40" x14ac:dyDescent="0.25">
      <c r="A707" t="str">
        <f>"20190304164608719"</f>
        <v>20190304164608719</v>
      </c>
      <c r="B707" t="str">
        <f>"1551689168708419"</f>
        <v>1551689168708419</v>
      </c>
      <c r="C707" t="s">
        <v>40</v>
      </c>
      <c r="D707">
        <v>4.4448129999999999</v>
      </c>
      <c r="E707">
        <v>0.58154220000000001</v>
      </c>
      <c r="F707" t="s">
        <v>41</v>
      </c>
      <c r="G707">
        <v>-268.18619999999999</v>
      </c>
      <c r="H707">
        <v>1.01925</v>
      </c>
      <c r="I707">
        <v>367.58420000000001</v>
      </c>
      <c r="J707">
        <v>-268.84469999999999</v>
      </c>
      <c r="K707">
        <v>1.110212</v>
      </c>
      <c r="L707">
        <v>367.7441</v>
      </c>
      <c r="M707">
        <v>0.99986209999999998</v>
      </c>
      <c r="N707">
        <v>-1.3914549999999999E-2</v>
      </c>
      <c r="O707">
        <v>9.0810700000000001E-3</v>
      </c>
      <c r="P707">
        <v>0.95620970000000005</v>
      </c>
      <c r="Q707">
        <v>0.29262680000000002</v>
      </c>
      <c r="R707">
        <v>5.7133619999999996E-3</v>
      </c>
      <c r="S707">
        <v>3.2320859999999998</v>
      </c>
      <c r="T707">
        <v>-0.29738999999999999</v>
      </c>
      <c r="U707">
        <v>-0.51330569999999998</v>
      </c>
      <c r="V707">
        <v>2.9616989999999999E-3</v>
      </c>
      <c r="W707">
        <v>0.30590440000000002</v>
      </c>
      <c r="X707">
        <v>0.95205770000000001</v>
      </c>
      <c r="Y707">
        <v>0.16500049999999999</v>
      </c>
      <c r="Z707">
        <v>-9.3894500000000006E-3</v>
      </c>
      <c r="AA707">
        <v>0.98624880000000004</v>
      </c>
      <c r="AB707">
        <v>34</v>
      </c>
      <c r="AC707">
        <v>0.65850000000000297</v>
      </c>
      <c r="AD707">
        <v>-9.0962000000000001E-2</v>
      </c>
      <c r="AE707">
        <v>-0.15989999999999299</v>
      </c>
      <c r="AF707">
        <v>0.16293791253658299</v>
      </c>
      <c r="AG707">
        <v>-9.0962000000000001E-2</v>
      </c>
      <c r="AH707">
        <v>0.64539142058348797</v>
      </c>
      <c r="AI707">
        <v>97.781447715880603</v>
      </c>
      <c r="AJ707">
        <v>75.830977089189403</v>
      </c>
      <c r="AK707">
        <v>0.67182805430299797</v>
      </c>
      <c r="AL707">
        <v>72.187418224222199</v>
      </c>
      <c r="AM707">
        <v>89.821762582771598</v>
      </c>
      <c r="AN707">
        <v>1.0000000688648001</v>
      </c>
    </row>
    <row r="708" spans="1:40" x14ac:dyDescent="0.25">
      <c r="A708" t="str">
        <f>"20190304164608741"</f>
        <v>20190304164608741</v>
      </c>
      <c r="B708" t="str">
        <f>"1551689168728915"</f>
        <v>1551689168728915</v>
      </c>
      <c r="C708" t="s">
        <v>40</v>
      </c>
      <c r="D708">
        <v>4.4573769999999904</v>
      </c>
      <c r="E708">
        <v>0.581623</v>
      </c>
      <c r="F708" t="s">
        <v>41</v>
      </c>
      <c r="G708">
        <v>-267.88240000000002</v>
      </c>
      <c r="H708">
        <v>1.020915</v>
      </c>
      <c r="I708">
        <v>367.59030000000001</v>
      </c>
      <c r="J708">
        <v>-268.50200000000001</v>
      </c>
      <c r="K708">
        <v>1.1102989999999999</v>
      </c>
      <c r="L708">
        <v>367.74720000000002</v>
      </c>
      <c r="M708">
        <v>0.99986090000000005</v>
      </c>
      <c r="N708">
        <v>-1.3994589999999999E-2</v>
      </c>
      <c r="O708">
        <v>9.0858999999999992E-3</v>
      </c>
      <c r="P708">
        <v>0.95621089999999997</v>
      </c>
      <c r="Q708">
        <v>0.2926356</v>
      </c>
      <c r="R708">
        <v>5.0451419999999999E-3</v>
      </c>
      <c r="S708">
        <v>3.2322690000000001</v>
      </c>
      <c r="T708">
        <v>-0.3000814</v>
      </c>
      <c r="U708">
        <v>-0.51583859999999904</v>
      </c>
      <c r="V708">
        <v>3.6411109999999998E-3</v>
      </c>
      <c r="W708">
        <v>0.30598880000000001</v>
      </c>
      <c r="X708">
        <v>0.95202819999999999</v>
      </c>
      <c r="Y708">
        <v>0.1657325</v>
      </c>
      <c r="Z708">
        <v>-9.5090910000000008E-3</v>
      </c>
      <c r="AA708">
        <v>0.98612489999999997</v>
      </c>
      <c r="AB708">
        <v>34</v>
      </c>
      <c r="AC708">
        <v>0.61959999999999105</v>
      </c>
      <c r="AD708">
        <v>-8.9383999999999894E-2</v>
      </c>
      <c r="AE708">
        <v>-0.15690000000000701</v>
      </c>
      <c r="AF708">
        <v>0.15940617478871799</v>
      </c>
      <c r="AG708">
        <v>-8.9383999999999894E-2</v>
      </c>
      <c r="AH708">
        <v>0.60629140305103801</v>
      </c>
      <c r="AI708">
        <v>98.114634691345401</v>
      </c>
      <c r="AJ708">
        <v>75.269182022501099</v>
      </c>
      <c r="AK708">
        <v>0.63323699625840602</v>
      </c>
      <c r="AL708">
        <v>72.182338525560297</v>
      </c>
      <c r="AM708">
        <v>89.780868596272398</v>
      </c>
      <c r="AN708">
        <v>1.00000004850499</v>
      </c>
    </row>
    <row r="709" spans="1:40" x14ac:dyDescent="0.25">
      <c r="A709" t="str">
        <f>"20190304164608775"</f>
        <v>20190304164608775</v>
      </c>
      <c r="B709" t="str">
        <f>"1551689168768931"</f>
        <v>1551689168768931</v>
      </c>
      <c r="C709" t="s">
        <v>40</v>
      </c>
      <c r="D709">
        <v>4.4351330000000004</v>
      </c>
      <c r="E709">
        <v>0.58181490000000002</v>
      </c>
      <c r="F709" t="s">
        <v>41</v>
      </c>
      <c r="G709">
        <v>-267.57830000000001</v>
      </c>
      <c r="H709">
        <v>1.0239819999999999</v>
      </c>
      <c r="I709">
        <v>367.59899999999999</v>
      </c>
      <c r="J709">
        <v>-267.9871</v>
      </c>
      <c r="K709">
        <v>1.1104069999999999</v>
      </c>
      <c r="L709">
        <v>367.75189999999998</v>
      </c>
      <c r="M709">
        <v>0.99985950000000001</v>
      </c>
      <c r="N709">
        <v>-1.409736E-2</v>
      </c>
      <c r="O709">
        <v>9.0831880000000007E-3</v>
      </c>
      <c r="P709">
        <v>0.95600799999999997</v>
      </c>
      <c r="Q709">
        <v>0.29332039999999998</v>
      </c>
      <c r="R709">
        <v>3.5049949999999999E-3</v>
      </c>
      <c r="S709">
        <v>3.232605</v>
      </c>
      <c r="T709">
        <v>-0.30215239999999999</v>
      </c>
      <c r="U709">
        <v>-0.51864619999999995</v>
      </c>
      <c r="V709">
        <v>5.1826490000000001E-3</v>
      </c>
      <c r="W709">
        <v>0.30676809999999899</v>
      </c>
      <c r="X709">
        <v>0.95177020000000001</v>
      </c>
      <c r="Y709">
        <v>0.16653380000000001</v>
      </c>
      <c r="Z709">
        <v>-9.6162290000000004E-3</v>
      </c>
      <c r="AA709">
        <v>0.98598889999999995</v>
      </c>
      <c r="AB709">
        <v>34</v>
      </c>
      <c r="AC709">
        <v>0.40879999999998501</v>
      </c>
      <c r="AD709">
        <v>-8.6424999999999905E-2</v>
      </c>
      <c r="AE709">
        <v>-0.15289999999998799</v>
      </c>
      <c r="AF709">
        <v>0.150698430285748</v>
      </c>
      <c r="AG709">
        <v>-8.6424999999999905E-2</v>
      </c>
      <c r="AH709">
        <v>0.39202307715706503</v>
      </c>
      <c r="AI709">
        <v>101.62792065363401</v>
      </c>
      <c r="AJ709">
        <v>68.972634038182207</v>
      </c>
      <c r="AK709">
        <v>0.42879061386565198</v>
      </c>
      <c r="AL709">
        <v>72.135431669205104</v>
      </c>
      <c r="AM709">
        <v>89.688011896616402</v>
      </c>
      <c r="AN709">
        <v>1.0000000203181501</v>
      </c>
    </row>
    <row r="710" spans="1:40" x14ac:dyDescent="0.25">
      <c r="A710" t="str">
        <f>"20190304164608798"</f>
        <v>20190304164608798</v>
      </c>
      <c r="B710" t="str">
        <f>"1551689168788450"</f>
        <v>1551689168788450</v>
      </c>
      <c r="C710" t="s">
        <v>40</v>
      </c>
      <c r="D710">
        <v>4.4303619999999997</v>
      </c>
      <c r="E710">
        <v>0.58191099999999996</v>
      </c>
      <c r="F710" t="s">
        <v>41</v>
      </c>
      <c r="G710">
        <v>-266.97669999999999</v>
      </c>
      <c r="H710">
        <v>1.0159720000000001</v>
      </c>
      <c r="I710">
        <v>367.58780000000002</v>
      </c>
      <c r="J710">
        <v>-267.65159999999997</v>
      </c>
      <c r="K710">
        <v>1.110455</v>
      </c>
      <c r="L710">
        <v>367.75490000000002</v>
      </c>
      <c r="M710">
        <v>0.99985869999999999</v>
      </c>
      <c r="N710">
        <v>-1.415334E-2</v>
      </c>
      <c r="O710">
        <v>9.0749469999999999E-3</v>
      </c>
      <c r="P710">
        <v>0.95596729999999996</v>
      </c>
      <c r="Q710">
        <v>0.2934602</v>
      </c>
      <c r="R710">
        <v>2.8103249999999998E-3</v>
      </c>
      <c r="S710">
        <v>3.2326969999999999</v>
      </c>
      <c r="T710">
        <v>-0.30227019999999999</v>
      </c>
      <c r="U710">
        <v>-0.52429199999999998</v>
      </c>
      <c r="V710">
        <v>5.8730309999999999E-3</v>
      </c>
      <c r="W710">
        <v>0.30696059999999997</v>
      </c>
      <c r="X710">
        <v>0.95170410000000005</v>
      </c>
      <c r="Y710">
        <v>0.1681906</v>
      </c>
      <c r="Z710">
        <v>-9.7104930000000006E-3</v>
      </c>
      <c r="AA710">
        <v>0.98570670000000005</v>
      </c>
      <c r="AB710">
        <v>34</v>
      </c>
      <c r="AC710">
        <v>0.67489999999997896</v>
      </c>
      <c r="AD710">
        <v>-9.4483000000000095E-2</v>
      </c>
      <c r="AE710">
        <v>-0.167100000000004</v>
      </c>
      <c r="AF710">
        <v>0.17007763819486199</v>
      </c>
      <c r="AG710">
        <v>-9.4483000000000095E-2</v>
      </c>
      <c r="AH710">
        <v>0.66114642801208401</v>
      </c>
      <c r="AI710">
        <v>97.879778623702805</v>
      </c>
      <c r="AJ710">
        <v>75.573654284071395</v>
      </c>
      <c r="AK710">
        <v>0.68917925068597397</v>
      </c>
      <c r="AL710">
        <v>72.123842713562198</v>
      </c>
      <c r="AM710">
        <v>89.646428319676104</v>
      </c>
      <c r="AN710">
        <v>0.99999999820114804</v>
      </c>
    </row>
    <row r="711" spans="1:40" x14ac:dyDescent="0.25">
      <c r="A711" t="str">
        <f>"20190304164608820"</f>
        <v>20190304164608820</v>
      </c>
      <c r="B711" t="str">
        <f>"1551689168808947"</f>
        <v>1551689168808947</v>
      </c>
      <c r="C711" t="s">
        <v>40</v>
      </c>
      <c r="D711">
        <v>4.4456810000000004</v>
      </c>
      <c r="E711">
        <v>0.58201190000000003</v>
      </c>
      <c r="F711" t="s">
        <v>41</v>
      </c>
      <c r="G711">
        <v>-266.67399999999998</v>
      </c>
      <c r="H711">
        <v>1.0187649999999999</v>
      </c>
      <c r="I711">
        <v>367.59519999999998</v>
      </c>
      <c r="J711">
        <v>-267.30840000000001</v>
      </c>
      <c r="K711">
        <v>1.1104849999999999</v>
      </c>
      <c r="L711">
        <v>367.75810000000001</v>
      </c>
      <c r="M711">
        <v>0.99985809999999997</v>
      </c>
      <c r="N711">
        <v>-1.4203439999999999E-2</v>
      </c>
      <c r="O711">
        <v>9.0605119999999997E-3</v>
      </c>
      <c r="P711">
        <v>0.95614359999999998</v>
      </c>
      <c r="Q711">
        <v>0.29289130000000002</v>
      </c>
      <c r="R711">
        <v>2.0984710000000002E-3</v>
      </c>
      <c r="S711">
        <v>3.2328190000000001</v>
      </c>
      <c r="T711">
        <v>-0.3033805</v>
      </c>
      <c r="U711">
        <v>-0.52746579999999998</v>
      </c>
      <c r="V711">
        <v>6.5783880000000001E-3</v>
      </c>
      <c r="W711">
        <v>0.30644179999999999</v>
      </c>
      <c r="X711">
        <v>0.95186669999999995</v>
      </c>
      <c r="Y711">
        <v>0.16910269999999999</v>
      </c>
      <c r="Z711">
        <v>-9.7928310000000001E-3</v>
      </c>
      <c r="AA711">
        <v>0.98554980000000003</v>
      </c>
      <c r="AB711">
        <v>34</v>
      </c>
      <c r="AC711">
        <v>0.63439999999997099</v>
      </c>
      <c r="AD711">
        <v>-9.1719999999999996E-2</v>
      </c>
      <c r="AE711">
        <v>-0.16290000000003599</v>
      </c>
      <c r="AF711">
        <v>0.16539846568345101</v>
      </c>
      <c r="AG711">
        <v>-9.1719999999999996E-2</v>
      </c>
      <c r="AH711">
        <v>0.62072560289849998</v>
      </c>
      <c r="AI711">
        <v>98.1258094914959</v>
      </c>
      <c r="AJ711">
        <v>75.0796451478801</v>
      </c>
      <c r="AK711">
        <v>0.648898670783155</v>
      </c>
      <c r="AL711">
        <v>72.155073522565402</v>
      </c>
      <c r="AM711">
        <v>89.604032930458203</v>
      </c>
      <c r="AN711">
        <v>1.0000000332723999</v>
      </c>
    </row>
    <row r="712" spans="1:40" x14ac:dyDescent="0.25">
      <c r="A712" t="str">
        <f>"20190304164608842"</f>
        <v>20190304164608842</v>
      </c>
      <c r="B712" t="str">
        <f>"1551689168838228"</f>
        <v>1551689168838228</v>
      </c>
      <c r="C712" t="s">
        <v>40</v>
      </c>
      <c r="D712">
        <v>4.4447760000000001</v>
      </c>
      <c r="E712">
        <v>0.58218349999999996</v>
      </c>
      <c r="F712" t="s">
        <v>41</v>
      </c>
      <c r="G712">
        <v>-266.3716</v>
      </c>
      <c r="H712">
        <v>1.021584</v>
      </c>
      <c r="I712">
        <v>367.60419999999999</v>
      </c>
      <c r="J712">
        <v>-266.98689999999999</v>
      </c>
      <c r="K712">
        <v>1.1105149999999999</v>
      </c>
      <c r="L712">
        <v>367.76089999999999</v>
      </c>
      <c r="M712">
        <v>0.99985769999999996</v>
      </c>
      <c r="N712">
        <v>-1.424447E-2</v>
      </c>
      <c r="O712">
        <v>9.0357279999999998E-3</v>
      </c>
      <c r="P712">
        <v>0.95617940000000001</v>
      </c>
      <c r="Q712">
        <v>0.29277710000000001</v>
      </c>
      <c r="R712">
        <v>1.6002169999999999E-3</v>
      </c>
      <c r="S712">
        <v>3.2327880000000002</v>
      </c>
      <c r="T712">
        <v>-0.30697770000000002</v>
      </c>
      <c r="U712">
        <v>-0.53005979999999997</v>
      </c>
      <c r="V712">
        <v>7.0606509999999898E-3</v>
      </c>
      <c r="W712">
        <v>0.3063669</v>
      </c>
      <c r="X712">
        <v>0.95188729999999999</v>
      </c>
      <c r="Y712">
        <v>0.1698267</v>
      </c>
      <c r="Z712">
        <v>-9.9357430000000004E-3</v>
      </c>
      <c r="AA712">
        <v>0.98542390000000002</v>
      </c>
      <c r="AB712">
        <v>34</v>
      </c>
      <c r="AC712">
        <v>0.61529999999998997</v>
      </c>
      <c r="AD712">
        <v>-8.8930999999999802E-2</v>
      </c>
      <c r="AE712">
        <v>-0.15670000000000001</v>
      </c>
      <c r="AF712">
        <v>0.15913209615529</v>
      </c>
      <c r="AG712">
        <v>-8.8930999999999802E-2</v>
      </c>
      <c r="AH712">
        <v>0.60204823123520801</v>
      </c>
      <c r="AI712">
        <v>98.127436798222107</v>
      </c>
      <c r="AJ712">
        <v>75.1942986404826</v>
      </c>
      <c r="AK712">
        <v>0.62904198549955304</v>
      </c>
      <c r="AL712">
        <v>72.159580855890098</v>
      </c>
      <c r="AM712">
        <v>89.575014727234901</v>
      </c>
      <c r="AN712">
        <v>0.99999998105472099</v>
      </c>
    </row>
    <row r="713" spans="1:40" x14ac:dyDescent="0.25">
      <c r="A713" t="str">
        <f>"20190304164608865"</f>
        <v>20190304164608865</v>
      </c>
      <c r="B713" t="str">
        <f>"1551689168858723"</f>
        <v>1551689168858723</v>
      </c>
      <c r="C713" t="s">
        <v>40</v>
      </c>
      <c r="D713">
        <v>4.4484159999999999</v>
      </c>
      <c r="E713">
        <v>0.58230749999999998</v>
      </c>
      <c r="F713" t="s">
        <v>41</v>
      </c>
      <c r="G713">
        <v>-266.07010000000002</v>
      </c>
      <c r="H713">
        <v>1.0228699999999999</v>
      </c>
      <c r="I713">
        <v>367.60950000000003</v>
      </c>
      <c r="J713">
        <v>-266.63990000000001</v>
      </c>
      <c r="K713">
        <v>1.1105370000000001</v>
      </c>
      <c r="L713">
        <v>367.76400000000001</v>
      </c>
      <c r="M713">
        <v>0.99985749999999995</v>
      </c>
      <c r="N713">
        <v>-1.4282899999999999E-2</v>
      </c>
      <c r="O713">
        <v>8.99463E-3</v>
      </c>
      <c r="P713">
        <v>0.95616849999999998</v>
      </c>
      <c r="Q713">
        <v>0.29281279999999998</v>
      </c>
      <c r="R713">
        <v>1.56847E-3</v>
      </c>
      <c r="S713">
        <v>3.2330930000000002</v>
      </c>
      <c r="T713">
        <v>-0.30926720000000002</v>
      </c>
      <c r="U713">
        <v>-0.53289790000000004</v>
      </c>
      <c r="V713">
        <v>7.0628189999999997E-3</v>
      </c>
      <c r="W713">
        <v>0.30643900000000002</v>
      </c>
      <c r="X713">
        <v>0.95186409999999999</v>
      </c>
      <c r="Y713">
        <v>0.17059730000000001</v>
      </c>
      <c r="Z713">
        <v>-1.00418E-2</v>
      </c>
      <c r="AA713">
        <v>0.98528959999999999</v>
      </c>
      <c r="AB713">
        <v>34</v>
      </c>
      <c r="AC713">
        <v>0.56979999999998598</v>
      </c>
      <c r="AD713">
        <v>-8.7666999999999898E-2</v>
      </c>
      <c r="AE713">
        <v>-0.15449999999998401</v>
      </c>
      <c r="AF713">
        <v>0.15617567328193899</v>
      </c>
      <c r="AG713">
        <v>-8.7666999999999898E-2</v>
      </c>
      <c r="AH713">
        <v>0.55612435919523096</v>
      </c>
      <c r="AI713">
        <v>98.629819743487005</v>
      </c>
      <c r="AJ713">
        <v>74.313734615155496</v>
      </c>
      <c r="AK713">
        <v>0.58425221155283102</v>
      </c>
      <c r="AL713">
        <v>72.155241528369004</v>
      </c>
      <c r="AM713">
        <v>89.574873877600794</v>
      </c>
      <c r="AN713">
        <v>1.00000000450101</v>
      </c>
    </row>
    <row r="714" spans="1:40" x14ac:dyDescent="0.25">
      <c r="A714" t="str">
        <f>"20190304164608886"</f>
        <v>20190304164608886</v>
      </c>
      <c r="B714" t="str">
        <f>"1551689168878243"</f>
        <v>1551689168878243</v>
      </c>
      <c r="C714" t="s">
        <v>40</v>
      </c>
      <c r="D714">
        <v>4.4414959999999999</v>
      </c>
      <c r="E714">
        <v>0.58242389999999999</v>
      </c>
      <c r="F714" t="s">
        <v>41</v>
      </c>
      <c r="G714">
        <v>-265.76780000000002</v>
      </c>
      <c r="H714">
        <v>1.0268900000000001</v>
      </c>
      <c r="I714">
        <v>367.62</v>
      </c>
      <c r="J714">
        <v>-266.3109</v>
      </c>
      <c r="K714">
        <v>1.1105529999999999</v>
      </c>
      <c r="L714">
        <v>367.767</v>
      </c>
      <c r="M714">
        <v>0.99985769999999996</v>
      </c>
      <c r="N714">
        <v>-1.431464E-2</v>
      </c>
      <c r="O714">
        <v>8.9423149999999993E-3</v>
      </c>
      <c r="P714">
        <v>0.95612699999999995</v>
      </c>
      <c r="Q714">
        <v>0.29294959999999998</v>
      </c>
      <c r="R714">
        <v>1.354538E-3</v>
      </c>
      <c r="S714">
        <v>3.2333980000000002</v>
      </c>
      <c r="T714">
        <v>-0.31025550000000002</v>
      </c>
      <c r="U714">
        <v>-0.53350830000000005</v>
      </c>
      <c r="V714">
        <v>7.2361980000000001E-3</v>
      </c>
      <c r="W714">
        <v>0.30660470000000001</v>
      </c>
      <c r="X714">
        <v>0.95180940000000003</v>
      </c>
      <c r="Y714">
        <v>0.1707061</v>
      </c>
      <c r="Z714">
        <v>-1.0073489999999999E-2</v>
      </c>
      <c r="AA714">
        <v>0.98527050000000005</v>
      </c>
      <c r="AB714">
        <v>34</v>
      </c>
      <c r="AC714">
        <v>0.54309999999998104</v>
      </c>
      <c r="AD714">
        <v>-8.3663000000000196E-2</v>
      </c>
      <c r="AE714">
        <v>-0.146999999999991</v>
      </c>
      <c r="AF714">
        <v>0.14856629031868299</v>
      </c>
      <c r="AG714">
        <v>-8.3663000000000196E-2</v>
      </c>
      <c r="AH714">
        <v>0.530044001624146</v>
      </c>
      <c r="AI714">
        <v>98.641924760995906</v>
      </c>
      <c r="AJ714">
        <v>74.342321131466505</v>
      </c>
      <c r="AK714">
        <v>0.55679267581909997</v>
      </c>
      <c r="AL714">
        <v>72.145266854232304</v>
      </c>
      <c r="AM714">
        <v>89.564413192918494</v>
      </c>
      <c r="AN714">
        <v>0.99999996927597201</v>
      </c>
    </row>
    <row r="715" spans="1:40" x14ac:dyDescent="0.25">
      <c r="A715" t="str">
        <f>"20190304164608908"</f>
        <v>20190304164608908</v>
      </c>
      <c r="B715" t="str">
        <f>"1551689168898739"</f>
        <v>1551689168898739</v>
      </c>
      <c r="C715" t="s">
        <v>40</v>
      </c>
      <c r="D715">
        <v>4.4088019999999997</v>
      </c>
      <c r="E715">
        <v>0.58235950000000003</v>
      </c>
      <c r="F715" t="s">
        <v>41</v>
      </c>
      <c r="G715">
        <v>-265.46640000000002</v>
      </c>
      <c r="H715">
        <v>1.029312</v>
      </c>
      <c r="I715">
        <v>367.62720000000002</v>
      </c>
      <c r="J715">
        <v>-265.98610000000002</v>
      </c>
      <c r="K715">
        <v>1.110568</v>
      </c>
      <c r="L715">
        <v>367.76979999999998</v>
      </c>
      <c r="M715">
        <v>0.99985780000000002</v>
      </c>
      <c r="N715">
        <v>-1.434179E-2</v>
      </c>
      <c r="O715">
        <v>8.8783170000000002E-3</v>
      </c>
      <c r="P715">
        <v>0.95623060000000004</v>
      </c>
      <c r="Q715">
        <v>0.29261330000000002</v>
      </c>
      <c r="R715">
        <v>9.3855339999999998E-4</v>
      </c>
      <c r="S715">
        <v>3.2337340000000001</v>
      </c>
      <c r="T715">
        <v>-0.31120900000000001</v>
      </c>
      <c r="U715">
        <v>-0.53475950000000005</v>
      </c>
      <c r="V715">
        <v>7.6004250000000001E-3</v>
      </c>
      <c r="W715">
        <v>0.306295599999999</v>
      </c>
      <c r="X715">
        <v>0.95190609999999998</v>
      </c>
      <c r="Y715">
        <v>0.17099120000000001</v>
      </c>
      <c r="Z715">
        <v>-1.0112339999999999E-2</v>
      </c>
      <c r="AA715">
        <v>0.98522069999999995</v>
      </c>
      <c r="AB715">
        <v>34</v>
      </c>
      <c r="AC715">
        <v>0.51970000000000005</v>
      </c>
      <c r="AD715">
        <v>-8.1255999999999995E-2</v>
      </c>
      <c r="AE715">
        <v>-0.14259999999995801</v>
      </c>
      <c r="AF715">
        <v>0.143936626959834</v>
      </c>
      <c r="AG715">
        <v>-8.1255999999999995E-2</v>
      </c>
      <c r="AH715">
        <v>0.50688959414400203</v>
      </c>
      <c r="AI715">
        <v>98.766333212395693</v>
      </c>
      <c r="AJ715">
        <v>74.147547401116597</v>
      </c>
      <c r="AK715">
        <v>0.53315790415977604</v>
      </c>
      <c r="AL715">
        <v>72.163872563315607</v>
      </c>
      <c r="AM715">
        <v>89.542535738118204</v>
      </c>
      <c r="AN715">
        <v>0.99999999212837498</v>
      </c>
    </row>
    <row r="716" spans="1:40" x14ac:dyDescent="0.25">
      <c r="A716" t="str">
        <f>"20190304164608930"</f>
        <v>20190304164608930</v>
      </c>
      <c r="B716" t="str">
        <f>"1551689168918259"</f>
        <v>1551689168918259</v>
      </c>
      <c r="C716" t="s">
        <v>40</v>
      </c>
      <c r="D716">
        <v>4.3756820000000003</v>
      </c>
      <c r="E716">
        <v>0.56209929999999997</v>
      </c>
      <c r="F716" t="s">
        <v>41</v>
      </c>
      <c r="G716">
        <v>-265.16579999999999</v>
      </c>
      <c r="H716">
        <v>1.031231</v>
      </c>
      <c r="I716">
        <v>367.63409999999999</v>
      </c>
      <c r="J716">
        <v>-265.64940000000001</v>
      </c>
      <c r="K716">
        <v>1.1105750000000001</v>
      </c>
      <c r="L716">
        <v>367.77269999999999</v>
      </c>
      <c r="M716">
        <v>0.99985809999999997</v>
      </c>
      <c r="N716">
        <v>-1.436609E-2</v>
      </c>
      <c r="O716">
        <v>8.8010880000000003E-3</v>
      </c>
      <c r="P716">
        <v>0.95613029999999999</v>
      </c>
      <c r="Q716">
        <v>0.29293849999999999</v>
      </c>
      <c r="R716">
        <v>1.41504E-3</v>
      </c>
      <c r="S716">
        <v>3.2335820000000002</v>
      </c>
      <c r="T716">
        <v>-0.31290099999999998</v>
      </c>
      <c r="U716">
        <v>-0.5346069</v>
      </c>
      <c r="V716">
        <v>7.0563960000000004E-3</v>
      </c>
      <c r="W716">
        <v>0.3066429</v>
      </c>
      <c r="X716">
        <v>0.95179849999999999</v>
      </c>
      <c r="Y716">
        <v>0.17086860000000001</v>
      </c>
      <c r="Z716">
        <v>-1.0150350000000001E-2</v>
      </c>
      <c r="AA716">
        <v>0.98524149999999999</v>
      </c>
      <c r="AB716">
        <v>34</v>
      </c>
      <c r="AC716">
        <v>0.48360000000002401</v>
      </c>
      <c r="AD716">
        <v>-7.9343999999999998E-2</v>
      </c>
      <c r="AE716">
        <v>-0.138599999999996</v>
      </c>
      <c r="AF716">
        <v>0.139384025715861</v>
      </c>
      <c r="AG716">
        <v>-7.9343999999999998E-2</v>
      </c>
      <c r="AH716">
        <v>0.47065355642349799</v>
      </c>
      <c r="AI716">
        <v>99.182047255602299</v>
      </c>
      <c r="AJ716">
        <v>73.5033473936126</v>
      </c>
      <c r="AK716">
        <v>0.497230476876515</v>
      </c>
      <c r="AL716">
        <v>72.142968378664705</v>
      </c>
      <c r="AM716">
        <v>89.575231204595198</v>
      </c>
      <c r="AN716">
        <v>1.0000000227235799</v>
      </c>
    </row>
    <row r="717" spans="1:40" x14ac:dyDescent="0.25">
      <c r="A717" t="str">
        <f>"20190304164608953"</f>
        <v>20190304164608953</v>
      </c>
      <c r="B717" t="str">
        <f>"1551689168948516"</f>
        <v>1551689168948516</v>
      </c>
      <c r="C717" t="s">
        <v>40</v>
      </c>
      <c r="D717">
        <v>4.3591280000000001</v>
      </c>
      <c r="E717">
        <v>0.56075810000000004</v>
      </c>
      <c r="F717" t="s">
        <v>42</v>
      </c>
      <c r="G717">
        <v>-247.72219999999999</v>
      </c>
      <c r="H717" s="1">
        <v>-1.9208529999999999E-6</v>
      </c>
      <c r="I717">
        <v>365.62529999999998</v>
      </c>
      <c r="J717">
        <v>-265.31220000000002</v>
      </c>
      <c r="K717">
        <v>1.110581</v>
      </c>
      <c r="L717">
        <v>367.7756</v>
      </c>
      <c r="M717">
        <v>0.99985860000000004</v>
      </c>
      <c r="N717">
        <v>-1.4386980000000001E-2</v>
      </c>
      <c r="O717">
        <v>8.7158859999999904E-3</v>
      </c>
      <c r="P717">
        <v>0.95627890000000004</v>
      </c>
      <c r="Q717">
        <v>0.2924524</v>
      </c>
      <c r="R717">
        <v>1.558334E-3</v>
      </c>
      <c r="S717">
        <v>3.1989139999999998</v>
      </c>
      <c r="T717">
        <v>-0.19816990000000001</v>
      </c>
      <c r="U717">
        <v>-0.38317869999999998</v>
      </c>
      <c r="V717">
        <v>6.8377159999999998E-3</v>
      </c>
      <c r="W717">
        <v>0.30617850000000002</v>
      </c>
      <c r="X717">
        <v>0.95194959999999995</v>
      </c>
      <c r="Y717">
        <v>0.12727730000000001</v>
      </c>
      <c r="Z717">
        <v>-5.257266E-3</v>
      </c>
      <c r="AA717">
        <v>0.99185319999999999</v>
      </c>
      <c r="AB717">
        <v>34</v>
      </c>
      <c r="AC717">
        <v>17.59</v>
      </c>
      <c r="AD717">
        <v>-1.110582920853</v>
      </c>
      <c r="AE717">
        <v>-2.1503000000000099</v>
      </c>
      <c r="AF717">
        <v>2.2945345625106901</v>
      </c>
      <c r="AG717">
        <v>-1.110582920853</v>
      </c>
      <c r="AH717">
        <v>17.501847603088201</v>
      </c>
      <c r="AI717">
        <v>93.600120770705004</v>
      </c>
      <c r="AJ717">
        <v>82.530982407604597</v>
      </c>
      <c r="AK717">
        <v>17.686518956662201</v>
      </c>
      <c r="AL717">
        <v>72.170921298333397</v>
      </c>
      <c r="AM717">
        <v>89.588459797771193</v>
      </c>
      <c r="AN717">
        <v>1.0000000345812501</v>
      </c>
    </row>
    <row r="718" spans="1:40" x14ac:dyDescent="0.25">
      <c r="A718" t="str">
        <f>"20190304164608975"</f>
        <v>20190304164608975</v>
      </c>
      <c r="B718" t="str">
        <f>"1551689168969011"</f>
        <v>1551689168969011</v>
      </c>
      <c r="C718" t="s">
        <v>40</v>
      </c>
      <c r="D718">
        <v>4.2668629999999999</v>
      </c>
      <c r="E718">
        <v>0.56075010000000003</v>
      </c>
      <c r="F718" t="s">
        <v>42</v>
      </c>
      <c r="G718">
        <v>-247.56450000000001</v>
      </c>
      <c r="H718" s="1">
        <v>-1.9586720000000001E-6</v>
      </c>
      <c r="I718">
        <v>365.71069999999997</v>
      </c>
      <c r="J718">
        <v>-264.9796</v>
      </c>
      <c r="K718">
        <v>1.11059</v>
      </c>
      <c r="L718">
        <v>367.77839999999998</v>
      </c>
      <c r="M718">
        <v>0.9998591</v>
      </c>
      <c r="N718">
        <v>-1.4404399999999901E-2</v>
      </c>
      <c r="O718">
        <v>8.6275850000000001E-3</v>
      </c>
      <c r="P718">
        <v>0.95614730000000003</v>
      </c>
      <c r="Q718">
        <v>0.29288219999999998</v>
      </c>
      <c r="R718">
        <v>1.6455759999999999E-3</v>
      </c>
      <c r="S718">
        <v>3.1989749999999999</v>
      </c>
      <c r="T718">
        <v>-0.20017960000000001</v>
      </c>
      <c r="U718">
        <v>-0.37219239999999998</v>
      </c>
      <c r="V718">
        <v>6.6682520000000004E-3</v>
      </c>
      <c r="W718">
        <v>0.30662289999999998</v>
      </c>
      <c r="X718">
        <v>0.95180770000000003</v>
      </c>
      <c r="Y718">
        <v>0.1238296</v>
      </c>
      <c r="Z718">
        <v>-5.1674340000000003E-3</v>
      </c>
      <c r="AA718">
        <v>0.99229000000000001</v>
      </c>
      <c r="AB718">
        <v>34</v>
      </c>
      <c r="AC718">
        <v>17.415099999999899</v>
      </c>
      <c r="AD718">
        <v>-1.1105919586719999</v>
      </c>
      <c r="AE718">
        <v>-2.0676999999999999</v>
      </c>
      <c r="AF718">
        <v>2.20902997342953</v>
      </c>
      <c r="AG718">
        <v>-1.1105919586719999</v>
      </c>
      <c r="AH718">
        <v>17.327123507459</v>
      </c>
      <c r="AI718">
        <v>93.638022973572006</v>
      </c>
      <c r="AJ718">
        <v>82.734571623724605</v>
      </c>
      <c r="AK718">
        <v>17.502640856879701</v>
      </c>
      <c r="AL718">
        <v>72.144171557544396</v>
      </c>
      <c r="AM718">
        <v>89.598599122842302</v>
      </c>
      <c r="AN718">
        <v>0.999999983084217</v>
      </c>
    </row>
    <row r="719" spans="1:40" x14ac:dyDescent="0.25">
      <c r="A719" t="str">
        <f>"20190304164608998"</f>
        <v>20190304164608998</v>
      </c>
      <c r="B719" t="str">
        <f>"1551689168988531"</f>
        <v>1551689168988531</v>
      </c>
      <c r="C719" t="s">
        <v>40</v>
      </c>
      <c r="D719">
        <v>4.3787180000000001</v>
      </c>
      <c r="E719">
        <v>0.56078539999999999</v>
      </c>
      <c r="F719" t="s">
        <v>42</v>
      </c>
      <c r="G719">
        <v>-246.91220000000001</v>
      </c>
      <c r="H719" s="1">
        <v>-2.2187940000000001E-6</v>
      </c>
      <c r="I719">
        <v>365.6746</v>
      </c>
      <c r="J719">
        <v>-264.6404</v>
      </c>
      <c r="K719">
        <v>1.1105959999999999</v>
      </c>
      <c r="L719">
        <v>367.78129999999999</v>
      </c>
      <c r="M719">
        <v>0.99985970000000002</v>
      </c>
      <c r="N719">
        <v>-1.4419329999999999E-2</v>
      </c>
      <c r="O719">
        <v>8.5353930000000005E-3</v>
      </c>
      <c r="P719">
        <v>0.95604339999999999</v>
      </c>
      <c r="Q719">
        <v>0.29321649999999999</v>
      </c>
      <c r="R719">
        <v>2.319794E-3</v>
      </c>
      <c r="S719">
        <v>3.1984560000000002</v>
      </c>
      <c r="T719">
        <v>-0.19660630000000001</v>
      </c>
      <c r="U719">
        <v>-0.3724365</v>
      </c>
      <c r="V719">
        <v>5.9077349999999999E-3</v>
      </c>
      <c r="W719">
        <v>0.30696970000000001</v>
      </c>
      <c r="X719">
        <v>0.95170100000000002</v>
      </c>
      <c r="Y719">
        <v>0.1238411</v>
      </c>
      <c r="Z719">
        <v>-5.086686E-3</v>
      </c>
      <c r="AA719">
        <v>0.99228899999999998</v>
      </c>
      <c r="AB719">
        <v>33</v>
      </c>
      <c r="AC719">
        <v>17.728199999999902</v>
      </c>
      <c r="AD719">
        <v>-1.110598218794</v>
      </c>
      <c r="AE719">
        <v>-2.10669999999998</v>
      </c>
      <c r="AF719">
        <v>2.2492518366797198</v>
      </c>
      <c r="AG719">
        <v>-1.110598218794</v>
      </c>
      <c r="AH719">
        <v>17.641301412770101</v>
      </c>
      <c r="AI719">
        <v>93.573417846838097</v>
      </c>
      <c r="AJ719">
        <v>82.734036593804205</v>
      </c>
      <c r="AK719">
        <v>17.818756347304401</v>
      </c>
      <c r="AL719">
        <v>72.123295750894101</v>
      </c>
      <c r="AM719">
        <v>89.644337944013401</v>
      </c>
      <c r="AN719">
        <v>1.0000000457259499</v>
      </c>
    </row>
    <row r="720" spans="1:40" x14ac:dyDescent="0.25">
      <c r="A720" t="str">
        <f>"20190304164609020"</f>
        <v>20190304164609020</v>
      </c>
      <c r="B720" t="str">
        <f>"1551689169009027"</f>
        <v>1551689169009027</v>
      </c>
      <c r="C720" t="s">
        <v>40</v>
      </c>
      <c r="D720">
        <v>4.4084729999999999</v>
      </c>
      <c r="E720">
        <v>0.5611505</v>
      </c>
      <c r="F720" t="s">
        <v>42</v>
      </c>
      <c r="G720">
        <v>-246.58930000000001</v>
      </c>
      <c r="H720" s="1">
        <v>-2.3383670000000001E-6</v>
      </c>
      <c r="I720">
        <v>365.69119999999998</v>
      </c>
      <c r="J720">
        <v>-264.30790000000002</v>
      </c>
      <c r="K720">
        <v>1.1105969999999901</v>
      </c>
      <c r="L720">
        <v>367.78399999999999</v>
      </c>
      <c r="M720">
        <v>0.99986019999999998</v>
      </c>
      <c r="N720">
        <v>-1.4431609999999999E-2</v>
      </c>
      <c r="O720">
        <v>8.4456749999999997E-3</v>
      </c>
      <c r="P720">
        <v>0.95617759999999996</v>
      </c>
      <c r="Q720">
        <v>0.29276760000000002</v>
      </c>
      <c r="R720">
        <v>3.3626820000000001E-3</v>
      </c>
      <c r="S720">
        <v>3.1991879999999999</v>
      </c>
      <c r="T720">
        <v>-0.19683</v>
      </c>
      <c r="U720">
        <v>-0.37042239999999999</v>
      </c>
      <c r="V720">
        <v>4.7820629999999996E-3</v>
      </c>
      <c r="W720">
        <v>0.30653530000000001</v>
      </c>
      <c r="X720">
        <v>0.95184729999999995</v>
      </c>
      <c r="Y720">
        <v>0.1231107</v>
      </c>
      <c r="Z720">
        <v>-5.0595079999999999E-3</v>
      </c>
      <c r="AA720">
        <v>0.99238000000000004</v>
      </c>
      <c r="AB720">
        <v>33</v>
      </c>
      <c r="AC720">
        <v>17.718599999999999</v>
      </c>
      <c r="AD720">
        <v>-1.1105993383670001</v>
      </c>
      <c r="AE720">
        <v>-2.0928000000000102</v>
      </c>
      <c r="AF720">
        <v>2.23373140478372</v>
      </c>
      <c r="AG720">
        <v>-1.1105993383670001</v>
      </c>
      <c r="AH720">
        <v>17.6319722060666</v>
      </c>
      <c r="AI720">
        <v>93.5756697903374</v>
      </c>
      <c r="AJ720">
        <v>82.779865368197306</v>
      </c>
      <c r="AK720">
        <v>17.807566671350799</v>
      </c>
      <c r="AL720">
        <v>72.149445278258796</v>
      </c>
      <c r="AM720">
        <v>89.712149499106701</v>
      </c>
      <c r="AN720">
        <v>1.00000002039495</v>
      </c>
    </row>
    <row r="721" spans="1:40" x14ac:dyDescent="0.25">
      <c r="A721" t="str">
        <f>"20190304164609042"</f>
        <v>20190304164609042</v>
      </c>
      <c r="B721" t="str">
        <f>"1551689169028547"</f>
        <v>1551689169028547</v>
      </c>
      <c r="C721" t="s">
        <v>40</v>
      </c>
      <c r="D721">
        <v>4.3432440000000003</v>
      </c>
      <c r="E721">
        <v>0.56116460000000001</v>
      </c>
      <c r="F721" t="s">
        <v>42</v>
      </c>
      <c r="G721">
        <v>-246.7647</v>
      </c>
      <c r="H721" s="1">
        <v>-2.2554750000000002E-6</v>
      </c>
      <c r="I721">
        <v>365.74959999999999</v>
      </c>
      <c r="J721">
        <v>-263.9846</v>
      </c>
      <c r="K721">
        <v>1.1106100000000001</v>
      </c>
      <c r="L721">
        <v>367.7867</v>
      </c>
      <c r="M721">
        <v>0.99986079999999999</v>
      </c>
      <c r="N721">
        <v>-1.444174E-2</v>
      </c>
      <c r="O721">
        <v>8.3590820000000003E-3</v>
      </c>
      <c r="P721">
        <v>0.95614739999999998</v>
      </c>
      <c r="Q721">
        <v>0.29284829999999901</v>
      </c>
      <c r="R721">
        <v>4.6990360000000002E-3</v>
      </c>
      <c r="S721">
        <v>3.2008359999999998</v>
      </c>
      <c r="T721">
        <v>-0.20263390000000001</v>
      </c>
      <c r="U721">
        <v>-0.3711853</v>
      </c>
      <c r="V721">
        <v>3.364129E-3</v>
      </c>
      <c r="W721">
        <v>0.3066256</v>
      </c>
      <c r="X721">
        <v>0.95182420000000001</v>
      </c>
      <c r="Y721">
        <v>0.123184</v>
      </c>
      <c r="Z721">
        <v>-5.182636E-3</v>
      </c>
      <c r="AA721">
        <v>0.99237030000000004</v>
      </c>
      <c r="AB721">
        <v>33</v>
      </c>
      <c r="AC721">
        <v>17.2198999999999</v>
      </c>
      <c r="AD721">
        <v>-1.110612255475</v>
      </c>
      <c r="AE721">
        <v>-2.0371000000000001</v>
      </c>
      <c r="AF721">
        <v>2.17207585988836</v>
      </c>
      <c r="AG721">
        <v>-1.110612255475</v>
      </c>
      <c r="AH721">
        <v>17.1319875435161</v>
      </c>
      <c r="AI721">
        <v>93.679738104463894</v>
      </c>
      <c r="AJ721">
        <v>82.774316806139595</v>
      </c>
      <c r="AK721">
        <v>17.304807722546698</v>
      </c>
      <c r="AL721">
        <v>72.144008268507093</v>
      </c>
      <c r="AM721">
        <v>89.797494546964302</v>
      </c>
      <c r="AN721">
        <v>0.99999994182246199</v>
      </c>
    </row>
    <row r="722" spans="1:40" x14ac:dyDescent="0.25">
      <c r="A722" t="str">
        <f>"20190304164609065"</f>
        <v>20190304164609065</v>
      </c>
      <c r="B722" t="str">
        <f>"1551689169058803"</f>
        <v>1551689169058803</v>
      </c>
      <c r="C722" t="s">
        <v>40</v>
      </c>
      <c r="D722">
        <v>4.726248</v>
      </c>
      <c r="E722">
        <v>0.56127369999999899</v>
      </c>
      <c r="F722" t="s">
        <v>42</v>
      </c>
      <c r="G722">
        <v>-246.45920000000001</v>
      </c>
      <c r="H722" s="1">
        <v>-2.3676480000000001E-6</v>
      </c>
      <c r="I722">
        <v>365.76900000000001</v>
      </c>
      <c r="J722">
        <v>-263.6397</v>
      </c>
      <c r="K722">
        <v>1.1106130000000001</v>
      </c>
      <c r="L722">
        <v>367.78949999999998</v>
      </c>
      <c r="M722">
        <v>0.99986149999999996</v>
      </c>
      <c r="N722">
        <v>-1.445071E-2</v>
      </c>
      <c r="O722">
        <v>8.2666690000000008E-3</v>
      </c>
      <c r="P722">
        <v>0.95594290000000004</v>
      </c>
      <c r="Q722">
        <v>0.29349449999999999</v>
      </c>
      <c r="R722">
        <v>5.8766859999999999E-3</v>
      </c>
      <c r="S722">
        <v>3.2015380000000002</v>
      </c>
      <c r="T722">
        <v>-0.20288629999999999</v>
      </c>
      <c r="U722">
        <v>-0.36859130000000001</v>
      </c>
      <c r="V722">
        <v>2.0975429999999999E-3</v>
      </c>
      <c r="W722">
        <v>0.30727729999999998</v>
      </c>
      <c r="X722">
        <v>0.95161770000000001</v>
      </c>
      <c r="Y722">
        <v>0.1222755</v>
      </c>
      <c r="Z722">
        <v>-5.1480400000000004E-3</v>
      </c>
      <c r="AA722">
        <v>0.9924828</v>
      </c>
      <c r="AB722">
        <v>33</v>
      </c>
      <c r="AC722">
        <v>17.180499999999899</v>
      </c>
      <c r="AD722">
        <v>-1.110615367648</v>
      </c>
      <c r="AE722">
        <v>-2.02049999999997</v>
      </c>
      <c r="AF722">
        <v>2.1535945165611601</v>
      </c>
      <c r="AG722">
        <v>-1.110615367648</v>
      </c>
      <c r="AH722">
        <v>17.092754815993299</v>
      </c>
      <c r="AI722">
        <v>93.688532758659306</v>
      </c>
      <c r="AJ722">
        <v>82.818881822823698</v>
      </c>
      <c r="AK722">
        <v>17.263652656268299</v>
      </c>
      <c r="AL722">
        <v>72.104775551868997</v>
      </c>
      <c r="AM722">
        <v>89.873709614041204</v>
      </c>
      <c r="AN722">
        <v>0.99999999286760799</v>
      </c>
    </row>
    <row r="723" spans="1:40" x14ac:dyDescent="0.25">
      <c r="A723" t="str">
        <f>"20190304164609087"</f>
        <v>20190304164609087</v>
      </c>
      <c r="B723" t="str">
        <f>"1551689169078326"</f>
        <v>1551689169078326</v>
      </c>
      <c r="C723" t="s">
        <v>40</v>
      </c>
      <c r="D723">
        <v>4.537928</v>
      </c>
      <c r="E723">
        <v>0.56126069999999995</v>
      </c>
      <c r="F723" t="s">
        <v>42</v>
      </c>
      <c r="G723">
        <v>-246.13310000000001</v>
      </c>
      <c r="H723" s="1">
        <v>-2.489367E-6</v>
      </c>
      <c r="I723">
        <v>365.78210000000001</v>
      </c>
      <c r="J723">
        <v>-263.31569999999999</v>
      </c>
      <c r="K723">
        <v>1.1106149999999999</v>
      </c>
      <c r="L723">
        <v>367.7921</v>
      </c>
      <c r="M723">
        <v>0.99986209999999998</v>
      </c>
      <c r="N723">
        <v>-1.4457589999999999E-2</v>
      </c>
      <c r="O723">
        <v>8.1787990000000005E-3</v>
      </c>
      <c r="P723">
        <v>0.95583620000000002</v>
      </c>
      <c r="Q723">
        <v>0.29380279999999998</v>
      </c>
      <c r="R723">
        <v>7.574964E-3</v>
      </c>
      <c r="S723">
        <v>3.2029109999999998</v>
      </c>
      <c r="T723">
        <v>-0.20319200000000001</v>
      </c>
      <c r="U723">
        <v>-0.36724849999999998</v>
      </c>
      <c r="V723">
        <v>3.1557960000000001E-4</v>
      </c>
      <c r="W723">
        <v>0.30759170000000002</v>
      </c>
      <c r="X723">
        <v>0.95151839999999999</v>
      </c>
      <c r="Y723">
        <v>0.12173</v>
      </c>
      <c r="Z723">
        <v>-5.1277299999999996E-3</v>
      </c>
      <c r="AA723">
        <v>0.99255000000000004</v>
      </c>
      <c r="AB723">
        <v>33</v>
      </c>
      <c r="AC723">
        <v>17.182599999999901</v>
      </c>
      <c r="AD723">
        <v>-1.110617489367</v>
      </c>
      <c r="AE723">
        <v>-2.00999999999999</v>
      </c>
      <c r="AF723">
        <v>2.1416537787088199</v>
      </c>
      <c r="AG723">
        <v>-1.110617489367</v>
      </c>
      <c r="AH723">
        <v>17.095127583004899</v>
      </c>
      <c r="AI723">
        <v>93.688354943508003</v>
      </c>
      <c r="AJ723">
        <v>82.859266741425799</v>
      </c>
      <c r="AK723">
        <v>17.264516766905501</v>
      </c>
      <c r="AL723">
        <v>72.085845242858895</v>
      </c>
      <c r="AM723">
        <v>89.9809973422295</v>
      </c>
      <c r="AN723">
        <v>1.0000000095189601</v>
      </c>
    </row>
    <row r="724" spans="1:40" x14ac:dyDescent="0.25">
      <c r="A724" t="str">
        <f>"20190304164609109"</f>
        <v>20190304164609109</v>
      </c>
      <c r="B724" t="str">
        <f>"1551689169098819"</f>
        <v>1551689169098819</v>
      </c>
      <c r="C724" t="s">
        <v>40</v>
      </c>
      <c r="D724">
        <v>4.412998</v>
      </c>
      <c r="E724">
        <v>0.56117209999999995</v>
      </c>
      <c r="F724" t="s">
        <v>42</v>
      </c>
      <c r="G724">
        <v>-245.2406</v>
      </c>
      <c r="H724" s="1">
        <v>-2.916792E-6</v>
      </c>
      <c r="I724">
        <v>365.74619999999999</v>
      </c>
      <c r="J724">
        <v>-262.9871</v>
      </c>
      <c r="K724">
        <v>1.110622</v>
      </c>
      <c r="L724">
        <v>367.79469999999998</v>
      </c>
      <c r="M724">
        <v>0.99986269999999999</v>
      </c>
      <c r="N724">
        <v>-1.446325E-2</v>
      </c>
      <c r="O724">
        <v>8.0877039999999994E-3</v>
      </c>
      <c r="P724">
        <v>0.95579139999999996</v>
      </c>
      <c r="Q724">
        <v>0.29391250000000002</v>
      </c>
      <c r="R724">
        <v>8.8490510000000001E-3</v>
      </c>
      <c r="S724">
        <v>3.201965</v>
      </c>
      <c r="T724">
        <v>-0.1967431</v>
      </c>
      <c r="U724">
        <v>-0.36242679999999999</v>
      </c>
      <c r="V724">
        <v>-1.044255E-3</v>
      </c>
      <c r="W724">
        <v>0.30770690000000001</v>
      </c>
      <c r="X724">
        <v>0.95148060000000001</v>
      </c>
      <c r="Y724">
        <v>0.1202182</v>
      </c>
      <c r="Z724">
        <v>-4.9298099999999997E-3</v>
      </c>
      <c r="AA724">
        <v>0.99273529999999999</v>
      </c>
      <c r="AB724">
        <v>33</v>
      </c>
      <c r="AC724">
        <v>17.746499999999902</v>
      </c>
      <c r="AD724">
        <v>-1.1106249167919999</v>
      </c>
      <c r="AE724">
        <v>-2.04849999999999</v>
      </c>
      <c r="AF724">
        <v>2.1835368482991</v>
      </c>
      <c r="AG724">
        <v>-1.1106249167919999</v>
      </c>
      <c r="AH724">
        <v>17.661088166716201</v>
      </c>
      <c r="AI724">
        <v>93.571211165621904</v>
      </c>
      <c r="AJ724">
        <v>82.951975828775304</v>
      </c>
      <c r="AK724">
        <v>17.8301810452447</v>
      </c>
      <c r="AL724">
        <v>72.078907770809806</v>
      </c>
      <c r="AM724">
        <v>90.062882396354397</v>
      </c>
      <c r="AN724">
        <v>0.99999997947623698</v>
      </c>
    </row>
    <row r="725" spans="1:40" x14ac:dyDescent="0.25">
      <c r="A725" t="str">
        <f>"20190304164609125"</f>
        <v>20190304164609125</v>
      </c>
      <c r="B725" t="str">
        <f>"1551689169118340"</f>
        <v>1551689169118340</v>
      </c>
      <c r="C725" t="s">
        <v>40</v>
      </c>
      <c r="D725">
        <v>4.6980420000000001</v>
      </c>
      <c r="E725">
        <v>0.56135139999999994</v>
      </c>
      <c r="F725" t="s">
        <v>42</v>
      </c>
      <c r="G725">
        <v>-244.69149999999999</v>
      </c>
      <c r="H725" s="1">
        <v>-3.1769559999999999E-6</v>
      </c>
      <c r="I725">
        <v>365.74279999999999</v>
      </c>
      <c r="J725">
        <v>-262.76010000000002</v>
      </c>
      <c r="K725">
        <v>1.110622</v>
      </c>
      <c r="L725">
        <v>367.79649999999998</v>
      </c>
      <c r="M725">
        <v>0.99986330000000001</v>
      </c>
      <c r="N725">
        <v>-1.4466420000000001E-2</v>
      </c>
      <c r="O725">
        <v>8.0206400000000008E-3</v>
      </c>
      <c r="P725">
        <v>0.95580889999999996</v>
      </c>
      <c r="Q725">
        <v>0.29382799999999998</v>
      </c>
      <c r="R725">
        <v>9.7275450000000006E-3</v>
      </c>
      <c r="S725">
        <v>3.2018430000000002</v>
      </c>
      <c r="T725">
        <v>-0.19436619999999999</v>
      </c>
      <c r="U725">
        <v>-0.35910029999999998</v>
      </c>
      <c r="V725">
        <v>-1.9848330000000001E-3</v>
      </c>
      <c r="W725">
        <v>0.3076258</v>
      </c>
      <c r="X725">
        <v>0.95150539999999995</v>
      </c>
      <c r="Y725">
        <v>0.119146</v>
      </c>
      <c r="Z725">
        <v>-4.8366770000000002E-3</v>
      </c>
      <c r="AA725">
        <v>0.992865</v>
      </c>
      <c r="AB725">
        <v>33</v>
      </c>
      <c r="AC725">
        <v>18.0686</v>
      </c>
      <c r="AD725">
        <v>-1.110625176956</v>
      </c>
      <c r="AE725">
        <v>-2.0536999999999899</v>
      </c>
      <c r="AF725">
        <v>2.1904005718772499</v>
      </c>
      <c r="AG725">
        <v>-1.110625176956</v>
      </c>
      <c r="AH725">
        <v>17.984462541416899</v>
      </c>
      <c r="AI725">
        <v>93.507939506560504</v>
      </c>
      <c r="AJ725">
        <v>83.055915754646406</v>
      </c>
      <c r="AK725">
        <v>18.151370081968899</v>
      </c>
      <c r="AL725">
        <v>72.083792633084499</v>
      </c>
      <c r="AM725">
        <v>90.119518385275896</v>
      </c>
      <c r="AN725">
        <v>1.00000004930841</v>
      </c>
    </row>
    <row r="726" spans="1:40" x14ac:dyDescent="0.25">
      <c r="A726" t="str">
        <f>"20190304164609143"</f>
        <v>20190304164609143</v>
      </c>
      <c r="B726" t="str">
        <f>"1551689169138836"</f>
        <v>1551689169138836</v>
      </c>
      <c r="C726" t="s">
        <v>40</v>
      </c>
      <c r="D726">
        <v>4.5367749999999996</v>
      </c>
      <c r="E726">
        <v>0.56132069999999901</v>
      </c>
      <c r="F726" t="s">
        <v>42</v>
      </c>
      <c r="G726">
        <v>-244.30510000000001</v>
      </c>
      <c r="H726" s="1">
        <v>-3.3614149999999999E-6</v>
      </c>
      <c r="I726">
        <v>365.73250000000002</v>
      </c>
      <c r="J726">
        <v>-262.48579999999998</v>
      </c>
      <c r="K726">
        <v>1.1106279999999999</v>
      </c>
      <c r="L726">
        <v>367.79860000000002</v>
      </c>
      <c r="M726">
        <v>0.99986390000000003</v>
      </c>
      <c r="N726">
        <v>-1.4469620000000001E-2</v>
      </c>
      <c r="O726">
        <v>7.9335729999999993E-3</v>
      </c>
      <c r="P726">
        <v>0.95580160000000003</v>
      </c>
      <c r="Q726">
        <v>0.29380440000000002</v>
      </c>
      <c r="R726">
        <v>1.106969E-2</v>
      </c>
      <c r="S726">
        <v>3.2015380000000002</v>
      </c>
      <c r="T726">
        <v>-0.19267000000000001</v>
      </c>
      <c r="U726">
        <v>-0.35806270000000001</v>
      </c>
      <c r="V726">
        <v>-3.4063370000000002E-3</v>
      </c>
      <c r="W726">
        <v>0.30760539999999997</v>
      </c>
      <c r="X726">
        <v>0.95150789999999996</v>
      </c>
      <c r="Y726">
        <v>0.1187576</v>
      </c>
      <c r="Z726">
        <v>-4.7832329999999996E-3</v>
      </c>
      <c r="AA726">
        <v>0.99291180000000001</v>
      </c>
      <c r="AB726">
        <v>33</v>
      </c>
      <c r="AC726">
        <v>18.180699999999899</v>
      </c>
      <c r="AD726">
        <v>-1.1106313614149901</v>
      </c>
      <c r="AE726">
        <v>-2.0661</v>
      </c>
      <c r="AF726">
        <v>2.2021746657348502</v>
      </c>
      <c r="AG726">
        <v>-1.1106313614149901</v>
      </c>
      <c r="AH726">
        <v>18.097060844843298</v>
      </c>
      <c r="AI726">
        <v>93.486231495337705</v>
      </c>
      <c r="AJ726">
        <v>83.061967240350796</v>
      </c>
      <c r="AK726">
        <v>18.264355627870501</v>
      </c>
      <c r="AL726">
        <v>72.085019830673303</v>
      </c>
      <c r="AM726">
        <v>90.205114324272799</v>
      </c>
      <c r="AN726">
        <v>0.99999998450166305</v>
      </c>
    </row>
    <row r="727" spans="1:40" x14ac:dyDescent="0.25">
      <c r="A727" t="str">
        <f>"20190304164609166"</f>
        <v>20190304164609166</v>
      </c>
      <c r="B727" t="str">
        <f>"1551689169158355"</f>
        <v>1551689169158355</v>
      </c>
      <c r="C727" t="s">
        <v>40</v>
      </c>
      <c r="D727">
        <v>4.4047499999999999</v>
      </c>
      <c r="E727">
        <v>0.56128339999999999</v>
      </c>
      <c r="F727" t="s">
        <v>42</v>
      </c>
      <c r="G727">
        <v>-243.87129999999999</v>
      </c>
      <c r="H727" s="1">
        <v>-3.5668080000000001E-6</v>
      </c>
      <c r="I727">
        <v>365.73059999999998</v>
      </c>
      <c r="J727">
        <v>-262.1515</v>
      </c>
      <c r="K727">
        <v>1.1106229999999999</v>
      </c>
      <c r="L727">
        <v>367.80110000000002</v>
      </c>
      <c r="M727">
        <v>0.9998648</v>
      </c>
      <c r="N727">
        <v>-1.447261E-2</v>
      </c>
      <c r="O727">
        <v>7.8160399999999998E-3</v>
      </c>
      <c r="P727">
        <v>0.95577520000000005</v>
      </c>
      <c r="Q727">
        <v>0.29385749999999999</v>
      </c>
      <c r="R727">
        <v>1.1909680000000001E-2</v>
      </c>
      <c r="S727">
        <v>3.2015690000000001</v>
      </c>
      <c r="T727">
        <v>-0.19102160000000001</v>
      </c>
      <c r="U727">
        <v>-0.35568240000000001</v>
      </c>
      <c r="V727">
        <v>-4.3522500000000002E-3</v>
      </c>
      <c r="W727">
        <v>0.30766159999999998</v>
      </c>
      <c r="X727">
        <v>0.9514859</v>
      </c>
      <c r="Y727">
        <v>0.1179168</v>
      </c>
      <c r="Z727">
        <v>-4.712613E-3</v>
      </c>
      <c r="AA727">
        <v>0.99301229999999996</v>
      </c>
      <c r="AB727">
        <v>33</v>
      </c>
      <c r="AC727">
        <v>18.280200000000001</v>
      </c>
      <c r="AD727">
        <v>-1.110626566808</v>
      </c>
      <c r="AE727">
        <v>-2.0705000000000302</v>
      </c>
      <c r="AF727">
        <v>2.2052932752096099</v>
      </c>
      <c r="AG727">
        <v>-1.110626566808</v>
      </c>
      <c r="AH727">
        <v>18.1971371997092</v>
      </c>
      <c r="AI727">
        <v>93.467296770149304</v>
      </c>
      <c r="AJ727">
        <v>83.090077162467097</v>
      </c>
      <c r="AK727">
        <v>18.363894251101101</v>
      </c>
      <c r="AL727">
        <v>72.081636167108798</v>
      </c>
      <c r="AM727">
        <v>90.262078310622499</v>
      </c>
      <c r="AN727">
        <v>1.0000000100467099</v>
      </c>
    </row>
    <row r="728" spans="1:40" x14ac:dyDescent="0.25">
      <c r="A728" t="str">
        <f>"20190304164609187"</f>
        <v>20190304164609187</v>
      </c>
      <c r="B728" t="str">
        <f>"1551689169178851"</f>
        <v>1551689169178851</v>
      </c>
      <c r="C728" t="s">
        <v>40</v>
      </c>
      <c r="D728">
        <v>4.3855459999999997</v>
      </c>
      <c r="E728">
        <v>0.56148920000000002</v>
      </c>
      <c r="F728" t="s">
        <v>42</v>
      </c>
      <c r="G728">
        <v>-243.7758</v>
      </c>
      <c r="H728" s="1">
        <v>-3.6050790000000001E-6</v>
      </c>
      <c r="I728">
        <v>365.76949999999999</v>
      </c>
      <c r="J728">
        <v>-261.834</v>
      </c>
      <c r="K728">
        <v>1.1106210000000001</v>
      </c>
      <c r="L728">
        <v>367.80349999999999</v>
      </c>
      <c r="M728">
        <v>0.99986580000000003</v>
      </c>
      <c r="N728">
        <v>-1.447465E-2</v>
      </c>
      <c r="O728">
        <v>7.6888640000000001E-3</v>
      </c>
      <c r="P728">
        <v>0.95553449999999995</v>
      </c>
      <c r="Q728">
        <v>0.29458299999999998</v>
      </c>
      <c r="R728">
        <v>1.3227360000000001E-2</v>
      </c>
      <c r="S728">
        <v>3.2027589999999999</v>
      </c>
      <c r="T728">
        <v>-0.19357440000000001</v>
      </c>
      <c r="U728">
        <v>-0.35409550000000001</v>
      </c>
      <c r="V728">
        <v>-5.7845199999999996E-3</v>
      </c>
      <c r="W728">
        <v>0.30838559999999998</v>
      </c>
      <c r="X728">
        <v>0.95124390000000003</v>
      </c>
      <c r="Y728">
        <v>0.1172591</v>
      </c>
      <c r="Z728">
        <v>-4.7338809999999997E-3</v>
      </c>
      <c r="AA728">
        <v>0.99309009999999998</v>
      </c>
      <c r="AB728">
        <v>33</v>
      </c>
      <c r="AC728">
        <v>18.058199999999999</v>
      </c>
      <c r="AD728">
        <v>-1.1106246050789901</v>
      </c>
      <c r="AE728">
        <v>-2.03399999999999</v>
      </c>
      <c r="AF728">
        <v>2.1647158526930301</v>
      </c>
      <c r="AG728">
        <v>-1.1106246050789901</v>
      </c>
      <c r="AH728">
        <v>17.974886031056901</v>
      </c>
      <c r="AI728">
        <v>93.510372021943795</v>
      </c>
      <c r="AJ728">
        <v>83.132939347750707</v>
      </c>
      <c r="AK728">
        <v>18.138798459815199</v>
      </c>
      <c r="AL728">
        <v>72.038034737257803</v>
      </c>
      <c r="AM728">
        <v>90.3484116926696</v>
      </c>
      <c r="AN728">
        <v>1.00000004812309</v>
      </c>
    </row>
    <row r="729" spans="1:40" x14ac:dyDescent="0.25">
      <c r="A729" t="str">
        <f>"20190304164609210"</f>
        <v>20190304164609210</v>
      </c>
      <c r="B729" t="str">
        <f>"1551689169198371"</f>
        <v>1551689169198371</v>
      </c>
      <c r="C729" t="s">
        <v>40</v>
      </c>
      <c r="D729">
        <v>4.4852689999999997</v>
      </c>
      <c r="E729">
        <v>0.56160699999999997</v>
      </c>
      <c r="F729" t="s">
        <v>42</v>
      </c>
      <c r="G729">
        <v>-243.61789999999999</v>
      </c>
      <c r="H729" s="1">
        <v>-3.674349E-6</v>
      </c>
      <c r="I729">
        <v>365.79969999999997</v>
      </c>
      <c r="J729">
        <v>-261.50069999999999</v>
      </c>
      <c r="K729">
        <v>1.1106020000000001</v>
      </c>
      <c r="L729">
        <v>367.80590000000001</v>
      </c>
      <c r="M729">
        <v>0.99986679999999994</v>
      </c>
      <c r="N729">
        <v>-1.44761E-2</v>
      </c>
      <c r="O729">
        <v>7.5330589999999999E-3</v>
      </c>
      <c r="P729">
        <v>0.95535950000000003</v>
      </c>
      <c r="Q729">
        <v>0.29512699999999997</v>
      </c>
      <c r="R729">
        <v>1.372424E-2</v>
      </c>
      <c r="S729">
        <v>3.2047119999999998</v>
      </c>
      <c r="T729">
        <v>-0.1953896</v>
      </c>
      <c r="U729">
        <v>-0.3525085</v>
      </c>
      <c r="V729">
        <v>-6.4192559999999999E-3</v>
      </c>
      <c r="W729">
        <v>0.30892950000000002</v>
      </c>
      <c r="X729">
        <v>0.95106329999999994</v>
      </c>
      <c r="Y729">
        <v>0.1165498</v>
      </c>
      <c r="Z729">
        <v>-4.7350730000000002E-3</v>
      </c>
      <c r="AA729">
        <v>0.99317350000000004</v>
      </c>
      <c r="AB729">
        <v>33</v>
      </c>
      <c r="AC729">
        <v>17.8828</v>
      </c>
      <c r="AD729">
        <v>-1.110605674349</v>
      </c>
      <c r="AE729">
        <v>-2.00620000000003</v>
      </c>
      <c r="AF729">
        <v>2.1327456344106599</v>
      </c>
      <c r="AG729">
        <v>-1.110605674349</v>
      </c>
      <c r="AH729">
        <v>17.799379313230499</v>
      </c>
      <c r="AI729">
        <v>93.545091998882896</v>
      </c>
      <c r="AJ729">
        <v>83.167317463444803</v>
      </c>
      <c r="AK729">
        <v>17.961067697696901</v>
      </c>
      <c r="AL729">
        <v>72.005271366863994</v>
      </c>
      <c r="AM729">
        <v>90.386715260060797</v>
      </c>
      <c r="AN729">
        <v>1.0000000217123599</v>
      </c>
    </row>
    <row r="730" spans="1:40" x14ac:dyDescent="0.25">
      <c r="A730" t="str">
        <f>"20190304164609232"</f>
        <v>20190304164609232</v>
      </c>
      <c r="B730" t="str">
        <f>"1551689169218867"</f>
        <v>1551689169218867</v>
      </c>
      <c r="C730" t="s">
        <v>40</v>
      </c>
      <c r="D730">
        <v>4.415889</v>
      </c>
      <c r="E730">
        <v>0.56178079999999997</v>
      </c>
      <c r="F730" t="s">
        <v>42</v>
      </c>
      <c r="G730">
        <v>-243.44710000000001</v>
      </c>
      <c r="H730" s="1">
        <v>-3.7506799999999998E-6</v>
      </c>
      <c r="I730">
        <v>365.82459999999998</v>
      </c>
      <c r="J730">
        <v>-261.17320000000001</v>
      </c>
      <c r="K730">
        <v>1.110587</v>
      </c>
      <c r="L730">
        <v>367.8082</v>
      </c>
      <c r="M730">
        <v>0.99986819999999998</v>
      </c>
      <c r="N730">
        <v>-1.4476910000000001E-2</v>
      </c>
      <c r="O730">
        <v>7.3516129999999999E-3</v>
      </c>
      <c r="P730">
        <v>0.95527470000000003</v>
      </c>
      <c r="Q730">
        <v>0.29536699999999999</v>
      </c>
      <c r="R730">
        <v>1.44498E-2</v>
      </c>
      <c r="S730">
        <v>3.2061769999999998</v>
      </c>
      <c r="T730">
        <v>-0.19723450000000001</v>
      </c>
      <c r="U730">
        <v>-0.35186770000000001</v>
      </c>
      <c r="V730">
        <v>-7.3034399999999996E-3</v>
      </c>
      <c r="W730">
        <v>0.30916929999999998</v>
      </c>
      <c r="X730">
        <v>0.95097900000000002</v>
      </c>
      <c r="Y730">
        <v>0.11612069999999999</v>
      </c>
      <c r="Z730">
        <v>-4.7462329999999999E-3</v>
      </c>
      <c r="AA730">
        <v>0.99322379999999999</v>
      </c>
      <c r="AB730">
        <v>33</v>
      </c>
      <c r="AC730">
        <v>17.726099999999999</v>
      </c>
      <c r="AD730">
        <v>-1.1105907506799999</v>
      </c>
      <c r="AE730">
        <v>-1.98360000000002</v>
      </c>
      <c r="AF730">
        <v>2.1057119726191198</v>
      </c>
      <c r="AG730">
        <v>-1.1105907506799999</v>
      </c>
      <c r="AH730">
        <v>17.642639117483199</v>
      </c>
      <c r="AI730">
        <v>93.576654612280905</v>
      </c>
      <c r="AJ730">
        <v>83.193741282412205</v>
      </c>
      <c r="AK730">
        <v>17.802532116439998</v>
      </c>
      <c r="AL730">
        <v>71.990824717992098</v>
      </c>
      <c r="AM730">
        <v>90.440018193051699</v>
      </c>
      <c r="AN730">
        <v>1.0000000273696601</v>
      </c>
    </row>
    <row r="731" spans="1:40" x14ac:dyDescent="0.25">
      <c r="A731" t="str">
        <f>"20190304164609254"</f>
        <v>20190304164609254</v>
      </c>
      <c r="B731" t="str">
        <f>"1551689169248147"</f>
        <v>1551689169248147</v>
      </c>
      <c r="C731" t="s">
        <v>40</v>
      </c>
      <c r="D731">
        <v>4.3565250000000004</v>
      </c>
      <c r="E731">
        <v>0.56214549999999996</v>
      </c>
      <c r="F731" t="s">
        <v>42</v>
      </c>
      <c r="G731">
        <v>-243.38470000000001</v>
      </c>
      <c r="H731" s="1">
        <v>-3.7725089999999999E-6</v>
      </c>
      <c r="I731">
        <v>365.86770000000001</v>
      </c>
      <c r="J731">
        <v>-260.8365</v>
      </c>
      <c r="K731">
        <v>1.1105689999999999</v>
      </c>
      <c r="L731">
        <v>367.81049999999999</v>
      </c>
      <c r="M731">
        <v>0.99986989999999998</v>
      </c>
      <c r="N731">
        <v>-1.447737E-2</v>
      </c>
      <c r="O731">
        <v>7.1297840000000001E-3</v>
      </c>
      <c r="P731">
        <v>0.95520590000000005</v>
      </c>
      <c r="Q731">
        <v>0.29557689999999998</v>
      </c>
      <c r="R731">
        <v>1.470204E-2</v>
      </c>
      <c r="S731">
        <v>3.2076720000000001</v>
      </c>
      <c r="T731">
        <v>-0.20026559999999999</v>
      </c>
      <c r="U731">
        <v>-0.34991460000000002</v>
      </c>
      <c r="V731">
        <v>-7.7481779999999997E-3</v>
      </c>
      <c r="W731">
        <v>0.30937969999999998</v>
      </c>
      <c r="X731">
        <v>0.95090699999999995</v>
      </c>
      <c r="Y731">
        <v>0.11524719999999999</v>
      </c>
      <c r="Z731">
        <v>-4.7618729999999998E-3</v>
      </c>
      <c r="AA731">
        <v>0.99332540000000003</v>
      </c>
      <c r="AB731">
        <v>33</v>
      </c>
      <c r="AC731">
        <v>17.451799999999899</v>
      </c>
      <c r="AD731">
        <v>-1.110572772509</v>
      </c>
      <c r="AE731">
        <v>-1.9427999999999701</v>
      </c>
      <c r="AF731">
        <v>2.05895529392635</v>
      </c>
      <c r="AG731">
        <v>-1.110572772509</v>
      </c>
      <c r="AH731">
        <v>17.3680302994307</v>
      </c>
      <c r="AI731">
        <v>93.633338873255795</v>
      </c>
      <c r="AJ731">
        <v>83.239220457108303</v>
      </c>
      <c r="AK731">
        <v>17.524872189758401</v>
      </c>
      <c r="AL731">
        <v>71.978147268612503</v>
      </c>
      <c r="AM731">
        <v>90.466846993344006</v>
      </c>
      <c r="AN731">
        <v>0.99999997784170402</v>
      </c>
    </row>
    <row r="732" spans="1:40" x14ac:dyDescent="0.25">
      <c r="A732" t="str">
        <f>"20190304164609276"</f>
        <v>20190304164609276</v>
      </c>
      <c r="B732" t="str">
        <f>"1551689169268646"</f>
        <v>1551689169268646</v>
      </c>
      <c r="C732" t="s">
        <v>40</v>
      </c>
      <c r="D732">
        <v>4.3398680000000001</v>
      </c>
      <c r="E732">
        <v>0.56206330000000004</v>
      </c>
      <c r="F732" t="s">
        <v>41</v>
      </c>
      <c r="G732">
        <v>-259.81599999999997</v>
      </c>
      <c r="H732">
        <v>1.0458160000000001</v>
      </c>
      <c r="I732">
        <v>367.69869999999997</v>
      </c>
      <c r="J732">
        <v>-260.51799999999997</v>
      </c>
      <c r="K732">
        <v>1.110547</v>
      </c>
      <c r="L732">
        <v>367.81240000000003</v>
      </c>
      <c r="M732">
        <v>0.99987139999999997</v>
      </c>
      <c r="N732">
        <v>-1.4477169999999999E-2</v>
      </c>
      <c r="O732">
        <v>6.885408E-3</v>
      </c>
      <c r="P732">
        <v>0.95494809999999997</v>
      </c>
      <c r="Q732">
        <v>0.2963963</v>
      </c>
      <c r="R732">
        <v>1.4948380000000001E-2</v>
      </c>
      <c r="S732">
        <v>3.2091059999999998</v>
      </c>
      <c r="T732">
        <v>-0.2037079</v>
      </c>
      <c r="U732">
        <v>-0.35101320000000003</v>
      </c>
      <c r="V732">
        <v>-8.2097430000000002E-3</v>
      </c>
      <c r="W732">
        <v>0.31019540000000001</v>
      </c>
      <c r="X732">
        <v>0.95063739999999997</v>
      </c>
      <c r="Y732">
        <v>0.1152842</v>
      </c>
      <c r="Z732">
        <v>-4.8186069999999999E-3</v>
      </c>
      <c r="AA732">
        <v>0.99332089999999995</v>
      </c>
      <c r="AB732">
        <v>33</v>
      </c>
      <c r="AC732">
        <v>0.70199999999999796</v>
      </c>
      <c r="AD732">
        <v>-6.4730999999999803E-2</v>
      </c>
      <c r="AE732">
        <v>-0.113700000000051</v>
      </c>
      <c r="AF732">
        <v>0.11755737800392101</v>
      </c>
      <c r="AG732">
        <v>-6.4730999999999803E-2</v>
      </c>
      <c r="AH732">
        <v>0.69543853595757898</v>
      </c>
      <c r="AI732">
        <v>95.243766326484703</v>
      </c>
      <c r="AJ732">
        <v>80.405386257606594</v>
      </c>
      <c r="AK732">
        <v>0.708268732035361</v>
      </c>
      <c r="AL732">
        <v>71.928993896585894</v>
      </c>
      <c r="AM732">
        <v>90.494796366507501</v>
      </c>
      <c r="AN732">
        <v>1.0000000261700199</v>
      </c>
    </row>
    <row r="733" spans="1:40" x14ac:dyDescent="0.25">
      <c r="A733" t="str">
        <f>"20190304164609298"</f>
        <v>20190304164609298</v>
      </c>
      <c r="B733" t="str">
        <f>"1551689169288163"</f>
        <v>1551689169288163</v>
      </c>
      <c r="C733" t="s">
        <v>40</v>
      </c>
      <c r="D733">
        <v>4.3338330000000003</v>
      </c>
      <c r="E733">
        <v>0.56195509999999904</v>
      </c>
      <c r="F733" t="s">
        <v>42</v>
      </c>
      <c r="G733">
        <v>-242.77520000000001</v>
      </c>
      <c r="H733" s="1">
        <v>-4.0583700000000004E-6</v>
      </c>
      <c r="I733">
        <v>365.88049999999998</v>
      </c>
      <c r="J733">
        <v>-260.1961</v>
      </c>
      <c r="K733">
        <v>1.1105290000000001</v>
      </c>
      <c r="L733">
        <v>367.81439999999998</v>
      </c>
      <c r="M733">
        <v>0.99987329999999996</v>
      </c>
      <c r="N733">
        <v>-1.447638E-2</v>
      </c>
      <c r="O733">
        <v>6.6104349999999996E-3</v>
      </c>
      <c r="P733">
        <v>0.95468319999999995</v>
      </c>
      <c r="Q733">
        <v>0.29726029999999998</v>
      </c>
      <c r="R733">
        <v>1.471098E-2</v>
      </c>
      <c r="S733">
        <v>3.2093509999999998</v>
      </c>
      <c r="T733">
        <v>-0.20087849999999999</v>
      </c>
      <c r="U733">
        <v>-0.34945680000000001</v>
      </c>
      <c r="V733">
        <v>-8.2172849999999995E-3</v>
      </c>
      <c r="W733">
        <v>0.31105559999999899</v>
      </c>
      <c r="X733">
        <v>0.95035619999999998</v>
      </c>
      <c r="Y733">
        <v>0.1145362</v>
      </c>
      <c r="Z733">
        <v>-4.7198250000000004E-3</v>
      </c>
      <c r="AA733">
        <v>0.99340779999999995</v>
      </c>
      <c r="AB733">
        <v>33</v>
      </c>
      <c r="AC733">
        <v>17.4208999999999</v>
      </c>
      <c r="AD733">
        <v>-1.1105330583699999</v>
      </c>
      <c r="AE733">
        <v>-1.93389999999999</v>
      </c>
      <c r="AF733">
        <v>2.0408371439330999</v>
      </c>
      <c r="AG733">
        <v>-1.1105330583699999</v>
      </c>
      <c r="AH733">
        <v>17.3381347149171</v>
      </c>
      <c r="AI733">
        <v>93.639812564763403</v>
      </c>
      <c r="AJ733">
        <v>83.286719267976693</v>
      </c>
      <c r="AK733">
        <v>17.4931190847831</v>
      </c>
      <c r="AL733">
        <v>71.877142800267606</v>
      </c>
      <c r="AM733">
        <v>90.495397427785505</v>
      </c>
      <c r="AN733">
        <v>1.0000000084712799</v>
      </c>
    </row>
    <row r="734" spans="1:40" x14ac:dyDescent="0.25">
      <c r="A734" t="str">
        <f>"20190304164609312"</f>
        <v>20190304164609312</v>
      </c>
      <c r="B734" t="str">
        <f>"1551689169308659"</f>
        <v>1551689169308659</v>
      </c>
      <c r="C734" t="s">
        <v>40</v>
      </c>
      <c r="D734">
        <v>4.351356</v>
      </c>
      <c r="E734">
        <v>0.56189169999999999</v>
      </c>
      <c r="F734" t="s">
        <v>42</v>
      </c>
      <c r="G734">
        <v>-242.24619999999999</v>
      </c>
      <c r="H734" s="1">
        <v>-4.3109149999999999E-6</v>
      </c>
      <c r="I734">
        <v>365.8664</v>
      </c>
      <c r="J734">
        <v>-259.98570000000001</v>
      </c>
      <c r="K734">
        <v>1.1105149999999999</v>
      </c>
      <c r="L734">
        <v>367.81560000000002</v>
      </c>
      <c r="M734">
        <v>0.99987479999999995</v>
      </c>
      <c r="N734">
        <v>-1.447561E-2</v>
      </c>
      <c r="O734">
        <v>6.4184400000000001E-3</v>
      </c>
      <c r="P734">
        <v>0.95461490000000004</v>
      </c>
      <c r="Q734">
        <v>0.2975063</v>
      </c>
      <c r="R734">
        <v>1.417566E-2</v>
      </c>
      <c r="S734">
        <v>3.209625</v>
      </c>
      <c r="T734">
        <v>-0.198575</v>
      </c>
      <c r="U734">
        <v>-0.34832760000000001</v>
      </c>
      <c r="V734">
        <v>-7.8545409999999996E-3</v>
      </c>
      <c r="W734">
        <v>0.31129990000000002</v>
      </c>
      <c r="X734">
        <v>0.95027930000000005</v>
      </c>
      <c r="Y734">
        <v>0.1139983</v>
      </c>
      <c r="Z734">
        <v>-4.6443509999999997E-3</v>
      </c>
      <c r="AA734">
        <v>0.99347010000000002</v>
      </c>
      <c r="AB734">
        <v>33</v>
      </c>
      <c r="AC734">
        <v>17.7395</v>
      </c>
      <c r="AD734">
        <v>-1.110519310915</v>
      </c>
      <c r="AE734">
        <v>-1.94920000000001</v>
      </c>
      <c r="AF734">
        <v>2.0550740167028398</v>
      </c>
      <c r="AG734">
        <v>-1.110519310915</v>
      </c>
      <c r="AH734">
        <v>17.658246175235799</v>
      </c>
      <c r="AI734">
        <v>93.574504402290501</v>
      </c>
      <c r="AJ734">
        <v>83.361756265063207</v>
      </c>
      <c r="AK734">
        <v>17.8120813028481</v>
      </c>
      <c r="AL734">
        <v>71.862414685251807</v>
      </c>
      <c r="AM734">
        <v>90.473567930196594</v>
      </c>
      <c r="AN734">
        <v>1.0000000347814</v>
      </c>
    </row>
    <row r="735" spans="1:40" x14ac:dyDescent="0.25">
      <c r="A735" t="str">
        <f>"20190304164609326"</f>
        <v>20190304164609326</v>
      </c>
      <c r="B735" t="str">
        <f>"1551689169318419"</f>
        <v>1551689169318419</v>
      </c>
      <c r="C735" t="s">
        <v>40</v>
      </c>
      <c r="D735">
        <v>4.3604019999999997</v>
      </c>
      <c r="E735">
        <v>0.5618976</v>
      </c>
      <c r="F735" t="s">
        <v>42</v>
      </c>
      <c r="G735">
        <v>-241.99950000000001</v>
      </c>
      <c r="H735" s="1">
        <v>-4.4283119999999999E-6</v>
      </c>
      <c r="I735">
        <v>365.8621</v>
      </c>
      <c r="J735">
        <v>-259.78429999999997</v>
      </c>
      <c r="K735">
        <v>1.1105039999999999</v>
      </c>
      <c r="L735">
        <v>367.81670000000003</v>
      </c>
      <c r="M735">
        <v>0.99987599999999999</v>
      </c>
      <c r="N735">
        <v>-1.447474E-2</v>
      </c>
      <c r="O735">
        <v>6.2238079999999999E-3</v>
      </c>
      <c r="P735">
        <v>0.95455590000000001</v>
      </c>
      <c r="Q735">
        <v>0.29772729999999997</v>
      </c>
      <c r="R735">
        <v>1.347742E-2</v>
      </c>
      <c r="S735">
        <v>3.2095950000000002</v>
      </c>
      <c r="T735">
        <v>-0.19817009999999999</v>
      </c>
      <c r="U735">
        <v>-0.34860229999999998</v>
      </c>
      <c r="V735">
        <v>-7.3333369999999997E-3</v>
      </c>
      <c r="W735">
        <v>0.31151869999999998</v>
      </c>
      <c r="X735">
        <v>0.95021169999999999</v>
      </c>
      <c r="Y735">
        <v>0.1138914</v>
      </c>
      <c r="Z735">
        <v>-4.6231420000000002E-3</v>
      </c>
      <c r="AA735">
        <v>0.99348250000000005</v>
      </c>
      <c r="AB735">
        <v>33</v>
      </c>
      <c r="AC735">
        <v>17.784799999999901</v>
      </c>
      <c r="AD735">
        <v>-1.1105084283119999</v>
      </c>
      <c r="AE735">
        <v>-1.9546000000000201</v>
      </c>
      <c r="AF735">
        <v>2.05733721036761</v>
      </c>
      <c r="AG735">
        <v>-1.1105084283119999</v>
      </c>
      <c r="AH735">
        <v>17.704085903636098</v>
      </c>
      <c r="AI735">
        <v>93.565309081623397</v>
      </c>
      <c r="AJ735">
        <v>83.371564415947603</v>
      </c>
      <c r="AK735">
        <v>17.857786062382999</v>
      </c>
      <c r="AL735">
        <v>71.849221300269704</v>
      </c>
      <c r="AM735">
        <v>90.442176115316201</v>
      </c>
      <c r="AN735">
        <v>0.99999997654906703</v>
      </c>
    </row>
    <row r="736" spans="1:40" x14ac:dyDescent="0.25">
      <c r="A736" t="str">
        <f>"20190304164609344"</f>
        <v>20190304164609344</v>
      </c>
      <c r="B736" t="str">
        <f>"1551689169338915"</f>
        <v>1551689169338915</v>
      </c>
      <c r="C736" t="s">
        <v>40</v>
      </c>
      <c r="D736">
        <v>4.3415569999999999</v>
      </c>
      <c r="E736">
        <v>0.56190589999999996</v>
      </c>
      <c r="F736" t="s">
        <v>42</v>
      </c>
      <c r="G736">
        <v>-241.80529999999999</v>
      </c>
      <c r="H736" s="1">
        <v>-4.521391E-6</v>
      </c>
      <c r="I736">
        <v>365.85489999999999</v>
      </c>
      <c r="J736">
        <v>-259.52</v>
      </c>
      <c r="K736">
        <v>1.1104879999999999</v>
      </c>
      <c r="L736">
        <v>367.81810000000002</v>
      </c>
      <c r="M736">
        <v>0.99987760000000003</v>
      </c>
      <c r="N736">
        <v>-1.447347E-2</v>
      </c>
      <c r="O736">
        <v>5.959715E-3</v>
      </c>
      <c r="P736">
        <v>0.95472760000000001</v>
      </c>
      <c r="Q736">
        <v>0.29728929999999998</v>
      </c>
      <c r="R736">
        <v>1.0720520000000001E-2</v>
      </c>
      <c r="S736">
        <v>3.2095950000000002</v>
      </c>
      <c r="T736">
        <v>-0.19824729999999999</v>
      </c>
      <c r="U736">
        <v>-0.35021970000000002</v>
      </c>
      <c r="V736">
        <v>-4.8180050000000002E-3</v>
      </c>
      <c r="W736">
        <v>0.31108059999999998</v>
      </c>
      <c r="X736">
        <v>0.95037130000000003</v>
      </c>
      <c r="Y736">
        <v>0.1141234</v>
      </c>
      <c r="Z736">
        <v>-4.6208869999999997E-3</v>
      </c>
      <c r="AA736">
        <v>0.9934558</v>
      </c>
      <c r="AB736">
        <v>33</v>
      </c>
      <c r="AC736">
        <v>17.714699999999901</v>
      </c>
      <c r="AD736">
        <v>-1.110492521391</v>
      </c>
      <c r="AE736">
        <v>-1.96320000000002</v>
      </c>
      <c r="AF736">
        <v>2.0607507810926098</v>
      </c>
      <c r="AG736">
        <v>-1.110492521391</v>
      </c>
      <c r="AH736">
        <v>17.634226869461902</v>
      </c>
      <c r="AI736">
        <v>93.579077075773498</v>
      </c>
      <c r="AJ736">
        <v>83.334598587809893</v>
      </c>
      <c r="AK736">
        <v>17.788924776542601</v>
      </c>
      <c r="AL736">
        <v>71.875635104486605</v>
      </c>
      <c r="AM736">
        <v>90.290464355656695</v>
      </c>
      <c r="AN736">
        <v>0.99999998036611404</v>
      </c>
    </row>
    <row r="737" spans="1:40" x14ac:dyDescent="0.25">
      <c r="A737" t="str">
        <f>"20190304164609366"</f>
        <v>20190304164609366</v>
      </c>
      <c r="B737" t="str">
        <f>"1551689169358439"</f>
        <v>1551689169358439</v>
      </c>
      <c r="C737" t="s">
        <v>40</v>
      </c>
      <c r="D737">
        <v>4.4183680000000001</v>
      </c>
      <c r="E737">
        <v>0.56182270000000001</v>
      </c>
      <c r="F737" t="s">
        <v>42</v>
      </c>
      <c r="G737">
        <v>-241.803</v>
      </c>
      <c r="H737" s="1">
        <v>-4.5243900000000004E-6</v>
      </c>
      <c r="I737">
        <v>365.84399999999999</v>
      </c>
      <c r="J737">
        <v>-259.20530000000002</v>
      </c>
      <c r="K737">
        <v>1.1104750000000001</v>
      </c>
      <c r="L737">
        <v>367.81959999999998</v>
      </c>
      <c r="M737">
        <v>0.99987939999999997</v>
      </c>
      <c r="N737">
        <v>-1.447173E-2</v>
      </c>
      <c r="O737">
        <v>5.634259E-3</v>
      </c>
      <c r="P737">
        <v>0.95501539999999996</v>
      </c>
      <c r="Q737">
        <v>0.29644680000000001</v>
      </c>
      <c r="R737">
        <v>8.0690380000000006E-3</v>
      </c>
      <c r="S737">
        <v>3.2088930000000002</v>
      </c>
      <c r="T737">
        <v>-0.2011327</v>
      </c>
      <c r="U737">
        <v>-0.35754390000000003</v>
      </c>
      <c r="V737">
        <v>-2.4671939999999998E-3</v>
      </c>
      <c r="W737">
        <v>0.31023849999999997</v>
      </c>
      <c r="X737">
        <v>0.95065560000000005</v>
      </c>
      <c r="Y737">
        <v>0.116052</v>
      </c>
      <c r="Z737">
        <v>-4.7362150000000002E-3</v>
      </c>
      <c r="AA737">
        <v>0.9932318</v>
      </c>
      <c r="AB737">
        <v>33</v>
      </c>
      <c r="AC737">
        <v>17.4023</v>
      </c>
      <c r="AD737">
        <v>-1.1104795243899901</v>
      </c>
      <c r="AE737">
        <v>-1.97559999999998</v>
      </c>
      <c r="AF737">
        <v>2.0653249750908298</v>
      </c>
      <c r="AG737">
        <v>-1.1104795243899901</v>
      </c>
      <c r="AH737">
        <v>17.321256801694599</v>
      </c>
      <c r="AI737">
        <v>93.642525753424707</v>
      </c>
      <c r="AJ737">
        <v>83.200358273928003</v>
      </c>
      <c r="AK737">
        <v>17.479263978127701</v>
      </c>
      <c r="AL737">
        <v>71.926396591645599</v>
      </c>
      <c r="AM737">
        <v>90.148696842549498</v>
      </c>
      <c r="AN737">
        <v>1.00000004186992</v>
      </c>
    </row>
    <row r="738" spans="1:40" x14ac:dyDescent="0.25">
      <c r="A738" t="str">
        <f>"20190304164609379"</f>
        <v>20190304164609379</v>
      </c>
      <c r="B738" t="str">
        <f>"1551689169368196"</f>
        <v>1551689169368196</v>
      </c>
      <c r="C738" t="s">
        <v>40</v>
      </c>
      <c r="D738">
        <v>4.3280149999999997</v>
      </c>
      <c r="E738">
        <v>0.56184480000000003</v>
      </c>
      <c r="F738" t="s">
        <v>42</v>
      </c>
      <c r="G738">
        <v>-241.86879999999999</v>
      </c>
      <c r="H738" s="1">
        <v>-4.4934780000000001E-6</v>
      </c>
      <c r="I738">
        <v>365.84300000000002</v>
      </c>
      <c r="J738">
        <v>-259.00279999999998</v>
      </c>
      <c r="K738">
        <v>1.110473</v>
      </c>
      <c r="L738">
        <v>367.82060000000001</v>
      </c>
      <c r="M738">
        <v>0.99988069999999896</v>
      </c>
      <c r="N738">
        <v>-1.4470480000000001E-2</v>
      </c>
      <c r="O738">
        <v>5.4210259999999998E-3</v>
      </c>
      <c r="P738">
        <v>0.9551132</v>
      </c>
      <c r="Q738">
        <v>0.29616759999999998</v>
      </c>
      <c r="R738">
        <v>6.6385230000000003E-3</v>
      </c>
      <c r="S738">
        <v>3.2081909999999998</v>
      </c>
      <c r="T738">
        <v>-0.2054994</v>
      </c>
      <c r="U738">
        <v>-0.36578369999999999</v>
      </c>
      <c r="V738">
        <v>-1.2356730000000001E-3</v>
      </c>
      <c r="W738">
        <v>0.30995919999999999</v>
      </c>
      <c r="X738">
        <v>0.95074899999999996</v>
      </c>
      <c r="Y738">
        <v>0.11836579999999999</v>
      </c>
      <c r="Z738">
        <v>-4.902811E-3</v>
      </c>
      <c r="AA738">
        <v>0.99295789999999995</v>
      </c>
      <c r="AB738">
        <v>33</v>
      </c>
      <c r="AC738">
        <v>17.133999999999901</v>
      </c>
      <c r="AD738">
        <v>-1.110477493478</v>
      </c>
      <c r="AE738">
        <v>-1.97759999999999</v>
      </c>
      <c r="AF738">
        <v>2.0619172720002998</v>
      </c>
      <c r="AG738">
        <v>-1.110477493478</v>
      </c>
      <c r="AH738">
        <v>17.052339589783699</v>
      </c>
      <c r="AI738">
        <v>93.699069842408804</v>
      </c>
      <c r="AJ738">
        <v>83.105439399097705</v>
      </c>
      <c r="AK738">
        <v>17.212406821400702</v>
      </c>
      <c r="AL738">
        <v>71.943227294430997</v>
      </c>
      <c r="AM738">
        <v>90.074466350103293</v>
      </c>
      <c r="AN738">
        <v>0.99999994677670001</v>
      </c>
    </row>
    <row r="739" spans="1:40" x14ac:dyDescent="0.25">
      <c r="A739" t="str">
        <f>"20190304164609393"</f>
        <v>20190304164609393</v>
      </c>
      <c r="B739" t="str">
        <f>"1551689169388692"</f>
        <v>1551689169388692</v>
      </c>
      <c r="C739" t="s">
        <v>40</v>
      </c>
      <c r="D739">
        <v>4.348109</v>
      </c>
      <c r="E739">
        <v>0.5618339</v>
      </c>
      <c r="F739" t="s">
        <v>42</v>
      </c>
      <c r="G739">
        <v>-241.7996</v>
      </c>
      <c r="H739" s="1">
        <v>-4.5283390000000004E-6</v>
      </c>
      <c r="I739">
        <v>365.83109999999999</v>
      </c>
      <c r="J739">
        <v>-258.79899999999998</v>
      </c>
      <c r="K739">
        <v>1.1104700000000001</v>
      </c>
      <c r="L739">
        <v>367.82139999999998</v>
      </c>
      <c r="M739">
        <v>0.99988189999999999</v>
      </c>
      <c r="N739">
        <v>-1.446915E-2</v>
      </c>
      <c r="O739">
        <v>5.2047129999999997E-3</v>
      </c>
      <c r="P739">
        <v>0.95517359999999896</v>
      </c>
      <c r="Q739">
        <v>0.29599550000000002</v>
      </c>
      <c r="R739">
        <v>5.4891590000000004E-3</v>
      </c>
      <c r="S739">
        <v>3.2077789999999999</v>
      </c>
      <c r="T739">
        <v>-0.20706340000000001</v>
      </c>
      <c r="U739">
        <v>-0.37097170000000002</v>
      </c>
      <c r="V739">
        <v>-2.8908999999999999E-4</v>
      </c>
      <c r="W739">
        <v>0.30978610000000001</v>
      </c>
      <c r="X739">
        <v>0.95080629999999999</v>
      </c>
      <c r="Y739">
        <v>0.1197428</v>
      </c>
      <c r="Z739">
        <v>-4.9777600000000003E-3</v>
      </c>
      <c r="AA739">
        <v>0.99279249999999997</v>
      </c>
      <c r="AB739">
        <v>33</v>
      </c>
      <c r="AC739">
        <v>16.999400000000001</v>
      </c>
      <c r="AD739">
        <v>-1.1104745283390001</v>
      </c>
      <c r="AE739">
        <v>-1.99029999999999</v>
      </c>
      <c r="AF739">
        <v>2.0700452964682401</v>
      </c>
      <c r="AG739">
        <v>-1.1104745283390001</v>
      </c>
      <c r="AH739">
        <v>16.917593970032701</v>
      </c>
      <c r="AI739">
        <v>93.727796316696697</v>
      </c>
      <c r="AJ739">
        <v>83.023937133776698</v>
      </c>
      <c r="AK739">
        <v>17.079907111644498</v>
      </c>
      <c r="AL739">
        <v>71.953660866157193</v>
      </c>
      <c r="AM739">
        <v>90.017420621202206</v>
      </c>
      <c r="AN739">
        <v>1.00000006572296</v>
      </c>
    </row>
    <row r="740" spans="1:40" x14ac:dyDescent="0.25">
      <c r="A740" t="str">
        <f>"20190304164609411"</f>
        <v>20190304164609411</v>
      </c>
      <c r="B740" t="str">
        <f>"1551689169398451"</f>
        <v>1551689169398451</v>
      </c>
      <c r="C740" t="s">
        <v>40</v>
      </c>
      <c r="D740">
        <v>4.3254950000000001</v>
      </c>
      <c r="E740">
        <v>0.561809</v>
      </c>
      <c r="F740" t="s">
        <v>42</v>
      </c>
      <c r="G740">
        <v>-241.72569999999999</v>
      </c>
      <c r="H740" s="1">
        <v>-4.5639100000000003E-6</v>
      </c>
      <c r="I740">
        <v>365.82740000000001</v>
      </c>
      <c r="J740">
        <v>-258.55520000000001</v>
      </c>
      <c r="K740">
        <v>1.1104689999999999</v>
      </c>
      <c r="L740">
        <v>367.82240000000002</v>
      </c>
      <c r="M740">
        <v>0.99988310000000002</v>
      </c>
      <c r="N740">
        <v>-1.4467509999999999E-2</v>
      </c>
      <c r="O740">
        <v>4.9445519999999996E-3</v>
      </c>
      <c r="P740">
        <v>0.95512249999999999</v>
      </c>
      <c r="Q740">
        <v>0.29619000000000001</v>
      </c>
      <c r="R740">
        <v>3.5419499999999999E-3</v>
      </c>
      <c r="S740">
        <v>3.2076259999999999</v>
      </c>
      <c r="T740">
        <v>-0.2086288</v>
      </c>
      <c r="U740">
        <v>-0.37463380000000002</v>
      </c>
      <c r="V740">
        <v>1.4125209999999999E-3</v>
      </c>
      <c r="W740">
        <v>0.30997639999999999</v>
      </c>
      <c r="X740">
        <v>0.95074320000000001</v>
      </c>
      <c r="Y740">
        <v>0.1206021</v>
      </c>
      <c r="Z740">
        <v>-5.030189E-3</v>
      </c>
      <c r="AA740">
        <v>0.99268820000000002</v>
      </c>
      <c r="AB740">
        <v>33</v>
      </c>
      <c r="AC740">
        <v>16.829499999999999</v>
      </c>
      <c r="AD740">
        <v>-1.1104735639100001</v>
      </c>
      <c r="AE740">
        <v>-1.9950000000000001</v>
      </c>
      <c r="AF740">
        <v>2.0693140106211501</v>
      </c>
      <c r="AG740">
        <v>-1.1104735639100001</v>
      </c>
      <c r="AH740">
        <v>16.7475229496849</v>
      </c>
      <c r="AI740">
        <v>93.764995218219994</v>
      </c>
      <c r="AJ740">
        <v>82.956268041880094</v>
      </c>
      <c r="AK740">
        <v>16.9113789195594</v>
      </c>
      <c r="AL740">
        <v>71.942191712296307</v>
      </c>
      <c r="AM740">
        <v>89.914875612860797</v>
      </c>
      <c r="AN740">
        <v>0.999999998059387</v>
      </c>
    </row>
    <row r="741" spans="1:40" x14ac:dyDescent="0.25">
      <c r="A741" t="str">
        <f>"20190304164609433"</f>
        <v>20190304164609433</v>
      </c>
      <c r="B741" t="str">
        <f>"1551689169418948"</f>
        <v>1551689169418948</v>
      </c>
      <c r="C741" t="s">
        <v>40</v>
      </c>
      <c r="D741">
        <v>4.319839</v>
      </c>
      <c r="E741">
        <v>0.56177189999999999</v>
      </c>
      <c r="F741" t="s">
        <v>42</v>
      </c>
      <c r="G741">
        <v>-241.40010000000001</v>
      </c>
      <c r="H741" s="1">
        <v>-4.7261170000000002E-6</v>
      </c>
      <c r="I741">
        <v>365.78070000000002</v>
      </c>
      <c r="J741">
        <v>-258.22770000000003</v>
      </c>
      <c r="K741">
        <v>1.110465</v>
      </c>
      <c r="L741">
        <v>367.82369999999997</v>
      </c>
      <c r="M741">
        <v>0.99988500000000002</v>
      </c>
      <c r="N741">
        <v>-1.446515E-2</v>
      </c>
      <c r="O741">
        <v>4.5945209999999998E-3</v>
      </c>
      <c r="P741">
        <v>0.9549571</v>
      </c>
      <c r="Q741">
        <v>0.29673310000000003</v>
      </c>
      <c r="R741">
        <v>2.5804040000000001E-3</v>
      </c>
      <c r="S741">
        <v>3.2067410000000001</v>
      </c>
      <c r="T741">
        <v>-0.20757619999999999</v>
      </c>
      <c r="U741">
        <v>-0.38165280000000001</v>
      </c>
      <c r="V741">
        <v>2.0422999999999999E-3</v>
      </c>
      <c r="W741">
        <v>0.31051410000000002</v>
      </c>
      <c r="X741">
        <v>0.95056660000000004</v>
      </c>
      <c r="Y741">
        <v>0.1224276</v>
      </c>
      <c r="Z741">
        <v>-5.0640759999999998E-3</v>
      </c>
      <c r="AA741">
        <v>0.99246449999999997</v>
      </c>
      <c r="AB741">
        <v>33</v>
      </c>
      <c r="AC741">
        <v>16.8276</v>
      </c>
      <c r="AD741">
        <v>-1.110469726117</v>
      </c>
      <c r="AE741">
        <v>-2.0429999999999402</v>
      </c>
      <c r="AF741">
        <v>2.1112407698166802</v>
      </c>
      <c r="AG741">
        <v>-1.110469726117</v>
      </c>
      <c r="AH741">
        <v>16.7461677131916</v>
      </c>
      <c r="AI741">
        <v>93.764126364917104</v>
      </c>
      <c r="AJ741">
        <v>82.814455183527798</v>
      </c>
      <c r="AK741">
        <v>16.915218404711698</v>
      </c>
      <c r="AL741">
        <v>71.909785092228304</v>
      </c>
      <c r="AM741">
        <v>89.876899745426201</v>
      </c>
      <c r="AN741">
        <v>1.0000000191618299</v>
      </c>
    </row>
    <row r="742" spans="1:40" x14ac:dyDescent="0.25">
      <c r="A742" t="str">
        <f>"20190304164609456"</f>
        <v>20190304164609456</v>
      </c>
      <c r="B742" t="str">
        <f>"1551689169448227"</f>
        <v>1551689169448227</v>
      </c>
      <c r="C742" t="s">
        <v>40</v>
      </c>
      <c r="D742">
        <v>4.3400910000000001</v>
      </c>
      <c r="E742">
        <v>0.56179299999999999</v>
      </c>
      <c r="F742" t="s">
        <v>42</v>
      </c>
      <c r="G742">
        <v>-240.94110000000001</v>
      </c>
      <c r="H742" s="1">
        <v>-4.9480249999999999E-6</v>
      </c>
      <c r="I742">
        <v>365.7527</v>
      </c>
      <c r="J742">
        <v>-257.90730000000002</v>
      </c>
      <c r="K742">
        <v>1.110465</v>
      </c>
      <c r="L742">
        <v>367.82479999999998</v>
      </c>
      <c r="M742">
        <v>0.99988650000000001</v>
      </c>
      <c r="N742">
        <v>-1.4462640000000001E-2</v>
      </c>
      <c r="O742">
        <v>4.2530409999999999E-3</v>
      </c>
      <c r="P742">
        <v>0.95493980000000001</v>
      </c>
      <c r="Q742">
        <v>0.29678759999999998</v>
      </c>
      <c r="R742">
        <v>2.6731300000000001E-3</v>
      </c>
      <c r="S742">
        <v>3.2065429999999999</v>
      </c>
      <c r="T742">
        <v>-0.2059851</v>
      </c>
      <c r="U742">
        <v>-0.38415529999999998</v>
      </c>
      <c r="V742">
        <v>1.6249859999999999E-3</v>
      </c>
      <c r="W742">
        <v>0.31056660000000003</v>
      </c>
      <c r="X742">
        <v>0.95055029999999996</v>
      </c>
      <c r="Y742">
        <v>0.12286329999999999</v>
      </c>
      <c r="Z742">
        <v>-5.031761E-3</v>
      </c>
      <c r="AA742">
        <v>0.99241080000000004</v>
      </c>
      <c r="AB742">
        <v>33</v>
      </c>
      <c r="AC742">
        <v>16.966200000000001</v>
      </c>
      <c r="AD742">
        <v>-1.110469948025</v>
      </c>
      <c r="AE742">
        <v>-2.0720999999999701</v>
      </c>
      <c r="AF742">
        <v>2.1352339359892398</v>
      </c>
      <c r="AG742">
        <v>-1.110469948025</v>
      </c>
      <c r="AH742">
        <v>16.885957411914799</v>
      </c>
      <c r="AI742">
        <v>93.732879919957199</v>
      </c>
      <c r="AJ742">
        <v>82.793182125049597</v>
      </c>
      <c r="AK742">
        <v>17.056609428132798</v>
      </c>
      <c r="AL742">
        <v>71.906621437432804</v>
      </c>
      <c r="AM742">
        <v>89.902051739008897</v>
      </c>
      <c r="AN742">
        <v>1.0000000632225701</v>
      </c>
    </row>
    <row r="743" spans="1:40" x14ac:dyDescent="0.25">
      <c r="A743" t="str">
        <f>"20190304164609469"</f>
        <v>20190304164609469</v>
      </c>
      <c r="B743" t="str">
        <f>"1551689169458963"</f>
        <v>1551689169458963</v>
      </c>
      <c r="C743" t="s">
        <v>40</v>
      </c>
      <c r="D743">
        <v>4.2732869999999998</v>
      </c>
      <c r="E743">
        <v>0.56178470000000003</v>
      </c>
      <c r="F743" t="s">
        <v>42</v>
      </c>
      <c r="G743">
        <v>-240.7236</v>
      </c>
      <c r="H743" s="1">
        <v>-5.0473540000000002E-6</v>
      </c>
      <c r="I743">
        <v>365.77249999999998</v>
      </c>
      <c r="J743">
        <v>-257.69139999999999</v>
      </c>
      <c r="K743">
        <v>1.110465</v>
      </c>
      <c r="L743">
        <v>367.82549999999998</v>
      </c>
      <c r="M743">
        <v>0.99988739999999998</v>
      </c>
      <c r="N743">
        <v>-1.4460870000000001E-2</v>
      </c>
      <c r="O743">
        <v>4.0235720000000004E-3</v>
      </c>
      <c r="P743">
        <v>0.95490350000000002</v>
      </c>
      <c r="Q743">
        <v>0.29690369999999999</v>
      </c>
      <c r="R743">
        <v>2.7812869999999999E-3</v>
      </c>
      <c r="S743">
        <v>3.2070470000000002</v>
      </c>
      <c r="T743">
        <v>-0.2072502</v>
      </c>
      <c r="U743">
        <v>-0.38302609999999998</v>
      </c>
      <c r="V743">
        <v>1.298228E-3</v>
      </c>
      <c r="W743">
        <v>0.31068079999999998</v>
      </c>
      <c r="X743">
        <v>0.95051339999999995</v>
      </c>
      <c r="Y743">
        <v>0.122271</v>
      </c>
      <c r="Z743">
        <v>-5.0220129999999997E-3</v>
      </c>
      <c r="AA743">
        <v>0.99248400000000003</v>
      </c>
      <c r="AB743">
        <v>33</v>
      </c>
      <c r="AC743">
        <v>16.967799999999901</v>
      </c>
      <c r="AD743">
        <v>-1.1104700473539999</v>
      </c>
      <c r="AE743">
        <v>-2.0529999999999902</v>
      </c>
      <c r="AF743">
        <v>2.11234474270133</v>
      </c>
      <c r="AG743">
        <v>-1.1104700473539999</v>
      </c>
      <c r="AH743">
        <v>16.8881108243482</v>
      </c>
      <c r="AI743">
        <v>93.733037627131395</v>
      </c>
      <c r="AJ743">
        <v>82.870537891072601</v>
      </c>
      <c r="AK743">
        <v>17.055891394282401</v>
      </c>
      <c r="AL743">
        <v>71.899736264667197</v>
      </c>
      <c r="AM743">
        <v>89.921744460422104</v>
      </c>
      <c r="AN743">
        <v>0.99999998423206904</v>
      </c>
    </row>
    <row r="744" spans="1:40" x14ac:dyDescent="0.25">
      <c r="A744" t="str">
        <f>"20190304164609489"</f>
        <v>20190304164609489</v>
      </c>
      <c r="B744" t="str">
        <f>"1551689169478484"</f>
        <v>1551689169478484</v>
      </c>
      <c r="C744" t="s">
        <v>40</v>
      </c>
      <c r="D744">
        <v>4.4991820000000002</v>
      </c>
      <c r="E744">
        <v>0.56170169999999997</v>
      </c>
      <c r="F744" t="s">
        <v>42</v>
      </c>
      <c r="G744">
        <v>-240.47210000000001</v>
      </c>
      <c r="H744" s="1">
        <v>-5.1663589999999997E-6</v>
      </c>
      <c r="I744">
        <v>365.77179999999998</v>
      </c>
      <c r="J744">
        <v>-257.41609999999997</v>
      </c>
      <c r="K744">
        <v>1.1104670000000001</v>
      </c>
      <c r="L744">
        <v>367.8263</v>
      </c>
      <c r="M744">
        <v>0.99988869999999996</v>
      </c>
      <c r="N744">
        <v>-1.4458550000000001E-2</v>
      </c>
      <c r="O744">
        <v>3.7315289999999999E-3</v>
      </c>
      <c r="P744">
        <v>0.9548643</v>
      </c>
      <c r="Q744">
        <v>0.2970237</v>
      </c>
      <c r="R744">
        <v>3.371757E-3</v>
      </c>
      <c r="S744">
        <v>3.2071079999999998</v>
      </c>
      <c r="T744">
        <v>-0.2068256</v>
      </c>
      <c r="U744">
        <v>-0.38250729999999999</v>
      </c>
      <c r="V744">
        <v>4.2941239999999997E-4</v>
      </c>
      <c r="W744">
        <v>0.31079869999999998</v>
      </c>
      <c r="X744">
        <v>0.95047570000000003</v>
      </c>
      <c r="Y744">
        <v>0.1218233</v>
      </c>
      <c r="Z744">
        <v>-4.981086E-3</v>
      </c>
      <c r="AA744">
        <v>0.99253930000000001</v>
      </c>
      <c r="AB744">
        <v>33</v>
      </c>
      <c r="AC744">
        <v>16.9439999999999</v>
      </c>
      <c r="AD744">
        <v>-1.110472166359</v>
      </c>
      <c r="AE744">
        <v>-2.0545000000000102</v>
      </c>
      <c r="AF744">
        <v>2.10879286732925</v>
      </c>
      <c r="AG744">
        <v>-1.110472166359</v>
      </c>
      <c r="AH744">
        <v>16.8648265256871</v>
      </c>
      <c r="AI744">
        <v>93.738201532217403</v>
      </c>
      <c r="AJ744">
        <v>82.872677052797101</v>
      </c>
      <c r="AK744">
        <v>17.0323964705814</v>
      </c>
      <c r="AL744">
        <v>71.892630235689097</v>
      </c>
      <c r="AM744">
        <v>89.974114523373203</v>
      </c>
      <c r="AN744">
        <v>1.0000000363035899</v>
      </c>
    </row>
    <row r="745" spans="1:40" x14ac:dyDescent="0.25">
      <c r="A745" t="str">
        <f>"20190304164609511"</f>
        <v>20190304164609511</v>
      </c>
      <c r="B745" t="str">
        <f>"1551689169498979"</f>
        <v>1551689169498979</v>
      </c>
      <c r="C745" t="s">
        <v>40</v>
      </c>
      <c r="D745">
        <v>4.502631</v>
      </c>
      <c r="E745">
        <v>0.56162999999999996</v>
      </c>
      <c r="F745" t="s">
        <v>42</v>
      </c>
      <c r="G745">
        <v>-240.27690000000001</v>
      </c>
      <c r="H745" s="1">
        <v>-5.2533420000000001E-6</v>
      </c>
      <c r="I745">
        <v>365.80160000000001</v>
      </c>
      <c r="J745">
        <v>-257.09949999999998</v>
      </c>
      <c r="K745">
        <v>1.1104719999999999</v>
      </c>
      <c r="L745">
        <v>367.82709999999997</v>
      </c>
      <c r="M745">
        <v>0.9998899</v>
      </c>
      <c r="N745">
        <v>-1.4455809999999999E-2</v>
      </c>
      <c r="O745">
        <v>3.3965219999999999E-3</v>
      </c>
      <c r="P745">
        <v>0.95480779999999998</v>
      </c>
      <c r="Q745">
        <v>0.29720360000000001</v>
      </c>
      <c r="R745">
        <v>3.5423709999999999E-3</v>
      </c>
      <c r="S745">
        <v>3.2077939999999998</v>
      </c>
      <c r="T745">
        <v>-0.20783689999999999</v>
      </c>
      <c r="U745">
        <v>-0.37893680000000002</v>
      </c>
      <c r="V745" s="1">
        <v>-6.1002560000000002E-5</v>
      </c>
      <c r="W745">
        <v>0.31097540000000001</v>
      </c>
      <c r="X745">
        <v>0.95041790000000004</v>
      </c>
      <c r="Y745">
        <v>0.1203776</v>
      </c>
      <c r="Z745">
        <v>-4.9266010000000001E-3</v>
      </c>
      <c r="AA745">
        <v>0.99271600000000004</v>
      </c>
      <c r="AB745">
        <v>32</v>
      </c>
      <c r="AC745">
        <v>16.822599999999898</v>
      </c>
      <c r="AD745">
        <v>-1.110477253342</v>
      </c>
      <c r="AE745">
        <v>-2.0254999999999601</v>
      </c>
      <c r="AF745">
        <v>2.0737255627695701</v>
      </c>
      <c r="AG745">
        <v>-1.110477253342</v>
      </c>
      <c r="AH745">
        <v>16.743705184026499</v>
      </c>
      <c r="AI745">
        <v>93.765730256828704</v>
      </c>
      <c r="AJ745">
        <v>82.939809687718807</v>
      </c>
      <c r="AK745">
        <v>16.9081388901756</v>
      </c>
      <c r="AL745">
        <v>71.881976499026294</v>
      </c>
      <c r="AM745">
        <v>90.003677528824596</v>
      </c>
      <c r="AN745">
        <v>0.99999994388343905</v>
      </c>
    </row>
    <row r="746" spans="1:40" x14ac:dyDescent="0.25">
      <c r="A746" t="str">
        <f>"20190304164609526"</f>
        <v>20190304164609526</v>
      </c>
      <c r="B746" t="str">
        <f>"1551689169518500"</f>
        <v>1551689169518500</v>
      </c>
      <c r="C746" t="s">
        <v>40</v>
      </c>
      <c r="D746">
        <v>4.32247</v>
      </c>
      <c r="E746">
        <v>0.56153199999999903</v>
      </c>
      <c r="F746" t="s">
        <v>42</v>
      </c>
      <c r="G746">
        <v>-240.05250000000001</v>
      </c>
      <c r="H746" s="1">
        <v>-5.355501E-6</v>
      </c>
      <c r="I746">
        <v>365.8236</v>
      </c>
      <c r="J746">
        <v>-256.87610000000001</v>
      </c>
      <c r="K746">
        <v>1.110471</v>
      </c>
      <c r="L746">
        <v>367.82760000000002</v>
      </c>
      <c r="M746">
        <v>0.99989059999999996</v>
      </c>
      <c r="N746">
        <v>-1.4453830000000001E-2</v>
      </c>
      <c r="O746">
        <v>3.1602169999999999E-3</v>
      </c>
      <c r="P746">
        <v>0.95464450000000001</v>
      </c>
      <c r="Q746">
        <v>0.29772690000000002</v>
      </c>
      <c r="R746">
        <v>3.567237E-3</v>
      </c>
      <c r="S746">
        <v>3.20845</v>
      </c>
      <c r="T746">
        <v>-0.20900450000000001</v>
      </c>
      <c r="U746">
        <v>-0.3770752</v>
      </c>
      <c r="V746">
        <v>-3.1112130000000003E-4</v>
      </c>
      <c r="W746">
        <v>0.31149470000000001</v>
      </c>
      <c r="X746">
        <v>0.95024779999999998</v>
      </c>
      <c r="Y746">
        <v>0.1195505</v>
      </c>
      <c r="Z746">
        <v>-4.9040150000000003E-3</v>
      </c>
      <c r="AA746">
        <v>0.99281600000000003</v>
      </c>
      <c r="AB746">
        <v>32</v>
      </c>
      <c r="AC746">
        <v>16.823599999999999</v>
      </c>
      <c r="AD746">
        <v>-1.110476355501</v>
      </c>
      <c r="AE746">
        <v>-2.0040000000000102</v>
      </c>
      <c r="AF746">
        <v>2.0483620560811202</v>
      </c>
      <c r="AG746">
        <v>-1.110476355501</v>
      </c>
      <c r="AH746">
        <v>16.745245076544499</v>
      </c>
      <c r="AI746">
        <v>93.766076711588497</v>
      </c>
      <c r="AJ746">
        <v>83.025941431810693</v>
      </c>
      <c r="AK746">
        <v>16.9065720216269</v>
      </c>
      <c r="AL746">
        <v>71.850668149640398</v>
      </c>
      <c r="AM746">
        <v>90.018759250765598</v>
      </c>
      <c r="AN746">
        <v>0.99999996316469597</v>
      </c>
    </row>
    <row r="747" spans="1:40" x14ac:dyDescent="0.25">
      <c r="A747" t="str">
        <f>"20190304164609540"</f>
        <v>20190304164609540</v>
      </c>
      <c r="B747" t="str">
        <f>"1551689169528260"</f>
        <v>1551689169528260</v>
      </c>
      <c r="C747" t="s">
        <v>40</v>
      </c>
      <c r="D747">
        <v>4.365151</v>
      </c>
      <c r="E747">
        <v>0.56151200000000001</v>
      </c>
      <c r="F747" t="s">
        <v>42</v>
      </c>
      <c r="G747">
        <v>-239.82390000000001</v>
      </c>
      <c r="H747" s="1">
        <v>-1.053256E-6</v>
      </c>
      <c r="I747">
        <v>365.83069999999998</v>
      </c>
      <c r="J747">
        <v>-256.66660000000002</v>
      </c>
      <c r="K747">
        <v>1.110473</v>
      </c>
      <c r="L747">
        <v>367.82810000000001</v>
      </c>
      <c r="M747">
        <v>0.99989139999999999</v>
      </c>
      <c r="N747">
        <v>-1.445196E-2</v>
      </c>
      <c r="O747">
        <v>2.9387530000000001E-3</v>
      </c>
      <c r="P747">
        <v>0.95457789999999998</v>
      </c>
      <c r="Q747">
        <v>0.29794229999999999</v>
      </c>
      <c r="R747">
        <v>3.3946599999999999E-3</v>
      </c>
      <c r="S747">
        <v>3.2091059999999998</v>
      </c>
      <c r="T747">
        <v>-0.20898269999999999</v>
      </c>
      <c r="U747">
        <v>-0.3757935</v>
      </c>
      <c r="V747">
        <v>-3.500674E-4</v>
      </c>
      <c r="W747">
        <v>0.31170720000000002</v>
      </c>
      <c r="X747">
        <v>0.95017810000000003</v>
      </c>
      <c r="Y747">
        <v>0.118918</v>
      </c>
      <c r="Z747">
        <v>-4.8664590000000001E-3</v>
      </c>
      <c r="AA747">
        <v>0.99289210000000006</v>
      </c>
      <c r="AB747">
        <v>32</v>
      </c>
      <c r="AC747">
        <v>16.842700000000001</v>
      </c>
      <c r="AD747">
        <v>-1.110474053256</v>
      </c>
      <c r="AE747">
        <v>-1.99740000000002</v>
      </c>
      <c r="AF747">
        <v>2.0381560068787201</v>
      </c>
      <c r="AG747">
        <v>-1.110474053256</v>
      </c>
      <c r="AH747">
        <v>16.7648899007438</v>
      </c>
      <c r="AI747">
        <v>93.762007587329705</v>
      </c>
      <c r="AJ747">
        <v>83.068402899283498</v>
      </c>
      <c r="AK747">
        <v>16.924797367040799</v>
      </c>
      <c r="AL747">
        <v>71.837854828295605</v>
      </c>
      <c r="AM747">
        <v>90.021109078032396</v>
      </c>
      <c r="AN747">
        <v>0.99999996139931602</v>
      </c>
    </row>
    <row r="748" spans="1:40" x14ac:dyDescent="0.25">
      <c r="A748" t="str">
        <f>"20190304164609556"</f>
        <v>20190304164609556</v>
      </c>
      <c r="B748" t="str">
        <f>"1551689169548756"</f>
        <v>1551689169548756</v>
      </c>
      <c r="C748" t="s">
        <v>40</v>
      </c>
      <c r="D748">
        <v>4.3777499999999998</v>
      </c>
      <c r="E748">
        <v>0.56148240000000005</v>
      </c>
      <c r="F748" t="s">
        <v>42</v>
      </c>
      <c r="G748">
        <v>-239.5522</v>
      </c>
      <c r="H748" s="1">
        <v>-1.148489E-6</v>
      </c>
      <c r="I748">
        <v>365.82029999999997</v>
      </c>
      <c r="J748">
        <v>-256.43869999999998</v>
      </c>
      <c r="K748">
        <v>1.1104719999999999</v>
      </c>
      <c r="L748">
        <v>367.82850000000002</v>
      </c>
      <c r="M748">
        <v>0.999892</v>
      </c>
      <c r="N748">
        <v>-1.44499E-2</v>
      </c>
      <c r="O748">
        <v>2.697863E-3</v>
      </c>
      <c r="P748">
        <v>0.95454799999999995</v>
      </c>
      <c r="Q748">
        <v>0.29804029999999998</v>
      </c>
      <c r="R748">
        <v>3.2422649999999998E-3</v>
      </c>
      <c r="S748">
        <v>3.209076</v>
      </c>
      <c r="T748">
        <v>-0.20822199999999999</v>
      </c>
      <c r="U748">
        <v>-0.37646479999999999</v>
      </c>
      <c r="V748">
        <v>-4.2798000000000001E-4</v>
      </c>
      <c r="W748">
        <v>0.31180289999999999</v>
      </c>
      <c r="X748">
        <v>0.95014670000000001</v>
      </c>
      <c r="Y748">
        <v>0.1188872</v>
      </c>
      <c r="Z748">
        <v>-4.8383289999999997E-3</v>
      </c>
      <c r="AA748">
        <v>0.992896</v>
      </c>
      <c r="AB748">
        <v>32</v>
      </c>
      <c r="AC748">
        <v>16.886499999999899</v>
      </c>
      <c r="AD748">
        <v>-1.11047314848899</v>
      </c>
      <c r="AE748">
        <v>-2.00820000000004</v>
      </c>
      <c r="AF748">
        <v>2.0450344692423501</v>
      </c>
      <c r="AG748">
        <v>-1.11047314848899</v>
      </c>
      <c r="AH748">
        <v>16.8093416966666</v>
      </c>
      <c r="AI748">
        <v>93.752045152494603</v>
      </c>
      <c r="AJ748">
        <v>83.063450792615001</v>
      </c>
      <c r="AK748">
        <v>16.9696577711278</v>
      </c>
      <c r="AL748">
        <v>71.832084586546898</v>
      </c>
      <c r="AM748">
        <v>90.0258080631734</v>
      </c>
      <c r="AN748">
        <v>0.99999999156809005</v>
      </c>
    </row>
    <row r="749" spans="1:40" x14ac:dyDescent="0.25">
      <c r="A749" t="str">
        <f>"20190304164609578"</f>
        <v>20190304164609578</v>
      </c>
      <c r="B749" t="str">
        <f>"1551689169568782"</f>
        <v>1551689169568782</v>
      </c>
      <c r="C749" t="s">
        <v>40</v>
      </c>
      <c r="D749">
        <v>4.3553699999999997</v>
      </c>
      <c r="E749">
        <v>0.56142460000000005</v>
      </c>
      <c r="F749" t="s">
        <v>41</v>
      </c>
      <c r="G749">
        <v>-255.44880000000001</v>
      </c>
      <c r="H749">
        <v>1.0460640000000001</v>
      </c>
      <c r="I749">
        <v>367.7122</v>
      </c>
      <c r="J749">
        <v>-256.12759999999997</v>
      </c>
      <c r="K749">
        <v>1.1104780000000001</v>
      </c>
      <c r="L749">
        <v>367.82889999999998</v>
      </c>
      <c r="M749">
        <v>0.99989280000000003</v>
      </c>
      <c r="N749">
        <v>-1.444702E-2</v>
      </c>
      <c r="O749">
        <v>2.3694290000000002E-3</v>
      </c>
      <c r="P749">
        <v>0.95445880000000005</v>
      </c>
      <c r="Q749">
        <v>0.29832819999999999</v>
      </c>
      <c r="R749">
        <v>2.951216E-3</v>
      </c>
      <c r="S749">
        <v>3.2093959999999999</v>
      </c>
      <c r="T749">
        <v>-0.20903749999999999</v>
      </c>
      <c r="U749">
        <v>-0.37640380000000001</v>
      </c>
      <c r="V749">
        <v>-4.5104139999999998E-4</v>
      </c>
      <c r="W749">
        <v>0.3120869</v>
      </c>
      <c r="X749">
        <v>0.9500535</v>
      </c>
      <c r="Y749">
        <v>0.1185302</v>
      </c>
      <c r="Z749">
        <v>-4.8227249999999999E-3</v>
      </c>
      <c r="AA749">
        <v>0.99293880000000001</v>
      </c>
      <c r="AB749">
        <v>32</v>
      </c>
      <c r="AC749">
        <v>0.67879999999996699</v>
      </c>
      <c r="AD749">
        <v>-6.4414000000000193E-2</v>
      </c>
      <c r="AE749">
        <v>-0.11669999999998</v>
      </c>
      <c r="AF749">
        <v>0.117282416340527</v>
      </c>
      <c r="AG749">
        <v>-6.4414000000000193E-2</v>
      </c>
      <c r="AH749">
        <v>0.67263842602836299</v>
      </c>
      <c r="AI749">
        <v>95.389325445999006</v>
      </c>
      <c r="AJ749">
        <v>80.1092404483325</v>
      </c>
      <c r="AK749">
        <v>0.68581832925971498</v>
      </c>
      <c r="AL749">
        <v>71.814958970605403</v>
      </c>
      <c r="AM749">
        <v>90.027201380410702</v>
      </c>
      <c r="AN749">
        <v>1.0000000447260999</v>
      </c>
    </row>
    <row r="750" spans="1:40" x14ac:dyDescent="0.25">
      <c r="A750" t="str">
        <f>"20190304164609601"</f>
        <v>20190304164609601</v>
      </c>
      <c r="B750" t="str">
        <f>"1551689169588302"</f>
        <v>1551689169588302</v>
      </c>
      <c r="C750" t="s">
        <v>40</v>
      </c>
      <c r="D750">
        <v>4.6624100000000004</v>
      </c>
      <c r="E750">
        <v>0.56142309999999995</v>
      </c>
      <c r="F750" t="s">
        <v>41</v>
      </c>
      <c r="G750">
        <v>-255.15020000000001</v>
      </c>
      <c r="H750">
        <v>1.0472030000000001</v>
      </c>
      <c r="I750">
        <v>367.714</v>
      </c>
      <c r="J750">
        <v>-255.79669999999999</v>
      </c>
      <c r="K750">
        <v>1.1104799999999999</v>
      </c>
      <c r="L750">
        <v>367.82940000000002</v>
      </c>
      <c r="M750">
        <v>0.99989380000000005</v>
      </c>
      <c r="N750">
        <v>-1.4443900000000001E-2</v>
      </c>
      <c r="O750">
        <v>2.0195429999999999E-3</v>
      </c>
      <c r="P750">
        <v>0.95435890000000001</v>
      </c>
      <c r="Q750">
        <v>0.29864960000000002</v>
      </c>
      <c r="R750">
        <v>2.7853399999999999E-3</v>
      </c>
      <c r="S750">
        <v>3.2093660000000002</v>
      </c>
      <c r="T750">
        <v>-0.20813880000000001</v>
      </c>
      <c r="U750">
        <v>-0.37661739999999999</v>
      </c>
      <c r="V750">
        <v>-6.1949900000000003E-4</v>
      </c>
      <c r="W750">
        <v>0.31240400000000002</v>
      </c>
      <c r="X750">
        <v>0.94994909999999999</v>
      </c>
      <c r="Y750">
        <v>0.1182526</v>
      </c>
      <c r="Z750">
        <v>-4.776883E-3</v>
      </c>
      <c r="AA750">
        <v>0.99297210000000002</v>
      </c>
      <c r="AB750">
        <v>32</v>
      </c>
      <c r="AC750">
        <v>0.64649999999997398</v>
      </c>
      <c r="AD750">
        <v>-6.3276999999999806E-2</v>
      </c>
      <c r="AE750">
        <v>-0.115400000000022</v>
      </c>
      <c r="AF750">
        <v>0.115632012749251</v>
      </c>
      <c r="AG750">
        <v>-6.3276999999999806E-2</v>
      </c>
      <c r="AH750">
        <v>0.64032089131124303</v>
      </c>
      <c r="AI750">
        <v>95.554424108308396</v>
      </c>
      <c r="AJ750">
        <v>79.763592528783803</v>
      </c>
      <c r="AK750">
        <v>0.65374734030133397</v>
      </c>
      <c r="AL750">
        <v>71.795832823177307</v>
      </c>
      <c r="AM750">
        <v>90.037364815736694</v>
      </c>
      <c r="AN750">
        <v>0.99999996779290901</v>
      </c>
    </row>
    <row r="751" spans="1:40" x14ac:dyDescent="0.25">
      <c r="A751" t="str">
        <f>"20190304164609624"</f>
        <v>20190304164609624</v>
      </c>
      <c r="B751" t="str">
        <f>"1551689169618558"</f>
        <v>1551689169618558</v>
      </c>
      <c r="C751" t="s">
        <v>40</v>
      </c>
      <c r="D751">
        <v>4.3553759999999997</v>
      </c>
      <c r="E751">
        <v>0.56126529999999997</v>
      </c>
      <c r="F751" t="s">
        <v>42</v>
      </c>
      <c r="G751">
        <v>-238.52869999999999</v>
      </c>
      <c r="H751" s="1">
        <v>-1.5037699999999999E-6</v>
      </c>
      <c r="I751">
        <v>365.79410000000001</v>
      </c>
      <c r="J751">
        <v>-255.47380000000001</v>
      </c>
      <c r="K751">
        <v>1.110482</v>
      </c>
      <c r="L751">
        <v>367.8297</v>
      </c>
      <c r="M751">
        <v>0.99989430000000001</v>
      </c>
      <c r="N751">
        <v>-1.44407999999999E-2</v>
      </c>
      <c r="O751">
        <v>1.6783589999999999E-3</v>
      </c>
      <c r="P751">
        <v>0.95441710000000002</v>
      </c>
      <c r="Q751">
        <v>0.29846820000000002</v>
      </c>
      <c r="R751">
        <v>2.2291239999999999E-3</v>
      </c>
      <c r="S751">
        <v>3.2091370000000001</v>
      </c>
      <c r="T751">
        <v>-0.2063749</v>
      </c>
      <c r="U751">
        <v>-0.37823489999999999</v>
      </c>
      <c r="V751">
        <v>-3.8986650000000001E-4</v>
      </c>
      <c r="W751">
        <v>0.31222050000000001</v>
      </c>
      <c r="X751">
        <v>0.95000960000000001</v>
      </c>
      <c r="Y751">
        <v>0.11842030000000001</v>
      </c>
      <c r="Z751">
        <v>-4.7331309999999998E-3</v>
      </c>
      <c r="AA751">
        <v>0.99295230000000001</v>
      </c>
      <c r="AB751">
        <v>32</v>
      </c>
      <c r="AC751">
        <v>16.9451</v>
      </c>
      <c r="AD751">
        <v>-1.11048350377</v>
      </c>
      <c r="AE751">
        <v>-2.0355999999999801</v>
      </c>
      <c r="AF751">
        <v>2.0553385063193099</v>
      </c>
      <c r="AG751">
        <v>-1.11048350377</v>
      </c>
      <c r="AH751">
        <v>16.870236875794301</v>
      </c>
      <c r="AI751">
        <v>93.738498168586801</v>
      </c>
      <c r="AJ751">
        <v>83.053760562458507</v>
      </c>
      <c r="AK751">
        <v>17.0312208086536</v>
      </c>
      <c r="AL751">
        <v>71.806901108935904</v>
      </c>
      <c r="AM751">
        <v>90.023513134782604</v>
      </c>
      <c r="AN751">
        <v>1.00000001635414</v>
      </c>
    </row>
    <row r="752" spans="1:40" x14ac:dyDescent="0.25">
      <c r="A752" t="str">
        <f>"20190304164609646"</f>
        <v>20190304164609646</v>
      </c>
      <c r="B752" t="str">
        <f>"1551689169639055"</f>
        <v>1551689169639055</v>
      </c>
      <c r="C752" t="s">
        <v>40</v>
      </c>
      <c r="D752">
        <v>4.4123769999999896</v>
      </c>
      <c r="E752">
        <v>0.54723690000000003</v>
      </c>
      <c r="F752" t="s">
        <v>42</v>
      </c>
      <c r="G752">
        <v>-238.17099999999999</v>
      </c>
      <c r="H752" s="1">
        <v>-1.6283609999999999E-6</v>
      </c>
      <c r="I752">
        <v>365.78339999999997</v>
      </c>
      <c r="J752">
        <v>-255.142</v>
      </c>
      <c r="K752">
        <v>1.1104830000000001</v>
      </c>
      <c r="L752">
        <v>367.82990000000001</v>
      </c>
      <c r="M752">
        <v>0.99989499999999998</v>
      </c>
      <c r="N752">
        <v>-1.4437470000000001E-2</v>
      </c>
      <c r="O752">
        <v>1.327522E-3</v>
      </c>
      <c r="P752">
        <v>0.95439359999999995</v>
      </c>
      <c r="Q752">
        <v>0.29854920000000001</v>
      </c>
      <c r="R752">
        <v>1.2268649999999999E-3</v>
      </c>
      <c r="S752">
        <v>3.2085720000000002</v>
      </c>
      <c r="T752">
        <v>-0.20592340000000001</v>
      </c>
      <c r="U752">
        <v>-0.3794556</v>
      </c>
      <c r="V752">
        <v>2.7744469999999998E-4</v>
      </c>
      <c r="W752">
        <v>0.31229699999999999</v>
      </c>
      <c r="X752">
        <v>0.94998450000000001</v>
      </c>
      <c r="Y752">
        <v>0.11846619999999999</v>
      </c>
      <c r="Z752">
        <v>-4.7094650000000004E-3</v>
      </c>
      <c r="AA752">
        <v>0.99294689999999997</v>
      </c>
      <c r="AB752">
        <v>32</v>
      </c>
      <c r="AC752">
        <v>16.971</v>
      </c>
      <c r="AD752">
        <v>-1.1104846283609999</v>
      </c>
      <c r="AE752">
        <v>-2.0465000000000302</v>
      </c>
      <c r="AF752">
        <v>2.0603347454390502</v>
      </c>
      <c r="AG752">
        <v>-1.1104846283609999</v>
      </c>
      <c r="AH752">
        <v>16.896958228882401</v>
      </c>
      <c r="AI752">
        <v>93.732560440922597</v>
      </c>
      <c r="AJ752">
        <v>83.047944379622905</v>
      </c>
      <c r="AK752">
        <v>17.058292785671298</v>
      </c>
      <c r="AL752">
        <v>71.802287377780402</v>
      </c>
      <c r="AM752">
        <v>89.983266663923104</v>
      </c>
      <c r="AN752">
        <v>1.0000000217124001</v>
      </c>
    </row>
    <row r="753" spans="1:40" x14ac:dyDescent="0.25">
      <c r="A753" t="str">
        <f>"20190304164609668"</f>
        <v>20190304164609668</v>
      </c>
      <c r="B753" t="str">
        <f>"1551689169658575"</f>
        <v>1551689169658575</v>
      </c>
      <c r="C753" t="s">
        <v>40</v>
      </c>
      <c r="D753">
        <v>4.426545</v>
      </c>
      <c r="E753">
        <v>0.54794169999999998</v>
      </c>
      <c r="F753" t="s">
        <v>42</v>
      </c>
      <c r="G753">
        <v>-238.32060000000001</v>
      </c>
      <c r="H753" s="1">
        <v>-1.408624E-6</v>
      </c>
      <c r="I753">
        <v>366.41789999999997</v>
      </c>
      <c r="J753">
        <v>-254.84129999999999</v>
      </c>
      <c r="K753">
        <v>1.1104849999999999</v>
      </c>
      <c r="L753">
        <v>367.82990000000001</v>
      </c>
      <c r="M753">
        <v>0.99989530000000004</v>
      </c>
      <c r="N753">
        <v>-1.443441E-2</v>
      </c>
      <c r="O753">
        <v>1.0112020000000001E-3</v>
      </c>
      <c r="P753">
        <v>0.95440919999999896</v>
      </c>
      <c r="Q753">
        <v>0.29850169999999998</v>
      </c>
      <c r="R753" s="1">
        <v>-2.9761339999999999E-5</v>
      </c>
      <c r="S753">
        <v>3.2100070000000001</v>
      </c>
      <c r="T753">
        <v>-0.21191119999999999</v>
      </c>
      <c r="U753">
        <v>-0.2694397</v>
      </c>
      <c r="V753">
        <v>1.2311850000000001E-3</v>
      </c>
      <c r="W753">
        <v>0.31224580000000002</v>
      </c>
      <c r="X753">
        <v>0.95000050000000003</v>
      </c>
      <c r="Y753">
        <v>8.4426979999999999E-2</v>
      </c>
      <c r="Z753">
        <v>-3.4420980000000002E-3</v>
      </c>
      <c r="AA753">
        <v>0.99642370000000002</v>
      </c>
      <c r="AB753">
        <v>32</v>
      </c>
      <c r="AC753">
        <v>16.520699999999898</v>
      </c>
      <c r="AD753">
        <v>-1.1104864086240001</v>
      </c>
      <c r="AE753">
        <v>-1.4120000000000299</v>
      </c>
      <c r="AF753">
        <v>1.42232696810604</v>
      </c>
      <c r="AG753">
        <v>-1.1104864086240001</v>
      </c>
      <c r="AH753">
        <v>16.445497677837299</v>
      </c>
      <c r="AI753">
        <v>93.848723699445699</v>
      </c>
      <c r="AJ753">
        <v>85.056942059372105</v>
      </c>
      <c r="AK753">
        <v>16.544201036607699</v>
      </c>
      <c r="AL753">
        <v>71.805374042323294</v>
      </c>
      <c r="AM753">
        <v>89.925745655074294</v>
      </c>
      <c r="AN753">
        <v>0.99999995271719599</v>
      </c>
    </row>
    <row r="754" spans="1:40" x14ac:dyDescent="0.25">
      <c r="A754" t="str">
        <f>"20190304164609689"</f>
        <v>20190304164609689</v>
      </c>
      <c r="B754" t="str">
        <f>"1551689169678094"</f>
        <v>1551689169678094</v>
      </c>
      <c r="C754" t="s">
        <v>40</v>
      </c>
      <c r="D754">
        <v>4.4289329999999998</v>
      </c>
      <c r="E754">
        <v>0.54779580000000005</v>
      </c>
      <c r="F754" t="s">
        <v>42</v>
      </c>
      <c r="G754">
        <v>-237.86439999999999</v>
      </c>
      <c r="H754" s="1">
        <v>-1.5798519999999901E-6</v>
      </c>
      <c r="I754">
        <v>366.3578</v>
      </c>
      <c r="J754">
        <v>-254.5248</v>
      </c>
      <c r="K754">
        <v>1.110479</v>
      </c>
      <c r="L754">
        <v>367.82990000000001</v>
      </c>
      <c r="M754">
        <v>0.9998956</v>
      </c>
      <c r="N754">
        <v>-1.443114E-2</v>
      </c>
      <c r="O754">
        <v>6.8114119999999998E-4</v>
      </c>
      <c r="P754">
        <v>0.95443319999999998</v>
      </c>
      <c r="Q754">
        <v>0.29842249999999998</v>
      </c>
      <c r="R754">
        <v>-1.018871E-3</v>
      </c>
      <c r="S754">
        <v>3.2089539999999999</v>
      </c>
      <c r="T754">
        <v>-0.2099018</v>
      </c>
      <c r="U754">
        <v>-0.27825929999999999</v>
      </c>
      <c r="V754">
        <v>1.903418E-3</v>
      </c>
      <c r="W754">
        <v>0.31216349999999998</v>
      </c>
      <c r="X754">
        <v>0.9500265</v>
      </c>
      <c r="Y754">
        <v>8.6841799999999997E-2</v>
      </c>
      <c r="Z754">
        <v>-3.4951409999999998E-3</v>
      </c>
      <c r="AA754">
        <v>0.99621599999999999</v>
      </c>
      <c r="AB754">
        <v>32</v>
      </c>
      <c r="AC754">
        <v>16.660399999999999</v>
      </c>
      <c r="AD754">
        <v>-1.1104805798520001</v>
      </c>
      <c r="AE754">
        <v>-1.47210000000001</v>
      </c>
      <c r="AF754">
        <v>1.4769381029484701</v>
      </c>
      <c r="AG754">
        <v>-1.1104805798520001</v>
      </c>
      <c r="AH754">
        <v>16.5862756351057</v>
      </c>
      <c r="AI754">
        <v>93.815286418960397</v>
      </c>
      <c r="AJ754">
        <v>84.911472671202404</v>
      </c>
      <c r="AK754">
        <v>16.6888900985617</v>
      </c>
      <c r="AL754">
        <v>71.810338708904894</v>
      </c>
      <c r="AM754">
        <v>89.885205652554205</v>
      </c>
      <c r="AN754">
        <v>1.0000000122172901</v>
      </c>
    </row>
    <row r="755" spans="1:40" x14ac:dyDescent="0.25">
      <c r="A755" t="str">
        <f>"20190304164609706"</f>
        <v>20190304164609706</v>
      </c>
      <c r="B755" t="str">
        <f>"1551689169698590"</f>
        <v>1551689169698590</v>
      </c>
      <c r="C755" t="s">
        <v>40</v>
      </c>
      <c r="D755">
        <v>4.4441769999999998</v>
      </c>
      <c r="E755">
        <v>0.54811969999999899</v>
      </c>
      <c r="F755" t="s">
        <v>42</v>
      </c>
      <c r="G755">
        <v>-237.21469999999999</v>
      </c>
      <c r="H755" s="1">
        <v>-1.8130339999999999E-6</v>
      </c>
      <c r="I755">
        <v>366.31240000000003</v>
      </c>
      <c r="J755">
        <v>-254.28790000000001</v>
      </c>
      <c r="K755">
        <v>1.1104830000000001</v>
      </c>
      <c r="L755">
        <v>367.8297</v>
      </c>
      <c r="M755">
        <v>0.99989589999999995</v>
      </c>
      <c r="N755">
        <v>-1.4428659999999999E-2</v>
      </c>
      <c r="O755">
        <v>4.3684570000000002E-4</v>
      </c>
      <c r="P755">
        <v>0.95441390000000004</v>
      </c>
      <c r="Q755">
        <v>0.29848530000000001</v>
      </c>
      <c r="R755">
        <v>-9.4125790000000001E-4</v>
      </c>
      <c r="S755">
        <v>3.2072750000000001</v>
      </c>
      <c r="T755">
        <v>-0.2057525</v>
      </c>
      <c r="U755">
        <v>-0.28115839999999998</v>
      </c>
      <c r="V755">
        <v>1.5903600000000001E-3</v>
      </c>
      <c r="W755">
        <v>0.31222369999999999</v>
      </c>
      <c r="X755">
        <v>0.9500073</v>
      </c>
      <c r="Y755">
        <v>8.7543399999999993E-2</v>
      </c>
      <c r="Z755">
        <v>-3.455053E-3</v>
      </c>
      <c r="AA755">
        <v>0.99615469999999895</v>
      </c>
      <c r="AB755">
        <v>32</v>
      </c>
      <c r="AC755">
        <v>17.0732</v>
      </c>
      <c r="AD755">
        <v>-1.1104848130339999</v>
      </c>
      <c r="AE755">
        <v>-1.5172999999999699</v>
      </c>
      <c r="AF755">
        <v>1.5183857349788901</v>
      </c>
      <c r="AG755">
        <v>-1.1104848130339999</v>
      </c>
      <c r="AH755">
        <v>17.001174993217099</v>
      </c>
      <c r="AI755">
        <v>93.722369783824107</v>
      </c>
      <c r="AJ755">
        <v>84.896418189772106</v>
      </c>
      <c r="AK755">
        <v>17.104929783841801</v>
      </c>
      <c r="AL755">
        <v>71.806708165625494</v>
      </c>
      <c r="AM755">
        <v>89.904084073052701</v>
      </c>
      <c r="AN755">
        <v>1.0000000190699501</v>
      </c>
    </row>
    <row r="756" spans="1:40" x14ac:dyDescent="0.25">
      <c r="A756" t="str">
        <f>"20190304164609723"</f>
        <v>20190304164609723</v>
      </c>
      <c r="B756" t="str">
        <f>"1551689169718110"</f>
        <v>1551689169718110</v>
      </c>
      <c r="C756" t="s">
        <v>40</v>
      </c>
      <c r="D756">
        <v>4.435187</v>
      </c>
      <c r="E756">
        <v>0.54827219999999999</v>
      </c>
      <c r="F756" t="s">
        <v>42</v>
      </c>
      <c r="G756">
        <v>-237.13339999999999</v>
      </c>
      <c r="H756" s="1">
        <v>-1.841251E-6</v>
      </c>
      <c r="I756">
        <v>366.31040000000002</v>
      </c>
      <c r="J756">
        <v>-254.0394</v>
      </c>
      <c r="K756">
        <v>1.1105</v>
      </c>
      <c r="L756">
        <v>367.82960000000003</v>
      </c>
      <c r="M756">
        <v>0.99989600000000001</v>
      </c>
      <c r="N756">
        <v>-1.4426039999999999E-2</v>
      </c>
      <c r="O756">
        <v>1.83623E-4</v>
      </c>
      <c r="P756">
        <v>0.95426500000000003</v>
      </c>
      <c r="Q756">
        <v>0.2989599</v>
      </c>
      <c r="R756">
        <v>-1.25245E-3</v>
      </c>
      <c r="S756">
        <v>3.2079469999999999</v>
      </c>
      <c r="T756">
        <v>-0.20766219999999999</v>
      </c>
      <c r="U756">
        <v>-0.2841187</v>
      </c>
      <c r="V756">
        <v>1.6575439999999999E-3</v>
      </c>
      <c r="W756">
        <v>0.31269390000000002</v>
      </c>
      <c r="X756">
        <v>0.94985249999999999</v>
      </c>
      <c r="Y756">
        <v>8.8180190000000006E-2</v>
      </c>
      <c r="Z756">
        <v>-3.4929169999999999E-3</v>
      </c>
      <c r="AA756">
        <v>0.99609840000000005</v>
      </c>
      <c r="AB756">
        <v>32</v>
      </c>
      <c r="AC756">
        <v>16.905999999999999</v>
      </c>
      <c r="AD756">
        <v>-1.1105018412509999</v>
      </c>
      <c r="AE756">
        <v>-1.5192000000000101</v>
      </c>
      <c r="AF756">
        <v>1.5158166310371399</v>
      </c>
      <c r="AG756">
        <v>-1.1105018412509999</v>
      </c>
      <c r="AH756">
        <v>16.833669273828399</v>
      </c>
      <c r="AI756">
        <v>93.759116055577806</v>
      </c>
      <c r="AJ756">
        <v>84.854580347951199</v>
      </c>
      <c r="AK756">
        <v>16.938221146831999</v>
      </c>
      <c r="AL756">
        <v>71.778347306613099</v>
      </c>
      <c r="AM756">
        <v>89.900015866510003</v>
      </c>
      <c r="AN756">
        <v>0.99999999715278598</v>
      </c>
    </row>
    <row r="757" spans="1:40" x14ac:dyDescent="0.25">
      <c r="A757" t="str">
        <f>"20190304164609745"</f>
        <v>20190304164609745</v>
      </c>
      <c r="B757" t="str">
        <f>"1551689169738609"</f>
        <v>1551689169738609</v>
      </c>
      <c r="C757" t="s">
        <v>40</v>
      </c>
      <c r="D757">
        <v>4.4646339999999904</v>
      </c>
      <c r="E757">
        <v>0.54848569999999996</v>
      </c>
      <c r="F757" t="s">
        <v>41</v>
      </c>
      <c r="G757">
        <v>-253.1404</v>
      </c>
      <c r="H757">
        <v>1.0525389999999999</v>
      </c>
      <c r="I757">
        <v>367.74860000000001</v>
      </c>
      <c r="J757">
        <v>-253.71979999999999</v>
      </c>
      <c r="K757">
        <v>1.1105100000000001</v>
      </c>
      <c r="L757">
        <v>367.82929999999999</v>
      </c>
      <c r="M757">
        <v>0.99989600000000001</v>
      </c>
      <c r="N757">
        <v>-1.442266E-2</v>
      </c>
      <c r="O757">
        <v>-1.380559E-4</v>
      </c>
      <c r="P757">
        <v>0.95407299999999995</v>
      </c>
      <c r="Q757">
        <v>0.2995736</v>
      </c>
      <c r="R757">
        <v>-7.8329069999999998E-4</v>
      </c>
      <c r="S757">
        <v>3.2083279999999998</v>
      </c>
      <c r="T757">
        <v>-0.20716180000000001</v>
      </c>
      <c r="U757">
        <v>-0.2884216</v>
      </c>
      <c r="V757">
        <v>8.7827909999999996E-4</v>
      </c>
      <c r="W757">
        <v>0.31330209999999997</v>
      </c>
      <c r="X757">
        <v>0.94965310000000003</v>
      </c>
      <c r="Y757">
        <v>8.9173639999999998E-2</v>
      </c>
      <c r="Z757">
        <v>-3.5085070000000001E-3</v>
      </c>
      <c r="AA757">
        <v>0.9960099</v>
      </c>
      <c r="AB757">
        <v>32</v>
      </c>
      <c r="AC757">
        <v>0.57939999999999203</v>
      </c>
      <c r="AD757">
        <v>-5.7971000000000203E-2</v>
      </c>
      <c r="AE757">
        <v>-8.06999999999789E-2</v>
      </c>
      <c r="AF757">
        <v>7.9835996123631597E-2</v>
      </c>
      <c r="AG757">
        <v>-5.7971000000000203E-2</v>
      </c>
      <c r="AH757">
        <v>0.57377653817986696</v>
      </c>
      <c r="AI757">
        <v>95.714567373116495</v>
      </c>
      <c r="AJ757">
        <v>82.078651085362495</v>
      </c>
      <c r="AK757">
        <v>0.58219750848292395</v>
      </c>
      <c r="AL757">
        <v>71.741656371615406</v>
      </c>
      <c r="AM757">
        <v>89.947010470120802</v>
      </c>
      <c r="AN757">
        <v>0.99999999378909799</v>
      </c>
    </row>
    <row r="758" spans="1:40" x14ac:dyDescent="0.25">
      <c r="A758" t="str">
        <f>"20190304164609767"</f>
        <v>20190304164609767</v>
      </c>
      <c r="B758" t="str">
        <f>"1551689169759102"</f>
        <v>1551689169759102</v>
      </c>
      <c r="C758" t="s">
        <v>40</v>
      </c>
      <c r="D758">
        <v>4.4592799999999997</v>
      </c>
      <c r="E758">
        <v>0.54862010000000005</v>
      </c>
      <c r="F758" t="s">
        <v>42</v>
      </c>
      <c r="G758">
        <v>-236.51849999999999</v>
      </c>
      <c r="H758" s="1">
        <v>-2.0669289999999998E-6</v>
      </c>
      <c r="I758">
        <v>366.28440000000001</v>
      </c>
      <c r="J758">
        <v>-253.411</v>
      </c>
      <c r="K758">
        <v>1.1105149999999999</v>
      </c>
      <c r="L758">
        <v>367.82900000000001</v>
      </c>
      <c r="M758">
        <v>0.99989600000000001</v>
      </c>
      <c r="N758">
        <v>-1.4419390000000001E-2</v>
      </c>
      <c r="O758">
        <v>-4.4515139999999999E-4</v>
      </c>
      <c r="P758">
        <v>0.95406049999999998</v>
      </c>
      <c r="Q758">
        <v>0.2996143</v>
      </c>
      <c r="R758">
        <v>-4.9380210000000003E-4</v>
      </c>
      <c r="S758">
        <v>3.2092290000000001</v>
      </c>
      <c r="T758">
        <v>-0.20718600000000001</v>
      </c>
      <c r="U758">
        <v>-0.28823850000000001</v>
      </c>
      <c r="V758">
        <v>2.9314960000000002E-4</v>
      </c>
      <c r="W758">
        <v>0.3133397</v>
      </c>
      <c r="X758">
        <v>0.94964099999999996</v>
      </c>
      <c r="Y758">
        <v>8.8787889999999994E-2</v>
      </c>
      <c r="Z758">
        <v>-3.477347E-3</v>
      </c>
      <c r="AA758">
        <v>0.9960445</v>
      </c>
      <c r="AB758">
        <v>32</v>
      </c>
      <c r="AC758">
        <v>16.892499999999899</v>
      </c>
      <c r="AD758">
        <v>-1.1105170669290001</v>
      </c>
      <c r="AE758">
        <v>-1.5446</v>
      </c>
      <c r="AF758">
        <v>1.5305196210616301</v>
      </c>
      <c r="AG758">
        <v>-1.1105170669290001</v>
      </c>
      <c r="AH758">
        <v>16.8210916875179</v>
      </c>
      <c r="AI758">
        <v>93.761653169331694</v>
      </c>
      <c r="AJ758">
        <v>84.801079827348204</v>
      </c>
      <c r="AK758">
        <v>16.9270453424772</v>
      </c>
      <c r="AL758">
        <v>71.739386828682299</v>
      </c>
      <c r="AM758">
        <v>89.982313069557406</v>
      </c>
      <c r="AN758">
        <v>0.99999994120688696</v>
      </c>
    </row>
    <row r="759" spans="1:40" x14ac:dyDescent="0.25">
      <c r="A759" t="str">
        <f>"20190304164609790"</f>
        <v>20190304164609790</v>
      </c>
      <c r="B759" t="str">
        <f>"1551689169778626"</f>
        <v>1551689169778626</v>
      </c>
      <c r="C759" t="s">
        <v>40</v>
      </c>
      <c r="D759">
        <v>4.4627889999999999</v>
      </c>
      <c r="E759">
        <v>0.548794</v>
      </c>
      <c r="F759" t="s">
        <v>42</v>
      </c>
      <c r="G759">
        <v>-236.36580000000001</v>
      </c>
      <c r="H759" s="1">
        <v>-2.130073E-6</v>
      </c>
      <c r="I759">
        <v>366.29770000000002</v>
      </c>
      <c r="J759">
        <v>-253.09100000000001</v>
      </c>
      <c r="K759">
        <v>1.110514</v>
      </c>
      <c r="L759">
        <v>367.82850000000002</v>
      </c>
      <c r="M759">
        <v>0.99989589999999995</v>
      </c>
      <c r="N759">
        <v>-1.441605E-2</v>
      </c>
      <c r="O759">
        <v>-7.6095820000000002E-4</v>
      </c>
      <c r="P759">
        <v>0.95400580000000001</v>
      </c>
      <c r="Q759">
        <v>0.2997882</v>
      </c>
      <c r="R759" s="1">
        <v>6.6034499999999898E-5</v>
      </c>
      <c r="S759">
        <v>3.2099760000000002</v>
      </c>
      <c r="T759">
        <v>-0.20913219999999999</v>
      </c>
      <c r="U759">
        <v>-0.28836060000000002</v>
      </c>
      <c r="V759">
        <v>-5.6990519999999996E-4</v>
      </c>
      <c r="W759">
        <v>0.31351079999999998</v>
      </c>
      <c r="X759">
        <v>0.9495844</v>
      </c>
      <c r="Y759">
        <v>8.8487650000000001E-2</v>
      </c>
      <c r="Z759">
        <v>-3.4751669999999999E-3</v>
      </c>
      <c r="AA759">
        <v>0.99607120000000005</v>
      </c>
      <c r="AB759">
        <v>32</v>
      </c>
      <c r="AC759">
        <v>16.725199999999901</v>
      </c>
      <c r="AD759">
        <v>-1.110516130073</v>
      </c>
      <c r="AE759">
        <v>-1.5307999999999899</v>
      </c>
      <c r="AF759">
        <v>1.5114628811355699</v>
      </c>
      <c r="AG759">
        <v>-1.110516130073</v>
      </c>
      <c r="AH759">
        <v>16.653550165414401</v>
      </c>
      <c r="AI759">
        <v>93.799461613938504</v>
      </c>
      <c r="AJ759">
        <v>84.814088960238195</v>
      </c>
      <c r="AK759">
        <v>16.758833468597299</v>
      </c>
      <c r="AL759">
        <v>71.729063319633198</v>
      </c>
      <c r="AM759">
        <v>90.034386789380704</v>
      </c>
      <c r="AN759">
        <v>0.999999939615966</v>
      </c>
    </row>
    <row r="760" spans="1:40" x14ac:dyDescent="0.25">
      <c r="A760" t="str">
        <f>"20190304164609813"</f>
        <v>20190304164609813</v>
      </c>
      <c r="B760" t="str">
        <f>"1551689169808878"</f>
        <v>1551689169808878</v>
      </c>
      <c r="C760" t="s">
        <v>40</v>
      </c>
      <c r="D760">
        <v>4.4959680000000004</v>
      </c>
      <c r="E760">
        <v>0.54900850000000001</v>
      </c>
      <c r="F760" t="s">
        <v>42</v>
      </c>
      <c r="G760">
        <v>-236.18469999999999</v>
      </c>
      <c r="H760" s="1">
        <v>-2.203956E-6</v>
      </c>
      <c r="I760">
        <v>366.31900000000002</v>
      </c>
      <c r="J760">
        <v>-252.75389999999999</v>
      </c>
      <c r="K760">
        <v>1.1105100000000001</v>
      </c>
      <c r="L760">
        <v>367.8279</v>
      </c>
      <c r="M760">
        <v>0.99989570000000005</v>
      </c>
      <c r="N760">
        <v>-1.441257E-2</v>
      </c>
      <c r="O760">
        <v>-1.09085E-3</v>
      </c>
      <c r="P760">
        <v>0.95413419999999904</v>
      </c>
      <c r="Q760">
        <v>0.29937909999999901</v>
      </c>
      <c r="R760">
        <v>7.0676579999999999E-4</v>
      </c>
      <c r="S760">
        <v>3.2109380000000001</v>
      </c>
      <c r="T760">
        <v>-0.21091509999999999</v>
      </c>
      <c r="U760">
        <v>-0.2866821</v>
      </c>
      <c r="V760">
        <v>-1.5277890000000001E-3</v>
      </c>
      <c r="W760">
        <v>0.31310060000000001</v>
      </c>
      <c r="X760">
        <v>0.94971870000000003</v>
      </c>
      <c r="Y760">
        <v>8.7615189999999996E-2</v>
      </c>
      <c r="Z760">
        <v>-3.4465149999999998E-3</v>
      </c>
      <c r="AA760">
        <v>0.99614840000000004</v>
      </c>
      <c r="AB760">
        <v>32</v>
      </c>
      <c r="AC760">
        <v>16.569199999999899</v>
      </c>
      <c r="AD760">
        <v>-1.110512203956</v>
      </c>
      <c r="AE760">
        <v>-1.5088999999999799</v>
      </c>
      <c r="AF760">
        <v>1.48421041996272</v>
      </c>
      <c r="AG760">
        <v>-1.110512203956</v>
      </c>
      <c r="AH760">
        <v>16.497339111648198</v>
      </c>
      <c r="AI760">
        <v>93.835589449964203</v>
      </c>
      <c r="AJ760">
        <v>84.859130611889896</v>
      </c>
      <c r="AK760">
        <v>16.601154046950398</v>
      </c>
      <c r="AL760">
        <v>71.753812563360896</v>
      </c>
      <c r="AM760">
        <v>90.092170224906695</v>
      </c>
      <c r="AN760">
        <v>0.99999996449463802</v>
      </c>
    </row>
    <row r="761" spans="1:40" x14ac:dyDescent="0.25">
      <c r="A761" t="str">
        <f>"20190304164609837"</f>
        <v>20190304164609837</v>
      </c>
      <c r="B761" t="str">
        <f>"1551689169828398"</f>
        <v>1551689169828398</v>
      </c>
      <c r="C761" t="s">
        <v>40</v>
      </c>
      <c r="D761">
        <v>4.4766349999999999</v>
      </c>
      <c r="E761">
        <v>0.5489444</v>
      </c>
      <c r="F761" t="s">
        <v>42</v>
      </c>
      <c r="G761">
        <v>-236.10560000000001</v>
      </c>
      <c r="H761" s="1">
        <v>-2.2327260000000001E-6</v>
      </c>
      <c r="I761">
        <v>366.34809999999999</v>
      </c>
      <c r="J761">
        <v>-252.43369999999999</v>
      </c>
      <c r="K761">
        <v>1.1105130000000001</v>
      </c>
      <c r="L761">
        <v>367.8272</v>
      </c>
      <c r="M761">
        <v>0.99989530000000004</v>
      </c>
      <c r="N761">
        <v>-1.440925E-2</v>
      </c>
      <c r="O761">
        <v>-1.4034679999999999E-3</v>
      </c>
      <c r="P761">
        <v>0.9542176</v>
      </c>
      <c r="Q761">
        <v>0.29911209999999899</v>
      </c>
      <c r="R761">
        <v>8.3157049999999996E-4</v>
      </c>
      <c r="S761">
        <v>3.2116549999999999</v>
      </c>
      <c r="T761">
        <v>-0.21423020000000001</v>
      </c>
      <c r="U761">
        <v>-0.28546139999999998</v>
      </c>
      <c r="V761">
        <v>-1.9518490000000001E-3</v>
      </c>
      <c r="W761">
        <v>0.312832</v>
      </c>
      <c r="X761">
        <v>0.9498065</v>
      </c>
      <c r="Y761">
        <v>8.6904300000000004E-2</v>
      </c>
      <c r="Z761">
        <v>-3.4445930000000001E-3</v>
      </c>
      <c r="AA761">
        <v>0.9962107</v>
      </c>
      <c r="AB761">
        <v>32</v>
      </c>
      <c r="AC761">
        <v>16.3280999999999</v>
      </c>
      <c r="AD761">
        <v>-1.1105152327259999</v>
      </c>
      <c r="AE761">
        <v>-1.4791000000000101</v>
      </c>
      <c r="AF761">
        <v>1.4495296796908601</v>
      </c>
      <c r="AG761">
        <v>-1.1105152327259999</v>
      </c>
      <c r="AH761">
        <v>16.2555785282097</v>
      </c>
      <c r="AI761">
        <v>93.892744920779606</v>
      </c>
      <c r="AJ761">
        <v>84.904343283226694</v>
      </c>
      <c r="AK761">
        <v>16.357818120434501</v>
      </c>
      <c r="AL761">
        <v>71.770017424664005</v>
      </c>
      <c r="AM761">
        <v>90.117742458620398</v>
      </c>
      <c r="AN761">
        <v>1.0000000286903801</v>
      </c>
    </row>
    <row r="762" spans="1:40" x14ac:dyDescent="0.25">
      <c r="A762" t="str">
        <f>"20190304164609857"</f>
        <v>20190304164609857</v>
      </c>
      <c r="B762" t="str">
        <f>"1551689169848894"</f>
        <v>1551689169848894</v>
      </c>
      <c r="C762" t="s">
        <v>40</v>
      </c>
      <c r="D762">
        <v>4.5142030000000002</v>
      </c>
      <c r="E762">
        <v>0.54895169999999904</v>
      </c>
      <c r="F762" t="s">
        <v>41</v>
      </c>
      <c r="G762">
        <v>-251.4453</v>
      </c>
      <c r="H762">
        <v>1.044565</v>
      </c>
      <c r="I762">
        <v>367.73930000000001</v>
      </c>
      <c r="J762">
        <v>-252.1352</v>
      </c>
      <c r="K762">
        <v>1.1105229999999999</v>
      </c>
      <c r="L762">
        <v>367.82650000000001</v>
      </c>
      <c r="M762">
        <v>0.99989490000000003</v>
      </c>
      <c r="N762">
        <v>-1.440615E-2</v>
      </c>
      <c r="O762">
        <v>-1.695231E-3</v>
      </c>
      <c r="P762">
        <v>0.95389800000000002</v>
      </c>
      <c r="Q762">
        <v>0.30013099999999998</v>
      </c>
      <c r="R762">
        <v>6.5464899999999999E-4</v>
      </c>
      <c r="S762">
        <v>3.2114259999999999</v>
      </c>
      <c r="T762">
        <v>-0.21451700000000001</v>
      </c>
      <c r="U762">
        <v>-0.28478999999999999</v>
      </c>
      <c r="V762">
        <v>-2.053484E-3</v>
      </c>
      <c r="W762">
        <v>0.31384319999999999</v>
      </c>
      <c r="X762">
        <v>0.9494726</v>
      </c>
      <c r="Y762">
        <v>8.6414359999999996E-2</v>
      </c>
      <c r="Z762">
        <v>-3.4133190000000002E-3</v>
      </c>
      <c r="AA762">
        <v>0.99625339999999996</v>
      </c>
      <c r="AB762">
        <v>32</v>
      </c>
      <c r="AC762">
        <v>0.68989999999999396</v>
      </c>
      <c r="AD762">
        <v>-6.5957999999999906E-2</v>
      </c>
      <c r="AE762">
        <v>-8.7199999999995698E-2</v>
      </c>
      <c r="AF762">
        <v>8.5263133621690801E-2</v>
      </c>
      <c r="AG762">
        <v>-6.5957999999999906E-2</v>
      </c>
      <c r="AH762">
        <v>0.68389411309947001</v>
      </c>
      <c r="AI762">
        <v>95.466776387485893</v>
      </c>
      <c r="AJ762">
        <v>82.893431635109494</v>
      </c>
      <c r="AK762">
        <v>0.69233764714270796</v>
      </c>
      <c r="AL762">
        <v>71.709006938665198</v>
      </c>
      <c r="AM762">
        <v>90.1239169861786</v>
      </c>
      <c r="AN762">
        <v>0.99999999456676902</v>
      </c>
    </row>
    <row r="763" spans="1:40" x14ac:dyDescent="0.25">
      <c r="A763" t="str">
        <f>"20190304164609880"</f>
        <v>20190304164609880</v>
      </c>
      <c r="B763" t="str">
        <f>"1551689169868414"</f>
        <v>1551689169868414</v>
      </c>
      <c r="C763" t="s">
        <v>40</v>
      </c>
      <c r="D763">
        <v>4.4774719999999997</v>
      </c>
      <c r="E763">
        <v>0.54899359999999997</v>
      </c>
      <c r="F763" t="s">
        <v>41</v>
      </c>
      <c r="G763">
        <v>-251.15979999999999</v>
      </c>
      <c r="H763">
        <v>1.0464910000000001</v>
      </c>
      <c r="I763">
        <v>367.73939999999999</v>
      </c>
      <c r="J763">
        <v>-251.81729999999999</v>
      </c>
      <c r="K763">
        <v>1.1105229999999999</v>
      </c>
      <c r="L763">
        <v>367.82560000000001</v>
      </c>
      <c r="M763">
        <v>0.99989439999999996</v>
      </c>
      <c r="N763">
        <v>-1.440287E-2</v>
      </c>
      <c r="O763">
        <v>-2.0063110000000002E-3</v>
      </c>
      <c r="P763">
        <v>0.95375089999999996</v>
      </c>
      <c r="Q763">
        <v>0.30059809999999998</v>
      </c>
      <c r="R763">
        <v>-3.614426E-4</v>
      </c>
      <c r="S763">
        <v>3.2116090000000002</v>
      </c>
      <c r="T763">
        <v>-0.2110852</v>
      </c>
      <c r="U763">
        <v>-0.285705599999999</v>
      </c>
      <c r="V763">
        <v>-1.3338579999999901E-3</v>
      </c>
      <c r="W763">
        <v>0.3143049</v>
      </c>
      <c r="X763">
        <v>0.94932119999999998</v>
      </c>
      <c r="Y763">
        <v>8.6388350000000003E-2</v>
      </c>
      <c r="Z763">
        <v>-3.3518829999999999E-3</v>
      </c>
      <c r="AA763">
        <v>0.99625589999999997</v>
      </c>
      <c r="AB763">
        <v>32</v>
      </c>
      <c r="AC763">
        <v>0.65749999999999797</v>
      </c>
      <c r="AD763">
        <v>-6.4031999999999797E-2</v>
      </c>
      <c r="AE763">
        <v>-8.6200000000019303E-2</v>
      </c>
      <c r="AF763">
        <v>8.4096426753288198E-2</v>
      </c>
      <c r="AG763">
        <v>-6.4031999999999797E-2</v>
      </c>
      <c r="AH763">
        <v>0.651596167339904</v>
      </c>
      <c r="AI763">
        <v>95.566529240723995</v>
      </c>
      <c r="AJ763">
        <v>82.645933896801907</v>
      </c>
      <c r="AK763">
        <v>0.660113529105959</v>
      </c>
      <c r="AL763">
        <v>71.681144504795398</v>
      </c>
      <c r="AM763">
        <v>90.080504241954401</v>
      </c>
      <c r="AN763">
        <v>1.0000000450552999</v>
      </c>
    </row>
    <row r="764" spans="1:40" x14ac:dyDescent="0.25">
      <c r="A764" t="str">
        <f>"20190304164609902"</f>
        <v>20190304164609902</v>
      </c>
      <c r="B764" t="str">
        <f>"1551689169888911"</f>
        <v>1551689169888911</v>
      </c>
      <c r="C764" t="s">
        <v>40</v>
      </c>
      <c r="D764">
        <v>4.5064869999999999</v>
      </c>
      <c r="E764">
        <v>0.54902280000000003</v>
      </c>
      <c r="F764" t="s">
        <v>41</v>
      </c>
      <c r="G764">
        <v>-250.8741</v>
      </c>
      <c r="H764">
        <v>1.0492090000000001</v>
      </c>
      <c r="I764">
        <v>367.74059999999997</v>
      </c>
      <c r="J764">
        <v>-251.49930000000001</v>
      </c>
      <c r="K764">
        <v>1.110527</v>
      </c>
      <c r="L764">
        <v>367.82459999999998</v>
      </c>
      <c r="M764">
        <v>0.99989380000000005</v>
      </c>
      <c r="N764">
        <v>-1.4399550000000001E-2</v>
      </c>
      <c r="O764">
        <v>-2.3183409999999998E-3</v>
      </c>
      <c r="P764">
        <v>0.95389279999999999</v>
      </c>
      <c r="Q764">
        <v>0.30014570000000002</v>
      </c>
      <c r="R764">
        <v>-1.261402E-3</v>
      </c>
      <c r="S764">
        <v>3.2111969999999999</v>
      </c>
      <c r="T764">
        <v>-0.2088991</v>
      </c>
      <c r="U764">
        <v>-0.2890625</v>
      </c>
      <c r="V764">
        <v>-7.3327679999999902E-4</v>
      </c>
      <c r="W764">
        <v>0.31385089999999999</v>
      </c>
      <c r="X764">
        <v>0.94947199999999998</v>
      </c>
      <c r="Y764">
        <v>8.7124560000000004E-2</v>
      </c>
      <c r="Z764">
        <v>-3.3375079999999999E-3</v>
      </c>
      <c r="AA764">
        <v>0.99619190000000002</v>
      </c>
      <c r="AB764">
        <v>32</v>
      </c>
      <c r="AC764">
        <v>0.62520000000000597</v>
      </c>
      <c r="AD764">
        <v>-6.13179999999999E-2</v>
      </c>
      <c r="AE764">
        <v>-8.40000000000031E-2</v>
      </c>
      <c r="AF764">
        <v>8.1777513149895203E-2</v>
      </c>
      <c r="AG764">
        <v>-6.13179999999999E-2</v>
      </c>
      <c r="AH764">
        <v>0.61953929218027204</v>
      </c>
      <c r="AI764">
        <v>95.604061660963495</v>
      </c>
      <c r="AJ764">
        <v>82.480581784318503</v>
      </c>
      <c r="AK764">
        <v>0.62791432005984205</v>
      </c>
      <c r="AL764">
        <v>71.708542423726101</v>
      </c>
      <c r="AM764">
        <v>90.044249496037693</v>
      </c>
      <c r="AN764">
        <v>1.0000000019548301</v>
      </c>
    </row>
    <row r="765" spans="1:40" x14ac:dyDescent="0.25">
      <c r="A765" t="str">
        <f>"20190304164609925"</f>
        <v>20190304164609925</v>
      </c>
      <c r="B765" t="str">
        <f>"1551689169918190"</f>
        <v>1551689169918190</v>
      </c>
      <c r="C765" t="s">
        <v>40</v>
      </c>
      <c r="D765">
        <v>4.589442</v>
      </c>
      <c r="E765">
        <v>0.51540390000000003</v>
      </c>
      <c r="F765" t="s">
        <v>41</v>
      </c>
      <c r="G765">
        <v>-250.58959999999999</v>
      </c>
      <c r="H765">
        <v>1.050916</v>
      </c>
      <c r="I765">
        <v>367.74169999999998</v>
      </c>
      <c r="J765">
        <v>-251.1756</v>
      </c>
      <c r="K765">
        <v>1.110527</v>
      </c>
      <c r="L765">
        <v>367.82350000000002</v>
      </c>
      <c r="M765">
        <v>0.99989289999999997</v>
      </c>
      <c r="N765">
        <v>-1.4396269999999999E-2</v>
      </c>
      <c r="O765">
        <v>-2.6357379999999999E-3</v>
      </c>
      <c r="P765">
        <v>0.95384539999999995</v>
      </c>
      <c r="Q765">
        <v>0.30029250000000002</v>
      </c>
      <c r="R765">
        <v>-1.830962E-3</v>
      </c>
      <c r="S765">
        <v>3.2108759999999998</v>
      </c>
      <c r="T765">
        <v>-0.21057190000000001</v>
      </c>
      <c r="U765">
        <v>-0.29217530000000003</v>
      </c>
      <c r="V765">
        <v>-4.6659069999999998E-4</v>
      </c>
      <c r="W765">
        <v>0.31399389999999999</v>
      </c>
      <c r="X765">
        <v>0.94942490000000002</v>
      </c>
      <c r="Y765">
        <v>8.7770630000000002E-2</v>
      </c>
      <c r="Z765">
        <v>-3.3685099999999999E-3</v>
      </c>
      <c r="AA765">
        <v>0.99613499999999999</v>
      </c>
      <c r="AB765">
        <v>32</v>
      </c>
      <c r="AC765">
        <v>0.58600000000001196</v>
      </c>
      <c r="AD765">
        <v>-5.9610999999999997E-2</v>
      </c>
      <c r="AE765">
        <v>-8.1800000000043796E-2</v>
      </c>
      <c r="AF765">
        <v>7.9448590590357707E-2</v>
      </c>
      <c r="AG765">
        <v>-5.9610999999999997E-2</v>
      </c>
      <c r="AH765">
        <v>0.58032316734951295</v>
      </c>
      <c r="AI765">
        <v>95.811044217838798</v>
      </c>
      <c r="AJ765">
        <v>82.204438146846499</v>
      </c>
      <c r="AK765">
        <v>0.58876186054326296</v>
      </c>
      <c r="AL765">
        <v>71.699913118017093</v>
      </c>
      <c r="AM765">
        <v>90.028157757098796</v>
      </c>
      <c r="AN765">
        <v>1.00000001384205</v>
      </c>
    </row>
    <row r="766" spans="1:40" x14ac:dyDescent="0.25">
      <c r="A766" t="str">
        <f>"20190304164609945"</f>
        <v>20190304164609945</v>
      </c>
      <c r="B766" t="str">
        <f>"1551689169938689"</f>
        <v>1551689169938689</v>
      </c>
      <c r="C766" t="s">
        <v>40</v>
      </c>
      <c r="D766">
        <v>4.5337820000000004</v>
      </c>
      <c r="E766">
        <v>0.50551899999999905</v>
      </c>
      <c r="F766" t="s">
        <v>42</v>
      </c>
      <c r="G766">
        <v>-232.37139999999999</v>
      </c>
      <c r="H766" s="1">
        <v>-3.6015670000000001E-6</v>
      </c>
      <c r="I766">
        <v>367.66230000000002</v>
      </c>
      <c r="J766">
        <v>-250.87950000000001</v>
      </c>
      <c r="K766">
        <v>1.110525</v>
      </c>
      <c r="L766">
        <v>367.82240000000002</v>
      </c>
      <c r="M766">
        <v>0.99989229999999996</v>
      </c>
      <c r="N766">
        <v>-1.439328E-2</v>
      </c>
      <c r="O766">
        <v>-2.9264389999999999E-3</v>
      </c>
      <c r="P766">
        <v>0.95410510000000004</v>
      </c>
      <c r="Q766">
        <v>0.29945949999999999</v>
      </c>
      <c r="R766">
        <v>-2.8026890000000001E-3</v>
      </c>
      <c r="S766">
        <v>3.2046969999999999</v>
      </c>
      <c r="T766">
        <v>-0.18926129999999999</v>
      </c>
      <c r="U766">
        <v>-2.7465819999999998E-2</v>
      </c>
      <c r="V766">
        <v>2.2568649999999999E-4</v>
      </c>
      <c r="W766">
        <v>0.31316129999999998</v>
      </c>
      <c r="X766">
        <v>0.94969990000000004</v>
      </c>
      <c r="Y766">
        <v>5.6342090000000003E-3</v>
      </c>
      <c r="Z766" s="1">
        <v>-7.6238500000000005E-5</v>
      </c>
      <c r="AA766">
        <v>0.99998410000000004</v>
      </c>
      <c r="AB766">
        <v>32</v>
      </c>
      <c r="AC766">
        <v>18.508099999999999</v>
      </c>
      <c r="AD766">
        <v>-1.110528601567</v>
      </c>
      <c r="AE766">
        <v>-0.16009999999999899</v>
      </c>
      <c r="AF766">
        <v>0.10555090271244701</v>
      </c>
      <c r="AG766">
        <v>-1.110528601567</v>
      </c>
      <c r="AH766">
        <v>18.4420976250676</v>
      </c>
      <c r="AI766">
        <v>93.445964987566498</v>
      </c>
      <c r="AJ766">
        <v>89.672078776524302</v>
      </c>
      <c r="AK766">
        <v>18.475805248499601</v>
      </c>
      <c r="AL766">
        <v>71.7501507525797</v>
      </c>
      <c r="AM766">
        <v>89.986384242327802</v>
      </c>
      <c r="AN766">
        <v>0.99999997540604701</v>
      </c>
    </row>
    <row r="767" spans="1:40" x14ac:dyDescent="0.25">
      <c r="A767" t="str">
        <f>"20190304164609969"</f>
        <v>20190304164609969</v>
      </c>
      <c r="B767" t="str">
        <f>"1551689169958207"</f>
        <v>1551689169958207</v>
      </c>
      <c r="C767" t="s">
        <v>40</v>
      </c>
      <c r="D767">
        <v>4.5719519999999996</v>
      </c>
      <c r="E767">
        <v>0.50055240000000001</v>
      </c>
      <c r="F767" t="s">
        <v>42</v>
      </c>
      <c r="G767">
        <v>-232.7457</v>
      </c>
      <c r="H767" s="1">
        <v>-3.363859E-6</v>
      </c>
      <c r="I767">
        <v>368.09719999999999</v>
      </c>
      <c r="J767">
        <v>-250.5505</v>
      </c>
      <c r="K767">
        <v>1.11052</v>
      </c>
      <c r="L767">
        <v>367.8211</v>
      </c>
      <c r="M767">
        <v>0.99989130000000004</v>
      </c>
      <c r="N767">
        <v>-1.438972E-2</v>
      </c>
      <c r="O767">
        <v>-3.2495599999999999E-3</v>
      </c>
      <c r="P767">
        <v>0.95434229999999998</v>
      </c>
      <c r="Q767">
        <v>0.29869630000000003</v>
      </c>
      <c r="R767">
        <v>-3.4353579999999999E-3</v>
      </c>
      <c r="S767">
        <v>3.2061000000000002</v>
      </c>
      <c r="T767">
        <v>-0.1963434</v>
      </c>
      <c r="U767">
        <v>4.8583979999999999E-2</v>
      </c>
      <c r="V767">
        <v>5.4822859999999998E-4</v>
      </c>
      <c r="W767">
        <v>0.31239810000000001</v>
      </c>
      <c r="X767">
        <v>0.94995110000000005</v>
      </c>
      <c r="Y767">
        <v>-1.835527E-2</v>
      </c>
      <c r="Z767">
        <v>8.457982E-4</v>
      </c>
      <c r="AA767">
        <v>0.99983120000000003</v>
      </c>
      <c r="AB767">
        <v>32</v>
      </c>
      <c r="AC767">
        <v>17.8048</v>
      </c>
      <c r="AD767">
        <v>-1.110523363859</v>
      </c>
      <c r="AE767">
        <v>0.27609999999998502</v>
      </c>
      <c r="AF767">
        <v>-0.33266842885601799</v>
      </c>
      <c r="AG767">
        <v>-1.110523363859</v>
      </c>
      <c r="AH767">
        <v>17.734831749355699</v>
      </c>
      <c r="AI767">
        <v>93.582452166323804</v>
      </c>
      <c r="AJ767">
        <v>91.074623213471</v>
      </c>
      <c r="AK767">
        <v>17.7726809346027</v>
      </c>
      <c r="AL767">
        <v>71.796188963677693</v>
      </c>
      <c r="AM767">
        <v>89.966933896385697</v>
      </c>
      <c r="AN767">
        <v>0.99999998291470804</v>
      </c>
    </row>
    <row r="768" spans="1:40" x14ac:dyDescent="0.25">
      <c r="A768" t="str">
        <f>"20190304164609992"</f>
        <v>20190304164609992</v>
      </c>
      <c r="B768" t="str">
        <f>"1551689169978465"</f>
        <v>1551689169978465</v>
      </c>
      <c r="C768" t="s">
        <v>40</v>
      </c>
      <c r="D768">
        <v>4.5107400000000002</v>
      </c>
      <c r="E768">
        <v>0.49734440000000002</v>
      </c>
      <c r="F768" t="s">
        <v>42</v>
      </c>
      <c r="G768">
        <v>-232.90119999999999</v>
      </c>
      <c r="H768" s="1">
        <v>-3.2605069999999999E-6</v>
      </c>
      <c r="I768">
        <v>368.30399999999997</v>
      </c>
      <c r="J768">
        <v>-250.2373</v>
      </c>
      <c r="K768">
        <v>1.1105130000000001</v>
      </c>
      <c r="L768">
        <v>367.81979999999999</v>
      </c>
      <c r="M768">
        <v>0.99989030000000001</v>
      </c>
      <c r="N768">
        <v>-1.438621E-2</v>
      </c>
      <c r="O768">
        <v>-3.5571840000000001E-3</v>
      </c>
      <c r="P768">
        <v>0.95442870000000002</v>
      </c>
      <c r="Q768">
        <v>0.29841279999999998</v>
      </c>
      <c r="R768">
        <v>-4.0245580000000001E-3</v>
      </c>
      <c r="S768">
        <v>3.207001</v>
      </c>
      <c r="T768">
        <v>-0.20178869999999999</v>
      </c>
      <c r="U768">
        <v>8.7738040000000003E-2</v>
      </c>
      <c r="V768">
        <v>8.4280219999999999E-4</v>
      </c>
      <c r="W768">
        <v>0.3121119</v>
      </c>
      <c r="X768">
        <v>0.95004500000000003</v>
      </c>
      <c r="Y768">
        <v>-3.082503E-2</v>
      </c>
      <c r="Z768">
        <v>1.3631209999999999E-3</v>
      </c>
      <c r="AA768">
        <v>0.99952390000000002</v>
      </c>
      <c r="AB768">
        <v>32</v>
      </c>
      <c r="AC768">
        <v>17.336099999999998</v>
      </c>
      <c r="AD768">
        <v>-1.11051626050699</v>
      </c>
      <c r="AE768">
        <v>0.48420000000004298</v>
      </c>
      <c r="AF768">
        <v>-0.54364195102155199</v>
      </c>
      <c r="AG768">
        <v>-1.11051626050699</v>
      </c>
      <c r="AH768">
        <v>17.263483449939098</v>
      </c>
      <c r="AI768">
        <v>93.678802826590996</v>
      </c>
      <c r="AJ768">
        <v>91.803697337197306</v>
      </c>
      <c r="AK768">
        <v>17.307705040301599</v>
      </c>
      <c r="AL768">
        <v>71.813450898539998</v>
      </c>
      <c r="AM768">
        <v>89.949171885166606</v>
      </c>
      <c r="AN768">
        <v>1.0000000252310699</v>
      </c>
    </row>
    <row r="769" spans="1:40" x14ac:dyDescent="0.25">
      <c r="A769" t="str">
        <f>"20190304164610016"</f>
        <v>20190304164610016</v>
      </c>
      <c r="B769" t="str">
        <f>"1551689170008721"</f>
        <v>1551689170008721</v>
      </c>
      <c r="C769" t="s">
        <v>40</v>
      </c>
      <c r="D769">
        <v>4.4510560000000003</v>
      </c>
      <c r="E769">
        <v>0.4945021</v>
      </c>
      <c r="F769" t="s">
        <v>42</v>
      </c>
      <c r="G769">
        <v>-233.09100000000001</v>
      </c>
      <c r="H769" s="1">
        <v>-3.1578870000000001E-6</v>
      </c>
      <c r="I769">
        <v>368.42349999999999</v>
      </c>
      <c r="J769">
        <v>-249.90090000000001</v>
      </c>
      <c r="K769">
        <v>1.1105149999999999</v>
      </c>
      <c r="L769">
        <v>367.81819999999999</v>
      </c>
      <c r="M769">
        <v>0.99988920000000003</v>
      </c>
      <c r="N769">
        <v>-1.438245E-2</v>
      </c>
      <c r="O769">
        <v>-3.887213E-3</v>
      </c>
      <c r="P769">
        <v>0.95451859999999999</v>
      </c>
      <c r="Q769">
        <v>0.29812270000000002</v>
      </c>
      <c r="R769">
        <v>-4.1735100000000001E-3</v>
      </c>
      <c r="S769">
        <v>3.2086790000000001</v>
      </c>
      <c r="T769">
        <v>-0.20781549999999999</v>
      </c>
      <c r="U769">
        <v>0.1129761</v>
      </c>
      <c r="V769">
        <v>6.7548169999999896E-4</v>
      </c>
      <c r="W769">
        <v>0.31182009999999899</v>
      </c>
      <c r="X769">
        <v>0.95014100000000001</v>
      </c>
      <c r="Y769">
        <v>-3.8968030000000001E-2</v>
      </c>
      <c r="Z769">
        <v>1.7364710000000001E-3</v>
      </c>
      <c r="AA769">
        <v>0.99923899999999999</v>
      </c>
      <c r="AB769">
        <v>32</v>
      </c>
      <c r="AC769">
        <v>16.809899999999999</v>
      </c>
      <c r="AD769">
        <v>-1.11051815788699</v>
      </c>
      <c r="AE769">
        <v>0.60529999999999895</v>
      </c>
      <c r="AF769">
        <v>-0.66773536757471097</v>
      </c>
      <c r="AG769">
        <v>-1.11051815788699</v>
      </c>
      <c r="AH769">
        <v>16.734478998986098</v>
      </c>
      <c r="AI769">
        <v>93.793633333765499</v>
      </c>
      <c r="AJ769">
        <v>92.284990968178207</v>
      </c>
      <c r="AK769">
        <v>16.784573526533599</v>
      </c>
      <c r="AL769">
        <v>71.831048966036207</v>
      </c>
      <c r="AM769">
        <v>89.959266841418199</v>
      </c>
      <c r="AN769">
        <v>1.00000007546026</v>
      </c>
    </row>
    <row r="770" spans="1:40" x14ac:dyDescent="0.25">
      <c r="A770" t="str">
        <f>"20190304164610037"</f>
        <v>20190304164610037</v>
      </c>
      <c r="B770" t="str">
        <f>"1551689170028241"</f>
        <v>1551689170028241</v>
      </c>
      <c r="C770" t="s">
        <v>40</v>
      </c>
      <c r="D770">
        <v>4.4195510000000002</v>
      </c>
      <c r="E770">
        <v>0.49319669999999999</v>
      </c>
      <c r="F770" t="s">
        <v>42</v>
      </c>
      <c r="G770">
        <v>-233.04159999999999</v>
      </c>
      <c r="H770" s="1">
        <v>-3.1598140000000002E-6</v>
      </c>
      <c r="I770">
        <v>368.53199999999998</v>
      </c>
      <c r="J770">
        <v>-249.59569999999999</v>
      </c>
      <c r="K770">
        <v>1.1105179999999999</v>
      </c>
      <c r="L770">
        <v>367.81670000000003</v>
      </c>
      <c r="M770">
        <v>0.99988790000000005</v>
      </c>
      <c r="N770">
        <v>-1.4379029999999999E-2</v>
      </c>
      <c r="O770">
        <v>-4.1836069999999998E-3</v>
      </c>
      <c r="P770">
        <v>0.9544916</v>
      </c>
      <c r="Q770">
        <v>0.29820360000000001</v>
      </c>
      <c r="R770">
        <v>-4.5486429999999998E-3</v>
      </c>
      <c r="S770">
        <v>3.2095639999999999</v>
      </c>
      <c r="T770">
        <v>-0.21141180000000001</v>
      </c>
      <c r="U770">
        <v>0.13589479999999901</v>
      </c>
      <c r="V770">
        <v>7.6618599999999997E-4</v>
      </c>
      <c r="W770">
        <v>0.31189709999999898</v>
      </c>
      <c r="X770">
        <v>0.95011559999999995</v>
      </c>
      <c r="Y770">
        <v>-4.6354819999999998E-2</v>
      </c>
      <c r="Z770">
        <v>2.073297E-3</v>
      </c>
      <c r="AA770">
        <v>0.99892289999999995</v>
      </c>
      <c r="AB770">
        <v>31</v>
      </c>
      <c r="AC770">
        <v>16.554099999999998</v>
      </c>
      <c r="AD770">
        <v>-1.1105211598139999</v>
      </c>
      <c r="AE770">
        <v>0.71529999999995597</v>
      </c>
      <c r="AF770">
        <v>-0.78104833580246102</v>
      </c>
      <c r="AG770">
        <v>-1.1105211598139999</v>
      </c>
      <c r="AH770">
        <v>16.476949050680702</v>
      </c>
      <c r="AI770">
        <v>93.851504835558799</v>
      </c>
      <c r="AJ770">
        <v>92.713930834690501</v>
      </c>
      <c r="AK770">
        <v>16.532789957172401</v>
      </c>
      <c r="AL770">
        <v>71.826404590875399</v>
      </c>
      <c r="AM770">
        <v>89.953795922721298</v>
      </c>
      <c r="AN770">
        <v>1.00000002069637</v>
      </c>
    </row>
    <row r="771" spans="1:40" x14ac:dyDescent="0.25">
      <c r="A771" t="str">
        <f>"20190304164610058"</f>
        <v>20190304164610058</v>
      </c>
      <c r="B771" t="str">
        <f>"1551689170048738"</f>
        <v>1551689170048738</v>
      </c>
      <c r="C771" t="s">
        <v>40</v>
      </c>
      <c r="D771">
        <v>4.4022139999999998</v>
      </c>
      <c r="E771">
        <v>0.49229000000000001</v>
      </c>
      <c r="F771" t="s">
        <v>42</v>
      </c>
      <c r="G771">
        <v>-232.60319999999999</v>
      </c>
      <c r="H771" s="1">
        <v>-3.3381720000000001E-6</v>
      </c>
      <c r="I771">
        <v>368.58670000000001</v>
      </c>
      <c r="J771">
        <v>-249.29349999999999</v>
      </c>
      <c r="K771">
        <v>1.110528</v>
      </c>
      <c r="L771">
        <v>367.81509999999997</v>
      </c>
      <c r="M771">
        <v>0.99988679999999996</v>
      </c>
      <c r="N771">
        <v>-1.437564E-2</v>
      </c>
      <c r="O771">
        <v>-4.4740209999999999E-3</v>
      </c>
      <c r="P771">
        <v>0.95458339999999997</v>
      </c>
      <c r="Q771">
        <v>0.29790169999999999</v>
      </c>
      <c r="R771">
        <v>-5.0432239999999998E-3</v>
      </c>
      <c r="S771">
        <v>3.2092740000000002</v>
      </c>
      <c r="T771">
        <v>-0.20973649999999999</v>
      </c>
      <c r="U771">
        <v>0.14544679999999999</v>
      </c>
      <c r="V771">
        <v>9.8060349999999998E-4</v>
      </c>
      <c r="W771">
        <v>0.31159350000000002</v>
      </c>
      <c r="X771">
        <v>0.95021500000000003</v>
      </c>
      <c r="Y771">
        <v>-4.9609010000000002E-2</v>
      </c>
      <c r="Z771">
        <v>2.2034490000000001E-3</v>
      </c>
      <c r="AA771">
        <v>0.9987663</v>
      </c>
      <c r="AB771">
        <v>31</v>
      </c>
      <c r="AC771">
        <v>16.690300000000001</v>
      </c>
      <c r="AD771">
        <v>-1.1105313381719999</v>
      </c>
      <c r="AE771">
        <v>0.77160000000003404</v>
      </c>
      <c r="AF771">
        <v>-0.84255051441144702</v>
      </c>
      <c r="AG771">
        <v>-1.1105313381719999</v>
      </c>
      <c r="AH771">
        <v>16.6132862185239</v>
      </c>
      <c r="AI771">
        <v>93.819408783883503</v>
      </c>
      <c r="AJ771">
        <v>92.903294584309506</v>
      </c>
      <c r="AK771">
        <v>16.671666089536298</v>
      </c>
      <c r="AL771">
        <v>71.844711693498098</v>
      </c>
      <c r="AM771">
        <v>89.940871884804395</v>
      </c>
      <c r="AN771">
        <v>1.0000000085252301</v>
      </c>
    </row>
    <row r="772" spans="1:40" x14ac:dyDescent="0.25">
      <c r="A772" t="str">
        <f>"20190304164610080"</f>
        <v>20190304164610080</v>
      </c>
      <c r="B772" t="str">
        <f>"1551689170068258"</f>
        <v>1551689170068258</v>
      </c>
      <c r="C772" t="s">
        <v>40</v>
      </c>
      <c r="D772">
        <v>4.4116799999999996</v>
      </c>
      <c r="E772">
        <v>0.49160100000000001</v>
      </c>
      <c r="F772" t="s">
        <v>42</v>
      </c>
      <c r="G772">
        <v>-232.30789999999999</v>
      </c>
      <c r="H772" s="1">
        <v>-3.4590560000000001E-6</v>
      </c>
      <c r="I772">
        <v>368.61930000000001</v>
      </c>
      <c r="J772">
        <v>-248.98650000000001</v>
      </c>
      <c r="K772">
        <v>1.110535</v>
      </c>
      <c r="L772">
        <v>367.81349999999998</v>
      </c>
      <c r="M772">
        <v>0.99988529999999998</v>
      </c>
      <c r="N772">
        <v>-1.437218E-2</v>
      </c>
      <c r="O772">
        <v>-4.7618959999999998E-3</v>
      </c>
      <c r="P772">
        <v>0.95471200000000001</v>
      </c>
      <c r="Q772">
        <v>0.29748340000000001</v>
      </c>
      <c r="R772">
        <v>-5.3631740000000001E-3</v>
      </c>
      <c r="S772">
        <v>3.2090299999999998</v>
      </c>
      <c r="T772">
        <v>-0.2098082</v>
      </c>
      <c r="U772">
        <v>0.151947</v>
      </c>
      <c r="V772">
        <v>1.020862E-3</v>
      </c>
      <c r="W772">
        <v>0.3111739</v>
      </c>
      <c r="X772">
        <v>0.95035239999999999</v>
      </c>
      <c r="Y772">
        <v>-5.1912180000000002E-2</v>
      </c>
      <c r="Z772">
        <v>2.3105199999999999E-3</v>
      </c>
      <c r="AA772">
        <v>0.99864900000000001</v>
      </c>
      <c r="AB772">
        <v>31</v>
      </c>
      <c r="AC772">
        <v>16.678599999999999</v>
      </c>
      <c r="AD772">
        <v>-1.1105384590559999</v>
      </c>
      <c r="AE772">
        <v>0.80580000000003305</v>
      </c>
      <c r="AF772">
        <v>-0.88132257447765505</v>
      </c>
      <c r="AG772">
        <v>-1.1105384590559999</v>
      </c>
      <c r="AH772">
        <v>16.6011433369959</v>
      </c>
      <c r="AI772">
        <v>93.821750651271401</v>
      </c>
      <c r="AJ772">
        <v>93.038869343956193</v>
      </c>
      <c r="AK772">
        <v>16.661572112043</v>
      </c>
      <c r="AL772">
        <v>71.870009876457502</v>
      </c>
      <c r="AM772">
        <v>89.938453292096796</v>
      </c>
      <c r="AN772">
        <v>0.99999996119309498</v>
      </c>
    </row>
    <row r="773" spans="1:40" x14ac:dyDescent="0.25">
      <c r="A773" t="str">
        <f>"20190304164610104"</f>
        <v>20190304164610104</v>
      </c>
      <c r="B773" t="str">
        <f>"1551689170098516"</f>
        <v>1551689170098516</v>
      </c>
      <c r="C773" t="s">
        <v>40</v>
      </c>
      <c r="D773">
        <v>4.3959469999999996</v>
      </c>
      <c r="E773">
        <v>0.49076989999999998</v>
      </c>
      <c r="F773" t="s">
        <v>42</v>
      </c>
      <c r="G773">
        <v>-232.06049999999999</v>
      </c>
      <c r="H773" s="1">
        <v>-3.5615900000000001E-6</v>
      </c>
      <c r="I773">
        <v>368.6397</v>
      </c>
      <c r="J773">
        <v>-248.65639999999999</v>
      </c>
      <c r="K773">
        <v>1.1105400000000001</v>
      </c>
      <c r="L773">
        <v>367.8116</v>
      </c>
      <c r="M773">
        <v>0.99988390000000005</v>
      </c>
      <c r="N773">
        <v>-1.4368540000000001E-2</v>
      </c>
      <c r="O773">
        <v>-5.0579209999999999E-3</v>
      </c>
      <c r="P773">
        <v>0.95481970000000005</v>
      </c>
      <c r="Q773">
        <v>0.29712300000000003</v>
      </c>
      <c r="R773">
        <v>-6.1208900000000004E-3</v>
      </c>
      <c r="S773">
        <v>3.208771</v>
      </c>
      <c r="T773">
        <v>-0.21053079999999999</v>
      </c>
      <c r="U773">
        <v>0.1566467</v>
      </c>
      <c r="V773">
        <v>1.4881530000000001E-3</v>
      </c>
      <c r="W773">
        <v>0.31081130000000001</v>
      </c>
      <c r="X773">
        <v>0.95047040000000005</v>
      </c>
      <c r="Y773">
        <v>-5.3664990000000003E-2</v>
      </c>
      <c r="Z773">
        <v>2.4026099999999999E-3</v>
      </c>
      <c r="AA773">
        <v>0.99855609999999995</v>
      </c>
      <c r="AB773">
        <v>31</v>
      </c>
      <c r="AC773">
        <v>16.5959</v>
      </c>
      <c r="AD773">
        <v>-1.1105435615899999</v>
      </c>
      <c r="AE773">
        <v>0.82810000000000605</v>
      </c>
      <c r="AF773">
        <v>-0.90798311436450097</v>
      </c>
      <c r="AG773">
        <v>-1.1105435615899999</v>
      </c>
      <c r="AH773">
        <v>16.517718599888301</v>
      </c>
      <c r="AI773">
        <v>93.840624545533402</v>
      </c>
      <c r="AJ773">
        <v>93.146396665579402</v>
      </c>
      <c r="AK773">
        <v>16.579890472595299</v>
      </c>
      <c r="AL773">
        <v>71.891868700540499</v>
      </c>
      <c r="AM773">
        <v>89.910291981216403</v>
      </c>
      <c r="AN773">
        <v>0.99999993004159804</v>
      </c>
    </row>
    <row r="774" spans="1:40" x14ac:dyDescent="0.25">
      <c r="A774" t="str">
        <f>"20190304164610126"</f>
        <v>20190304164610126</v>
      </c>
      <c r="B774" t="str">
        <f>"1551689170119009"</f>
        <v>1551689170119009</v>
      </c>
      <c r="C774" t="s">
        <v>40</v>
      </c>
      <c r="D774">
        <v>4.3864869999999998</v>
      </c>
      <c r="E774">
        <v>0.49033490000000002</v>
      </c>
      <c r="F774" t="s">
        <v>42</v>
      </c>
      <c r="G774">
        <v>-231.7439</v>
      </c>
      <c r="H774" s="1">
        <v>-3.6940429999999998E-6</v>
      </c>
      <c r="I774">
        <v>368.65859999999998</v>
      </c>
      <c r="J774">
        <v>-248.34460000000001</v>
      </c>
      <c r="K774">
        <v>1.110554</v>
      </c>
      <c r="L774">
        <v>367.80970000000002</v>
      </c>
      <c r="M774">
        <v>0.99988259999999995</v>
      </c>
      <c r="N774">
        <v>-1.436522E-2</v>
      </c>
      <c r="O774">
        <v>-5.3193049999999999E-3</v>
      </c>
      <c r="P774">
        <v>0.95478450000000004</v>
      </c>
      <c r="Q774">
        <v>0.29722009999999899</v>
      </c>
      <c r="R774">
        <v>-6.8436529999999999E-3</v>
      </c>
      <c r="S774">
        <v>3.2085270000000001</v>
      </c>
      <c r="T774">
        <v>-0.21068429999999999</v>
      </c>
      <c r="U774">
        <v>0.1607056</v>
      </c>
      <c r="V774">
        <v>1.9515579999999999E-3</v>
      </c>
      <c r="W774">
        <v>0.31090430000000002</v>
      </c>
      <c r="X774">
        <v>0.95043920000000004</v>
      </c>
      <c r="Y774">
        <v>-5.5185230000000002E-2</v>
      </c>
      <c r="Z774">
        <v>2.4783209999999999E-3</v>
      </c>
      <c r="AA774">
        <v>0.99847300000000005</v>
      </c>
      <c r="AB774">
        <v>31</v>
      </c>
      <c r="AC774">
        <v>16.6007</v>
      </c>
      <c r="AD774">
        <v>-1.110557694043</v>
      </c>
      <c r="AE774">
        <v>0.84889999999995702</v>
      </c>
      <c r="AF774">
        <v>-0.93303649486173201</v>
      </c>
      <c r="AG774">
        <v>-1.110557694043</v>
      </c>
      <c r="AH774">
        <v>16.522198880122598</v>
      </c>
      <c r="AI774">
        <v>93.839315659685099</v>
      </c>
      <c r="AJ774">
        <v>93.232156583243906</v>
      </c>
      <c r="AK774">
        <v>16.585745425722202</v>
      </c>
      <c r="AL774">
        <v>71.886263423782395</v>
      </c>
      <c r="AM774">
        <v>89.882353463817907</v>
      </c>
      <c r="AN774">
        <v>0.99999998261687795</v>
      </c>
    </row>
    <row r="775" spans="1:40" x14ac:dyDescent="0.25">
      <c r="A775" t="str">
        <f>"20190304164610147"</f>
        <v>20190304164610147</v>
      </c>
      <c r="B775" t="str">
        <f>"1551689170138529"</f>
        <v>1551689170138529</v>
      </c>
      <c r="C775" t="s">
        <v>40</v>
      </c>
      <c r="D775">
        <v>4.3763949999999996</v>
      </c>
      <c r="E775">
        <v>0.48993900000000001</v>
      </c>
      <c r="F775" t="s">
        <v>42</v>
      </c>
      <c r="G775">
        <v>-231.40020000000001</v>
      </c>
      <c r="H775" s="1">
        <v>-3.8397919999999998E-6</v>
      </c>
      <c r="I775">
        <v>368.66829999999999</v>
      </c>
      <c r="J775">
        <v>-248.0478</v>
      </c>
      <c r="K775">
        <v>1.1105640000000001</v>
      </c>
      <c r="L775">
        <v>367.80790000000002</v>
      </c>
      <c r="M775">
        <v>0.99988149999999998</v>
      </c>
      <c r="N775">
        <v>-1.436199E-2</v>
      </c>
      <c r="O775">
        <v>-5.5444919999999998E-3</v>
      </c>
      <c r="P775">
        <v>0.95489199999999996</v>
      </c>
      <c r="Q775">
        <v>0.29685689999999998</v>
      </c>
      <c r="R775">
        <v>-7.5809099999999997E-3</v>
      </c>
      <c r="S775">
        <v>3.20871</v>
      </c>
      <c r="T775">
        <v>-0.21030180000000001</v>
      </c>
      <c r="U775">
        <v>0.16259770000000001</v>
      </c>
      <c r="V775">
        <v>2.4595609999999999E-3</v>
      </c>
      <c r="W775">
        <v>0.31053940000000002</v>
      </c>
      <c r="X775">
        <v>0.95055730000000005</v>
      </c>
      <c r="Y775">
        <v>-5.5992649999999998E-2</v>
      </c>
      <c r="Z775">
        <v>2.5179199999999999E-3</v>
      </c>
      <c r="AA775">
        <v>0.99842799999999998</v>
      </c>
      <c r="AB775">
        <v>31</v>
      </c>
      <c r="AC775">
        <v>16.647599999999901</v>
      </c>
      <c r="AD775">
        <v>-1.11056783979199</v>
      </c>
      <c r="AE775">
        <v>0.86039999999996997</v>
      </c>
      <c r="AF775">
        <v>-0.948488984605807</v>
      </c>
      <c r="AG775">
        <v>-1.11056783979199</v>
      </c>
      <c r="AH775">
        <v>16.569032759452899</v>
      </c>
      <c r="AI775">
        <v>93.828363453396506</v>
      </c>
      <c r="AJ775">
        <v>93.276302943546597</v>
      </c>
      <c r="AK775">
        <v>16.633275049265599</v>
      </c>
      <c r="AL775">
        <v>71.908259285360401</v>
      </c>
      <c r="AM775">
        <v>89.851747863849496</v>
      </c>
      <c r="AN775">
        <v>0.99999997448798095</v>
      </c>
    </row>
    <row r="776" spans="1:40" x14ac:dyDescent="0.25">
      <c r="A776" t="str">
        <f>"20190304164610169"</f>
        <v>20190304164610169</v>
      </c>
      <c r="B776" t="str">
        <f>"1551689170159025"</f>
        <v>1551689170159025</v>
      </c>
      <c r="C776" t="s">
        <v>40</v>
      </c>
      <c r="D776">
        <v>4.3946139999999998</v>
      </c>
      <c r="E776">
        <v>0.48961460000000001</v>
      </c>
      <c r="F776" t="s">
        <v>42</v>
      </c>
      <c r="G776">
        <v>-231.15809999999999</v>
      </c>
      <c r="H776" s="1">
        <v>-3.9439599999999996E-6</v>
      </c>
      <c r="I776">
        <v>368.66649999999998</v>
      </c>
      <c r="J776">
        <v>-247.73650000000001</v>
      </c>
      <c r="K776">
        <v>1.110587</v>
      </c>
      <c r="L776">
        <v>367.80590000000001</v>
      </c>
      <c r="M776">
        <v>0.9998804</v>
      </c>
      <c r="N776">
        <v>-1.435853E-2</v>
      </c>
      <c r="O776">
        <v>-5.7494159999999898E-3</v>
      </c>
      <c r="P776">
        <v>0.95501539999999996</v>
      </c>
      <c r="Q776">
        <v>0.29645060000000001</v>
      </c>
      <c r="R776">
        <v>-7.9391150000000001E-3</v>
      </c>
      <c r="S776">
        <v>3.2085880000000002</v>
      </c>
      <c r="T776">
        <v>-0.21097659999999999</v>
      </c>
      <c r="U776">
        <v>0.1631165</v>
      </c>
      <c r="V776">
        <v>2.6029069999999998E-3</v>
      </c>
      <c r="W776">
        <v>0.31013190000000002</v>
      </c>
      <c r="X776">
        <v>0.95069000000000004</v>
      </c>
      <c r="Y776">
        <v>-5.6358060000000001E-2</v>
      </c>
      <c r="Z776">
        <v>2.5500840000000002E-3</v>
      </c>
      <c r="AA776">
        <v>0.99840739999999994</v>
      </c>
      <c r="AB776">
        <v>31</v>
      </c>
      <c r="AC776">
        <v>16.578399999999998</v>
      </c>
      <c r="AD776">
        <v>-1.1105909439599999</v>
      </c>
      <c r="AE776">
        <v>0.86059999999997605</v>
      </c>
      <c r="AF776">
        <v>-0.951652471072304</v>
      </c>
      <c r="AG776">
        <v>-1.1105909439599999</v>
      </c>
      <c r="AH776">
        <v>16.499332550809498</v>
      </c>
      <c r="AI776">
        <v>93.844472257683407</v>
      </c>
      <c r="AJ776">
        <v>93.301062357204302</v>
      </c>
      <c r="AK776">
        <v>16.564028172298698</v>
      </c>
      <c r="AL776">
        <v>71.932820861415095</v>
      </c>
      <c r="AM776">
        <v>89.843129502868294</v>
      </c>
      <c r="AN776">
        <v>1.0000000233112301</v>
      </c>
    </row>
    <row r="777" spans="1:40" x14ac:dyDescent="0.25">
      <c r="A777" t="str">
        <f>"20190304164610193"</f>
        <v>20190304164610193</v>
      </c>
      <c r="B777" t="str">
        <f>"1551689170188305"</f>
        <v>1551689170188305</v>
      </c>
      <c r="C777" t="s">
        <v>40</v>
      </c>
      <c r="D777">
        <v>4.2955180000000004</v>
      </c>
      <c r="E777">
        <v>0.46850520000000001</v>
      </c>
      <c r="F777" t="s">
        <v>42</v>
      </c>
      <c r="G777">
        <v>-230.8819</v>
      </c>
      <c r="H777" s="1">
        <v>-4.0618200000000004E-6</v>
      </c>
      <c r="I777">
        <v>368.67</v>
      </c>
      <c r="J777">
        <v>-247.42019999999999</v>
      </c>
      <c r="K777">
        <v>1.110619</v>
      </c>
      <c r="L777">
        <v>367.8039</v>
      </c>
      <c r="M777">
        <v>0.99987950000000003</v>
      </c>
      <c r="N777">
        <v>-1.435495E-2</v>
      </c>
      <c r="O777">
        <v>-5.9221940000000004E-3</v>
      </c>
      <c r="P777">
        <v>0.95496720000000002</v>
      </c>
      <c r="Q777">
        <v>0.29659210000000003</v>
      </c>
      <c r="R777">
        <v>-8.4382850000000002E-3</v>
      </c>
      <c r="S777">
        <v>3.2082980000000001</v>
      </c>
      <c r="T777">
        <v>-0.21140220000000001</v>
      </c>
      <c r="U777">
        <v>0.16448969999999999</v>
      </c>
      <c r="V777">
        <v>2.9158130000000002E-3</v>
      </c>
      <c r="W777">
        <v>0.31026969999999998</v>
      </c>
      <c r="X777">
        <v>0.95064409999999999</v>
      </c>
      <c r="Y777">
        <v>-5.6958990000000001E-2</v>
      </c>
      <c r="Z777">
        <v>2.5876459999999999E-3</v>
      </c>
      <c r="AA777">
        <v>0.99837319999999996</v>
      </c>
      <c r="AB777">
        <v>31</v>
      </c>
      <c r="AC777">
        <v>16.5382999999999</v>
      </c>
      <c r="AD777">
        <v>-1.1106230618199999</v>
      </c>
      <c r="AE777">
        <v>0.86610000000001697</v>
      </c>
      <c r="AF777">
        <v>-0.95972165613068805</v>
      </c>
      <c r="AG777">
        <v>-1.1106230618199999</v>
      </c>
      <c r="AH777">
        <v>16.4588579939882</v>
      </c>
      <c r="AI777">
        <v>93.853868615891699</v>
      </c>
      <c r="AJ777">
        <v>93.337157763906802</v>
      </c>
      <c r="AK777">
        <v>16.5241809391256</v>
      </c>
      <c r="AL777">
        <v>71.924515328466995</v>
      </c>
      <c r="AM777">
        <v>89.824263091879402</v>
      </c>
      <c r="AN777">
        <v>0.99999999678417495</v>
      </c>
    </row>
    <row r="778" spans="1:40" x14ac:dyDescent="0.25">
      <c r="A778" t="str">
        <f>"20190304164610217"</f>
        <v>20190304164610217</v>
      </c>
      <c r="B778" t="str">
        <f>"1551689170208802"</f>
        <v>1551689170208802</v>
      </c>
      <c r="C778" t="s">
        <v>40</v>
      </c>
      <c r="D778">
        <v>4.1830939999999996</v>
      </c>
      <c r="E778">
        <v>0.42508220000000002</v>
      </c>
      <c r="F778" t="s">
        <v>42</v>
      </c>
      <c r="G778">
        <v>-227.98670000000001</v>
      </c>
      <c r="H778" s="1">
        <v>-8.9495970000000004E-7</v>
      </c>
      <c r="I778">
        <v>369.80029999999999</v>
      </c>
      <c r="J778">
        <v>-247.089</v>
      </c>
      <c r="K778">
        <v>1.1106469999999999</v>
      </c>
      <c r="L778">
        <v>367.80180000000001</v>
      </c>
      <c r="M778">
        <v>0.99987870000000001</v>
      </c>
      <c r="N778">
        <v>-1.4351330000000001E-2</v>
      </c>
      <c r="O778">
        <v>-6.058674E-3</v>
      </c>
      <c r="P778">
        <v>0.95503099999999996</v>
      </c>
      <c r="Q778">
        <v>0.2963594</v>
      </c>
      <c r="R778">
        <v>-9.3210299999999992E-3</v>
      </c>
      <c r="S778">
        <v>3.2012019999999999</v>
      </c>
      <c r="T778">
        <v>-0.1829472</v>
      </c>
      <c r="U778">
        <v>0.32885740000000002</v>
      </c>
      <c r="V778">
        <v>3.64351E-3</v>
      </c>
      <c r="W778">
        <v>0.31003399999999998</v>
      </c>
      <c r="X778">
        <v>0.95071850000000002</v>
      </c>
      <c r="Y778">
        <v>-0.10799309999999999</v>
      </c>
      <c r="Z778">
        <v>4.1114879999999999E-3</v>
      </c>
      <c r="AA778">
        <v>0.99414309999999995</v>
      </c>
      <c r="AB778">
        <v>31</v>
      </c>
      <c r="AC778">
        <v>19.1023</v>
      </c>
      <c r="AD778">
        <v>-1.1106478949596901</v>
      </c>
      <c r="AE778">
        <v>1.99849999999997</v>
      </c>
      <c r="AF778">
        <v>-2.1071636842172099</v>
      </c>
      <c r="AG778">
        <v>-1.1106478949596901</v>
      </c>
      <c r="AH778">
        <v>19.026217985066001</v>
      </c>
      <c r="AI778">
        <v>93.320570404214195</v>
      </c>
      <c r="AJ778">
        <v>96.319782988196593</v>
      </c>
      <c r="AK778">
        <v>19.174739851009999</v>
      </c>
      <c r="AL778">
        <v>71.938720710900895</v>
      </c>
      <c r="AM778">
        <v>89.780422150607706</v>
      </c>
      <c r="AN778">
        <v>1.00000001128168</v>
      </c>
    </row>
    <row r="779" spans="1:40" x14ac:dyDescent="0.25">
      <c r="A779" t="str">
        <f>"20190304164610237"</f>
        <v>20190304164610237</v>
      </c>
      <c r="B779" t="str">
        <f>"1551689170228321"</f>
        <v>1551689170228321</v>
      </c>
      <c r="C779" t="s">
        <v>40</v>
      </c>
      <c r="D779">
        <v>4.1709709999999998</v>
      </c>
      <c r="E779">
        <v>0.42462220000000001</v>
      </c>
      <c r="F779" t="s">
        <v>42</v>
      </c>
      <c r="G779">
        <v>-220.12</v>
      </c>
      <c r="H779" s="1">
        <v>-4.9149379999999999E-6</v>
      </c>
      <c r="I779">
        <v>373.44839999999999</v>
      </c>
      <c r="J779">
        <v>-246.80189999999999</v>
      </c>
      <c r="K779">
        <v>1.110671</v>
      </c>
      <c r="L779">
        <v>367.79989999999998</v>
      </c>
      <c r="M779">
        <v>0.99987820000000005</v>
      </c>
      <c r="N779">
        <v>-1.434822E-2</v>
      </c>
      <c r="O779">
        <v>-6.1447169999999897E-3</v>
      </c>
      <c r="P779">
        <v>0.95517620000000003</v>
      </c>
      <c r="Q779">
        <v>0.29588579999999998</v>
      </c>
      <c r="R779">
        <v>-9.5076229999999998E-3</v>
      </c>
      <c r="S779">
        <v>3.1885219999999999</v>
      </c>
      <c r="T779">
        <v>-0.13131080000000001</v>
      </c>
      <c r="U779">
        <v>0.66760249999999999</v>
      </c>
      <c r="V779">
        <v>3.7265359999999999E-3</v>
      </c>
      <c r="W779">
        <v>0.30956020000000001</v>
      </c>
      <c r="X779">
        <v>0.95087250000000001</v>
      </c>
      <c r="Y779">
        <v>-0.2107089</v>
      </c>
      <c r="Z779">
        <v>5.9823139999999999E-3</v>
      </c>
      <c r="AA779">
        <v>0.97753049999999997</v>
      </c>
      <c r="AB779">
        <v>31</v>
      </c>
      <c r="AC779">
        <v>26.681899999999899</v>
      </c>
      <c r="AD779">
        <v>-1.1106759149380001</v>
      </c>
      <c r="AE779">
        <v>5.6485000000000101</v>
      </c>
      <c r="AF779">
        <v>-5.80273940893405</v>
      </c>
      <c r="AG779">
        <v>-1.1106759149380001</v>
      </c>
      <c r="AH779">
        <v>26.602565238620699</v>
      </c>
      <c r="AI779">
        <v>92.335889441264698</v>
      </c>
      <c r="AJ779">
        <v>102.305021068817</v>
      </c>
      <c r="AK779">
        <v>27.250722245677999</v>
      </c>
      <c r="AL779">
        <v>71.967271106755504</v>
      </c>
      <c r="AM779">
        <v>89.775454972268903</v>
      </c>
      <c r="AN779">
        <v>0.99999995787542295</v>
      </c>
    </row>
    <row r="780" spans="1:40" x14ac:dyDescent="0.25">
      <c r="A780" t="str">
        <f>"20190304164610259"</f>
        <v>20190304164610259</v>
      </c>
      <c r="B780" t="str">
        <f>"1551689170248817"</f>
        <v>1551689170248817</v>
      </c>
      <c r="C780" t="s">
        <v>40</v>
      </c>
      <c r="D780">
        <v>4.2174149999999999</v>
      </c>
      <c r="E780">
        <v>0.42378149999999998</v>
      </c>
      <c r="F780" t="s">
        <v>42</v>
      </c>
      <c r="G780">
        <v>-222.20320000000001</v>
      </c>
      <c r="H780" s="1">
        <v>-4.1230439999999997E-6</v>
      </c>
      <c r="I780">
        <v>372.98070000000001</v>
      </c>
      <c r="J780">
        <v>-246.49440000000001</v>
      </c>
      <c r="K780">
        <v>1.1106929999999999</v>
      </c>
      <c r="L780">
        <v>367.79790000000003</v>
      </c>
      <c r="M780">
        <v>0.99987780000000004</v>
      </c>
      <c r="N780">
        <v>-1.4344910000000001E-2</v>
      </c>
      <c r="O780">
        <v>-6.2105469999999899E-3</v>
      </c>
      <c r="P780">
        <v>0.955264</v>
      </c>
      <c r="Q780">
        <v>0.29558679999999998</v>
      </c>
      <c r="R780">
        <v>-9.9477880000000008E-3</v>
      </c>
      <c r="S780">
        <v>3.1921080000000002</v>
      </c>
      <c r="T780">
        <v>-0.14412920000000001</v>
      </c>
      <c r="U780">
        <v>0.67230219999999996</v>
      </c>
      <c r="V780">
        <v>4.0853900000000004E-3</v>
      </c>
      <c r="W780">
        <v>0.30925910000000001</v>
      </c>
      <c r="X780">
        <v>0.95096899999999995</v>
      </c>
      <c r="Y780">
        <v>-0.21188870000000001</v>
      </c>
      <c r="Z780">
        <v>6.4558489999999996E-3</v>
      </c>
      <c r="AA780">
        <v>0.97727249999999999</v>
      </c>
      <c r="AB780">
        <v>31</v>
      </c>
      <c r="AC780">
        <v>24.2912</v>
      </c>
      <c r="AD780">
        <v>-1.1106971230439999</v>
      </c>
      <c r="AE780">
        <v>5.1827999999999799</v>
      </c>
      <c r="AF780">
        <v>-5.3229330477241703</v>
      </c>
      <c r="AG780">
        <v>-1.1106971230439999</v>
      </c>
      <c r="AH780">
        <v>24.210127671286799</v>
      </c>
      <c r="AI780">
        <v>92.565545399947197</v>
      </c>
      <c r="AJ780">
        <v>102.399980262733</v>
      </c>
      <c r="AK780">
        <v>24.813253438227299</v>
      </c>
      <c r="AL780">
        <v>71.985413158652193</v>
      </c>
      <c r="AM780">
        <v>89.753857208112294</v>
      </c>
      <c r="AN780">
        <v>0.99999996015263004</v>
      </c>
    </row>
    <row r="781" spans="1:40" x14ac:dyDescent="0.25">
      <c r="A781" t="str">
        <f>"20190304164610275"</f>
        <v>20190304164610275</v>
      </c>
      <c r="B781" t="str">
        <f>"1551689170268337"</f>
        <v>1551689170268337</v>
      </c>
      <c r="C781" t="s">
        <v>40</v>
      </c>
      <c r="D781">
        <v>4.3563549999999998</v>
      </c>
      <c r="E781">
        <v>0.4230373</v>
      </c>
      <c r="F781" t="s">
        <v>42</v>
      </c>
      <c r="G781">
        <v>-220.29</v>
      </c>
      <c r="H781" s="1">
        <v>-4.8403720000000004E-6</v>
      </c>
      <c r="I781">
        <v>373.35430000000002</v>
      </c>
      <c r="J781">
        <v>-246.2817</v>
      </c>
      <c r="K781">
        <v>1.1107100000000001</v>
      </c>
      <c r="L781">
        <v>367.79660000000001</v>
      </c>
      <c r="M781">
        <v>0.99987780000000004</v>
      </c>
      <c r="N781">
        <v>-1.434261E-2</v>
      </c>
      <c r="O781">
        <v>-6.2452219999999999E-3</v>
      </c>
      <c r="P781">
        <v>0.95526469999999997</v>
      </c>
      <c r="Q781">
        <v>0.29559649999999998</v>
      </c>
      <c r="R781">
        <v>-9.6057060000000003E-3</v>
      </c>
      <c r="S781">
        <v>3.189362</v>
      </c>
      <c r="T781">
        <v>-0.13518379999999999</v>
      </c>
      <c r="U781">
        <v>0.67626949999999997</v>
      </c>
      <c r="V781">
        <v>3.700264E-3</v>
      </c>
      <c r="W781">
        <v>0.30926679999999901</v>
      </c>
      <c r="X781">
        <v>0.95096809999999998</v>
      </c>
      <c r="Y781">
        <v>-0.21328330000000001</v>
      </c>
      <c r="Z781">
        <v>6.1889390000000001E-3</v>
      </c>
      <c r="AA781">
        <v>0.97697080000000003</v>
      </c>
      <c r="AB781">
        <v>31</v>
      </c>
      <c r="AC781">
        <v>25.991700000000002</v>
      </c>
      <c r="AD781">
        <v>-1.110714840372</v>
      </c>
      <c r="AE781">
        <v>5.5577000000000103</v>
      </c>
      <c r="AF781">
        <v>-5.7099608775328203</v>
      </c>
      <c r="AG781">
        <v>-1.110714840372</v>
      </c>
      <c r="AH781">
        <v>25.911231506932701</v>
      </c>
      <c r="AI781">
        <v>92.397103294473496</v>
      </c>
      <c r="AJ781">
        <v>102.42743271254901</v>
      </c>
      <c r="AK781">
        <v>26.556152938357599</v>
      </c>
      <c r="AL781">
        <v>71.984949726792905</v>
      </c>
      <c r="AM781">
        <v>89.777060407879304</v>
      </c>
      <c r="AN781">
        <v>0.99999998637675902</v>
      </c>
    </row>
    <row r="782" spans="1:40" x14ac:dyDescent="0.25">
      <c r="A782" t="str">
        <f>"20190304164610287"</f>
        <v>20190304164610287</v>
      </c>
      <c r="B782" t="str">
        <f>"1551689170279074"</f>
        <v>1551689170279074</v>
      </c>
      <c r="C782" t="s">
        <v>40</v>
      </c>
      <c r="D782">
        <v>4.1984870000000001</v>
      </c>
      <c r="E782">
        <v>0.42300389999999999</v>
      </c>
      <c r="F782" t="s">
        <v>42</v>
      </c>
      <c r="G782">
        <v>-215.32390000000001</v>
      </c>
      <c r="H782" s="1">
        <v>-3.2668129999999999E-6</v>
      </c>
      <c r="I782">
        <v>374.42129999999997</v>
      </c>
      <c r="J782">
        <v>-246.0951</v>
      </c>
      <c r="K782">
        <v>1.1107260000000001</v>
      </c>
      <c r="L782">
        <v>367.79539999999997</v>
      </c>
      <c r="M782">
        <v>0.99987769999999998</v>
      </c>
      <c r="N782">
        <v>-1.434062E-2</v>
      </c>
      <c r="O782">
        <v>-6.2671019999999897E-3</v>
      </c>
      <c r="P782">
        <v>0.9550883</v>
      </c>
      <c r="Q782">
        <v>0.29617789999999999</v>
      </c>
      <c r="R782">
        <v>-9.2472920000000007E-3</v>
      </c>
      <c r="S782">
        <v>3.1826780000000001</v>
      </c>
      <c r="T782">
        <v>-0.11418879999999999</v>
      </c>
      <c r="U782">
        <v>0.68106080000000002</v>
      </c>
      <c r="V782">
        <v>3.3153800000000001E-3</v>
      </c>
      <c r="W782">
        <v>0.30984400000000001</v>
      </c>
      <c r="X782">
        <v>0.9507816</v>
      </c>
      <c r="Y782">
        <v>-0.2151885</v>
      </c>
      <c r="Z782">
        <v>5.5103460000000002E-3</v>
      </c>
      <c r="AA782">
        <v>0.97655700000000001</v>
      </c>
      <c r="AB782">
        <v>31</v>
      </c>
      <c r="AC782">
        <v>30.7712</v>
      </c>
      <c r="AD782">
        <v>-1.110729266813</v>
      </c>
      <c r="AE782">
        <v>6.6258999999999997</v>
      </c>
      <c r="AF782">
        <v>-6.8101558000057603</v>
      </c>
      <c r="AG782">
        <v>-1.110729266813</v>
      </c>
      <c r="AH782">
        <v>30.6908494557367</v>
      </c>
      <c r="AI782">
        <v>92.023505622637998</v>
      </c>
      <c r="AJ782">
        <v>102.510957665079</v>
      </c>
      <c r="AK782">
        <v>31.4569576062149</v>
      </c>
      <c r="AL782">
        <v>71.950170043870202</v>
      </c>
      <c r="AM782">
        <v>89.800210151755095</v>
      </c>
      <c r="AN782">
        <v>0.99999997348955105</v>
      </c>
    </row>
    <row r="783" spans="1:40" x14ac:dyDescent="0.25">
      <c r="A783" t="str">
        <f>"20190304164610305"</f>
        <v>20190304164610305</v>
      </c>
      <c r="B783" t="str">
        <f>"1551689170298597"</f>
        <v>1551689170298597</v>
      </c>
      <c r="C783" t="s">
        <v>40</v>
      </c>
      <c r="D783">
        <v>4.1691969999999996</v>
      </c>
      <c r="E783">
        <v>0.42296070000000002</v>
      </c>
      <c r="F783" t="s">
        <v>42</v>
      </c>
      <c r="G783">
        <v>-212.2629</v>
      </c>
      <c r="H783" s="1">
        <v>-4.4680350000000002E-6</v>
      </c>
      <c r="I783">
        <v>375.04020000000003</v>
      </c>
      <c r="J783">
        <v>-245.86170000000001</v>
      </c>
      <c r="K783">
        <v>1.110744</v>
      </c>
      <c r="L783">
        <v>367.79390000000001</v>
      </c>
      <c r="M783">
        <v>0.99987749999999997</v>
      </c>
      <c r="N783">
        <v>-1.4338109999999999E-2</v>
      </c>
      <c r="O783">
        <v>-6.2906439999999997E-3</v>
      </c>
      <c r="P783">
        <v>0.95469179999999998</v>
      </c>
      <c r="Q783">
        <v>0.29748629999999998</v>
      </c>
      <c r="R783">
        <v>-8.0930930000000009E-3</v>
      </c>
      <c r="S783">
        <v>3.1800229999999998</v>
      </c>
      <c r="T783">
        <v>-0.1044017</v>
      </c>
      <c r="U783">
        <v>0.68096919999999905</v>
      </c>
      <c r="V783">
        <v>2.1346160000000002E-3</v>
      </c>
      <c r="W783">
        <v>0.31114439999999999</v>
      </c>
      <c r="X783">
        <v>0.95036019999999999</v>
      </c>
      <c r="Y783">
        <v>-0.21537790000000001</v>
      </c>
      <c r="Z783">
        <v>5.1719940000000001E-3</v>
      </c>
      <c r="AA783">
        <v>0.97651710000000003</v>
      </c>
      <c r="AB783">
        <v>31</v>
      </c>
      <c r="AC783">
        <v>33.598799999999997</v>
      </c>
      <c r="AD783">
        <v>-1.1107484680349999</v>
      </c>
      <c r="AE783">
        <v>7.2463000000000104</v>
      </c>
      <c r="AF783">
        <v>-7.4497563709485002</v>
      </c>
      <c r="AG783">
        <v>-1.1107484680349999</v>
      </c>
      <c r="AH783">
        <v>33.517543030831099</v>
      </c>
      <c r="AI783">
        <v>91.852865597077596</v>
      </c>
      <c r="AJ783">
        <v>102.531110215662</v>
      </c>
      <c r="AK783">
        <v>34.353432477255403</v>
      </c>
      <c r="AL783">
        <v>71.871788218759605</v>
      </c>
      <c r="AM783">
        <v>89.871307445318607</v>
      </c>
      <c r="AN783">
        <v>0.99999995199043201</v>
      </c>
    </row>
    <row r="784" spans="1:40" x14ac:dyDescent="0.25">
      <c r="A784" t="str">
        <f>"20190304164610325"</f>
        <v>20190304164610325</v>
      </c>
      <c r="B784" t="str">
        <f>"1551689170319089"</f>
        <v>1551689170319089</v>
      </c>
      <c r="C784" t="s">
        <v>40</v>
      </c>
      <c r="D784">
        <v>4.1586730000000003</v>
      </c>
      <c r="E784">
        <v>0.42230990000000002</v>
      </c>
      <c r="F784" t="s">
        <v>44</v>
      </c>
      <c r="G784">
        <v>-206.44489999999999</v>
      </c>
      <c r="H784" s="1">
        <v>-4.3684959999999997E-6</v>
      </c>
      <c r="I784">
        <v>376.27659999999997</v>
      </c>
      <c r="J784">
        <v>-245.57050000000001</v>
      </c>
      <c r="K784">
        <v>1.1107579999999999</v>
      </c>
      <c r="L784">
        <v>367.7921</v>
      </c>
      <c r="M784">
        <v>0.99987729999999997</v>
      </c>
      <c r="N784">
        <v>-1.4334980000000001E-2</v>
      </c>
      <c r="O784">
        <v>-6.3146790000000001E-3</v>
      </c>
      <c r="P784">
        <v>0.95467599999999997</v>
      </c>
      <c r="Q784">
        <v>0.29754649999999999</v>
      </c>
      <c r="R784">
        <v>-7.7444089999999998E-3</v>
      </c>
      <c r="S784">
        <v>3.1760410000000001</v>
      </c>
      <c r="T784">
        <v>-8.9499590000000004E-2</v>
      </c>
      <c r="U784">
        <v>0.68350219999999995</v>
      </c>
      <c r="V784">
        <v>1.7568449999999999E-3</v>
      </c>
      <c r="W784">
        <v>0.31120150000000002</v>
      </c>
      <c r="X784">
        <v>0.95034229999999997</v>
      </c>
      <c r="Y784">
        <v>-0.2164326</v>
      </c>
      <c r="Z784">
        <v>4.6702169999999999E-3</v>
      </c>
      <c r="AA784">
        <v>0.9762864</v>
      </c>
      <c r="AB784">
        <v>31</v>
      </c>
      <c r="AC784">
        <v>39.125599999999999</v>
      </c>
      <c r="AD784">
        <v>-1.110762368496</v>
      </c>
      <c r="AE784">
        <v>8.4844999999999597</v>
      </c>
      <c r="AF784">
        <v>-8.72470574834432</v>
      </c>
      <c r="AG784">
        <v>-1.110762368496</v>
      </c>
      <c r="AH784">
        <v>39.041184477929001</v>
      </c>
      <c r="AI784">
        <v>91.590474921312804</v>
      </c>
      <c r="AJ784">
        <v>102.59715850206599</v>
      </c>
      <c r="AK784">
        <v>40.019599809020399</v>
      </c>
      <c r="AL784">
        <v>71.868346127072698</v>
      </c>
      <c r="AM784">
        <v>89.894080596969005</v>
      </c>
      <c r="AN784">
        <v>0.99999997363794602</v>
      </c>
    </row>
    <row r="785" spans="1:40" x14ac:dyDescent="0.25">
      <c r="A785" t="str">
        <f>"20190304164610349"</f>
        <v>20190304164610349</v>
      </c>
      <c r="B785" t="str">
        <f>"1551689170338609"</f>
        <v>1551689170338609</v>
      </c>
      <c r="C785" t="s">
        <v>40</v>
      </c>
      <c r="D785">
        <v>4.22525</v>
      </c>
      <c r="E785">
        <v>0.42179830000000001</v>
      </c>
      <c r="F785" t="s">
        <v>44</v>
      </c>
      <c r="G785">
        <v>-203.1112</v>
      </c>
      <c r="H785" s="1">
        <v>-2.523889E-6</v>
      </c>
      <c r="I785">
        <v>377.0317</v>
      </c>
      <c r="J785">
        <v>-245.2551</v>
      </c>
      <c r="K785">
        <v>1.1107560000000001</v>
      </c>
      <c r="L785">
        <v>367.79</v>
      </c>
      <c r="M785">
        <v>0.99987720000000002</v>
      </c>
      <c r="N785">
        <v>-1.433159E-2</v>
      </c>
      <c r="O785">
        <v>-6.3383959999999996E-3</v>
      </c>
      <c r="P785">
        <v>0.95528789999999997</v>
      </c>
      <c r="Q785">
        <v>0.29558590000000001</v>
      </c>
      <c r="R785">
        <v>-7.3497369999999899E-3</v>
      </c>
      <c r="S785">
        <v>3.173889</v>
      </c>
      <c r="T785">
        <v>-8.3030820000000005E-2</v>
      </c>
      <c r="U785">
        <v>0.6906738</v>
      </c>
      <c r="V785">
        <v>1.331322E-3</v>
      </c>
      <c r="W785">
        <v>0.30924639999999998</v>
      </c>
      <c r="X785">
        <v>0.95098099999999997</v>
      </c>
      <c r="Y785">
        <v>-0.21871189999999999</v>
      </c>
      <c r="Z785">
        <v>4.4872449999999999E-3</v>
      </c>
      <c r="AA785">
        <v>0.97577919999999996</v>
      </c>
      <c r="AB785">
        <v>31</v>
      </c>
      <c r="AC785">
        <v>42.143900000000002</v>
      </c>
      <c r="AD785">
        <v>-1.1107585238890001</v>
      </c>
      <c r="AE785">
        <v>9.2416999999999803</v>
      </c>
      <c r="AF785">
        <v>-9.5023684617007902</v>
      </c>
      <c r="AG785">
        <v>-1.1107585238890001</v>
      </c>
      <c r="AH785">
        <v>42.056595223035202</v>
      </c>
      <c r="AI785">
        <v>91.475708050302998</v>
      </c>
      <c r="AJ785">
        <v>102.731767362504</v>
      </c>
      <c r="AK785">
        <v>43.131032825965796</v>
      </c>
      <c r="AL785">
        <v>71.986178792957901</v>
      </c>
      <c r="AM785">
        <v>89.9197890578874</v>
      </c>
      <c r="AN785">
        <v>0.99999998534611301</v>
      </c>
    </row>
    <row r="786" spans="1:40" x14ac:dyDescent="0.25">
      <c r="A786" t="str">
        <f>"20190304164610371"</f>
        <v>20190304164610371</v>
      </c>
      <c r="B786" t="str">
        <f>"1551689170359106"</f>
        <v>1551689170359106</v>
      </c>
      <c r="C786" t="s">
        <v>40</v>
      </c>
      <c r="D786">
        <v>4.5446439999999999</v>
      </c>
      <c r="E786">
        <v>0.46583859999999999</v>
      </c>
      <c r="F786" t="s">
        <v>44</v>
      </c>
      <c r="G786">
        <v>-203.56559999999999</v>
      </c>
      <c r="H786" s="1">
        <v>-2.8138629999999999E-6</v>
      </c>
      <c r="I786">
        <v>376.95280000000002</v>
      </c>
      <c r="J786">
        <v>-244.94820000000001</v>
      </c>
      <c r="K786">
        <v>1.1107530000000001</v>
      </c>
      <c r="L786">
        <v>367.78809999999999</v>
      </c>
      <c r="M786">
        <v>0.99987720000000002</v>
      </c>
      <c r="N786">
        <v>-1.4328280000000001E-2</v>
      </c>
      <c r="O786">
        <v>-6.3620359999999997E-3</v>
      </c>
      <c r="P786">
        <v>0.95581470000000002</v>
      </c>
      <c r="Q786">
        <v>0.29388140000000001</v>
      </c>
      <c r="R786">
        <v>-7.2147030000000003E-3</v>
      </c>
      <c r="S786">
        <v>3.1719360000000001</v>
      </c>
      <c r="T786">
        <v>-8.4511879999999998E-2</v>
      </c>
      <c r="U786">
        <v>0.69714359999999997</v>
      </c>
      <c r="V786">
        <v>1.1677429999999999E-3</v>
      </c>
      <c r="W786">
        <v>0.30754680000000001</v>
      </c>
      <c r="X786">
        <v>0.95153220000000005</v>
      </c>
      <c r="Y786">
        <v>-0.22075429999999999</v>
      </c>
      <c r="Z786">
        <v>4.5837789999999996E-3</v>
      </c>
      <c r="AA786">
        <v>0.97531869999999998</v>
      </c>
      <c r="AB786">
        <v>31</v>
      </c>
      <c r="AC786">
        <v>41.382599999999996</v>
      </c>
      <c r="AD786">
        <v>-1.110755813863</v>
      </c>
      <c r="AE786">
        <v>9.16470000000003</v>
      </c>
      <c r="AF786">
        <v>-9.4213488436941297</v>
      </c>
      <c r="AG786">
        <v>-1.110755813863</v>
      </c>
      <c r="AH786">
        <v>41.295090234505999</v>
      </c>
      <c r="AI786">
        <v>91.502190042598997</v>
      </c>
      <c r="AJ786">
        <v>102.851886092698</v>
      </c>
      <c r="AK786">
        <v>42.3707454499989</v>
      </c>
      <c r="AL786">
        <v>72.088548013709698</v>
      </c>
      <c r="AM786">
        <v>89.929685288772106</v>
      </c>
      <c r="AN786">
        <v>0.99999996272539604</v>
      </c>
    </row>
    <row r="787" spans="1:40" x14ac:dyDescent="0.25">
      <c r="A787" t="str">
        <f>"20190304164610386"</f>
        <v>20190304164610386</v>
      </c>
      <c r="B787" t="str">
        <f>"1551689170378625"</f>
        <v>1551689170378625</v>
      </c>
      <c r="C787" t="s">
        <v>40</v>
      </c>
      <c r="D787">
        <v>4.2857969999999996</v>
      </c>
      <c r="E787">
        <v>0.53791080000000002</v>
      </c>
      <c r="F787" t="s">
        <v>42</v>
      </c>
      <c r="G787">
        <v>-225.1155</v>
      </c>
      <c r="H787" s="1">
        <v>-2.1740310000000001E-6</v>
      </c>
      <c r="I787">
        <v>369.97829999999999</v>
      </c>
      <c r="J787">
        <v>-244.73349999999999</v>
      </c>
      <c r="K787">
        <v>1.110757</v>
      </c>
      <c r="L787">
        <v>367.78660000000002</v>
      </c>
      <c r="M787">
        <v>0.99987709999999996</v>
      </c>
      <c r="N787">
        <v>-1.432596E-2</v>
      </c>
      <c r="O787">
        <v>-6.3796349999999998E-3</v>
      </c>
      <c r="P787">
        <v>0.95584420000000003</v>
      </c>
      <c r="Q787">
        <v>0.2937823</v>
      </c>
      <c r="R787">
        <v>-7.3423119999999897E-3</v>
      </c>
      <c r="S787">
        <v>3.196396</v>
      </c>
      <c r="T787">
        <v>-0.17901800000000001</v>
      </c>
      <c r="U787">
        <v>0.3529968</v>
      </c>
      <c r="V787">
        <v>1.2771029999999999E-3</v>
      </c>
      <c r="W787">
        <v>0.30744559999999999</v>
      </c>
      <c r="X787">
        <v>0.95156479999999999</v>
      </c>
      <c r="Y787">
        <v>-0.1158767</v>
      </c>
      <c r="Z787">
        <v>4.3308610000000001E-3</v>
      </c>
      <c r="AA787">
        <v>0.99325419999999998</v>
      </c>
      <c r="AB787">
        <v>31</v>
      </c>
      <c r="AC787">
        <v>19.617999999999899</v>
      </c>
      <c r="AD787">
        <v>-1.1107591740310001</v>
      </c>
      <c r="AE787">
        <v>2.19169999999996</v>
      </c>
      <c r="AF787">
        <v>-2.3095114439522102</v>
      </c>
      <c r="AG787">
        <v>-1.1107591740310001</v>
      </c>
      <c r="AH787">
        <v>19.541743217822699</v>
      </c>
      <c r="AI787">
        <v>93.230774340508503</v>
      </c>
      <c r="AJ787">
        <v>96.740150652744603</v>
      </c>
      <c r="AK787">
        <v>19.709067888760199</v>
      </c>
      <c r="AL787">
        <v>72.094642242655397</v>
      </c>
      <c r="AM787">
        <v>89.923102905898403</v>
      </c>
      <c r="AN787">
        <v>0.999999998275236</v>
      </c>
    </row>
    <row r="788" spans="1:40" x14ac:dyDescent="0.25">
      <c r="A788" t="str">
        <f>"20190304164610405"</f>
        <v>20190304164610405</v>
      </c>
      <c r="B788" t="str">
        <f>"1551689170398145"</f>
        <v>1551689170398145</v>
      </c>
      <c r="C788" t="s">
        <v>40</v>
      </c>
      <c r="D788">
        <v>4.322597</v>
      </c>
      <c r="E788">
        <v>0.55169399999999902</v>
      </c>
      <c r="F788" t="s">
        <v>42</v>
      </c>
      <c r="G788">
        <v>-226.3058</v>
      </c>
      <c r="H788" s="1">
        <v>-2.1208990000000001E-6</v>
      </c>
      <c r="I788">
        <v>366.49439999999998</v>
      </c>
      <c r="J788">
        <v>-244.4727</v>
      </c>
      <c r="K788">
        <v>1.11076</v>
      </c>
      <c r="L788">
        <v>367.78489999999999</v>
      </c>
      <c r="M788">
        <v>0.99987689999999996</v>
      </c>
      <c r="N788">
        <v>-1.432315E-2</v>
      </c>
      <c r="O788">
        <v>-6.4021219999999997E-3</v>
      </c>
      <c r="P788">
        <v>0.95562259999999999</v>
      </c>
      <c r="Q788">
        <v>0.2944888</v>
      </c>
      <c r="R788">
        <v>-7.8577179999999996E-3</v>
      </c>
      <c r="S788">
        <v>3.1960449999999998</v>
      </c>
      <c r="T788">
        <v>-0.1926464</v>
      </c>
      <c r="U788">
        <v>-0.22412109999999999</v>
      </c>
      <c r="V788">
        <v>1.7715109999999999E-3</v>
      </c>
      <c r="W788">
        <v>0.30814659999999999</v>
      </c>
      <c r="X788">
        <v>0.95133719999999999</v>
      </c>
      <c r="Y788">
        <v>6.3428979999999996E-2</v>
      </c>
      <c r="Z788">
        <v>-2.0693899999999999E-3</v>
      </c>
      <c r="AA788">
        <v>0.99798419999999999</v>
      </c>
      <c r="AB788">
        <v>31</v>
      </c>
      <c r="AC788">
        <v>18.166899999999998</v>
      </c>
      <c r="AD788">
        <v>-1.1107621208989999</v>
      </c>
      <c r="AE788">
        <v>-1.2905</v>
      </c>
      <c r="AF788">
        <v>1.1698037179571601</v>
      </c>
      <c r="AG788">
        <v>-1.1107621208989999</v>
      </c>
      <c r="AH788">
        <v>18.107438244207799</v>
      </c>
      <c r="AI788">
        <v>93.503004371251194</v>
      </c>
      <c r="AJ788">
        <v>86.303629335484501</v>
      </c>
      <c r="AK788">
        <v>18.179151602744501</v>
      </c>
      <c r="AL788">
        <v>72.052427937188995</v>
      </c>
      <c r="AM788">
        <v>89.893308086403593</v>
      </c>
      <c r="AN788">
        <v>0.99999996672331104</v>
      </c>
    </row>
    <row r="789" spans="1:40" x14ac:dyDescent="0.25">
      <c r="A789" t="str">
        <f>"20190304164610428"</f>
        <v>20190304164610428</v>
      </c>
      <c r="B789" t="str">
        <f>"1551689170418641"</f>
        <v>1551689170418641</v>
      </c>
      <c r="C789" t="s">
        <v>40</v>
      </c>
      <c r="D789">
        <v>4.3210920000000002</v>
      </c>
      <c r="E789">
        <v>0.55546689999999999</v>
      </c>
      <c r="F789" t="s">
        <v>41</v>
      </c>
      <c r="G789">
        <v>-243.62039999999999</v>
      </c>
      <c r="H789">
        <v>1.050983</v>
      </c>
      <c r="I789">
        <v>367.69619999999998</v>
      </c>
      <c r="J789">
        <v>-244.16470000000001</v>
      </c>
      <c r="K789">
        <v>1.1107560000000001</v>
      </c>
      <c r="L789">
        <v>367.78289999999998</v>
      </c>
      <c r="M789">
        <v>0.99987669999999995</v>
      </c>
      <c r="N789">
        <v>-1.431982E-2</v>
      </c>
      <c r="O789">
        <v>-6.4303290000000003E-3</v>
      </c>
      <c r="P789">
        <v>0.95541290000000001</v>
      </c>
      <c r="Q789">
        <v>0.29515269999999999</v>
      </c>
      <c r="R789">
        <v>-8.4316770000000003E-3</v>
      </c>
      <c r="S789">
        <v>3.2059169999999999</v>
      </c>
      <c r="T789">
        <v>-0.2249488</v>
      </c>
      <c r="U789">
        <v>-0.33297729999999998</v>
      </c>
      <c r="V789">
        <v>2.3190300000000001E-3</v>
      </c>
      <c r="W789">
        <v>0.30880429999999998</v>
      </c>
      <c r="X789">
        <v>0.95112280000000005</v>
      </c>
      <c r="Y789">
        <v>9.6635269999999995E-2</v>
      </c>
      <c r="Z789">
        <v>-3.714246E-3</v>
      </c>
      <c r="AA789">
        <v>0.99531289999999994</v>
      </c>
      <c r="AB789">
        <v>31</v>
      </c>
      <c r="AC789">
        <v>0.54430000000002099</v>
      </c>
      <c r="AD789">
        <v>-5.9772999999999799E-2</v>
      </c>
      <c r="AE789">
        <v>-8.6700000000007493E-2</v>
      </c>
      <c r="AF789">
        <v>8.2230687865306504E-2</v>
      </c>
      <c r="AG789">
        <v>-5.9772999999999799E-2</v>
      </c>
      <c r="AH789">
        <v>0.53851275233598195</v>
      </c>
      <c r="AI789">
        <v>96.261706329442504</v>
      </c>
      <c r="AJ789">
        <v>81.318021938010006</v>
      </c>
      <c r="AK789">
        <v>0.54802434433542802</v>
      </c>
      <c r="AL789">
        <v>72.012813673334904</v>
      </c>
      <c r="AM789">
        <v>89.8603015633025</v>
      </c>
      <c r="AN789">
        <v>1.00000002713923</v>
      </c>
    </row>
    <row r="790" spans="1:40" x14ac:dyDescent="0.25">
      <c r="A790" t="str">
        <f>"20190304164610449"</f>
        <v>20190304164610449</v>
      </c>
      <c r="B790" t="str">
        <f>"1551689170438161"</f>
        <v>1551689170438161</v>
      </c>
      <c r="C790" t="s">
        <v>40</v>
      </c>
      <c r="D790">
        <v>4.2837180000000004</v>
      </c>
      <c r="E790">
        <v>0.55683450000000001</v>
      </c>
      <c r="F790" t="s">
        <v>41</v>
      </c>
      <c r="G790">
        <v>-243.3476</v>
      </c>
      <c r="H790">
        <v>1.048943</v>
      </c>
      <c r="I790">
        <v>367.69049999999999</v>
      </c>
      <c r="J790">
        <v>-243.86859999999999</v>
      </c>
      <c r="K790">
        <v>1.110754</v>
      </c>
      <c r="L790">
        <v>367.78100000000001</v>
      </c>
      <c r="M790">
        <v>0.9998766</v>
      </c>
      <c r="N790">
        <v>-1.431664E-2</v>
      </c>
      <c r="O790">
        <v>-6.4589019999999999E-3</v>
      </c>
      <c r="P790">
        <v>0.95557230000000004</v>
      </c>
      <c r="Q790">
        <v>0.29460310000000001</v>
      </c>
      <c r="R790">
        <v>-9.5215370000000001E-3</v>
      </c>
      <c r="S790">
        <v>3.2119450000000001</v>
      </c>
      <c r="T790">
        <v>-0.24318419999999999</v>
      </c>
      <c r="U790">
        <v>-0.3625488</v>
      </c>
      <c r="V790">
        <v>3.379965E-3</v>
      </c>
      <c r="W790">
        <v>0.30825409999999998</v>
      </c>
      <c r="X790">
        <v>0.95129810000000004</v>
      </c>
      <c r="Y790">
        <v>0.1053989</v>
      </c>
      <c r="Z790">
        <v>-4.3352709999999999E-3</v>
      </c>
      <c r="AA790">
        <v>0.99442059999999999</v>
      </c>
      <c r="AB790">
        <v>31</v>
      </c>
      <c r="AC790">
        <v>0.52099999999998603</v>
      </c>
      <c r="AD790">
        <v>-6.1810999999999998E-2</v>
      </c>
      <c r="AE790">
        <v>-9.0500000000019995E-2</v>
      </c>
      <c r="AF790">
        <v>8.5958232153742598E-2</v>
      </c>
      <c r="AG790">
        <v>-6.1810999999999998E-2</v>
      </c>
      <c r="AH790">
        <v>0.51454351654671304</v>
      </c>
      <c r="AI790">
        <v>96.757235598104501</v>
      </c>
      <c r="AJ790">
        <v>80.515904439299305</v>
      </c>
      <c r="AK790">
        <v>0.52532318416024104</v>
      </c>
      <c r="AL790">
        <v>72.045954920929603</v>
      </c>
      <c r="AM790">
        <v>89.796428780308304</v>
      </c>
      <c r="AN790">
        <v>1.0000000446969</v>
      </c>
    </row>
    <row r="791" spans="1:40" x14ac:dyDescent="0.25">
      <c r="A791" t="str">
        <f>"20190304164610472"</f>
        <v>20190304164610472</v>
      </c>
      <c r="B791" t="str">
        <f>"1551689170468418"</f>
        <v>1551689170468418</v>
      </c>
      <c r="C791" t="s">
        <v>40</v>
      </c>
      <c r="D791">
        <v>4.3015129999999999</v>
      </c>
      <c r="E791">
        <v>0.55754890000000001</v>
      </c>
      <c r="F791" t="s">
        <v>41</v>
      </c>
      <c r="G791">
        <v>-243.07259999999999</v>
      </c>
      <c r="H791">
        <v>1.049803</v>
      </c>
      <c r="I791">
        <v>367.6875</v>
      </c>
      <c r="J791">
        <v>-243.56720000000001</v>
      </c>
      <c r="K791">
        <v>1.110749</v>
      </c>
      <c r="L791">
        <v>367.779</v>
      </c>
      <c r="M791">
        <v>0.99987669999999995</v>
      </c>
      <c r="N791">
        <v>-1.431341E-2</v>
      </c>
      <c r="O791">
        <v>-6.4879660000000004E-3</v>
      </c>
      <c r="P791">
        <v>0.95587040000000001</v>
      </c>
      <c r="Q791">
        <v>0.293620099999999</v>
      </c>
      <c r="R791">
        <v>-9.9662729999999995E-3</v>
      </c>
      <c r="S791">
        <v>3.2116090000000002</v>
      </c>
      <c r="T791">
        <v>-0.24619279999999999</v>
      </c>
      <c r="U791">
        <v>-0.37649539999999998</v>
      </c>
      <c r="V791">
        <v>3.7950750000000002E-3</v>
      </c>
      <c r="W791">
        <v>0.30727179999999998</v>
      </c>
      <c r="X791">
        <v>0.95161419999999997</v>
      </c>
      <c r="Y791">
        <v>0.10962040000000001</v>
      </c>
      <c r="Z791">
        <v>-4.5673429999999998E-3</v>
      </c>
      <c r="AA791">
        <v>0.99396300000000004</v>
      </c>
      <c r="AB791">
        <v>31</v>
      </c>
      <c r="AC791">
        <v>0.49460000000001902</v>
      </c>
      <c r="AD791">
        <v>-6.0945999999999903E-2</v>
      </c>
      <c r="AE791">
        <v>-9.1499999999996307E-2</v>
      </c>
      <c r="AF791">
        <v>8.7011349236443394E-2</v>
      </c>
      <c r="AG791">
        <v>-6.0945999999999903E-2</v>
      </c>
      <c r="AH791">
        <v>0.48801850270979102</v>
      </c>
      <c r="AI791">
        <v>97.009096759948903</v>
      </c>
      <c r="AJ791">
        <v>79.8906675571492</v>
      </c>
      <c r="AK791">
        <v>0.49944714314835498</v>
      </c>
      <c r="AL791">
        <v>72.105106343839296</v>
      </c>
      <c r="AM791">
        <v>89.771503380590602</v>
      </c>
      <c r="AN791">
        <v>0.99999997365556703</v>
      </c>
    </row>
    <row r="792" spans="1:40" x14ac:dyDescent="0.25">
      <c r="A792" t="str">
        <f>"20190304164610487"</f>
        <v>20190304164610487</v>
      </c>
      <c r="B792" t="str">
        <f>"1551689170478178"</f>
        <v>1551689170478178</v>
      </c>
      <c r="C792" t="s">
        <v>40</v>
      </c>
      <c r="D792">
        <v>4.3002609999999999</v>
      </c>
      <c r="E792">
        <v>0.55764659999999999</v>
      </c>
      <c r="F792" t="s">
        <v>41</v>
      </c>
      <c r="G792">
        <v>-242.79920000000001</v>
      </c>
      <c r="H792">
        <v>1.04945</v>
      </c>
      <c r="I792">
        <v>367.6875</v>
      </c>
      <c r="J792">
        <v>-243.34119999999999</v>
      </c>
      <c r="K792">
        <v>1.1107479999999901</v>
      </c>
      <c r="L792">
        <v>367.77749999999997</v>
      </c>
      <c r="M792">
        <v>0.99987649999999995</v>
      </c>
      <c r="N792">
        <v>-1.4310979999999999E-2</v>
      </c>
      <c r="O792">
        <v>-6.5095269999999898E-3</v>
      </c>
      <c r="P792">
        <v>0.95593470000000003</v>
      </c>
      <c r="Q792">
        <v>0.2933887</v>
      </c>
      <c r="R792">
        <v>-1.058051E-2</v>
      </c>
      <c r="S792">
        <v>3.2133029999999998</v>
      </c>
      <c r="T792">
        <v>-0.25650010000000001</v>
      </c>
      <c r="U792">
        <v>-0.38272089999999998</v>
      </c>
      <c r="V792">
        <v>4.3882230000000001E-3</v>
      </c>
      <c r="W792">
        <v>0.30703950000000002</v>
      </c>
      <c r="X792">
        <v>0.9516867</v>
      </c>
      <c r="Y792">
        <v>0.1114031</v>
      </c>
      <c r="Z792">
        <v>-4.8009940000000003E-3</v>
      </c>
      <c r="AA792">
        <v>0.99376370000000003</v>
      </c>
      <c r="AB792">
        <v>31</v>
      </c>
      <c r="AC792">
        <v>0.54199999999997295</v>
      </c>
      <c r="AD792">
        <v>-6.1297999999999797E-2</v>
      </c>
      <c r="AE792">
        <v>-8.9999999999974906E-2</v>
      </c>
      <c r="AF792">
        <v>8.5406473123913904E-2</v>
      </c>
      <c r="AG792">
        <v>-6.1297999999999797E-2</v>
      </c>
      <c r="AH792">
        <v>0.53590378225957402</v>
      </c>
      <c r="AI792">
        <v>96.444642274967293</v>
      </c>
      <c r="AJ792">
        <v>80.944975327114406</v>
      </c>
      <c r="AK792">
        <v>0.54611772933643399</v>
      </c>
      <c r="AL792">
        <v>72.119093524080895</v>
      </c>
      <c r="AM792">
        <v>89.735811296300596</v>
      </c>
      <c r="AN792">
        <v>1.0000000430091101</v>
      </c>
    </row>
    <row r="793" spans="1:40" x14ac:dyDescent="0.25">
      <c r="A793" t="str">
        <f>"20190304164610506"</f>
        <v>20190304164610506</v>
      </c>
      <c r="B793" t="str">
        <f>"1551689170498677"</f>
        <v>1551689170498677</v>
      </c>
      <c r="C793" t="s">
        <v>40</v>
      </c>
      <c r="D793">
        <v>4.2996369999999997</v>
      </c>
      <c r="E793">
        <v>0.5585561</v>
      </c>
      <c r="F793" t="s">
        <v>41</v>
      </c>
      <c r="G793">
        <v>-242.5291</v>
      </c>
      <c r="H793">
        <v>1.0453319999999999</v>
      </c>
      <c r="I793">
        <v>367.68</v>
      </c>
      <c r="J793">
        <v>-243.10159999999999</v>
      </c>
      <c r="K793">
        <v>1.110744</v>
      </c>
      <c r="L793">
        <v>367.77589999999998</v>
      </c>
      <c r="M793">
        <v>0.99987630000000005</v>
      </c>
      <c r="N793">
        <v>-1.4308390000000001E-2</v>
      </c>
      <c r="O793">
        <v>-6.5323990000000004E-3</v>
      </c>
      <c r="P793">
        <v>0.95597089999999996</v>
      </c>
      <c r="Q793">
        <v>0.29322890000000001</v>
      </c>
      <c r="R793">
        <v>-1.168539E-2</v>
      </c>
      <c r="S793">
        <v>3.2135470000000002</v>
      </c>
      <c r="T793">
        <v>-0.25910509999999998</v>
      </c>
      <c r="U793">
        <v>-0.38494869999999998</v>
      </c>
      <c r="V793">
        <v>5.4711480000000003E-3</v>
      </c>
      <c r="W793">
        <v>0.30687759999999997</v>
      </c>
      <c r="X793">
        <v>0.9517333</v>
      </c>
      <c r="Y793">
        <v>0.112041</v>
      </c>
      <c r="Z793">
        <v>-4.8686429999999998E-3</v>
      </c>
      <c r="AA793">
        <v>0.99369169999999996</v>
      </c>
      <c r="AB793">
        <v>31</v>
      </c>
      <c r="AC793">
        <v>0.57249999999999002</v>
      </c>
      <c r="AD793">
        <v>-6.5411999999999998E-2</v>
      </c>
      <c r="AE793">
        <v>-9.5899999999971897E-2</v>
      </c>
      <c r="AF793">
        <v>9.1002199270975706E-2</v>
      </c>
      <c r="AG793">
        <v>-6.5411999999999998E-2</v>
      </c>
      <c r="AH793">
        <v>0.56592798251586995</v>
      </c>
      <c r="AI793">
        <v>96.510296128002196</v>
      </c>
      <c r="AJ793">
        <v>80.864939484471506</v>
      </c>
      <c r="AK793">
        <v>0.57691820166349195</v>
      </c>
      <c r="AL793">
        <v>72.128840098765707</v>
      </c>
      <c r="AM793">
        <v>89.670632270108499</v>
      </c>
      <c r="AN793">
        <v>1.00000003458554</v>
      </c>
    </row>
    <row r="794" spans="1:40" x14ac:dyDescent="0.25">
      <c r="A794" t="str">
        <f>"20190304164610527"</f>
        <v>20190304164610527</v>
      </c>
      <c r="B794" t="str">
        <f>"1551689170518193"</f>
        <v>1551689170518193</v>
      </c>
      <c r="C794" t="s">
        <v>40</v>
      </c>
      <c r="D794">
        <v>4.0870230000000003</v>
      </c>
      <c r="E794">
        <v>0.55905629999999995</v>
      </c>
      <c r="F794" t="s">
        <v>41</v>
      </c>
      <c r="G794">
        <v>-242.25839999999999</v>
      </c>
      <c r="H794">
        <v>1.0424450000000001</v>
      </c>
      <c r="I794">
        <v>367.67239999999998</v>
      </c>
      <c r="J794">
        <v>-242.8031</v>
      </c>
      <c r="K794">
        <v>1.110746</v>
      </c>
      <c r="L794">
        <v>367.77390000000003</v>
      </c>
      <c r="M794">
        <v>0.99987610000000005</v>
      </c>
      <c r="N794">
        <v>-1.4305180000000001E-2</v>
      </c>
      <c r="O794">
        <v>-6.5613399999999997E-3</v>
      </c>
      <c r="P794">
        <v>0.95597310000000002</v>
      </c>
      <c r="Q794">
        <v>0.2932033</v>
      </c>
      <c r="R794">
        <v>-1.213932E-2</v>
      </c>
      <c r="S794">
        <v>3.2131810000000001</v>
      </c>
      <c r="T794">
        <v>-0.26025740000000003</v>
      </c>
      <c r="U794">
        <v>-0.3946228</v>
      </c>
      <c r="V794">
        <v>5.897284E-3</v>
      </c>
      <c r="W794">
        <v>0.30684929999999999</v>
      </c>
      <c r="X794">
        <v>0.95173980000000002</v>
      </c>
      <c r="Y794">
        <v>0.114959199999999</v>
      </c>
      <c r="Z794">
        <v>-5.0225340000000004E-3</v>
      </c>
      <c r="AA794">
        <v>0.9933575</v>
      </c>
      <c r="AB794">
        <v>31</v>
      </c>
      <c r="AC794">
        <v>0.54470000000000596</v>
      </c>
      <c r="AD794">
        <v>-6.8300999999999903E-2</v>
      </c>
      <c r="AE794">
        <v>-0.101500000000044</v>
      </c>
      <c r="AF794">
        <v>9.6457762027704202E-2</v>
      </c>
      <c r="AG794">
        <v>-6.8300999999999903E-2</v>
      </c>
      <c r="AH794">
        <v>0.53719141933015402</v>
      </c>
      <c r="AI794">
        <v>97.133095810310095</v>
      </c>
      <c r="AJ794">
        <v>79.820481136561995</v>
      </c>
      <c r="AK794">
        <v>0.55003976897887896</v>
      </c>
      <c r="AL794">
        <v>72.130542366779494</v>
      </c>
      <c r="AM794">
        <v>89.644981580535301</v>
      </c>
      <c r="AN794">
        <v>0.99999995888655202</v>
      </c>
    </row>
    <row r="795" spans="1:40" x14ac:dyDescent="0.25">
      <c r="A795" t="str">
        <f>"20190304164610550"</f>
        <v>20190304164610550</v>
      </c>
      <c r="B795" t="str">
        <f>"1551689170538689"</f>
        <v>1551689170538689</v>
      </c>
      <c r="C795" t="s">
        <v>40</v>
      </c>
      <c r="D795">
        <v>4.1929589999999903</v>
      </c>
      <c r="E795">
        <v>0.55954530000000002</v>
      </c>
      <c r="F795" t="s">
        <v>41</v>
      </c>
      <c r="G795">
        <v>-241.98240000000001</v>
      </c>
      <c r="H795">
        <v>1.045906</v>
      </c>
      <c r="I795">
        <v>367.67140000000001</v>
      </c>
      <c r="J795">
        <v>-242.50229999999999</v>
      </c>
      <c r="K795">
        <v>1.110744</v>
      </c>
      <c r="L795">
        <v>367.77190000000002</v>
      </c>
      <c r="M795">
        <v>0.99987610000000005</v>
      </c>
      <c r="N795">
        <v>-1.4301940000000001E-2</v>
      </c>
      <c r="O795">
        <v>-6.5891919999999998E-3</v>
      </c>
      <c r="P795">
        <v>0.95592750000000004</v>
      </c>
      <c r="Q795">
        <v>0.2933134</v>
      </c>
      <c r="R795">
        <v>-1.304496E-2</v>
      </c>
      <c r="S795">
        <v>3.2109679999999998</v>
      </c>
      <c r="T795">
        <v>-0.25399119999999997</v>
      </c>
      <c r="U795">
        <v>-0.39984130000000001</v>
      </c>
      <c r="V795">
        <v>6.7757629999999998E-3</v>
      </c>
      <c r="W795">
        <v>0.30695509999999998</v>
      </c>
      <c r="X795">
        <v>0.95169990000000004</v>
      </c>
      <c r="Y795">
        <v>0.11661630000000001</v>
      </c>
      <c r="Z795">
        <v>-5.0015240000000002E-3</v>
      </c>
      <c r="AA795">
        <v>0.99316450000000001</v>
      </c>
      <c r="AB795">
        <v>31</v>
      </c>
      <c r="AC795">
        <v>0.51989999999997805</v>
      </c>
      <c r="AD795">
        <v>-6.4837999999999896E-2</v>
      </c>
      <c r="AE795">
        <v>-0.10050000000001</v>
      </c>
      <c r="AF795">
        <v>9.5637853514758703E-2</v>
      </c>
      <c r="AG795">
        <v>-6.4837999999999896E-2</v>
      </c>
      <c r="AH795">
        <v>0.51286168466000204</v>
      </c>
      <c r="AI795">
        <v>97.084479736442006</v>
      </c>
      <c r="AJ795">
        <v>79.436876090862697</v>
      </c>
      <c r="AK795">
        <v>0.52571634258524402</v>
      </c>
      <c r="AL795">
        <v>72.124174265558807</v>
      </c>
      <c r="AM795">
        <v>89.5920814287133</v>
      </c>
      <c r="AN795">
        <v>1.0000000220201199</v>
      </c>
    </row>
    <row r="796" spans="1:40" x14ac:dyDescent="0.25">
      <c r="A796" t="str">
        <f>"20190304164610573"</f>
        <v>20190304164610573</v>
      </c>
      <c r="B796" t="str">
        <f>"1551689170568946"</f>
        <v>1551689170568946</v>
      </c>
      <c r="C796" t="s">
        <v>40</v>
      </c>
      <c r="D796">
        <v>4.1423620000000003</v>
      </c>
      <c r="E796">
        <v>0.56017240000000001</v>
      </c>
      <c r="F796" t="s">
        <v>41</v>
      </c>
      <c r="G796">
        <v>-241.70740000000001</v>
      </c>
      <c r="H796">
        <v>1.0486120000000001</v>
      </c>
      <c r="I796">
        <v>367.67129999999997</v>
      </c>
      <c r="J796">
        <v>-242.18819999999999</v>
      </c>
      <c r="K796">
        <v>1.110754</v>
      </c>
      <c r="L796">
        <v>367.76979999999998</v>
      </c>
      <c r="M796">
        <v>0.99987599999999999</v>
      </c>
      <c r="N796">
        <v>-1.429856E-2</v>
      </c>
      <c r="O796">
        <v>-6.6139040000000003E-3</v>
      </c>
      <c r="P796">
        <v>0.95598550000000004</v>
      </c>
      <c r="Q796">
        <v>0.29307270000000002</v>
      </c>
      <c r="R796">
        <v>-1.416983E-2</v>
      </c>
      <c r="S796">
        <v>3.2097319999999998</v>
      </c>
      <c r="T796">
        <v>-0.25082870000000002</v>
      </c>
      <c r="U796">
        <v>-0.40618900000000002</v>
      </c>
      <c r="V796">
        <v>7.8739229999999997E-3</v>
      </c>
      <c r="W796">
        <v>0.30671229999999999</v>
      </c>
      <c r="X796">
        <v>0.95176970000000005</v>
      </c>
      <c r="Y796">
        <v>0.1185742</v>
      </c>
      <c r="Z796">
        <v>-5.0404890000000004E-3</v>
      </c>
      <c r="AA796">
        <v>0.99293240000000005</v>
      </c>
      <c r="AB796">
        <v>31</v>
      </c>
      <c r="AC796">
        <v>0.48079999999998702</v>
      </c>
      <c r="AD796">
        <v>-6.2141999999999899E-2</v>
      </c>
      <c r="AE796">
        <v>-9.8500000000001295E-2</v>
      </c>
      <c r="AF796">
        <v>9.3813542050303705E-2</v>
      </c>
      <c r="AG796">
        <v>-6.2141999999999899E-2</v>
      </c>
      <c r="AH796">
        <v>0.473844372282822</v>
      </c>
      <c r="AI796">
        <v>97.330678927463495</v>
      </c>
      <c r="AJ796">
        <v>78.801183359337102</v>
      </c>
      <c r="AK796">
        <v>0.48702268733615101</v>
      </c>
      <c r="AL796">
        <v>72.1387902846282</v>
      </c>
      <c r="AM796">
        <v>89.526006906644696</v>
      </c>
      <c r="AN796">
        <v>0.99999999773639403</v>
      </c>
    </row>
    <row r="797" spans="1:40" x14ac:dyDescent="0.25">
      <c r="A797" t="str">
        <f>"20190304164610596"</f>
        <v>20190304164610596</v>
      </c>
      <c r="B797" t="str">
        <f>"1551689170588465"</f>
        <v>1551689170588465</v>
      </c>
      <c r="C797" t="s">
        <v>40</v>
      </c>
      <c r="D797">
        <v>4.1624629999999998</v>
      </c>
      <c r="E797">
        <v>0.56059150000000002</v>
      </c>
      <c r="F797" t="s">
        <v>41</v>
      </c>
      <c r="G797">
        <v>-241.42679999999999</v>
      </c>
      <c r="H797">
        <v>1.051412</v>
      </c>
      <c r="I797">
        <v>367.67140000000001</v>
      </c>
      <c r="J797">
        <v>-241.87909999999999</v>
      </c>
      <c r="K797">
        <v>1.1107629999999999</v>
      </c>
      <c r="L797">
        <v>367.76769999999999</v>
      </c>
      <c r="M797">
        <v>0.99987579999999998</v>
      </c>
      <c r="N797">
        <v>-1.42953E-2</v>
      </c>
      <c r="O797">
        <v>-6.6310689999999999E-3</v>
      </c>
      <c r="P797">
        <v>0.95600309999999999</v>
      </c>
      <c r="Q797">
        <v>0.29298800000000003</v>
      </c>
      <c r="R797">
        <v>-1.4704790000000001E-2</v>
      </c>
      <c r="S797">
        <v>3.20871</v>
      </c>
      <c r="T797">
        <v>-0.25027559999999999</v>
      </c>
      <c r="U797">
        <v>-0.41339110000000001</v>
      </c>
      <c r="V797">
        <v>8.388408E-3</v>
      </c>
      <c r="W797">
        <v>0.30662519999999999</v>
      </c>
      <c r="X797">
        <v>0.95179340000000001</v>
      </c>
      <c r="Y797">
        <v>0.120783</v>
      </c>
      <c r="Z797">
        <v>-5.1325399999999997E-3</v>
      </c>
      <c r="AA797">
        <v>0.99266560000000004</v>
      </c>
      <c r="AB797">
        <v>30</v>
      </c>
      <c r="AC797">
        <v>0.45230000000000797</v>
      </c>
      <c r="AD797">
        <v>-5.9350999999999897E-2</v>
      </c>
      <c r="AE797">
        <v>-9.6299999999985106E-2</v>
      </c>
      <c r="AF797">
        <v>9.1786428263995204E-2</v>
      </c>
      <c r="AG797">
        <v>-5.9350999999999897E-2</v>
      </c>
      <c r="AH797">
        <v>0.44558890719518202</v>
      </c>
      <c r="AI797">
        <v>97.432702340003303</v>
      </c>
      <c r="AJ797">
        <v>78.360502338995204</v>
      </c>
      <c r="AK797">
        <v>0.458799263109542</v>
      </c>
      <c r="AL797">
        <v>72.144033927558894</v>
      </c>
      <c r="AM797">
        <v>89.4950501527249</v>
      </c>
      <c r="AN797">
        <v>1.00000002747368</v>
      </c>
    </row>
    <row r="798" spans="1:40" x14ac:dyDescent="0.25">
      <c r="A798" t="str">
        <f>"20190304164610616"</f>
        <v>20190304164610616</v>
      </c>
      <c r="B798" t="str">
        <f>"1551689170608961"</f>
        <v>1551689170608961</v>
      </c>
      <c r="C798" t="s">
        <v>40</v>
      </c>
      <c r="D798">
        <v>4.1106350000000003</v>
      </c>
      <c r="E798">
        <v>0.56089909999999998</v>
      </c>
      <c r="F798" t="s">
        <v>41</v>
      </c>
      <c r="G798">
        <v>-240.9014</v>
      </c>
      <c r="H798">
        <v>1.03444</v>
      </c>
      <c r="I798">
        <v>367.64010000000002</v>
      </c>
      <c r="J798">
        <v>-241.59370000000001</v>
      </c>
      <c r="K798">
        <v>1.1107629999999999</v>
      </c>
      <c r="L798">
        <v>367.76580000000001</v>
      </c>
      <c r="M798">
        <v>0.99987590000000004</v>
      </c>
      <c r="N798">
        <v>-1.4292249999999999E-2</v>
      </c>
      <c r="O798">
        <v>-6.6410929999999998E-3</v>
      </c>
      <c r="P798">
        <v>0.95593170000000005</v>
      </c>
      <c r="Q798">
        <v>0.29319499999999998</v>
      </c>
      <c r="R798">
        <v>-1.522359E-2</v>
      </c>
      <c r="S798">
        <v>3.2084809999999999</v>
      </c>
      <c r="T798">
        <v>-0.25070039999999999</v>
      </c>
      <c r="U798">
        <v>-0.41793819999999998</v>
      </c>
      <c r="V798">
        <v>8.8942680000000003E-3</v>
      </c>
      <c r="W798">
        <v>0.30682799999999999</v>
      </c>
      <c r="X798">
        <v>0.95172349999999994</v>
      </c>
      <c r="Y798">
        <v>0.1221594</v>
      </c>
      <c r="Z798">
        <v>-5.2021080000000004E-3</v>
      </c>
      <c r="AA798">
        <v>0.99249679999999996</v>
      </c>
      <c r="AB798">
        <v>30</v>
      </c>
      <c r="AC798">
        <v>0.69230000000001701</v>
      </c>
      <c r="AD798">
        <v>-7.6322999999999905E-2</v>
      </c>
      <c r="AE798">
        <v>-0.12569999999999401</v>
      </c>
      <c r="AF798">
        <v>0.11969082515788</v>
      </c>
      <c r="AG798">
        <v>-7.6322999999999905E-2</v>
      </c>
      <c r="AH798">
        <v>0.68505906885420897</v>
      </c>
      <c r="AI798">
        <v>96.263051979587004</v>
      </c>
      <c r="AJ798">
        <v>80.089540090832998</v>
      </c>
      <c r="AK798">
        <v>0.69961205090776601</v>
      </c>
      <c r="AL798">
        <v>72.131826765976797</v>
      </c>
      <c r="AM798">
        <v>89.464561731160103</v>
      </c>
      <c r="AN798">
        <v>1.00000007501975</v>
      </c>
    </row>
    <row r="799" spans="1:40" x14ac:dyDescent="0.25">
      <c r="A799" t="str">
        <f>"20190304164610640"</f>
        <v>20190304164610640</v>
      </c>
      <c r="B799" t="str">
        <f>"1551689170628482"</f>
        <v>1551689170628482</v>
      </c>
      <c r="C799" t="s">
        <v>40</v>
      </c>
      <c r="D799">
        <v>4.1069659999999999</v>
      </c>
      <c r="E799">
        <v>0.56116160000000004</v>
      </c>
      <c r="F799" t="s">
        <v>41</v>
      </c>
      <c r="G799">
        <v>-240.6293</v>
      </c>
      <c r="H799">
        <v>1.036079</v>
      </c>
      <c r="I799">
        <v>367.63900000000001</v>
      </c>
      <c r="J799">
        <v>-241.28039999999999</v>
      </c>
      <c r="K799">
        <v>1.1107629999999999</v>
      </c>
      <c r="L799">
        <v>367.76369999999997</v>
      </c>
      <c r="M799">
        <v>0.99987579999999998</v>
      </c>
      <c r="N799">
        <v>-1.428893E-2</v>
      </c>
      <c r="O799">
        <v>-6.6469479999999997E-3</v>
      </c>
      <c r="P799">
        <v>0.95583940000000001</v>
      </c>
      <c r="Q799">
        <v>0.29345670000000001</v>
      </c>
      <c r="R799">
        <v>-1.5946849999999999E-2</v>
      </c>
      <c r="S799">
        <v>3.2078250000000001</v>
      </c>
      <c r="T799">
        <v>-0.24854979999999999</v>
      </c>
      <c r="U799">
        <v>-0.42144779999999998</v>
      </c>
      <c r="V799">
        <v>9.6091119999999995E-3</v>
      </c>
      <c r="W799">
        <v>0.30708530000000001</v>
      </c>
      <c r="X799">
        <v>0.95163350000000002</v>
      </c>
      <c r="Y799">
        <v>0.1232497</v>
      </c>
      <c r="Z799">
        <v>-5.2157649999999998E-3</v>
      </c>
      <c r="AA799">
        <v>0.99236199999999997</v>
      </c>
      <c r="AB799">
        <v>30</v>
      </c>
      <c r="AC799">
        <v>0.65109999999998502</v>
      </c>
      <c r="AD799">
        <v>-7.4683999999999695E-2</v>
      </c>
      <c r="AE799">
        <v>-0.12469999999996099</v>
      </c>
      <c r="AF799">
        <v>0.118860451256266</v>
      </c>
      <c r="AG799">
        <v>-7.4683999999999695E-2</v>
      </c>
      <c r="AH799">
        <v>0.643744456174417</v>
      </c>
      <c r="AI799">
        <v>96.508538983421403</v>
      </c>
      <c r="AJ799">
        <v>79.538772237989306</v>
      </c>
      <c r="AK799">
        <v>0.65887209045772999</v>
      </c>
      <c r="AL799">
        <v>72.116335694759996</v>
      </c>
      <c r="AM799">
        <v>89.421475965295699</v>
      </c>
      <c r="AN799">
        <v>1.0000000174158801</v>
      </c>
    </row>
    <row r="800" spans="1:40" x14ac:dyDescent="0.25">
      <c r="A800" t="str">
        <f>"20190304164610662"</f>
        <v>20190304164610662</v>
      </c>
      <c r="B800" t="str">
        <f>"1551689170658737"</f>
        <v>1551689170658737</v>
      </c>
      <c r="C800" t="s">
        <v>40</v>
      </c>
      <c r="D800">
        <v>4.2077679999999997</v>
      </c>
      <c r="E800">
        <v>0.56113139999999995</v>
      </c>
      <c r="F800" t="s">
        <v>41</v>
      </c>
      <c r="G800">
        <v>-240.35579999999999</v>
      </c>
      <c r="H800">
        <v>1.0396129999999999</v>
      </c>
      <c r="I800">
        <v>367.64069999999998</v>
      </c>
      <c r="J800">
        <v>-240.97819999999999</v>
      </c>
      <c r="K800">
        <v>1.1107610000000001</v>
      </c>
      <c r="L800">
        <v>367.76170000000002</v>
      </c>
      <c r="M800">
        <v>0.99987599999999999</v>
      </c>
      <c r="N800">
        <v>-1.4285849999999999E-2</v>
      </c>
      <c r="O800">
        <v>-6.648663E-3</v>
      </c>
      <c r="P800">
        <v>0.95589800000000003</v>
      </c>
      <c r="Q800">
        <v>0.29322199999999998</v>
      </c>
      <c r="R800">
        <v>-1.674432E-2</v>
      </c>
      <c r="S800">
        <v>3.2073969999999998</v>
      </c>
      <c r="T800">
        <v>-0.24716369999999999</v>
      </c>
      <c r="U800">
        <v>-0.42541499999999999</v>
      </c>
      <c r="V800">
        <v>1.040226E-2</v>
      </c>
      <c r="W800">
        <v>0.30684889999999998</v>
      </c>
      <c r="X800">
        <v>0.95170140000000003</v>
      </c>
      <c r="Y800">
        <v>0.1244714</v>
      </c>
      <c r="Z800">
        <v>-5.2477399999999999E-3</v>
      </c>
      <c r="AA800">
        <v>0.99220929999999996</v>
      </c>
      <c r="AB800">
        <v>30</v>
      </c>
      <c r="AC800">
        <v>0.62239999999999895</v>
      </c>
      <c r="AD800">
        <v>-7.1148000000000197E-2</v>
      </c>
      <c r="AE800">
        <v>-0.12100000000003699</v>
      </c>
      <c r="AF800">
        <v>0.11540565428828101</v>
      </c>
      <c r="AG800">
        <v>-7.1148000000000197E-2</v>
      </c>
      <c r="AH800">
        <v>0.61544152724524304</v>
      </c>
      <c r="AI800">
        <v>96.482397212618807</v>
      </c>
      <c r="AJ800">
        <v>79.379412284373899</v>
      </c>
      <c r="AK800">
        <v>0.63019741066086898</v>
      </c>
      <c r="AL800">
        <v>72.130567291243906</v>
      </c>
      <c r="AM800">
        <v>89.373772212129097</v>
      </c>
      <c r="AN800">
        <v>1.0000000046031301</v>
      </c>
    </row>
    <row r="801" spans="1:40" x14ac:dyDescent="0.25">
      <c r="A801" t="str">
        <f>"20190304164610685"</f>
        <v>20190304164610685</v>
      </c>
      <c r="B801" t="str">
        <f>"1551689170678257"</f>
        <v>1551689170678257</v>
      </c>
      <c r="C801" t="s">
        <v>40</v>
      </c>
      <c r="D801">
        <v>4.2028679999999996</v>
      </c>
      <c r="E801">
        <v>0.56108290000000005</v>
      </c>
      <c r="F801" t="s">
        <v>41</v>
      </c>
      <c r="G801">
        <v>-240.0839</v>
      </c>
      <c r="H801">
        <v>1.0415019999999999</v>
      </c>
      <c r="I801">
        <v>367.64249999999998</v>
      </c>
      <c r="J801">
        <v>-240.66820000000001</v>
      </c>
      <c r="K801">
        <v>1.1107689999999999</v>
      </c>
      <c r="L801">
        <v>367.75959999999998</v>
      </c>
      <c r="M801">
        <v>0.99987599999999999</v>
      </c>
      <c r="N801">
        <v>-1.4282420000000001E-2</v>
      </c>
      <c r="O801">
        <v>-6.6442899999999997E-3</v>
      </c>
      <c r="P801">
        <v>0.95601930000000002</v>
      </c>
      <c r="Q801">
        <v>0.29279229999999901</v>
      </c>
      <c r="R801">
        <v>-1.7321590000000001E-2</v>
      </c>
      <c r="S801">
        <v>3.2071839999999998</v>
      </c>
      <c r="T801">
        <v>-0.24854860000000001</v>
      </c>
      <c r="U801">
        <v>-0.42669679999999999</v>
      </c>
      <c r="V801">
        <v>1.098053E-2</v>
      </c>
      <c r="W801">
        <v>0.30641770000000002</v>
      </c>
      <c r="X801">
        <v>0.95183379999999995</v>
      </c>
      <c r="Y801">
        <v>0.1248684</v>
      </c>
      <c r="Z801">
        <v>-5.2899189999999997E-3</v>
      </c>
      <c r="AA801">
        <v>0.99215920000000002</v>
      </c>
      <c r="AB801">
        <v>30</v>
      </c>
      <c r="AC801">
        <v>0.58430000000001303</v>
      </c>
      <c r="AD801">
        <v>-6.9266999999999898E-2</v>
      </c>
      <c r="AE801">
        <v>-0.117099999999993</v>
      </c>
      <c r="AF801">
        <v>0.111705536397488</v>
      </c>
      <c r="AG801">
        <v>-6.9266999999999898E-2</v>
      </c>
      <c r="AH801">
        <v>0.57726593845323104</v>
      </c>
      <c r="AI801">
        <v>96.718825537101495</v>
      </c>
      <c r="AJ801">
        <v>79.048171733935703</v>
      </c>
      <c r="AK801">
        <v>0.59204054578140097</v>
      </c>
      <c r="AL801">
        <v>72.156523168475601</v>
      </c>
      <c r="AM801">
        <v>89.339054655614305</v>
      </c>
      <c r="AN801">
        <v>0.99999998086740505</v>
      </c>
    </row>
    <row r="802" spans="1:40" x14ac:dyDescent="0.25">
      <c r="A802" t="str">
        <f>"20190304164610700"</f>
        <v>20190304164610700</v>
      </c>
      <c r="B802" t="str">
        <f>"1551689170688994"</f>
        <v>1551689170688994</v>
      </c>
      <c r="C802" t="s">
        <v>40</v>
      </c>
      <c r="D802">
        <v>4.2610469999999996</v>
      </c>
      <c r="E802">
        <v>0.56106460000000002</v>
      </c>
      <c r="F802" t="s">
        <v>41</v>
      </c>
      <c r="G802">
        <v>-239.8117</v>
      </c>
      <c r="H802">
        <v>1.044257</v>
      </c>
      <c r="I802">
        <v>367.64510000000001</v>
      </c>
      <c r="J802">
        <v>-240.4659</v>
      </c>
      <c r="K802">
        <v>1.110776</v>
      </c>
      <c r="L802">
        <v>367.75830000000002</v>
      </c>
      <c r="M802">
        <v>0.99987610000000005</v>
      </c>
      <c r="N802">
        <v>-1.42801E-2</v>
      </c>
      <c r="O802">
        <v>-6.6343039999999997E-3</v>
      </c>
      <c r="P802">
        <v>0.95611069999999998</v>
      </c>
      <c r="Q802">
        <v>0.29246509999999998</v>
      </c>
      <c r="R802">
        <v>-1.7803579999999999E-2</v>
      </c>
      <c r="S802">
        <v>3.2065579999999998</v>
      </c>
      <c r="T802">
        <v>-0.24913859999999999</v>
      </c>
      <c r="U802">
        <v>-0.4281006</v>
      </c>
      <c r="V802">
        <v>1.14681E-2</v>
      </c>
      <c r="W802">
        <v>0.30608960000000002</v>
      </c>
      <c r="X802">
        <v>0.95193360000000005</v>
      </c>
      <c r="Y802">
        <v>0.12532679999999999</v>
      </c>
      <c r="Z802">
        <v>-5.3222950000000003E-3</v>
      </c>
      <c r="AA802">
        <v>0.99210129999999996</v>
      </c>
      <c r="AB802">
        <v>30</v>
      </c>
      <c r="AC802">
        <v>0.654200000000002</v>
      </c>
      <c r="AD802">
        <v>-6.6518999999999995E-2</v>
      </c>
      <c r="AE802">
        <v>-0.113200000000006</v>
      </c>
      <c r="AF802">
        <v>0.107775032037098</v>
      </c>
      <c r="AG802">
        <v>-6.6518999999999995E-2</v>
      </c>
      <c r="AH802">
        <v>0.64842760382048703</v>
      </c>
      <c r="AI802">
        <v>95.778477173422303</v>
      </c>
      <c r="AJ802">
        <v>80.563147901976706</v>
      </c>
      <c r="AK802">
        <v>0.66068040101699399</v>
      </c>
      <c r="AL802">
        <v>72.176270582294507</v>
      </c>
      <c r="AM802">
        <v>89.309781749635803</v>
      </c>
      <c r="AN802">
        <v>0.99999996967736404</v>
      </c>
    </row>
    <row r="803" spans="1:40" x14ac:dyDescent="0.25">
      <c r="A803" t="str">
        <f>"20190304164610717"</f>
        <v>20190304164610717</v>
      </c>
      <c r="B803" t="str">
        <f>"1551689170708514"</f>
        <v>1551689170708514</v>
      </c>
      <c r="C803" t="s">
        <v>40</v>
      </c>
      <c r="D803">
        <v>4.2463680000000004</v>
      </c>
      <c r="E803">
        <v>0.56107039999999997</v>
      </c>
      <c r="F803" t="s">
        <v>41</v>
      </c>
      <c r="G803">
        <v>-239.5453</v>
      </c>
      <c r="H803">
        <v>1.0390299999999999</v>
      </c>
      <c r="I803">
        <v>367.63499999999999</v>
      </c>
      <c r="J803">
        <v>-240.2379</v>
      </c>
      <c r="K803">
        <v>1.1107880000000001</v>
      </c>
      <c r="L803">
        <v>367.7568</v>
      </c>
      <c r="M803">
        <v>0.99987619999999999</v>
      </c>
      <c r="N803">
        <v>-1.427747E-2</v>
      </c>
      <c r="O803">
        <v>-6.613519E-3</v>
      </c>
      <c r="P803">
        <v>0.95616769999999995</v>
      </c>
      <c r="Q803">
        <v>0.29224159999999999</v>
      </c>
      <c r="R803">
        <v>-1.838557E-2</v>
      </c>
      <c r="S803">
        <v>3.2061769999999998</v>
      </c>
      <c r="T803">
        <v>-0.2498689</v>
      </c>
      <c r="U803">
        <v>-0.42935180000000001</v>
      </c>
      <c r="V803">
        <v>1.2063580000000001E-2</v>
      </c>
      <c r="W803">
        <v>0.30586530000000001</v>
      </c>
      <c r="X803">
        <v>0.95199840000000002</v>
      </c>
      <c r="Y803">
        <v>0.1257394</v>
      </c>
      <c r="Z803">
        <v>-5.3554500000000003E-3</v>
      </c>
      <c r="AA803">
        <v>0.99204890000000001</v>
      </c>
      <c r="AB803">
        <v>30</v>
      </c>
      <c r="AC803">
        <v>0.692599999999998</v>
      </c>
      <c r="AD803">
        <v>-7.1757999999999905E-2</v>
      </c>
      <c r="AE803">
        <v>-0.121800000000007</v>
      </c>
      <c r="AF803">
        <v>0.116008427289008</v>
      </c>
      <c r="AG803">
        <v>-7.1757999999999905E-2</v>
      </c>
      <c r="AH803">
        <v>0.68624504749010595</v>
      </c>
      <c r="AI803">
        <v>95.886585079426595</v>
      </c>
      <c r="AJ803">
        <v>80.404970453574904</v>
      </c>
      <c r="AK803">
        <v>0.69967094478102099</v>
      </c>
      <c r="AL803">
        <v>72.189770607689198</v>
      </c>
      <c r="AM803">
        <v>89.2739953899667</v>
      </c>
      <c r="AN803">
        <v>1.00000003265453</v>
      </c>
    </row>
    <row r="804" spans="1:40" x14ac:dyDescent="0.25">
      <c r="A804" t="str">
        <f>"20190304164610739"</f>
        <v>20190304164610739</v>
      </c>
      <c r="B804" t="str">
        <f>"1551689170729010"</f>
        <v>1551689170729010</v>
      </c>
      <c r="C804" t="s">
        <v>40</v>
      </c>
      <c r="D804">
        <v>4.2799420000000001</v>
      </c>
      <c r="E804">
        <v>0.56113459999999904</v>
      </c>
      <c r="F804" t="s">
        <v>41</v>
      </c>
      <c r="G804">
        <v>-239.27780000000001</v>
      </c>
      <c r="H804">
        <v>1.0359050000000001</v>
      </c>
      <c r="I804">
        <v>367.6275</v>
      </c>
      <c r="J804">
        <v>-239.9271</v>
      </c>
      <c r="K804">
        <v>1.1108129999999901</v>
      </c>
      <c r="L804">
        <v>367.75479999999999</v>
      </c>
      <c r="M804">
        <v>0.99987669999999995</v>
      </c>
      <c r="N804">
        <v>-1.4273930000000001E-2</v>
      </c>
      <c r="O804">
        <v>-6.5602400000000002E-3</v>
      </c>
      <c r="P804">
        <v>0.95610459999999997</v>
      </c>
      <c r="Q804">
        <v>0.29241400000000001</v>
      </c>
      <c r="R804">
        <v>-1.8937490000000001E-2</v>
      </c>
      <c r="S804">
        <v>3.2056429999999998</v>
      </c>
      <c r="T804">
        <v>-0.25009140000000002</v>
      </c>
      <c r="U804">
        <v>-0.4316101</v>
      </c>
      <c r="V804">
        <v>1.2652689999999999E-2</v>
      </c>
      <c r="W804">
        <v>0.30603330000000001</v>
      </c>
      <c r="X804">
        <v>0.95193669999999997</v>
      </c>
      <c r="Y804">
        <v>0.1264969</v>
      </c>
      <c r="Z804">
        <v>-5.3978159999999997E-3</v>
      </c>
      <c r="AA804">
        <v>0.99195230000000001</v>
      </c>
      <c r="AB804">
        <v>30</v>
      </c>
      <c r="AC804">
        <v>0.649299999999982</v>
      </c>
      <c r="AD804">
        <v>-7.4907999999999905E-2</v>
      </c>
      <c r="AE804">
        <v>-0.127299999999991</v>
      </c>
      <c r="AF804">
        <v>0.121480255836571</v>
      </c>
      <c r="AG804">
        <v>-7.4907999999999905E-2</v>
      </c>
      <c r="AH804">
        <v>0.641894101380174</v>
      </c>
      <c r="AI804">
        <v>96.541140193702304</v>
      </c>
      <c r="AJ804">
        <v>79.283358343118294</v>
      </c>
      <c r="AK804">
        <v>0.65756877846258799</v>
      </c>
      <c r="AL804">
        <v>72.179659053108594</v>
      </c>
      <c r="AM804">
        <v>89.2384965825389</v>
      </c>
      <c r="AN804">
        <v>0.99999997604000701</v>
      </c>
    </row>
    <row r="805" spans="1:40" x14ac:dyDescent="0.25">
      <c r="A805" t="str">
        <f>"20190304164610763"</f>
        <v>20190304164610763</v>
      </c>
      <c r="B805" t="str">
        <f>"1551689170758290"</f>
        <v>1551689170758290</v>
      </c>
      <c r="C805" t="s">
        <v>40</v>
      </c>
      <c r="D805">
        <v>4.2608769999999998</v>
      </c>
      <c r="E805">
        <v>0.56131940000000002</v>
      </c>
      <c r="F805" t="s">
        <v>41</v>
      </c>
      <c r="G805">
        <v>-239.00659999999999</v>
      </c>
      <c r="H805">
        <v>1.0386040000000001</v>
      </c>
      <c r="I805">
        <v>367.63</v>
      </c>
      <c r="J805">
        <v>-239.6233</v>
      </c>
      <c r="K805">
        <v>1.1108389999999999</v>
      </c>
      <c r="L805">
        <v>367.75290000000001</v>
      </c>
      <c r="M805">
        <v>0.99987729999999997</v>
      </c>
      <c r="N805">
        <v>-1.427049E-2</v>
      </c>
      <c r="O805">
        <v>-6.4813850000000001E-3</v>
      </c>
      <c r="P805">
        <v>0.95603729999999998</v>
      </c>
      <c r="Q805">
        <v>0.29262709999999997</v>
      </c>
      <c r="R805">
        <v>-1.9031070000000001E-2</v>
      </c>
      <c r="S805">
        <v>3.20607</v>
      </c>
      <c r="T805">
        <v>-0.25154330000000003</v>
      </c>
      <c r="U805">
        <v>-0.4343262</v>
      </c>
      <c r="V805">
        <v>1.2805220000000001E-2</v>
      </c>
      <c r="W805">
        <v>0.3062434</v>
      </c>
      <c r="X805">
        <v>0.95186709999999997</v>
      </c>
      <c r="Y805">
        <v>0.12737519999999999</v>
      </c>
      <c r="Z805">
        <v>-5.4678289999999996E-3</v>
      </c>
      <c r="AA805">
        <v>0.99183949999999999</v>
      </c>
      <c r="AB805">
        <v>30</v>
      </c>
      <c r="AC805">
        <v>0.61670000000000802</v>
      </c>
      <c r="AD805">
        <v>-7.2234999999999799E-2</v>
      </c>
      <c r="AE805">
        <v>-0.122900000000015</v>
      </c>
      <c r="AF805">
        <v>0.11735140508198701</v>
      </c>
      <c r="AG805">
        <v>-7.2234999999999799E-2</v>
      </c>
      <c r="AH805">
        <v>0.60944166549129997</v>
      </c>
      <c r="AI805">
        <v>96.638698127078897</v>
      </c>
      <c r="AJ805">
        <v>79.100776118848302</v>
      </c>
      <c r="AK805">
        <v>0.62482668887982595</v>
      </c>
      <c r="AL805">
        <v>72.167014250134301</v>
      </c>
      <c r="AM805">
        <v>89.229261304757799</v>
      </c>
      <c r="AN805">
        <v>0.99999998488260899</v>
      </c>
    </row>
    <row r="806" spans="1:40" x14ac:dyDescent="0.25">
      <c r="A806" t="str">
        <f>"20190304164610785"</f>
        <v>20190304164610785</v>
      </c>
      <c r="B806" t="str">
        <f>"1551689170778785"</f>
        <v>1551689170778785</v>
      </c>
      <c r="C806" t="s">
        <v>40</v>
      </c>
      <c r="D806">
        <v>4.1975210000000001</v>
      </c>
      <c r="E806">
        <v>0.5613456</v>
      </c>
      <c r="F806" t="s">
        <v>41</v>
      </c>
      <c r="G806">
        <v>-238.73589999999999</v>
      </c>
      <c r="H806">
        <v>1.041021</v>
      </c>
      <c r="I806">
        <v>367.63159999999999</v>
      </c>
      <c r="J806">
        <v>-239.3185</v>
      </c>
      <c r="K806">
        <v>1.1108579999999999</v>
      </c>
      <c r="L806">
        <v>367.75099999999998</v>
      </c>
      <c r="M806">
        <v>0.99987789999999999</v>
      </c>
      <c r="N806">
        <v>-1.426704E-2</v>
      </c>
      <c r="O806">
        <v>-6.3753550000000001E-3</v>
      </c>
      <c r="P806">
        <v>0.95595969999999997</v>
      </c>
      <c r="Q806">
        <v>0.29291329999999999</v>
      </c>
      <c r="R806">
        <v>-1.8526290000000001E-2</v>
      </c>
      <c r="S806">
        <v>3.2065579999999998</v>
      </c>
      <c r="T806">
        <v>-0.25256050000000002</v>
      </c>
      <c r="U806">
        <v>-0.43737789999999999</v>
      </c>
      <c r="V806">
        <v>1.2385169999999999E-2</v>
      </c>
      <c r="W806">
        <v>0.30652570000000001</v>
      </c>
      <c r="X806">
        <v>0.95178180000000001</v>
      </c>
      <c r="Y806">
        <v>0.1283801</v>
      </c>
      <c r="Z806">
        <v>-5.5380179999999996E-3</v>
      </c>
      <c r="AA806">
        <v>0.99170959999999997</v>
      </c>
      <c r="AB806">
        <v>30</v>
      </c>
      <c r="AC806">
        <v>0.582600000000013</v>
      </c>
      <c r="AD806">
        <v>-6.9836999999999899E-2</v>
      </c>
      <c r="AE806">
        <v>-0.11939999999998401</v>
      </c>
      <c r="AF806">
        <v>0.11410935428093801</v>
      </c>
      <c r="AG806">
        <v>-6.9836999999999899E-2</v>
      </c>
      <c r="AH806">
        <v>0.57541453236420603</v>
      </c>
      <c r="AI806">
        <v>96.789100308147695</v>
      </c>
      <c r="AJ806">
        <v>78.783308897099502</v>
      </c>
      <c r="AK806">
        <v>0.59076224943654898</v>
      </c>
      <c r="AL806">
        <v>72.150022685247393</v>
      </c>
      <c r="AM806">
        <v>89.254474165343495</v>
      </c>
      <c r="AN806">
        <v>0.99999999600382905</v>
      </c>
    </row>
    <row r="807" spans="1:40" x14ac:dyDescent="0.25">
      <c r="A807" t="str">
        <f>"20190304164610806"</f>
        <v>20190304164610806</v>
      </c>
      <c r="B807" t="str">
        <f>"1551689170798305"</f>
        <v>1551689170798305</v>
      </c>
      <c r="C807" t="s">
        <v>40</v>
      </c>
      <c r="D807">
        <v>4.1997</v>
      </c>
      <c r="E807">
        <v>0.56155379999999999</v>
      </c>
      <c r="F807" t="s">
        <v>41</v>
      </c>
      <c r="G807">
        <v>-238.46520000000001</v>
      </c>
      <c r="H807">
        <v>1.0439369999999999</v>
      </c>
      <c r="I807">
        <v>367.63459999999998</v>
      </c>
      <c r="J807">
        <v>-239.03469999999999</v>
      </c>
      <c r="K807">
        <v>1.11087</v>
      </c>
      <c r="L807">
        <v>367.74930000000001</v>
      </c>
      <c r="M807">
        <v>0.99987879999999996</v>
      </c>
      <c r="N807">
        <v>-1.4263899999999999E-2</v>
      </c>
      <c r="O807">
        <v>-6.2529559999999996E-3</v>
      </c>
      <c r="P807">
        <v>0.95587880000000003</v>
      </c>
      <c r="Q807">
        <v>0.29325499999999999</v>
      </c>
      <c r="R807">
        <v>-1.724641E-2</v>
      </c>
      <c r="S807">
        <v>3.2067570000000001</v>
      </c>
      <c r="T807">
        <v>-0.25144030000000001</v>
      </c>
      <c r="U807">
        <v>-0.43753049999999999</v>
      </c>
      <c r="V807">
        <v>1.1209210000000001E-2</v>
      </c>
      <c r="W807">
        <v>0.30686340000000001</v>
      </c>
      <c r="X807">
        <v>0.95168759999999997</v>
      </c>
      <c r="Y807">
        <v>0.1285425</v>
      </c>
      <c r="Z807">
        <v>-5.5327730000000004E-3</v>
      </c>
      <c r="AA807">
        <v>0.99168849999999997</v>
      </c>
      <c r="AB807">
        <v>30</v>
      </c>
      <c r="AC807">
        <v>0.56949999999997603</v>
      </c>
      <c r="AD807">
        <v>-6.6932999999999895E-2</v>
      </c>
      <c r="AE807">
        <v>-0.114700000000027</v>
      </c>
      <c r="AF807">
        <v>0.10968036390218899</v>
      </c>
      <c r="AG807">
        <v>-6.6932999999999895E-2</v>
      </c>
      <c r="AH807">
        <v>0.56273600509069999</v>
      </c>
      <c r="AI807">
        <v>96.658869569237496</v>
      </c>
      <c r="AJ807">
        <v>78.971005092759</v>
      </c>
      <c r="AK807">
        <v>0.57721886675693201</v>
      </c>
      <c r="AL807">
        <v>72.129695049946804</v>
      </c>
      <c r="AM807">
        <v>89.325187458112794</v>
      </c>
      <c r="AN807">
        <v>1.00000004032107</v>
      </c>
    </row>
    <row r="808" spans="1:40" x14ac:dyDescent="0.25">
      <c r="A808" t="str">
        <f>"20190304164610829"</f>
        <v>20190304164610829</v>
      </c>
      <c r="B808" t="str">
        <f>"1551689170818803"</f>
        <v>1551689170818803</v>
      </c>
      <c r="C808" t="s">
        <v>40</v>
      </c>
      <c r="D808">
        <v>4.3091839999999904</v>
      </c>
      <c r="E808">
        <v>0.56189389999999995</v>
      </c>
      <c r="F808" t="s">
        <v>41</v>
      </c>
      <c r="G808">
        <v>-238.19550000000001</v>
      </c>
      <c r="H808">
        <v>1.045703</v>
      </c>
      <c r="I808">
        <v>367.63490000000002</v>
      </c>
      <c r="J808">
        <v>-238.7302</v>
      </c>
      <c r="K808">
        <v>1.1108899999999999</v>
      </c>
      <c r="L808">
        <v>367.74759999999998</v>
      </c>
      <c r="M808">
        <v>0.99987979999999999</v>
      </c>
      <c r="N808">
        <v>-1.426058E-2</v>
      </c>
      <c r="O808">
        <v>-6.1014069999999997E-3</v>
      </c>
      <c r="P808">
        <v>0.95580529999999997</v>
      </c>
      <c r="Q808">
        <v>0.2935796</v>
      </c>
      <c r="R808">
        <v>-1.573695E-2</v>
      </c>
      <c r="S808">
        <v>3.2071079999999998</v>
      </c>
      <c r="T808">
        <v>-0.24938479999999999</v>
      </c>
      <c r="U808">
        <v>-0.43640139999999999</v>
      </c>
      <c r="V808">
        <v>9.8338550000000007E-3</v>
      </c>
      <c r="W808">
        <v>0.30718379999999901</v>
      </c>
      <c r="X808">
        <v>0.95159939999999998</v>
      </c>
      <c r="Y808">
        <v>0.1283426</v>
      </c>
      <c r="Z808">
        <v>-5.4956639999999999E-3</v>
      </c>
      <c r="AA808">
        <v>0.99171469999999995</v>
      </c>
      <c r="AB808">
        <v>30</v>
      </c>
      <c r="AC808">
        <v>0.53469999999998596</v>
      </c>
      <c r="AD808">
        <v>-6.5186999999999801E-2</v>
      </c>
      <c r="AE808">
        <v>-0.112699999999961</v>
      </c>
      <c r="AF808">
        <v>0.10789966697032299</v>
      </c>
      <c r="AG808">
        <v>-6.5186999999999801E-2</v>
      </c>
      <c r="AH808">
        <v>0.527865875615953</v>
      </c>
      <c r="AI808">
        <v>96.898675477161802</v>
      </c>
      <c r="AJ808">
        <v>78.447464224424294</v>
      </c>
      <c r="AK808">
        <v>0.54270992780775895</v>
      </c>
      <c r="AL808">
        <v>72.110405195872005</v>
      </c>
      <c r="AM808">
        <v>89.407924876582896</v>
      </c>
      <c r="AN808">
        <v>1.0000000048834801</v>
      </c>
    </row>
    <row r="809" spans="1:40" x14ac:dyDescent="0.25">
      <c r="A809" t="str">
        <f>"20190304164610852"</f>
        <v>20190304164610852</v>
      </c>
      <c r="B809" t="str">
        <f>"1551689170849058"</f>
        <v>1551689170849058</v>
      </c>
      <c r="C809" t="s">
        <v>40</v>
      </c>
      <c r="D809">
        <v>4.3541589999999903</v>
      </c>
      <c r="E809">
        <v>0.57436849999999995</v>
      </c>
      <c r="F809" t="s">
        <v>41</v>
      </c>
      <c r="G809">
        <v>-237.92580000000001</v>
      </c>
      <c r="H809">
        <v>1.0483559999999901</v>
      </c>
      <c r="I809">
        <v>367.63850000000002</v>
      </c>
      <c r="J809">
        <v>-238.4188</v>
      </c>
      <c r="K809">
        <v>1.1109059999999999</v>
      </c>
      <c r="L809">
        <v>367.74579999999997</v>
      </c>
      <c r="M809">
        <v>0.99988100000000002</v>
      </c>
      <c r="N809">
        <v>-1.425735E-2</v>
      </c>
      <c r="O809">
        <v>-5.9320550000000003E-3</v>
      </c>
      <c r="P809">
        <v>0.95592849999999996</v>
      </c>
      <c r="Q809">
        <v>0.29328189999999998</v>
      </c>
      <c r="R809">
        <v>-1.3660439999999999E-2</v>
      </c>
      <c r="S809">
        <v>3.2082060000000001</v>
      </c>
      <c r="T809">
        <v>-0.2495599</v>
      </c>
      <c r="U809">
        <v>-0.43472290000000002</v>
      </c>
      <c r="V809">
        <v>7.9108609999999999E-3</v>
      </c>
      <c r="W809">
        <v>0.3068843</v>
      </c>
      <c r="X809">
        <v>0.95171399999999995</v>
      </c>
      <c r="Y809">
        <v>0.1279564</v>
      </c>
      <c r="Z809">
        <v>-5.4901749999999999E-3</v>
      </c>
      <c r="AA809">
        <v>0.9917646</v>
      </c>
      <c r="AB809">
        <v>30</v>
      </c>
      <c r="AC809">
        <v>0.492999999999995</v>
      </c>
      <c r="AD809">
        <v>-6.2550000000000106E-2</v>
      </c>
      <c r="AE809">
        <v>-0.107299999999952</v>
      </c>
      <c r="AF809">
        <v>0.10279342546174799</v>
      </c>
      <c r="AG809">
        <v>-6.2550000000000106E-2</v>
      </c>
      <c r="AH809">
        <v>0.48615591068903602</v>
      </c>
      <c r="AI809">
        <v>97.174617481344896</v>
      </c>
      <c r="AJ809">
        <v>78.061152807049396</v>
      </c>
      <c r="AK809">
        <v>0.50082587824117697</v>
      </c>
      <c r="AL809">
        <v>72.128436975949597</v>
      </c>
      <c r="AM809">
        <v>89.523755551533796</v>
      </c>
      <c r="AN809">
        <v>1.0000000465521199</v>
      </c>
    </row>
    <row r="810" spans="1:40" x14ac:dyDescent="0.25">
      <c r="A810" t="str">
        <f>"20190304164610875"</f>
        <v>20190304164610875</v>
      </c>
      <c r="B810" t="str">
        <f>"1551689170868578"</f>
        <v>1551689170868578</v>
      </c>
      <c r="C810" t="s">
        <v>40</v>
      </c>
      <c r="D810">
        <v>4.3147409999999997</v>
      </c>
      <c r="E810">
        <v>0.57414409999999905</v>
      </c>
      <c r="F810" t="s">
        <v>41</v>
      </c>
      <c r="G810">
        <v>-237.6619</v>
      </c>
      <c r="H810">
        <v>1.0420320000000001</v>
      </c>
      <c r="I810">
        <v>367.6225</v>
      </c>
      <c r="J810">
        <v>-238.1183</v>
      </c>
      <c r="K810">
        <v>1.110914</v>
      </c>
      <c r="L810">
        <v>367.74430000000001</v>
      </c>
      <c r="M810">
        <v>0.99988180000000004</v>
      </c>
      <c r="N810">
        <v>-1.425422E-2</v>
      </c>
      <c r="O810">
        <v>-5.761586E-3</v>
      </c>
      <c r="P810">
        <v>0.95601519999999995</v>
      </c>
      <c r="Q810">
        <v>0.29304750000000002</v>
      </c>
      <c r="R810">
        <v>-1.2570639999999999E-2</v>
      </c>
      <c r="S810">
        <v>3.2208399999999999</v>
      </c>
      <c r="T810">
        <v>-0.29337059999999998</v>
      </c>
      <c r="U810">
        <v>-0.52349849999999998</v>
      </c>
      <c r="V810">
        <v>6.9789830000000002E-3</v>
      </c>
      <c r="W810">
        <v>0.30664789999999997</v>
      </c>
      <c r="X810">
        <v>0.95179740000000002</v>
      </c>
      <c r="Y810">
        <v>0.15403499999999901</v>
      </c>
      <c r="Z810">
        <v>-7.6241169999999997E-3</v>
      </c>
      <c r="AA810">
        <v>0.98803600000000003</v>
      </c>
      <c r="AB810">
        <v>30</v>
      </c>
      <c r="AC810">
        <v>0.45640000000000203</v>
      </c>
      <c r="AD810">
        <v>-6.8881999999999804E-2</v>
      </c>
      <c r="AE810">
        <v>-0.121800000000007</v>
      </c>
      <c r="AF810">
        <v>0.11668691238784</v>
      </c>
      <c r="AG810">
        <v>-6.8881999999999804E-2</v>
      </c>
      <c r="AH810">
        <v>0.44757705379763502</v>
      </c>
      <c r="AI810">
        <v>98.470346939011606</v>
      </c>
      <c r="AJ810">
        <v>75.387794269152096</v>
      </c>
      <c r="AK810">
        <v>0.46763851908581999</v>
      </c>
      <c r="AL810">
        <v>72.142666347398404</v>
      </c>
      <c r="AM810">
        <v>89.579890525833207</v>
      </c>
      <c r="AN810">
        <v>0.99999996571244099</v>
      </c>
    </row>
    <row r="811" spans="1:40" x14ac:dyDescent="0.25">
      <c r="A811" t="str">
        <f>"20190304164610896"</f>
        <v>20190304164610896</v>
      </c>
      <c r="B811" t="str">
        <f>"1551689170889073"</f>
        <v>1551689170889073</v>
      </c>
      <c r="C811" t="s">
        <v>40</v>
      </c>
      <c r="D811">
        <v>4.3630149999999999</v>
      </c>
      <c r="E811">
        <v>0.57428029999999997</v>
      </c>
      <c r="F811" t="s">
        <v>41</v>
      </c>
      <c r="G811">
        <v>-237.1371</v>
      </c>
      <c r="H811">
        <v>1.024581</v>
      </c>
      <c r="I811">
        <v>367.58589999999998</v>
      </c>
      <c r="J811">
        <v>-237.82820000000001</v>
      </c>
      <c r="K811">
        <v>1.110919</v>
      </c>
      <c r="L811">
        <v>367.74279999999999</v>
      </c>
      <c r="M811">
        <v>0.99988290000000002</v>
      </c>
      <c r="N811">
        <v>-1.4251150000000001E-2</v>
      </c>
      <c r="O811">
        <v>-5.5952149999999997E-3</v>
      </c>
      <c r="P811">
        <v>0.95612790000000003</v>
      </c>
      <c r="Q811">
        <v>0.29269859999999998</v>
      </c>
      <c r="R811">
        <v>-1.213795E-2</v>
      </c>
      <c r="S811">
        <v>3.2180019999999998</v>
      </c>
      <c r="T811">
        <v>-0.28324480000000002</v>
      </c>
      <c r="U811">
        <v>-0.51895139999999995</v>
      </c>
      <c r="V811">
        <v>6.7020589999999998E-3</v>
      </c>
      <c r="W811">
        <v>0.3062975</v>
      </c>
      <c r="X811">
        <v>0.95191230000000004</v>
      </c>
      <c r="Y811">
        <v>0.15302389999999999</v>
      </c>
      <c r="Z811">
        <v>-7.3692059999999997E-3</v>
      </c>
      <c r="AA811">
        <v>0.98819500000000005</v>
      </c>
      <c r="AB811">
        <v>30</v>
      </c>
      <c r="AC811">
        <v>0.69110000000000504</v>
      </c>
      <c r="AD811">
        <v>-8.6337999999999998E-2</v>
      </c>
      <c r="AE811">
        <v>-0.15690000000000701</v>
      </c>
      <c r="AF811">
        <v>0.15079222447686</v>
      </c>
      <c r="AG811">
        <v>-8.6337999999999998E-2</v>
      </c>
      <c r="AH811">
        <v>0.68184711349498195</v>
      </c>
      <c r="AI811">
        <v>97.048074286877593</v>
      </c>
      <c r="AJ811">
        <v>77.529609350666604</v>
      </c>
      <c r="AK811">
        <v>0.70363913434950398</v>
      </c>
      <c r="AL811">
        <v>72.1637592993076</v>
      </c>
      <c r="AM811">
        <v>89.596608479659906</v>
      </c>
      <c r="AN811">
        <v>1.00000005149618</v>
      </c>
    </row>
    <row r="812" spans="1:40" x14ac:dyDescent="0.25">
      <c r="A812" t="str">
        <f>"20190304164610917"</f>
        <v>20190304164610917</v>
      </c>
      <c r="B812" t="str">
        <f>"1551689170908593"</f>
        <v>1551689170908593</v>
      </c>
      <c r="C812" t="s">
        <v>40</v>
      </c>
      <c r="D812">
        <v>4.3841999999999999</v>
      </c>
      <c r="E812">
        <v>0.57439069999999903</v>
      </c>
      <c r="F812" t="s">
        <v>41</v>
      </c>
      <c r="G812">
        <v>-236.86279999999999</v>
      </c>
      <c r="H812">
        <v>1.033693</v>
      </c>
      <c r="I812">
        <v>367.5856</v>
      </c>
      <c r="J812">
        <v>-237.54329999999999</v>
      </c>
      <c r="K812">
        <v>1.110924</v>
      </c>
      <c r="L812">
        <v>367.7414</v>
      </c>
      <c r="M812">
        <v>0.99988370000000004</v>
      </c>
      <c r="N812">
        <v>-1.424812E-2</v>
      </c>
      <c r="O812">
        <v>-5.4328040000000003E-3</v>
      </c>
      <c r="P812">
        <v>0.95591590000000004</v>
      </c>
      <c r="Q812">
        <v>0.2933827</v>
      </c>
      <c r="R812">
        <v>-1.231558E-2</v>
      </c>
      <c r="S812">
        <v>3.2096559999999998</v>
      </c>
      <c r="T812">
        <v>-0.25686720000000002</v>
      </c>
      <c r="U812">
        <v>-0.52166749999999995</v>
      </c>
      <c r="V812">
        <v>7.0343760000000002E-3</v>
      </c>
      <c r="W812">
        <v>0.30697600000000003</v>
      </c>
      <c r="X812">
        <v>0.95169130000000002</v>
      </c>
      <c r="Y812">
        <v>0.15450269999999999</v>
      </c>
      <c r="Z812">
        <v>-6.88801E-3</v>
      </c>
      <c r="AA812">
        <v>0.98796839999999997</v>
      </c>
      <c r="AB812">
        <v>30</v>
      </c>
      <c r="AC812">
        <v>0.680499999999994</v>
      </c>
      <c r="AD812">
        <v>-7.7230999999999994E-2</v>
      </c>
      <c r="AE812">
        <v>-0.15579999999999899</v>
      </c>
      <c r="AF812">
        <v>0.15026128373528599</v>
      </c>
      <c r="AG812">
        <v>-7.7230999999999994E-2</v>
      </c>
      <c r="AH812">
        <v>0.67309855274674601</v>
      </c>
      <c r="AI812">
        <v>96.389538056331205</v>
      </c>
      <c r="AJ812">
        <v>77.415734429840697</v>
      </c>
      <c r="AK812">
        <v>0.69397747979350199</v>
      </c>
      <c r="AL812">
        <v>72.1229163466664</v>
      </c>
      <c r="AM812">
        <v>89.576508982776005</v>
      </c>
      <c r="AN812">
        <v>1.00000003875869</v>
      </c>
    </row>
    <row r="813" spans="1:40" x14ac:dyDescent="0.25">
      <c r="A813" t="str">
        <f>"20190304164610940"</f>
        <v>20190304164610940</v>
      </c>
      <c r="B813" t="str">
        <f>"1551689170929090"</f>
        <v>1551689170929090</v>
      </c>
      <c r="C813" t="s">
        <v>40</v>
      </c>
      <c r="D813">
        <v>4.3798680000000001</v>
      </c>
      <c r="E813">
        <v>0.57445019999999902</v>
      </c>
      <c r="F813" t="s">
        <v>41</v>
      </c>
      <c r="G813">
        <v>-236.59800000000001</v>
      </c>
      <c r="H813">
        <v>1.0324469999999999</v>
      </c>
      <c r="I813">
        <v>367.58710000000002</v>
      </c>
      <c r="J813">
        <v>-237.2389</v>
      </c>
      <c r="K813">
        <v>1.1109230000000001</v>
      </c>
      <c r="L813">
        <v>367.73989999999998</v>
      </c>
      <c r="M813">
        <v>0.99988469999999996</v>
      </c>
      <c r="N813">
        <v>-1.4244919999999999E-2</v>
      </c>
      <c r="O813">
        <v>-5.2611089999999999E-3</v>
      </c>
      <c r="P813">
        <v>0.95589219999999997</v>
      </c>
      <c r="Q813">
        <v>0.29343259999999899</v>
      </c>
      <c r="R813">
        <v>-1.2943649999999999E-2</v>
      </c>
      <c r="S813">
        <v>3.2135929999999999</v>
      </c>
      <c r="T813">
        <v>-0.26710339999999999</v>
      </c>
      <c r="U813">
        <v>-0.52319340000000003</v>
      </c>
      <c r="V813">
        <v>7.8258089999999995E-3</v>
      </c>
      <c r="W813">
        <v>0.30702269999999998</v>
      </c>
      <c r="X813">
        <v>0.95167000000000002</v>
      </c>
      <c r="Y813">
        <v>0.1548957</v>
      </c>
      <c r="Z813">
        <v>-7.1377259999999996E-3</v>
      </c>
      <c r="AA813">
        <v>0.98790500000000003</v>
      </c>
      <c r="AB813">
        <v>30</v>
      </c>
      <c r="AC813">
        <v>0.64090000000001601</v>
      </c>
      <c r="AD813">
        <v>-7.8475999999999893E-2</v>
      </c>
      <c r="AE813">
        <v>-0.152799999999956</v>
      </c>
      <c r="AF813">
        <v>0.14733548452070999</v>
      </c>
      <c r="AG813">
        <v>-7.8475999999999893E-2</v>
      </c>
      <c r="AH813">
        <v>0.63271887528958803</v>
      </c>
      <c r="AI813">
        <v>96.887839522180002</v>
      </c>
      <c r="AJ813">
        <v>76.891651370553703</v>
      </c>
      <c r="AK813">
        <v>0.65436946958325803</v>
      </c>
      <c r="AL813">
        <v>72.120103877706697</v>
      </c>
      <c r="AM813">
        <v>89.528853782799501</v>
      </c>
      <c r="AN813">
        <v>0.99999998525089695</v>
      </c>
    </row>
    <row r="814" spans="1:40" x14ac:dyDescent="0.25">
      <c r="A814" t="str">
        <f>"20190304164610963"</f>
        <v>20190304164610963</v>
      </c>
      <c r="B814" t="str">
        <f>"1551689170958369"</f>
        <v>1551689170958369</v>
      </c>
      <c r="C814" t="s">
        <v>40</v>
      </c>
      <c r="D814">
        <v>4.467327</v>
      </c>
      <c r="E814">
        <v>0.57455149999999999</v>
      </c>
      <c r="F814" t="s">
        <v>41</v>
      </c>
      <c r="G814">
        <v>-236.33109999999999</v>
      </c>
      <c r="H814">
        <v>1.034648</v>
      </c>
      <c r="I814">
        <v>367.5915</v>
      </c>
      <c r="J814">
        <v>-236.93780000000001</v>
      </c>
      <c r="K814">
        <v>1.1109199999999999</v>
      </c>
      <c r="L814">
        <v>367.73849999999999</v>
      </c>
      <c r="M814">
        <v>0.99988569999999999</v>
      </c>
      <c r="N814">
        <v>-1.4241790000000001E-2</v>
      </c>
      <c r="O814">
        <v>-5.0934780000000002E-3</v>
      </c>
      <c r="P814">
        <v>0.95581890000000003</v>
      </c>
      <c r="Q814">
        <v>0.2936396</v>
      </c>
      <c r="R814">
        <v>-1.364448E-2</v>
      </c>
      <c r="S814">
        <v>3.2142490000000001</v>
      </c>
      <c r="T814">
        <v>-0.27014080000000001</v>
      </c>
      <c r="U814">
        <v>-0.52542109999999997</v>
      </c>
      <c r="V814">
        <v>8.6868540000000008E-3</v>
      </c>
      <c r="W814">
        <v>0.307226</v>
      </c>
      <c r="X814">
        <v>0.95159689999999997</v>
      </c>
      <c r="Y814">
        <v>0.1556804</v>
      </c>
      <c r="Z814">
        <v>-7.2533930000000003E-3</v>
      </c>
      <c r="AA814">
        <v>0.98778089999999996</v>
      </c>
      <c r="AB814">
        <v>30</v>
      </c>
      <c r="AC814">
        <v>0.606700000000017</v>
      </c>
      <c r="AD814">
        <v>-7.6272000000000104E-2</v>
      </c>
      <c r="AE814">
        <v>-0.146999999999991</v>
      </c>
      <c r="AF814">
        <v>0.14179088753334301</v>
      </c>
      <c r="AG814">
        <v>-7.6272000000000104E-2</v>
      </c>
      <c r="AH814">
        <v>0.59850633908551698</v>
      </c>
      <c r="AI814">
        <v>97.0688683621661</v>
      </c>
      <c r="AJ814">
        <v>76.671898570714205</v>
      </c>
      <c r="AK814">
        <v>0.61978376204692598</v>
      </c>
      <c r="AL814">
        <v>72.107863775535606</v>
      </c>
      <c r="AM814">
        <v>89.476977860508001</v>
      </c>
      <c r="AN814">
        <v>0.99999996829901305</v>
      </c>
    </row>
    <row r="815" spans="1:40" x14ac:dyDescent="0.25">
      <c r="A815" t="str">
        <f>"20190304164610985"</f>
        <v>20190304164610985</v>
      </c>
      <c r="B815" t="str">
        <f>"1551689170978866"</f>
        <v>1551689170978866</v>
      </c>
      <c r="C815" t="s">
        <v>40</v>
      </c>
      <c r="D815">
        <v>4.5128810000000001</v>
      </c>
      <c r="E815">
        <v>0.57498530000000003</v>
      </c>
      <c r="F815" t="s">
        <v>41</v>
      </c>
      <c r="G815">
        <v>-236.0624</v>
      </c>
      <c r="H815">
        <v>1.03891</v>
      </c>
      <c r="I815">
        <v>367.59379999999999</v>
      </c>
      <c r="J815">
        <v>-236.6472</v>
      </c>
      <c r="K815">
        <v>1.1109169999999999</v>
      </c>
      <c r="L815">
        <v>367.73719999999997</v>
      </c>
      <c r="M815">
        <v>0.99988650000000001</v>
      </c>
      <c r="N815">
        <v>-1.4238779999999999E-2</v>
      </c>
      <c r="O815">
        <v>-4.9325330000000002E-3</v>
      </c>
      <c r="P815">
        <v>0.95596440000000005</v>
      </c>
      <c r="Q815">
        <v>0.2931356</v>
      </c>
      <c r="R815">
        <v>-1.427487E-2</v>
      </c>
      <c r="S815">
        <v>3.2123569999999999</v>
      </c>
      <c r="T815">
        <v>-0.26449329999999999</v>
      </c>
      <c r="U815">
        <v>-0.52984619999999905</v>
      </c>
      <c r="V815">
        <v>9.4704130000000004E-3</v>
      </c>
      <c r="W815">
        <v>0.30672129999999997</v>
      </c>
      <c r="X815">
        <v>0.95175220000000005</v>
      </c>
      <c r="Y815">
        <v>0.1572732</v>
      </c>
      <c r="Z815">
        <v>-7.2169640000000002E-3</v>
      </c>
      <c r="AA815">
        <v>0.98752870000000004</v>
      </c>
      <c r="AB815">
        <v>30</v>
      </c>
      <c r="AC815">
        <v>0.58480000000000099</v>
      </c>
      <c r="AD815">
        <v>-7.2006999999999904E-2</v>
      </c>
      <c r="AE815">
        <v>-0.14339999999998501</v>
      </c>
      <c r="AF815">
        <v>0.138532224380158</v>
      </c>
      <c r="AG815">
        <v>-7.2006999999999904E-2</v>
      </c>
      <c r="AH815">
        <v>0.57724491914035003</v>
      </c>
      <c r="AI815">
        <v>96.916097708683196</v>
      </c>
      <c r="AJ815">
        <v>76.504882031055601</v>
      </c>
      <c r="AK815">
        <v>0.59798652318765799</v>
      </c>
      <c r="AL815">
        <v>72.138247580102302</v>
      </c>
      <c r="AM815">
        <v>89.429896996652602</v>
      </c>
      <c r="AN815">
        <v>0.99999994740045794</v>
      </c>
    </row>
    <row r="816" spans="1:40" x14ac:dyDescent="0.25">
      <c r="A816" t="str">
        <f>"20190304164611007"</f>
        <v>20190304164611007</v>
      </c>
      <c r="B816" t="str">
        <f>"1551689170998389"</f>
        <v>1551689170998389</v>
      </c>
      <c r="C816" t="s">
        <v>40</v>
      </c>
      <c r="D816">
        <v>4.4444309999999998</v>
      </c>
      <c r="E816">
        <v>0.57523419999999903</v>
      </c>
      <c r="F816" t="s">
        <v>41</v>
      </c>
      <c r="G816">
        <v>-235.7954</v>
      </c>
      <c r="H816">
        <v>1.040821</v>
      </c>
      <c r="I816">
        <v>367.5951</v>
      </c>
      <c r="J816">
        <v>-236.35400000000001</v>
      </c>
      <c r="K816">
        <v>1.110922</v>
      </c>
      <c r="L816">
        <v>367.73590000000002</v>
      </c>
      <c r="M816">
        <v>0.99988730000000003</v>
      </c>
      <c r="N816">
        <v>-1.423574E-2</v>
      </c>
      <c r="O816">
        <v>-4.7711150000000003E-3</v>
      </c>
      <c r="P816">
        <v>0.95596210000000004</v>
      </c>
      <c r="Q816">
        <v>0.29310570000000002</v>
      </c>
      <c r="R816">
        <v>-1.5022890000000001E-2</v>
      </c>
      <c r="S816">
        <v>3.2112430000000001</v>
      </c>
      <c r="T816">
        <v>-0.2643625</v>
      </c>
      <c r="U816">
        <v>-0.53546139999999998</v>
      </c>
      <c r="V816">
        <v>1.037305E-2</v>
      </c>
      <c r="W816">
        <v>0.30668909999999899</v>
      </c>
      <c r="X816">
        <v>0.95175319999999997</v>
      </c>
      <c r="Y816">
        <v>0.15916060000000001</v>
      </c>
      <c r="Z816">
        <v>-7.31656699999999E-3</v>
      </c>
      <c r="AA816">
        <v>0.98722560000000004</v>
      </c>
      <c r="AB816">
        <v>30</v>
      </c>
      <c r="AC816">
        <v>0.55860000000001198</v>
      </c>
      <c r="AD816">
        <v>-7.01009999999999E-2</v>
      </c>
      <c r="AE816">
        <v>-0.140800000000012</v>
      </c>
      <c r="AF816">
        <v>0.136117361237519</v>
      </c>
      <c r="AG816">
        <v>-7.01009999999999E-2</v>
      </c>
      <c r="AH816">
        <v>0.55110474269144605</v>
      </c>
      <c r="AI816">
        <v>97.039810981325999</v>
      </c>
      <c r="AJ816">
        <v>76.126186626715196</v>
      </c>
      <c r="AK816">
        <v>0.57197773002825103</v>
      </c>
      <c r="AL816">
        <v>72.140186506412505</v>
      </c>
      <c r="AM816">
        <v>89.375564532237206</v>
      </c>
      <c r="AN816">
        <v>0.99999997896767601</v>
      </c>
    </row>
    <row r="817" spans="1:40" x14ac:dyDescent="0.25">
      <c r="A817" t="str">
        <f>"20190304164611029"</f>
        <v>20190304164611029</v>
      </c>
      <c r="B817" t="str">
        <f>"1551689171018882"</f>
        <v>1551689171018882</v>
      </c>
      <c r="C817" t="s">
        <v>40</v>
      </c>
      <c r="D817">
        <v>4.5032940000000004</v>
      </c>
      <c r="E817">
        <v>0.57548520000000003</v>
      </c>
      <c r="F817" t="s">
        <v>41</v>
      </c>
      <c r="G817">
        <v>-235.5309</v>
      </c>
      <c r="H817">
        <v>1.0408379999999999</v>
      </c>
      <c r="I817">
        <v>367.59809999999999</v>
      </c>
      <c r="J817">
        <v>-236.059</v>
      </c>
      <c r="K817">
        <v>1.110927</v>
      </c>
      <c r="L817">
        <v>367.7346</v>
      </c>
      <c r="M817">
        <v>0.9998882</v>
      </c>
      <c r="N817">
        <v>-1.4232710000000001E-2</v>
      </c>
      <c r="O817">
        <v>-4.6095800000000003E-3</v>
      </c>
      <c r="P817">
        <v>0.95586870000000002</v>
      </c>
      <c r="Q817">
        <v>0.2933809</v>
      </c>
      <c r="R817">
        <v>-1.5588660000000001E-2</v>
      </c>
      <c r="S817">
        <v>3.2136689999999999</v>
      </c>
      <c r="T817">
        <v>-0.273748299999999</v>
      </c>
      <c r="U817">
        <v>-0.537628199999999</v>
      </c>
      <c r="V817">
        <v>1.109395E-2</v>
      </c>
      <c r="W817">
        <v>0.3069597</v>
      </c>
      <c r="X817">
        <v>0.95165789999999995</v>
      </c>
      <c r="Y817">
        <v>0.15980440000000001</v>
      </c>
      <c r="Z817">
        <v>-7.5706619999999997E-3</v>
      </c>
      <c r="AA817">
        <v>0.98711970000000004</v>
      </c>
      <c r="AB817">
        <v>30</v>
      </c>
      <c r="AC817">
        <v>0.528100000000023</v>
      </c>
      <c r="AD817">
        <v>-7.0088999999999999E-2</v>
      </c>
      <c r="AE817">
        <v>-0.136500000000012</v>
      </c>
      <c r="AF817">
        <v>0.131886370673297</v>
      </c>
      <c r="AG817">
        <v>-7.0088999999999999E-2</v>
      </c>
      <c r="AH817">
        <v>0.52013555374017095</v>
      </c>
      <c r="AI817">
        <v>97.441722887607497</v>
      </c>
      <c r="AJ817">
        <v>75.771860589849993</v>
      </c>
      <c r="AK817">
        <v>0.54115383852927501</v>
      </c>
      <c r="AL817">
        <v>72.123897776843194</v>
      </c>
      <c r="AM817">
        <v>89.332104822832093</v>
      </c>
      <c r="AN817">
        <v>1.0000000458915499</v>
      </c>
    </row>
    <row r="818" spans="1:40" x14ac:dyDescent="0.25">
      <c r="A818" t="str">
        <f>"20190304164611054"</f>
        <v>20190304164611054</v>
      </c>
      <c r="B818" t="str">
        <f>"1551689171049138"</f>
        <v>1551689171049138</v>
      </c>
      <c r="C818" t="s">
        <v>40</v>
      </c>
      <c r="D818">
        <v>4.5732499999999998</v>
      </c>
      <c r="E818">
        <v>0.57580339999999997</v>
      </c>
      <c r="F818" t="s">
        <v>41</v>
      </c>
      <c r="G818">
        <v>-235.26589999999999</v>
      </c>
      <c r="H818">
        <v>1.041687</v>
      </c>
      <c r="I818">
        <v>367.60149999999999</v>
      </c>
      <c r="J818">
        <v>-235.751</v>
      </c>
      <c r="K818">
        <v>1.1109359999999999</v>
      </c>
      <c r="L818">
        <v>367.73340000000002</v>
      </c>
      <c r="M818">
        <v>0.99988889999999997</v>
      </c>
      <c r="N818">
        <v>-1.4229530000000001E-2</v>
      </c>
      <c r="O818">
        <v>-4.4399449999999998E-3</v>
      </c>
      <c r="P818">
        <v>0.95576260000000002</v>
      </c>
      <c r="Q818">
        <v>0.29371049999999999</v>
      </c>
      <c r="R818">
        <v>-1.5882859999999999E-2</v>
      </c>
      <c r="S818">
        <v>3.2159580000000001</v>
      </c>
      <c r="T818">
        <v>-0.2809873</v>
      </c>
      <c r="U818">
        <v>-0.53872679999999995</v>
      </c>
      <c r="V818">
        <v>1.1551179999999999E-2</v>
      </c>
      <c r="W818">
        <v>0.30728499999999997</v>
      </c>
      <c r="X818">
        <v>0.95154740000000004</v>
      </c>
      <c r="Y818">
        <v>0.16015260000000001</v>
      </c>
      <c r="Z818">
        <v>-7.7631569999999997E-3</v>
      </c>
      <c r="AA818">
        <v>0.98706170000000004</v>
      </c>
      <c r="AB818">
        <v>30</v>
      </c>
      <c r="AC818">
        <v>0.48509999999998799</v>
      </c>
      <c r="AD818">
        <v>-6.9249000000000102E-2</v>
      </c>
      <c r="AE818">
        <v>-0.13190000000002999</v>
      </c>
      <c r="AF818">
        <v>0.12732856976898699</v>
      </c>
      <c r="AG818">
        <v>-6.9249000000000102E-2</v>
      </c>
      <c r="AH818">
        <v>0.476636595696589</v>
      </c>
      <c r="AI818">
        <v>97.990099281477299</v>
      </c>
      <c r="AJ818">
        <v>75.043280934312804</v>
      </c>
      <c r="AK818">
        <v>0.49818714660020103</v>
      </c>
      <c r="AL818">
        <v>72.104311664137995</v>
      </c>
      <c r="AM818">
        <v>89.304499854579106</v>
      </c>
      <c r="AN818">
        <v>0.99999997771557503</v>
      </c>
    </row>
    <row r="819" spans="1:40" x14ac:dyDescent="0.25">
      <c r="A819" t="str">
        <f>"20190304164611076"</f>
        <v>20190304164611076</v>
      </c>
      <c r="B819" t="str">
        <f>"1551689171068658"</f>
        <v>1551689171068658</v>
      </c>
      <c r="C819" t="s">
        <v>40</v>
      </c>
      <c r="D819">
        <v>4.5706870000000004</v>
      </c>
      <c r="E819">
        <v>0.58908959999999999</v>
      </c>
      <c r="F819" t="s">
        <v>41</v>
      </c>
      <c r="G819">
        <v>-234.99969999999999</v>
      </c>
      <c r="H819">
        <v>1.044338</v>
      </c>
      <c r="I819">
        <v>367.60660000000001</v>
      </c>
      <c r="J819">
        <v>-235.446</v>
      </c>
      <c r="K819">
        <v>1.110932</v>
      </c>
      <c r="L819">
        <v>367.73230000000001</v>
      </c>
      <c r="M819">
        <v>0.99988980000000005</v>
      </c>
      <c r="N819">
        <v>-1.422637E-2</v>
      </c>
      <c r="O819">
        <v>-4.27269E-3</v>
      </c>
      <c r="P819">
        <v>0.95559780000000005</v>
      </c>
      <c r="Q819">
        <v>0.29422609999999999</v>
      </c>
      <c r="R819">
        <v>-1.625066E-2</v>
      </c>
      <c r="S819">
        <v>3.2175449999999999</v>
      </c>
      <c r="T819">
        <v>-0.28535880000000002</v>
      </c>
      <c r="U819">
        <v>-0.54232789999999997</v>
      </c>
      <c r="V819">
        <v>1.2079970000000001E-2</v>
      </c>
      <c r="W819">
        <v>0.3077954</v>
      </c>
      <c r="X819">
        <v>0.95137590000000005</v>
      </c>
      <c r="Y819">
        <v>0.161288299999999</v>
      </c>
      <c r="Z819">
        <v>-7.9311420000000004E-3</v>
      </c>
      <c r="AA819">
        <v>0.98687550000000002</v>
      </c>
      <c r="AB819">
        <v>30</v>
      </c>
      <c r="AC819">
        <v>0.44630000000000702</v>
      </c>
      <c r="AD819">
        <v>-6.6594E-2</v>
      </c>
      <c r="AE819">
        <v>-0.12569999999999401</v>
      </c>
      <c r="AF819">
        <v>0.121289755116577</v>
      </c>
      <c r="AG819">
        <v>-6.6594E-2</v>
      </c>
      <c r="AH819">
        <v>0.437801941540091</v>
      </c>
      <c r="AI819">
        <v>98.339498917483098</v>
      </c>
      <c r="AJ819">
        <v>74.515005636541801</v>
      </c>
      <c r="AK819">
        <v>0.45914758580276999</v>
      </c>
      <c r="AL819">
        <v>72.073579169092497</v>
      </c>
      <c r="AM819">
        <v>89.272533490307893</v>
      </c>
      <c r="AN819">
        <v>1.00000001851858</v>
      </c>
    </row>
    <row r="820" spans="1:40" x14ac:dyDescent="0.25">
      <c r="A820" t="str">
        <f>"20190304164611096"</f>
        <v>20190304164611096</v>
      </c>
      <c r="B820" t="str">
        <f>"1551689171089154"</f>
        <v>1551689171089154</v>
      </c>
      <c r="C820" t="s">
        <v>40</v>
      </c>
      <c r="D820">
        <v>4.5804349999999996</v>
      </c>
      <c r="E820">
        <v>0.59018890000000002</v>
      </c>
      <c r="F820" t="s">
        <v>41</v>
      </c>
      <c r="G820">
        <v>-234.48750000000001</v>
      </c>
      <c r="H820">
        <v>1.0094479999999999</v>
      </c>
      <c r="I820">
        <v>367.54059999999998</v>
      </c>
      <c r="J820">
        <v>-235.1669</v>
      </c>
      <c r="K820">
        <v>1.1109329999999999</v>
      </c>
      <c r="L820">
        <v>367.73129999999998</v>
      </c>
      <c r="M820">
        <v>0.99989039999999996</v>
      </c>
      <c r="N820">
        <v>-1.422346E-2</v>
      </c>
      <c r="O820">
        <v>-4.1192620000000003E-3</v>
      </c>
      <c r="P820">
        <v>0.95545650000000004</v>
      </c>
      <c r="Q820">
        <v>0.29467729999999998</v>
      </c>
      <c r="R820">
        <v>-1.6381670000000001E-2</v>
      </c>
      <c r="S820">
        <v>3.2339319999999998</v>
      </c>
      <c r="T820">
        <v>-0.34263310000000002</v>
      </c>
      <c r="U820">
        <v>-0.64575199999999999</v>
      </c>
      <c r="V820">
        <v>1.235838E-2</v>
      </c>
      <c r="W820">
        <v>0.30824179999999901</v>
      </c>
      <c r="X820">
        <v>0.95122779999999996</v>
      </c>
      <c r="Y820">
        <v>0.19062080000000001</v>
      </c>
      <c r="Z820">
        <v>-1.0972330000000001E-2</v>
      </c>
      <c r="AA820">
        <v>0.98160239999999999</v>
      </c>
      <c r="AB820">
        <v>30</v>
      </c>
      <c r="AC820">
        <v>0.67939999999998602</v>
      </c>
      <c r="AD820">
        <v>-0.10148500000000001</v>
      </c>
      <c r="AE820">
        <v>-0.19069999999999199</v>
      </c>
      <c r="AF820">
        <v>0.18409186756781601</v>
      </c>
      <c r="AG820">
        <v>-0.10148500000000001</v>
      </c>
      <c r="AH820">
        <v>0.66639665780636603</v>
      </c>
      <c r="AI820">
        <v>98.350867958940995</v>
      </c>
      <c r="AJ820">
        <v>74.557202473287305</v>
      </c>
      <c r="AK820">
        <v>0.69876571643513097</v>
      </c>
      <c r="AL820">
        <v>72.046695499218799</v>
      </c>
      <c r="AM820">
        <v>89.255653398826098</v>
      </c>
      <c r="AN820">
        <v>1.0000000321581499</v>
      </c>
    </row>
    <row r="821" spans="1:40" x14ac:dyDescent="0.25">
      <c r="A821" t="str">
        <f>"20190304164611119"</f>
        <v>20190304164611119</v>
      </c>
      <c r="B821" t="str">
        <f>"1551689171108674"</f>
        <v>1551689171108674</v>
      </c>
      <c r="C821" t="s">
        <v>40</v>
      </c>
      <c r="D821">
        <v>4.6022019999999904</v>
      </c>
      <c r="E821">
        <v>0.59072690000000005</v>
      </c>
      <c r="F821" t="s">
        <v>41</v>
      </c>
      <c r="G821">
        <v>-234.2227</v>
      </c>
      <c r="H821">
        <v>1.011031</v>
      </c>
      <c r="I821">
        <v>367.53969999999998</v>
      </c>
      <c r="J821">
        <v>-234.87809999999999</v>
      </c>
      <c r="K821">
        <v>1.1109389999999999</v>
      </c>
      <c r="L821">
        <v>367.73020000000002</v>
      </c>
      <c r="M821">
        <v>0.99989110000000003</v>
      </c>
      <c r="N821">
        <v>-1.4220440000000001E-2</v>
      </c>
      <c r="O821">
        <v>-3.9602329999999996E-3</v>
      </c>
      <c r="P821">
        <v>0.95539700000000005</v>
      </c>
      <c r="Q821">
        <v>0.29484060000000001</v>
      </c>
      <c r="R821">
        <v>-1.6909230000000001E-2</v>
      </c>
      <c r="S821">
        <v>3.2342379999999999</v>
      </c>
      <c r="T821">
        <v>-0.3424374</v>
      </c>
      <c r="U821">
        <v>-0.65536499999999998</v>
      </c>
      <c r="V821">
        <v>1.303847E-2</v>
      </c>
      <c r="W821">
        <v>0.3084015</v>
      </c>
      <c r="X821">
        <v>0.95116690000000004</v>
      </c>
      <c r="Y821">
        <v>0.193546</v>
      </c>
      <c r="Z821">
        <v>-1.1151690000000001E-2</v>
      </c>
      <c r="AA821">
        <v>0.98102780000000001</v>
      </c>
      <c r="AB821">
        <v>30</v>
      </c>
      <c r="AC821">
        <v>0.65539999999998599</v>
      </c>
      <c r="AD821">
        <v>-9.9907999999999803E-2</v>
      </c>
      <c r="AE821">
        <v>-0.190500000000042</v>
      </c>
      <c r="AF821">
        <v>0.18396094893159401</v>
      </c>
      <c r="AG821">
        <v>-9.9907999999999803E-2</v>
      </c>
      <c r="AH821">
        <v>0.64238488617493805</v>
      </c>
      <c r="AI821">
        <v>98.503678964578498</v>
      </c>
      <c r="AJ821">
        <v>74.019777885251003</v>
      </c>
      <c r="AK821">
        <v>0.675634206639807</v>
      </c>
      <c r="AL821">
        <v>72.0370757771136</v>
      </c>
      <c r="AM821">
        <v>89.2146462245572</v>
      </c>
      <c r="AN821">
        <v>0.99999997927890005</v>
      </c>
    </row>
    <row r="822" spans="1:40" x14ac:dyDescent="0.25">
      <c r="A822" t="str">
        <f>"20190304164611142"</f>
        <v>20190304164611142</v>
      </c>
      <c r="B822" t="str">
        <f>"1551689171138930"</f>
        <v>1551689171138930</v>
      </c>
      <c r="C822" t="s">
        <v>40</v>
      </c>
      <c r="D822">
        <v>4.5812239999999997</v>
      </c>
      <c r="E822">
        <v>0.59094609999999903</v>
      </c>
      <c r="F822" t="s">
        <v>41</v>
      </c>
      <c r="G822">
        <v>-233.95009999999999</v>
      </c>
      <c r="H822">
        <v>1.0131950000000001</v>
      </c>
      <c r="I822">
        <v>367.53989999999999</v>
      </c>
      <c r="J822">
        <v>-234.57480000000001</v>
      </c>
      <c r="K822">
        <v>1.110938</v>
      </c>
      <c r="L822">
        <v>367.72919999999999</v>
      </c>
      <c r="M822">
        <v>0.9998918</v>
      </c>
      <c r="N822">
        <v>-1.4217280000000001E-2</v>
      </c>
      <c r="O822">
        <v>-3.7934510000000002E-3</v>
      </c>
      <c r="P822">
        <v>0.95535079999999994</v>
      </c>
      <c r="Q822">
        <v>0.294904099999999</v>
      </c>
      <c r="R822">
        <v>-1.8334079999999999E-2</v>
      </c>
      <c r="S822">
        <v>3.2335210000000001</v>
      </c>
      <c r="T822">
        <v>-0.34083160000000001</v>
      </c>
      <c r="U822">
        <v>-0.66250609999999999</v>
      </c>
      <c r="V822">
        <v>1.462314E-2</v>
      </c>
      <c r="W822">
        <v>0.30846180000000001</v>
      </c>
      <c r="X822">
        <v>0.95112430000000003</v>
      </c>
      <c r="Y822">
        <v>0.19582740000000001</v>
      </c>
      <c r="Z822">
        <v>-1.1256489999999999E-2</v>
      </c>
      <c r="AA822">
        <v>0.98057380000000005</v>
      </c>
      <c r="AB822">
        <v>29</v>
      </c>
      <c r="AC822">
        <v>0.62470000000001802</v>
      </c>
      <c r="AD822">
        <v>-9.7742999999999899E-2</v>
      </c>
      <c r="AE822">
        <v>-0.18930000000000199</v>
      </c>
      <c r="AF822">
        <v>0.182829221669146</v>
      </c>
      <c r="AG822">
        <v>-9.7742999999999899E-2</v>
      </c>
      <c r="AH822">
        <v>0.61169814454384497</v>
      </c>
      <c r="AI822">
        <v>98.704252035386205</v>
      </c>
      <c r="AJ822">
        <v>73.359226997399404</v>
      </c>
      <c r="AK822">
        <v>0.64587524986140199</v>
      </c>
      <c r="AL822">
        <v>72.033443710593801</v>
      </c>
      <c r="AM822">
        <v>89.119170650290798</v>
      </c>
      <c r="AN822">
        <v>0.99999997616659397</v>
      </c>
    </row>
    <row r="823" spans="1:40" x14ac:dyDescent="0.25">
      <c r="A823" t="str">
        <f>"20190304164611165"</f>
        <v>20190304164611165</v>
      </c>
      <c r="B823" t="str">
        <f>"1551689171158450"</f>
        <v>1551689171158450</v>
      </c>
      <c r="C823" t="s">
        <v>40</v>
      </c>
      <c r="D823">
        <v>4.6069979999999999</v>
      </c>
      <c r="E823">
        <v>0.59099349999999995</v>
      </c>
      <c r="F823" t="s">
        <v>41</v>
      </c>
      <c r="G823">
        <v>-233.6934</v>
      </c>
      <c r="H823">
        <v>1.0176829999999999</v>
      </c>
      <c r="I823">
        <v>367.54640000000001</v>
      </c>
      <c r="J823">
        <v>-234.27610000000001</v>
      </c>
      <c r="K823">
        <v>1.1109389999999999</v>
      </c>
      <c r="L823">
        <v>367.72820000000002</v>
      </c>
      <c r="M823">
        <v>0.99989240000000001</v>
      </c>
      <c r="N823">
        <v>-1.421417E-2</v>
      </c>
      <c r="O823">
        <v>-3.6294069999999999E-3</v>
      </c>
      <c r="P823">
        <v>0.95547000000000004</v>
      </c>
      <c r="Q823">
        <v>0.29442829999999998</v>
      </c>
      <c r="R823">
        <v>-1.973337E-2</v>
      </c>
      <c r="S823">
        <v>3.2329859999999999</v>
      </c>
      <c r="T823">
        <v>-0.342209599999999</v>
      </c>
      <c r="U823">
        <v>-0.66983029999999999</v>
      </c>
      <c r="V823">
        <v>1.6178629999999999E-2</v>
      </c>
      <c r="W823">
        <v>0.30798550000000002</v>
      </c>
      <c r="X823">
        <v>0.95125349999999997</v>
      </c>
      <c r="Y823">
        <v>0.1981272</v>
      </c>
      <c r="Z823">
        <v>-1.144677E-2</v>
      </c>
      <c r="AA823">
        <v>0.98010949999999997</v>
      </c>
      <c r="AB823">
        <v>29</v>
      </c>
      <c r="AC823">
        <v>0.58270000000001598</v>
      </c>
      <c r="AD823">
        <v>-9.3255999999999895E-2</v>
      </c>
      <c r="AE823">
        <v>-0.18180000000000901</v>
      </c>
      <c r="AF823">
        <v>0.175585373390406</v>
      </c>
      <c r="AG823">
        <v>-9.3255999999999895E-2</v>
      </c>
      <c r="AH823">
        <v>0.57005043664441002</v>
      </c>
      <c r="AI823">
        <v>98.885918234802702</v>
      </c>
      <c r="AJ823">
        <v>72.880264443950594</v>
      </c>
      <c r="AK823">
        <v>0.60372543859202299</v>
      </c>
      <c r="AL823">
        <v>72.062131120642107</v>
      </c>
      <c r="AM823">
        <v>89.0256247634251</v>
      </c>
      <c r="AN823">
        <v>1.00000001877058</v>
      </c>
    </row>
    <row r="824" spans="1:40" x14ac:dyDescent="0.25">
      <c r="A824" t="str">
        <f>"20190304164611186"</f>
        <v>20190304164611186</v>
      </c>
      <c r="B824" t="str">
        <f>"1551689171178947"</f>
        <v>1551689171178947</v>
      </c>
      <c r="C824" t="s">
        <v>40</v>
      </c>
      <c r="D824">
        <v>4.6081580000000004</v>
      </c>
      <c r="E824">
        <v>0.59101150000000002</v>
      </c>
      <c r="F824" t="s">
        <v>41</v>
      </c>
      <c r="G824">
        <v>-233.43010000000001</v>
      </c>
      <c r="H824">
        <v>1.020416</v>
      </c>
      <c r="I824">
        <v>367.55149999999998</v>
      </c>
      <c r="J824">
        <v>-233.99379999999999</v>
      </c>
      <c r="K824">
        <v>1.11094</v>
      </c>
      <c r="L824">
        <v>367.72739999999999</v>
      </c>
      <c r="M824">
        <v>0.99989309999999998</v>
      </c>
      <c r="N824">
        <v>-1.421122E-2</v>
      </c>
      <c r="O824">
        <v>-3.4745449999999999E-3</v>
      </c>
      <c r="P824">
        <v>0.95558050000000005</v>
      </c>
      <c r="Q824">
        <v>0.29393069999999999</v>
      </c>
      <c r="R824">
        <v>-2.1702269999999999E-2</v>
      </c>
      <c r="S824">
        <v>3.2325900000000001</v>
      </c>
      <c r="T824">
        <v>-0.34618149999999998</v>
      </c>
      <c r="U824">
        <v>-0.67440800000000001</v>
      </c>
      <c r="V824">
        <v>1.829559E-2</v>
      </c>
      <c r="W824">
        <v>0.30748700000000001</v>
      </c>
      <c r="X824">
        <v>0.95137640000000001</v>
      </c>
      <c r="Y824">
        <v>0.19959740000000001</v>
      </c>
      <c r="Z824">
        <v>-1.1664030000000001E-2</v>
      </c>
      <c r="AA824">
        <v>0.97980860000000003</v>
      </c>
      <c r="AB824">
        <v>29</v>
      </c>
      <c r="AC824">
        <v>0.56369999999998299</v>
      </c>
      <c r="AD824">
        <v>-9.0523999999999993E-2</v>
      </c>
      <c r="AE824">
        <v>-0.17590000000001199</v>
      </c>
      <c r="AF824">
        <v>0.16994631341476499</v>
      </c>
      <c r="AG824">
        <v>-9.0523999999999993E-2</v>
      </c>
      <c r="AH824">
        <v>0.55135080259985603</v>
      </c>
      <c r="AI824">
        <v>98.917087377408706</v>
      </c>
      <c r="AJ824">
        <v>72.868804280254594</v>
      </c>
      <c r="AK824">
        <v>0.58400689340689804</v>
      </c>
      <c r="AL824">
        <v>72.0921498297418</v>
      </c>
      <c r="AM824">
        <v>88.898300506994701</v>
      </c>
      <c r="AN824">
        <v>1.0000000191297</v>
      </c>
    </row>
    <row r="825" spans="1:40" x14ac:dyDescent="0.25">
      <c r="A825" t="str">
        <f>"20190304164611209"</f>
        <v>20190304164611209</v>
      </c>
      <c r="B825" t="str">
        <f>"1551689171198466"</f>
        <v>1551689171198466</v>
      </c>
      <c r="C825" t="s">
        <v>40</v>
      </c>
      <c r="D825">
        <v>4.6111680000000002</v>
      </c>
      <c r="E825">
        <v>0.59099569999999901</v>
      </c>
      <c r="F825" t="s">
        <v>41</v>
      </c>
      <c r="G825">
        <v>-233.1677</v>
      </c>
      <c r="H825">
        <v>1.021412</v>
      </c>
      <c r="I825">
        <v>367.55329999999998</v>
      </c>
      <c r="J825">
        <v>-233.70169999999999</v>
      </c>
      <c r="K825">
        <v>1.1109370000000001</v>
      </c>
      <c r="L825">
        <v>367.72649999999999</v>
      </c>
      <c r="M825">
        <v>0.9998937</v>
      </c>
      <c r="N825">
        <v>-1.4208139999999999E-2</v>
      </c>
      <c r="O825">
        <v>-3.3136060000000002E-3</v>
      </c>
      <c r="P825">
        <v>0.95572449999999998</v>
      </c>
      <c r="Q825">
        <v>0.29329229999999901</v>
      </c>
      <c r="R825">
        <v>-2.38844E-2</v>
      </c>
      <c r="S825">
        <v>3.2317659999999999</v>
      </c>
      <c r="T825">
        <v>-0.35031440000000003</v>
      </c>
      <c r="U825">
        <v>-0.68023679999999997</v>
      </c>
      <c r="V825">
        <v>2.0631650000000001E-2</v>
      </c>
      <c r="W825">
        <v>0.30684889999999998</v>
      </c>
      <c r="X825">
        <v>0.95153460000000001</v>
      </c>
      <c r="Y825">
        <v>0.2014572</v>
      </c>
      <c r="Z825">
        <v>-1.191334E-2</v>
      </c>
      <c r="AA825">
        <v>0.97942479999999998</v>
      </c>
      <c r="AB825">
        <v>29</v>
      </c>
      <c r="AC825">
        <v>0.53399999999999104</v>
      </c>
      <c r="AD825">
        <v>-8.9524999999999993E-2</v>
      </c>
      <c r="AE825">
        <v>-0.17320000000000799</v>
      </c>
      <c r="AF825">
        <v>0.16717788393589</v>
      </c>
      <c r="AG825">
        <v>-8.9524999999999993E-2</v>
      </c>
      <c r="AH825">
        <v>0.52131345655063699</v>
      </c>
      <c r="AI825">
        <v>99.287201140055402</v>
      </c>
      <c r="AJ825">
        <v>72.219685841070103</v>
      </c>
      <c r="AK825">
        <v>0.55473497319265397</v>
      </c>
      <c r="AL825">
        <v>72.130567274654098</v>
      </c>
      <c r="AM825">
        <v>88.757878827120905</v>
      </c>
      <c r="AN825">
        <v>1.0000000037050401</v>
      </c>
    </row>
    <row r="826" spans="1:40" x14ac:dyDescent="0.25">
      <c r="A826" t="str">
        <f>"20190304164611230"</f>
        <v>20190304164611230</v>
      </c>
      <c r="B826" t="str">
        <f>"1551689171218963"</f>
        <v>1551689171218963</v>
      </c>
      <c r="C826" t="s">
        <v>40</v>
      </c>
      <c r="D826">
        <v>4.6391739999999997</v>
      </c>
      <c r="E826">
        <v>0.59098450000000002</v>
      </c>
      <c r="F826" t="s">
        <v>41</v>
      </c>
      <c r="G826">
        <v>-232.905</v>
      </c>
      <c r="H826">
        <v>1.023334</v>
      </c>
      <c r="I826">
        <v>367.55680000000001</v>
      </c>
      <c r="J826">
        <v>-233.41079999999999</v>
      </c>
      <c r="K826">
        <v>1.110943</v>
      </c>
      <c r="L826">
        <v>367.72570000000002</v>
      </c>
      <c r="M826">
        <v>0.99989430000000001</v>
      </c>
      <c r="N826">
        <v>-1.420507E-2</v>
      </c>
      <c r="O826">
        <v>-3.1538540000000002E-3</v>
      </c>
      <c r="P826">
        <v>0.95557979999999998</v>
      </c>
      <c r="Q826">
        <v>0.29355930000000002</v>
      </c>
      <c r="R826">
        <v>-2.628138E-2</v>
      </c>
      <c r="S826">
        <v>3.2308349999999999</v>
      </c>
      <c r="T826">
        <v>-0.35534949999999998</v>
      </c>
      <c r="U826">
        <v>-0.68792719999999996</v>
      </c>
      <c r="V826">
        <v>2.3181500000000001E-2</v>
      </c>
      <c r="W826">
        <v>0.30711119999999997</v>
      </c>
      <c r="X826">
        <v>0.95139130000000005</v>
      </c>
      <c r="Y826">
        <v>0.20385049999999999</v>
      </c>
      <c r="Z826">
        <v>-1.2224840000000001E-2</v>
      </c>
      <c r="AA826">
        <v>0.97892570000000001</v>
      </c>
      <c r="AB826">
        <v>29</v>
      </c>
      <c r="AC826">
        <v>0.50579999999999303</v>
      </c>
      <c r="AD826">
        <v>-8.7609000000000006E-2</v>
      </c>
      <c r="AE826">
        <v>-0.16890000000000699</v>
      </c>
      <c r="AF826">
        <v>0.162906677875614</v>
      </c>
      <c r="AG826">
        <v>-8.7609000000000006E-2</v>
      </c>
      <c r="AH826">
        <v>0.49302278010593198</v>
      </c>
      <c r="AI826">
        <v>99.577057233426302</v>
      </c>
      <c r="AJ826">
        <v>71.715192711841397</v>
      </c>
      <c r="AK826">
        <v>0.52657894401585303</v>
      </c>
      <c r="AL826">
        <v>72.114776773044099</v>
      </c>
      <c r="AM826">
        <v>88.604213264733701</v>
      </c>
      <c r="AN826">
        <v>1.0000000384116801</v>
      </c>
    </row>
    <row r="827" spans="1:40" x14ac:dyDescent="0.25">
      <c r="A827" t="str">
        <f>"20190304164611256"</f>
        <v>20190304164611256</v>
      </c>
      <c r="B827" t="str">
        <f>"1551689171248242"</f>
        <v>1551689171248242</v>
      </c>
      <c r="C827" t="s">
        <v>40</v>
      </c>
      <c r="D827">
        <v>4.6351589999999998</v>
      </c>
      <c r="E827">
        <v>0.590943</v>
      </c>
      <c r="F827" t="s">
        <v>41</v>
      </c>
      <c r="G827">
        <v>-232.64169999999999</v>
      </c>
      <c r="H827">
        <v>1.0260370000000001</v>
      </c>
      <c r="I827">
        <v>367.56020000000001</v>
      </c>
      <c r="J827">
        <v>-233.09989999999999</v>
      </c>
      <c r="K827">
        <v>1.1109469999999999</v>
      </c>
      <c r="L827">
        <v>367.72500000000002</v>
      </c>
      <c r="M827">
        <v>0.99989479999999997</v>
      </c>
      <c r="N827">
        <v>-1.4201780000000001E-2</v>
      </c>
      <c r="O827">
        <v>-2.9854259999999998E-3</v>
      </c>
      <c r="P827">
        <v>0.955426</v>
      </c>
      <c r="Q827">
        <v>0.29394749999999997</v>
      </c>
      <c r="R827">
        <v>-2.750199E-2</v>
      </c>
      <c r="S827">
        <v>3.2299500000000001</v>
      </c>
      <c r="T827">
        <v>-0.35673440000000001</v>
      </c>
      <c r="U827">
        <v>-0.69525150000000002</v>
      </c>
      <c r="V827">
        <v>2.4564920000000001E-2</v>
      </c>
      <c r="W827">
        <v>0.30749460000000001</v>
      </c>
      <c r="X827">
        <v>0.95123270000000004</v>
      </c>
      <c r="Y827">
        <v>0.2061663</v>
      </c>
      <c r="Z827">
        <v>-1.2425449999999999E-2</v>
      </c>
      <c r="AA827">
        <v>0.97843809999999998</v>
      </c>
      <c r="AB827">
        <v>29</v>
      </c>
      <c r="AC827">
        <v>0.45820000000000499</v>
      </c>
      <c r="AD827">
        <v>-8.4909999999999805E-2</v>
      </c>
      <c r="AE827">
        <v>-0.16480000000001299</v>
      </c>
      <c r="AF827">
        <v>0.15860838848481501</v>
      </c>
      <c r="AG827">
        <v>-8.4909999999999805E-2</v>
      </c>
      <c r="AH827">
        <v>0.44515416985107897</v>
      </c>
      <c r="AI827">
        <v>100.186130926236</v>
      </c>
      <c r="AJ827">
        <v>70.389021437880501</v>
      </c>
      <c r="AK827">
        <v>0.48013390208727502</v>
      </c>
      <c r="AL827">
        <v>72.091691984905495</v>
      </c>
      <c r="AM827">
        <v>88.520705303734502</v>
      </c>
      <c r="AN827">
        <v>1.00000000693652</v>
      </c>
    </row>
    <row r="828" spans="1:40" x14ac:dyDescent="0.25">
      <c r="A828" t="str">
        <f>"20190304164611277"</f>
        <v>20190304164611277</v>
      </c>
      <c r="B828" t="str">
        <f>"1551689171268739"</f>
        <v>1551689171268739</v>
      </c>
      <c r="C828" t="s">
        <v>40</v>
      </c>
      <c r="D828">
        <v>4.6568310000000004</v>
      </c>
      <c r="E828">
        <v>0.59085989999999999</v>
      </c>
      <c r="F828" t="s">
        <v>42</v>
      </c>
      <c r="G828">
        <v>-223.1044</v>
      </c>
      <c r="H828" s="1">
        <v>-3.6590160000000001E-6</v>
      </c>
      <c r="I828">
        <v>365.56580000000002</v>
      </c>
      <c r="J828">
        <v>-232.80770000000001</v>
      </c>
      <c r="K828">
        <v>1.1109469999999999</v>
      </c>
      <c r="L828">
        <v>367.7242</v>
      </c>
      <c r="M828">
        <v>0.99989519999999998</v>
      </c>
      <c r="N828">
        <v>-1.419868E-2</v>
      </c>
      <c r="O828">
        <v>-2.8342100000000002E-3</v>
      </c>
      <c r="P828">
        <v>0.95524929999999997</v>
      </c>
      <c r="Q828">
        <v>0.29428870000000001</v>
      </c>
      <c r="R828">
        <v>-2.9883750000000001E-2</v>
      </c>
      <c r="S828">
        <v>3.2303160000000002</v>
      </c>
      <c r="T828">
        <v>-0.35902970000000001</v>
      </c>
      <c r="U828">
        <v>-0.69778439999999997</v>
      </c>
      <c r="V828">
        <v>2.709489E-2</v>
      </c>
      <c r="W828">
        <v>0.30783090000000002</v>
      </c>
      <c r="X828">
        <v>0.95105519999999999</v>
      </c>
      <c r="Y828">
        <v>0.20700260000000001</v>
      </c>
      <c r="Z828">
        <v>-1.255916E-2</v>
      </c>
      <c r="AA828">
        <v>0.97825980000000001</v>
      </c>
      <c r="AB828">
        <v>29</v>
      </c>
      <c r="AC828">
        <v>9.7033000000000094</v>
      </c>
      <c r="AD828">
        <v>-1.1109506590160001</v>
      </c>
      <c r="AE828">
        <v>-2.1583999999999701</v>
      </c>
      <c r="AF828">
        <v>2.10460005074034</v>
      </c>
      <c r="AG828">
        <v>-1.1109506590160001</v>
      </c>
      <c r="AH828">
        <v>9.5896009514501408</v>
      </c>
      <c r="AI828">
        <v>96.455924941829693</v>
      </c>
      <c r="AJ828">
        <v>77.621718681661207</v>
      </c>
      <c r="AK828">
        <v>9.8804857749200607</v>
      </c>
      <c r="AL828">
        <v>72.071440931579204</v>
      </c>
      <c r="AM828">
        <v>88.368125167640102</v>
      </c>
      <c r="AN828">
        <v>0.99999999475298096</v>
      </c>
    </row>
    <row r="829" spans="1:40" x14ac:dyDescent="0.25">
      <c r="A829" t="str">
        <f>"20190304164611298"</f>
        <v>20190304164611298</v>
      </c>
      <c r="B829" t="str">
        <f>"1551689171288258"</f>
        <v>1551689171288258</v>
      </c>
      <c r="C829" t="s">
        <v>40</v>
      </c>
      <c r="D829">
        <v>4.6493279999999997</v>
      </c>
      <c r="E829">
        <v>0.59082000000000001</v>
      </c>
      <c r="F829" t="s">
        <v>42</v>
      </c>
      <c r="G829">
        <v>-222.87799999999999</v>
      </c>
      <c r="H829" s="1">
        <v>-3.7569130000000001E-6</v>
      </c>
      <c r="I829">
        <v>365.56139999999999</v>
      </c>
      <c r="J829">
        <v>-232.53319999999999</v>
      </c>
      <c r="K829">
        <v>1.1109439999999999</v>
      </c>
      <c r="L829">
        <v>367.72359999999998</v>
      </c>
      <c r="M829">
        <v>0.99989570000000005</v>
      </c>
      <c r="N829">
        <v>-1.419574E-2</v>
      </c>
      <c r="O829">
        <v>-2.6992269999999998E-3</v>
      </c>
      <c r="P829">
        <v>0.9550632</v>
      </c>
      <c r="Q829">
        <v>0.29469240000000002</v>
      </c>
      <c r="R829">
        <v>-3.1796909999999998E-2</v>
      </c>
      <c r="S829">
        <v>3.2298740000000001</v>
      </c>
      <c r="T829">
        <v>-0.36136040000000003</v>
      </c>
      <c r="U829">
        <v>-0.70349119999999998</v>
      </c>
      <c r="V829">
        <v>2.9141469999999999E-2</v>
      </c>
      <c r="W829">
        <v>0.30822909999999998</v>
      </c>
      <c r="X829">
        <v>0.95086570000000004</v>
      </c>
      <c r="Y829">
        <v>0.20878360000000001</v>
      </c>
      <c r="Z829">
        <v>-1.2753779999999999E-2</v>
      </c>
      <c r="AA829">
        <v>0.97787869999999999</v>
      </c>
      <c r="AB829">
        <v>29</v>
      </c>
      <c r="AC829">
        <v>9.6552000000000007</v>
      </c>
      <c r="AD829">
        <v>-1.110947756913</v>
      </c>
      <c r="AE829">
        <v>-2.1621999999999799</v>
      </c>
      <c r="AF829">
        <v>2.1095329346651299</v>
      </c>
      <c r="AG829">
        <v>-1.110947756913</v>
      </c>
      <c r="AH829">
        <v>9.5407213261523207</v>
      </c>
      <c r="AI829">
        <v>96.486483993011504</v>
      </c>
      <c r="AJ829">
        <v>77.532024725823703</v>
      </c>
      <c r="AK829">
        <v>9.8341088840994892</v>
      </c>
      <c r="AL829">
        <v>72.047459641795399</v>
      </c>
      <c r="AM829">
        <v>88.244588294444895</v>
      </c>
      <c r="AN829">
        <v>0.99999999139853002</v>
      </c>
    </row>
    <row r="830" spans="1:40" x14ac:dyDescent="0.25">
      <c r="A830" t="str">
        <f>"20190304164611320"</f>
        <v>20190304164611320</v>
      </c>
      <c r="B830" t="str">
        <f>"1551689171308754"</f>
        <v>1551689171308754</v>
      </c>
      <c r="C830" t="s">
        <v>40</v>
      </c>
      <c r="D830">
        <v>4.6668430000000001</v>
      </c>
      <c r="E830">
        <v>0.59072609999999903</v>
      </c>
      <c r="F830" t="s">
        <v>42</v>
      </c>
      <c r="G830">
        <v>-222.6258</v>
      </c>
      <c r="H830" s="1">
        <v>-3.8674380000000002E-6</v>
      </c>
      <c r="I830">
        <v>365.54829999999998</v>
      </c>
      <c r="J830">
        <v>-232.2441</v>
      </c>
      <c r="K830">
        <v>1.1109389999999999</v>
      </c>
      <c r="L830">
        <v>367.72300000000001</v>
      </c>
      <c r="M830">
        <v>0.99989600000000001</v>
      </c>
      <c r="N830">
        <v>-1.4192639999999999E-2</v>
      </c>
      <c r="O830">
        <v>-2.5659419999999999E-3</v>
      </c>
      <c r="P830">
        <v>0.95503159999999998</v>
      </c>
      <c r="Q830">
        <v>0.2946145</v>
      </c>
      <c r="R830">
        <v>-3.3427129999999999E-2</v>
      </c>
      <c r="S830">
        <v>3.229263</v>
      </c>
      <c r="T830">
        <v>-0.36210350000000002</v>
      </c>
      <c r="U830">
        <v>-0.7090149</v>
      </c>
      <c r="V830">
        <v>3.0904620000000001E-2</v>
      </c>
      <c r="W830">
        <v>0.30814750000000002</v>
      </c>
      <c r="X830">
        <v>0.95083649999999997</v>
      </c>
      <c r="Y830">
        <v>0.21053060000000001</v>
      </c>
      <c r="Z830">
        <v>-1.2898639999999999E-2</v>
      </c>
      <c r="AA830">
        <v>0.97750219999999999</v>
      </c>
      <c r="AB830">
        <v>29</v>
      </c>
      <c r="AC830">
        <v>9.6182999999999996</v>
      </c>
      <c r="AD830">
        <v>-1.110942867438</v>
      </c>
      <c r="AE830">
        <v>-2.1747000000000298</v>
      </c>
      <c r="AF830">
        <v>2.12306418094775</v>
      </c>
      <c r="AG830">
        <v>-1.110942867438</v>
      </c>
      <c r="AH830">
        <v>9.5032329295283198</v>
      </c>
      <c r="AI830">
        <v>96.508685399287302</v>
      </c>
      <c r="AJ830">
        <v>77.406661400306007</v>
      </c>
      <c r="AK830">
        <v>9.8006648592840993</v>
      </c>
      <c r="AL830">
        <v>72.052374601710298</v>
      </c>
      <c r="AM830">
        <v>88.138395870676803</v>
      </c>
      <c r="AN830">
        <v>1.0000000135129199</v>
      </c>
    </row>
    <row r="831" spans="1:40" x14ac:dyDescent="0.25">
      <c r="A831" t="str">
        <f>"20190304164611338"</f>
        <v>20190304164611338</v>
      </c>
      <c r="B831" t="str">
        <f>"1551689171328274"</f>
        <v>1551689171328274</v>
      </c>
      <c r="C831" t="s">
        <v>40</v>
      </c>
      <c r="D831">
        <v>4.6849030000000003</v>
      </c>
      <c r="E831">
        <v>0.59066300000000005</v>
      </c>
      <c r="F831" t="s">
        <v>42</v>
      </c>
      <c r="G831">
        <v>-222.39439999999999</v>
      </c>
      <c r="H831" s="1">
        <v>-3.9669850000000001E-6</v>
      </c>
      <c r="I831">
        <v>365.54669999999999</v>
      </c>
      <c r="J831">
        <v>-232.01920000000001</v>
      </c>
      <c r="K831">
        <v>1.1109279999999999</v>
      </c>
      <c r="L831">
        <v>367.72250000000003</v>
      </c>
      <c r="M831">
        <v>0.99989629999999996</v>
      </c>
      <c r="N831">
        <v>-1.419024E-2</v>
      </c>
      <c r="O831">
        <v>-2.4697199999999999E-3</v>
      </c>
      <c r="P831">
        <v>0.95513219999999999</v>
      </c>
      <c r="Q831">
        <v>0.29421540000000002</v>
      </c>
      <c r="R831">
        <v>-3.4058089999999999E-2</v>
      </c>
      <c r="S831">
        <v>3.2286220000000001</v>
      </c>
      <c r="T831">
        <v>-0.36415229999999998</v>
      </c>
      <c r="U831">
        <v>-0.71334839999999999</v>
      </c>
      <c r="V831">
        <v>3.1632510000000003E-2</v>
      </c>
      <c r="W831">
        <v>0.3077474</v>
      </c>
      <c r="X831">
        <v>0.95094219999999896</v>
      </c>
      <c r="Y831">
        <v>0.21189160000000001</v>
      </c>
      <c r="Z831">
        <v>-1.305778E-2</v>
      </c>
      <c r="AA831">
        <v>0.97720589999999996</v>
      </c>
      <c r="AB831">
        <v>29</v>
      </c>
      <c r="AC831">
        <v>9.62480000000002</v>
      </c>
      <c r="AD831">
        <v>-1.110931966985</v>
      </c>
      <c r="AE831">
        <v>-2.1758000000000299</v>
      </c>
      <c r="AF831">
        <v>2.1250850883288499</v>
      </c>
      <c r="AG831">
        <v>-1.110931966985</v>
      </c>
      <c r="AH831">
        <v>9.5096110716194602</v>
      </c>
      <c r="AI831">
        <v>96.504208132676993</v>
      </c>
      <c r="AJ831">
        <v>77.403241211098802</v>
      </c>
      <c r="AK831">
        <v>9.8072860262854693</v>
      </c>
      <c r="AL831">
        <v>72.0764706767077</v>
      </c>
      <c r="AM831">
        <v>88.094793486787097</v>
      </c>
      <c r="AN831">
        <v>1.0000000728182401</v>
      </c>
    </row>
    <row r="832" spans="1:40" x14ac:dyDescent="0.25">
      <c r="A832" t="str">
        <f>"20190304164611355"</f>
        <v>20190304164611355</v>
      </c>
      <c r="B832" t="str">
        <f>"1551689171348773"</f>
        <v>1551689171348773</v>
      </c>
      <c r="C832" t="s">
        <v>40</v>
      </c>
      <c r="D832">
        <v>4.6962210000000004</v>
      </c>
      <c r="E832">
        <v>0.59057499999999996</v>
      </c>
      <c r="F832" t="s">
        <v>42</v>
      </c>
      <c r="G832">
        <v>-222.25890000000001</v>
      </c>
      <c r="H832" s="1">
        <v>-4.0221580000000003E-6</v>
      </c>
      <c r="I832">
        <v>365.5634</v>
      </c>
      <c r="J832">
        <v>-231.78880000000001</v>
      </c>
      <c r="K832">
        <v>1.110914</v>
      </c>
      <c r="L832">
        <v>367.72199999999998</v>
      </c>
      <c r="M832">
        <v>0.99989660000000002</v>
      </c>
      <c r="N832">
        <v>-1.4187760000000001E-2</v>
      </c>
      <c r="O832">
        <v>-2.3788730000000001E-3</v>
      </c>
      <c r="P832">
        <v>0.9551598</v>
      </c>
      <c r="Q832">
        <v>0.2939657</v>
      </c>
      <c r="R832">
        <v>-3.5415719999999998E-2</v>
      </c>
      <c r="S832">
        <v>3.2286380000000001</v>
      </c>
      <c r="T832">
        <v>-0.36748589999999998</v>
      </c>
      <c r="U832">
        <v>-0.71420289999999997</v>
      </c>
      <c r="V832">
        <v>3.3082140000000003E-2</v>
      </c>
      <c r="W832">
        <v>0.30749559999999998</v>
      </c>
      <c r="X832">
        <v>0.95097430000000005</v>
      </c>
      <c r="Y832">
        <v>0.21219869999999999</v>
      </c>
      <c r="Z832">
        <v>-1.3190199999999999E-2</v>
      </c>
      <c r="AA832">
        <v>0.97713749999999999</v>
      </c>
      <c r="AB832">
        <v>29</v>
      </c>
      <c r="AC832">
        <v>9.5298999999999907</v>
      </c>
      <c r="AD832">
        <v>-1.110918022158</v>
      </c>
      <c r="AE832">
        <v>-2.1585999999999701</v>
      </c>
      <c r="AF832">
        <v>2.1086649580528198</v>
      </c>
      <c r="AG832">
        <v>-1.110918022158</v>
      </c>
      <c r="AH832">
        <v>9.4133334946567899</v>
      </c>
      <c r="AI832">
        <v>96.5693203210935</v>
      </c>
      <c r="AJ832">
        <v>77.373709566248493</v>
      </c>
      <c r="AK832">
        <v>9.7103786866889408</v>
      </c>
      <c r="AL832">
        <v>72.091632488263699</v>
      </c>
      <c r="AM832">
        <v>88.007619200827307</v>
      </c>
      <c r="AN832">
        <v>1.0000000456334099</v>
      </c>
    </row>
    <row r="833" spans="1:40" x14ac:dyDescent="0.25">
      <c r="A833" t="str">
        <f>"20190304164611376"</f>
        <v>20190304164611376</v>
      </c>
      <c r="B833" t="str">
        <f>"1551689171368290"</f>
        <v>1551689171368290</v>
      </c>
      <c r="C833" t="s">
        <v>40</v>
      </c>
      <c r="D833">
        <v>4.6886000000000001</v>
      </c>
      <c r="E833">
        <v>0.59051469999999995</v>
      </c>
      <c r="F833" t="s">
        <v>42</v>
      </c>
      <c r="G833">
        <v>-222.11330000000001</v>
      </c>
      <c r="H833" s="1">
        <v>-4.0829250000000004E-6</v>
      </c>
      <c r="I833">
        <v>365.5729</v>
      </c>
      <c r="J833">
        <v>-231.5146</v>
      </c>
      <c r="K833">
        <v>1.1108910000000001</v>
      </c>
      <c r="L833">
        <v>367.72149999999999</v>
      </c>
      <c r="M833">
        <v>0.99989680000000003</v>
      </c>
      <c r="N833">
        <v>-1.4184820000000001E-2</v>
      </c>
      <c r="O833">
        <v>-2.282928E-3</v>
      </c>
      <c r="P833">
        <v>0.95534149999999995</v>
      </c>
      <c r="Q833">
        <v>0.29325869999999998</v>
      </c>
      <c r="R833">
        <v>-3.6358010000000003E-2</v>
      </c>
      <c r="S833">
        <v>3.228348</v>
      </c>
      <c r="T833">
        <v>-0.37066979999999999</v>
      </c>
      <c r="U833">
        <v>-0.71707149999999997</v>
      </c>
      <c r="V833">
        <v>3.4122590000000001E-2</v>
      </c>
      <c r="W833">
        <v>0.30678759999999999</v>
      </c>
      <c r="X833">
        <v>0.95116619999999996</v>
      </c>
      <c r="Y833">
        <v>0.21310770000000001</v>
      </c>
      <c r="Z833">
        <v>-1.3357580000000001E-2</v>
      </c>
      <c r="AA833">
        <v>0.97693739999999996</v>
      </c>
      <c r="AB833">
        <v>29</v>
      </c>
      <c r="AC833">
        <v>9.4012999999999902</v>
      </c>
      <c r="AD833">
        <v>-1.1108950829249999</v>
      </c>
      <c r="AE833">
        <v>-2.1485999999999801</v>
      </c>
      <c r="AF833">
        <v>2.0992731705365699</v>
      </c>
      <c r="AG833">
        <v>-1.1108950829249999</v>
      </c>
      <c r="AH833">
        <v>9.2829991214487695</v>
      </c>
      <c r="AI833">
        <v>96.657578939968204</v>
      </c>
      <c r="AJ833">
        <v>77.257369389769494</v>
      </c>
      <c r="AK833">
        <v>9.5820200593935407</v>
      </c>
      <c r="AL833">
        <v>72.134258556488305</v>
      </c>
      <c r="AM833">
        <v>87.945424968962101</v>
      </c>
      <c r="AN833">
        <v>1.0000000613422499</v>
      </c>
    </row>
    <row r="834" spans="1:40" x14ac:dyDescent="0.25">
      <c r="A834" t="str">
        <f>"20190304164611392"</f>
        <v>20190304164611392</v>
      </c>
      <c r="B834" t="str">
        <f>"1551689171379026"</f>
        <v>1551689171379026</v>
      </c>
      <c r="C834" t="s">
        <v>40</v>
      </c>
      <c r="D834">
        <v>4.6678069999999998</v>
      </c>
      <c r="E834">
        <v>0.5904838</v>
      </c>
      <c r="F834" t="s">
        <v>42</v>
      </c>
      <c r="G834">
        <v>-221.95169999999999</v>
      </c>
      <c r="H834" s="1">
        <v>-4.1491699999999996E-6</v>
      </c>
      <c r="I834">
        <v>365.59039999999999</v>
      </c>
      <c r="J834">
        <v>-231.29990000000001</v>
      </c>
      <c r="K834">
        <v>1.1108819999999999</v>
      </c>
      <c r="L834">
        <v>367.721</v>
      </c>
      <c r="M834">
        <v>0.99989709999999998</v>
      </c>
      <c r="N834">
        <v>-1.4182510000000001E-2</v>
      </c>
      <c r="O834">
        <v>-2.214138E-3</v>
      </c>
      <c r="P834">
        <v>0.95539390000000002</v>
      </c>
      <c r="Q834">
        <v>0.29307680000000003</v>
      </c>
      <c r="R834">
        <v>-3.6453989999999999E-2</v>
      </c>
      <c r="S834">
        <v>3.2279659999999999</v>
      </c>
      <c r="T834">
        <v>-0.37497720000000001</v>
      </c>
      <c r="U834">
        <v>-0.71932980000000002</v>
      </c>
      <c r="V834">
        <v>3.428958E-2</v>
      </c>
      <c r="W834">
        <v>0.30660379999999998</v>
      </c>
      <c r="X834">
        <v>0.95121940000000005</v>
      </c>
      <c r="Y834">
        <v>0.21381220000000001</v>
      </c>
      <c r="Z834">
        <v>-1.354645E-2</v>
      </c>
      <c r="AA834">
        <v>0.9767808</v>
      </c>
      <c r="AB834">
        <v>29</v>
      </c>
      <c r="AC834">
        <v>9.3482000000000198</v>
      </c>
      <c r="AD834">
        <v>-1.1108861491699999</v>
      </c>
      <c r="AE834">
        <v>-2.13060000000001</v>
      </c>
      <c r="AF834">
        <v>2.0819459394209399</v>
      </c>
      <c r="AG834">
        <v>-1.1108861491699999</v>
      </c>
      <c r="AH834">
        <v>9.2290026032820798</v>
      </c>
      <c r="AI834">
        <v>96.696915210645798</v>
      </c>
      <c r="AJ834">
        <v>77.287591216654505</v>
      </c>
      <c r="AK834">
        <v>9.5259149682577196</v>
      </c>
      <c r="AL834">
        <v>72.145321711221101</v>
      </c>
      <c r="AM834">
        <v>87.935494288485899</v>
      </c>
      <c r="AN834">
        <v>1.00000000620368</v>
      </c>
    </row>
    <row r="835" spans="1:40" x14ac:dyDescent="0.25">
      <c r="A835" t="str">
        <f>"20190304164611410"</f>
        <v>20190304164611410</v>
      </c>
      <c r="B835" t="str">
        <f>"1551689171398547"</f>
        <v>1551689171398547</v>
      </c>
      <c r="C835" t="s">
        <v>40</v>
      </c>
      <c r="D835">
        <v>4.6787219999999996</v>
      </c>
      <c r="E835">
        <v>0.59045619999999999</v>
      </c>
      <c r="F835" t="s">
        <v>41</v>
      </c>
      <c r="G835">
        <v>-230.56010000000001</v>
      </c>
      <c r="H835">
        <v>1.0246710000000001</v>
      </c>
      <c r="I835">
        <v>367.55610000000001</v>
      </c>
      <c r="J835">
        <v>-231.0814</v>
      </c>
      <c r="K835">
        <v>1.1108720000000001</v>
      </c>
      <c r="L835">
        <v>367.72059999999999</v>
      </c>
      <c r="M835">
        <v>0.99989729999999999</v>
      </c>
      <c r="N835">
        <v>-1.418034E-2</v>
      </c>
      <c r="O835">
        <v>-2.1516550000000001E-3</v>
      </c>
      <c r="P835">
        <v>0.95544609999999996</v>
      </c>
      <c r="Q835">
        <v>0.29285939999999999</v>
      </c>
      <c r="R835">
        <v>-3.6829729999999998E-2</v>
      </c>
      <c r="S835">
        <v>3.2280880000000001</v>
      </c>
      <c r="T835">
        <v>-0.37635239999999998</v>
      </c>
      <c r="U835">
        <v>-0.71896359999999904</v>
      </c>
      <c r="V835">
        <v>3.4730009999999999E-2</v>
      </c>
      <c r="W835">
        <v>0.30638459999999901</v>
      </c>
      <c r="X835">
        <v>0.95127399999999995</v>
      </c>
      <c r="Y835">
        <v>0.21374950000000001</v>
      </c>
      <c r="Z835">
        <v>-1.3591809999999999E-2</v>
      </c>
      <c r="AA835">
        <v>0.97679389999999999</v>
      </c>
      <c r="AB835">
        <v>29</v>
      </c>
      <c r="AC835">
        <v>0.52129999999999599</v>
      </c>
      <c r="AD835">
        <v>-8.6200999999999903E-2</v>
      </c>
      <c r="AE835">
        <v>-0.164499999999975</v>
      </c>
      <c r="AF835">
        <v>0.15941370489331</v>
      </c>
      <c r="AG835">
        <v>-8.6200999999999903E-2</v>
      </c>
      <c r="AH835">
        <v>0.50899557244374705</v>
      </c>
      <c r="AI835">
        <v>99.180429899044</v>
      </c>
      <c r="AJ835">
        <v>72.609823996735102</v>
      </c>
      <c r="AK835">
        <v>0.540296061873626</v>
      </c>
      <c r="AL835">
        <v>72.158515097480105</v>
      </c>
      <c r="AM835">
        <v>87.909120195872404</v>
      </c>
      <c r="AN835">
        <v>0.99999995989387902</v>
      </c>
    </row>
    <row r="836" spans="1:40" x14ac:dyDescent="0.25">
      <c r="A836" t="str">
        <f>"20190304164611432"</f>
        <v>20190304164611432</v>
      </c>
      <c r="B836" t="str">
        <f>"1551689171419042"</f>
        <v>1551689171419042</v>
      </c>
      <c r="C836" t="s">
        <v>40</v>
      </c>
      <c r="D836">
        <v>4.6854440000000004</v>
      </c>
      <c r="E836">
        <v>0.59050230000000004</v>
      </c>
      <c r="F836" t="s">
        <v>41</v>
      </c>
      <c r="G836">
        <v>-230.30359999999999</v>
      </c>
      <c r="H836">
        <v>1.0196149999999999</v>
      </c>
      <c r="I836">
        <v>367.54739999999998</v>
      </c>
      <c r="J836">
        <v>-230.7929</v>
      </c>
      <c r="K836">
        <v>1.1108640000000001</v>
      </c>
      <c r="L836">
        <v>367.7201</v>
      </c>
      <c r="M836">
        <v>0.99989729999999999</v>
      </c>
      <c r="N836">
        <v>-1.417736E-2</v>
      </c>
      <c r="O836">
        <v>-2.0766920000000002E-3</v>
      </c>
      <c r="P836">
        <v>0.95547879999999996</v>
      </c>
      <c r="Q836">
        <v>0.29270429999999997</v>
      </c>
      <c r="R836">
        <v>-3.7209100000000002E-2</v>
      </c>
      <c r="S836">
        <v>3.2282410000000001</v>
      </c>
      <c r="T836">
        <v>-0.3786156</v>
      </c>
      <c r="U836">
        <v>-0.71911619999999998</v>
      </c>
      <c r="V836">
        <v>3.518773E-2</v>
      </c>
      <c r="W836">
        <v>0.30622660000000002</v>
      </c>
      <c r="X836">
        <v>0.95130809999999999</v>
      </c>
      <c r="Y836">
        <v>0.21383849999999999</v>
      </c>
      <c r="Z836">
        <v>-1.367614E-2</v>
      </c>
      <c r="AA836">
        <v>0.97677329999999996</v>
      </c>
      <c r="AB836">
        <v>29</v>
      </c>
      <c r="AC836">
        <v>0.489300000000014</v>
      </c>
      <c r="AD836">
        <v>-9.12489999999999E-2</v>
      </c>
      <c r="AE836">
        <v>-0.17270000000002</v>
      </c>
      <c r="AF836">
        <v>0.16653327204531099</v>
      </c>
      <c r="AG836">
        <v>-9.12489999999999E-2</v>
      </c>
      <c r="AH836">
        <v>0.47496896363715402</v>
      </c>
      <c r="AI836">
        <v>100.275826083345</v>
      </c>
      <c r="AJ836">
        <v>70.678350401358003</v>
      </c>
      <c r="AK836">
        <v>0.51152246003247004</v>
      </c>
      <c r="AL836">
        <v>72.168025751429198</v>
      </c>
      <c r="AM836">
        <v>87.881664506056694</v>
      </c>
      <c r="AN836">
        <v>1.00000000400786</v>
      </c>
    </row>
    <row r="837" spans="1:40" x14ac:dyDescent="0.25">
      <c r="A837" t="str">
        <f>"20190304164611457"</f>
        <v>20190304164611457</v>
      </c>
      <c r="B837" t="str">
        <f>"1551689171448322"</f>
        <v>1551689171448322</v>
      </c>
      <c r="C837" t="s">
        <v>40</v>
      </c>
      <c r="D837">
        <v>4.7077019999999896</v>
      </c>
      <c r="E837">
        <v>0.59051999999999905</v>
      </c>
      <c r="F837" t="s">
        <v>41</v>
      </c>
      <c r="G837">
        <v>-230.0437</v>
      </c>
      <c r="H837">
        <v>1.0226630000000001</v>
      </c>
      <c r="I837">
        <v>367.55290000000002</v>
      </c>
      <c r="J837">
        <v>-230.4836</v>
      </c>
      <c r="K837">
        <v>1.1108610000000001</v>
      </c>
      <c r="L837">
        <v>367.71960000000001</v>
      </c>
      <c r="M837">
        <v>0.99989749999999999</v>
      </c>
      <c r="N837">
        <v>-1.417391E-2</v>
      </c>
      <c r="O837">
        <v>-2.0077910000000001E-3</v>
      </c>
      <c r="P837">
        <v>0.95549859999999998</v>
      </c>
      <c r="Q837">
        <v>0.29266310000000001</v>
      </c>
      <c r="R837">
        <v>-3.7023880000000002E-2</v>
      </c>
      <c r="S837">
        <v>3.2281339999999998</v>
      </c>
      <c r="T837">
        <v>-0.3800598</v>
      </c>
      <c r="U837">
        <v>-0.7204895</v>
      </c>
      <c r="V837">
        <v>3.5074580000000001E-2</v>
      </c>
      <c r="W837">
        <v>0.3061817</v>
      </c>
      <c r="X837">
        <v>0.95132669999999997</v>
      </c>
      <c r="Y837">
        <v>0.2142937</v>
      </c>
      <c r="Z837">
        <v>-1.375827E-2</v>
      </c>
      <c r="AA837">
        <v>0.9766724</v>
      </c>
      <c r="AB837">
        <v>29</v>
      </c>
      <c r="AC837">
        <v>0.43989999999999402</v>
      </c>
      <c r="AD837">
        <v>-8.8198000000000207E-2</v>
      </c>
      <c r="AE837">
        <v>-0.16669999999999099</v>
      </c>
      <c r="AF837">
        <v>0.160185704181636</v>
      </c>
      <c r="AG837">
        <v>-8.8198000000000207E-2</v>
      </c>
      <c r="AH837">
        <v>0.42528477706101397</v>
      </c>
      <c r="AI837">
        <v>100.983171199194</v>
      </c>
      <c r="AJ837">
        <v>69.360858383151196</v>
      </c>
      <c r="AK837">
        <v>0.46293140812436001</v>
      </c>
      <c r="AL837">
        <v>72.170727601512297</v>
      </c>
      <c r="AM837">
        <v>87.888511316520507</v>
      </c>
      <c r="AN837">
        <v>0.99999997485497705</v>
      </c>
    </row>
    <row r="838" spans="1:40" x14ac:dyDescent="0.25">
      <c r="A838" t="str">
        <f>"20190304164611477"</f>
        <v>20190304164611477</v>
      </c>
      <c r="B838" t="str">
        <f>"1551689171468819"</f>
        <v>1551689171468819</v>
      </c>
      <c r="C838" t="s">
        <v>40</v>
      </c>
      <c r="D838">
        <v>4.5983029999999996</v>
      </c>
      <c r="E838">
        <v>0.59032229999999997</v>
      </c>
      <c r="F838" t="s">
        <v>42</v>
      </c>
      <c r="G838">
        <v>-221.1009</v>
      </c>
      <c r="H838" s="1">
        <v>-4.5073330000000003E-6</v>
      </c>
      <c r="I838">
        <v>365.62889999999999</v>
      </c>
      <c r="J838">
        <v>-230.21109999999999</v>
      </c>
      <c r="K838">
        <v>1.110867</v>
      </c>
      <c r="L838">
        <v>367.71910000000003</v>
      </c>
      <c r="M838">
        <v>0.9998977</v>
      </c>
      <c r="N838">
        <v>-1.4170810000000001E-2</v>
      </c>
      <c r="O838">
        <v>-1.9529129999999999E-3</v>
      </c>
      <c r="P838">
        <v>0.95522430000000003</v>
      </c>
      <c r="Q838">
        <v>0.2935005</v>
      </c>
      <c r="R838">
        <v>-3.7467880000000002E-2</v>
      </c>
      <c r="S838">
        <v>3.2289430000000001</v>
      </c>
      <c r="T838">
        <v>-0.3822854</v>
      </c>
      <c r="U838">
        <v>-0.71945190000000003</v>
      </c>
      <c r="V838">
        <v>3.5575740000000002E-2</v>
      </c>
      <c r="W838">
        <v>0.30701139999999999</v>
      </c>
      <c r="X838">
        <v>0.95104069999999996</v>
      </c>
      <c r="Y838">
        <v>0.21398159999999999</v>
      </c>
      <c r="Z838">
        <v>-1.3811449999999999E-2</v>
      </c>
      <c r="AA838">
        <v>0.9767401</v>
      </c>
      <c r="AB838">
        <v>29</v>
      </c>
      <c r="AC838">
        <v>9.1101999999999901</v>
      </c>
      <c r="AD838">
        <v>-1.110871507333</v>
      </c>
      <c r="AE838">
        <v>-2.09020000000003</v>
      </c>
      <c r="AF838">
        <v>2.0435376103832201</v>
      </c>
      <c r="AG838">
        <v>-1.110871507333</v>
      </c>
      <c r="AH838">
        <v>8.98731817633705</v>
      </c>
      <c r="AI838">
        <v>96.872585921517199</v>
      </c>
      <c r="AJ838">
        <v>77.189882380546806</v>
      </c>
      <c r="AK838">
        <v>9.2834244475609999</v>
      </c>
      <c r="AL838">
        <v>72.120784873989194</v>
      </c>
      <c r="AM838">
        <v>87.857725957041893</v>
      </c>
      <c r="AN838">
        <v>1.00000002303149</v>
      </c>
    </row>
    <row r="839" spans="1:40" x14ac:dyDescent="0.25">
      <c r="A839" t="str">
        <f>"20190304164611499"</f>
        <v>20190304164611499</v>
      </c>
      <c r="B839" t="str">
        <f>"1551689171488338"</f>
        <v>1551689171488338</v>
      </c>
      <c r="C839" t="s">
        <v>40</v>
      </c>
      <c r="D839">
        <v>4.5894300000000001</v>
      </c>
      <c r="E839">
        <v>0.58992480000000003</v>
      </c>
      <c r="F839" t="s">
        <v>42</v>
      </c>
      <c r="G839">
        <v>-220.715</v>
      </c>
      <c r="H839" s="1">
        <v>-4.6773530000000001E-6</v>
      </c>
      <c r="I839">
        <v>365.6035</v>
      </c>
      <c r="J839">
        <v>-229.92869999999999</v>
      </c>
      <c r="K839">
        <v>1.110868</v>
      </c>
      <c r="L839">
        <v>367.71859999999998</v>
      </c>
      <c r="M839">
        <v>0.99989799999999995</v>
      </c>
      <c r="N839">
        <v>-1.416765E-2</v>
      </c>
      <c r="O839">
        <v>-1.899913E-3</v>
      </c>
      <c r="P839">
        <v>0.95495839999999999</v>
      </c>
      <c r="Q839">
        <v>0.29431980000000002</v>
      </c>
      <c r="R839">
        <v>-3.7822269999999998E-2</v>
      </c>
      <c r="S839">
        <v>3.2284549999999999</v>
      </c>
      <c r="T839">
        <v>-0.3776699</v>
      </c>
      <c r="U839">
        <v>-0.71920779999999995</v>
      </c>
      <c r="V839">
        <v>3.5984090000000003E-2</v>
      </c>
      <c r="W839">
        <v>0.30782359999999998</v>
      </c>
      <c r="X839">
        <v>0.95076269999999996</v>
      </c>
      <c r="Y839">
        <v>0.2140292</v>
      </c>
      <c r="Z839">
        <v>-1.367444E-2</v>
      </c>
      <c r="AA839">
        <v>0.97673149999999997</v>
      </c>
      <c r="AB839">
        <v>29</v>
      </c>
      <c r="AC839">
        <v>9.2136999999999798</v>
      </c>
      <c r="AD839">
        <v>-1.110872677353</v>
      </c>
      <c r="AE839">
        <v>-2.11509999999998</v>
      </c>
      <c r="AF839">
        <v>2.0690184893608099</v>
      </c>
      <c r="AG839">
        <v>-1.110872677353</v>
      </c>
      <c r="AH839">
        <v>9.0921503814963494</v>
      </c>
      <c r="AI839">
        <v>96.793834061240005</v>
      </c>
      <c r="AJ839">
        <v>77.180031399770101</v>
      </c>
      <c r="AK839">
        <v>9.3905310911764008</v>
      </c>
      <c r="AL839">
        <v>72.071880033320994</v>
      </c>
      <c r="AM839">
        <v>87.832526567207097</v>
      </c>
      <c r="AN839">
        <v>0.99999996758068799</v>
      </c>
    </row>
    <row r="840" spans="1:40" x14ac:dyDescent="0.25">
      <c r="A840" t="str">
        <f>"20190304164611521"</f>
        <v>20190304164611521</v>
      </c>
      <c r="B840" t="str">
        <f>"1551689171508834"</f>
        <v>1551689171508834</v>
      </c>
      <c r="C840" t="s">
        <v>40</v>
      </c>
      <c r="D840">
        <v>4.5799200000000004</v>
      </c>
      <c r="E840">
        <v>0.5895861</v>
      </c>
      <c r="F840" t="s">
        <v>42</v>
      </c>
      <c r="G840">
        <v>-220.3511</v>
      </c>
      <c r="H840" s="1">
        <v>-4.8359339999999901E-6</v>
      </c>
      <c r="I840">
        <v>365.58980000000003</v>
      </c>
      <c r="J840">
        <v>-229.6474</v>
      </c>
      <c r="K840">
        <v>1.1108739999999999</v>
      </c>
      <c r="L840">
        <v>367.71809999999999</v>
      </c>
      <c r="M840">
        <v>0.99989799999999995</v>
      </c>
      <c r="N840">
        <v>-1.416447E-2</v>
      </c>
      <c r="O840">
        <v>-1.8495110000000001E-3</v>
      </c>
      <c r="P840">
        <v>0.95471110000000003</v>
      </c>
      <c r="Q840">
        <v>0.29504619999999998</v>
      </c>
      <c r="R840">
        <v>-3.8403970000000003E-2</v>
      </c>
      <c r="S840">
        <v>3.228485</v>
      </c>
      <c r="T840">
        <v>-0.37445679999999998</v>
      </c>
      <c r="U840">
        <v>-0.71755979999999997</v>
      </c>
      <c r="V840">
        <v>3.6616019999999999E-2</v>
      </c>
      <c r="W840">
        <v>0.30854350000000003</v>
      </c>
      <c r="X840">
        <v>0.9505053</v>
      </c>
      <c r="Y840">
        <v>0.2136287</v>
      </c>
      <c r="Z840">
        <v>-1.355141E-2</v>
      </c>
      <c r="AA840">
        <v>0.97682089999999999</v>
      </c>
      <c r="AB840">
        <v>29</v>
      </c>
      <c r="AC840">
        <v>9.2963000000000005</v>
      </c>
      <c r="AD840">
        <v>-1.1108788359339901</v>
      </c>
      <c r="AE840">
        <v>-2.1282999999999599</v>
      </c>
      <c r="AF840">
        <v>2.08284034708268</v>
      </c>
      <c r="AG840">
        <v>-1.1108788359339901</v>
      </c>
      <c r="AH840">
        <v>9.1757215298252301</v>
      </c>
      <c r="AI840">
        <v>96.733380727378801</v>
      </c>
      <c r="AJ840">
        <v>77.210881092673603</v>
      </c>
      <c r="AK840">
        <v>9.4744995272816297</v>
      </c>
      <c r="AL840">
        <v>72.028524444677004</v>
      </c>
      <c r="AM840">
        <v>87.793903357867904</v>
      </c>
      <c r="AN840">
        <v>1.00000007482048</v>
      </c>
    </row>
    <row r="841" spans="1:40" x14ac:dyDescent="0.25">
      <c r="A841" t="str">
        <f>"20190304164611540"</f>
        <v>20190304164611540</v>
      </c>
      <c r="B841" t="str">
        <f>"1551689171528354"</f>
        <v>1551689171528354</v>
      </c>
      <c r="C841" t="s">
        <v>40</v>
      </c>
      <c r="D841">
        <v>4.5701019999999897</v>
      </c>
      <c r="E841">
        <v>0.58926330000000005</v>
      </c>
      <c r="F841" t="s">
        <v>42</v>
      </c>
      <c r="G841">
        <v>-219.99430000000001</v>
      </c>
      <c r="H841" s="1">
        <v>-4.9921869999999997E-6</v>
      </c>
      <c r="I841">
        <v>365.5718</v>
      </c>
      <c r="J841">
        <v>-229.40549999999999</v>
      </c>
      <c r="K841">
        <v>1.1108739999999999</v>
      </c>
      <c r="L841">
        <v>367.71769999999998</v>
      </c>
      <c r="M841">
        <v>0.99989819999999996</v>
      </c>
      <c r="N841">
        <v>-1.4161740000000001E-2</v>
      </c>
      <c r="O841">
        <v>-1.807197E-3</v>
      </c>
      <c r="P841">
        <v>0.95463949999999997</v>
      </c>
      <c r="Q841">
        <v>0.29527599999999998</v>
      </c>
      <c r="R841">
        <v>-3.8411880000000002E-2</v>
      </c>
      <c r="S841">
        <v>3.228256</v>
      </c>
      <c r="T841">
        <v>-0.37150230000000001</v>
      </c>
      <c r="U841">
        <v>-0.71777340000000001</v>
      </c>
      <c r="V841">
        <v>3.6665690000000001E-2</v>
      </c>
      <c r="W841">
        <v>0.30876940000000003</v>
      </c>
      <c r="X841">
        <v>0.95043</v>
      </c>
      <c r="Y841">
        <v>0.2137676</v>
      </c>
      <c r="Z841">
        <v>-1.3470859999999999E-2</v>
      </c>
      <c r="AA841">
        <v>0.97679170000000004</v>
      </c>
      <c r="AB841">
        <v>29</v>
      </c>
      <c r="AC841">
        <v>9.4111999999999796</v>
      </c>
      <c r="AD841">
        <v>-1.1108789921869999</v>
      </c>
      <c r="AE841">
        <v>-2.1458999999999802</v>
      </c>
      <c r="AF841">
        <v>2.1010596785025202</v>
      </c>
      <c r="AG841">
        <v>-1.1108789921869999</v>
      </c>
      <c r="AH841">
        <v>9.2919964046750803</v>
      </c>
      <c r="AI841">
        <v>96.651132697957905</v>
      </c>
      <c r="AJ841">
        <v>77.258825099907398</v>
      </c>
      <c r="AK841">
        <v>9.5911261639291503</v>
      </c>
      <c r="AL841">
        <v>72.014916461911994</v>
      </c>
      <c r="AM841">
        <v>87.790738881910002</v>
      </c>
      <c r="AN841">
        <v>1.0000000500497599</v>
      </c>
    </row>
    <row r="842" spans="1:40" x14ac:dyDescent="0.25">
      <c r="A842" t="str">
        <f>"20190304164611555"</f>
        <v>20190304164611555</v>
      </c>
      <c r="B842" t="str">
        <f>"1551689171548850"</f>
        <v>1551689171548850</v>
      </c>
      <c r="C842" t="s">
        <v>40</v>
      </c>
      <c r="D842">
        <v>4.5963019999999997</v>
      </c>
      <c r="E842">
        <v>0.58900249999999998</v>
      </c>
      <c r="F842" t="s">
        <v>42</v>
      </c>
      <c r="G842">
        <v>-219.7396</v>
      </c>
      <c r="H842" s="1">
        <v>-1.1497890000000001E-6</v>
      </c>
      <c r="I842">
        <v>365.57589999999999</v>
      </c>
      <c r="J842">
        <v>-229.20050000000001</v>
      </c>
      <c r="K842">
        <v>1.110878</v>
      </c>
      <c r="L842">
        <v>367.7174</v>
      </c>
      <c r="M842">
        <v>0.99989819999999996</v>
      </c>
      <c r="N842">
        <v>-1.4159450000000001E-2</v>
      </c>
      <c r="O842">
        <v>-1.77119E-3</v>
      </c>
      <c r="P842">
        <v>0.95448010000000005</v>
      </c>
      <c r="Q842">
        <v>0.29576149999999901</v>
      </c>
      <c r="R842">
        <v>-3.8644970000000001E-2</v>
      </c>
      <c r="S842">
        <v>3.2284999999999999</v>
      </c>
      <c r="T842">
        <v>-0.37103799999999998</v>
      </c>
      <c r="U842">
        <v>-0.7153931</v>
      </c>
      <c r="V842">
        <v>3.693341E-2</v>
      </c>
      <c r="W842">
        <v>0.30925009999999997</v>
      </c>
      <c r="X842">
        <v>0.95026330000000003</v>
      </c>
      <c r="Y842">
        <v>0.21310870000000001</v>
      </c>
      <c r="Z842">
        <v>-1.341729E-2</v>
      </c>
      <c r="AA842">
        <v>0.97693629999999998</v>
      </c>
      <c r="AB842">
        <v>29</v>
      </c>
      <c r="AC842">
        <v>9.4609000000000094</v>
      </c>
      <c r="AD842">
        <v>-1.110879149789</v>
      </c>
      <c r="AE842">
        <v>-2.1415000000000002</v>
      </c>
      <c r="AF842">
        <v>2.09723267714095</v>
      </c>
      <c r="AG842">
        <v>-1.110879149789</v>
      </c>
      <c r="AH842">
        <v>9.3421560511763708</v>
      </c>
      <c r="AI842">
        <v>96.618023208244793</v>
      </c>
      <c r="AJ842">
        <v>77.347361921258297</v>
      </c>
      <c r="AK842">
        <v>9.6388960504839503</v>
      </c>
      <c r="AL842">
        <v>71.985956521123896</v>
      </c>
      <c r="AM842">
        <v>87.774233798121898</v>
      </c>
      <c r="AN842">
        <v>1.0000000202255599</v>
      </c>
    </row>
    <row r="843" spans="1:40" x14ac:dyDescent="0.25">
      <c r="A843" t="str">
        <f>"20190304164611578"</f>
        <v>20190304164611578</v>
      </c>
      <c r="B843" t="str">
        <f>"1551689171568371"</f>
        <v>1551689171568371</v>
      </c>
      <c r="C843" t="s">
        <v>40</v>
      </c>
      <c r="D843">
        <v>4.571974</v>
      </c>
      <c r="E843">
        <v>0.58879019999999904</v>
      </c>
      <c r="F843" t="s">
        <v>42</v>
      </c>
      <c r="G843">
        <v>-219.49959999999999</v>
      </c>
      <c r="H843" s="1">
        <v>-1.232829E-6</v>
      </c>
      <c r="I843">
        <v>365.57069999999999</v>
      </c>
      <c r="J843">
        <v>-228.9212</v>
      </c>
      <c r="K843">
        <v>1.1108769999999999</v>
      </c>
      <c r="L843">
        <v>367.71690000000001</v>
      </c>
      <c r="M843">
        <v>0.99989839999999997</v>
      </c>
      <c r="N843">
        <v>-1.415633E-2</v>
      </c>
      <c r="O843">
        <v>-1.7214729999999901E-3</v>
      </c>
      <c r="P843">
        <v>0.95441670000000001</v>
      </c>
      <c r="Q843">
        <v>0.29596479999999997</v>
      </c>
      <c r="R843">
        <v>-3.8649120000000002E-2</v>
      </c>
      <c r="S843">
        <v>3.2287140000000001</v>
      </c>
      <c r="T843">
        <v>-0.369728</v>
      </c>
      <c r="U843">
        <v>-0.71447749999999999</v>
      </c>
      <c r="V843">
        <v>3.6985949999999997E-2</v>
      </c>
      <c r="W843">
        <v>0.30944959999999999</v>
      </c>
      <c r="X843">
        <v>0.95019629999999999</v>
      </c>
      <c r="Y843">
        <v>0.21289089999999999</v>
      </c>
      <c r="Z843">
        <v>-1.336592E-2</v>
      </c>
      <c r="AA843">
        <v>0.97698459999999998</v>
      </c>
      <c r="AB843">
        <v>29</v>
      </c>
      <c r="AC843">
        <v>9.4216000000000104</v>
      </c>
      <c r="AD843">
        <v>-1.1108782328289999</v>
      </c>
      <c r="AE843">
        <v>-2.1462000000000199</v>
      </c>
      <c r="AF843">
        <v>2.1021927624363999</v>
      </c>
      <c r="AG843">
        <v>-1.1108782328289999</v>
      </c>
      <c r="AH843">
        <v>9.3023376941431106</v>
      </c>
      <c r="AI843">
        <v>96.643983824971897</v>
      </c>
      <c r="AJ843">
        <v>77.265887614488193</v>
      </c>
      <c r="AK843">
        <v>9.6013932027851592</v>
      </c>
      <c r="AL843">
        <v>71.973936252641707</v>
      </c>
      <c r="AM843">
        <v>87.770913695788906</v>
      </c>
      <c r="AN843">
        <v>1.0000000119856201</v>
      </c>
    </row>
    <row r="844" spans="1:40" x14ac:dyDescent="0.25">
      <c r="A844" t="str">
        <f>"20190304164611600"</f>
        <v>20190304164611600</v>
      </c>
      <c r="B844" t="str">
        <f>"1551689171588866"</f>
        <v>1551689171588866</v>
      </c>
      <c r="C844" t="s">
        <v>40</v>
      </c>
      <c r="D844">
        <v>4.5840519999999998</v>
      </c>
      <c r="E844">
        <v>0.58861490000000005</v>
      </c>
      <c r="F844" t="s">
        <v>42</v>
      </c>
      <c r="G844">
        <v>-219.2105</v>
      </c>
      <c r="H844" s="1">
        <v>-1.3310719999999999E-6</v>
      </c>
      <c r="I844">
        <v>365.57119999999998</v>
      </c>
      <c r="J844">
        <v>-228.6369</v>
      </c>
      <c r="K844">
        <v>1.110878</v>
      </c>
      <c r="L844">
        <v>367.7165</v>
      </c>
      <c r="M844">
        <v>0.99989859999999997</v>
      </c>
      <c r="N844">
        <v>-1.415317E-2</v>
      </c>
      <c r="O844">
        <v>-1.6707969999999999E-3</v>
      </c>
      <c r="P844">
        <v>0.95433489999999999</v>
      </c>
      <c r="Q844">
        <v>0.29624460000000002</v>
      </c>
      <c r="R844">
        <v>-3.8529010000000002E-2</v>
      </c>
      <c r="S844">
        <v>3.2289279999999998</v>
      </c>
      <c r="T844">
        <v>-0.36937759999999997</v>
      </c>
      <c r="U844">
        <v>-0.71347050000000001</v>
      </c>
      <c r="V844">
        <v>3.6914589999999997E-2</v>
      </c>
      <c r="W844">
        <v>0.30972529999999998</v>
      </c>
      <c r="X844">
        <v>0.95010919999999999</v>
      </c>
      <c r="Y844">
        <v>0.21264050000000001</v>
      </c>
      <c r="Z844">
        <v>-1.334311E-2</v>
      </c>
      <c r="AA844">
        <v>0.9770394</v>
      </c>
      <c r="AB844">
        <v>29</v>
      </c>
      <c r="AC844">
        <v>9.4263999999999992</v>
      </c>
      <c r="AD844">
        <v>-1.110879331072</v>
      </c>
      <c r="AE844">
        <v>-2.14530000000001</v>
      </c>
      <c r="AF844">
        <v>2.1017933913277398</v>
      </c>
      <c r="AG844">
        <v>-1.110879331072</v>
      </c>
      <c r="AH844">
        <v>9.3070793002466203</v>
      </c>
      <c r="AI844">
        <v>96.640859275855604</v>
      </c>
      <c r="AJ844">
        <v>77.274503049206899</v>
      </c>
      <c r="AK844">
        <v>9.6058999291639005</v>
      </c>
      <c r="AL844">
        <v>71.957322864716403</v>
      </c>
      <c r="AM844">
        <v>87.775006377641205</v>
      </c>
      <c r="AN844">
        <v>0.99999997016979802</v>
      </c>
    </row>
    <row r="845" spans="1:40" x14ac:dyDescent="0.25">
      <c r="A845" t="str">
        <f>"20190304164611622"</f>
        <v>20190304164611622</v>
      </c>
      <c r="B845" t="str">
        <f>"1551689171608386"</f>
        <v>1551689171608386</v>
      </c>
      <c r="C845" t="s">
        <v>40</v>
      </c>
      <c r="D845">
        <v>4.5434020000000004</v>
      </c>
      <c r="E845">
        <v>0.58844770000000002</v>
      </c>
      <c r="F845" t="s">
        <v>42</v>
      </c>
      <c r="G845">
        <v>-218.90960000000001</v>
      </c>
      <c r="H845" s="1">
        <v>-1.434041E-6</v>
      </c>
      <c r="I845">
        <v>365.56909999999999</v>
      </c>
      <c r="J845">
        <v>-228.35669999999999</v>
      </c>
      <c r="K845">
        <v>1.1108739999999999</v>
      </c>
      <c r="L845">
        <v>367.71620000000001</v>
      </c>
      <c r="M845">
        <v>0.99989859999999997</v>
      </c>
      <c r="N845">
        <v>-1.415018E-2</v>
      </c>
      <c r="O845">
        <v>-1.6227609999999999E-3</v>
      </c>
      <c r="P845">
        <v>0.95440210000000003</v>
      </c>
      <c r="Q845">
        <v>0.29605039999999999</v>
      </c>
      <c r="R845">
        <v>-3.8352600000000001E-2</v>
      </c>
      <c r="S845">
        <v>3.229263</v>
      </c>
      <c r="T845">
        <v>-0.36878440000000001</v>
      </c>
      <c r="U845">
        <v>-0.71289060000000004</v>
      </c>
      <c r="V845">
        <v>3.6785169999999999E-2</v>
      </c>
      <c r="W845">
        <v>0.30952849999999998</v>
      </c>
      <c r="X845">
        <v>0.95017839999999998</v>
      </c>
      <c r="Y845">
        <v>0.2125042</v>
      </c>
      <c r="Z845">
        <v>-1.3319040000000001E-2</v>
      </c>
      <c r="AA845">
        <v>0.97706939999999998</v>
      </c>
      <c r="AB845">
        <v>29</v>
      </c>
      <c r="AC845">
        <v>9.4470999999999705</v>
      </c>
      <c r="AD845">
        <v>-1.1108754340410001</v>
      </c>
      <c r="AE845">
        <v>-2.14710000000002</v>
      </c>
      <c r="AF845">
        <v>2.1041004787224198</v>
      </c>
      <c r="AG845">
        <v>-1.1108754340410001</v>
      </c>
      <c r="AH845">
        <v>9.3279282677949205</v>
      </c>
      <c r="AI845">
        <v>96.626488372606005</v>
      </c>
      <c r="AJ845">
        <v>77.288537142333297</v>
      </c>
      <c r="AK845">
        <v>9.6266052595732496</v>
      </c>
      <c r="AL845">
        <v>71.969182289305607</v>
      </c>
      <c r="AM845">
        <v>87.782960566559495</v>
      </c>
      <c r="AN845">
        <v>1.00000001643536</v>
      </c>
    </row>
    <row r="846" spans="1:40" x14ac:dyDescent="0.25">
      <c r="A846" t="str">
        <f>"20190304164611645"</f>
        <v>20190304164611645</v>
      </c>
      <c r="B846" t="str">
        <f>"1551689171638642"</f>
        <v>1551689171638642</v>
      </c>
      <c r="C846" t="s">
        <v>40</v>
      </c>
      <c r="D846">
        <v>4.5820249999999998</v>
      </c>
      <c r="E846">
        <v>0.58825780000000005</v>
      </c>
      <c r="F846" t="s">
        <v>42</v>
      </c>
      <c r="G846">
        <v>-218.67769999999999</v>
      </c>
      <c r="H846" s="1">
        <v>-1.5095689999999999E-6</v>
      </c>
      <c r="I846">
        <v>365.58179999999999</v>
      </c>
      <c r="J846">
        <v>-228.0591</v>
      </c>
      <c r="K846">
        <v>1.11087</v>
      </c>
      <c r="L846">
        <v>367.71570000000003</v>
      </c>
      <c r="M846">
        <v>0.99989890000000003</v>
      </c>
      <c r="N846">
        <v>-1.4147E-2</v>
      </c>
      <c r="O846">
        <v>-1.5770280000000001E-3</v>
      </c>
      <c r="P846">
        <v>0.95450659999999998</v>
      </c>
      <c r="Q846">
        <v>0.29580410000000001</v>
      </c>
      <c r="R846">
        <v>-3.7650610000000001E-2</v>
      </c>
      <c r="S846">
        <v>3.2296749999999999</v>
      </c>
      <c r="T846">
        <v>-0.37067309999999998</v>
      </c>
      <c r="U846">
        <v>-0.71218870000000001</v>
      </c>
      <c r="V846">
        <v>3.612924E-2</v>
      </c>
      <c r="W846">
        <v>0.30928050000000001</v>
      </c>
      <c r="X846">
        <v>0.95028429999999997</v>
      </c>
      <c r="Y846">
        <v>0.21230740000000001</v>
      </c>
      <c r="Z846">
        <v>-1.3369399999999899E-2</v>
      </c>
      <c r="AA846">
        <v>0.97711150000000002</v>
      </c>
      <c r="AB846">
        <v>29</v>
      </c>
      <c r="AC846">
        <v>9.38140000000001</v>
      </c>
      <c r="AD846">
        <v>-1.110871509569</v>
      </c>
      <c r="AE846">
        <v>-2.1339000000000401</v>
      </c>
      <c r="AF846">
        <v>2.0912216562767001</v>
      </c>
      <c r="AG846">
        <v>-1.110871509569</v>
      </c>
      <c r="AH846">
        <v>9.2612854656225192</v>
      </c>
      <c r="AI846">
        <v>96.673389324644205</v>
      </c>
      <c r="AJ846">
        <v>77.275858299474905</v>
      </c>
      <c r="AK846">
        <v>9.5592181689824294</v>
      </c>
      <c r="AL846">
        <v>71.984124565225898</v>
      </c>
      <c r="AM846">
        <v>87.822697449617394</v>
      </c>
      <c r="AN846">
        <v>1.0000000002448499</v>
      </c>
    </row>
    <row r="847" spans="1:40" x14ac:dyDescent="0.25">
      <c r="A847" t="str">
        <f>"20190304164611667"</f>
        <v>20190304164611667</v>
      </c>
      <c r="B847" t="str">
        <f>"1551689171659138"</f>
        <v>1551689171659138</v>
      </c>
      <c r="C847" t="s">
        <v>40</v>
      </c>
      <c r="D847">
        <v>4.5889730000000002</v>
      </c>
      <c r="E847">
        <v>0.58817369999999902</v>
      </c>
      <c r="F847" t="s">
        <v>41</v>
      </c>
      <c r="G847">
        <v>-227.22149999999999</v>
      </c>
      <c r="H847">
        <v>1.0140290000000001</v>
      </c>
      <c r="I847">
        <v>367.53210000000001</v>
      </c>
      <c r="J847">
        <v>-227.7741</v>
      </c>
      <c r="K847">
        <v>1.110867</v>
      </c>
      <c r="L847">
        <v>367.71530000000001</v>
      </c>
      <c r="M847">
        <v>0.99989879999999998</v>
      </c>
      <c r="N847">
        <v>-1.4143920000000001E-2</v>
      </c>
      <c r="O847">
        <v>-1.541347E-3</v>
      </c>
      <c r="P847">
        <v>0.95440270000000005</v>
      </c>
      <c r="Q847">
        <v>0.29626130000000001</v>
      </c>
      <c r="R847">
        <v>-3.6675010000000001E-2</v>
      </c>
      <c r="S847">
        <v>3.2308500000000002</v>
      </c>
      <c r="T847">
        <v>-0.37368059999999997</v>
      </c>
      <c r="U847">
        <v>-0.70782469999999997</v>
      </c>
      <c r="V847">
        <v>3.5192269999999998E-2</v>
      </c>
      <c r="W847">
        <v>0.30973289999999998</v>
      </c>
      <c r="X847">
        <v>0.95017209999999996</v>
      </c>
      <c r="Y847">
        <v>0.2109953</v>
      </c>
      <c r="Z847">
        <v>-1.338111E-2</v>
      </c>
      <c r="AA847">
        <v>0.97739549999999997</v>
      </c>
      <c r="AB847">
        <v>29</v>
      </c>
      <c r="AC847">
        <v>0.55260000000001197</v>
      </c>
      <c r="AD847">
        <v>-9.6837999999999896E-2</v>
      </c>
      <c r="AE847">
        <v>-0.183199999999999</v>
      </c>
      <c r="AF847">
        <v>0.17743852183001499</v>
      </c>
      <c r="AG847">
        <v>-9.6837999999999896E-2</v>
      </c>
      <c r="AH847">
        <v>0.53799628945163203</v>
      </c>
      <c r="AI847">
        <v>99.700398162173101</v>
      </c>
      <c r="AJ847">
        <v>71.746738929757498</v>
      </c>
      <c r="AK847">
        <v>0.57471909202404703</v>
      </c>
      <c r="AL847">
        <v>71.956865311275905</v>
      </c>
      <c r="AM847">
        <v>87.878860804081995</v>
      </c>
      <c r="AN847">
        <v>0.99999999241428605</v>
      </c>
    </row>
    <row r="848" spans="1:40" x14ac:dyDescent="0.25">
      <c r="A848" t="str">
        <f>"20190304164611689"</f>
        <v>20190304164611689</v>
      </c>
      <c r="B848" t="str">
        <f>"1551689171678659"</f>
        <v>1551689171678659</v>
      </c>
      <c r="C848" t="s">
        <v>40</v>
      </c>
      <c r="D848">
        <v>4.6403339999999904</v>
      </c>
      <c r="E848">
        <v>0.58806959999999997</v>
      </c>
      <c r="F848" t="s">
        <v>41</v>
      </c>
      <c r="G848">
        <v>-226.96549999999999</v>
      </c>
      <c r="H848">
        <v>1.017784</v>
      </c>
      <c r="I848">
        <v>367.53870000000001</v>
      </c>
      <c r="J848">
        <v>-227.50229999999999</v>
      </c>
      <c r="K848">
        <v>1.110865</v>
      </c>
      <c r="L848">
        <v>367.7149</v>
      </c>
      <c r="M848">
        <v>0.99989899999999998</v>
      </c>
      <c r="N848">
        <v>-1.4140979999999999E-2</v>
      </c>
      <c r="O848">
        <v>-1.5177319999999999E-3</v>
      </c>
      <c r="P848">
        <v>0.95444830000000003</v>
      </c>
      <c r="Q848">
        <v>0.2963018</v>
      </c>
      <c r="R848">
        <v>-3.5131580000000003E-2</v>
      </c>
      <c r="S848">
        <v>3.2317200000000001</v>
      </c>
      <c r="T848">
        <v>-0.37208999999999998</v>
      </c>
      <c r="U848">
        <v>-0.70590209999999998</v>
      </c>
      <c r="V848">
        <v>3.3677079999999998E-2</v>
      </c>
      <c r="W848">
        <v>0.3097702</v>
      </c>
      <c r="X848">
        <v>0.95021489999999997</v>
      </c>
      <c r="Y848">
        <v>0.2104249</v>
      </c>
      <c r="Z848">
        <v>-1.329411E-2</v>
      </c>
      <c r="AA848">
        <v>0.97751960000000004</v>
      </c>
      <c r="AB848">
        <v>29</v>
      </c>
      <c r="AC848">
        <v>0.53679999999999894</v>
      </c>
      <c r="AD848">
        <v>-9.30809999999999E-2</v>
      </c>
      <c r="AE848">
        <v>-0.176199999999994</v>
      </c>
      <c r="AF848">
        <v>0.170750316730297</v>
      </c>
      <c r="AG848">
        <v>-9.30809999999999E-2</v>
      </c>
      <c r="AH848">
        <v>0.52287443789916399</v>
      </c>
      <c r="AI848">
        <v>99.604785913296595</v>
      </c>
      <c r="AJ848">
        <v>71.914989471122396</v>
      </c>
      <c r="AK848">
        <v>0.55786864137793502</v>
      </c>
      <c r="AL848">
        <v>71.954618508483705</v>
      </c>
      <c r="AM848">
        <v>87.970198896719594</v>
      </c>
      <c r="AN848">
        <v>1.0000000393536801</v>
      </c>
    </row>
    <row r="849" spans="1:40" x14ac:dyDescent="0.25">
      <c r="A849" t="str">
        <f>"20190304164611705"</f>
        <v>20190304164611705</v>
      </c>
      <c r="B849" t="str">
        <f>"1551689171699154"</f>
        <v>1551689171699154</v>
      </c>
      <c r="C849" t="s">
        <v>40</v>
      </c>
      <c r="D849">
        <v>4.6853379999999998</v>
      </c>
      <c r="E849">
        <v>0.58798779999999995</v>
      </c>
      <c r="F849" t="s">
        <v>41</v>
      </c>
      <c r="G849">
        <v>-226.7107</v>
      </c>
      <c r="H849">
        <v>1.01956</v>
      </c>
      <c r="I849">
        <v>367.5428</v>
      </c>
      <c r="J849">
        <v>-227.28270000000001</v>
      </c>
      <c r="K849">
        <v>1.110859</v>
      </c>
      <c r="L849">
        <v>367.71460000000002</v>
      </c>
      <c r="M849">
        <v>0.99989899999999998</v>
      </c>
      <c r="N849">
        <v>-1.4138649999999999E-2</v>
      </c>
      <c r="O849">
        <v>-1.5048329999999999E-3</v>
      </c>
      <c r="P849">
        <v>0.9543973</v>
      </c>
      <c r="Q849">
        <v>0.29650969999999999</v>
      </c>
      <c r="R849">
        <v>-3.4752489999999997E-2</v>
      </c>
      <c r="S849">
        <v>3.2332459999999998</v>
      </c>
      <c r="T849">
        <v>-0.37320110000000001</v>
      </c>
      <c r="U849">
        <v>-0.70159910000000003</v>
      </c>
      <c r="V849">
        <v>3.331539E-2</v>
      </c>
      <c r="W849">
        <v>0.30997459999999999</v>
      </c>
      <c r="X849">
        <v>0.95016100000000003</v>
      </c>
      <c r="Y849">
        <v>0.20910090000000001</v>
      </c>
      <c r="Z849">
        <v>-1.3241299999999999E-2</v>
      </c>
      <c r="AA849">
        <v>0.97780440000000002</v>
      </c>
      <c r="AB849">
        <v>29</v>
      </c>
      <c r="AC849">
        <v>0.57200000000000195</v>
      </c>
      <c r="AD849">
        <v>-9.1299000000000005E-2</v>
      </c>
      <c r="AE849">
        <v>-0.17180000000001799</v>
      </c>
      <c r="AF849">
        <v>0.16703559254559699</v>
      </c>
      <c r="AG849">
        <v>-9.1299000000000005E-2</v>
      </c>
      <c r="AH849">
        <v>0.55919049472668703</v>
      </c>
      <c r="AI849">
        <v>98.891268354185499</v>
      </c>
      <c r="AJ849">
        <v>73.368607410992794</v>
      </c>
      <c r="AK849">
        <v>0.59070331467728798</v>
      </c>
      <c r="AL849">
        <v>71.942301099849701</v>
      </c>
      <c r="AM849">
        <v>87.991867090577202</v>
      </c>
      <c r="AN849">
        <v>1.0000000468885</v>
      </c>
    </row>
    <row r="850" spans="1:40" x14ac:dyDescent="0.25">
      <c r="A850" t="str">
        <f>"20190304164611723"</f>
        <v>20190304164611723</v>
      </c>
      <c r="B850" t="str">
        <f>"1551689171718674"</f>
        <v>1551689171718674</v>
      </c>
      <c r="C850" t="s">
        <v>40</v>
      </c>
      <c r="D850">
        <v>4.6834280000000001</v>
      </c>
      <c r="E850">
        <v>0.58791669999999996</v>
      </c>
      <c r="F850" t="s">
        <v>41</v>
      </c>
      <c r="G850">
        <v>-226.45779999999999</v>
      </c>
      <c r="H850">
        <v>1.0154719999999999</v>
      </c>
      <c r="I850">
        <v>367.536</v>
      </c>
      <c r="J850">
        <v>-227.06819999999999</v>
      </c>
      <c r="K850">
        <v>1.1108450000000001</v>
      </c>
      <c r="L850">
        <v>367.71429999999998</v>
      </c>
      <c r="M850">
        <v>0.99989899999999998</v>
      </c>
      <c r="N850">
        <v>-1.413638E-2</v>
      </c>
      <c r="O850">
        <v>-1.497048E-3</v>
      </c>
      <c r="P850">
        <v>0.95442490000000002</v>
      </c>
      <c r="Q850">
        <v>0.29657559999999999</v>
      </c>
      <c r="R850">
        <v>-3.3411610000000001E-2</v>
      </c>
      <c r="S850">
        <v>3.2340849999999999</v>
      </c>
      <c r="T850">
        <v>-0.37407760000000001</v>
      </c>
      <c r="U850">
        <v>-0.69989009999999996</v>
      </c>
      <c r="V850">
        <v>3.1985930000000003E-2</v>
      </c>
      <c r="W850">
        <v>0.31003849999999999</v>
      </c>
      <c r="X850">
        <v>0.95018579999999997</v>
      </c>
      <c r="Y850">
        <v>0.2085602</v>
      </c>
      <c r="Z850">
        <v>-1.32321E-2</v>
      </c>
      <c r="AA850">
        <v>0.97792000000000001</v>
      </c>
      <c r="AB850">
        <v>28</v>
      </c>
      <c r="AC850">
        <v>0.61039999999999806</v>
      </c>
      <c r="AD850">
        <v>-9.5373000000000097E-2</v>
      </c>
      <c r="AE850">
        <v>-0.178299999999978</v>
      </c>
      <c r="AF850">
        <v>0.173483610443293</v>
      </c>
      <c r="AG850">
        <v>-9.5373000000000097E-2</v>
      </c>
      <c r="AH850">
        <v>0.59723226137719099</v>
      </c>
      <c r="AI850">
        <v>98.7185482856177</v>
      </c>
      <c r="AJ850">
        <v>73.802512636378196</v>
      </c>
      <c r="AK850">
        <v>0.62918911803300703</v>
      </c>
      <c r="AL850">
        <v>71.938449546239596</v>
      </c>
      <c r="AM850">
        <v>88.0719907455845</v>
      </c>
      <c r="AN850">
        <v>1.0000000128609201</v>
      </c>
    </row>
    <row r="851" spans="1:40" x14ac:dyDescent="0.25">
      <c r="A851" t="str">
        <f>"20190304164611746"</f>
        <v>20190304164611746</v>
      </c>
      <c r="B851" t="str">
        <f>"1551689171739171"</f>
        <v>1551689171739171</v>
      </c>
      <c r="C851" t="s">
        <v>40</v>
      </c>
      <c r="D851">
        <v>4.7516369999999997</v>
      </c>
      <c r="E851">
        <v>0.58783450000000004</v>
      </c>
      <c r="F851" t="s">
        <v>41</v>
      </c>
      <c r="G851">
        <v>-226.2055</v>
      </c>
      <c r="H851">
        <v>1.0108600000000001</v>
      </c>
      <c r="I851">
        <v>367.52890000000002</v>
      </c>
      <c r="J851">
        <v>-226.77860000000001</v>
      </c>
      <c r="K851">
        <v>1.11084</v>
      </c>
      <c r="L851">
        <v>367.71390000000002</v>
      </c>
      <c r="M851">
        <v>0.99989910000000004</v>
      </c>
      <c r="N851">
        <v>-1.413332E-2</v>
      </c>
      <c r="O851">
        <v>-1.492955E-3</v>
      </c>
      <c r="P851">
        <v>0.9546694</v>
      </c>
      <c r="Q851">
        <v>0.295987099999999</v>
      </c>
      <c r="R851">
        <v>-3.1591750000000002E-2</v>
      </c>
      <c r="S851">
        <v>3.235519</v>
      </c>
      <c r="T851">
        <v>-0.37518610000000002</v>
      </c>
      <c r="U851">
        <v>-0.69458009999999903</v>
      </c>
      <c r="V851">
        <v>3.0174200000000002E-2</v>
      </c>
      <c r="W851">
        <v>0.30945</v>
      </c>
      <c r="X851">
        <v>0.95043679999999997</v>
      </c>
      <c r="Y851">
        <v>0.20694460000000001</v>
      </c>
      <c r="Z851">
        <v>-1.315947E-2</v>
      </c>
      <c r="AA851">
        <v>0.97826420000000003</v>
      </c>
      <c r="AB851">
        <v>28</v>
      </c>
      <c r="AC851">
        <v>0.57310000000001005</v>
      </c>
      <c r="AD851">
        <v>-9.9979999999999902E-2</v>
      </c>
      <c r="AE851">
        <v>-0.185000000000002</v>
      </c>
      <c r="AF851">
        <v>0.17920479012891899</v>
      </c>
      <c r="AG851">
        <v>-9.9979999999999902E-2</v>
      </c>
      <c r="AH851">
        <v>0.55799590507705299</v>
      </c>
      <c r="AI851">
        <v>99.681176254598995</v>
      </c>
      <c r="AJ851">
        <v>72.195168573976801</v>
      </c>
      <c r="AK851">
        <v>0.59453325162509596</v>
      </c>
      <c r="AL851">
        <v>71.973910954943193</v>
      </c>
      <c r="AM851">
        <v>88.1816004876721</v>
      </c>
      <c r="AN851">
        <v>0.99999994781993795</v>
      </c>
    </row>
    <row r="852" spans="1:40" x14ac:dyDescent="0.25">
      <c r="A852" t="str">
        <f>"20190304164611767"</f>
        <v>20190304164611767</v>
      </c>
      <c r="B852" t="str">
        <f>"1551689171758690"</f>
        <v>1551689171758690</v>
      </c>
      <c r="C852" t="s">
        <v>40</v>
      </c>
      <c r="D852">
        <v>4.7094069999999997</v>
      </c>
      <c r="E852">
        <v>0.58783289999999999</v>
      </c>
      <c r="F852" t="s">
        <v>41</v>
      </c>
      <c r="G852">
        <v>-225.95179999999999</v>
      </c>
      <c r="H852">
        <v>1.0140579999999999</v>
      </c>
      <c r="I852">
        <v>367.53789999999998</v>
      </c>
      <c r="J852">
        <v>-226.51070000000001</v>
      </c>
      <c r="K852">
        <v>1.110843</v>
      </c>
      <c r="L852">
        <v>367.71350000000001</v>
      </c>
      <c r="M852">
        <v>0.99989899999999998</v>
      </c>
      <c r="N852">
        <v>-1.4130500000000001E-2</v>
      </c>
      <c r="O852">
        <v>-1.493468E-3</v>
      </c>
      <c r="P852">
        <v>0.95453980000000005</v>
      </c>
      <c r="Q852">
        <v>0.29652489999999998</v>
      </c>
      <c r="R852">
        <v>-3.044289E-2</v>
      </c>
      <c r="S852">
        <v>3.2371370000000002</v>
      </c>
      <c r="T852">
        <v>-0.37889020000000001</v>
      </c>
      <c r="U852">
        <v>-0.68899540000000004</v>
      </c>
      <c r="V852">
        <v>2.9027460000000001E-2</v>
      </c>
      <c r="W852">
        <v>0.3099827</v>
      </c>
      <c r="X852">
        <v>0.950299</v>
      </c>
      <c r="Y852">
        <v>0.20521529999999999</v>
      </c>
      <c r="Z852">
        <v>-1.3157459999999999E-2</v>
      </c>
      <c r="AA852">
        <v>0.97862839999999995</v>
      </c>
      <c r="AB852">
        <v>28</v>
      </c>
      <c r="AC852">
        <v>0.55890000000002205</v>
      </c>
      <c r="AD852">
        <v>-9.6785000000000093E-2</v>
      </c>
      <c r="AE852">
        <v>-0.17560000000003101</v>
      </c>
      <c r="AF852">
        <v>0.17012176236736701</v>
      </c>
      <c r="AG852">
        <v>-9.6785000000000093E-2</v>
      </c>
      <c r="AH852">
        <v>0.54430552246415498</v>
      </c>
      <c r="AI852">
        <v>99.632303131094204</v>
      </c>
      <c r="AJ852">
        <v>72.643454543145396</v>
      </c>
      <c r="AK852">
        <v>0.57842653123880405</v>
      </c>
      <c r="AL852">
        <v>71.941812617749704</v>
      </c>
      <c r="AM852">
        <v>88.250409630544397</v>
      </c>
      <c r="AN852">
        <v>1.00000002856717</v>
      </c>
    </row>
    <row r="853" spans="1:40" x14ac:dyDescent="0.25">
      <c r="A853" t="str">
        <f>"20190304164611789"</f>
        <v>20190304164611789</v>
      </c>
      <c r="B853" t="str">
        <f>"1551689171778554"</f>
        <v>1551689171778554</v>
      </c>
      <c r="C853" t="s">
        <v>40</v>
      </c>
      <c r="D853">
        <v>4.7403449999999996</v>
      </c>
      <c r="E853">
        <v>0.5878369</v>
      </c>
      <c r="F853" t="s">
        <v>41</v>
      </c>
      <c r="G853">
        <v>-225.6977</v>
      </c>
      <c r="H853">
        <v>1.0160849999999999</v>
      </c>
      <c r="I853">
        <v>367.541</v>
      </c>
      <c r="J853">
        <v>-226.22290000000001</v>
      </c>
      <c r="K853">
        <v>1.1108389999999999</v>
      </c>
      <c r="L853">
        <v>367.7131</v>
      </c>
      <c r="M853">
        <v>0.99989919999999999</v>
      </c>
      <c r="N853">
        <v>-1.412747E-2</v>
      </c>
      <c r="O853">
        <v>-1.501138E-3</v>
      </c>
      <c r="P853">
        <v>0.95442300000000002</v>
      </c>
      <c r="Q853">
        <v>0.29699809999999999</v>
      </c>
      <c r="R853">
        <v>-2.9486470000000001E-2</v>
      </c>
      <c r="S853">
        <v>3.2382659999999999</v>
      </c>
      <c r="T853">
        <v>-0.37756509999999999</v>
      </c>
      <c r="U853">
        <v>-0.68643189999999998</v>
      </c>
      <c r="V853">
        <v>2.8066500000000001E-2</v>
      </c>
      <c r="W853">
        <v>0.31045139999999999</v>
      </c>
      <c r="X853">
        <v>0.95017479999999999</v>
      </c>
      <c r="Y853">
        <v>0.2044135</v>
      </c>
      <c r="Z853">
        <v>-1.3060850000000001E-2</v>
      </c>
      <c r="AA853">
        <v>0.97879749999999999</v>
      </c>
      <c r="AB853">
        <v>28</v>
      </c>
      <c r="AC853">
        <v>0.52520000000001199</v>
      </c>
      <c r="AD853">
        <v>-9.47539999999997E-2</v>
      </c>
      <c r="AE853">
        <v>-0.1721</v>
      </c>
      <c r="AF853">
        <v>0.16641968660402301</v>
      </c>
      <c r="AG853">
        <v>-9.47539999999997E-2</v>
      </c>
      <c r="AH853">
        <v>0.51045379856724704</v>
      </c>
      <c r="AI853">
        <v>100.008749488044</v>
      </c>
      <c r="AJ853">
        <v>71.942839570821803</v>
      </c>
      <c r="AK853">
        <v>0.54519438100287998</v>
      </c>
      <c r="AL853">
        <v>71.913563490761405</v>
      </c>
      <c r="AM853">
        <v>88.308074946569405</v>
      </c>
      <c r="AN853">
        <v>0.99999997536962404</v>
      </c>
    </row>
    <row r="854" spans="1:40" x14ac:dyDescent="0.25">
      <c r="A854" t="str">
        <f>"20190304164611811"</f>
        <v>20190304164611811</v>
      </c>
      <c r="B854" t="str">
        <f>"1551689171808810"</f>
        <v>1551689171808810</v>
      </c>
      <c r="C854" t="s">
        <v>40</v>
      </c>
      <c r="D854">
        <v>4.5942910000000001</v>
      </c>
      <c r="E854">
        <v>0.58782630000000002</v>
      </c>
      <c r="F854" t="s">
        <v>41</v>
      </c>
      <c r="G854">
        <v>-225.44290000000001</v>
      </c>
      <c r="H854">
        <v>1.0201880000000001</v>
      </c>
      <c r="I854">
        <v>367.54820000000001</v>
      </c>
      <c r="J854">
        <v>-225.94450000000001</v>
      </c>
      <c r="K854">
        <v>1.1108290000000001</v>
      </c>
      <c r="L854">
        <v>367.71260000000001</v>
      </c>
      <c r="M854">
        <v>0.99989910000000004</v>
      </c>
      <c r="N854">
        <v>-1.412455E-2</v>
      </c>
      <c r="O854">
        <v>-1.518279E-3</v>
      </c>
      <c r="P854">
        <v>0.95448860000000002</v>
      </c>
      <c r="Q854">
        <v>0.29682779999999998</v>
      </c>
      <c r="R854">
        <v>-2.9069359999999999E-2</v>
      </c>
      <c r="S854">
        <v>3.2393489999999998</v>
      </c>
      <c r="T854">
        <v>-0.37671470000000001</v>
      </c>
      <c r="U854">
        <v>-0.68429569999999995</v>
      </c>
      <c r="V854">
        <v>2.763811E-2</v>
      </c>
      <c r="W854">
        <v>0.31027919999999998</v>
      </c>
      <c r="X854">
        <v>0.95024359999999997</v>
      </c>
      <c r="Y854">
        <v>0.2037245</v>
      </c>
      <c r="Z854">
        <v>-1.298537E-2</v>
      </c>
      <c r="AA854">
        <v>0.97894219999999998</v>
      </c>
      <c r="AB854">
        <v>28</v>
      </c>
      <c r="AC854">
        <v>0.50159999999999605</v>
      </c>
      <c r="AD854">
        <v>-9.0641000000000194E-2</v>
      </c>
      <c r="AE854">
        <v>-0.16439999999999999</v>
      </c>
      <c r="AF854">
        <v>0.15895126649875099</v>
      </c>
      <c r="AG854">
        <v>-9.0641000000000194E-2</v>
      </c>
      <c r="AH854">
        <v>0.48747516810321101</v>
      </c>
      <c r="AI854">
        <v>100.02513288086899</v>
      </c>
      <c r="AJ854">
        <v>71.940380896788199</v>
      </c>
      <c r="AK854">
        <v>0.52068544777035097</v>
      </c>
      <c r="AL854">
        <v>71.923942319762205</v>
      </c>
      <c r="AM854">
        <v>88.334005356927506</v>
      </c>
      <c r="AN854">
        <v>0.99999997320898504</v>
      </c>
    </row>
    <row r="855" spans="1:40" x14ac:dyDescent="0.25">
      <c r="A855" t="str">
        <f>"20190304164611835"</f>
        <v>20190304164611835</v>
      </c>
      <c r="B855" t="str">
        <f>"1551689171828330"</f>
        <v>1551689171828330</v>
      </c>
      <c r="C855" t="s">
        <v>40</v>
      </c>
      <c r="D855">
        <v>4.7269180000000004</v>
      </c>
      <c r="E855">
        <v>0.58774950000000004</v>
      </c>
      <c r="F855" t="s">
        <v>41</v>
      </c>
      <c r="G855">
        <v>-225.1892</v>
      </c>
      <c r="H855">
        <v>1.0225799999999901</v>
      </c>
      <c r="I855">
        <v>367.5532</v>
      </c>
      <c r="J855">
        <v>-225.6446</v>
      </c>
      <c r="K855">
        <v>1.1108169999999999</v>
      </c>
      <c r="L855">
        <v>367.7122</v>
      </c>
      <c r="M855">
        <v>0.99989919999999999</v>
      </c>
      <c r="N855">
        <v>-1.4121389999999999E-2</v>
      </c>
      <c r="O855">
        <v>-1.5517110000000001E-3</v>
      </c>
      <c r="P855">
        <v>0.95474479999999995</v>
      </c>
      <c r="Q855">
        <v>0.29601270000000002</v>
      </c>
      <c r="R855">
        <v>-2.8965399999999999E-2</v>
      </c>
      <c r="S855">
        <v>3.2400509999999998</v>
      </c>
      <c r="T855">
        <v>-0.37885390000000002</v>
      </c>
      <c r="U855">
        <v>-0.68292240000000004</v>
      </c>
      <c r="V855">
        <v>2.7510429999999999E-2</v>
      </c>
      <c r="W855">
        <v>0.30946360000000001</v>
      </c>
      <c r="X855">
        <v>0.95051319999999995</v>
      </c>
      <c r="Y855">
        <v>0.20324010000000001</v>
      </c>
      <c r="Z855">
        <v>-1.3013200000000001E-2</v>
      </c>
      <c r="AA855">
        <v>0.97904250000000004</v>
      </c>
      <c r="AB855">
        <v>28</v>
      </c>
      <c r="AC855">
        <v>0.45539999999999697</v>
      </c>
      <c r="AD855">
        <v>-8.8237000000000093E-2</v>
      </c>
      <c r="AE855">
        <v>-0.15899999999999101</v>
      </c>
      <c r="AF855">
        <v>0.15316768697237099</v>
      </c>
      <c r="AG855">
        <v>-8.8237000000000093E-2</v>
      </c>
      <c r="AH855">
        <v>0.440892743460579</v>
      </c>
      <c r="AI855">
        <v>100.70538752859601</v>
      </c>
      <c r="AJ855">
        <v>70.842593553754398</v>
      </c>
      <c r="AK855">
        <v>0.47500791544737703</v>
      </c>
      <c r="AL855">
        <v>71.973091426668205</v>
      </c>
      <c r="AM855">
        <v>88.342167550663703</v>
      </c>
      <c r="AN855">
        <v>0.99999994342899001</v>
      </c>
    </row>
    <row r="856" spans="1:40" x14ac:dyDescent="0.25">
      <c r="A856" t="str">
        <f>"20190304164611856"</f>
        <v>20190304164611856</v>
      </c>
      <c r="B856" t="str">
        <f>"1551689171848827"</f>
        <v>1551689171848827</v>
      </c>
      <c r="C856" t="s">
        <v>40</v>
      </c>
      <c r="D856">
        <v>4.6863979999999996</v>
      </c>
      <c r="E856">
        <v>0.5877445</v>
      </c>
      <c r="F856" t="s">
        <v>41</v>
      </c>
      <c r="G856">
        <v>-224.69319999999999</v>
      </c>
      <c r="H856">
        <v>0.99831340000000002</v>
      </c>
      <c r="I856">
        <v>367.51159999999999</v>
      </c>
      <c r="J856">
        <v>-225.3751</v>
      </c>
      <c r="K856">
        <v>1.1107990000000001</v>
      </c>
      <c r="L856">
        <v>367.71170000000001</v>
      </c>
      <c r="M856">
        <v>0.99989910000000004</v>
      </c>
      <c r="N856">
        <v>-1.411857E-2</v>
      </c>
      <c r="O856">
        <v>-1.5990139999999999E-3</v>
      </c>
      <c r="P856">
        <v>0.95489809999999997</v>
      </c>
      <c r="Q856">
        <v>0.29550979999999999</v>
      </c>
      <c r="R856">
        <v>-2.9047489999999999E-2</v>
      </c>
      <c r="S856">
        <v>3.240326</v>
      </c>
      <c r="T856">
        <v>-0.3832178</v>
      </c>
      <c r="U856">
        <v>-0.68261719999999904</v>
      </c>
      <c r="V856">
        <v>2.7557390000000001E-2</v>
      </c>
      <c r="W856">
        <v>0.3089594</v>
      </c>
      <c r="X856">
        <v>0.95067590000000002</v>
      </c>
      <c r="Y856">
        <v>0.20305819999999999</v>
      </c>
      <c r="Z856">
        <v>-1.3127379999999999E-2</v>
      </c>
      <c r="AA856">
        <v>0.97907869999999997</v>
      </c>
      <c r="AB856">
        <v>28</v>
      </c>
      <c r="AC856">
        <v>0.68190000000001205</v>
      </c>
      <c r="AD856">
        <v>-0.11248559999999901</v>
      </c>
      <c r="AE856">
        <v>-0.20010000000002001</v>
      </c>
      <c r="AF856">
        <v>0.19414513705585601</v>
      </c>
      <c r="AG856">
        <v>-0.11248559999999901</v>
      </c>
      <c r="AH856">
        <v>0.66554450702907897</v>
      </c>
      <c r="AI856">
        <v>99.215960367414596</v>
      </c>
      <c r="AJ856">
        <v>73.737574677336198</v>
      </c>
      <c r="AK856">
        <v>0.70234951077535301</v>
      </c>
      <c r="AL856">
        <v>72.003469584465293</v>
      </c>
      <c r="AM856">
        <v>88.339623280957198</v>
      </c>
      <c r="AN856">
        <v>0.99999999371639103</v>
      </c>
    </row>
    <row r="857" spans="1:40" x14ac:dyDescent="0.25">
      <c r="A857" t="str">
        <f>"20190304164611880"</f>
        <v>20190304164611880</v>
      </c>
      <c r="B857" t="str">
        <f>"1551689171868347"</f>
        <v>1551689171868347</v>
      </c>
      <c r="C857" t="s">
        <v>40</v>
      </c>
      <c r="D857">
        <v>4.6966169999999998</v>
      </c>
      <c r="E857">
        <v>0.58773549999999997</v>
      </c>
      <c r="F857" t="s">
        <v>41</v>
      </c>
      <c r="G857">
        <v>-224.44110000000001</v>
      </c>
      <c r="H857">
        <v>0.99976430000000005</v>
      </c>
      <c r="I857">
        <v>367.5147</v>
      </c>
      <c r="J857">
        <v>-225.0917</v>
      </c>
      <c r="K857">
        <v>1.110789</v>
      </c>
      <c r="L857">
        <v>367.71120000000002</v>
      </c>
      <c r="M857">
        <v>0.99989899999999998</v>
      </c>
      <c r="N857">
        <v>-1.411566E-2</v>
      </c>
      <c r="O857">
        <v>-1.6662420000000001E-3</v>
      </c>
      <c r="P857">
        <v>0.9550592</v>
      </c>
      <c r="Q857">
        <v>0.29490699999999997</v>
      </c>
      <c r="R857">
        <v>-2.986923E-2</v>
      </c>
      <c r="S857">
        <v>3.2401430000000002</v>
      </c>
      <c r="T857">
        <v>-0.385241</v>
      </c>
      <c r="U857">
        <v>-0.68301389999999995</v>
      </c>
      <c r="V857">
        <v>2.8325639999999999E-2</v>
      </c>
      <c r="W857">
        <v>0.3083552</v>
      </c>
      <c r="X857">
        <v>0.95084950000000001</v>
      </c>
      <c r="Y857">
        <v>0.20310320000000001</v>
      </c>
      <c r="Z857">
        <v>-1.318476E-2</v>
      </c>
      <c r="AA857">
        <v>0.97906859999999996</v>
      </c>
      <c r="AB857">
        <v>28</v>
      </c>
      <c r="AC857">
        <v>0.65059999999999696</v>
      </c>
      <c r="AD857">
        <v>-0.111024699999999</v>
      </c>
      <c r="AE857">
        <v>-0.196500000000014</v>
      </c>
      <c r="AF857">
        <v>0.190336081287384</v>
      </c>
      <c r="AG857">
        <v>-0.111024699999999</v>
      </c>
      <c r="AH857">
        <v>0.63400686512569604</v>
      </c>
      <c r="AI857">
        <v>99.521081451115805</v>
      </c>
      <c r="AJ857">
        <v>73.289644790626397</v>
      </c>
      <c r="AK857">
        <v>0.67120713112752395</v>
      </c>
      <c r="AL857">
        <v>72.039865265924405</v>
      </c>
      <c r="AM857">
        <v>88.2936733986608</v>
      </c>
      <c r="AN857">
        <v>1.0000000214493401</v>
      </c>
    </row>
    <row r="858" spans="1:40" x14ac:dyDescent="0.25">
      <c r="A858" t="str">
        <f>"20190304164611901"</f>
        <v>20190304164611901</v>
      </c>
      <c r="B858" t="str">
        <f>"1551689171888842"</f>
        <v>1551689171888842</v>
      </c>
      <c r="C858" t="s">
        <v>40</v>
      </c>
      <c r="D858">
        <v>4.7074540000000002</v>
      </c>
      <c r="E858">
        <v>0.58775500000000003</v>
      </c>
      <c r="F858" t="s">
        <v>41</v>
      </c>
      <c r="G858">
        <v>-224.18879999999999</v>
      </c>
      <c r="H858">
        <v>1.0025569999999999</v>
      </c>
      <c r="I858">
        <v>367.51979999999998</v>
      </c>
      <c r="J858">
        <v>-224.815</v>
      </c>
      <c r="K858">
        <v>1.1107720000000001</v>
      </c>
      <c r="L858">
        <v>367.7106</v>
      </c>
      <c r="M858">
        <v>0.99989899999999998</v>
      </c>
      <c r="N858">
        <v>-1.411279E-2</v>
      </c>
      <c r="O858">
        <v>-1.753257E-3</v>
      </c>
      <c r="P858">
        <v>0.95506939999999996</v>
      </c>
      <c r="Q858">
        <v>0.29469849999999997</v>
      </c>
      <c r="R858">
        <v>-3.1551419999999997E-2</v>
      </c>
      <c r="S858">
        <v>3.2397459999999998</v>
      </c>
      <c r="T858">
        <v>-0.38861679999999998</v>
      </c>
      <c r="U858">
        <v>-0.68548580000000003</v>
      </c>
      <c r="V858">
        <v>2.9935610000000001E-2</v>
      </c>
      <c r="W858">
        <v>0.3081429</v>
      </c>
      <c r="X858">
        <v>0.95086899999999996</v>
      </c>
      <c r="Y858">
        <v>0.20372760000000001</v>
      </c>
      <c r="Z858">
        <v>-1.3319340000000001E-2</v>
      </c>
      <c r="AA858">
        <v>0.97893699999999995</v>
      </c>
      <c r="AB858">
        <v>28</v>
      </c>
      <c r="AC858">
        <v>0.62620000000001097</v>
      </c>
      <c r="AD858">
        <v>-0.10821499999999901</v>
      </c>
      <c r="AE858">
        <v>-0.19080000000002401</v>
      </c>
      <c r="AF858">
        <v>0.18465561641851599</v>
      </c>
      <c r="AG858">
        <v>-0.10821499999999901</v>
      </c>
      <c r="AH858">
        <v>0.60986771233729298</v>
      </c>
      <c r="AI858">
        <v>99.638373889116494</v>
      </c>
      <c r="AJ858">
        <v>73.154748432919803</v>
      </c>
      <c r="AK858">
        <v>0.64633335783589696</v>
      </c>
      <c r="AL858">
        <v>72.052651789018498</v>
      </c>
      <c r="AM858">
        <v>88.196788637999006</v>
      </c>
      <c r="AN858">
        <v>1.0000000213637401</v>
      </c>
    </row>
    <row r="859" spans="1:40" x14ac:dyDescent="0.25">
      <c r="A859" t="str">
        <f>"20190304164611923"</f>
        <v>20190304164611923</v>
      </c>
      <c r="B859" t="str">
        <f>"1551689171919097"</f>
        <v>1551689171919097</v>
      </c>
      <c r="C859" t="s">
        <v>40</v>
      </c>
      <c r="D859">
        <v>4.6884699999999997</v>
      </c>
      <c r="E859">
        <v>0.58780779999999999</v>
      </c>
      <c r="F859" t="s">
        <v>41</v>
      </c>
      <c r="G859">
        <v>-223.93680000000001</v>
      </c>
      <c r="H859">
        <v>1.004885</v>
      </c>
      <c r="I859">
        <v>367.52339999999998</v>
      </c>
      <c r="J859">
        <v>-224.5258</v>
      </c>
      <c r="K859">
        <v>1.11076</v>
      </c>
      <c r="L859">
        <v>367.71</v>
      </c>
      <c r="M859">
        <v>0.99989870000000003</v>
      </c>
      <c r="N859">
        <v>-1.4109790000000001E-2</v>
      </c>
      <c r="O859">
        <v>-1.8715450000000001E-3</v>
      </c>
      <c r="P859">
        <v>0.95490109999999995</v>
      </c>
      <c r="Q859">
        <v>0.29503639999999998</v>
      </c>
      <c r="R859">
        <v>-3.34268E-2</v>
      </c>
      <c r="S859">
        <v>3.238861</v>
      </c>
      <c r="T859">
        <v>-0.39060210000000001</v>
      </c>
      <c r="U859">
        <v>-0.69027709999999998</v>
      </c>
      <c r="V859">
        <v>3.1711410000000002E-2</v>
      </c>
      <c r="W859">
        <v>0.30847409999999997</v>
      </c>
      <c r="X859">
        <v>0.95070399999999999</v>
      </c>
      <c r="Y859">
        <v>0.20502670000000001</v>
      </c>
      <c r="Z859">
        <v>-1.3454799999999999E-2</v>
      </c>
      <c r="AA859">
        <v>0.97866390000000003</v>
      </c>
      <c r="AB859">
        <v>28</v>
      </c>
      <c r="AC859">
        <v>0.58899999999999797</v>
      </c>
      <c r="AD859">
        <v>-0.105874999999999</v>
      </c>
      <c r="AE859">
        <v>-0.18659999999999799</v>
      </c>
      <c r="AF859">
        <v>0.18020562489976999</v>
      </c>
      <c r="AG859">
        <v>-0.105874999999999</v>
      </c>
      <c r="AH859">
        <v>0.57253615300815197</v>
      </c>
      <c r="AI859">
        <v>100.003600684924</v>
      </c>
      <c r="AJ859">
        <v>72.528616328642798</v>
      </c>
      <c r="AK859">
        <v>0.60949259993201799</v>
      </c>
      <c r="AL859">
        <v>72.032703096416</v>
      </c>
      <c r="AM859">
        <v>88.089566716935494</v>
      </c>
      <c r="AN859">
        <v>0.99999998975549897</v>
      </c>
    </row>
    <row r="860" spans="1:40" x14ac:dyDescent="0.25">
      <c r="A860" t="str">
        <f>"20190304164611946"</f>
        <v>20190304164611946</v>
      </c>
      <c r="B860" t="str">
        <f>"1551689171938618"</f>
        <v>1551689171938618</v>
      </c>
      <c r="C860" t="s">
        <v>40</v>
      </c>
      <c r="D860">
        <v>4.6991540000000001</v>
      </c>
      <c r="E860">
        <v>0.58786450000000001</v>
      </c>
      <c r="F860" t="s">
        <v>41</v>
      </c>
      <c r="G860">
        <v>-223.6842</v>
      </c>
      <c r="H860">
        <v>1.009123</v>
      </c>
      <c r="I860">
        <v>367.529</v>
      </c>
      <c r="J860">
        <v>-224.2543</v>
      </c>
      <c r="K860">
        <v>1.110744</v>
      </c>
      <c r="L860">
        <v>367.70940000000002</v>
      </c>
      <c r="M860">
        <v>0.99989850000000002</v>
      </c>
      <c r="N860">
        <v>-1.410701E-2</v>
      </c>
      <c r="O860">
        <v>-2.011451E-3</v>
      </c>
      <c r="P860">
        <v>0.95468120000000001</v>
      </c>
      <c r="Q860">
        <v>0.29544340000000002</v>
      </c>
      <c r="R860">
        <v>-3.601261E-2</v>
      </c>
      <c r="S860">
        <v>3.2382659999999999</v>
      </c>
      <c r="T860">
        <v>-0.3913643</v>
      </c>
      <c r="U860">
        <v>-0.69567869999999998</v>
      </c>
      <c r="V860">
        <v>3.4178710000000001E-2</v>
      </c>
      <c r="W860">
        <v>0.30887320000000001</v>
      </c>
      <c r="X860">
        <v>0.95048889999999997</v>
      </c>
      <c r="Y860">
        <v>0.20647099999999999</v>
      </c>
      <c r="Z860">
        <v>-1.3559659999999999E-2</v>
      </c>
      <c r="AA860">
        <v>0.97835870000000003</v>
      </c>
      <c r="AB860">
        <v>28</v>
      </c>
      <c r="AC860">
        <v>0.57009999999999605</v>
      </c>
      <c r="AD860">
        <v>-0.101620999999999</v>
      </c>
      <c r="AE860">
        <v>-0.18040000000001999</v>
      </c>
      <c r="AF860">
        <v>0.17422102268532999</v>
      </c>
      <c r="AG860">
        <v>-0.101620999999999</v>
      </c>
      <c r="AH860">
        <v>0.55444842844382902</v>
      </c>
      <c r="AI860">
        <v>99.918126708192602</v>
      </c>
      <c r="AJ860">
        <v>72.556027878894895</v>
      </c>
      <c r="AK860">
        <v>0.589993942503103</v>
      </c>
      <c r="AL860">
        <v>72.008662463888697</v>
      </c>
      <c r="AM860">
        <v>87.940583604310007</v>
      </c>
      <c r="AN860">
        <v>0.99999999345935597</v>
      </c>
    </row>
    <row r="861" spans="1:40" x14ac:dyDescent="0.25">
      <c r="A861" t="str">
        <f>"20190304164611967"</f>
        <v>20190304164611967</v>
      </c>
      <c r="B861" t="str">
        <f>"1551689171959114"</f>
        <v>1551689171959114</v>
      </c>
      <c r="C861" t="s">
        <v>40</v>
      </c>
      <c r="D861">
        <v>4.7077049999999998</v>
      </c>
      <c r="E861">
        <v>0.58791070000000001</v>
      </c>
      <c r="F861" t="s">
        <v>41</v>
      </c>
      <c r="G861">
        <v>-223.43260000000001</v>
      </c>
      <c r="H861">
        <v>1.01128</v>
      </c>
      <c r="I861">
        <v>367.53109999999998</v>
      </c>
      <c r="J861">
        <v>-223.98179999999999</v>
      </c>
      <c r="K861">
        <v>1.110725</v>
      </c>
      <c r="L861">
        <v>367.70859999999999</v>
      </c>
      <c r="M861">
        <v>0.99989830000000002</v>
      </c>
      <c r="N861">
        <v>-1.410428E-2</v>
      </c>
      <c r="O861">
        <v>-2.1841019999999998E-3</v>
      </c>
      <c r="P861">
        <v>0.95460060000000002</v>
      </c>
      <c r="Q861">
        <v>0.29529670000000002</v>
      </c>
      <c r="R861">
        <v>-3.9219900000000002E-2</v>
      </c>
      <c r="S861">
        <v>3.2371979999999998</v>
      </c>
      <c r="T861">
        <v>-0.39188339999999999</v>
      </c>
      <c r="U861">
        <v>-0.70223999999999998</v>
      </c>
      <c r="V861">
        <v>3.7239120000000001E-2</v>
      </c>
      <c r="W861">
        <v>0.30871989999999999</v>
      </c>
      <c r="X861">
        <v>0.95042369999999998</v>
      </c>
      <c r="Y861">
        <v>0.2082456</v>
      </c>
      <c r="Z861">
        <v>-1.367724E-2</v>
      </c>
      <c r="AA861">
        <v>0.97798090000000004</v>
      </c>
      <c r="AB861">
        <v>28</v>
      </c>
      <c r="AC861">
        <v>0.54919999999998403</v>
      </c>
      <c r="AD861">
        <v>-9.9445000000000006E-2</v>
      </c>
      <c r="AE861">
        <v>-0.17750000000000901</v>
      </c>
      <c r="AF861">
        <v>0.17121714344633801</v>
      </c>
      <c r="AG861">
        <v>-9.9445000000000006E-2</v>
      </c>
      <c r="AH861">
        <v>0.53374158833473995</v>
      </c>
      <c r="AI861">
        <v>100.06028247169</v>
      </c>
      <c r="AJ861">
        <v>72.214455801117893</v>
      </c>
      <c r="AK861">
        <v>0.56928437652285402</v>
      </c>
      <c r="AL861">
        <v>72.017896774590398</v>
      </c>
      <c r="AM861">
        <v>87.756207512401701</v>
      </c>
      <c r="AN861">
        <v>0.99999996911803601</v>
      </c>
    </row>
    <row r="862" spans="1:40" x14ac:dyDescent="0.25">
      <c r="A862" t="str">
        <f>"20190304164611990"</f>
        <v>20190304164611990</v>
      </c>
      <c r="B862" t="str">
        <f>"1551689171978634"</f>
        <v>1551689171978634</v>
      </c>
      <c r="C862" t="s">
        <v>40</v>
      </c>
      <c r="D862">
        <v>4.7075469999999999</v>
      </c>
      <c r="E862">
        <v>0.58796660000000001</v>
      </c>
      <c r="F862" t="s">
        <v>41</v>
      </c>
      <c r="G862">
        <v>-223.18129999999999</v>
      </c>
      <c r="H862">
        <v>1.013247</v>
      </c>
      <c r="I862">
        <v>367.5326</v>
      </c>
      <c r="J862">
        <v>-223.69800000000001</v>
      </c>
      <c r="K862">
        <v>1.1106940000000001</v>
      </c>
      <c r="L862">
        <v>367.70769999999999</v>
      </c>
      <c r="M862">
        <v>0.9998977</v>
      </c>
      <c r="N862">
        <v>-1.410147E-2</v>
      </c>
      <c r="O862">
        <v>-2.4025129999999998E-3</v>
      </c>
      <c r="P862">
        <v>0.95454439999999996</v>
      </c>
      <c r="Q862">
        <v>0.29510530000000001</v>
      </c>
      <c r="R862">
        <v>-4.1926730000000002E-2</v>
      </c>
      <c r="S862">
        <v>3.2353969999999999</v>
      </c>
      <c r="T862">
        <v>-0.39417170000000001</v>
      </c>
      <c r="U862">
        <v>-0.71087650000000002</v>
      </c>
      <c r="V862">
        <v>3.9760139999999999E-2</v>
      </c>
      <c r="W862">
        <v>0.30852170000000001</v>
      </c>
      <c r="X862">
        <v>0.95038599999999995</v>
      </c>
      <c r="Y862">
        <v>0.21060010000000001</v>
      </c>
      <c r="Z862">
        <v>-1.3886020000000001E-2</v>
      </c>
      <c r="AA862">
        <v>0.9774737</v>
      </c>
      <c r="AB862">
        <v>28</v>
      </c>
      <c r="AC862">
        <v>0.51669999999998595</v>
      </c>
      <c r="AD862">
        <v>-9.7447000000000006E-2</v>
      </c>
      <c r="AE862">
        <v>-0.17509999999998599</v>
      </c>
      <c r="AF862">
        <v>0.168482694544695</v>
      </c>
      <c r="AG862">
        <v>-9.7447000000000006E-2</v>
      </c>
      <c r="AH862">
        <v>0.50113106675748498</v>
      </c>
      <c r="AI862">
        <v>100.44331898872601</v>
      </c>
      <c r="AJ862">
        <v>71.417105807352101</v>
      </c>
      <c r="AK862">
        <v>0.53760085773697996</v>
      </c>
      <c r="AL862">
        <v>72.029836694360597</v>
      </c>
      <c r="AM862">
        <v>87.604383326936798</v>
      </c>
      <c r="AN862">
        <v>1.00000002854985</v>
      </c>
    </row>
    <row r="863" spans="1:40" x14ac:dyDescent="0.25">
      <c r="A863" t="str">
        <f>"20190304164612013"</f>
        <v>20190304164612013</v>
      </c>
      <c r="B863" t="str">
        <f>"1551689172008890"</f>
        <v>1551689172008890</v>
      </c>
      <c r="C863" t="s">
        <v>40</v>
      </c>
      <c r="D863">
        <v>4.7067030000000001</v>
      </c>
      <c r="E863">
        <v>0.58805169999999996</v>
      </c>
      <c r="F863" t="s">
        <v>41</v>
      </c>
      <c r="G863">
        <v>-222.9297</v>
      </c>
      <c r="H863">
        <v>1.0165360000000001</v>
      </c>
      <c r="I863">
        <v>367.5369</v>
      </c>
      <c r="J863">
        <v>-223.41399999999999</v>
      </c>
      <c r="K863">
        <v>1.1106579999999999</v>
      </c>
      <c r="L863">
        <v>367.70679999999999</v>
      </c>
      <c r="M863">
        <v>0.99989709999999998</v>
      </c>
      <c r="N863">
        <v>-1.4098670000000001E-2</v>
      </c>
      <c r="O863">
        <v>-2.668218E-3</v>
      </c>
      <c r="P863">
        <v>0.95440499999999995</v>
      </c>
      <c r="Q863">
        <v>0.29511890000000002</v>
      </c>
      <c r="R863">
        <v>-4.4903970000000001E-2</v>
      </c>
      <c r="S863">
        <v>3.2338559999999998</v>
      </c>
      <c r="T863">
        <v>-0.39649459999999997</v>
      </c>
      <c r="U863">
        <v>-0.71859740000000005</v>
      </c>
      <c r="V863">
        <v>4.2510010000000001E-2</v>
      </c>
      <c r="W863">
        <v>0.30852619999999997</v>
      </c>
      <c r="X863">
        <v>0.95026549999999999</v>
      </c>
      <c r="Y863">
        <v>0.21262900000000001</v>
      </c>
      <c r="Z863">
        <v>-1.406959E-2</v>
      </c>
      <c r="AA863">
        <v>0.97703169999999995</v>
      </c>
      <c r="AB863">
        <v>28</v>
      </c>
      <c r="AC863">
        <v>0.48430000000001799</v>
      </c>
      <c r="AD863">
        <v>-9.4121999999999803E-2</v>
      </c>
      <c r="AE863">
        <v>-0.16989999999998401</v>
      </c>
      <c r="AF863">
        <v>0.163121047318043</v>
      </c>
      <c r="AG863">
        <v>-9.4121999999999803E-2</v>
      </c>
      <c r="AH863">
        <v>0.46897918913966202</v>
      </c>
      <c r="AI863">
        <v>100.73343980721501</v>
      </c>
      <c r="AJ863">
        <v>70.821226174659003</v>
      </c>
      <c r="AK863">
        <v>0.50537996280841002</v>
      </c>
      <c r="AL863">
        <v>72.029565458552298</v>
      </c>
      <c r="AM863">
        <v>87.438588096011102</v>
      </c>
      <c r="AN863">
        <v>1.0000000187634399</v>
      </c>
    </row>
    <row r="864" spans="1:40" x14ac:dyDescent="0.25">
      <c r="A864" t="str">
        <f>"20190304164612036"</f>
        <v>20190304164612036</v>
      </c>
      <c r="B864" t="str">
        <f>"1551689172028413"</f>
        <v>1551689172028413</v>
      </c>
      <c r="C864" t="s">
        <v>40</v>
      </c>
      <c r="D864">
        <v>4.7337379999999998</v>
      </c>
      <c r="E864">
        <v>0.58810439999999997</v>
      </c>
      <c r="F864" t="s">
        <v>41</v>
      </c>
      <c r="G864">
        <v>-222.67789999999999</v>
      </c>
      <c r="H864">
        <v>1.0201209999999901</v>
      </c>
      <c r="I864">
        <v>367.54059999999998</v>
      </c>
      <c r="J864">
        <v>-223.1283</v>
      </c>
      <c r="K864">
        <v>1.1106130000000001</v>
      </c>
      <c r="L864">
        <v>367.70569999999998</v>
      </c>
      <c r="M864">
        <v>0.99989629999999996</v>
      </c>
      <c r="N864">
        <v>-1.409588E-2</v>
      </c>
      <c r="O864">
        <v>-2.9957809999999999E-3</v>
      </c>
      <c r="P864">
        <v>0.9543895</v>
      </c>
      <c r="Q864">
        <v>0.29460429999999999</v>
      </c>
      <c r="R864">
        <v>-4.8468579999999997E-2</v>
      </c>
      <c r="S864">
        <v>3.23204</v>
      </c>
      <c r="T864">
        <v>-0.39777099999999999</v>
      </c>
      <c r="U864">
        <v>-0.7284851</v>
      </c>
      <c r="V864">
        <v>4.5792529999999998E-2</v>
      </c>
      <c r="W864">
        <v>0.30800280000000002</v>
      </c>
      <c r="X864">
        <v>0.95028279999999998</v>
      </c>
      <c r="Y864">
        <v>0.21524099999999999</v>
      </c>
      <c r="Z864">
        <v>-1.4254289999999999E-2</v>
      </c>
      <c r="AA864">
        <v>0.97645689999999996</v>
      </c>
      <c r="AB864">
        <v>28</v>
      </c>
      <c r="AC864">
        <v>0.45040000000000102</v>
      </c>
      <c r="AD864">
        <v>-9.0492000000000003E-2</v>
      </c>
      <c r="AE864">
        <v>-0.165099999999995</v>
      </c>
      <c r="AF864">
        <v>0.158122986584352</v>
      </c>
      <c r="AG864">
        <v>-9.0492000000000003E-2</v>
      </c>
      <c r="AH864">
        <v>0.43539887320871101</v>
      </c>
      <c r="AI864">
        <v>101.053704209616</v>
      </c>
      <c r="AJ864">
        <v>70.040592607107399</v>
      </c>
      <c r="AK864">
        <v>0.47197866449848203</v>
      </c>
      <c r="AL864">
        <v>72.061089656088996</v>
      </c>
      <c r="AM864">
        <v>87.241146878507493</v>
      </c>
      <c r="AN864">
        <v>1.0000000402937299</v>
      </c>
    </row>
    <row r="865" spans="1:40" x14ac:dyDescent="0.25">
      <c r="A865" t="str">
        <f>"20190304164612058"</f>
        <v>20190304164612058</v>
      </c>
      <c r="B865" t="str">
        <f>"1551689172048909"</f>
        <v>1551689172048909</v>
      </c>
      <c r="C865" t="s">
        <v>40</v>
      </c>
      <c r="D865">
        <v>4.6134750000000002</v>
      </c>
      <c r="E865">
        <v>0.58815859999999998</v>
      </c>
      <c r="F865" t="s">
        <v>42</v>
      </c>
      <c r="G865">
        <v>-214.18430000000001</v>
      </c>
      <c r="H865" s="1">
        <v>-3.179552E-6</v>
      </c>
      <c r="I865">
        <v>365.65699999999998</v>
      </c>
      <c r="J865">
        <v>-222.8527</v>
      </c>
      <c r="K865">
        <v>1.1105700000000001</v>
      </c>
      <c r="L865">
        <v>367.7045</v>
      </c>
      <c r="M865">
        <v>0.99989510000000004</v>
      </c>
      <c r="N865">
        <v>-1.409326E-2</v>
      </c>
      <c r="O865">
        <v>-3.3765840000000002E-3</v>
      </c>
      <c r="P865">
        <v>0.95424310000000001</v>
      </c>
      <c r="Q865">
        <v>0.29441980000000001</v>
      </c>
      <c r="R865">
        <v>-5.2319320000000002E-2</v>
      </c>
      <c r="S865">
        <v>3.2296140000000002</v>
      </c>
      <c r="T865">
        <v>-0.4010359</v>
      </c>
      <c r="U865">
        <v>-0.73974609999999996</v>
      </c>
      <c r="V865">
        <v>4.9313490000000001E-2</v>
      </c>
      <c r="W865">
        <v>0.30780679999999999</v>
      </c>
      <c r="X865">
        <v>0.95017010000000002</v>
      </c>
      <c r="Y865">
        <v>0.2182135</v>
      </c>
      <c r="Z865">
        <v>-1.4523980000000001E-2</v>
      </c>
      <c r="AA865">
        <v>0.97579300000000002</v>
      </c>
      <c r="AB865">
        <v>28</v>
      </c>
      <c r="AC865">
        <v>8.6683999999999894</v>
      </c>
      <c r="AD865">
        <v>-1.110573179552</v>
      </c>
      <c r="AE865">
        <v>-2.0475000000000101</v>
      </c>
      <c r="AF865">
        <v>1.9873195800182299</v>
      </c>
      <c r="AG865">
        <v>-1.110573179552</v>
      </c>
      <c r="AH865">
        <v>8.5424577889588296</v>
      </c>
      <c r="AI865">
        <v>97.216663749646202</v>
      </c>
      <c r="AJ865">
        <v>76.903643408228106</v>
      </c>
      <c r="AK865">
        <v>8.8406106676183498</v>
      </c>
      <c r="AL865">
        <v>72.072892930554502</v>
      </c>
      <c r="AM865">
        <v>87.029035026714794</v>
      </c>
      <c r="AN865">
        <v>1.00000003267811</v>
      </c>
    </row>
    <row r="866" spans="1:40" x14ac:dyDescent="0.25">
      <c r="A866" t="str">
        <f>"20190304164612081"</f>
        <v>20190304164612081</v>
      </c>
      <c r="B866" t="str">
        <f>"1551689172068426"</f>
        <v>1551689172068426</v>
      </c>
      <c r="C866" t="s">
        <v>40</v>
      </c>
      <c r="D866">
        <v>4.7477359999999997</v>
      </c>
      <c r="E866">
        <v>0.58814509999999998</v>
      </c>
      <c r="F866" t="s">
        <v>42</v>
      </c>
      <c r="G866">
        <v>-213.9639</v>
      </c>
      <c r="H866" s="1">
        <v>-3.2786770000000001E-6</v>
      </c>
      <c r="I866">
        <v>365.63130000000001</v>
      </c>
      <c r="J866">
        <v>-222.57859999999999</v>
      </c>
      <c r="K866">
        <v>1.110525</v>
      </c>
      <c r="L866">
        <v>367.70310000000001</v>
      </c>
      <c r="M866">
        <v>0.9998937</v>
      </c>
      <c r="N866">
        <v>-1.4090739999999999E-2</v>
      </c>
      <c r="O866">
        <v>-3.8118649999999998E-3</v>
      </c>
      <c r="P866">
        <v>0.95391130000000002</v>
      </c>
      <c r="Q866">
        <v>0.29488409999999998</v>
      </c>
      <c r="R866">
        <v>-5.5653279999999999E-2</v>
      </c>
      <c r="S866">
        <v>3.2269899999999998</v>
      </c>
      <c r="T866">
        <v>-0.40318169999999998</v>
      </c>
      <c r="U866">
        <v>-0.75265499999999996</v>
      </c>
      <c r="V866">
        <v>5.2266769999999997E-2</v>
      </c>
      <c r="W866">
        <v>0.3082568</v>
      </c>
      <c r="X866">
        <v>0.94986619999999999</v>
      </c>
      <c r="Y866">
        <v>0.22162129999999999</v>
      </c>
      <c r="Z866">
        <v>-1.478382E-2</v>
      </c>
      <c r="AA866">
        <v>0.97502080000000002</v>
      </c>
      <c r="AB866">
        <v>28</v>
      </c>
      <c r="AC866">
        <v>8.6146999999999991</v>
      </c>
      <c r="AD866">
        <v>-1.1105282786770001</v>
      </c>
      <c r="AE866">
        <v>-2.0717999999999899</v>
      </c>
      <c r="AF866">
        <v>2.0074084333315199</v>
      </c>
      <c r="AG866">
        <v>-1.1105282786770001</v>
      </c>
      <c r="AH866">
        <v>8.4891757309816196</v>
      </c>
      <c r="AI866">
        <v>97.255077629485299</v>
      </c>
      <c r="AJ866">
        <v>76.695830345309602</v>
      </c>
      <c r="AK866">
        <v>8.7936946880955098</v>
      </c>
      <c r="AL866">
        <v>72.045790247284998</v>
      </c>
      <c r="AM866">
        <v>86.850452834461393</v>
      </c>
      <c r="AN866">
        <v>0.99999993394745401</v>
      </c>
    </row>
    <row r="867" spans="1:40" x14ac:dyDescent="0.25">
      <c r="A867" t="str">
        <f>"20190304164612103"</f>
        <v>20190304164612103</v>
      </c>
      <c r="B867" t="str">
        <f>"1551689172098682"</f>
        <v>1551689172098682</v>
      </c>
      <c r="C867" t="s">
        <v>40</v>
      </c>
      <c r="D867">
        <v>4.6563860000000004</v>
      </c>
      <c r="E867">
        <v>0.58817839999999999</v>
      </c>
      <c r="F867" t="s">
        <v>42</v>
      </c>
      <c r="G867">
        <v>-213.70320000000001</v>
      </c>
      <c r="H867" s="1">
        <v>-3.3960000000000002E-6</v>
      </c>
      <c r="I867">
        <v>365.60039999999998</v>
      </c>
      <c r="J867">
        <v>-222.2944</v>
      </c>
      <c r="K867">
        <v>1.1104799999999999</v>
      </c>
      <c r="L867">
        <v>367.70139999999998</v>
      </c>
      <c r="M867">
        <v>0.99989150000000004</v>
      </c>
      <c r="N867">
        <v>-1.4088160000000001E-2</v>
      </c>
      <c r="O867">
        <v>-4.337624E-3</v>
      </c>
      <c r="P867">
        <v>0.95335389999999998</v>
      </c>
      <c r="Q867">
        <v>0.29608020000000002</v>
      </c>
      <c r="R867">
        <v>-5.8764410000000003E-2</v>
      </c>
      <c r="S867">
        <v>3.2251129999999999</v>
      </c>
      <c r="T867">
        <v>-0.40353600000000001</v>
      </c>
      <c r="U867">
        <v>-0.76406859999999999</v>
      </c>
      <c r="V867">
        <v>5.4917809999999997E-2</v>
      </c>
      <c r="W867">
        <v>0.30943369999999998</v>
      </c>
      <c r="X867">
        <v>0.94933380000000001</v>
      </c>
      <c r="Y867">
        <v>0.22447929999999999</v>
      </c>
      <c r="Z867">
        <v>-1.4936659999999999E-2</v>
      </c>
      <c r="AA867">
        <v>0.97436440000000002</v>
      </c>
      <c r="AB867">
        <v>28</v>
      </c>
      <c r="AC867">
        <v>8.5911999999999793</v>
      </c>
      <c r="AD867">
        <v>-1.110483396</v>
      </c>
      <c r="AE867">
        <v>-2.1009999999999902</v>
      </c>
      <c r="AF867">
        <v>2.0316819604358201</v>
      </c>
      <c r="AG867">
        <v>-1.110483396</v>
      </c>
      <c r="AH867">
        <v>8.4667561856108495</v>
      </c>
      <c r="AI867">
        <v>97.268128399551998</v>
      </c>
      <c r="AJ867">
        <v>76.506439213820599</v>
      </c>
      <c r="AK867">
        <v>8.7776343776516192</v>
      </c>
      <c r="AL867">
        <v>71.974892602616094</v>
      </c>
      <c r="AM867">
        <v>86.689198471371895</v>
      </c>
      <c r="AN867">
        <v>0.99999992218666001</v>
      </c>
    </row>
    <row r="868" spans="1:40" x14ac:dyDescent="0.25">
      <c r="A868" t="str">
        <f>"20190304164612125"</f>
        <v>20190304164612125</v>
      </c>
      <c r="B868" t="str">
        <f>"1551689172119178"</f>
        <v>1551689172119178</v>
      </c>
      <c r="C868" t="s">
        <v>40</v>
      </c>
      <c r="D868">
        <v>4.7262409999999999</v>
      </c>
      <c r="E868">
        <v>0.58799820000000003</v>
      </c>
      <c r="F868" t="s">
        <v>42</v>
      </c>
      <c r="G868">
        <v>-213.34559999999999</v>
      </c>
      <c r="H868" s="1">
        <v>-3.5585209999999998E-6</v>
      </c>
      <c r="I868">
        <v>365.54919999999998</v>
      </c>
      <c r="J868">
        <v>-222.01740000000001</v>
      </c>
      <c r="K868">
        <v>1.110422</v>
      </c>
      <c r="L868">
        <v>367.69959999999998</v>
      </c>
      <c r="M868">
        <v>0.99988849999999996</v>
      </c>
      <c r="N868">
        <v>-1.4085769999999999E-2</v>
      </c>
      <c r="O868">
        <v>-4.9470549999999997E-3</v>
      </c>
      <c r="P868">
        <v>0.95279550000000002</v>
      </c>
      <c r="Q868">
        <v>0.29737809999999998</v>
      </c>
      <c r="R868">
        <v>-6.1214280000000003E-2</v>
      </c>
      <c r="S868">
        <v>3.2232059999999998</v>
      </c>
      <c r="T868">
        <v>-0.39997260000000001</v>
      </c>
      <c r="U868">
        <v>-0.77520749999999905</v>
      </c>
      <c r="V868">
        <v>5.6837829999999999E-2</v>
      </c>
      <c r="W868">
        <v>0.31071219999999999</v>
      </c>
      <c r="X868">
        <v>0.94880319999999996</v>
      </c>
      <c r="Y868">
        <v>0.22721089999999999</v>
      </c>
      <c r="Z868">
        <v>-1.49432E-2</v>
      </c>
      <c r="AA868">
        <v>0.97373089999999995</v>
      </c>
      <c r="AB868">
        <v>28</v>
      </c>
      <c r="AC868">
        <v>8.6718000000000099</v>
      </c>
      <c r="AD868">
        <v>-1.1104255585209999</v>
      </c>
      <c r="AE868">
        <v>-2.1503999999999901</v>
      </c>
      <c r="AF868">
        <v>2.0754107224205902</v>
      </c>
      <c r="AG868">
        <v>-1.1104255585209999</v>
      </c>
      <c r="AH868">
        <v>8.5502574112644592</v>
      </c>
      <c r="AI868">
        <v>97.193026199349504</v>
      </c>
      <c r="AJ868">
        <v>76.356417434318004</v>
      </c>
      <c r="AK868">
        <v>8.8683299660442199</v>
      </c>
      <c r="AL868">
        <v>71.8978449451117</v>
      </c>
      <c r="AM868">
        <v>86.571806822988407</v>
      </c>
      <c r="AN868">
        <v>1.00000006123909</v>
      </c>
    </row>
    <row r="869" spans="1:40" x14ac:dyDescent="0.25">
      <c r="A869" t="str">
        <f>"20190304164612147"</f>
        <v>20190304164612147</v>
      </c>
      <c r="B869" t="str">
        <f>"1551689172138701"</f>
        <v>1551689172138701</v>
      </c>
      <c r="C869" t="s">
        <v>40</v>
      </c>
      <c r="D869">
        <v>4.7350529999999997</v>
      </c>
      <c r="E869">
        <v>0.58778359999999996</v>
      </c>
      <c r="F869" t="s">
        <v>42</v>
      </c>
      <c r="G869">
        <v>-212.9478</v>
      </c>
      <c r="H869" s="1">
        <v>-3.7383779999999999E-6</v>
      </c>
      <c r="I869">
        <v>365.49720000000002</v>
      </c>
      <c r="J869">
        <v>-221.74780000000001</v>
      </c>
      <c r="K869">
        <v>1.110341</v>
      </c>
      <c r="L869">
        <v>367.69749999999999</v>
      </c>
      <c r="M869">
        <v>0.99988480000000002</v>
      </c>
      <c r="N869">
        <v>-1.4083770000000001E-2</v>
      </c>
      <c r="O869">
        <v>-5.6587769999999898E-3</v>
      </c>
      <c r="P869">
        <v>0.95260500000000004</v>
      </c>
      <c r="Q869">
        <v>0.29751430000000001</v>
      </c>
      <c r="R869">
        <v>-6.3475359999999995E-2</v>
      </c>
      <c r="S869">
        <v>3.2214659999999999</v>
      </c>
      <c r="T869">
        <v>-0.39441280000000001</v>
      </c>
      <c r="U869">
        <v>-0.78228759999999997</v>
      </c>
      <c r="V869">
        <v>5.8483800000000002E-2</v>
      </c>
      <c r="W869">
        <v>0.31083090000000002</v>
      </c>
      <c r="X869">
        <v>0.94866419999999996</v>
      </c>
      <c r="Y869">
        <v>0.22869800000000001</v>
      </c>
      <c r="Z869">
        <v>-1.47882999999999E-2</v>
      </c>
      <c r="AA869">
        <v>0.9733851</v>
      </c>
      <c r="AB869">
        <v>28</v>
      </c>
      <c r="AC869">
        <v>8.8000000000000096</v>
      </c>
      <c r="AD869">
        <v>-1.1103447383779901</v>
      </c>
      <c r="AE869">
        <v>-2.2002999999999702</v>
      </c>
      <c r="AF869">
        <v>2.11871671039362</v>
      </c>
      <c r="AG869">
        <v>-1.1103447383779901</v>
      </c>
      <c r="AH869">
        <v>8.6822209143143798</v>
      </c>
      <c r="AI869">
        <v>97.082214471112593</v>
      </c>
      <c r="AJ869">
        <v>76.286176111910805</v>
      </c>
      <c r="AK869">
        <v>9.0057085197058697</v>
      </c>
      <c r="AL869">
        <v>71.890688188116897</v>
      </c>
      <c r="AM869">
        <v>86.472261195344501</v>
      </c>
      <c r="AN869">
        <v>0.99999998380944399</v>
      </c>
    </row>
    <row r="870" spans="1:40" x14ac:dyDescent="0.25">
      <c r="A870" t="str">
        <f>"20190304164612168"</f>
        <v>20190304164612168</v>
      </c>
      <c r="B870" t="str">
        <f>"1551689172159194"</f>
        <v>1551689172159194</v>
      </c>
      <c r="C870" t="s">
        <v>40</v>
      </c>
      <c r="D870">
        <v>4.7434010000000004</v>
      </c>
      <c r="E870">
        <v>0.58761640000000004</v>
      </c>
      <c r="F870" t="s">
        <v>42</v>
      </c>
      <c r="G870">
        <v>-212.65389999999999</v>
      </c>
      <c r="H870" s="1">
        <v>-3.8690560000000004E-6</v>
      </c>
      <c r="I870">
        <v>365.47120000000001</v>
      </c>
      <c r="J870">
        <v>-221.47190000000001</v>
      </c>
      <c r="K870">
        <v>1.1102299999999901</v>
      </c>
      <c r="L870">
        <v>367.69510000000002</v>
      </c>
      <c r="M870">
        <v>0.99987959999999998</v>
      </c>
      <c r="N870">
        <v>-1.4082239999999999E-2</v>
      </c>
      <c r="O870">
        <v>-6.5368780000000003E-3</v>
      </c>
      <c r="P870">
        <v>0.95251569999999997</v>
      </c>
      <c r="Q870">
        <v>0.29719709999999899</v>
      </c>
      <c r="R870">
        <v>-6.6241129999999995E-2</v>
      </c>
      <c r="S870">
        <v>3.2194980000000002</v>
      </c>
      <c r="T870">
        <v>-0.39309050000000001</v>
      </c>
      <c r="U870">
        <v>-0.78817749999999998</v>
      </c>
      <c r="V870">
        <v>6.0496319999999999E-2</v>
      </c>
      <c r="W870">
        <v>0.31049320000000002</v>
      </c>
      <c r="X870">
        <v>0.94864859999999895</v>
      </c>
      <c r="Y870">
        <v>0.22966790000000001</v>
      </c>
      <c r="Z870">
        <v>-1.472186E-2</v>
      </c>
      <c r="AA870">
        <v>0.97315770000000001</v>
      </c>
      <c r="AB870">
        <v>28</v>
      </c>
      <c r="AC870">
        <v>8.8180000000000103</v>
      </c>
      <c r="AD870">
        <v>-1.1102338690560001</v>
      </c>
      <c r="AE870">
        <v>-2.2239000000000102</v>
      </c>
      <c r="AF870">
        <v>2.1343931704891399</v>
      </c>
      <c r="AG870">
        <v>-1.1102338690560001</v>
      </c>
      <c r="AH870">
        <v>8.7026444781108498</v>
      </c>
      <c r="AI870">
        <v>97.063080385969798</v>
      </c>
      <c r="AJ870">
        <v>76.219754954113895</v>
      </c>
      <c r="AK870">
        <v>9.0290793751424605</v>
      </c>
      <c r="AL870">
        <v>71.911044465723506</v>
      </c>
      <c r="AM870">
        <v>86.351128809787994</v>
      </c>
      <c r="AN870">
        <v>0.99999999913087101</v>
      </c>
    </row>
    <row r="871" spans="1:40" x14ac:dyDescent="0.25">
      <c r="A871" t="str">
        <f>"20190304164612192"</f>
        <v>20190304164612192</v>
      </c>
      <c r="B871" t="str">
        <f>"1551689172178714"</f>
        <v>1551689172178714</v>
      </c>
      <c r="C871" t="s">
        <v>40</v>
      </c>
      <c r="D871">
        <v>4.7012559999999999</v>
      </c>
      <c r="E871">
        <v>0.58746299999999996</v>
      </c>
      <c r="F871" t="s">
        <v>42</v>
      </c>
      <c r="G871">
        <v>-212.34700000000001</v>
      </c>
      <c r="H871" s="1">
        <v>-4.00728E-6</v>
      </c>
      <c r="I871">
        <v>365.43439999999998</v>
      </c>
      <c r="J871">
        <v>-221.19550000000001</v>
      </c>
      <c r="K871">
        <v>1.110088</v>
      </c>
      <c r="L871">
        <v>367.69209999999998</v>
      </c>
      <c r="M871">
        <v>0.99987199999999998</v>
      </c>
      <c r="N871">
        <v>-1.4081460000000001E-2</v>
      </c>
      <c r="O871">
        <v>-7.5992209999999998E-3</v>
      </c>
      <c r="P871">
        <v>0.95218689999999995</v>
      </c>
      <c r="Q871">
        <v>0.29760199999999998</v>
      </c>
      <c r="R871">
        <v>-6.9087979999999993E-2</v>
      </c>
      <c r="S871">
        <v>3.2162320000000002</v>
      </c>
      <c r="T871">
        <v>-0.39131680000000002</v>
      </c>
      <c r="U871">
        <v>-0.79681400000000002</v>
      </c>
      <c r="V871">
        <v>6.2437149999999997E-2</v>
      </c>
      <c r="W871">
        <v>0.31087029999999999</v>
      </c>
      <c r="X871">
        <v>0.94839929999999995</v>
      </c>
      <c r="Y871">
        <v>0.2313316</v>
      </c>
      <c r="Z871">
        <v>-1.467183E-2</v>
      </c>
      <c r="AA871">
        <v>0.97276430000000003</v>
      </c>
      <c r="AB871">
        <v>28</v>
      </c>
      <c r="AC871">
        <v>8.8484999999999996</v>
      </c>
      <c r="AD871">
        <v>-1.11009200727999</v>
      </c>
      <c r="AE871">
        <v>-2.2576999999999998</v>
      </c>
      <c r="AF871">
        <v>2.1584903217634901</v>
      </c>
      <c r="AG871">
        <v>-1.11009200727999</v>
      </c>
      <c r="AH871">
        <v>8.7363061510110196</v>
      </c>
      <c r="AI871">
        <v>97.0323184484498</v>
      </c>
      <c r="AJ871">
        <v>76.121797685082797</v>
      </c>
      <c r="AK871">
        <v>9.0672173183378906</v>
      </c>
      <c r="AL871">
        <v>71.888313121851496</v>
      </c>
      <c r="AM871">
        <v>86.2334111028987</v>
      </c>
      <c r="AN871">
        <v>0.99999998668135104</v>
      </c>
    </row>
    <row r="872" spans="1:40" x14ac:dyDescent="0.25">
      <c r="A872" t="str">
        <f>"20190304164612214"</f>
        <v>20190304164612214</v>
      </c>
      <c r="B872" t="str">
        <f>"1551689172208970"</f>
        <v>1551689172208970</v>
      </c>
      <c r="C872" t="s">
        <v>40</v>
      </c>
      <c r="D872">
        <v>4.6903670000000002</v>
      </c>
      <c r="E872">
        <v>0.58719489999999996</v>
      </c>
      <c r="F872" t="s">
        <v>42</v>
      </c>
      <c r="G872">
        <v>-212.02670000000001</v>
      </c>
      <c r="H872" s="1">
        <v>-4.1520689999999998E-6</v>
      </c>
      <c r="I872">
        <v>365.39260000000002</v>
      </c>
      <c r="J872">
        <v>-220.90799999999999</v>
      </c>
      <c r="K872">
        <v>1.109923</v>
      </c>
      <c r="L872">
        <v>367.68860000000001</v>
      </c>
      <c r="M872">
        <v>0.99986109999999995</v>
      </c>
      <c r="N872">
        <v>-1.408185E-2</v>
      </c>
      <c r="O872">
        <v>-8.9342299999999996E-3</v>
      </c>
      <c r="P872">
        <v>0.95176320000000003</v>
      </c>
      <c r="Q872">
        <v>0.2981337</v>
      </c>
      <c r="R872">
        <v>-7.2551950000000004E-2</v>
      </c>
      <c r="S872">
        <v>3.2137760000000002</v>
      </c>
      <c r="T872">
        <v>-0.38909670000000002</v>
      </c>
      <c r="U872">
        <v>-0.80599980000000004</v>
      </c>
      <c r="V872">
        <v>6.4759059999999993E-2</v>
      </c>
      <c r="W872">
        <v>0.31136740000000002</v>
      </c>
      <c r="X872">
        <v>0.94808049999999999</v>
      </c>
      <c r="Y872">
        <v>0.2328374</v>
      </c>
      <c r="Z872">
        <v>-1.456497E-2</v>
      </c>
      <c r="AA872">
        <v>0.97240660000000001</v>
      </c>
      <c r="AB872">
        <v>28</v>
      </c>
      <c r="AC872">
        <v>8.88129999999998</v>
      </c>
      <c r="AD872">
        <v>-1.1099271520689999</v>
      </c>
      <c r="AE872">
        <v>-2.29599999999999</v>
      </c>
      <c r="AF872">
        <v>2.1845709160759901</v>
      </c>
      <c r="AG872">
        <v>-1.1099271520689999</v>
      </c>
      <c r="AH872">
        <v>8.7730239029321098</v>
      </c>
      <c r="AI872">
        <v>96.999009347943499</v>
      </c>
      <c r="AJ872">
        <v>76.017153701450695</v>
      </c>
      <c r="AK872">
        <v>9.1087999633147803</v>
      </c>
      <c r="AL872">
        <v>71.858344568476298</v>
      </c>
      <c r="AM872">
        <v>86.092455825030996</v>
      </c>
      <c r="AN872">
        <v>1.00000001405754</v>
      </c>
    </row>
    <row r="873" spans="1:40" x14ac:dyDescent="0.25">
      <c r="A873" t="str">
        <f>"20190304164612236"</f>
        <v>20190304164612236</v>
      </c>
      <c r="B873" t="str">
        <f>"1551689172228493"</f>
        <v>1551689172228493</v>
      </c>
      <c r="C873" t="s">
        <v>40</v>
      </c>
      <c r="D873">
        <v>4.5734130000000004</v>
      </c>
      <c r="E873">
        <v>0.58702219999999905</v>
      </c>
      <c r="F873" t="s">
        <v>42</v>
      </c>
      <c r="G873">
        <v>-211.6617</v>
      </c>
      <c r="H873" s="1">
        <v>-4.3186620000000001E-6</v>
      </c>
      <c r="I873">
        <v>365.33629999999999</v>
      </c>
      <c r="J873">
        <v>-220.6455</v>
      </c>
      <c r="K873">
        <v>1.1097600000000001</v>
      </c>
      <c r="L873">
        <v>367.68470000000002</v>
      </c>
      <c r="M873">
        <v>0.99984680000000004</v>
      </c>
      <c r="N873">
        <v>-1.4083E-2</v>
      </c>
      <c r="O873">
        <v>-1.0394850000000001E-2</v>
      </c>
      <c r="P873">
        <v>0.95142300000000002</v>
      </c>
      <c r="Q873">
        <v>0.29845389999999999</v>
      </c>
      <c r="R873">
        <v>-7.5626949999999998E-2</v>
      </c>
      <c r="S873">
        <v>3.2104949999999999</v>
      </c>
      <c r="T873">
        <v>-0.38538289999999997</v>
      </c>
      <c r="U873">
        <v>-0.81674190000000002</v>
      </c>
      <c r="V873">
        <v>6.6572679999999995E-2</v>
      </c>
      <c r="W873">
        <v>0.31165510000000002</v>
      </c>
      <c r="X873">
        <v>0.94786029999999999</v>
      </c>
      <c r="Y873">
        <v>0.23473250000000001</v>
      </c>
      <c r="Z873">
        <v>-1.4425500000000001E-2</v>
      </c>
      <c r="AA873">
        <v>0.97195299999999996</v>
      </c>
      <c r="AB873">
        <v>28</v>
      </c>
      <c r="AC873">
        <v>8.9838000000000005</v>
      </c>
      <c r="AD873">
        <v>-1.1097643186620001</v>
      </c>
      <c r="AE873">
        <v>-2.3484000000000198</v>
      </c>
      <c r="AF873">
        <v>2.2231245448415899</v>
      </c>
      <c r="AG873">
        <v>-1.1097643186620001</v>
      </c>
      <c r="AH873">
        <v>8.8808780477365907</v>
      </c>
      <c r="AI873">
        <v>96.911713864567403</v>
      </c>
      <c r="AJ873">
        <v>75.946118285693998</v>
      </c>
      <c r="AK873">
        <v>9.2219224939066802</v>
      </c>
      <c r="AL873">
        <v>71.840996888645194</v>
      </c>
      <c r="AM873">
        <v>85.982445758744305</v>
      </c>
      <c r="AN873">
        <v>0.99999998569724102</v>
      </c>
    </row>
    <row r="874" spans="1:40" x14ac:dyDescent="0.25">
      <c r="A874" t="str">
        <f>"20190304164612258"</f>
        <v>20190304164612258</v>
      </c>
      <c r="B874" t="str">
        <f>"1551689172248986"</f>
        <v>1551689172248986</v>
      </c>
      <c r="C874" t="s">
        <v>40</v>
      </c>
      <c r="D874">
        <v>4.6097130000000002</v>
      </c>
      <c r="E874">
        <v>0.58689250000000004</v>
      </c>
      <c r="F874" t="s">
        <v>42</v>
      </c>
      <c r="G874">
        <v>-211.35290000000001</v>
      </c>
      <c r="H874" s="1">
        <v>-4.4590400000000003E-6</v>
      </c>
      <c r="I874">
        <v>365.29180000000002</v>
      </c>
      <c r="J874">
        <v>-220.37090000000001</v>
      </c>
      <c r="K874">
        <v>1.109599</v>
      </c>
      <c r="L874">
        <v>367.67989999999998</v>
      </c>
      <c r="M874">
        <v>0.99982729999999997</v>
      </c>
      <c r="N874">
        <v>-1.4084640000000001E-2</v>
      </c>
      <c r="O874">
        <v>-1.213035E-2</v>
      </c>
      <c r="P874">
        <v>0.9511307</v>
      </c>
      <c r="Q874">
        <v>0.29890050000000001</v>
      </c>
      <c r="R874">
        <v>-7.7517589999999997E-2</v>
      </c>
      <c r="S874">
        <v>3.207703</v>
      </c>
      <c r="T874">
        <v>-0.38307540000000001</v>
      </c>
      <c r="U874">
        <v>-0.82598879999999997</v>
      </c>
      <c r="V874">
        <v>6.6937679999999999E-2</v>
      </c>
      <c r="W874">
        <v>0.31207420000000002</v>
      </c>
      <c r="X874">
        <v>0.94769669999999895</v>
      </c>
      <c r="Y874">
        <v>0.23589570000000001</v>
      </c>
      <c r="Z874">
        <v>-1.425481E-2</v>
      </c>
      <c r="AA874">
        <v>0.97167380000000003</v>
      </c>
      <c r="AB874">
        <v>28</v>
      </c>
      <c r="AC874">
        <v>9.01799999999999</v>
      </c>
      <c r="AD874">
        <v>-1.1096034590399999</v>
      </c>
      <c r="AE874">
        <v>-2.3880999999999499</v>
      </c>
      <c r="AF874">
        <v>2.2467362073002901</v>
      </c>
      <c r="AG874">
        <v>-1.1096034590399999</v>
      </c>
      <c r="AH874">
        <v>8.9201104161651408</v>
      </c>
      <c r="AI874">
        <v>96.878130881597201</v>
      </c>
      <c r="AJ874">
        <v>75.862791312819994</v>
      </c>
      <c r="AK874">
        <v>9.2653879173019806</v>
      </c>
      <c r="AL874">
        <v>71.815723986290095</v>
      </c>
      <c r="AM874">
        <v>85.959796290211997</v>
      </c>
      <c r="AN874">
        <v>0.99999999725015598</v>
      </c>
    </row>
    <row r="875" spans="1:40" x14ac:dyDescent="0.25">
      <c r="A875" t="str">
        <f>"20190304164612281"</f>
        <v>20190304164612281</v>
      </c>
      <c r="B875" t="str">
        <f>"1551689172268507"</f>
        <v>1551689172268507</v>
      </c>
      <c r="C875" t="s">
        <v>40</v>
      </c>
      <c r="D875">
        <v>4.7057989999999998</v>
      </c>
      <c r="E875">
        <v>0.5867599</v>
      </c>
      <c r="F875" t="s">
        <v>42</v>
      </c>
      <c r="G875">
        <v>-211.04570000000001</v>
      </c>
      <c r="H875" s="1">
        <v>-4.5960499999999998E-6</v>
      </c>
      <c r="I875">
        <v>365.26229999999998</v>
      </c>
      <c r="J875">
        <v>-220.0889</v>
      </c>
      <c r="K875">
        <v>1.10945</v>
      </c>
      <c r="L875">
        <v>367.67439999999999</v>
      </c>
      <c r="M875">
        <v>0.99980080000000005</v>
      </c>
      <c r="N875">
        <v>-1.408616E-2</v>
      </c>
      <c r="O875">
        <v>-1.41461E-2</v>
      </c>
      <c r="P875">
        <v>0.95066700000000004</v>
      </c>
      <c r="Q875">
        <v>0.29942619999999998</v>
      </c>
      <c r="R875">
        <v>-8.1094700000000006E-2</v>
      </c>
      <c r="S875">
        <v>3.2062840000000001</v>
      </c>
      <c r="T875">
        <v>-0.3815094</v>
      </c>
      <c r="U875">
        <v>-0.83123780000000003</v>
      </c>
      <c r="V875">
        <v>6.8723049999999994E-2</v>
      </c>
      <c r="W875">
        <v>0.3125657</v>
      </c>
      <c r="X875">
        <v>0.94740690000000005</v>
      </c>
      <c r="Y875">
        <v>0.23555770000000001</v>
      </c>
      <c r="Z875">
        <v>-1.3978539999999999E-2</v>
      </c>
      <c r="AA875">
        <v>0.97175990000000001</v>
      </c>
      <c r="AB875">
        <v>28</v>
      </c>
      <c r="AC875">
        <v>9.0431999999999793</v>
      </c>
      <c r="AD875">
        <v>-1.10945459605</v>
      </c>
      <c r="AE875">
        <v>-2.4121000000000001</v>
      </c>
      <c r="AF875">
        <v>2.2522718326523701</v>
      </c>
      <c r="AG875">
        <v>-1.10945459605</v>
      </c>
      <c r="AH875">
        <v>8.9506490189637802</v>
      </c>
      <c r="AI875">
        <v>96.854363452186405</v>
      </c>
      <c r="AJ875">
        <v>75.875771310437798</v>
      </c>
      <c r="AK875">
        <v>9.2961140144435106</v>
      </c>
      <c r="AL875">
        <v>71.786080373017896</v>
      </c>
      <c r="AM875">
        <v>85.851142419638293</v>
      </c>
      <c r="AN875">
        <v>1.0000000042927</v>
      </c>
    </row>
    <row r="876" spans="1:40" x14ac:dyDescent="0.25">
      <c r="A876" t="str">
        <f>"20190304164612305"</f>
        <v>20190304164612305</v>
      </c>
      <c r="B876" t="str">
        <f>"1551689172298762"</f>
        <v>1551689172298762</v>
      </c>
      <c r="C876" t="s">
        <v>40</v>
      </c>
      <c r="D876">
        <v>4.7635180000000004</v>
      </c>
      <c r="E876">
        <v>0.58656450000000004</v>
      </c>
      <c r="F876" t="s">
        <v>42</v>
      </c>
      <c r="G876">
        <v>-210.72380000000001</v>
      </c>
      <c r="H876" s="1">
        <v>-4.7433650000000003E-6</v>
      </c>
      <c r="I876">
        <v>365.21019999999999</v>
      </c>
      <c r="J876">
        <v>-219.7987</v>
      </c>
      <c r="K876">
        <v>1.109283</v>
      </c>
      <c r="L876">
        <v>367.6678</v>
      </c>
      <c r="M876">
        <v>0.99976500000000001</v>
      </c>
      <c r="N876">
        <v>-1.408823E-2</v>
      </c>
      <c r="O876">
        <v>-1.6483629999999999E-2</v>
      </c>
      <c r="P876">
        <v>0.95028500000000005</v>
      </c>
      <c r="Q876">
        <v>0.29956389999999999</v>
      </c>
      <c r="R876">
        <v>-8.4972800000000001E-2</v>
      </c>
      <c r="S876">
        <v>3.2032780000000001</v>
      </c>
      <c r="T876">
        <v>-0.37948130000000002</v>
      </c>
      <c r="U876">
        <v>-0.84286499999999998</v>
      </c>
      <c r="V876">
        <v>7.0509299999999997E-2</v>
      </c>
      <c r="W876">
        <v>0.31266850000000002</v>
      </c>
      <c r="X876">
        <v>0.94724169999999996</v>
      </c>
      <c r="Y876">
        <v>0.2368277</v>
      </c>
      <c r="Z876">
        <v>-1.376517E-2</v>
      </c>
      <c r="AA876">
        <v>0.97145409999999999</v>
      </c>
      <c r="AB876">
        <v>27</v>
      </c>
      <c r="AC876">
        <v>9.07489999999998</v>
      </c>
      <c r="AD876">
        <v>-1.1092877433649999</v>
      </c>
      <c r="AE876">
        <v>-2.45760000000001</v>
      </c>
      <c r="AF876">
        <v>2.2759801996195002</v>
      </c>
      <c r="AG876">
        <v>-1.1092877433649999</v>
      </c>
      <c r="AH876">
        <v>8.98904531148799</v>
      </c>
      <c r="AI876">
        <v>96.821839153095397</v>
      </c>
      <c r="AJ876">
        <v>75.791601453261293</v>
      </c>
      <c r="AK876">
        <v>9.3388190248352103</v>
      </c>
      <c r="AL876">
        <v>71.7798794077233</v>
      </c>
      <c r="AM876">
        <v>85.742957011881103</v>
      </c>
      <c r="AN876">
        <v>0.999999995248814</v>
      </c>
    </row>
    <row r="877" spans="1:40" x14ac:dyDescent="0.25">
      <c r="A877" t="str">
        <f>"20190304164612326"</f>
        <v>20190304164612326</v>
      </c>
      <c r="B877" t="str">
        <f>"1551689172318282"</f>
        <v>1551689172318282</v>
      </c>
      <c r="C877" t="s">
        <v>40</v>
      </c>
      <c r="D877">
        <v>4.626595</v>
      </c>
      <c r="E877">
        <v>0.58641999999999905</v>
      </c>
      <c r="F877" t="s">
        <v>42</v>
      </c>
      <c r="G877">
        <v>-210.4314</v>
      </c>
      <c r="H877" s="1">
        <v>-4.8764649999999999E-6</v>
      </c>
      <c r="I877">
        <v>365.1671</v>
      </c>
      <c r="J877">
        <v>-219.54089999999999</v>
      </c>
      <c r="K877">
        <v>1.1091150000000001</v>
      </c>
      <c r="L877">
        <v>367.66109999999998</v>
      </c>
      <c r="M877">
        <v>0.9997241</v>
      </c>
      <c r="N877">
        <v>-1.4091340000000001E-2</v>
      </c>
      <c r="O877">
        <v>-1.8792650000000001E-2</v>
      </c>
      <c r="P877">
        <v>0.94987849999999996</v>
      </c>
      <c r="Q877">
        <v>0.29937970000000003</v>
      </c>
      <c r="R877">
        <v>-9.0018029999999999E-2</v>
      </c>
      <c r="S877">
        <v>3.200027</v>
      </c>
      <c r="T877">
        <v>-0.37894670000000003</v>
      </c>
      <c r="U877">
        <v>-0.85424800000000001</v>
      </c>
      <c r="V877">
        <v>7.3485220000000004E-2</v>
      </c>
      <c r="W877">
        <v>0.31244569999999999</v>
      </c>
      <c r="X877">
        <v>0.94708899999999996</v>
      </c>
      <c r="Y877">
        <v>0.23806179999999999</v>
      </c>
      <c r="Z877">
        <v>-1.3600889999999999E-2</v>
      </c>
      <c r="AA877">
        <v>0.97115479999999998</v>
      </c>
      <c r="AB877">
        <v>27</v>
      </c>
      <c r="AC877">
        <v>9.1094999999999899</v>
      </c>
      <c r="AD877">
        <v>-1.1091198764650001</v>
      </c>
      <c r="AE877">
        <v>-2.49399999999997</v>
      </c>
      <c r="AF877">
        <v>2.2907602959015598</v>
      </c>
      <c r="AG877">
        <v>-1.1091198764650001</v>
      </c>
      <c r="AH877">
        <v>9.0302338022610407</v>
      </c>
      <c r="AI877">
        <v>96.789224865198406</v>
      </c>
      <c r="AJ877">
        <v>75.765658738715899</v>
      </c>
      <c r="AK877">
        <v>9.3820494646503896</v>
      </c>
      <c r="AL877">
        <v>71.793317982961199</v>
      </c>
      <c r="AM877">
        <v>85.563274337867696</v>
      </c>
      <c r="AN877">
        <v>0.99999998346396901</v>
      </c>
    </row>
    <row r="878" spans="1:40" x14ac:dyDescent="0.25">
      <c r="A878" t="str">
        <f>"20190304164612347"</f>
        <v>20190304164612347</v>
      </c>
      <c r="B878" t="str">
        <f>"1551689172338778"</f>
        <v>1551689172338778</v>
      </c>
      <c r="C878" t="s">
        <v>40</v>
      </c>
      <c r="D878">
        <v>4.6344919999999998</v>
      </c>
      <c r="E878">
        <v>0.58627559999999901</v>
      </c>
      <c r="F878" t="s">
        <v>42</v>
      </c>
      <c r="G878">
        <v>-210.22030000000001</v>
      </c>
      <c r="H878" s="1">
        <v>-4.9747379999999998E-6</v>
      </c>
      <c r="I878">
        <v>365.12360000000001</v>
      </c>
      <c r="J878">
        <v>-219.2689</v>
      </c>
      <c r="K878">
        <v>1.1089290000000001</v>
      </c>
      <c r="L878">
        <v>367.65320000000003</v>
      </c>
      <c r="M878">
        <v>0.99967030000000001</v>
      </c>
      <c r="N878">
        <v>-1.409608E-2</v>
      </c>
      <c r="O878">
        <v>-2.1466200000000001E-2</v>
      </c>
      <c r="P878">
        <v>0.94925119999999996</v>
      </c>
      <c r="Q878">
        <v>0.299568</v>
      </c>
      <c r="R878">
        <v>-9.5820310000000006E-2</v>
      </c>
      <c r="S878">
        <v>3.1956790000000002</v>
      </c>
      <c r="T878">
        <v>-0.38027119999999998</v>
      </c>
      <c r="U878">
        <v>-0.87002559999999995</v>
      </c>
      <c r="V878">
        <v>7.6895519999999995E-2</v>
      </c>
      <c r="W878">
        <v>0.31258560000000002</v>
      </c>
      <c r="X878">
        <v>0.94677199999999995</v>
      </c>
      <c r="Y878">
        <v>0.24024870000000001</v>
      </c>
      <c r="Z878">
        <v>-1.3519990000000001E-2</v>
      </c>
      <c r="AA878">
        <v>0.97061719999999896</v>
      </c>
      <c r="AB878">
        <v>27</v>
      </c>
      <c r="AC878">
        <v>9.0485999999999898</v>
      </c>
      <c r="AD878">
        <v>-1.108933974738</v>
      </c>
      <c r="AE878">
        <v>-2.5296000000000101</v>
      </c>
      <c r="AF878">
        <v>2.3026810283318699</v>
      </c>
      <c r="AG878">
        <v>-1.108933974738</v>
      </c>
      <c r="AH878">
        <v>8.9757831707322602</v>
      </c>
      <c r="AI878">
        <v>96.824245458484398</v>
      </c>
      <c r="AJ878">
        <v>75.611429138242102</v>
      </c>
      <c r="AK878">
        <v>9.3325643853427707</v>
      </c>
      <c r="AL878">
        <v>71.784879002234305</v>
      </c>
      <c r="AM878">
        <v>85.356707445922893</v>
      </c>
      <c r="AN878">
        <v>0.99999994915371304</v>
      </c>
    </row>
    <row r="879" spans="1:40" x14ac:dyDescent="0.25">
      <c r="A879" t="str">
        <f>"20190304164612370"</f>
        <v>20190304164612370</v>
      </c>
      <c r="B879" t="str">
        <f>"1551689172358298"</f>
        <v>1551689172358298</v>
      </c>
      <c r="C879" t="s">
        <v>40</v>
      </c>
      <c r="D879">
        <v>4.6388400000000001</v>
      </c>
      <c r="E879">
        <v>0.58614409999999995</v>
      </c>
      <c r="F879" t="s">
        <v>44</v>
      </c>
      <c r="G879">
        <v>-209.95140000000001</v>
      </c>
      <c r="H879" s="1">
        <v>-5.981E-6</v>
      </c>
      <c r="I879">
        <v>365.0566</v>
      </c>
      <c r="J879">
        <v>-218.98750000000001</v>
      </c>
      <c r="K879">
        <v>1.1087279999999999</v>
      </c>
      <c r="L879">
        <v>367.64389999999997</v>
      </c>
      <c r="M879">
        <v>0.99960090000000001</v>
      </c>
      <c r="N879">
        <v>-1.4102150000000001E-2</v>
      </c>
      <c r="O879">
        <v>-2.4481429999999998E-2</v>
      </c>
      <c r="P879">
        <v>0.94869809999999999</v>
      </c>
      <c r="Q879">
        <v>0.29903980000000002</v>
      </c>
      <c r="R879">
        <v>-0.1027004</v>
      </c>
      <c r="S879">
        <v>3.1904750000000002</v>
      </c>
      <c r="T879">
        <v>-0.37971969999999999</v>
      </c>
      <c r="U879">
        <v>-0.88912959999999996</v>
      </c>
      <c r="V879">
        <v>8.1064310000000001E-2</v>
      </c>
      <c r="W879">
        <v>0.31200309999999998</v>
      </c>
      <c r="X879">
        <v>0.94661640000000002</v>
      </c>
      <c r="Y879">
        <v>0.24312030000000001</v>
      </c>
      <c r="Z879">
        <v>-1.33937E-2</v>
      </c>
      <c r="AA879">
        <v>0.96990359999999998</v>
      </c>
      <c r="AB879">
        <v>27</v>
      </c>
      <c r="AC879">
        <v>9.0360999999999994</v>
      </c>
      <c r="AD879">
        <v>-1.1087339809999901</v>
      </c>
      <c r="AE879">
        <v>-2.5872999999999702</v>
      </c>
      <c r="AF879">
        <v>2.3328253622151101</v>
      </c>
      <c r="AG879">
        <v>-1.1087339809999901</v>
      </c>
      <c r="AH879">
        <v>8.9718976741941301</v>
      </c>
      <c r="AI879">
        <v>96.820273152143002</v>
      </c>
      <c r="AJ879">
        <v>75.424994408916007</v>
      </c>
      <c r="AK879">
        <v>9.3362901137137104</v>
      </c>
      <c r="AL879">
        <v>71.820011537094999</v>
      </c>
      <c r="AM879">
        <v>85.105368236191197</v>
      </c>
      <c r="AN879">
        <v>0.99999998275717294</v>
      </c>
    </row>
    <row r="880" spans="1:40" x14ac:dyDescent="0.25">
      <c r="A880" t="str">
        <f>"20190304164612393"</f>
        <v>20190304164612393</v>
      </c>
      <c r="B880" t="str">
        <f>"1551689172388554"</f>
        <v>1551689172388554</v>
      </c>
      <c r="C880" t="s">
        <v>40</v>
      </c>
      <c r="D880">
        <v>4.6461309999999996</v>
      </c>
      <c r="E880">
        <v>0.58593439999999997</v>
      </c>
      <c r="F880" t="s">
        <v>44</v>
      </c>
      <c r="G880">
        <v>-209.7509</v>
      </c>
      <c r="H880" s="1">
        <v>-5.9221969999999999E-6</v>
      </c>
      <c r="I880">
        <v>365.0034</v>
      </c>
      <c r="J880">
        <v>-218.7139</v>
      </c>
      <c r="K880">
        <v>1.1085430000000001</v>
      </c>
      <c r="L880">
        <v>367.63380000000001</v>
      </c>
      <c r="M880">
        <v>0.99951800000000002</v>
      </c>
      <c r="N880">
        <v>-1.410863E-2</v>
      </c>
      <c r="O880">
        <v>-2.765842E-2</v>
      </c>
      <c r="P880">
        <v>0.94810609999999995</v>
      </c>
      <c r="Q880">
        <v>0.29842410000000003</v>
      </c>
      <c r="R880">
        <v>-0.1097187</v>
      </c>
      <c r="S880">
        <v>3.1841889999999999</v>
      </c>
      <c r="T880">
        <v>-0.38221939999999999</v>
      </c>
      <c r="U880">
        <v>-0.91027829999999998</v>
      </c>
      <c r="V880">
        <v>8.5210229999999998E-2</v>
      </c>
      <c r="W880">
        <v>0.31133260000000001</v>
      </c>
      <c r="X880">
        <v>0.94647309999999996</v>
      </c>
      <c r="Y880">
        <v>0.24646650000000001</v>
      </c>
      <c r="Z880">
        <v>-1.3373950000000001E-2</v>
      </c>
      <c r="AA880">
        <v>0.96905909999999995</v>
      </c>
      <c r="AB880">
        <v>27</v>
      </c>
      <c r="AC880">
        <v>8.9629999999999903</v>
      </c>
      <c r="AD880">
        <v>-1.108548922197</v>
      </c>
      <c r="AE880">
        <v>-2.6303999999999998</v>
      </c>
      <c r="AF880">
        <v>2.3483919475213102</v>
      </c>
      <c r="AG880">
        <v>-1.108548922197</v>
      </c>
      <c r="AH880">
        <v>8.9068867233411204</v>
      </c>
      <c r="AI880">
        <v>96.862370070770694</v>
      </c>
      <c r="AJ880">
        <v>75.229522026714804</v>
      </c>
      <c r="AK880">
        <v>9.2777398408511793</v>
      </c>
      <c r="AL880">
        <v>71.860443427103206</v>
      </c>
      <c r="AM880">
        <v>84.855575012573297</v>
      </c>
      <c r="AN880">
        <v>1.00000005007151</v>
      </c>
    </row>
    <row r="881" spans="1:40" x14ac:dyDescent="0.25">
      <c r="A881" t="str">
        <f>"20190304164612411"</f>
        <v>20190304164612411</v>
      </c>
      <c r="B881" t="str">
        <f>"1551689172398314"</f>
        <v>1551689172398314</v>
      </c>
      <c r="C881" t="s">
        <v>40</v>
      </c>
      <c r="D881">
        <v>4.6575939999999996</v>
      </c>
      <c r="E881">
        <v>0.58590149999999996</v>
      </c>
      <c r="F881" t="s">
        <v>44</v>
      </c>
      <c r="G881">
        <v>-209.58600000000001</v>
      </c>
      <c r="H881" s="1">
        <v>-5.8735039999999999E-6</v>
      </c>
      <c r="I881">
        <v>364.96179999999998</v>
      </c>
      <c r="J881">
        <v>-218.49440000000001</v>
      </c>
      <c r="K881">
        <v>1.108409</v>
      </c>
      <c r="L881">
        <v>367.62479999999999</v>
      </c>
      <c r="M881">
        <v>0.99943859999999995</v>
      </c>
      <c r="N881">
        <v>-1.4114109999999999E-2</v>
      </c>
      <c r="O881">
        <v>-3.0388979999999999E-2</v>
      </c>
      <c r="P881">
        <v>0.94756359999999995</v>
      </c>
      <c r="Q881">
        <v>0.29823830000000001</v>
      </c>
      <c r="R881">
        <v>-0.1147931</v>
      </c>
      <c r="S881">
        <v>3.1780400000000002</v>
      </c>
      <c r="T881">
        <v>-0.38596259999999999</v>
      </c>
      <c r="U881">
        <v>-0.93032840000000006</v>
      </c>
      <c r="V881">
        <v>8.7803870000000006E-2</v>
      </c>
      <c r="W881">
        <v>0.31110640000000001</v>
      </c>
      <c r="X881">
        <v>0.94631030000000005</v>
      </c>
      <c r="Y881">
        <v>0.24990960000000001</v>
      </c>
      <c r="Z881">
        <v>-1.344031E-2</v>
      </c>
      <c r="AA881">
        <v>0.96817589999999998</v>
      </c>
      <c r="AB881">
        <v>27</v>
      </c>
      <c r="AC881">
        <v>8.9084000000000305</v>
      </c>
      <c r="AD881">
        <v>-1.108414873504</v>
      </c>
      <c r="AE881">
        <v>-2.66300000000001</v>
      </c>
      <c r="AF881">
        <v>2.35752225436284</v>
      </c>
      <c r="AG881">
        <v>-1.108414873504</v>
      </c>
      <c r="AH881">
        <v>8.8593163089506692</v>
      </c>
      <c r="AI881">
        <v>96.893902102708395</v>
      </c>
      <c r="AJ881">
        <v>75.098547765971404</v>
      </c>
      <c r="AK881">
        <v>9.2343911642111198</v>
      </c>
      <c r="AL881">
        <v>71.874079081879003</v>
      </c>
      <c r="AM881">
        <v>84.698960423395604</v>
      </c>
      <c r="AN881">
        <v>0.99999994779701196</v>
      </c>
    </row>
    <row r="882" spans="1:40" x14ac:dyDescent="0.25">
      <c r="A882" t="str">
        <f>"20190304164612425"</f>
        <v>20190304164612425</v>
      </c>
      <c r="B882" t="str">
        <f>"1551689172418811"</f>
        <v>1551689172418811</v>
      </c>
      <c r="C882" t="s">
        <v>40</v>
      </c>
      <c r="D882">
        <v>4.8392609999999996</v>
      </c>
      <c r="E882">
        <v>0.58594199999999996</v>
      </c>
      <c r="F882" t="s">
        <v>44</v>
      </c>
      <c r="G882">
        <v>-209.41419999999999</v>
      </c>
      <c r="H882" s="1">
        <v>-5.8224140000000003E-6</v>
      </c>
      <c r="I882">
        <v>364.9205</v>
      </c>
      <c r="J882">
        <v>-218.31139999999999</v>
      </c>
      <c r="K882">
        <v>1.108311</v>
      </c>
      <c r="L882">
        <v>367.61680000000001</v>
      </c>
      <c r="M882">
        <v>0.99936290000000005</v>
      </c>
      <c r="N882">
        <v>-1.41187E-2</v>
      </c>
      <c r="O882">
        <v>-3.2777880000000002E-2</v>
      </c>
      <c r="P882">
        <v>0.94684369999999995</v>
      </c>
      <c r="Q882">
        <v>0.297745599999999</v>
      </c>
      <c r="R882">
        <v>-0.1217983</v>
      </c>
      <c r="S882">
        <v>3.1734619999999998</v>
      </c>
      <c r="T882">
        <v>-0.38738080000000003</v>
      </c>
      <c r="U882">
        <v>-0.94512940000000001</v>
      </c>
      <c r="V882">
        <v>9.2632919999999994E-2</v>
      </c>
      <c r="W882">
        <v>0.3105617</v>
      </c>
      <c r="X882">
        <v>0.94602889999999995</v>
      </c>
      <c r="Y882">
        <v>0.25210729999999998</v>
      </c>
      <c r="Z882">
        <v>-1.3387319999999999E-2</v>
      </c>
      <c r="AA882">
        <v>0.96760670000000004</v>
      </c>
      <c r="AB882">
        <v>27</v>
      </c>
      <c r="AC882">
        <v>8.8971999999999891</v>
      </c>
      <c r="AD882">
        <v>-1.1083168224140001</v>
      </c>
      <c r="AE882">
        <v>-2.6962999999999999</v>
      </c>
      <c r="AF882">
        <v>2.3695143583888698</v>
      </c>
      <c r="AG882">
        <v>-1.1083168224140001</v>
      </c>
      <c r="AH882">
        <v>8.8549573253714104</v>
      </c>
      <c r="AI882">
        <v>96.894132068613402</v>
      </c>
      <c r="AJ882">
        <v>75.019104732847893</v>
      </c>
      <c r="AK882">
        <v>9.2332677697338408</v>
      </c>
      <c r="AL882">
        <v>71.906916609354496</v>
      </c>
      <c r="AM882">
        <v>84.407560038792894</v>
      </c>
      <c r="AN882">
        <v>1.0000000535049101</v>
      </c>
    </row>
    <row r="883" spans="1:40" x14ac:dyDescent="0.25">
      <c r="A883" t="str">
        <f>"20190304164612448"</f>
        <v>20190304164612448</v>
      </c>
      <c r="B883" t="str">
        <f>"1551689172438330"</f>
        <v>1551689172438330</v>
      </c>
      <c r="C883" t="s">
        <v>40</v>
      </c>
      <c r="D883">
        <v>4.796227</v>
      </c>
      <c r="E883">
        <v>0.59585109999999997</v>
      </c>
      <c r="F883" t="s">
        <v>44</v>
      </c>
      <c r="G883">
        <v>-209.3192</v>
      </c>
      <c r="H883" s="1">
        <v>-5.7981740000000004E-6</v>
      </c>
      <c r="I883">
        <v>364.8723</v>
      </c>
      <c r="J883">
        <v>-218.03880000000001</v>
      </c>
      <c r="K883">
        <v>1.1081700000000001</v>
      </c>
      <c r="L883">
        <v>367.60390000000001</v>
      </c>
      <c r="M883">
        <v>0.99923439999999997</v>
      </c>
      <c r="N883">
        <v>-1.412535E-2</v>
      </c>
      <c r="O883">
        <v>-3.6484860000000001E-2</v>
      </c>
      <c r="P883">
        <v>0.94595890000000005</v>
      </c>
      <c r="Q883">
        <v>0.29737340000000001</v>
      </c>
      <c r="R883">
        <v>-0.12934780000000001</v>
      </c>
      <c r="S883">
        <v>3.1668400000000001</v>
      </c>
      <c r="T883">
        <v>-0.3903258</v>
      </c>
      <c r="U883">
        <v>-0.96655270000000004</v>
      </c>
      <c r="V883">
        <v>9.6789E-2</v>
      </c>
      <c r="W883">
        <v>0.3101332</v>
      </c>
      <c r="X883">
        <v>0.94575330000000002</v>
      </c>
      <c r="Y883">
        <v>0.25504080000000001</v>
      </c>
      <c r="Z883">
        <v>-1.329027E-2</v>
      </c>
      <c r="AA883">
        <v>0.966839</v>
      </c>
      <c r="AB883">
        <v>27</v>
      </c>
      <c r="AC883">
        <v>8.7196000000000105</v>
      </c>
      <c r="AD883">
        <v>-1.1081757981739999</v>
      </c>
      <c r="AE883">
        <v>-2.73160000000001</v>
      </c>
      <c r="AF883">
        <v>2.3766588650661702</v>
      </c>
      <c r="AG883">
        <v>-1.1081757981739999</v>
      </c>
      <c r="AH883">
        <v>8.68571200049319</v>
      </c>
      <c r="AI883">
        <v>97.015671842155399</v>
      </c>
      <c r="AJ883">
        <v>74.696827432980399</v>
      </c>
      <c r="AK883">
        <v>9.0729352425809608</v>
      </c>
      <c r="AL883">
        <v>71.932742234432098</v>
      </c>
      <c r="AM883">
        <v>84.156656761258006</v>
      </c>
      <c r="AN883">
        <v>1.0000000083620599</v>
      </c>
    </row>
    <row r="884" spans="1:40" x14ac:dyDescent="0.25">
      <c r="A884" t="str">
        <f>"20190304164612471"</f>
        <v>20190304164612471</v>
      </c>
      <c r="B884" t="str">
        <f>"1551689172468587"</f>
        <v>1551689172468587</v>
      </c>
      <c r="C884" t="s">
        <v>40</v>
      </c>
      <c r="D884">
        <v>4.8161659999999999</v>
      </c>
      <c r="E884">
        <v>0.59462839999999995</v>
      </c>
      <c r="F884" t="s">
        <v>42</v>
      </c>
      <c r="G884">
        <v>-211.20859999999999</v>
      </c>
      <c r="H884" s="1">
        <v>-4.5141170000000004E-6</v>
      </c>
      <c r="I884">
        <v>365.33019999999999</v>
      </c>
      <c r="J884">
        <v>-217.76310000000001</v>
      </c>
      <c r="K884">
        <v>1.108039</v>
      </c>
      <c r="L884">
        <v>367.58949999999999</v>
      </c>
      <c r="M884">
        <v>0.99908359999999996</v>
      </c>
      <c r="N884">
        <v>-1.413173E-2</v>
      </c>
      <c r="O884">
        <v>-4.040407E-2</v>
      </c>
      <c r="P884">
        <v>0.94468079999999999</v>
      </c>
      <c r="Q884">
        <v>0.29828880000000002</v>
      </c>
      <c r="R884">
        <v>-0.13639039999999999</v>
      </c>
      <c r="S884">
        <v>3.1888890000000001</v>
      </c>
      <c r="T884">
        <v>-0.51738019999999996</v>
      </c>
      <c r="U884">
        <v>-1.061523</v>
      </c>
      <c r="V884">
        <v>0.10024909999999999</v>
      </c>
      <c r="W884">
        <v>0.31099359999999998</v>
      </c>
      <c r="X884">
        <v>0.94511009999999995</v>
      </c>
      <c r="Y884">
        <v>0.274113</v>
      </c>
      <c r="Z884">
        <v>-1.774361E-2</v>
      </c>
      <c r="AA884">
        <v>0.96153379999999999</v>
      </c>
      <c r="AB884">
        <v>27</v>
      </c>
      <c r="AC884">
        <v>6.5545000000000098</v>
      </c>
      <c r="AD884">
        <v>-1.108043514117</v>
      </c>
      <c r="AE884">
        <v>-2.2592999999999899</v>
      </c>
      <c r="AF884">
        <v>1.9429700358097399</v>
      </c>
      <c r="AG884">
        <v>-1.108043514117</v>
      </c>
      <c r="AH884">
        <v>6.4750468246756903</v>
      </c>
      <c r="AI884">
        <v>99.308298988196498</v>
      </c>
      <c r="AJ884">
        <v>73.2970540882921</v>
      </c>
      <c r="AK884">
        <v>6.8504835136634004</v>
      </c>
      <c r="AL884">
        <v>71.880880386441802</v>
      </c>
      <c r="AM884">
        <v>83.945199623879603</v>
      </c>
      <c r="AN884">
        <v>1.0000000012068899</v>
      </c>
    </row>
    <row r="885" spans="1:40" x14ac:dyDescent="0.25">
      <c r="A885" t="str">
        <f>"20190304164612494"</f>
        <v>20190304164612494</v>
      </c>
      <c r="B885" t="str">
        <f>"1551689172489082"</f>
        <v>1551689172489082</v>
      </c>
      <c r="C885" t="s">
        <v>40</v>
      </c>
      <c r="D885">
        <v>4.8220340000000004</v>
      </c>
      <c r="E885">
        <v>0.59279839999999995</v>
      </c>
      <c r="F885" t="s">
        <v>42</v>
      </c>
      <c r="G885">
        <v>-211.12450000000001</v>
      </c>
      <c r="H885" s="1">
        <v>-4.5473149999999998E-6</v>
      </c>
      <c r="I885">
        <v>365.34649999999999</v>
      </c>
      <c r="J885">
        <v>-217.4785</v>
      </c>
      <c r="K885">
        <v>1.1079319999999999</v>
      </c>
      <c r="L885">
        <v>367.57350000000002</v>
      </c>
      <c r="M885">
        <v>0.99890469999999998</v>
      </c>
      <c r="N885">
        <v>-1.4137739999999999E-2</v>
      </c>
      <c r="O885">
        <v>-4.4603789999999997E-2</v>
      </c>
      <c r="P885">
        <v>0.94355109999999998</v>
      </c>
      <c r="Q885">
        <v>0.29851549999999999</v>
      </c>
      <c r="R885">
        <v>-0.14352690000000001</v>
      </c>
      <c r="S885">
        <v>3.1881560000000002</v>
      </c>
      <c r="T885">
        <v>-0.53212289999999995</v>
      </c>
      <c r="U885">
        <v>-1.0771790000000001</v>
      </c>
      <c r="V885">
        <v>0.1035201</v>
      </c>
      <c r="W885">
        <v>0.31117070000000002</v>
      </c>
      <c r="X885">
        <v>0.94469910000000001</v>
      </c>
      <c r="Y885">
        <v>0.27426220000000001</v>
      </c>
      <c r="Z885">
        <v>-1.7561420000000001E-2</v>
      </c>
      <c r="AA885">
        <v>0.96149459999999998</v>
      </c>
      <c r="AB885">
        <v>27</v>
      </c>
      <c r="AC885">
        <v>6.3539999999999797</v>
      </c>
      <c r="AD885">
        <v>-1.107936547315</v>
      </c>
      <c r="AE885">
        <v>-2.2270000000000301</v>
      </c>
      <c r="AF885">
        <v>1.8901605414503</v>
      </c>
      <c r="AG885">
        <v>-1.107936547315</v>
      </c>
      <c r="AH885">
        <v>6.2770475442510199</v>
      </c>
      <c r="AI885">
        <v>99.592894416211806</v>
      </c>
      <c r="AJ885">
        <v>73.241767424030598</v>
      </c>
      <c r="AK885">
        <v>6.6484250870502999</v>
      </c>
      <c r="AL885">
        <v>71.870203577627393</v>
      </c>
      <c r="AM885">
        <v>83.746480766563295</v>
      </c>
      <c r="AN885">
        <v>1.00000000259165</v>
      </c>
    </row>
    <row r="886" spans="1:40" x14ac:dyDescent="0.25">
      <c r="A886" t="str">
        <f>"20190304164612516"</f>
        <v>20190304164612516</v>
      </c>
      <c r="B886" t="str">
        <f>"1551689172508602"</f>
        <v>1551689172508602</v>
      </c>
      <c r="C886" t="s">
        <v>40</v>
      </c>
      <c r="D886">
        <v>4.8347119999999997</v>
      </c>
      <c r="E886">
        <v>0.5926458</v>
      </c>
      <c r="F886" t="s">
        <v>42</v>
      </c>
      <c r="G886">
        <v>-211.11179999999999</v>
      </c>
      <c r="H886" s="1">
        <v>-4.5423550000000002E-6</v>
      </c>
      <c r="I886">
        <v>365.40519999999998</v>
      </c>
      <c r="J886">
        <v>-217.21029999999999</v>
      </c>
      <c r="K886">
        <v>1.107839</v>
      </c>
      <c r="L886">
        <v>367.55700000000002</v>
      </c>
      <c r="M886">
        <v>0.99871339999999997</v>
      </c>
      <c r="N886">
        <v>-1.41431E-2</v>
      </c>
      <c r="O886">
        <v>-4.870182E-2</v>
      </c>
      <c r="P886">
        <v>0.94254740000000004</v>
      </c>
      <c r="Q886">
        <v>0.29806129999999997</v>
      </c>
      <c r="R886">
        <v>-0.15087799999999901</v>
      </c>
      <c r="S886">
        <v>3.189835</v>
      </c>
      <c r="T886">
        <v>-0.55508519999999995</v>
      </c>
      <c r="U886">
        <v>-1.0863339999999999</v>
      </c>
      <c r="V886">
        <v>0.1070808</v>
      </c>
      <c r="W886">
        <v>0.31067040000000001</v>
      </c>
      <c r="X886">
        <v>0.94446680000000005</v>
      </c>
      <c r="Y886">
        <v>0.27245550000000002</v>
      </c>
      <c r="Z886">
        <v>-1.7391210000000001E-2</v>
      </c>
      <c r="AA886">
        <v>0.96201119999999996</v>
      </c>
      <c r="AB886">
        <v>27</v>
      </c>
      <c r="AC886">
        <v>6.0984999999999996</v>
      </c>
      <c r="AD886">
        <v>-1.1078435423549999</v>
      </c>
      <c r="AE886">
        <v>-2.1517999999999802</v>
      </c>
      <c r="AF886">
        <v>1.79940265401236</v>
      </c>
      <c r="AG886">
        <v>-1.1078435423549999</v>
      </c>
      <c r="AH886">
        <v>6.0194214316080998</v>
      </c>
      <c r="AI886">
        <v>100.00042936491</v>
      </c>
      <c r="AJ886">
        <v>73.356868208956598</v>
      </c>
      <c r="AK886">
        <v>6.3795455635105602</v>
      </c>
      <c r="AL886">
        <v>71.900362815761696</v>
      </c>
      <c r="AM886">
        <v>83.531598467325495</v>
      </c>
      <c r="AN886">
        <v>0.99999996573351901</v>
      </c>
    </row>
    <row r="887" spans="1:40" x14ac:dyDescent="0.25">
      <c r="A887" t="str">
        <f>"20190304164612538"</f>
        <v>20190304164612538</v>
      </c>
      <c r="B887" t="str">
        <f>"1551689172529098"</f>
        <v>1551689172529098</v>
      </c>
      <c r="C887" t="s">
        <v>40</v>
      </c>
      <c r="D887">
        <v>4.8036750000000001</v>
      </c>
      <c r="E887">
        <v>0.59321590000000002</v>
      </c>
      <c r="F887" t="s">
        <v>42</v>
      </c>
      <c r="G887">
        <v>-210.88550000000001</v>
      </c>
      <c r="H887" s="1">
        <v>-4.6482760000000002E-6</v>
      </c>
      <c r="I887">
        <v>365.3553</v>
      </c>
      <c r="J887">
        <v>-216.9402</v>
      </c>
      <c r="K887">
        <v>1.107756</v>
      </c>
      <c r="L887">
        <v>367.53919999999999</v>
      </c>
      <c r="M887">
        <v>0.99849860000000001</v>
      </c>
      <c r="N887">
        <v>-1.414816E-2</v>
      </c>
      <c r="O887">
        <v>-5.2919399999999998E-2</v>
      </c>
      <c r="P887">
        <v>0.94136220000000004</v>
      </c>
      <c r="Q887">
        <v>0.29774479999999998</v>
      </c>
      <c r="R887">
        <v>-0.15869900000000001</v>
      </c>
      <c r="S887">
        <v>3.1818080000000002</v>
      </c>
      <c r="T887">
        <v>-0.55731569999999997</v>
      </c>
      <c r="U887">
        <v>-1.1075740000000001</v>
      </c>
      <c r="V887">
        <v>0.11099879999999999</v>
      </c>
      <c r="W887">
        <v>0.31030550000000001</v>
      </c>
      <c r="X887">
        <v>0.94413440000000004</v>
      </c>
      <c r="Y887">
        <v>0.27485619999999999</v>
      </c>
      <c r="Z887">
        <v>-1.704133E-2</v>
      </c>
      <c r="AA887">
        <v>0.96133429999999997</v>
      </c>
      <c r="AB887">
        <v>27</v>
      </c>
      <c r="AC887">
        <v>6.0546999999999898</v>
      </c>
      <c r="AD887">
        <v>-1.1077606482760001</v>
      </c>
      <c r="AE887">
        <v>-2.1838999999999902</v>
      </c>
      <c r="AF887">
        <v>1.80687592757797</v>
      </c>
      <c r="AG887">
        <v>-1.1077606482760001</v>
      </c>
      <c r="AH887">
        <v>5.9845329787060102</v>
      </c>
      <c r="AI887">
        <v>100.048687787096</v>
      </c>
      <c r="AJ887">
        <v>73.199658734291305</v>
      </c>
      <c r="AK887">
        <v>6.3487454859010901</v>
      </c>
      <c r="AL887">
        <v>71.922357722717706</v>
      </c>
      <c r="AM887">
        <v>83.294702550458297</v>
      </c>
      <c r="AN887">
        <v>1.0000000010975201</v>
      </c>
    </row>
    <row r="888" spans="1:40" x14ac:dyDescent="0.25">
      <c r="A888" t="str">
        <f>"20190304164612562"</f>
        <v>20190304164612562</v>
      </c>
      <c r="B888" t="str">
        <f>"1551689172558379"</f>
        <v>1551689172558379</v>
      </c>
      <c r="C888" t="s">
        <v>40</v>
      </c>
      <c r="D888">
        <v>4.8318770000000004</v>
      </c>
      <c r="E888">
        <v>0.59354649999999998</v>
      </c>
      <c r="F888" t="s">
        <v>42</v>
      </c>
      <c r="G888">
        <v>-210.54669999999999</v>
      </c>
      <c r="H888" s="1">
        <v>-4.8128020000000004E-6</v>
      </c>
      <c r="I888">
        <v>365.24709999999999</v>
      </c>
      <c r="J888">
        <v>-216.6704</v>
      </c>
      <c r="K888">
        <v>1.1076969999999999</v>
      </c>
      <c r="L888">
        <v>367.52010000000001</v>
      </c>
      <c r="M888">
        <v>0.99826170000000003</v>
      </c>
      <c r="N888">
        <v>-1.415248E-2</v>
      </c>
      <c r="O888">
        <v>-5.7215099999999998E-2</v>
      </c>
      <c r="P888">
        <v>0.94006749999999994</v>
      </c>
      <c r="Q888">
        <v>0.29764629999999997</v>
      </c>
      <c r="R888">
        <v>-0.16637360000000001</v>
      </c>
      <c r="S888">
        <v>3.1690369999999999</v>
      </c>
      <c r="T888">
        <v>-0.54907059999999996</v>
      </c>
      <c r="U888">
        <v>-1.136047</v>
      </c>
      <c r="V888">
        <v>0.1146988</v>
      </c>
      <c r="W888">
        <v>0.31016050000000001</v>
      </c>
      <c r="X888">
        <v>0.94373969999999896</v>
      </c>
      <c r="Y888">
        <v>0.27965950000000001</v>
      </c>
      <c r="Z888">
        <v>-1.6650829999999998E-2</v>
      </c>
      <c r="AA888">
        <v>0.95995490000000006</v>
      </c>
      <c r="AB888">
        <v>27</v>
      </c>
      <c r="AC888">
        <v>6.1237000000000101</v>
      </c>
      <c r="AD888">
        <v>-1.107701812802</v>
      </c>
      <c r="AE888">
        <v>-2.2730000000000201</v>
      </c>
      <c r="AF888">
        <v>1.8652319596965901</v>
      </c>
      <c r="AG888">
        <v>-1.107701812802</v>
      </c>
      <c r="AH888">
        <v>6.0691906320248901</v>
      </c>
      <c r="AI888">
        <v>99.8961813722469</v>
      </c>
      <c r="AJ888">
        <v>72.916343251308305</v>
      </c>
      <c r="AK888">
        <v>6.4452438664039002</v>
      </c>
      <c r="AL888">
        <v>71.931096507848395</v>
      </c>
      <c r="AM888">
        <v>83.070458367126506</v>
      </c>
      <c r="AN888">
        <v>0.99999998591888895</v>
      </c>
    </row>
    <row r="889" spans="1:40" x14ac:dyDescent="0.25">
      <c r="A889" t="str">
        <f>"20190304164612583"</f>
        <v>20190304164612583</v>
      </c>
      <c r="B889" t="str">
        <f>"1551689172578875"</f>
        <v>1551689172578875</v>
      </c>
      <c r="C889" t="s">
        <v>40</v>
      </c>
      <c r="D889">
        <v>4.8307640000000003</v>
      </c>
      <c r="E889">
        <v>0.59373609999999999</v>
      </c>
      <c r="F889" t="s">
        <v>42</v>
      </c>
      <c r="G889">
        <v>-210.20920000000001</v>
      </c>
      <c r="H889" s="1">
        <v>-4.9763390000000001E-6</v>
      </c>
      <c r="I889">
        <v>365.14150000000001</v>
      </c>
      <c r="J889">
        <v>-216.39920000000001</v>
      </c>
      <c r="K889">
        <v>1.1076509999999999</v>
      </c>
      <c r="L889">
        <v>367.49970000000002</v>
      </c>
      <c r="M889">
        <v>0.9980002</v>
      </c>
      <c r="N889">
        <v>-1.415624E-2</v>
      </c>
      <c r="O889">
        <v>-6.1606269999999998E-2</v>
      </c>
      <c r="P889">
        <v>0.9384536</v>
      </c>
      <c r="Q889">
        <v>0.29809619999999998</v>
      </c>
      <c r="R889">
        <v>-0.17448079999999999</v>
      </c>
      <c r="S889">
        <v>3.1569210000000001</v>
      </c>
      <c r="T889">
        <v>-0.54121300000000006</v>
      </c>
      <c r="U889">
        <v>-1.1621699999999999</v>
      </c>
      <c r="V889">
        <v>0.11876059999999999</v>
      </c>
      <c r="W889">
        <v>0.3105598</v>
      </c>
      <c r="X889">
        <v>0.94310579999999999</v>
      </c>
      <c r="Y889">
        <v>0.28369100000000003</v>
      </c>
      <c r="Z889">
        <v>-1.6191839999999999E-2</v>
      </c>
      <c r="AA889">
        <v>0.95877900000000005</v>
      </c>
      <c r="AB889">
        <v>27</v>
      </c>
      <c r="AC889">
        <v>6.1899999999999897</v>
      </c>
      <c r="AD889">
        <v>-1.1076559763389999</v>
      </c>
      <c r="AE889">
        <v>-2.3582000000000098</v>
      </c>
      <c r="AF889">
        <v>1.91868809331099</v>
      </c>
      <c r="AG889">
        <v>-1.1076559763389999</v>
      </c>
      <c r="AH889">
        <v>6.1515244287920297</v>
      </c>
      <c r="AI889">
        <v>99.753522401580895</v>
      </c>
      <c r="AJ889">
        <v>72.677065204708498</v>
      </c>
      <c r="AK889">
        <v>6.5383115985212896</v>
      </c>
      <c r="AL889">
        <v>71.907030314944606</v>
      </c>
      <c r="AM889">
        <v>82.822806244991199</v>
      </c>
      <c r="AN889">
        <v>1.00000000974102</v>
      </c>
    </row>
    <row r="890" spans="1:40" x14ac:dyDescent="0.25">
      <c r="A890" t="str">
        <f>"20190304164612606"</f>
        <v>20190304164612606</v>
      </c>
      <c r="B890" t="str">
        <f>"1551689172598394"</f>
        <v>1551689172598394</v>
      </c>
      <c r="C890" t="s">
        <v>40</v>
      </c>
      <c r="D890">
        <v>4.8373179999999998</v>
      </c>
      <c r="E890">
        <v>0.59388779999999997</v>
      </c>
      <c r="F890" t="s">
        <v>44</v>
      </c>
      <c r="G890">
        <v>-209.892</v>
      </c>
      <c r="H890" s="1">
        <v>-5.9635450000000003E-6</v>
      </c>
      <c r="I890">
        <v>365.04090000000002</v>
      </c>
      <c r="J890">
        <v>-216.12459999999999</v>
      </c>
      <c r="K890">
        <v>1.1076090000000001</v>
      </c>
      <c r="L890">
        <v>367.4778</v>
      </c>
      <c r="M890">
        <v>0.99771140000000003</v>
      </c>
      <c r="N890">
        <v>-1.4159730000000001E-2</v>
      </c>
      <c r="O890">
        <v>-6.6116640000000004E-2</v>
      </c>
      <c r="P890">
        <v>0.93684540000000005</v>
      </c>
      <c r="Q890">
        <v>0.29813810000000002</v>
      </c>
      <c r="R890">
        <v>-0.1828526</v>
      </c>
      <c r="S890">
        <v>3.1458439999999999</v>
      </c>
      <c r="T890">
        <v>-0.53548219999999902</v>
      </c>
      <c r="U890">
        <v>-1.18866</v>
      </c>
      <c r="V890">
        <v>0.1229692</v>
      </c>
      <c r="W890">
        <v>0.31055159999999998</v>
      </c>
      <c r="X890">
        <v>0.94256899999999999</v>
      </c>
      <c r="Y890">
        <v>0.2875877</v>
      </c>
      <c r="Z890">
        <v>-1.5757810000000001E-2</v>
      </c>
      <c r="AA890">
        <v>0.9576247</v>
      </c>
      <c r="AB890">
        <v>27</v>
      </c>
      <c r="AC890">
        <v>6.2325999999999899</v>
      </c>
      <c r="AD890">
        <v>-1.1076149635449899</v>
      </c>
      <c r="AE890">
        <v>-2.4368999999999801</v>
      </c>
      <c r="AF890">
        <v>1.96560100666953</v>
      </c>
      <c r="AG890">
        <v>-1.1076149635449899</v>
      </c>
      <c r="AH890">
        <v>6.2099788119835404</v>
      </c>
      <c r="AI890">
        <v>99.650586397712004</v>
      </c>
      <c r="AJ890">
        <v>72.436223797634298</v>
      </c>
      <c r="AK890">
        <v>6.6071351636071096</v>
      </c>
      <c r="AL890">
        <v>71.907524772781201</v>
      </c>
      <c r="AM890">
        <v>82.567072837930397</v>
      </c>
      <c r="AN890">
        <v>1.0000000200860999</v>
      </c>
    </row>
    <row r="891" spans="1:40" x14ac:dyDescent="0.25">
      <c r="A891" t="str">
        <f>"20190304164612621"</f>
        <v>20190304164612621</v>
      </c>
      <c r="B891" t="str">
        <f>"1551689172618890"</f>
        <v>1551689172618890</v>
      </c>
      <c r="C891" t="s">
        <v>40</v>
      </c>
      <c r="D891">
        <v>4.8501370000000001</v>
      </c>
      <c r="E891">
        <v>0.59390559999999903</v>
      </c>
      <c r="F891" t="s">
        <v>44</v>
      </c>
      <c r="G891">
        <v>-209.60159999999999</v>
      </c>
      <c r="H891" s="1">
        <v>-5.8808659999999901E-6</v>
      </c>
      <c r="I891">
        <v>364.94799999999998</v>
      </c>
      <c r="J891">
        <v>-215.9409</v>
      </c>
      <c r="K891">
        <v>1.1075839999999999</v>
      </c>
      <c r="L891">
        <v>367.46230000000003</v>
      </c>
      <c r="M891">
        <v>0.99750510000000003</v>
      </c>
      <c r="N891">
        <v>-1.4161780000000001E-2</v>
      </c>
      <c r="O891">
        <v>-6.9161180000000003E-2</v>
      </c>
      <c r="P891">
        <v>0.9357955</v>
      </c>
      <c r="Q891">
        <v>0.29818060000000002</v>
      </c>
      <c r="R891">
        <v>-0.18808250000000001</v>
      </c>
      <c r="S891">
        <v>3.1343839999999998</v>
      </c>
      <c r="T891">
        <v>-0.53222749999999996</v>
      </c>
      <c r="U891">
        <v>-1.215576</v>
      </c>
      <c r="V891">
        <v>0.12538669999999999</v>
      </c>
      <c r="W891">
        <v>0.31056519999999999</v>
      </c>
      <c r="X891">
        <v>0.94224600000000003</v>
      </c>
      <c r="Y891">
        <v>0.29297580000000001</v>
      </c>
      <c r="Z891">
        <v>-1.5737040000000001E-2</v>
      </c>
      <c r="AA891">
        <v>0.95599029999999996</v>
      </c>
      <c r="AB891">
        <v>27</v>
      </c>
      <c r="AC891">
        <v>6.3392999999999997</v>
      </c>
      <c r="AD891">
        <v>-1.1075898808660001</v>
      </c>
      <c r="AE891">
        <v>-2.5142999999999902</v>
      </c>
      <c r="AF891">
        <v>2.01660871533847</v>
      </c>
      <c r="AG891">
        <v>-1.1075898808660001</v>
      </c>
      <c r="AH891">
        <v>6.3310328707922396</v>
      </c>
      <c r="AI891">
        <v>99.463848327764495</v>
      </c>
      <c r="AJ891">
        <v>72.331887012154098</v>
      </c>
      <c r="AK891">
        <v>6.73612969486393</v>
      </c>
      <c r="AL891">
        <v>71.906705506607395</v>
      </c>
      <c r="AM891">
        <v>82.420060507357704</v>
      </c>
      <c r="AN891">
        <v>1.00000004625196</v>
      </c>
    </row>
    <row r="892" spans="1:40" x14ac:dyDescent="0.25">
      <c r="A892" t="str">
        <f>"20190304164612638"</f>
        <v>20190304164612638</v>
      </c>
      <c r="B892" t="str">
        <f>"1551689172628650"</f>
        <v>1551689172628650</v>
      </c>
      <c r="C892" t="s">
        <v>40</v>
      </c>
      <c r="D892">
        <v>4.8621819999999998</v>
      </c>
      <c r="E892">
        <v>0.59386859999999997</v>
      </c>
      <c r="F892" t="s">
        <v>44</v>
      </c>
      <c r="G892">
        <v>-209.41560000000001</v>
      </c>
      <c r="H892" s="1">
        <v>-5.827236E-6</v>
      </c>
      <c r="I892">
        <v>364.89269999999999</v>
      </c>
      <c r="J892">
        <v>-215.73390000000001</v>
      </c>
      <c r="K892">
        <v>1.1075630000000001</v>
      </c>
      <c r="L892">
        <v>367.4443</v>
      </c>
      <c r="M892">
        <v>0.99725989999999998</v>
      </c>
      <c r="N892">
        <v>-1.416364E-2</v>
      </c>
      <c r="O892">
        <v>-7.2611049999999996E-2</v>
      </c>
      <c r="P892">
        <v>0.93445560000000005</v>
      </c>
      <c r="Q892">
        <v>0.29773899999999998</v>
      </c>
      <c r="R892">
        <v>-0.1953059</v>
      </c>
      <c r="S892">
        <v>3.1274410000000001</v>
      </c>
      <c r="T892">
        <v>-0.53084730000000002</v>
      </c>
      <c r="U892">
        <v>-1.2315670000000001</v>
      </c>
      <c r="V892">
        <v>0.12942480000000001</v>
      </c>
      <c r="W892">
        <v>0.31008160000000001</v>
      </c>
      <c r="X892">
        <v>0.94185909999999995</v>
      </c>
      <c r="Y892">
        <v>0.29465000000000002</v>
      </c>
      <c r="Z892">
        <v>-1.536099E-2</v>
      </c>
      <c r="AA892">
        <v>0.95548180000000005</v>
      </c>
      <c r="AB892">
        <v>27</v>
      </c>
      <c r="AC892">
        <v>6.31829999999999</v>
      </c>
      <c r="AD892">
        <v>-1.10756882723599</v>
      </c>
      <c r="AE892">
        <v>-2.5516000000000001</v>
      </c>
      <c r="AF892">
        <v>2.0323449594354099</v>
      </c>
      <c r="AG892">
        <v>-1.10756882723599</v>
      </c>
      <c r="AH892">
        <v>6.3199403883940599</v>
      </c>
      <c r="AI892">
        <v>99.471745069414098</v>
      </c>
      <c r="AJ892">
        <v>72.173424077044999</v>
      </c>
      <c r="AK892">
        <v>6.7304369289119697</v>
      </c>
      <c r="AL892">
        <v>71.935851303096896</v>
      </c>
      <c r="AM892">
        <v>82.175749185570197</v>
      </c>
      <c r="AN892">
        <v>0.99999997088320403</v>
      </c>
    </row>
    <row r="893" spans="1:40" x14ac:dyDescent="0.25">
      <c r="A893" t="str">
        <f>"20190304164612655"</f>
        <v>20190304164612655</v>
      </c>
      <c r="B893" t="str">
        <f>"1551689172649146"</f>
        <v>1551689172649146</v>
      </c>
      <c r="C893" t="s">
        <v>40</v>
      </c>
      <c r="D893">
        <v>4.8735569999999999</v>
      </c>
      <c r="E893">
        <v>0.59344059999999998</v>
      </c>
      <c r="F893" t="s">
        <v>44</v>
      </c>
      <c r="G893">
        <v>-209.24860000000001</v>
      </c>
      <c r="H893" s="1">
        <v>-5.7798330000000004E-6</v>
      </c>
      <c r="I893">
        <v>364.8383</v>
      </c>
      <c r="J893">
        <v>-215.53659999999999</v>
      </c>
      <c r="K893">
        <v>1.1075459999999999</v>
      </c>
      <c r="L893">
        <v>367.4264</v>
      </c>
      <c r="M893">
        <v>0.99701360000000006</v>
      </c>
      <c r="N893">
        <v>-1.4164990000000001E-2</v>
      </c>
      <c r="O893">
        <v>-7.5916360000000002E-2</v>
      </c>
      <c r="P893">
        <v>0.93340710000000005</v>
      </c>
      <c r="Q893">
        <v>0.29766199999999998</v>
      </c>
      <c r="R893">
        <v>-0.20037099999999999</v>
      </c>
      <c r="S893">
        <v>3.1182400000000001</v>
      </c>
      <c r="T893">
        <v>-0.53253289999999998</v>
      </c>
      <c r="U893">
        <v>-1.2530209999999999</v>
      </c>
      <c r="V893">
        <v>0.1314264</v>
      </c>
      <c r="W893">
        <v>0.30998229999999999</v>
      </c>
      <c r="X893">
        <v>0.94161459999999997</v>
      </c>
      <c r="Y893">
        <v>0.29808079999999998</v>
      </c>
      <c r="Z893">
        <v>-1.523615E-2</v>
      </c>
      <c r="AA893">
        <v>0.95441900000000002</v>
      </c>
      <c r="AB893">
        <v>27</v>
      </c>
      <c r="AC893">
        <v>6.2879999999999798</v>
      </c>
      <c r="AD893">
        <v>-1.1075517798329999</v>
      </c>
      <c r="AE893">
        <v>-2.5880999999999901</v>
      </c>
      <c r="AF893">
        <v>2.0488635217683102</v>
      </c>
      <c r="AG893">
        <v>-1.1075517798329999</v>
      </c>
      <c r="AH893">
        <v>6.2992309084940299</v>
      </c>
      <c r="AI893">
        <v>99.492128818762495</v>
      </c>
      <c r="AJ893">
        <v>71.982565757764903</v>
      </c>
      <c r="AK893">
        <v>6.7160124117195199</v>
      </c>
      <c r="AL893">
        <v>71.941836001709703</v>
      </c>
      <c r="AM893">
        <v>82.054241243389001</v>
      </c>
      <c r="AN893">
        <v>0.99999998993170502</v>
      </c>
    </row>
    <row r="894" spans="1:40" x14ac:dyDescent="0.25">
      <c r="A894" t="str">
        <f>"20190304164612667"</f>
        <v>20190304164612667</v>
      </c>
      <c r="B894" t="str">
        <f>"1551689172658907"</f>
        <v>1551689172658907</v>
      </c>
      <c r="C894" t="s">
        <v>40</v>
      </c>
      <c r="D894">
        <v>4.8607420000000001</v>
      </c>
      <c r="E894">
        <v>0.59338880000000005</v>
      </c>
      <c r="F894" t="s">
        <v>44</v>
      </c>
      <c r="G894">
        <v>-209.12090000000001</v>
      </c>
      <c r="H894" s="1">
        <v>-5.74001099999999E-6</v>
      </c>
      <c r="I894">
        <v>364.81950000000001</v>
      </c>
      <c r="J894">
        <v>-215.37860000000001</v>
      </c>
      <c r="K894">
        <v>1.1075429999999999</v>
      </c>
      <c r="L894">
        <v>367.41149999999999</v>
      </c>
      <c r="M894">
        <v>0.99680769999999996</v>
      </c>
      <c r="N894">
        <v>-1.416567E-2</v>
      </c>
      <c r="O894">
        <v>-7.8572970000000006E-2</v>
      </c>
      <c r="P894">
        <v>0.93258459999999999</v>
      </c>
      <c r="Q894">
        <v>0.29751850000000002</v>
      </c>
      <c r="R894">
        <v>-0.2043739</v>
      </c>
      <c r="S894">
        <v>3.1138309999999998</v>
      </c>
      <c r="T894">
        <v>-0.53754329999999995</v>
      </c>
      <c r="U894">
        <v>-1.265228</v>
      </c>
      <c r="V894">
        <v>0.13296269999999999</v>
      </c>
      <c r="W894">
        <v>0.30982320000000002</v>
      </c>
      <c r="X894">
        <v>0.94145129999999999</v>
      </c>
      <c r="Y894">
        <v>0.29917759999999999</v>
      </c>
      <c r="Z894">
        <v>-1.505743E-2</v>
      </c>
      <c r="AA894">
        <v>0.9540786</v>
      </c>
      <c r="AB894">
        <v>27</v>
      </c>
      <c r="AC894">
        <v>6.2576999999999998</v>
      </c>
      <c r="AD894">
        <v>-1.107548740011</v>
      </c>
      <c r="AE894">
        <v>-2.5919999999999801</v>
      </c>
      <c r="AF894">
        <v>2.0377638233124298</v>
      </c>
      <c r="AG894">
        <v>-1.107548740011</v>
      </c>
      <c r="AH894">
        <v>6.2742700500121602</v>
      </c>
      <c r="AI894">
        <v>99.530480987935604</v>
      </c>
      <c r="AJ894">
        <v>72.007187149149502</v>
      </c>
      <c r="AK894">
        <v>6.6892159683762999</v>
      </c>
      <c r="AL894">
        <v>71.951424392710095</v>
      </c>
      <c r="AM894">
        <v>81.961190769380096</v>
      </c>
      <c r="AN894">
        <v>1.0000000225606001</v>
      </c>
    </row>
    <row r="895" spans="1:40" x14ac:dyDescent="0.25">
      <c r="A895" t="str">
        <f>"20190304164612685"</f>
        <v>20190304164612685</v>
      </c>
      <c r="B895" t="str">
        <f>"1551689172678428"</f>
        <v>1551689172678428</v>
      </c>
      <c r="C895" t="s">
        <v>40</v>
      </c>
      <c r="D895">
        <v>4.8653279999999999</v>
      </c>
      <c r="E895">
        <v>0.59328369999999997</v>
      </c>
      <c r="F895" t="s">
        <v>44</v>
      </c>
      <c r="G895">
        <v>-208.9744</v>
      </c>
      <c r="H895" s="1">
        <v>-5.697687E-6</v>
      </c>
      <c r="I895">
        <v>364.77659999999997</v>
      </c>
      <c r="J895">
        <v>-215.18109999999999</v>
      </c>
      <c r="K895">
        <v>1.107551</v>
      </c>
      <c r="L895">
        <v>367.39229999999998</v>
      </c>
      <c r="M895">
        <v>0.99654010000000004</v>
      </c>
      <c r="N895">
        <v>-1.4166150000000001E-2</v>
      </c>
      <c r="O895">
        <v>-8.1897300000000006E-2</v>
      </c>
      <c r="P895">
        <v>0.93107720000000005</v>
      </c>
      <c r="Q895">
        <v>0.29800659999999901</v>
      </c>
      <c r="R895">
        <v>-0.21044650000000001</v>
      </c>
      <c r="S895">
        <v>3.1081240000000001</v>
      </c>
      <c r="T895">
        <v>-0.53752659999999997</v>
      </c>
      <c r="U895">
        <v>-1.278778</v>
      </c>
      <c r="V895">
        <v>0.13598829999999901</v>
      </c>
      <c r="W895">
        <v>0.31027870000000002</v>
      </c>
      <c r="X895">
        <v>0.94086890000000001</v>
      </c>
      <c r="Y895">
        <v>0.30018979999999901</v>
      </c>
      <c r="Z895">
        <v>-1.4662619999999999E-2</v>
      </c>
      <c r="AA895">
        <v>0.95376680000000003</v>
      </c>
      <c r="AB895">
        <v>27</v>
      </c>
      <c r="AC895">
        <v>6.2066999999999801</v>
      </c>
      <c r="AD895">
        <v>-1.1075566976869999</v>
      </c>
      <c r="AE895">
        <v>-2.6156999999999999</v>
      </c>
      <c r="AF895">
        <v>2.0432972324605698</v>
      </c>
      <c r="AG895">
        <v>-1.1075566976869999</v>
      </c>
      <c r="AH895">
        <v>6.2315827276192302</v>
      </c>
      <c r="AI895">
        <v>99.585983529177</v>
      </c>
      <c r="AJ895">
        <v>71.846004373547501</v>
      </c>
      <c r="AK895">
        <v>6.6508923243377396</v>
      </c>
      <c r="AL895">
        <v>71.923972735279193</v>
      </c>
      <c r="AM895">
        <v>81.775719528040696</v>
      </c>
      <c r="AN895">
        <v>0.99999998819889402</v>
      </c>
    </row>
    <row r="896" spans="1:40" x14ac:dyDescent="0.25">
      <c r="A896" t="str">
        <f>"20190304164612706"</f>
        <v>20190304164612706</v>
      </c>
      <c r="B896" t="str">
        <f>"1551689172698922"</f>
        <v>1551689172698922</v>
      </c>
      <c r="C896" t="s">
        <v>40</v>
      </c>
      <c r="D896">
        <v>4.88924</v>
      </c>
      <c r="E896">
        <v>0.59322330000000001</v>
      </c>
      <c r="F896" t="s">
        <v>44</v>
      </c>
      <c r="G896">
        <v>-208.75659999999999</v>
      </c>
      <c r="H896" s="1">
        <v>-5.6371230000000002E-6</v>
      </c>
      <c r="I896">
        <v>364.69760000000002</v>
      </c>
      <c r="J896">
        <v>-214.9111</v>
      </c>
      <c r="K896">
        <v>1.107556</v>
      </c>
      <c r="L896">
        <v>367.36500000000001</v>
      </c>
      <c r="M896">
        <v>0.99615569999999998</v>
      </c>
      <c r="N896">
        <v>-1.416619E-2</v>
      </c>
      <c r="O896">
        <v>-8.6447599999999999E-2</v>
      </c>
      <c r="P896">
        <v>0.92935780000000001</v>
      </c>
      <c r="Q896">
        <v>0.29836750000000001</v>
      </c>
      <c r="R896">
        <v>-0.2174188</v>
      </c>
      <c r="S896">
        <v>3.0992579999999998</v>
      </c>
      <c r="T896">
        <v>-0.53430029999999995</v>
      </c>
      <c r="U896">
        <v>-1.299957</v>
      </c>
      <c r="V896">
        <v>0.13876550000000001</v>
      </c>
      <c r="W896">
        <v>0.31061149999999998</v>
      </c>
      <c r="X896">
        <v>0.94035349999999995</v>
      </c>
      <c r="Y896">
        <v>0.30240149999999999</v>
      </c>
      <c r="Z896">
        <v>-1.413412E-2</v>
      </c>
      <c r="AA896">
        <v>0.95307589999999998</v>
      </c>
      <c r="AB896">
        <v>27</v>
      </c>
      <c r="AC896">
        <v>6.1545000000000103</v>
      </c>
      <c r="AD896">
        <v>-1.1075616371229999</v>
      </c>
      <c r="AE896">
        <v>-2.6673999999999798</v>
      </c>
      <c r="AF896">
        <v>2.0689101097274798</v>
      </c>
      <c r="AG896">
        <v>-1.1075616371229999</v>
      </c>
      <c r="AH896">
        <v>6.1932160944557202</v>
      </c>
      <c r="AI896">
        <v>99.626905251174506</v>
      </c>
      <c r="AJ896">
        <v>71.527551779401406</v>
      </c>
      <c r="AK896">
        <v>6.6229153259561304</v>
      </c>
      <c r="AL896">
        <v>71.903914507352297</v>
      </c>
      <c r="AM896">
        <v>81.605594772687596</v>
      </c>
      <c r="AN896">
        <v>1.00000003644237</v>
      </c>
    </row>
    <row r="897" spans="1:40" x14ac:dyDescent="0.25">
      <c r="A897" t="str">
        <f>"20190304164612727"</f>
        <v>20190304164612727</v>
      </c>
      <c r="B897" t="str">
        <f>"1551689172718442"</f>
        <v>1551689172718442</v>
      </c>
      <c r="C897" t="s">
        <v>40</v>
      </c>
      <c r="D897">
        <v>4.91404</v>
      </c>
      <c r="E897">
        <v>0.59305109999999905</v>
      </c>
      <c r="F897" t="s">
        <v>44</v>
      </c>
      <c r="G897">
        <v>-208.4665</v>
      </c>
      <c r="H897" s="1">
        <v>-5.5550600000000001E-6</v>
      </c>
      <c r="I897">
        <v>364.60120000000001</v>
      </c>
      <c r="J897">
        <v>-214.6627</v>
      </c>
      <c r="K897">
        <v>1.1075619999999999</v>
      </c>
      <c r="L897">
        <v>367.33870000000002</v>
      </c>
      <c r="M897">
        <v>0.99578330000000004</v>
      </c>
      <c r="N897">
        <v>-1.4165779999999999E-2</v>
      </c>
      <c r="O897">
        <v>-9.0636949999999994E-2</v>
      </c>
      <c r="P897">
        <v>0.92796049999999997</v>
      </c>
      <c r="Q897">
        <v>0.297975299999999</v>
      </c>
      <c r="R897">
        <v>-0.22383040000000001</v>
      </c>
      <c r="S897">
        <v>3.0885769999999999</v>
      </c>
      <c r="T897">
        <v>-0.53079699999999996</v>
      </c>
      <c r="U897">
        <v>-1.324524</v>
      </c>
      <c r="V897">
        <v>0.14129340000000001</v>
      </c>
      <c r="W897">
        <v>0.31019720000000001</v>
      </c>
      <c r="X897">
        <v>0.9401138</v>
      </c>
      <c r="Y897">
        <v>0.3060176</v>
      </c>
      <c r="Z897">
        <v>-1.3788190000000001E-2</v>
      </c>
      <c r="AA897">
        <v>0.95192600000000005</v>
      </c>
      <c r="AB897">
        <v>27</v>
      </c>
      <c r="AC897">
        <v>6.1962000000000002</v>
      </c>
      <c r="AD897">
        <v>-1.1075675550599999</v>
      </c>
      <c r="AE897">
        <v>-2.73750000000001</v>
      </c>
      <c r="AF897">
        <v>2.1082097737882499</v>
      </c>
      <c r="AG897">
        <v>-1.1075675550599999</v>
      </c>
      <c r="AH897">
        <v>6.2517060834948603</v>
      </c>
      <c r="AI897">
        <v>99.529626297193801</v>
      </c>
      <c r="AJ897">
        <v>71.364787022738199</v>
      </c>
      <c r="AK897">
        <v>6.6899240125523498</v>
      </c>
      <c r="AL897">
        <v>71.928885715654602</v>
      </c>
      <c r="AM897">
        <v>81.452764595307499</v>
      </c>
      <c r="AN897">
        <v>1.0000000423609099</v>
      </c>
    </row>
    <row r="898" spans="1:40" x14ac:dyDescent="0.25">
      <c r="A898" t="str">
        <f>"20190304164612744"</f>
        <v>20190304164612744</v>
      </c>
      <c r="B898" t="str">
        <f>"1551689172738939"</f>
        <v>1551689172738939</v>
      </c>
      <c r="C898" t="s">
        <v>40</v>
      </c>
      <c r="D898">
        <v>4.9193230000000003</v>
      </c>
      <c r="E898">
        <v>0.59288490000000005</v>
      </c>
      <c r="F898" t="s">
        <v>44</v>
      </c>
      <c r="G898">
        <v>-208.24770000000001</v>
      </c>
      <c r="H898" s="1">
        <v>-5.4919779999999999E-6</v>
      </c>
      <c r="I898">
        <v>364.53620000000001</v>
      </c>
      <c r="J898">
        <v>-214.46360000000001</v>
      </c>
      <c r="K898">
        <v>1.1075680000000001</v>
      </c>
      <c r="L898">
        <v>367.31700000000001</v>
      </c>
      <c r="M898">
        <v>0.99547240000000004</v>
      </c>
      <c r="N898">
        <v>-1.4165189999999999E-2</v>
      </c>
      <c r="O898">
        <v>-9.3990210000000005E-2</v>
      </c>
      <c r="P898">
        <v>0.92698809999999998</v>
      </c>
      <c r="Q898">
        <v>0.29769190000000001</v>
      </c>
      <c r="R898">
        <v>-0.22819429999999999</v>
      </c>
      <c r="S898">
        <v>3.0791469999999999</v>
      </c>
      <c r="T898">
        <v>-0.53162690000000001</v>
      </c>
      <c r="U898">
        <v>-1.345215</v>
      </c>
      <c r="V898">
        <v>0.14254</v>
      </c>
      <c r="W898">
        <v>0.30990430000000002</v>
      </c>
      <c r="X898">
        <v>0.94002220000000003</v>
      </c>
      <c r="Y898">
        <v>0.30922949999999999</v>
      </c>
      <c r="Z898">
        <v>-1.361219E-2</v>
      </c>
      <c r="AA898">
        <v>0.95089000000000001</v>
      </c>
      <c r="AB898">
        <v>27</v>
      </c>
      <c r="AC898">
        <v>6.2159000000000004</v>
      </c>
      <c r="AD898">
        <v>-1.107573491978</v>
      </c>
      <c r="AE898">
        <v>-2.7807999999999402</v>
      </c>
      <c r="AF898">
        <v>2.1279015747376802</v>
      </c>
      <c r="AG898">
        <v>-1.107573491978</v>
      </c>
      <c r="AH898">
        <v>6.2835413787947898</v>
      </c>
      <c r="AI898">
        <v>99.478249714164903</v>
      </c>
      <c r="AJ898">
        <v>71.2914908027781</v>
      </c>
      <c r="AK898">
        <v>6.7258885220415197</v>
      </c>
      <c r="AL898">
        <v>71.946537329570702</v>
      </c>
      <c r="AM898">
        <v>81.377655091660898</v>
      </c>
      <c r="AN898">
        <v>1.0000000316256601</v>
      </c>
    </row>
    <row r="899" spans="1:40" x14ac:dyDescent="0.25">
      <c r="A899" t="str">
        <f>"20190304164612761"</f>
        <v>20190304164612761</v>
      </c>
      <c r="B899" t="str">
        <f>"1551689172758458"</f>
        <v>1551689172758458</v>
      </c>
      <c r="C899" t="s">
        <v>40</v>
      </c>
      <c r="D899">
        <v>4.8378949999999996</v>
      </c>
      <c r="E899">
        <v>0.59268160000000003</v>
      </c>
      <c r="F899" t="s">
        <v>44</v>
      </c>
      <c r="G899">
        <v>-208.06800000000001</v>
      </c>
      <c r="H899" s="1">
        <v>-5.439326E-6</v>
      </c>
      <c r="I899">
        <v>364.48809999999997</v>
      </c>
      <c r="J899">
        <v>-214.2612</v>
      </c>
      <c r="K899">
        <v>1.1075759999999999</v>
      </c>
      <c r="L899">
        <v>367.29419999999999</v>
      </c>
      <c r="M899">
        <v>0.99514449999999999</v>
      </c>
      <c r="N899">
        <v>-1.416442E-2</v>
      </c>
      <c r="O899">
        <v>-9.7398869999999999E-2</v>
      </c>
      <c r="P899">
        <v>0.92590510000000004</v>
      </c>
      <c r="Q899">
        <v>0.2971644</v>
      </c>
      <c r="R899">
        <v>-0.2332225</v>
      </c>
      <c r="S899">
        <v>3.0725859999999998</v>
      </c>
      <c r="T899">
        <v>-0.53209810000000002</v>
      </c>
      <c r="U899">
        <v>-1.35907</v>
      </c>
      <c r="V899">
        <v>0.1444047</v>
      </c>
      <c r="W899">
        <v>0.30936249999999998</v>
      </c>
      <c r="X899">
        <v>0.93991599999999997</v>
      </c>
      <c r="Y899">
        <v>0.3103243</v>
      </c>
      <c r="Z899">
        <v>-1.3225260000000001E-2</v>
      </c>
      <c r="AA899">
        <v>0.95053880000000002</v>
      </c>
      <c r="AB899">
        <v>27</v>
      </c>
      <c r="AC899">
        <v>6.1932000000000098</v>
      </c>
      <c r="AD899">
        <v>-1.107581439326</v>
      </c>
      <c r="AE899">
        <v>-2.80610000000001</v>
      </c>
      <c r="AF899">
        <v>2.1328868912974999</v>
      </c>
      <c r="AG899">
        <v>-1.107581439326</v>
      </c>
      <c r="AH899">
        <v>6.2706902323408302</v>
      </c>
      <c r="AI899">
        <v>99.493163218345998</v>
      </c>
      <c r="AJ899">
        <v>71.214987208823302</v>
      </c>
      <c r="AK899">
        <v>6.7154671561837596</v>
      </c>
      <c r="AL899">
        <v>71.979183644969396</v>
      </c>
      <c r="AM899">
        <v>81.265614603899706</v>
      </c>
      <c r="AN899">
        <v>0.99999998042216898</v>
      </c>
    </row>
    <row r="900" spans="1:40" x14ac:dyDescent="0.25">
      <c r="A900" t="str">
        <f>"20190304164612778"</f>
        <v>20190304164612778</v>
      </c>
      <c r="B900" t="str">
        <f>"1551689172769195"</f>
        <v>1551689172769195</v>
      </c>
      <c r="C900" t="s">
        <v>40</v>
      </c>
      <c r="D900">
        <v>4.7961289999999996</v>
      </c>
      <c r="E900">
        <v>0.59268160000000003</v>
      </c>
      <c r="F900" t="s">
        <v>44</v>
      </c>
      <c r="G900">
        <v>-207.8939</v>
      </c>
      <c r="H900" s="1">
        <v>-5.3887959999999999E-6</v>
      </c>
      <c r="I900">
        <v>364.43849999999998</v>
      </c>
      <c r="J900">
        <v>-214.05520000000001</v>
      </c>
      <c r="K900">
        <v>1.107577</v>
      </c>
      <c r="L900">
        <v>367.27019999999999</v>
      </c>
      <c r="M900">
        <v>0.99479910000000005</v>
      </c>
      <c r="N900">
        <v>-1.4163469999999999E-2</v>
      </c>
      <c r="O900">
        <v>-0.1008665</v>
      </c>
      <c r="P900">
        <v>0.92463850000000003</v>
      </c>
      <c r="Q900">
        <v>0.29686610000000002</v>
      </c>
      <c r="R900">
        <v>-0.2385671</v>
      </c>
      <c r="S900">
        <v>3.0649570000000002</v>
      </c>
      <c r="T900">
        <v>-0.53314329999999999</v>
      </c>
      <c r="U900">
        <v>-1.374603</v>
      </c>
      <c r="V900">
        <v>0.1465495</v>
      </c>
      <c r="W900">
        <v>0.30904559999999998</v>
      </c>
      <c r="X900">
        <v>0.93968830000000003</v>
      </c>
      <c r="Y900">
        <v>0.31190600000000002</v>
      </c>
      <c r="Z900">
        <v>-1.2883769999999999E-2</v>
      </c>
      <c r="AA900">
        <v>0.95002560000000003</v>
      </c>
      <c r="AB900">
        <v>27</v>
      </c>
      <c r="AC900">
        <v>6.1613000000000104</v>
      </c>
      <c r="AD900">
        <v>-1.1075823887959999</v>
      </c>
      <c r="AE900">
        <v>-2.8317000000000099</v>
      </c>
      <c r="AF900">
        <v>2.1386651436206501</v>
      </c>
      <c r="AG900">
        <v>-1.1075823887959999</v>
      </c>
      <c r="AH900">
        <v>6.2488065894495897</v>
      </c>
      <c r="AI900">
        <v>99.519763489338999</v>
      </c>
      <c r="AJ900">
        <v>71.106398008005598</v>
      </c>
      <c r="AK900">
        <v>6.6968807020028098</v>
      </c>
      <c r="AL900">
        <v>71.998277036597898</v>
      </c>
      <c r="AM900">
        <v>81.135816552865293</v>
      </c>
      <c r="AN900">
        <v>1.0000000199932499</v>
      </c>
    </row>
    <row r="901" spans="1:40" x14ac:dyDescent="0.25">
      <c r="A901" t="str">
        <f>"20190304164612806"</f>
        <v>20190304164612806</v>
      </c>
      <c r="B901" t="str">
        <f>"1551689172798475"</f>
        <v>1551689172798475</v>
      </c>
      <c r="C901" t="s">
        <v>40</v>
      </c>
      <c r="D901">
        <v>4.9177780000000002</v>
      </c>
      <c r="E901">
        <v>0.56877819999999901</v>
      </c>
      <c r="F901" t="s">
        <v>44</v>
      </c>
      <c r="G901">
        <v>-207.71019999999999</v>
      </c>
      <c r="H901" s="1">
        <v>-5.33702599999999E-6</v>
      </c>
      <c r="I901">
        <v>364.37630000000001</v>
      </c>
      <c r="J901">
        <v>-213.7226</v>
      </c>
      <c r="K901">
        <v>1.1075919999999999</v>
      </c>
      <c r="L901">
        <v>367.23</v>
      </c>
      <c r="M901">
        <v>0.99421530000000002</v>
      </c>
      <c r="N901">
        <v>-1.4161689999999999E-2</v>
      </c>
      <c r="O901">
        <v>-0.1064679</v>
      </c>
      <c r="P901">
        <v>0.92268749999999999</v>
      </c>
      <c r="Q901">
        <v>0.2974619</v>
      </c>
      <c r="R901">
        <v>-0.24528469999999999</v>
      </c>
      <c r="S901">
        <v>3.056168</v>
      </c>
      <c r="T901">
        <v>-0.5334911</v>
      </c>
      <c r="U901">
        <v>-1.3938900000000001</v>
      </c>
      <c r="V901">
        <v>0.14811559999999999</v>
      </c>
      <c r="W901">
        <v>0.3096237</v>
      </c>
      <c r="X901">
        <v>0.93925230000000004</v>
      </c>
      <c r="Y901">
        <v>0.31259599999999998</v>
      </c>
      <c r="Z901">
        <v>-1.2131390000000001E-2</v>
      </c>
      <c r="AA901">
        <v>0.94980869999999995</v>
      </c>
      <c r="AB901">
        <v>27</v>
      </c>
      <c r="AC901">
        <v>6.0124000000000102</v>
      </c>
      <c r="AD901">
        <v>-1.1075973370259999</v>
      </c>
      <c r="AE901">
        <v>-2.8536999999999999</v>
      </c>
      <c r="AF901">
        <v>2.1380668339298299</v>
      </c>
      <c r="AG901">
        <v>-1.1075973370259999</v>
      </c>
      <c r="AH901">
        <v>6.1127718343207302</v>
      </c>
      <c r="AI901">
        <v>99.705597021472499</v>
      </c>
      <c r="AJ901">
        <v>70.721672555541403</v>
      </c>
      <c r="AK901">
        <v>6.5699376820334203</v>
      </c>
      <c r="AL901">
        <v>71.963445154083303</v>
      </c>
      <c r="AM901">
        <v>81.038527023883901</v>
      </c>
      <c r="AN901">
        <v>0.999999974810169</v>
      </c>
    </row>
    <row r="902" spans="1:40" x14ac:dyDescent="0.25">
      <c r="A902" t="str">
        <f>"20190304164612822"</f>
        <v>20190304164612822</v>
      </c>
      <c r="B902" t="str">
        <f>"1551689172818971"</f>
        <v>1551689172818971</v>
      </c>
      <c r="C902" t="s">
        <v>40</v>
      </c>
      <c r="D902">
        <v>4.9077919999999997</v>
      </c>
      <c r="E902">
        <v>0.56818819999999903</v>
      </c>
      <c r="F902" t="s">
        <v>44</v>
      </c>
      <c r="G902">
        <v>-206.57759999999999</v>
      </c>
      <c r="H902" s="1">
        <v>-4.8551689999999999E-6</v>
      </c>
      <c r="I902">
        <v>364.36040000000003</v>
      </c>
      <c r="J902">
        <v>-213.53229999999999</v>
      </c>
      <c r="K902">
        <v>1.107594</v>
      </c>
      <c r="L902">
        <v>367.20609999999999</v>
      </c>
      <c r="M902">
        <v>0.99386629999999998</v>
      </c>
      <c r="N902">
        <v>-1.416072E-2</v>
      </c>
      <c r="O902">
        <v>-0.1096801</v>
      </c>
      <c r="P902">
        <v>0.92170359999999996</v>
      </c>
      <c r="Q902">
        <v>0.29799639999999999</v>
      </c>
      <c r="R902">
        <v>-0.24831600000000001</v>
      </c>
      <c r="S902">
        <v>3.0766450000000001</v>
      </c>
      <c r="T902">
        <v>-0.47693049999999998</v>
      </c>
      <c r="U902">
        <v>-1.235657</v>
      </c>
      <c r="V902">
        <v>0.14818999999999999</v>
      </c>
      <c r="W902">
        <v>0.31015500000000001</v>
      </c>
      <c r="X902">
        <v>0.93906529999999999</v>
      </c>
      <c r="Y902">
        <v>0.26657189999999997</v>
      </c>
      <c r="Z902">
        <v>-7.0811229999999999E-3</v>
      </c>
      <c r="AA902">
        <v>0.96378900000000001</v>
      </c>
      <c r="AB902">
        <v>27</v>
      </c>
      <c r="AC902">
        <v>6.9546999999999999</v>
      </c>
      <c r="AD902">
        <v>-1.1075988551689999</v>
      </c>
      <c r="AE902">
        <v>-2.8456999999999599</v>
      </c>
      <c r="AF902">
        <v>2.02173561576907</v>
      </c>
      <c r="AG902">
        <v>-1.1075988551689999</v>
      </c>
      <c r="AH902">
        <v>7.0712515808270799</v>
      </c>
      <c r="AI902">
        <v>98.564363828287597</v>
      </c>
      <c r="AJ902">
        <v>74.044281712783999</v>
      </c>
      <c r="AK902">
        <v>7.4375257339649101</v>
      </c>
      <c r="AL902">
        <v>71.931428597607706</v>
      </c>
      <c r="AM902">
        <v>81.032342287444905</v>
      </c>
      <c r="AN902">
        <v>1.0000000188945399</v>
      </c>
    </row>
    <row r="903" spans="1:40" x14ac:dyDescent="0.25">
      <c r="A903" t="str">
        <f>"20190304164612839"</f>
        <v>20190304164612839</v>
      </c>
      <c r="B903" t="str">
        <f>"1551689172828732"</f>
        <v>1551689172828732</v>
      </c>
      <c r="C903" t="s">
        <v>40</v>
      </c>
      <c r="D903">
        <v>4.9156870000000001</v>
      </c>
      <c r="E903">
        <v>0.56809489999999996</v>
      </c>
      <c r="F903" t="s">
        <v>44</v>
      </c>
      <c r="G903">
        <v>-206.18469999999999</v>
      </c>
      <c r="H903" s="1">
        <v>-4.7004360000000001E-6</v>
      </c>
      <c r="I903">
        <v>364.2328</v>
      </c>
      <c r="J903">
        <v>-213.33430000000001</v>
      </c>
      <c r="K903">
        <v>1.1075999999999999</v>
      </c>
      <c r="L903">
        <v>367.18060000000003</v>
      </c>
      <c r="M903">
        <v>0.99349019999999999</v>
      </c>
      <c r="N903">
        <v>-1.415983E-2</v>
      </c>
      <c r="O903">
        <v>-0.1130348</v>
      </c>
      <c r="P903">
        <v>0.9200332</v>
      </c>
      <c r="Q903">
        <v>0.29931289999999999</v>
      </c>
      <c r="R903">
        <v>-0.25288490000000002</v>
      </c>
      <c r="S903">
        <v>3.0698240000000001</v>
      </c>
      <c r="T903">
        <v>-0.46275189999999999</v>
      </c>
      <c r="U903">
        <v>-1.242218</v>
      </c>
      <c r="V903">
        <v>0.1497445</v>
      </c>
      <c r="W903">
        <v>0.31144809999999901</v>
      </c>
      <c r="X903">
        <v>0.93839039999999996</v>
      </c>
      <c r="Y903">
        <v>0.26596720000000001</v>
      </c>
      <c r="Z903">
        <v>-6.5025710000000004E-3</v>
      </c>
      <c r="AA903">
        <v>0.96396009999999999</v>
      </c>
      <c r="AB903">
        <v>27</v>
      </c>
      <c r="AC903">
        <v>7.1496000000000199</v>
      </c>
      <c r="AD903">
        <v>-1.1076047004359999</v>
      </c>
      <c r="AE903">
        <v>-2.94780000000002</v>
      </c>
      <c r="AF903">
        <v>2.0780430097517399</v>
      </c>
      <c r="AG903">
        <v>-1.1076047004359999</v>
      </c>
      <c r="AH903">
        <v>7.2875199461267499</v>
      </c>
      <c r="AI903">
        <v>98.315493239499801</v>
      </c>
      <c r="AJ903">
        <v>74.084450958049302</v>
      </c>
      <c r="AK903">
        <v>7.6585245242149202</v>
      </c>
      <c r="AL903">
        <v>71.853477440400596</v>
      </c>
      <c r="AM903">
        <v>80.933416816041898</v>
      </c>
      <c r="AN903">
        <v>0.99999993854300795</v>
      </c>
    </row>
    <row r="904" spans="1:40" x14ac:dyDescent="0.25">
      <c r="A904" t="str">
        <f>"20190304164612861"</f>
        <v>20190304164612861</v>
      </c>
      <c r="B904" t="str">
        <f>"1551689172858987"</f>
        <v>1551689172858987</v>
      </c>
      <c r="C904" t="s">
        <v>40</v>
      </c>
      <c r="D904">
        <v>4.6211279999999997</v>
      </c>
      <c r="E904">
        <v>0.56976990000000005</v>
      </c>
      <c r="F904" t="s">
        <v>44</v>
      </c>
      <c r="G904">
        <v>-205.8646</v>
      </c>
      <c r="H904" s="1">
        <v>-4.57785199999999E-6</v>
      </c>
      <c r="I904">
        <v>364.11320000000001</v>
      </c>
      <c r="J904">
        <v>-213.06469999999999</v>
      </c>
      <c r="K904">
        <v>1.1075999999999999</v>
      </c>
      <c r="L904">
        <v>367.1447</v>
      </c>
      <c r="M904">
        <v>0.99295670000000003</v>
      </c>
      <c r="N904">
        <v>-1.415888E-2</v>
      </c>
      <c r="O904">
        <v>-0.117629</v>
      </c>
      <c r="P904">
        <v>0.91793610000000003</v>
      </c>
      <c r="Q904">
        <v>0.30033330000000003</v>
      </c>
      <c r="R904">
        <v>-0.25921719999999998</v>
      </c>
      <c r="S904">
        <v>3.0628199999999999</v>
      </c>
      <c r="T904">
        <v>-0.45415450000000002</v>
      </c>
      <c r="U904">
        <v>-1.2577210000000001</v>
      </c>
      <c r="V904">
        <v>0.15193329999999999</v>
      </c>
      <c r="W904">
        <v>0.31243710000000002</v>
      </c>
      <c r="X904">
        <v>0.93770960000000003</v>
      </c>
      <c r="Y904">
        <v>0.26654860000000002</v>
      </c>
      <c r="Z904">
        <v>-5.9201849999999997E-3</v>
      </c>
      <c r="AA904">
        <v>0.96380330000000003</v>
      </c>
      <c r="AB904">
        <v>27</v>
      </c>
      <c r="AC904">
        <v>7.2000999999999902</v>
      </c>
      <c r="AD904">
        <v>-1.1076045778519901</v>
      </c>
      <c r="AE904">
        <v>-3.0314999999999901</v>
      </c>
      <c r="AF904">
        <v>2.1207945499511198</v>
      </c>
      <c r="AG904">
        <v>-1.1076045778519901</v>
      </c>
      <c r="AH904">
        <v>7.3588131892036301</v>
      </c>
      <c r="AI904">
        <v>98.229487065090197</v>
      </c>
      <c r="AJ904">
        <v>73.923129332036396</v>
      </c>
      <c r="AK904">
        <v>7.7380029062787496</v>
      </c>
      <c r="AL904">
        <v>71.793836658275595</v>
      </c>
      <c r="AM904">
        <v>80.796577365917003</v>
      </c>
      <c r="AN904">
        <v>0.99999998151872904</v>
      </c>
    </row>
    <row r="905" spans="1:40" x14ac:dyDescent="0.25">
      <c r="A905" t="str">
        <f>"20190304164612886"</f>
        <v>20190304164612886</v>
      </c>
      <c r="B905" t="str">
        <f>"1551689172878506"</f>
        <v>1551689172878506</v>
      </c>
      <c r="C905" t="s">
        <v>40</v>
      </c>
      <c r="D905">
        <v>4.828481</v>
      </c>
      <c r="E905">
        <v>0.57035089999999999</v>
      </c>
      <c r="F905" t="s">
        <v>44</v>
      </c>
      <c r="G905">
        <v>-205.03290000000001</v>
      </c>
      <c r="H905" s="1">
        <v>-4.2742090000000001E-6</v>
      </c>
      <c r="I905">
        <v>363.7353</v>
      </c>
      <c r="J905">
        <v>-212.78880000000001</v>
      </c>
      <c r="K905">
        <v>1.107585</v>
      </c>
      <c r="L905">
        <v>367.10660000000001</v>
      </c>
      <c r="M905">
        <v>0.99238340000000003</v>
      </c>
      <c r="N905">
        <v>-1.415836E-2</v>
      </c>
      <c r="O905">
        <v>-0.1223711</v>
      </c>
      <c r="P905">
        <v>0.91604790000000003</v>
      </c>
      <c r="Q905">
        <v>0.30015779999999997</v>
      </c>
      <c r="R905">
        <v>-0.26601059999999999</v>
      </c>
      <c r="S905">
        <v>3.0409090000000001</v>
      </c>
      <c r="T905">
        <v>-0.4193442</v>
      </c>
      <c r="U905">
        <v>-1.2908329999999999</v>
      </c>
      <c r="V905">
        <v>0.1544169</v>
      </c>
      <c r="W905">
        <v>0.31223000000000001</v>
      </c>
      <c r="X905">
        <v>0.93737280000000001</v>
      </c>
      <c r="Y905">
        <v>0.27350190000000002</v>
      </c>
      <c r="Z905">
        <v>-5.7164429999999999E-3</v>
      </c>
      <c r="AA905">
        <v>0.96185449999999995</v>
      </c>
      <c r="AB905">
        <v>27</v>
      </c>
      <c r="AC905">
        <v>7.7558999999999898</v>
      </c>
      <c r="AD905">
        <v>-1.1075892742090001</v>
      </c>
      <c r="AE905">
        <v>-3.3713000000000202</v>
      </c>
      <c r="AF905">
        <v>2.3563467575274002</v>
      </c>
      <c r="AG905">
        <v>-1.1075892742090001</v>
      </c>
      <c r="AH905">
        <v>7.97342357124234</v>
      </c>
      <c r="AI905">
        <v>97.587965744950296</v>
      </c>
      <c r="AJ905">
        <v>73.536267601043704</v>
      </c>
      <c r="AK905">
        <v>8.3877653453405401</v>
      </c>
      <c r="AL905">
        <v>71.806327076812593</v>
      </c>
      <c r="AM905">
        <v>80.645468401150396</v>
      </c>
      <c r="AN905">
        <v>0.99999995904272398</v>
      </c>
    </row>
    <row r="906" spans="1:40" x14ac:dyDescent="0.25">
      <c r="A906" t="str">
        <f>"20190304164612907"</f>
        <v>20190304164612907</v>
      </c>
      <c r="B906" t="str">
        <f>"1551689172899002"</f>
        <v>1551689172899002</v>
      </c>
      <c r="C906" t="s">
        <v>40</v>
      </c>
      <c r="D906">
        <v>4.880725</v>
      </c>
      <c r="E906">
        <v>0.56984060000000003</v>
      </c>
      <c r="F906" t="s">
        <v>44</v>
      </c>
      <c r="G906">
        <v>-204.6003</v>
      </c>
      <c r="H906" s="1">
        <v>-4.0988160000000001E-6</v>
      </c>
      <c r="I906">
        <v>363.55020000000002</v>
      </c>
      <c r="J906">
        <v>-212.53139999999999</v>
      </c>
      <c r="K906">
        <v>1.1075649999999999</v>
      </c>
      <c r="L906">
        <v>367.06979999999999</v>
      </c>
      <c r="M906">
        <v>0.99182269999999995</v>
      </c>
      <c r="N906">
        <v>-1.415808E-2</v>
      </c>
      <c r="O906">
        <v>-0.12683610000000001</v>
      </c>
      <c r="P906">
        <v>0.91455569999999997</v>
      </c>
      <c r="Q906">
        <v>0.29877599999999999</v>
      </c>
      <c r="R906">
        <v>-0.2726189</v>
      </c>
      <c r="S906">
        <v>3.0273279999999998</v>
      </c>
      <c r="T906">
        <v>-0.40948269999999998</v>
      </c>
      <c r="U906">
        <v>-1.314819</v>
      </c>
      <c r="V906">
        <v>0.1569256</v>
      </c>
      <c r="W906">
        <v>0.3108204</v>
      </c>
      <c r="X906">
        <v>0.9374247</v>
      </c>
      <c r="Y906">
        <v>0.27721059999999997</v>
      </c>
      <c r="Z906">
        <v>-5.4400899999999999E-3</v>
      </c>
      <c r="AA906">
        <v>0.96079380000000003</v>
      </c>
      <c r="AB906">
        <v>26</v>
      </c>
      <c r="AC906">
        <v>7.9310999999999803</v>
      </c>
      <c r="AD906">
        <v>-1.1075690988160001</v>
      </c>
      <c r="AE906">
        <v>-3.5195999999999601</v>
      </c>
      <c r="AF906">
        <v>2.4452770842390699</v>
      </c>
      <c r="AG906">
        <v>-1.1075690988160001</v>
      </c>
      <c r="AH906">
        <v>8.1802088597672</v>
      </c>
      <c r="AI906">
        <v>97.3913782896566</v>
      </c>
      <c r="AJ906">
        <v>73.3572273698923</v>
      </c>
      <c r="AK906">
        <v>8.6094080119814702</v>
      </c>
      <c r="AL906">
        <v>71.891321760186301</v>
      </c>
      <c r="AM906">
        <v>80.496759418563599</v>
      </c>
      <c r="AN906">
        <v>1.0000000165808001</v>
      </c>
    </row>
    <row r="907" spans="1:40" x14ac:dyDescent="0.25">
      <c r="A907" t="str">
        <f>"20190304164612929"</f>
        <v>20190304164612929</v>
      </c>
      <c r="B907" t="str">
        <f>"1551689172918522"</f>
        <v>1551689172918522</v>
      </c>
      <c r="C907" t="s">
        <v>40</v>
      </c>
      <c r="D907">
        <v>4.827</v>
      </c>
      <c r="E907">
        <v>0.56952380000000002</v>
      </c>
      <c r="F907" t="s">
        <v>44</v>
      </c>
      <c r="G907">
        <v>-204.62880000000001</v>
      </c>
      <c r="H907" s="1">
        <v>-4.1024559999999997E-6</v>
      </c>
      <c r="I907">
        <v>363.59829999999999</v>
      </c>
      <c r="J907">
        <v>-212.27760000000001</v>
      </c>
      <c r="K907">
        <v>1.107556</v>
      </c>
      <c r="L907">
        <v>367.0324</v>
      </c>
      <c r="M907">
        <v>0.9912434</v>
      </c>
      <c r="N907">
        <v>-1.4157889999999999E-2</v>
      </c>
      <c r="O907">
        <v>-0.13128679999999901</v>
      </c>
      <c r="P907">
        <v>0.91314569999999995</v>
      </c>
      <c r="Q907">
        <v>0.29768729999999999</v>
      </c>
      <c r="R907">
        <v>-0.2784739</v>
      </c>
      <c r="S907">
        <v>3.0228419999999998</v>
      </c>
      <c r="T907">
        <v>-0.42365550000000002</v>
      </c>
      <c r="U907">
        <v>-1.3278810000000001</v>
      </c>
      <c r="V907">
        <v>0.15869549999999999</v>
      </c>
      <c r="W907">
        <v>0.30970890000000001</v>
      </c>
      <c r="X907">
        <v>0.93749459999999996</v>
      </c>
      <c r="Y907">
        <v>0.27684229999999999</v>
      </c>
      <c r="Z907">
        <v>-4.9511859999999998E-3</v>
      </c>
      <c r="AA907">
        <v>0.96090260000000005</v>
      </c>
      <c r="AB907">
        <v>26</v>
      </c>
      <c r="AC907">
        <v>7.6487999999999898</v>
      </c>
      <c r="AD907">
        <v>-1.107560102456</v>
      </c>
      <c r="AE907">
        <v>-3.4340999999999999</v>
      </c>
      <c r="AF907">
        <v>2.3589195972232901</v>
      </c>
      <c r="AG907">
        <v>-1.107560102456</v>
      </c>
      <c r="AH907">
        <v>7.8956987651048696</v>
      </c>
      <c r="AI907">
        <v>97.654894840234206</v>
      </c>
      <c r="AJ907">
        <v>73.365954285614706</v>
      </c>
      <c r="AK907">
        <v>8.3146407039627999</v>
      </c>
      <c r="AL907">
        <v>71.9583115673462</v>
      </c>
      <c r="AM907">
        <v>80.392266735031896</v>
      </c>
      <c r="AN907">
        <v>0.99999999474431001</v>
      </c>
    </row>
    <row r="908" spans="1:40" x14ac:dyDescent="0.25">
      <c r="A908" t="str">
        <f>"20190304164612954"</f>
        <v>20190304164612954</v>
      </c>
      <c r="B908" t="str">
        <f>"1551689172948779"</f>
        <v>1551689172948779</v>
      </c>
      <c r="C908" t="s">
        <v>40</v>
      </c>
      <c r="D908">
        <v>4.8612029999999997</v>
      </c>
      <c r="E908">
        <v>0.56907189999999996</v>
      </c>
      <c r="F908" t="s">
        <v>44</v>
      </c>
      <c r="G908">
        <v>-204.57910000000001</v>
      </c>
      <c r="H908" s="1">
        <v>-4.0767070000000003E-6</v>
      </c>
      <c r="I908">
        <v>363.60169999999999</v>
      </c>
      <c r="J908">
        <v>-211.9743</v>
      </c>
      <c r="K908">
        <v>1.1075360000000001</v>
      </c>
      <c r="L908">
        <v>366.98610000000002</v>
      </c>
      <c r="M908">
        <v>0.99051389999999995</v>
      </c>
      <c r="N908">
        <v>-1.415807E-2</v>
      </c>
      <c r="O908">
        <v>-0.1366819</v>
      </c>
      <c r="P908">
        <v>0.91084050000000005</v>
      </c>
      <c r="Q908">
        <v>0.29863709999999999</v>
      </c>
      <c r="R908">
        <v>-0.2849312</v>
      </c>
      <c r="S908">
        <v>3.0168759999999999</v>
      </c>
      <c r="T908">
        <v>-0.43402610000000003</v>
      </c>
      <c r="U908">
        <v>-1.3443909999999999</v>
      </c>
      <c r="V908">
        <v>0.1603127</v>
      </c>
      <c r="W908">
        <v>0.31062329999999999</v>
      </c>
      <c r="X908">
        <v>0.93691679999999999</v>
      </c>
      <c r="Y908">
        <v>0.27667639999999999</v>
      </c>
      <c r="Z908">
        <v>-4.3202020000000004E-3</v>
      </c>
      <c r="AA908">
        <v>0.96095339999999996</v>
      </c>
      <c r="AB908">
        <v>26</v>
      </c>
      <c r="AC908">
        <v>7.3951999999999796</v>
      </c>
      <c r="AD908">
        <v>-1.1075400767070001</v>
      </c>
      <c r="AE908">
        <v>-3.3844000000000198</v>
      </c>
      <c r="AF908">
        <v>2.2991022021709</v>
      </c>
      <c r="AG908">
        <v>-1.1075400767070001</v>
      </c>
      <c r="AH908">
        <v>7.6466058944344901</v>
      </c>
      <c r="AI908">
        <v>97.896920236613596</v>
      </c>
      <c r="AJ908">
        <v>73.265562943654999</v>
      </c>
      <c r="AK908">
        <v>8.0612094416619406</v>
      </c>
      <c r="AL908">
        <v>71.903203360652</v>
      </c>
      <c r="AM908">
        <v>80.290340274783404</v>
      </c>
      <c r="AN908">
        <v>1.0000000432031999</v>
      </c>
    </row>
    <row r="909" spans="1:40" x14ac:dyDescent="0.25">
      <c r="A909" t="str">
        <f>"20190304164612974"</f>
        <v>20190304164612974</v>
      </c>
      <c r="B909" t="str">
        <f>"1551689172969274"</f>
        <v>1551689172969274</v>
      </c>
      <c r="C909" t="s">
        <v>40</v>
      </c>
      <c r="D909">
        <v>4.8647939999999998</v>
      </c>
      <c r="E909">
        <v>0.56883530000000004</v>
      </c>
      <c r="F909" t="s">
        <v>44</v>
      </c>
      <c r="G909">
        <v>-204.34989999999999</v>
      </c>
      <c r="H909" s="1">
        <v>-3.9797540000000004E-6</v>
      </c>
      <c r="I909">
        <v>363.5188</v>
      </c>
      <c r="J909">
        <v>-211.7448</v>
      </c>
      <c r="K909">
        <v>1.1075060000000001</v>
      </c>
      <c r="L909">
        <v>366.94979999999998</v>
      </c>
      <c r="M909">
        <v>0.98993030000000004</v>
      </c>
      <c r="N909">
        <v>-1.4159120000000001E-2</v>
      </c>
      <c r="O909">
        <v>-0.14084579999999999</v>
      </c>
      <c r="P909">
        <v>0.90830979999999995</v>
      </c>
      <c r="Q909">
        <v>0.30082930000000002</v>
      </c>
      <c r="R909">
        <v>-0.29064630000000002</v>
      </c>
      <c r="S909">
        <v>3.0089260000000002</v>
      </c>
      <c r="T909">
        <v>-0.437083</v>
      </c>
      <c r="U909">
        <v>-1.368317</v>
      </c>
      <c r="V909">
        <v>0.16241639999999999</v>
      </c>
      <c r="W909">
        <v>0.31276859999999901</v>
      </c>
      <c r="X909">
        <v>0.93584009999999995</v>
      </c>
      <c r="Y909">
        <v>0.27990739999999997</v>
      </c>
      <c r="Z909">
        <v>-4.0692740000000003E-3</v>
      </c>
      <c r="AA909">
        <v>0.96001840000000005</v>
      </c>
      <c r="AB909">
        <v>26</v>
      </c>
      <c r="AC909">
        <v>7.3948999999999998</v>
      </c>
      <c r="AD909">
        <v>-1.10750997975399</v>
      </c>
      <c r="AE909">
        <v>-3.4309999999999801</v>
      </c>
      <c r="AF909">
        <v>2.3124653486193698</v>
      </c>
      <c r="AG909">
        <v>-1.10750997975399</v>
      </c>
      <c r="AH909">
        <v>7.6630240255622004</v>
      </c>
      <c r="AI909">
        <v>97.8776396840953</v>
      </c>
      <c r="AJ909">
        <v>73.207798299778105</v>
      </c>
      <c r="AK909">
        <v>8.08059475287331</v>
      </c>
      <c r="AL909">
        <v>71.773841133752796</v>
      </c>
      <c r="AM909">
        <v>80.154304211246696</v>
      </c>
      <c r="AN909">
        <v>0.99999998845146398</v>
      </c>
    </row>
    <row r="910" spans="1:40" x14ac:dyDescent="0.25">
      <c r="A910" t="str">
        <f>"20190304164612997"</f>
        <v>20190304164612997</v>
      </c>
      <c r="B910" t="str">
        <f>"1551689172988795"</f>
        <v>1551689172988795</v>
      </c>
      <c r="C910" t="s">
        <v>40</v>
      </c>
      <c r="D910">
        <v>4.8345250000000002</v>
      </c>
      <c r="E910">
        <v>0.56862139999999906</v>
      </c>
      <c r="F910" t="s">
        <v>44</v>
      </c>
      <c r="G910">
        <v>-204.05019999999999</v>
      </c>
      <c r="H910" s="1">
        <v>-3.8592989999999901E-6</v>
      </c>
      <c r="I910">
        <v>363.3818</v>
      </c>
      <c r="J910">
        <v>-211.47399999999999</v>
      </c>
      <c r="K910">
        <v>1.107453</v>
      </c>
      <c r="L910">
        <v>366.90550000000002</v>
      </c>
      <c r="M910">
        <v>0.98920640000000004</v>
      </c>
      <c r="N910">
        <v>-1.4161409999999999E-2</v>
      </c>
      <c r="O910">
        <v>-0.14584339999999901</v>
      </c>
      <c r="P910">
        <v>0.90566999999999998</v>
      </c>
      <c r="Q910">
        <v>0.30208390000000002</v>
      </c>
      <c r="R910">
        <v>-0.29750219999999999</v>
      </c>
      <c r="S910">
        <v>3.000626</v>
      </c>
      <c r="T910">
        <v>-0.43188929999999998</v>
      </c>
      <c r="U910">
        <v>-1.391418</v>
      </c>
      <c r="V910">
        <v>0.1648857</v>
      </c>
      <c r="W910">
        <v>0.31397180000000002</v>
      </c>
      <c r="X910">
        <v>0.93500510000000003</v>
      </c>
      <c r="Y910">
        <v>0.2822075</v>
      </c>
      <c r="Z910">
        <v>-3.649233E-3</v>
      </c>
      <c r="AA910">
        <v>0.95934649999999999</v>
      </c>
      <c r="AB910">
        <v>26</v>
      </c>
      <c r="AC910">
        <v>7.4238000000000204</v>
      </c>
      <c r="AD910">
        <v>-1.107456859299</v>
      </c>
      <c r="AE910">
        <v>-3.5237000000000198</v>
      </c>
      <c r="AF910">
        <v>2.3603271162108599</v>
      </c>
      <c r="AG910">
        <v>-1.107456859299</v>
      </c>
      <c r="AH910">
        <v>7.71818923049294</v>
      </c>
      <c r="AI910">
        <v>97.812979465431496</v>
      </c>
      <c r="AJ910">
        <v>72.995656129488907</v>
      </c>
      <c r="AK910">
        <v>8.14665881134259</v>
      </c>
      <c r="AL910">
        <v>71.701247697087595</v>
      </c>
      <c r="AM910">
        <v>79.998866434560497</v>
      </c>
      <c r="AN910">
        <v>1.0000000611428601</v>
      </c>
    </row>
    <row r="911" spans="1:40" x14ac:dyDescent="0.25">
      <c r="A911" t="str">
        <f>"20190304164613011"</f>
        <v>20190304164613011</v>
      </c>
      <c r="B911" t="str">
        <f>"1551689172998554"</f>
        <v>1551689172998554</v>
      </c>
      <c r="C911" t="s">
        <v>40</v>
      </c>
      <c r="D911">
        <v>4.8530540000000002</v>
      </c>
      <c r="E911">
        <v>0.5688609</v>
      </c>
      <c r="F911" t="s">
        <v>44</v>
      </c>
      <c r="G911">
        <v>-203.7576</v>
      </c>
      <c r="H911" s="1">
        <v>-3.7414680000000001E-6</v>
      </c>
      <c r="I911">
        <v>363.24930000000001</v>
      </c>
      <c r="J911">
        <v>-211.30860000000001</v>
      </c>
      <c r="K911">
        <v>1.1074079999999999</v>
      </c>
      <c r="L911">
        <v>366.87779999999998</v>
      </c>
      <c r="M911">
        <v>0.98874320000000004</v>
      </c>
      <c r="N911">
        <v>-1.416311E-2</v>
      </c>
      <c r="O911">
        <v>-0.1489511</v>
      </c>
      <c r="P911">
        <v>0.90422559999999996</v>
      </c>
      <c r="Q911">
        <v>0.30259770000000002</v>
      </c>
      <c r="R911">
        <v>-0.30134830000000001</v>
      </c>
      <c r="S911">
        <v>2.9902190000000002</v>
      </c>
      <c r="T911">
        <v>-0.42915920000000002</v>
      </c>
      <c r="U911">
        <v>-1.4168400000000001</v>
      </c>
      <c r="V911">
        <v>0.16598740000000001</v>
      </c>
      <c r="W911">
        <v>0.31445659999999998</v>
      </c>
      <c r="X911">
        <v>0.93464709999999995</v>
      </c>
      <c r="Y911">
        <v>0.28713719999999998</v>
      </c>
      <c r="Z911">
        <v>-3.6578000000000001E-3</v>
      </c>
      <c r="AA911">
        <v>0.95788249999999997</v>
      </c>
      <c r="AB911">
        <v>26</v>
      </c>
      <c r="AC911">
        <v>7.5510000000000099</v>
      </c>
      <c r="AD911">
        <v>-1.107411741468</v>
      </c>
      <c r="AE911">
        <v>-3.6284999999999701</v>
      </c>
      <c r="AF911">
        <v>2.4208704982514901</v>
      </c>
      <c r="AG911">
        <v>-1.107411741468</v>
      </c>
      <c r="AH911">
        <v>7.8697585008067996</v>
      </c>
      <c r="AI911">
        <v>97.660173611235194</v>
      </c>
      <c r="AJ911">
        <v>72.901219421988102</v>
      </c>
      <c r="AK911">
        <v>8.3078320635089007</v>
      </c>
      <c r="AL911">
        <v>71.671987375280693</v>
      </c>
      <c r="AM911">
        <v>79.929628275196507</v>
      </c>
      <c r="AN911">
        <v>0.99999998589036398</v>
      </c>
    </row>
    <row r="912" spans="1:40" x14ac:dyDescent="0.25">
      <c r="A912" t="str">
        <f>"20190304164613030"</f>
        <v>20190304164613030</v>
      </c>
      <c r="B912" t="str">
        <f>"1551689173028811"</f>
        <v>1551689173028811</v>
      </c>
      <c r="C912" t="s">
        <v>40</v>
      </c>
      <c r="D912">
        <v>5.0506390000000003</v>
      </c>
      <c r="E912">
        <v>0.5941533</v>
      </c>
      <c r="F912" t="s">
        <v>44</v>
      </c>
      <c r="G912">
        <v>-203.5686</v>
      </c>
      <c r="H912" s="1">
        <v>-3.6671610000000002E-6</v>
      </c>
      <c r="I912">
        <v>363.15539999999999</v>
      </c>
      <c r="J912">
        <v>-211.08420000000001</v>
      </c>
      <c r="K912">
        <v>1.1073379999999999</v>
      </c>
      <c r="L912">
        <v>366.83920000000001</v>
      </c>
      <c r="M912">
        <v>0.98808289999999999</v>
      </c>
      <c r="N912">
        <v>-1.416648E-2</v>
      </c>
      <c r="O912">
        <v>-0.15326919999999999</v>
      </c>
      <c r="P912">
        <v>0.90176800000000001</v>
      </c>
      <c r="Q912">
        <v>0.30329590000000001</v>
      </c>
      <c r="R912">
        <v>-0.30793880000000001</v>
      </c>
      <c r="S912">
        <v>2.982513</v>
      </c>
      <c r="T912">
        <v>-0.42672959999999899</v>
      </c>
      <c r="U912">
        <v>-1.4343870000000001</v>
      </c>
      <c r="V912">
        <v>0.16883480000000001</v>
      </c>
      <c r="W912">
        <v>0.31509340000000002</v>
      </c>
      <c r="X912">
        <v>0.93392240000000004</v>
      </c>
      <c r="Y912">
        <v>0.28852879999999997</v>
      </c>
      <c r="Z912">
        <v>-3.2589089999999999E-3</v>
      </c>
      <c r="AA912">
        <v>0.95746569999999998</v>
      </c>
      <c r="AB912">
        <v>26</v>
      </c>
      <c r="AC912">
        <v>7.5156000000000001</v>
      </c>
      <c r="AD912">
        <v>-1.1073416671609999</v>
      </c>
      <c r="AE912">
        <v>-3.68380000000001</v>
      </c>
      <c r="AF912">
        <v>2.4454357002393299</v>
      </c>
      <c r="AG912">
        <v>-1.1073416671609999</v>
      </c>
      <c r="AH912">
        <v>7.85397843697005</v>
      </c>
      <c r="AI912">
        <v>97.666882329814499</v>
      </c>
      <c r="AJ912">
        <v>72.7053612262836</v>
      </c>
      <c r="AK912">
        <v>8.3000806393809494</v>
      </c>
      <c r="AL912">
        <v>71.633548495594894</v>
      </c>
      <c r="AM912">
        <v>79.752725672299206</v>
      </c>
      <c r="AN912">
        <v>1.0000000448181701</v>
      </c>
    </row>
    <row r="913" spans="1:40" x14ac:dyDescent="0.25">
      <c r="A913" t="str">
        <f>"20190304164613052"</f>
        <v>20190304164613052</v>
      </c>
      <c r="B913" t="str">
        <f>"1551689173048331"</f>
        <v>1551689173048331</v>
      </c>
      <c r="C913" t="s">
        <v>40</v>
      </c>
      <c r="D913">
        <v>5.1015180000000004</v>
      </c>
      <c r="E913">
        <v>0.59731959999999995</v>
      </c>
      <c r="F913" t="s">
        <v>44</v>
      </c>
      <c r="G913">
        <v>-204.453</v>
      </c>
      <c r="H913" s="1">
        <v>-4.12588E-6</v>
      </c>
      <c r="I913">
        <v>363.09379999999999</v>
      </c>
      <c r="J913">
        <v>-210.84289999999999</v>
      </c>
      <c r="K913">
        <v>1.1072340000000001</v>
      </c>
      <c r="L913">
        <v>366.79640000000001</v>
      </c>
      <c r="M913">
        <v>0.98732180000000003</v>
      </c>
      <c r="N913">
        <v>-1.4172769999999999E-2</v>
      </c>
      <c r="O913">
        <v>-0.15809699999999999</v>
      </c>
      <c r="P913">
        <v>0.89869330000000003</v>
      </c>
      <c r="Q913">
        <v>0.30466989999999999</v>
      </c>
      <c r="R913">
        <v>-0.31547819999999999</v>
      </c>
      <c r="S913">
        <v>2.9266969999999999</v>
      </c>
      <c r="T913">
        <v>-0.48873270000000002</v>
      </c>
      <c r="U913">
        <v>-1.653046</v>
      </c>
      <c r="V913">
        <v>0.1722812</v>
      </c>
      <c r="W913">
        <v>0.31637920000000003</v>
      </c>
      <c r="X913">
        <v>0.93285759999999995</v>
      </c>
      <c r="Y913">
        <v>0.34534680000000001</v>
      </c>
      <c r="Z913">
        <v>-7.3161909999999997E-3</v>
      </c>
      <c r="AA913">
        <v>0.93844660000000002</v>
      </c>
      <c r="AB913">
        <v>26</v>
      </c>
      <c r="AC913">
        <v>6.3898999999999804</v>
      </c>
      <c r="AD913">
        <v>-1.1072381258799999</v>
      </c>
      <c r="AE913">
        <v>-3.7026000000000101</v>
      </c>
      <c r="AF913">
        <v>2.5875357883593799</v>
      </c>
      <c r="AG913">
        <v>-1.1072381258799999</v>
      </c>
      <c r="AH913">
        <v>6.7433699932343201</v>
      </c>
      <c r="AI913">
        <v>98.715496119678505</v>
      </c>
      <c r="AJ913">
        <v>69.007416345991501</v>
      </c>
      <c r="AK913">
        <v>7.3071442157039597</v>
      </c>
      <c r="AL913">
        <v>71.555904228715406</v>
      </c>
      <c r="AM913">
        <v>79.536447917387306</v>
      </c>
      <c r="AN913">
        <v>0.99999995597191804</v>
      </c>
    </row>
    <row r="914" spans="1:40" x14ac:dyDescent="0.25">
      <c r="A914" t="str">
        <f>"20190304164613078"</f>
        <v>20190304164613078</v>
      </c>
      <c r="B914" t="str">
        <f>"1551689173068830"</f>
        <v>1551689173068830</v>
      </c>
      <c r="C914" t="s">
        <v>40</v>
      </c>
      <c r="D914">
        <v>5.0625780000000002</v>
      </c>
      <c r="E914">
        <v>0.59921499999999905</v>
      </c>
      <c r="F914" t="s">
        <v>44</v>
      </c>
      <c r="G914">
        <v>-204.44479999999999</v>
      </c>
      <c r="H914" s="1">
        <v>-4.1302949999999997E-6</v>
      </c>
      <c r="I914">
        <v>363.05520000000001</v>
      </c>
      <c r="J914">
        <v>-210.54069999999999</v>
      </c>
      <c r="K914">
        <v>1.107035</v>
      </c>
      <c r="L914">
        <v>366.7407</v>
      </c>
      <c r="M914">
        <v>0.98627540000000002</v>
      </c>
      <c r="N914">
        <v>-1.418794E-2</v>
      </c>
      <c r="O914">
        <v>-0.16449810000000001</v>
      </c>
      <c r="P914">
        <v>0.89453329999999998</v>
      </c>
      <c r="Q914">
        <v>0.3069518</v>
      </c>
      <c r="R914">
        <v>-0.3249475</v>
      </c>
      <c r="S914">
        <v>2.9113769999999999</v>
      </c>
      <c r="T914">
        <v>-0.50383230000000001</v>
      </c>
      <c r="U914">
        <v>-1.7023619999999999</v>
      </c>
      <c r="V914">
        <v>0.17641129999999999</v>
      </c>
      <c r="W914">
        <v>0.31852520000000001</v>
      </c>
      <c r="X914">
        <v>0.93135420000000002</v>
      </c>
      <c r="Y914">
        <v>0.3531263</v>
      </c>
      <c r="Z914">
        <v>-7.1888189999999999E-3</v>
      </c>
      <c r="AA914">
        <v>0.93554809999999999</v>
      </c>
      <c r="AB914">
        <v>26</v>
      </c>
      <c r="AC914">
        <v>6.0959000000000003</v>
      </c>
      <c r="AD914">
        <v>-1.107039130295</v>
      </c>
      <c r="AE914">
        <v>-3.68549999999999</v>
      </c>
      <c r="AF914">
        <v>2.5703403642312601</v>
      </c>
      <c r="AG914">
        <v>-1.107039130295</v>
      </c>
      <c r="AH914">
        <v>6.4630648698766997</v>
      </c>
      <c r="AI914">
        <v>99.043460962984994</v>
      </c>
      <c r="AJ914">
        <v>68.312441416649705</v>
      </c>
      <c r="AK914">
        <v>7.0429676086316899</v>
      </c>
      <c r="AL914">
        <v>71.426240337376399</v>
      </c>
      <c r="AM914">
        <v>79.274455208487595</v>
      </c>
      <c r="AN914">
        <v>0.99999994783018298</v>
      </c>
    </row>
    <row r="915" spans="1:40" x14ac:dyDescent="0.25">
      <c r="A915" t="str">
        <f>"20190304164613097"</f>
        <v>20190304164613097</v>
      </c>
      <c r="B915" t="str">
        <f>"1551689173088347"</f>
        <v>1551689173088347</v>
      </c>
      <c r="C915" t="s">
        <v>40</v>
      </c>
      <c r="D915">
        <v>5.0313970000000001</v>
      </c>
      <c r="E915">
        <v>0.59992019999999902</v>
      </c>
      <c r="F915" t="s">
        <v>44</v>
      </c>
      <c r="G915">
        <v>-204.17400000000001</v>
      </c>
      <c r="H915" s="1">
        <v>-4.0301279999999997E-6</v>
      </c>
      <c r="I915">
        <v>362.89249999999998</v>
      </c>
      <c r="J915">
        <v>-210.31540000000001</v>
      </c>
      <c r="K915">
        <v>1.10686</v>
      </c>
      <c r="L915">
        <v>366.69749999999999</v>
      </c>
      <c r="M915">
        <v>0.98542220000000003</v>
      </c>
      <c r="N915">
        <v>-1.4204069999999999E-2</v>
      </c>
      <c r="O915">
        <v>-0.1695332</v>
      </c>
      <c r="P915">
        <v>0.89083330000000005</v>
      </c>
      <c r="Q915">
        <v>0.30986979999999997</v>
      </c>
      <c r="R915">
        <v>-0.33226060000000002</v>
      </c>
      <c r="S915">
        <v>2.8913570000000002</v>
      </c>
      <c r="T915">
        <v>-0.50275209999999904</v>
      </c>
      <c r="U915">
        <v>-1.74762</v>
      </c>
      <c r="V915">
        <v>0.17964279999999999</v>
      </c>
      <c r="W915">
        <v>0.32132260000000001</v>
      </c>
      <c r="X915">
        <v>0.92977430000000005</v>
      </c>
      <c r="Y915">
        <v>0.36190159999999899</v>
      </c>
      <c r="Z915">
        <v>-7.2633960000000001E-3</v>
      </c>
      <c r="AA915">
        <v>0.93218800000000002</v>
      </c>
      <c r="AB915">
        <v>26</v>
      </c>
      <c r="AC915">
        <v>6.1414</v>
      </c>
      <c r="AD915">
        <v>-1.1068640301279999</v>
      </c>
      <c r="AE915">
        <v>-3.8050000000000002</v>
      </c>
      <c r="AF915">
        <v>2.6465127667644501</v>
      </c>
      <c r="AG915">
        <v>-1.1068640301279999</v>
      </c>
      <c r="AH915">
        <v>6.5440157697653003</v>
      </c>
      <c r="AI915">
        <v>98.911635023406603</v>
      </c>
      <c r="AJ915">
        <v>67.980743255552298</v>
      </c>
      <c r="AK915">
        <v>7.14516061406428</v>
      </c>
      <c r="AL915">
        <v>71.257070984412593</v>
      </c>
      <c r="AM915">
        <v>79.064560822937196</v>
      </c>
      <c r="AN915">
        <v>0.99999999890154501</v>
      </c>
    </row>
    <row r="916" spans="1:40" x14ac:dyDescent="0.25">
      <c r="A916" t="str">
        <f>"20190304164613118"</f>
        <v>20190304164613118</v>
      </c>
      <c r="B916" t="str">
        <f>"1551689173108843"</f>
        <v>1551689173108843</v>
      </c>
      <c r="C916" t="s">
        <v>40</v>
      </c>
      <c r="D916">
        <v>5.0548419999999998</v>
      </c>
      <c r="E916">
        <v>0.59851399999999999</v>
      </c>
      <c r="F916" t="s">
        <v>44</v>
      </c>
      <c r="G916">
        <v>-203.91679999999999</v>
      </c>
      <c r="H916" s="1">
        <v>-3.9335060000000003E-6</v>
      </c>
      <c r="I916">
        <v>362.74439999999998</v>
      </c>
      <c r="J916">
        <v>-210.06899999999999</v>
      </c>
      <c r="K916">
        <v>1.106676</v>
      </c>
      <c r="L916">
        <v>366.64870000000002</v>
      </c>
      <c r="M916">
        <v>0.98441400000000001</v>
      </c>
      <c r="N916">
        <v>-1.422378E-2</v>
      </c>
      <c r="O916">
        <v>-0.17529149999999999</v>
      </c>
      <c r="P916">
        <v>0.88690780000000002</v>
      </c>
      <c r="Q916">
        <v>0.31309360000000003</v>
      </c>
      <c r="R916">
        <v>-0.33965810000000002</v>
      </c>
      <c r="S916">
        <v>2.8777010000000001</v>
      </c>
      <c r="T916">
        <v>-0.49780000000000002</v>
      </c>
      <c r="U916">
        <v>-1.777863</v>
      </c>
      <c r="V916">
        <v>0.1823438</v>
      </c>
      <c r="W916">
        <v>0.32442530000000003</v>
      </c>
      <c r="X916">
        <v>0.92816969999999999</v>
      </c>
      <c r="Y916">
        <v>0.36558679999999999</v>
      </c>
      <c r="Z916">
        <v>-6.7779939999999999E-3</v>
      </c>
      <c r="AA916">
        <v>0.93075260000000004</v>
      </c>
      <c r="AB916">
        <v>26</v>
      </c>
      <c r="AC916">
        <v>6.1522000000000201</v>
      </c>
      <c r="AD916">
        <v>-1.106679933506</v>
      </c>
      <c r="AE916">
        <v>-3.9043000000000299</v>
      </c>
      <c r="AF916">
        <v>2.7029474798689099</v>
      </c>
      <c r="AG916">
        <v>-1.106679933506</v>
      </c>
      <c r="AH916">
        <v>6.5893808301768004</v>
      </c>
      <c r="AI916">
        <v>98.832237310004601</v>
      </c>
      <c r="AJ916">
        <v>67.696684527192502</v>
      </c>
      <c r="AK916">
        <v>7.2076768295516702</v>
      </c>
      <c r="AL916">
        <v>71.069239674867205</v>
      </c>
      <c r="AM916">
        <v>78.885488310898097</v>
      </c>
      <c r="AN916">
        <v>1.0000000143383001</v>
      </c>
    </row>
    <row r="917" spans="1:40" x14ac:dyDescent="0.25">
      <c r="A917" t="str">
        <f>"20190304164613141"</f>
        <v>20190304164613141</v>
      </c>
      <c r="B917" t="str">
        <f>"1551689173139099"</f>
        <v>1551689173139099</v>
      </c>
      <c r="C917" t="s">
        <v>40</v>
      </c>
      <c r="D917">
        <v>5.0633559999999997</v>
      </c>
      <c r="E917">
        <v>0.59801329999999997</v>
      </c>
      <c r="F917" t="s">
        <v>44</v>
      </c>
      <c r="G917">
        <v>-203.84719999999999</v>
      </c>
      <c r="H917" s="1">
        <v>-3.8946599999999999E-6</v>
      </c>
      <c r="I917">
        <v>362.76159999999999</v>
      </c>
      <c r="J917">
        <v>-209.80959999999999</v>
      </c>
      <c r="K917">
        <v>1.1064750000000001</v>
      </c>
      <c r="L917">
        <v>366.59519999999998</v>
      </c>
      <c r="M917">
        <v>0.98325720000000005</v>
      </c>
      <c r="N917">
        <v>-1.4244079999999999E-2</v>
      </c>
      <c r="O917">
        <v>-0.1816662</v>
      </c>
      <c r="P917">
        <v>0.88281010000000004</v>
      </c>
      <c r="Q917">
        <v>0.31593080000000001</v>
      </c>
      <c r="R917">
        <v>-0.34761249999999999</v>
      </c>
      <c r="S917">
        <v>2.8751829999999998</v>
      </c>
      <c r="T917">
        <v>-0.51141000000000003</v>
      </c>
      <c r="U917">
        <v>-1.796265</v>
      </c>
      <c r="V917">
        <v>0.18505930000000001</v>
      </c>
      <c r="W917">
        <v>0.32713969999999998</v>
      </c>
      <c r="X917">
        <v>0.92667829999999995</v>
      </c>
      <c r="Y917">
        <v>0.36417569999999999</v>
      </c>
      <c r="Z917">
        <v>-5.7965909999999898E-3</v>
      </c>
      <c r="AA917">
        <v>0.93131220000000003</v>
      </c>
      <c r="AB917">
        <v>26</v>
      </c>
      <c r="AC917">
        <v>5.9623999999999997</v>
      </c>
      <c r="AD917">
        <v>-1.1064788946599999</v>
      </c>
      <c r="AE917">
        <v>-3.8335999999999899</v>
      </c>
      <c r="AF917">
        <v>2.6226185942721001</v>
      </c>
      <c r="AG917">
        <v>-1.1064788946599999</v>
      </c>
      <c r="AH917">
        <v>6.4036438373364097</v>
      </c>
      <c r="AI917">
        <v>99.084606149517597</v>
      </c>
      <c r="AJ917">
        <v>67.72839903837</v>
      </c>
      <c r="AK917">
        <v>7.0077869709920799</v>
      </c>
      <c r="AL917">
        <v>70.904741423320601</v>
      </c>
      <c r="AM917">
        <v>78.706498389185995</v>
      </c>
      <c r="AN917">
        <v>0.99999999976173504</v>
      </c>
    </row>
    <row r="918" spans="1:40" x14ac:dyDescent="0.25">
      <c r="A918" t="str">
        <f>"20190304164613163"</f>
        <v>20190304164613163</v>
      </c>
      <c r="B918" t="str">
        <f>"1551689173158622"</f>
        <v>1551689173158622</v>
      </c>
      <c r="C918" t="s">
        <v>40</v>
      </c>
      <c r="D918">
        <v>5.0591739999999996</v>
      </c>
      <c r="E918">
        <v>0.59794340000000001</v>
      </c>
      <c r="F918" t="s">
        <v>44</v>
      </c>
      <c r="G918">
        <v>-203.63319999999999</v>
      </c>
      <c r="H918" s="1">
        <v>-3.809027E-6</v>
      </c>
      <c r="I918">
        <v>362.66230000000002</v>
      </c>
      <c r="J918">
        <v>-209.5488</v>
      </c>
      <c r="K918">
        <v>1.1062700000000001</v>
      </c>
      <c r="L918">
        <v>366.53919999999999</v>
      </c>
      <c r="M918">
        <v>0.98198660000000004</v>
      </c>
      <c r="N918">
        <v>-1.426562E-2</v>
      </c>
      <c r="O918">
        <v>-0.18841160000000001</v>
      </c>
      <c r="P918">
        <v>0.87855899999999998</v>
      </c>
      <c r="Q918">
        <v>0.3178069</v>
      </c>
      <c r="R918">
        <v>-0.35655759999999997</v>
      </c>
      <c r="S918">
        <v>2.8638150000000002</v>
      </c>
      <c r="T918">
        <v>-0.51304890000000003</v>
      </c>
      <c r="U918">
        <v>-1.8235779999999999</v>
      </c>
      <c r="V918">
        <v>0.18843360000000001</v>
      </c>
      <c r="W918">
        <v>0.3288875</v>
      </c>
      <c r="X918">
        <v>0.9253787</v>
      </c>
      <c r="Y918">
        <v>0.36582170000000003</v>
      </c>
      <c r="Z918">
        <v>-4.9958299999999997E-3</v>
      </c>
      <c r="AA918">
        <v>0.93067160000000004</v>
      </c>
      <c r="AB918">
        <v>26</v>
      </c>
      <c r="AC918">
        <v>5.9156000000000102</v>
      </c>
      <c r="AD918">
        <v>-1.1062738090269999</v>
      </c>
      <c r="AE918">
        <v>-3.8768999999999698</v>
      </c>
      <c r="AF918">
        <v>2.6284652657388801</v>
      </c>
      <c r="AG918">
        <v>-1.1062738090269999</v>
      </c>
      <c r="AH918">
        <v>6.3839755535580602</v>
      </c>
      <c r="AI918">
        <v>99.103613513608494</v>
      </c>
      <c r="AJ918">
        <v>67.621634176928296</v>
      </c>
      <c r="AK918">
        <v>6.99198221266058</v>
      </c>
      <c r="AL918">
        <v>70.798734295488998</v>
      </c>
      <c r="AM918">
        <v>78.490298722536195</v>
      </c>
      <c r="AN918">
        <v>0.99999997383944905</v>
      </c>
    </row>
    <row r="919" spans="1:40" x14ac:dyDescent="0.25">
      <c r="A919" t="str">
        <f>"20190304164613186"</f>
        <v>20190304164613186</v>
      </c>
      <c r="B919" t="str">
        <f>"1551689173179115"</f>
        <v>1551689173179115</v>
      </c>
      <c r="C919" t="s">
        <v>40</v>
      </c>
      <c r="D919">
        <v>5.0538780000000001</v>
      </c>
      <c r="E919">
        <v>0.59790089999999996</v>
      </c>
      <c r="F919" t="s">
        <v>44</v>
      </c>
      <c r="G919">
        <v>-203.36850000000001</v>
      </c>
      <c r="H919" s="1">
        <v>-3.7085550000000002E-6</v>
      </c>
      <c r="I919">
        <v>362.5145</v>
      </c>
      <c r="J919">
        <v>-209.28700000000001</v>
      </c>
      <c r="K919">
        <v>1.106066</v>
      </c>
      <c r="L919">
        <v>366.48099999999999</v>
      </c>
      <c r="M919">
        <v>0.98059479999999999</v>
      </c>
      <c r="N919">
        <v>-1.429068E-2</v>
      </c>
      <c r="O919">
        <v>-0.19552359999999999</v>
      </c>
      <c r="P919">
        <v>0.87383750000000004</v>
      </c>
      <c r="Q919">
        <v>0.31920949999999998</v>
      </c>
      <c r="R919">
        <v>-0.36676059999999999</v>
      </c>
      <c r="S919">
        <v>2.8466339999999999</v>
      </c>
      <c r="T919">
        <v>-0.50954350000000004</v>
      </c>
      <c r="U919">
        <v>-1.85379</v>
      </c>
      <c r="V919">
        <v>0.19280249999999999</v>
      </c>
      <c r="W919">
        <v>0.33014719999999997</v>
      </c>
      <c r="X919">
        <v>0.9240292</v>
      </c>
      <c r="Y919">
        <v>0.36864839999999999</v>
      </c>
      <c r="Z919">
        <v>-4.2570919999999996E-3</v>
      </c>
      <c r="AA919">
        <v>0.92955920000000003</v>
      </c>
      <c r="AB919">
        <v>26</v>
      </c>
      <c r="AC919">
        <v>5.9184999999999901</v>
      </c>
      <c r="AD919">
        <v>-1.106069708555</v>
      </c>
      <c r="AE919">
        <v>-3.9664999999999901</v>
      </c>
      <c r="AF919">
        <v>2.66829451634338</v>
      </c>
      <c r="AG919">
        <v>-1.106069708555</v>
      </c>
      <c r="AH919">
        <v>6.4250200559418396</v>
      </c>
      <c r="AI919">
        <v>99.033577105155004</v>
      </c>
      <c r="AJ919">
        <v>67.447012249271907</v>
      </c>
      <c r="AK919">
        <v>7.0444352893178097</v>
      </c>
      <c r="AL919">
        <v>70.722289227415004</v>
      </c>
      <c r="AM919">
        <v>78.214096997171296</v>
      </c>
      <c r="AN919">
        <v>0.99999997006336405</v>
      </c>
    </row>
    <row r="920" spans="1:40" x14ac:dyDescent="0.25">
      <c r="A920" t="str">
        <f>"20190304164613208"</f>
        <v>20190304164613208</v>
      </c>
      <c r="B920" t="str">
        <f>"1551689173199245"</f>
        <v>1551689173199245</v>
      </c>
      <c r="C920" t="s">
        <v>40</v>
      </c>
      <c r="D920">
        <v>5.0500569999999998</v>
      </c>
      <c r="E920">
        <v>0.59762320000000002</v>
      </c>
      <c r="F920" t="s">
        <v>44</v>
      </c>
      <c r="G920">
        <v>-203.1293</v>
      </c>
      <c r="H920" s="1">
        <v>-3.6199069999999998E-6</v>
      </c>
      <c r="I920">
        <v>362.37139999999999</v>
      </c>
      <c r="J920">
        <v>-209.04480000000001</v>
      </c>
      <c r="K920">
        <v>1.1058709999999901</v>
      </c>
      <c r="L920">
        <v>366.42489999999998</v>
      </c>
      <c r="M920">
        <v>0.97919800000000001</v>
      </c>
      <c r="N920">
        <v>-1.431702E-2</v>
      </c>
      <c r="O920">
        <v>-0.20240130000000001</v>
      </c>
      <c r="P920">
        <v>0.86988069999999895</v>
      </c>
      <c r="Q920">
        <v>0.31957780000000002</v>
      </c>
      <c r="R920">
        <v>-0.37573610000000002</v>
      </c>
      <c r="S920">
        <v>2.826797</v>
      </c>
      <c r="T920">
        <v>-0.50775769999999998</v>
      </c>
      <c r="U920">
        <v>-1.886536</v>
      </c>
      <c r="V920">
        <v>0.19603499999999999</v>
      </c>
      <c r="W920">
        <v>0.330397</v>
      </c>
      <c r="X920">
        <v>0.92325950000000001</v>
      </c>
      <c r="Y920">
        <v>0.37261640000000001</v>
      </c>
      <c r="Z920">
        <v>-3.6577559999999999E-3</v>
      </c>
      <c r="AA920">
        <v>0.92797830000000003</v>
      </c>
      <c r="AB920">
        <v>26</v>
      </c>
      <c r="AC920">
        <v>5.9154999999999998</v>
      </c>
      <c r="AD920">
        <v>-1.10587461990699</v>
      </c>
      <c r="AE920">
        <v>-4.0534999999999801</v>
      </c>
      <c r="AF920">
        <v>2.7077627040124801</v>
      </c>
      <c r="AG920">
        <v>-1.10587461990699</v>
      </c>
      <c r="AH920">
        <v>6.4599281927823498</v>
      </c>
      <c r="AI920">
        <v>98.971869194153797</v>
      </c>
      <c r="AJ920">
        <v>67.258373312102407</v>
      </c>
      <c r="AK920">
        <v>7.0912347156260198</v>
      </c>
      <c r="AL920">
        <v>70.707126492699999</v>
      </c>
      <c r="AM920">
        <v>78.012461416414595</v>
      </c>
      <c r="AN920">
        <v>1.00000000158712</v>
      </c>
    </row>
    <row r="921" spans="1:40" x14ac:dyDescent="0.25">
      <c r="A921" t="str">
        <f>"20190304164613230"</f>
        <v>20190304164613230</v>
      </c>
      <c r="B921" t="str">
        <f>"1551689173218765"</f>
        <v>1551689173218765</v>
      </c>
      <c r="C921" t="s">
        <v>40</v>
      </c>
      <c r="D921">
        <v>5.0542020000000001</v>
      </c>
      <c r="E921">
        <v>0.59736489999999998</v>
      </c>
      <c r="F921" t="s">
        <v>44</v>
      </c>
      <c r="G921">
        <v>-202.9599</v>
      </c>
      <c r="H921" s="1">
        <v>-3.5566529999999999E-6</v>
      </c>
      <c r="I921">
        <v>362.2724</v>
      </c>
      <c r="J921">
        <v>-208.7884</v>
      </c>
      <c r="K921">
        <v>1.1056629999999901</v>
      </c>
      <c r="L921">
        <v>366.36329999999998</v>
      </c>
      <c r="M921">
        <v>0.97760309999999995</v>
      </c>
      <c r="N921">
        <v>-1.434642E-2</v>
      </c>
      <c r="O921">
        <v>-0.20996809999999999</v>
      </c>
      <c r="P921">
        <v>0.86631239999999998</v>
      </c>
      <c r="Q921">
        <v>0.31866630000000001</v>
      </c>
      <c r="R921">
        <v>-0.38464900000000002</v>
      </c>
      <c r="S921">
        <v>2.8084410000000002</v>
      </c>
      <c r="T921">
        <v>-0.51041320000000001</v>
      </c>
      <c r="U921">
        <v>-1.916595</v>
      </c>
      <c r="V921">
        <v>0.19847419999999999</v>
      </c>
      <c r="W921">
        <v>0.32938010000000001</v>
      </c>
      <c r="X921">
        <v>0.92310170000000002</v>
      </c>
      <c r="Y921">
        <v>0.3750597</v>
      </c>
      <c r="Z921">
        <v>-2.8064679999999999E-3</v>
      </c>
      <c r="AA921">
        <v>0.92699640000000005</v>
      </c>
      <c r="AB921">
        <v>26</v>
      </c>
      <c r="AC921">
        <v>5.8284999999999902</v>
      </c>
      <c r="AD921">
        <v>-1.10566655665299</v>
      </c>
      <c r="AE921">
        <v>-4.0908999999999702</v>
      </c>
      <c r="AF921">
        <v>2.7104169907064999</v>
      </c>
      <c r="AG921">
        <v>-1.10566655665299</v>
      </c>
      <c r="AH921">
        <v>6.4032162844396696</v>
      </c>
      <c r="AI921">
        <v>99.035218206981597</v>
      </c>
      <c r="AJ921">
        <v>67.057548683624702</v>
      </c>
      <c r="AK921">
        <v>7.0405992346763204</v>
      </c>
      <c r="AL921">
        <v>70.768845655420094</v>
      </c>
      <c r="AM921">
        <v>77.865684700603794</v>
      </c>
      <c r="AN921">
        <v>1.00000000344227</v>
      </c>
    </row>
    <row r="922" spans="1:40" x14ac:dyDescent="0.25">
      <c r="A922" t="str">
        <f>"20190304164613253"</f>
        <v>20190304164613253</v>
      </c>
      <c r="B922" t="str">
        <f>"1551689173249022"</f>
        <v>1551689173249022</v>
      </c>
      <c r="C922" t="s">
        <v>40</v>
      </c>
      <c r="D922">
        <v>5.0757370000000002</v>
      </c>
      <c r="E922">
        <v>0.59080250000000001</v>
      </c>
      <c r="F922" t="s">
        <v>44</v>
      </c>
      <c r="G922">
        <v>-202.81280000000001</v>
      </c>
      <c r="H922" s="1">
        <v>-3.5014480000000001E-6</v>
      </c>
      <c r="I922">
        <v>362.1875</v>
      </c>
      <c r="J922">
        <v>-208.5232</v>
      </c>
      <c r="K922">
        <v>1.105459</v>
      </c>
      <c r="L922">
        <v>366.2971</v>
      </c>
      <c r="M922">
        <v>0.97582400000000002</v>
      </c>
      <c r="N922">
        <v>-1.437691E-2</v>
      </c>
      <c r="O922">
        <v>-0.2180851</v>
      </c>
      <c r="P922">
        <v>0.86243559999999997</v>
      </c>
      <c r="Q922">
        <v>0.31744919999999999</v>
      </c>
      <c r="R922">
        <v>-0.39424789999999998</v>
      </c>
      <c r="S922">
        <v>2.7877200000000002</v>
      </c>
      <c r="T922">
        <v>-0.51581429999999995</v>
      </c>
      <c r="U922">
        <v>-1.9481200000000001</v>
      </c>
      <c r="V922">
        <v>0.2011203</v>
      </c>
      <c r="W922">
        <v>0.32805610000000002</v>
      </c>
      <c r="X922">
        <v>0.9230005</v>
      </c>
      <c r="Y922">
        <v>0.37763170000000001</v>
      </c>
      <c r="Z922">
        <v>-1.855513E-3</v>
      </c>
      <c r="AA922">
        <v>0.92595400000000005</v>
      </c>
      <c r="AB922">
        <v>26</v>
      </c>
      <c r="AC922">
        <v>5.7103999999999902</v>
      </c>
      <c r="AD922">
        <v>-1.105462501448</v>
      </c>
      <c r="AE922">
        <v>-4.1096000000000004</v>
      </c>
      <c r="AF922">
        <v>2.6985537365612902</v>
      </c>
      <c r="AG922">
        <v>-1.105462501448</v>
      </c>
      <c r="AH922">
        <v>6.3133839384344199</v>
      </c>
      <c r="AI922">
        <v>99.146521026063297</v>
      </c>
      <c r="AJ922">
        <v>66.856498759291597</v>
      </c>
      <c r="AK922">
        <v>6.9543552084501901</v>
      </c>
      <c r="AL922">
        <v>70.849169951910596</v>
      </c>
      <c r="AM922">
        <v>77.707487779838502</v>
      </c>
      <c r="AN922">
        <v>1.00000005140977</v>
      </c>
    </row>
    <row r="923" spans="1:40" x14ac:dyDescent="0.25">
      <c r="A923" t="str">
        <f>"20190304164613276"</f>
        <v>20190304164613276</v>
      </c>
      <c r="B923" t="str">
        <f>"1551689173268541"</f>
        <v>1551689173268541</v>
      </c>
      <c r="C923" t="s">
        <v>40</v>
      </c>
      <c r="D923">
        <v>5.0716919999999996</v>
      </c>
      <c r="E923">
        <v>0.59070180000000005</v>
      </c>
      <c r="F923" t="s">
        <v>44</v>
      </c>
      <c r="G923">
        <v>-203.40049999999999</v>
      </c>
      <c r="H923" s="1">
        <v>-3.6686450000000001E-6</v>
      </c>
      <c r="I923">
        <v>362.7672</v>
      </c>
      <c r="J923">
        <v>-208.27440000000001</v>
      </c>
      <c r="K923">
        <v>1.105283</v>
      </c>
      <c r="L923">
        <v>366.23239999999998</v>
      </c>
      <c r="M923">
        <v>0.9740278</v>
      </c>
      <c r="N923">
        <v>-1.4404780000000001E-2</v>
      </c>
      <c r="O923">
        <v>-0.22597039999999999</v>
      </c>
      <c r="P923">
        <v>0.85808309999999999</v>
      </c>
      <c r="Q923">
        <v>0.31685099999999999</v>
      </c>
      <c r="R923">
        <v>-0.40410239999999997</v>
      </c>
      <c r="S923">
        <v>2.8153380000000001</v>
      </c>
      <c r="T923">
        <v>-0.60754809999999904</v>
      </c>
      <c r="U923">
        <v>-1.939972</v>
      </c>
      <c r="V923">
        <v>0.20432449999999999</v>
      </c>
      <c r="W923">
        <v>0.3273488</v>
      </c>
      <c r="X923">
        <v>0.92254769999999997</v>
      </c>
      <c r="Y923">
        <v>0.36354950000000003</v>
      </c>
      <c r="Z923">
        <v>1.622709E-3</v>
      </c>
      <c r="AA923">
        <v>0.93157350000000005</v>
      </c>
      <c r="AB923">
        <v>26</v>
      </c>
      <c r="AC923">
        <v>4.8739000000000097</v>
      </c>
      <c r="AD923">
        <v>-1.105286668645</v>
      </c>
      <c r="AE923">
        <v>-3.4651999999999799</v>
      </c>
      <c r="AF923">
        <v>2.1989623892135901</v>
      </c>
      <c r="AG923">
        <v>-1.105286668645</v>
      </c>
      <c r="AH923">
        <v>5.3482228536725502</v>
      </c>
      <c r="AI923">
        <v>100.82092735042799</v>
      </c>
      <c r="AJ923">
        <v>67.649613935901201</v>
      </c>
      <c r="AK923">
        <v>5.8873238318955803</v>
      </c>
      <c r="AL923">
        <v>70.892062761721704</v>
      </c>
      <c r="AM923">
        <v>77.511804409282107</v>
      </c>
      <c r="AN923">
        <v>0.99999999846848897</v>
      </c>
    </row>
    <row r="924" spans="1:40" x14ac:dyDescent="0.25">
      <c r="A924" t="str">
        <f>"20190304164613298"</f>
        <v>20190304164613298</v>
      </c>
      <c r="B924" t="str">
        <f>"1551689173288752"</f>
        <v>1551689173288752</v>
      </c>
      <c r="C924" t="s">
        <v>40</v>
      </c>
      <c r="D924">
        <v>5.0846119999999999</v>
      </c>
      <c r="E924">
        <v>0.59049980000000002</v>
      </c>
      <c r="F924" t="s">
        <v>44</v>
      </c>
      <c r="G924">
        <v>-203.21770000000001</v>
      </c>
      <c r="H924" s="1">
        <v>-3.600597E-6</v>
      </c>
      <c r="I924">
        <v>362.65929999999997</v>
      </c>
      <c r="J924">
        <v>-208.02209999999999</v>
      </c>
      <c r="K924">
        <v>1.105121</v>
      </c>
      <c r="L924">
        <v>366.16419999999999</v>
      </c>
      <c r="M924">
        <v>0.97208150000000004</v>
      </c>
      <c r="N924">
        <v>-1.4432189999999999E-2</v>
      </c>
      <c r="O924">
        <v>-0.2341994</v>
      </c>
      <c r="P924">
        <v>0.85324940000000005</v>
      </c>
      <c r="Q924">
        <v>0.31551570000000001</v>
      </c>
      <c r="R924">
        <v>-0.41522930000000002</v>
      </c>
      <c r="S924">
        <v>2.7923580000000001</v>
      </c>
      <c r="T924">
        <v>-0.61034769999999905</v>
      </c>
      <c r="U924">
        <v>-1.973114</v>
      </c>
      <c r="V924">
        <v>0.2085272</v>
      </c>
      <c r="W924">
        <v>0.32589849999999998</v>
      </c>
      <c r="X924">
        <v>0.92212070000000002</v>
      </c>
      <c r="Y924">
        <v>0.36668590000000001</v>
      </c>
      <c r="Z924">
        <v>2.7302730000000001E-3</v>
      </c>
      <c r="AA924">
        <v>0.93034079999999997</v>
      </c>
      <c r="AB924">
        <v>26</v>
      </c>
      <c r="AC924">
        <v>4.8043999999999798</v>
      </c>
      <c r="AD924">
        <v>-1.1051246005969999</v>
      </c>
      <c r="AE924">
        <v>-3.5049000000000201</v>
      </c>
      <c r="AF924">
        <v>2.20592218156342</v>
      </c>
      <c r="AG924">
        <v>-1.1051246005969999</v>
      </c>
      <c r="AH924">
        <v>5.3083735588032797</v>
      </c>
      <c r="AI924">
        <v>100.882156653479</v>
      </c>
      <c r="AJ924">
        <v>67.434418839479505</v>
      </c>
      <c r="AK924">
        <v>5.8537358066246901</v>
      </c>
      <c r="AL924">
        <v>70.979980886733401</v>
      </c>
      <c r="AM924">
        <v>77.257531328796304</v>
      </c>
      <c r="AN924">
        <v>1.00000000540529</v>
      </c>
    </row>
    <row r="925" spans="1:40" x14ac:dyDescent="0.25">
      <c r="A925" t="str">
        <f>"20190304164613320"</f>
        <v>20190304164613320</v>
      </c>
      <c r="B925" t="str">
        <f>"1551689173309249"</f>
        <v>1551689173309249</v>
      </c>
      <c r="C925" t="s">
        <v>40</v>
      </c>
      <c r="D925">
        <v>5.0837949999999896</v>
      </c>
      <c r="E925">
        <v>0.59036239999999995</v>
      </c>
      <c r="F925" t="s">
        <v>44</v>
      </c>
      <c r="G925">
        <v>-203.0677</v>
      </c>
      <c r="H925" s="1">
        <v>-3.543137E-6</v>
      </c>
      <c r="I925">
        <v>362.57780000000002</v>
      </c>
      <c r="J925">
        <v>-207.76840000000001</v>
      </c>
      <c r="K925">
        <v>1.1049949999999999</v>
      </c>
      <c r="L925">
        <v>366.09320000000002</v>
      </c>
      <c r="M925">
        <v>0.97000469999999905</v>
      </c>
      <c r="N925">
        <v>-1.4457640000000001E-2</v>
      </c>
      <c r="O925">
        <v>-0.24265639999999999</v>
      </c>
      <c r="P925">
        <v>0.84834549999999997</v>
      </c>
      <c r="Q925">
        <v>0.31480809999999998</v>
      </c>
      <c r="R925">
        <v>-0.42568299999999998</v>
      </c>
      <c r="S925">
        <v>2.7689360000000001</v>
      </c>
      <c r="T925">
        <v>-0.61762709999999998</v>
      </c>
      <c r="U925">
        <v>-2.0043639999999998</v>
      </c>
      <c r="V925">
        <v>0.21186369999999999</v>
      </c>
      <c r="W925">
        <v>0.32509909999999997</v>
      </c>
      <c r="X925">
        <v>0.92164219999999997</v>
      </c>
      <c r="Y925">
        <v>0.36921229999999999</v>
      </c>
      <c r="Z925">
        <v>4.0313509999999999E-3</v>
      </c>
      <c r="AA925">
        <v>0.9293363</v>
      </c>
      <c r="AB925">
        <v>26</v>
      </c>
      <c r="AC925">
        <v>4.7007000000000101</v>
      </c>
      <c r="AD925">
        <v>-1.104998543137</v>
      </c>
      <c r="AE925">
        <v>-3.5154000000000001</v>
      </c>
      <c r="AF925">
        <v>2.1918601315345301</v>
      </c>
      <c r="AG925">
        <v>-1.104998543137</v>
      </c>
      <c r="AH925">
        <v>5.2280267529504902</v>
      </c>
      <c r="AI925">
        <v>101.029939758712</v>
      </c>
      <c r="AJ925">
        <v>67.254039878392604</v>
      </c>
      <c r="AK925">
        <v>5.7755983539466698</v>
      </c>
      <c r="AL925">
        <v>71.028420932048206</v>
      </c>
      <c r="AM925">
        <v>77.053966998192806</v>
      </c>
      <c r="AN925">
        <v>0.99999999850966903</v>
      </c>
    </row>
    <row r="926" spans="1:40" x14ac:dyDescent="0.25">
      <c r="A926" t="str">
        <f>"20190304164613343"</f>
        <v>20190304164613343</v>
      </c>
      <c r="B926" t="str">
        <f>"1551689173338529"</f>
        <v>1551689173338529</v>
      </c>
      <c r="C926" t="s">
        <v>40</v>
      </c>
      <c r="D926">
        <v>5.0762869999999998</v>
      </c>
      <c r="E926">
        <v>0.59012249999999999</v>
      </c>
      <c r="F926" t="s">
        <v>44</v>
      </c>
      <c r="G926">
        <v>-202.89570000000001</v>
      </c>
      <c r="H926" s="1">
        <v>-3.4756740000000002E-6</v>
      </c>
      <c r="I926">
        <v>362.49180000000001</v>
      </c>
      <c r="J926">
        <v>-207.52289999999999</v>
      </c>
      <c r="K926">
        <v>1.1049040000000001</v>
      </c>
      <c r="L926">
        <v>366.02199999999999</v>
      </c>
      <c r="M926">
        <v>0.96788169999999996</v>
      </c>
      <c r="N926">
        <v>-1.447934E-2</v>
      </c>
      <c r="O926">
        <v>-0.25098880000000001</v>
      </c>
      <c r="P926">
        <v>0.84302699999999997</v>
      </c>
      <c r="Q926">
        <v>0.31405070000000002</v>
      </c>
      <c r="R926">
        <v>-0.43666680000000002</v>
      </c>
      <c r="S926">
        <v>2.7483369999999998</v>
      </c>
      <c r="T926">
        <v>-0.62324380000000001</v>
      </c>
      <c r="U926">
        <v>-2.03125</v>
      </c>
      <c r="V926">
        <v>0.21591740000000001</v>
      </c>
      <c r="W926">
        <v>0.3242467</v>
      </c>
      <c r="X926">
        <v>0.92100150000000003</v>
      </c>
      <c r="Y926">
        <v>0.37047020000000003</v>
      </c>
      <c r="Z926">
        <v>5.4499619999999896E-3</v>
      </c>
      <c r="AA926">
        <v>0.9288284</v>
      </c>
      <c r="AB926">
        <v>26</v>
      </c>
      <c r="AC926">
        <v>4.6271999999999798</v>
      </c>
      <c r="AD926">
        <v>-1.1049074756739901</v>
      </c>
      <c r="AE926">
        <v>-3.5301999999999798</v>
      </c>
      <c r="AF926">
        <v>2.1772087080681599</v>
      </c>
      <c r="AG926">
        <v>-1.1049074756739901</v>
      </c>
      <c r="AH926">
        <v>5.1785463136333201</v>
      </c>
      <c r="AI926">
        <v>101.1272569477</v>
      </c>
      <c r="AJ926">
        <v>67.196725311757106</v>
      </c>
      <c r="AK926">
        <v>5.72524237135279</v>
      </c>
      <c r="AL926">
        <v>71.080057298701007</v>
      </c>
      <c r="AM926">
        <v>76.805988278870103</v>
      </c>
      <c r="AN926">
        <v>1.00000000454295</v>
      </c>
    </row>
    <row r="927" spans="1:40" x14ac:dyDescent="0.25">
      <c r="A927" t="str">
        <f>"20190304164613356"</f>
        <v>20190304164613356</v>
      </c>
      <c r="B927" t="str">
        <f>"1551689173349265"</f>
        <v>1551689173349265</v>
      </c>
      <c r="C927" t="s">
        <v>40</v>
      </c>
      <c r="D927">
        <v>5.0580480000000003</v>
      </c>
      <c r="E927">
        <v>0.59001230000000005</v>
      </c>
      <c r="F927" t="s">
        <v>44</v>
      </c>
      <c r="G927">
        <v>-202.7364</v>
      </c>
      <c r="H927" s="1">
        <v>-3.4160820000000001E-6</v>
      </c>
      <c r="I927">
        <v>362.399</v>
      </c>
      <c r="J927">
        <v>-207.36959999999999</v>
      </c>
      <c r="K927">
        <v>1.1048559999999901</v>
      </c>
      <c r="L927">
        <v>365.97649999999999</v>
      </c>
      <c r="M927">
        <v>0.96650320000000001</v>
      </c>
      <c r="N927">
        <v>-1.4491739999999999E-2</v>
      </c>
      <c r="O927">
        <v>-0.25624560000000002</v>
      </c>
      <c r="P927">
        <v>0.83977869999999999</v>
      </c>
      <c r="Q927">
        <v>0.31322620000000001</v>
      </c>
      <c r="R927">
        <v>-0.44346580000000002</v>
      </c>
      <c r="S927">
        <v>2.7246549999999998</v>
      </c>
      <c r="T927">
        <v>-0.62896070000000004</v>
      </c>
      <c r="U927">
        <v>-2.0623170000000002</v>
      </c>
      <c r="V927">
        <v>0.2183128</v>
      </c>
      <c r="W927">
        <v>0.32336969999999998</v>
      </c>
      <c r="X927">
        <v>0.92074509999999998</v>
      </c>
      <c r="Y927">
        <v>0.37595780000000001</v>
      </c>
      <c r="Z927">
        <v>5.9036430000000001E-3</v>
      </c>
      <c r="AA927">
        <v>0.92661800000000005</v>
      </c>
      <c r="AB927">
        <v>26</v>
      </c>
      <c r="AC927">
        <v>4.63319999999998</v>
      </c>
      <c r="AD927">
        <v>-1.10485941608199</v>
      </c>
      <c r="AE927">
        <v>-3.5774999999999801</v>
      </c>
      <c r="AF927">
        <v>2.1925550602147701</v>
      </c>
      <c r="AG927">
        <v>-1.10485941608199</v>
      </c>
      <c r="AH927">
        <v>5.2096886400083404</v>
      </c>
      <c r="AI927">
        <v>101.060249305646</v>
      </c>
      <c r="AJ927">
        <v>67.175670026448401</v>
      </c>
      <c r="AK927">
        <v>5.7592419420623804</v>
      </c>
      <c r="AL927">
        <v>71.133166832413707</v>
      </c>
      <c r="AM927">
        <v>76.661234384828902</v>
      </c>
      <c r="AN927">
        <v>0.99999999034796905</v>
      </c>
    </row>
    <row r="928" spans="1:40" x14ac:dyDescent="0.25">
      <c r="A928" t="str">
        <f>"20190304164613368"</f>
        <v>20190304164613368</v>
      </c>
      <c r="B928" t="str">
        <f>"1551689173359025"</f>
        <v>1551689173359025</v>
      </c>
      <c r="C928" t="s">
        <v>40</v>
      </c>
      <c r="D928">
        <v>5.0483909999999996</v>
      </c>
      <c r="E928">
        <v>0.59001139999999996</v>
      </c>
      <c r="F928" t="s">
        <v>44</v>
      </c>
      <c r="G928">
        <v>-202.64400000000001</v>
      </c>
      <c r="H928" s="1">
        <v>-3.3810529999999999E-6</v>
      </c>
      <c r="I928">
        <v>362.34730000000002</v>
      </c>
      <c r="J928">
        <v>-207.23259999999999</v>
      </c>
      <c r="K928">
        <v>1.1048180000000001</v>
      </c>
      <c r="L928">
        <v>365.93470000000002</v>
      </c>
      <c r="M928">
        <v>0.96522940000000002</v>
      </c>
      <c r="N928">
        <v>-1.4502350000000001E-2</v>
      </c>
      <c r="O928">
        <v>-0.26100189999999901</v>
      </c>
      <c r="P928">
        <v>0.83661439999999998</v>
      </c>
      <c r="Q928">
        <v>0.31267719999999999</v>
      </c>
      <c r="R928">
        <v>-0.44978820000000003</v>
      </c>
      <c r="S928">
        <v>2.7097319999999998</v>
      </c>
      <c r="T928">
        <v>-0.63353630000000005</v>
      </c>
      <c r="U928">
        <v>-2.080994</v>
      </c>
      <c r="V928">
        <v>0.2207036</v>
      </c>
      <c r="W928">
        <v>0.32276899999999997</v>
      </c>
      <c r="X928">
        <v>0.92038580000000003</v>
      </c>
      <c r="Y928">
        <v>0.3778687</v>
      </c>
      <c r="Z928">
        <v>6.6395179999999996E-3</v>
      </c>
      <c r="AA928">
        <v>0.92583539999999998</v>
      </c>
      <c r="AB928">
        <v>26</v>
      </c>
      <c r="AC928">
        <v>4.58859999999998</v>
      </c>
      <c r="AD928">
        <v>-1.1048213810529901</v>
      </c>
      <c r="AE928">
        <v>-3.5874000000000001</v>
      </c>
      <c r="AF928">
        <v>2.1865938056740499</v>
      </c>
      <c r="AG928">
        <v>-1.1048213810529901</v>
      </c>
      <c r="AH928">
        <v>5.1795698908244603</v>
      </c>
      <c r="AI928">
        <v>101.117560039976</v>
      </c>
      <c r="AJ928">
        <v>67.112600079860101</v>
      </c>
      <c r="AK928">
        <v>5.7297266085721104</v>
      </c>
      <c r="AL928">
        <v>71.169534098201595</v>
      </c>
      <c r="AM928">
        <v>76.515391588921403</v>
      </c>
      <c r="AN928">
        <v>0.99999996362779897</v>
      </c>
    </row>
    <row r="929" spans="1:40" x14ac:dyDescent="0.25">
      <c r="A929" t="str">
        <f>"20190304164613381"</f>
        <v>20190304164613381</v>
      </c>
      <c r="B929" t="str">
        <f>"1551689173368786"</f>
        <v>1551689173368786</v>
      </c>
      <c r="C929" t="s">
        <v>40</v>
      </c>
      <c r="D929">
        <v>5.0424959999999999</v>
      </c>
      <c r="E929">
        <v>0.58997310000000003</v>
      </c>
      <c r="F929" t="s">
        <v>44</v>
      </c>
      <c r="G929">
        <v>-202.54929999999999</v>
      </c>
      <c r="H929" s="1">
        <v>-3.3467609999999999E-6</v>
      </c>
      <c r="I929">
        <v>362.28710000000001</v>
      </c>
      <c r="J929">
        <v>-207.09880000000001</v>
      </c>
      <c r="K929">
        <v>1.104786</v>
      </c>
      <c r="L929">
        <v>365.89319999999998</v>
      </c>
      <c r="M929">
        <v>0.96395459999999999</v>
      </c>
      <c r="N929">
        <v>-1.451247E-2</v>
      </c>
      <c r="O929">
        <v>-0.2656712</v>
      </c>
      <c r="P929">
        <v>0.83328840000000004</v>
      </c>
      <c r="Q929">
        <v>0.31193799999999999</v>
      </c>
      <c r="R929">
        <v>-0.45642719999999998</v>
      </c>
      <c r="S929">
        <v>2.6950229999999999</v>
      </c>
      <c r="T929">
        <v>-0.63578459999999903</v>
      </c>
      <c r="U929">
        <v>-2.09903</v>
      </c>
      <c r="V929">
        <v>0.22352320000000001</v>
      </c>
      <c r="W929">
        <v>0.3219728</v>
      </c>
      <c r="X929">
        <v>0.91998420000000003</v>
      </c>
      <c r="Y929">
        <v>0.37970379999999998</v>
      </c>
      <c r="Z929">
        <v>7.3297279999999998E-3</v>
      </c>
      <c r="AA929">
        <v>0.92507899999999998</v>
      </c>
      <c r="AB929">
        <v>26</v>
      </c>
      <c r="AC929">
        <v>4.5495000000000196</v>
      </c>
      <c r="AD929">
        <v>-1.1047893467609999</v>
      </c>
      <c r="AE929">
        <v>-3.6060999999999601</v>
      </c>
      <c r="AF929">
        <v>2.1884272564206801</v>
      </c>
      <c r="AG929">
        <v>-1.1047893467609999</v>
      </c>
      <c r="AH929">
        <v>5.1573308332482499</v>
      </c>
      <c r="AI929">
        <v>101.15548568551</v>
      </c>
      <c r="AJ929">
        <v>67.006870311915904</v>
      </c>
      <c r="AK929">
        <v>5.7103270204896903</v>
      </c>
      <c r="AL929">
        <v>71.217726821696303</v>
      </c>
      <c r="AM929">
        <v>76.343790192156305</v>
      </c>
      <c r="AN929">
        <v>1.0000000165638501</v>
      </c>
    </row>
    <row r="930" spans="1:40" x14ac:dyDescent="0.25">
      <c r="A930" t="str">
        <f>"20190304164613397"</f>
        <v>20190304164613397</v>
      </c>
      <c r="B930" t="str">
        <f>"1551689173389147"</f>
        <v>1551689173389147</v>
      </c>
      <c r="C930" t="s">
        <v>40</v>
      </c>
      <c r="D930">
        <v>5.0908030000000002</v>
      </c>
      <c r="E930">
        <v>0.58984040000000004</v>
      </c>
      <c r="F930" t="s">
        <v>44</v>
      </c>
      <c r="G930">
        <v>-202.46510000000001</v>
      </c>
      <c r="H930" s="1">
        <v>-3.3165119999999998E-6</v>
      </c>
      <c r="I930">
        <v>362.23250000000002</v>
      </c>
      <c r="J930">
        <v>-206.90719999999999</v>
      </c>
      <c r="K930">
        <v>1.104733</v>
      </c>
      <c r="L930">
        <v>365.83269999999999</v>
      </c>
      <c r="M930">
        <v>0.96207039999999999</v>
      </c>
      <c r="N930">
        <v>-1.452667E-2</v>
      </c>
      <c r="O930">
        <v>-0.27241459999999901</v>
      </c>
      <c r="P930">
        <v>0.82841749999999903</v>
      </c>
      <c r="Q930">
        <v>0.30977549999999998</v>
      </c>
      <c r="R930">
        <v>-0.46665190000000001</v>
      </c>
      <c r="S930">
        <v>2.6797490000000002</v>
      </c>
      <c r="T930">
        <v>-0.63891569999999998</v>
      </c>
      <c r="U930">
        <v>-2.1170960000000001</v>
      </c>
      <c r="V930">
        <v>0.22821269999999999</v>
      </c>
      <c r="W930">
        <v>0.31972</v>
      </c>
      <c r="X930">
        <v>0.91961839999999995</v>
      </c>
      <c r="Y930">
        <v>0.37969890000000001</v>
      </c>
      <c r="Z930">
        <v>8.6225529999999998E-3</v>
      </c>
      <c r="AA930">
        <v>0.92506999999999995</v>
      </c>
      <c r="AB930">
        <v>26</v>
      </c>
      <c r="AC930">
        <v>4.4420999999999804</v>
      </c>
      <c r="AD930">
        <v>-1.1047363165120001</v>
      </c>
      <c r="AE930">
        <v>-3.6001999999999699</v>
      </c>
      <c r="AF930">
        <v>2.1726850996907499</v>
      </c>
      <c r="AG930">
        <v>-1.1047363165120001</v>
      </c>
      <c r="AH930">
        <v>5.0658093303160099</v>
      </c>
      <c r="AI930">
        <v>101.333129164998</v>
      </c>
      <c r="AJ930">
        <v>66.785893967965904</v>
      </c>
      <c r="AK930">
        <v>5.6216925425138102</v>
      </c>
      <c r="AL930">
        <v>71.35400667063</v>
      </c>
      <c r="AM930">
        <v>76.0630106056758</v>
      </c>
      <c r="AN930">
        <v>0.99999995822992405</v>
      </c>
    </row>
    <row r="931" spans="1:40" x14ac:dyDescent="0.25">
      <c r="A931" t="str">
        <f>"20190304164613411"</f>
        <v>20190304164613411</v>
      </c>
      <c r="B931" t="str">
        <f>"1551689173408667"</f>
        <v>1551689173408667</v>
      </c>
      <c r="C931" t="s">
        <v>40</v>
      </c>
      <c r="D931">
        <v>5.0599150000000002</v>
      </c>
      <c r="E931">
        <v>0.58969930000000004</v>
      </c>
      <c r="F931" t="s">
        <v>44</v>
      </c>
      <c r="G931">
        <v>-202.38120000000001</v>
      </c>
      <c r="H931" s="1">
        <v>-3.2865179999999999E-6</v>
      </c>
      <c r="I931">
        <v>362.17720000000003</v>
      </c>
      <c r="J931">
        <v>-206.75810000000001</v>
      </c>
      <c r="K931">
        <v>1.1046879999999999</v>
      </c>
      <c r="L931">
        <v>365.78449999999998</v>
      </c>
      <c r="M931">
        <v>0.96055699999999999</v>
      </c>
      <c r="N931">
        <v>-1.453757E-2</v>
      </c>
      <c r="O931">
        <v>-0.27770280000000003</v>
      </c>
      <c r="P931">
        <v>0.82512479999999999</v>
      </c>
      <c r="Q931">
        <v>0.30886999999999998</v>
      </c>
      <c r="R931">
        <v>-0.47304170000000001</v>
      </c>
      <c r="S931">
        <v>2.6555789999999999</v>
      </c>
      <c r="T931">
        <v>-0.64819490000000002</v>
      </c>
      <c r="U931">
        <v>-2.144806</v>
      </c>
      <c r="V931">
        <v>0.23019300000000001</v>
      </c>
      <c r="W931">
        <v>0.31877159999999999</v>
      </c>
      <c r="X931">
        <v>0.91945410000000005</v>
      </c>
      <c r="Y931">
        <v>0.38446960000000002</v>
      </c>
      <c r="Z931">
        <v>9.3004109999999997E-3</v>
      </c>
      <c r="AA931">
        <v>0.92309079999999999</v>
      </c>
      <c r="AB931">
        <v>26</v>
      </c>
      <c r="AC931">
        <v>4.3769</v>
      </c>
      <c r="AD931">
        <v>-1.1046912865180001</v>
      </c>
      <c r="AE931">
        <v>-3.6072999999999502</v>
      </c>
      <c r="AF931">
        <v>2.1675529962851798</v>
      </c>
      <c r="AG931">
        <v>-1.1046912865180001</v>
      </c>
      <c r="AH931">
        <v>5.0162803099869899</v>
      </c>
      <c r="AI931">
        <v>101.42864994289801</v>
      </c>
      <c r="AJ931">
        <v>66.630651341693294</v>
      </c>
      <c r="AK931">
        <v>5.57509614074743</v>
      </c>
      <c r="AL931">
        <v>71.411347203695996</v>
      </c>
      <c r="AM931">
        <v>75.9444346479046</v>
      </c>
      <c r="AN931">
        <v>0.99999999611118495</v>
      </c>
    </row>
    <row r="932" spans="1:40" x14ac:dyDescent="0.25">
      <c r="A932" t="str">
        <f>"20190304164613424"</f>
        <v>20190304164613424</v>
      </c>
      <c r="B932" t="str">
        <f>"1551689173418427"</f>
        <v>1551689173418427</v>
      </c>
      <c r="C932" t="s">
        <v>40</v>
      </c>
      <c r="D932">
        <v>5.0795120000000002</v>
      </c>
      <c r="E932">
        <v>0.58971509999999905</v>
      </c>
      <c r="F932" t="s">
        <v>44</v>
      </c>
      <c r="G932">
        <v>-202.2792</v>
      </c>
      <c r="H932" s="1">
        <v>-3.249295E-6</v>
      </c>
      <c r="I932">
        <v>362.11369999999999</v>
      </c>
      <c r="J932">
        <v>-206.6165</v>
      </c>
      <c r="K932">
        <v>1.1046499999999999</v>
      </c>
      <c r="L932">
        <v>365.73759999999999</v>
      </c>
      <c r="M932">
        <v>0.95907710000000002</v>
      </c>
      <c r="N932">
        <v>-1.45477E-2</v>
      </c>
      <c r="O932">
        <v>-0.28277140000000001</v>
      </c>
      <c r="P932">
        <v>0.82190409999999903</v>
      </c>
      <c r="Q932">
        <v>0.30798449999999999</v>
      </c>
      <c r="R932">
        <v>-0.47918670000000002</v>
      </c>
      <c r="S932">
        <v>2.6393589999999998</v>
      </c>
      <c r="T932">
        <v>-0.65097700000000003</v>
      </c>
      <c r="U932">
        <v>-2.1631469999999999</v>
      </c>
      <c r="V932">
        <v>0.2321281</v>
      </c>
      <c r="W932">
        <v>0.317843599999999</v>
      </c>
      <c r="X932">
        <v>0.91928889999999996</v>
      </c>
      <c r="Y932">
        <v>0.38622770000000001</v>
      </c>
      <c r="Z932">
        <v>1.0120000000000001E-2</v>
      </c>
      <c r="AA932">
        <v>0.92234799999999995</v>
      </c>
      <c r="AB932">
        <v>26</v>
      </c>
      <c r="AC932">
        <v>4.3372999999999902</v>
      </c>
      <c r="AD932">
        <v>-1.1046532492950001</v>
      </c>
      <c r="AE932">
        <v>-3.6238999999999901</v>
      </c>
      <c r="AF932">
        <v>2.1666106774633</v>
      </c>
      <c r="AG932">
        <v>-1.1046532492950001</v>
      </c>
      <c r="AH932">
        <v>4.9943111477443596</v>
      </c>
      <c r="AI932">
        <v>101.470234198707</v>
      </c>
      <c r="AJ932">
        <v>66.5480421052537</v>
      </c>
      <c r="AK932">
        <v>5.5549621483282499</v>
      </c>
      <c r="AL932">
        <v>71.467435899307404</v>
      </c>
      <c r="AM932">
        <v>75.828574058174993</v>
      </c>
      <c r="AN932">
        <v>1.00000004526688</v>
      </c>
    </row>
    <row r="933" spans="1:40" x14ac:dyDescent="0.25">
      <c r="A933" t="str">
        <f>"20190304164613436"</f>
        <v>20190304164613436</v>
      </c>
      <c r="B933" t="str">
        <f>"1551689173429163"</f>
        <v>1551689173429163</v>
      </c>
      <c r="C933" t="s">
        <v>40</v>
      </c>
      <c r="D933">
        <v>5.082497</v>
      </c>
      <c r="E933">
        <v>0.58971509999999905</v>
      </c>
      <c r="F933" t="s">
        <v>44</v>
      </c>
      <c r="G933">
        <v>-202.17859999999999</v>
      </c>
      <c r="H933" s="1">
        <v>-3.214083E-6</v>
      </c>
      <c r="I933">
        <v>362.04419999999999</v>
      </c>
      <c r="J933">
        <v>-206.47790000000001</v>
      </c>
      <c r="K933">
        <v>1.104611</v>
      </c>
      <c r="L933">
        <v>365.69119999999998</v>
      </c>
      <c r="M933">
        <v>0.95759399999999995</v>
      </c>
      <c r="N933">
        <v>-1.455733E-2</v>
      </c>
      <c r="O933">
        <v>-0.28775319999999999</v>
      </c>
      <c r="P933">
        <v>0.8185962</v>
      </c>
      <c r="Q933">
        <v>0.30741479999999999</v>
      </c>
      <c r="R933">
        <v>-0.48517660000000001</v>
      </c>
      <c r="S933">
        <v>2.6222840000000001</v>
      </c>
      <c r="T933">
        <v>-0.65272549999999996</v>
      </c>
      <c r="U933">
        <v>-2.182404</v>
      </c>
      <c r="V933">
        <v>0.2340285</v>
      </c>
      <c r="W933">
        <v>0.31723040000000002</v>
      </c>
      <c r="X933">
        <v>0.91901880000000002</v>
      </c>
      <c r="Y933">
        <v>0.38840079999999999</v>
      </c>
      <c r="Z933">
        <v>1.085824E-2</v>
      </c>
      <c r="AA933">
        <v>0.92142659999999998</v>
      </c>
      <c r="AB933">
        <v>26</v>
      </c>
      <c r="AC933">
        <v>4.2993000000000103</v>
      </c>
      <c r="AD933">
        <v>-1.104614214083</v>
      </c>
      <c r="AE933">
        <v>-3.64699999999999</v>
      </c>
      <c r="AF933">
        <v>2.1720639310055301</v>
      </c>
      <c r="AG933">
        <v>-1.104614214083</v>
      </c>
      <c r="AH933">
        <v>4.9759464242098197</v>
      </c>
      <c r="AI933">
        <v>101.499992801898</v>
      </c>
      <c r="AJ933">
        <v>66.418118425144002</v>
      </c>
      <c r="AK933">
        <v>5.5405845448775404</v>
      </c>
      <c r="AL933">
        <v>71.504486555710201</v>
      </c>
      <c r="AM933">
        <v>75.713257659345004</v>
      </c>
      <c r="AN933">
        <v>1.00000001012492</v>
      </c>
    </row>
    <row r="934" spans="1:40" x14ac:dyDescent="0.25">
      <c r="A934" t="str">
        <f>"20190304164613449"</f>
        <v>20190304164613449</v>
      </c>
      <c r="B934" t="str">
        <f>"1551689173438924"</f>
        <v>1551689173438924</v>
      </c>
      <c r="C934" t="s">
        <v>40</v>
      </c>
      <c r="D934">
        <v>5.0731650000000004</v>
      </c>
      <c r="E934">
        <v>0.59896329999999998</v>
      </c>
      <c r="F934" t="s">
        <v>44</v>
      </c>
      <c r="G934">
        <v>-202.0797</v>
      </c>
      <c r="H934" s="1">
        <v>-3.179899E-6</v>
      </c>
      <c r="I934">
        <v>361.97390000000001</v>
      </c>
      <c r="J934">
        <v>-206.34020000000001</v>
      </c>
      <c r="K934">
        <v>1.1045739999999999</v>
      </c>
      <c r="L934">
        <v>365.64400000000001</v>
      </c>
      <c r="M934">
        <v>0.95607909999999996</v>
      </c>
      <c r="N934">
        <v>-1.456677E-2</v>
      </c>
      <c r="O934">
        <v>-0.29274679999999997</v>
      </c>
      <c r="P934">
        <v>0.81506820000000002</v>
      </c>
      <c r="Q934">
        <v>0.30758649999999998</v>
      </c>
      <c r="R934">
        <v>-0.49097279999999999</v>
      </c>
      <c r="S934">
        <v>2.6054080000000002</v>
      </c>
      <c r="T934">
        <v>-0.65436090000000002</v>
      </c>
      <c r="U934">
        <v>-2.2020569999999999</v>
      </c>
      <c r="V934">
        <v>0.2358111</v>
      </c>
      <c r="W934">
        <v>0.31735560000000002</v>
      </c>
      <c r="X934">
        <v>0.91851970000000005</v>
      </c>
      <c r="Y934">
        <v>0.39060479999999997</v>
      </c>
      <c r="Z934">
        <v>1.159489E-2</v>
      </c>
      <c r="AA934">
        <v>0.92048540000000001</v>
      </c>
      <c r="AB934">
        <v>26</v>
      </c>
      <c r="AC934">
        <v>4.2605000000000004</v>
      </c>
      <c r="AD934">
        <v>-1.1045771798989901</v>
      </c>
      <c r="AE934">
        <v>-3.6700999999999899</v>
      </c>
      <c r="AF934">
        <v>2.17786671922341</v>
      </c>
      <c r="AG934">
        <v>-1.1045771798989901</v>
      </c>
      <c r="AH934">
        <v>4.9570664077379201</v>
      </c>
      <c r="AI934">
        <v>101.530554798737</v>
      </c>
      <c r="AJ934">
        <v>66.281912314034898</v>
      </c>
      <c r="AK934">
        <v>5.5259118309812303</v>
      </c>
      <c r="AL934">
        <v>71.496921019535506</v>
      </c>
      <c r="AM934">
        <v>75.601444008280197</v>
      </c>
      <c r="AN934">
        <v>0.99999994551132798</v>
      </c>
    </row>
    <row r="935" spans="1:40" x14ac:dyDescent="0.25">
      <c r="A935" t="str">
        <f>"20190304164613463"</f>
        <v>20190304164613463</v>
      </c>
      <c r="B935" t="str">
        <f>"1551689173458443"</f>
        <v>1551689173458443</v>
      </c>
      <c r="C935" t="s">
        <v>40</v>
      </c>
      <c r="D935">
        <v>5.0675910000000002</v>
      </c>
      <c r="E935">
        <v>0.60246880000000003</v>
      </c>
      <c r="F935" t="s">
        <v>44</v>
      </c>
      <c r="G935">
        <v>-201.49629999999999</v>
      </c>
      <c r="H935" s="1">
        <v>-3.040907E-6</v>
      </c>
      <c r="I935">
        <v>361.27659999999997</v>
      </c>
      <c r="J935">
        <v>-206.1986</v>
      </c>
      <c r="K935">
        <v>1.104536</v>
      </c>
      <c r="L935">
        <v>365.59469999999999</v>
      </c>
      <c r="M935">
        <v>0.95447879999999996</v>
      </c>
      <c r="N935">
        <v>-1.457664E-2</v>
      </c>
      <c r="O935">
        <v>-0.29792279999999999</v>
      </c>
      <c r="P935">
        <v>0.81146240000000003</v>
      </c>
      <c r="Q935">
        <v>0.30777769999999999</v>
      </c>
      <c r="R935">
        <v>-0.49679180000000001</v>
      </c>
      <c r="S935">
        <v>2.5261079999999998</v>
      </c>
      <c r="T935">
        <v>-0.57603499999999996</v>
      </c>
      <c r="U935">
        <v>-2.2776179999999999</v>
      </c>
      <c r="V935">
        <v>0.2374675</v>
      </c>
      <c r="W935">
        <v>0.31750129999999999</v>
      </c>
      <c r="X935">
        <v>0.91804249999999998</v>
      </c>
      <c r="Y935">
        <v>0.41516320000000001</v>
      </c>
      <c r="Z935">
        <v>7.8432520000000002E-3</v>
      </c>
      <c r="AA935">
        <v>0.90971310000000005</v>
      </c>
      <c r="AB935">
        <v>26</v>
      </c>
      <c r="AC935">
        <v>4.7023000000000001</v>
      </c>
      <c r="AD935">
        <v>-1.1045390409069999</v>
      </c>
      <c r="AE935">
        <v>-4.31810000000001</v>
      </c>
      <c r="AF935">
        <v>2.64182299909465</v>
      </c>
      <c r="AG935">
        <v>-1.1045390409069999</v>
      </c>
      <c r="AH935">
        <v>5.6074693712044796</v>
      </c>
      <c r="AI935">
        <v>100.103546915903</v>
      </c>
      <c r="AJ935">
        <v>64.7736696928214</v>
      </c>
      <c r="AK935">
        <v>6.29626460692604</v>
      </c>
      <c r="AL935">
        <v>71.488118024045505</v>
      </c>
      <c r="AM935">
        <v>75.497334481502193</v>
      </c>
      <c r="AN935">
        <v>0.99999996043209405</v>
      </c>
    </row>
    <row r="936" spans="1:40" x14ac:dyDescent="0.25">
      <c r="A936" t="str">
        <f>"20190304164613476"</f>
        <v>20190304164613476</v>
      </c>
      <c r="B936" t="str">
        <f>"1551689173469179"</f>
        <v>1551689173469179</v>
      </c>
      <c r="C936" t="s">
        <v>40</v>
      </c>
      <c r="D936">
        <v>5.1036029999999997</v>
      </c>
      <c r="E936">
        <v>0.60063959999999905</v>
      </c>
      <c r="F936" t="s">
        <v>44</v>
      </c>
      <c r="G936">
        <v>-201.16749999999999</v>
      </c>
      <c r="H936" s="1">
        <v>-2.9578220000000001E-6</v>
      </c>
      <c r="I936">
        <v>360.90499999999997</v>
      </c>
      <c r="J936">
        <v>-206.04640000000001</v>
      </c>
      <c r="K936">
        <v>1.104503</v>
      </c>
      <c r="L936">
        <v>365.54070000000002</v>
      </c>
      <c r="M936">
        <v>0.95271289999999997</v>
      </c>
      <c r="N936">
        <v>-1.4587279999999999E-2</v>
      </c>
      <c r="O936">
        <v>-0.30352200000000001</v>
      </c>
      <c r="P936">
        <v>0.80674519999999905</v>
      </c>
      <c r="Q936">
        <v>0.3086719</v>
      </c>
      <c r="R936">
        <v>-0.50386900000000001</v>
      </c>
      <c r="S936">
        <v>2.4855960000000001</v>
      </c>
      <c r="T936">
        <v>-0.54568459999999996</v>
      </c>
      <c r="U936">
        <v>-2.3168639999999998</v>
      </c>
      <c r="V936">
        <v>0.24026800000000001</v>
      </c>
      <c r="W936">
        <v>0.3183223</v>
      </c>
      <c r="X936">
        <v>0.91702899999999998</v>
      </c>
      <c r="Y936">
        <v>0.42500569999999999</v>
      </c>
      <c r="Z936">
        <v>6.9956000000000003E-3</v>
      </c>
      <c r="AA936">
        <v>0.90516359999999996</v>
      </c>
      <c r="AB936">
        <v>25</v>
      </c>
      <c r="AC936">
        <v>4.8789000000000096</v>
      </c>
      <c r="AD936">
        <v>-1.104505957822</v>
      </c>
      <c r="AE936">
        <v>-4.6357000000000399</v>
      </c>
      <c r="AF936">
        <v>2.8589467362112799</v>
      </c>
      <c r="AG936">
        <v>-1.104505957822</v>
      </c>
      <c r="AH936">
        <v>5.8970403680960404</v>
      </c>
      <c r="AI936">
        <v>99.566512881701399</v>
      </c>
      <c r="AJ936">
        <v>64.135408143285403</v>
      </c>
      <c r="AK936">
        <v>6.6459457531875596</v>
      </c>
      <c r="AL936">
        <v>71.438504856441497</v>
      </c>
      <c r="AM936">
        <v>75.318126213017194</v>
      </c>
      <c r="AN936">
        <v>0.99999999267114403</v>
      </c>
    </row>
    <row r="937" spans="1:40" x14ac:dyDescent="0.25">
      <c r="A937" t="str">
        <f>"20190304164613500"</f>
        <v>20190304164613500</v>
      </c>
      <c r="B937" t="str">
        <f>"1551689173488699"</f>
        <v>1551689173488699</v>
      </c>
      <c r="C937" t="s">
        <v>40</v>
      </c>
      <c r="D937">
        <v>5.0824959999999999</v>
      </c>
      <c r="E937">
        <v>0.60131730000000005</v>
      </c>
      <c r="F937" t="s">
        <v>44</v>
      </c>
      <c r="G937">
        <v>-201.20160000000001</v>
      </c>
      <c r="H937" s="1">
        <v>-2.956525E-6</v>
      </c>
      <c r="I937">
        <v>360.98840000000001</v>
      </c>
      <c r="J937">
        <v>-205.798</v>
      </c>
      <c r="K937">
        <v>1.104425</v>
      </c>
      <c r="L937">
        <v>365.4502</v>
      </c>
      <c r="M937">
        <v>0.94970949999999998</v>
      </c>
      <c r="N937">
        <v>-1.4605770000000001E-2</v>
      </c>
      <c r="O937">
        <v>-0.31279220000000002</v>
      </c>
      <c r="P937">
        <v>0.80065980000000003</v>
      </c>
      <c r="Q937">
        <v>0.3095001</v>
      </c>
      <c r="R937">
        <v>-0.51298580000000005</v>
      </c>
      <c r="S937">
        <v>2.4796749999999999</v>
      </c>
      <c r="T937">
        <v>-0.56531430000000005</v>
      </c>
      <c r="U937">
        <v>-2.329987</v>
      </c>
      <c r="V937">
        <v>0.24191019999999999</v>
      </c>
      <c r="W937">
        <v>0.31908710000000001</v>
      </c>
      <c r="X937">
        <v>0.91633120000000001</v>
      </c>
      <c r="Y937">
        <v>0.41983720000000002</v>
      </c>
      <c r="Z937">
        <v>9.5072349999999993E-3</v>
      </c>
      <c r="AA937">
        <v>0.90754959999999996</v>
      </c>
      <c r="AB937">
        <v>25</v>
      </c>
      <c r="AC937">
        <v>4.5963999999999796</v>
      </c>
      <c r="AD937">
        <v>-1.1044279565249999</v>
      </c>
      <c r="AE937">
        <v>-4.4617999999999798</v>
      </c>
      <c r="AF937">
        <v>2.7191660511797799</v>
      </c>
      <c r="AG937">
        <v>-1.1044279565249999</v>
      </c>
      <c r="AH937">
        <v>5.5951570631326497</v>
      </c>
      <c r="AI937">
        <v>100.067111342993</v>
      </c>
      <c r="AJ937">
        <v>64.080913125826598</v>
      </c>
      <c r="AK937">
        <v>6.31818072598164</v>
      </c>
      <c r="AL937">
        <v>71.392274354972997</v>
      </c>
      <c r="AM937">
        <v>75.211394681025496</v>
      </c>
      <c r="AN937">
        <v>0.99999999517194404</v>
      </c>
    </row>
    <row r="938" spans="1:40" x14ac:dyDescent="0.25">
      <c r="A938" t="str">
        <f>"20190304164613515"</f>
        <v>20190304164613515</v>
      </c>
      <c r="B938" t="str">
        <f>"1551689173509196"</f>
        <v>1551689173509196</v>
      </c>
      <c r="C938" t="s">
        <v>40</v>
      </c>
      <c r="D938">
        <v>5.1193400000000002</v>
      </c>
      <c r="E938">
        <v>0.60041630000000001</v>
      </c>
      <c r="F938" t="s">
        <v>44</v>
      </c>
      <c r="G938">
        <v>-200.9143</v>
      </c>
      <c r="H938" s="1">
        <v>-2.8700909999999998E-6</v>
      </c>
      <c r="I938">
        <v>360.72620000000001</v>
      </c>
      <c r="J938">
        <v>-205.6343</v>
      </c>
      <c r="K938">
        <v>1.104368</v>
      </c>
      <c r="L938">
        <v>365.38909999999998</v>
      </c>
      <c r="M938">
        <v>0.94765370000000004</v>
      </c>
      <c r="N938">
        <v>-1.461836E-2</v>
      </c>
      <c r="O938">
        <v>-0.31896590000000002</v>
      </c>
      <c r="P938">
        <v>0.79690689999999997</v>
      </c>
      <c r="Q938">
        <v>0.30993179999999998</v>
      </c>
      <c r="R938">
        <v>-0.51853870000000002</v>
      </c>
      <c r="S938">
        <v>2.445236</v>
      </c>
      <c r="T938">
        <v>-0.55298340000000001</v>
      </c>
      <c r="U938">
        <v>-2.365265</v>
      </c>
      <c r="V938">
        <v>0.2424201</v>
      </c>
      <c r="W938">
        <v>0.31948779999999999</v>
      </c>
      <c r="X938">
        <v>0.9160568</v>
      </c>
      <c r="Y938">
        <v>0.42711359999999898</v>
      </c>
      <c r="Z938">
        <v>9.4178620000000008E-3</v>
      </c>
      <c r="AA938">
        <v>0.90414890000000003</v>
      </c>
      <c r="AB938">
        <v>25</v>
      </c>
      <c r="AC938">
        <v>4.71999999999999</v>
      </c>
      <c r="AD938">
        <v>-1.104370870091</v>
      </c>
      <c r="AE938">
        <v>-4.6628999999999703</v>
      </c>
      <c r="AF938">
        <v>2.83505865111387</v>
      </c>
      <c r="AG938">
        <v>-1.104370870091</v>
      </c>
      <c r="AH938">
        <v>5.8001691499820396</v>
      </c>
      <c r="AI938">
        <v>99.707174895430498</v>
      </c>
      <c r="AJ938">
        <v>63.951125858294802</v>
      </c>
      <c r="AK938">
        <v>6.5497446318436401</v>
      </c>
      <c r="AL938">
        <v>71.368048158111506</v>
      </c>
      <c r="AM938">
        <v>75.177349981638201</v>
      </c>
      <c r="AN938">
        <v>1.0000000100295401</v>
      </c>
    </row>
    <row r="939" spans="1:40" x14ac:dyDescent="0.25">
      <c r="A939" t="str">
        <f>"20190304164613533"</f>
        <v>20190304164613533</v>
      </c>
      <c r="B939" t="str">
        <f>"1551689173528715"</f>
        <v>1551689173528715</v>
      </c>
      <c r="C939" t="s">
        <v>40</v>
      </c>
      <c r="D939">
        <v>5.1202540000000001</v>
      </c>
      <c r="E939">
        <v>0.60062369999999898</v>
      </c>
      <c r="F939" t="s">
        <v>44</v>
      </c>
      <c r="G939">
        <v>-200.83349999999999</v>
      </c>
      <c r="H939" s="1">
        <v>-2.8361829999999998E-6</v>
      </c>
      <c r="I939">
        <v>360.69569999999999</v>
      </c>
      <c r="J939">
        <v>-205.4272</v>
      </c>
      <c r="K939">
        <v>1.104303</v>
      </c>
      <c r="L939">
        <v>365.3098</v>
      </c>
      <c r="M939">
        <v>0.94495119999999999</v>
      </c>
      <c r="N939">
        <v>-1.463509E-2</v>
      </c>
      <c r="O939">
        <v>-0.32688430000000002</v>
      </c>
      <c r="P939">
        <v>0.79211390000000004</v>
      </c>
      <c r="Q939">
        <v>0.31045519999999999</v>
      </c>
      <c r="R939">
        <v>-0.5255225</v>
      </c>
      <c r="S939">
        <v>2.4339900000000001</v>
      </c>
      <c r="T939">
        <v>-0.55991449999999998</v>
      </c>
      <c r="U939">
        <v>-2.3795470000000001</v>
      </c>
      <c r="V939">
        <v>0.2429365</v>
      </c>
      <c r="W939">
        <v>0.31997490000000001</v>
      </c>
      <c r="X939">
        <v>0.91574990000000001</v>
      </c>
      <c r="Y939">
        <v>0.42442400000000002</v>
      </c>
      <c r="Z939">
        <v>1.11607999999999E-2</v>
      </c>
      <c r="AA939">
        <v>0.90539480000000006</v>
      </c>
      <c r="AB939">
        <v>25</v>
      </c>
      <c r="AC939">
        <v>4.5937000000000099</v>
      </c>
      <c r="AD939">
        <v>-1.104305836183</v>
      </c>
      <c r="AE939">
        <v>-4.6140999999999996</v>
      </c>
      <c r="AF939">
        <v>2.77885722917418</v>
      </c>
      <c r="AG939">
        <v>-1.104305836183</v>
      </c>
      <c r="AH939">
        <v>5.6861511781410803</v>
      </c>
      <c r="AI939">
        <v>99.897754488123397</v>
      </c>
      <c r="AJ939">
        <v>63.954954260076498</v>
      </c>
      <c r="AK939">
        <v>6.4244730601533897</v>
      </c>
      <c r="AL939">
        <v>71.338592652839907</v>
      </c>
      <c r="AM939">
        <v>75.142411700566498</v>
      </c>
      <c r="AN939">
        <v>0.99999997950613395</v>
      </c>
    </row>
    <row r="940" spans="1:40" x14ac:dyDescent="0.25">
      <c r="A940" t="str">
        <f>"20190304164613557"</f>
        <v>20190304164613557</v>
      </c>
      <c r="B940" t="str">
        <f>"1551689173549211"</f>
        <v>1551689173549211</v>
      </c>
      <c r="C940" t="s">
        <v>40</v>
      </c>
      <c r="D940">
        <v>5.1255059999999997</v>
      </c>
      <c r="E940">
        <v>0.6003349</v>
      </c>
      <c r="F940" t="s">
        <v>44</v>
      </c>
      <c r="G940">
        <v>-200.59690000000001</v>
      </c>
      <c r="H940" s="1">
        <v>-2.7650670000000002E-6</v>
      </c>
      <c r="I940">
        <v>360.47949999999997</v>
      </c>
      <c r="J940">
        <v>-205.18539999999999</v>
      </c>
      <c r="K940">
        <v>1.1042299999999901</v>
      </c>
      <c r="L940">
        <v>365.21429999999998</v>
      </c>
      <c r="M940">
        <v>0.94164250000000005</v>
      </c>
      <c r="N940">
        <v>-1.465549E-2</v>
      </c>
      <c r="O940">
        <v>-0.33629550000000002</v>
      </c>
      <c r="P940">
        <v>0.78557769999999905</v>
      </c>
      <c r="Q940">
        <v>0.31289420000000001</v>
      </c>
      <c r="R940">
        <v>-0.53382149999999995</v>
      </c>
      <c r="S940">
        <v>2.4064179999999999</v>
      </c>
      <c r="T940">
        <v>-0.55016140000000002</v>
      </c>
      <c r="U940">
        <v>-2.4064329999999998</v>
      </c>
      <c r="V940">
        <v>0.243867</v>
      </c>
      <c r="W940">
        <v>0.32234930000000001</v>
      </c>
      <c r="X940">
        <v>0.91466930000000002</v>
      </c>
      <c r="Y940">
        <v>0.42577300000000001</v>
      </c>
      <c r="Z940">
        <v>1.2200310000000001E-2</v>
      </c>
      <c r="AA940">
        <v>0.90474779999999999</v>
      </c>
      <c r="AB940">
        <v>25</v>
      </c>
      <c r="AC940">
        <v>4.5884999999999803</v>
      </c>
      <c r="AD940">
        <v>-1.1042327650670001</v>
      </c>
      <c r="AE940">
        <v>-4.7347999999999999</v>
      </c>
      <c r="AF940">
        <v>2.8361608719070799</v>
      </c>
      <c r="AG940">
        <v>-1.1042327650670001</v>
      </c>
      <c r="AH940">
        <v>5.7523115340699604</v>
      </c>
      <c r="AI940">
        <v>99.769029001111704</v>
      </c>
      <c r="AJ940">
        <v>63.754528971174402</v>
      </c>
      <c r="AK940">
        <v>6.5078588242046598</v>
      </c>
      <c r="AL940">
        <v>71.194940864906101</v>
      </c>
      <c r="AM940">
        <v>75.071203637983402</v>
      </c>
      <c r="AN940">
        <v>1.0000000566309799</v>
      </c>
    </row>
    <row r="941" spans="1:40" x14ac:dyDescent="0.25">
      <c r="A941" t="str">
        <f>"20190304164613571"</f>
        <v>20190304164613571</v>
      </c>
      <c r="B941" t="str">
        <f>"1551689173568731"</f>
        <v>1551689173568731</v>
      </c>
      <c r="C941" t="s">
        <v>40</v>
      </c>
      <c r="D941">
        <v>4.7851990000000004</v>
      </c>
      <c r="E941">
        <v>0.60008470000000003</v>
      </c>
      <c r="F941" t="s">
        <v>44</v>
      </c>
      <c r="G941">
        <v>-200.32509999999999</v>
      </c>
      <c r="H941" s="1">
        <v>-2.681827E-6</v>
      </c>
      <c r="I941">
        <v>360.238</v>
      </c>
      <c r="J941">
        <v>-205.02699999999999</v>
      </c>
      <c r="K941">
        <v>1.1041650000000001</v>
      </c>
      <c r="L941">
        <v>365.15019999999998</v>
      </c>
      <c r="M941">
        <v>0.93937870000000001</v>
      </c>
      <c r="N941">
        <v>-1.467021E-2</v>
      </c>
      <c r="O941">
        <v>-0.34256789999999998</v>
      </c>
      <c r="P941">
        <v>0.78098559999999995</v>
      </c>
      <c r="Q941">
        <v>0.31414639999999999</v>
      </c>
      <c r="R941">
        <v>-0.53979069999999996</v>
      </c>
      <c r="S941">
        <v>2.378952</v>
      </c>
      <c r="T941">
        <v>-0.54048629999999998</v>
      </c>
      <c r="U941">
        <v>-2.43573</v>
      </c>
      <c r="V941">
        <v>0.2449887</v>
      </c>
      <c r="W941">
        <v>0.32354440000000001</v>
      </c>
      <c r="X941">
        <v>0.91394730000000002</v>
      </c>
      <c r="Y941">
        <v>0.43045889999999998</v>
      </c>
      <c r="Z941">
        <v>1.237596E-2</v>
      </c>
      <c r="AA941">
        <v>0.90252529999999997</v>
      </c>
      <c r="AB941">
        <v>25</v>
      </c>
      <c r="AC941">
        <v>4.7019000000000197</v>
      </c>
      <c r="AD941">
        <v>-1.1041676818269901</v>
      </c>
      <c r="AE941">
        <v>-4.9121999999999204</v>
      </c>
      <c r="AF941">
        <v>2.9268441830552598</v>
      </c>
      <c r="AG941">
        <v>-1.1041676818269901</v>
      </c>
      <c r="AH941">
        <v>5.9435631373715401</v>
      </c>
      <c r="AI941">
        <v>99.462147152485798</v>
      </c>
      <c r="AJ941">
        <v>63.782551912529797</v>
      </c>
      <c r="AK941">
        <v>6.71651292780692</v>
      </c>
      <c r="AL941">
        <v>71.122589861820302</v>
      </c>
      <c r="AM941">
        <v>74.994311372984598</v>
      </c>
      <c r="AN941">
        <v>1.00000005453816</v>
      </c>
    </row>
    <row r="942" spans="1:40" x14ac:dyDescent="0.25">
      <c r="A942" t="str">
        <f>"20190304164613589"</f>
        <v>20190304164613589</v>
      </c>
      <c r="B942" t="str">
        <f>"1551689173578492"</f>
        <v>1551689173578492</v>
      </c>
      <c r="C942" t="s">
        <v>40</v>
      </c>
      <c r="D942">
        <v>4.7846799999999998</v>
      </c>
      <c r="E942">
        <v>0.61790290000000003</v>
      </c>
      <c r="F942" t="s">
        <v>44</v>
      </c>
      <c r="G942">
        <v>-200.1729</v>
      </c>
      <c r="H942" s="1">
        <v>-2.6266469999999998E-6</v>
      </c>
      <c r="I942">
        <v>360.10890000000001</v>
      </c>
      <c r="J942">
        <v>-204.8415</v>
      </c>
      <c r="K942">
        <v>1.104093</v>
      </c>
      <c r="L942">
        <v>365.07330000000002</v>
      </c>
      <c r="M942">
        <v>0.93662670000000003</v>
      </c>
      <c r="N942">
        <v>-1.4689829999999999E-2</v>
      </c>
      <c r="O942">
        <v>-0.35002119999999998</v>
      </c>
      <c r="P942">
        <v>0.77390309999999995</v>
      </c>
      <c r="Q942">
        <v>0.31809809999999999</v>
      </c>
      <c r="R942">
        <v>-0.54761990000000005</v>
      </c>
      <c r="S942">
        <v>2.3619539999999999</v>
      </c>
      <c r="T942">
        <v>-0.53728399999999998</v>
      </c>
      <c r="U942">
        <v>-2.4530639999999999</v>
      </c>
      <c r="V942">
        <v>0.24762999999999999</v>
      </c>
      <c r="W942">
        <v>0.32738889999999998</v>
      </c>
      <c r="X942">
        <v>0.91186400000000001</v>
      </c>
      <c r="Y942">
        <v>0.4298188</v>
      </c>
      <c r="Z942">
        <v>1.34672E-2</v>
      </c>
      <c r="AA942">
        <v>0.90281469999999997</v>
      </c>
      <c r="AB942">
        <v>25</v>
      </c>
      <c r="AC942">
        <v>4.6685999999999899</v>
      </c>
      <c r="AD942">
        <v>-1.1040956266469999</v>
      </c>
      <c r="AE942">
        <v>-4.9644000000000101</v>
      </c>
      <c r="AF942">
        <v>2.9388638212312901</v>
      </c>
      <c r="AG942">
        <v>-1.1040956266469999</v>
      </c>
      <c r="AH942">
        <v>5.9547342501195404</v>
      </c>
      <c r="AI942">
        <v>99.440085522047497</v>
      </c>
      <c r="AJ942">
        <v>63.7320942504941</v>
      </c>
      <c r="AK942">
        <v>6.73162741854226</v>
      </c>
      <c r="AL942">
        <v>70.889631872624093</v>
      </c>
      <c r="AM942">
        <v>74.806902895678604</v>
      </c>
      <c r="AN942">
        <v>1.0000000316196</v>
      </c>
    </row>
    <row r="943" spans="1:40" x14ac:dyDescent="0.25">
      <c r="A943" t="str">
        <f>"20190304164613611"</f>
        <v>20190304164613611</v>
      </c>
      <c r="B943" t="str">
        <f>"1551689173598987"</f>
        <v>1551689173598987</v>
      </c>
      <c r="C943" t="s">
        <v>40</v>
      </c>
      <c r="D943">
        <v>5.1331230000000003</v>
      </c>
      <c r="E943">
        <v>0.60698839999999998</v>
      </c>
      <c r="F943" t="s">
        <v>44</v>
      </c>
      <c r="G943">
        <v>-195.42429999999999</v>
      </c>
      <c r="H943" s="1">
        <v>-3.8369389999999997E-6</v>
      </c>
      <c r="I943">
        <v>353.95659999999998</v>
      </c>
      <c r="J943">
        <v>-204.60900000000001</v>
      </c>
      <c r="K943">
        <v>1.103982</v>
      </c>
      <c r="L943">
        <v>364.97449999999998</v>
      </c>
      <c r="M943">
        <v>0.93302169999999895</v>
      </c>
      <c r="N943">
        <v>-1.4716109999999999E-2</v>
      </c>
      <c r="O943">
        <v>-0.35951949999999999</v>
      </c>
      <c r="P943">
        <v>0.7661713</v>
      </c>
      <c r="Q943">
        <v>0.32050139999999999</v>
      </c>
      <c r="R943">
        <v>-0.55701060000000002</v>
      </c>
      <c r="S943">
        <v>2.169098</v>
      </c>
      <c r="T943">
        <v>-0.25431049999999999</v>
      </c>
      <c r="U943">
        <v>-2.5605470000000001</v>
      </c>
      <c r="V943">
        <v>0.24998129999999999</v>
      </c>
      <c r="W943">
        <v>0.32968579999999997</v>
      </c>
      <c r="X943">
        <v>0.91039369999999997</v>
      </c>
      <c r="Y943">
        <v>0.4786803</v>
      </c>
      <c r="Z943">
        <v>4.1792629999999999E-4</v>
      </c>
      <c r="AA943">
        <v>0.87798920000000003</v>
      </c>
      <c r="AB943">
        <v>25</v>
      </c>
      <c r="AC943">
        <v>9.1847000000000101</v>
      </c>
      <c r="AD943">
        <v>-1.1039858369390001</v>
      </c>
      <c r="AE943">
        <v>-11.0178999999999</v>
      </c>
      <c r="AF943">
        <v>6.9375209244668996</v>
      </c>
      <c r="AG943">
        <v>-1.1039858369390001</v>
      </c>
      <c r="AH943">
        <v>12.4582325077206</v>
      </c>
      <c r="AI943">
        <v>94.427032677581707</v>
      </c>
      <c r="AJ943">
        <v>60.888211723854504</v>
      </c>
      <c r="AK943">
        <v>14.3022913731334</v>
      </c>
      <c r="AL943">
        <v>70.750294714672194</v>
      </c>
      <c r="AM943">
        <v>74.645807575771201</v>
      </c>
      <c r="AN943">
        <v>1.0000000330354999</v>
      </c>
    </row>
    <row r="944" spans="1:40" x14ac:dyDescent="0.25">
      <c r="A944" t="str">
        <f>"20190304164613625"</f>
        <v>20190304164613625</v>
      </c>
      <c r="B944" t="str">
        <f>"1551689173618507"</f>
        <v>1551689173618507</v>
      </c>
      <c r="C944" t="s">
        <v>40</v>
      </c>
      <c r="D944">
        <v>5.1487030000000003</v>
      </c>
      <c r="E944">
        <v>0.60259989999999997</v>
      </c>
      <c r="F944" t="s">
        <v>44</v>
      </c>
      <c r="G944">
        <v>-198.26660000000001</v>
      </c>
      <c r="H944" s="1">
        <v>-5.9677520000000002E-6</v>
      </c>
      <c r="I944">
        <v>357.77620000000002</v>
      </c>
      <c r="J944">
        <v>-204.464</v>
      </c>
      <c r="K944">
        <v>1.1039129999999999</v>
      </c>
      <c r="L944">
        <v>364.91109999999998</v>
      </c>
      <c r="M944">
        <v>0.93067279999999997</v>
      </c>
      <c r="N944">
        <v>-1.473323E-2</v>
      </c>
      <c r="O944">
        <v>-0.36555589999999999</v>
      </c>
      <c r="P944">
        <v>0.76208260000000005</v>
      </c>
      <c r="Q944">
        <v>0.32085140000000001</v>
      </c>
      <c r="R944">
        <v>-0.56239220000000001</v>
      </c>
      <c r="S944">
        <v>2.2345429999999999</v>
      </c>
      <c r="T944">
        <v>-0.38895610000000003</v>
      </c>
      <c r="U944">
        <v>-2.5361020000000001</v>
      </c>
      <c r="V944">
        <v>0.25061749999999999</v>
      </c>
      <c r="W944">
        <v>0.3299919</v>
      </c>
      <c r="X944">
        <v>0.91010780000000002</v>
      </c>
      <c r="Y944">
        <v>0.45521139999999999</v>
      </c>
      <c r="Z944">
        <v>7.5373890000000002E-3</v>
      </c>
      <c r="AA944">
        <v>0.89035149999999996</v>
      </c>
      <c r="AB944">
        <v>25</v>
      </c>
      <c r="AC944">
        <v>6.1974000000000098</v>
      </c>
      <c r="AD944">
        <v>-1.1039189677519901</v>
      </c>
      <c r="AE944">
        <v>-7.1348999999999503</v>
      </c>
      <c r="AF944">
        <v>4.3163424303149096</v>
      </c>
      <c r="AG944">
        <v>-1.1039189677519901</v>
      </c>
      <c r="AH944">
        <v>8.2641072604056802</v>
      </c>
      <c r="AI944">
        <v>96.752537669613204</v>
      </c>
      <c r="AJ944">
        <v>62.421939025433304</v>
      </c>
      <c r="AK944">
        <v>9.3885524909109108</v>
      </c>
      <c r="AL944">
        <v>70.731716074456202</v>
      </c>
      <c r="AM944">
        <v>74.603976413221503</v>
      </c>
      <c r="AN944">
        <v>0.99999999649634996</v>
      </c>
    </row>
    <row r="945" spans="1:40" x14ac:dyDescent="0.25">
      <c r="A945" t="str">
        <f>"20190304164613645"</f>
        <v>20190304164613645</v>
      </c>
      <c r="B945" t="str">
        <f>"1551689173639004"</f>
        <v>1551689173639004</v>
      </c>
      <c r="C945" t="s">
        <v>40</v>
      </c>
      <c r="D945">
        <v>5.1282920000000001</v>
      </c>
      <c r="E945">
        <v>0.60034809999999905</v>
      </c>
      <c r="F945" t="s">
        <v>44</v>
      </c>
      <c r="G945">
        <v>-198.8398</v>
      </c>
      <c r="H945" s="1">
        <v>-6.3305830000000002E-6</v>
      </c>
      <c r="I945">
        <v>358.5926</v>
      </c>
      <c r="J945">
        <v>-204.24449999999999</v>
      </c>
      <c r="K945">
        <v>1.1037999999999999</v>
      </c>
      <c r="L945">
        <v>364.81310000000002</v>
      </c>
      <c r="M945">
        <v>0.92698409999999998</v>
      </c>
      <c r="N945">
        <v>-1.4759E-2</v>
      </c>
      <c r="O945">
        <v>-0.37481049999999999</v>
      </c>
      <c r="P945">
        <v>0.75576659999999996</v>
      </c>
      <c r="Q945">
        <v>0.32059130000000002</v>
      </c>
      <c r="R945">
        <v>-0.57099769999999905</v>
      </c>
      <c r="S945">
        <v>2.2540589999999998</v>
      </c>
      <c r="T945">
        <v>-0.44242860000000001</v>
      </c>
      <c r="U945">
        <v>-2.5323180000000001</v>
      </c>
      <c r="V945">
        <v>0.25191829999999998</v>
      </c>
      <c r="W945">
        <v>0.32966380000000001</v>
      </c>
      <c r="X945">
        <v>0.90986750000000005</v>
      </c>
      <c r="Y945">
        <v>0.4416754</v>
      </c>
      <c r="Z945">
        <v>1.1948820000000001E-2</v>
      </c>
      <c r="AA945">
        <v>0.89709530000000004</v>
      </c>
      <c r="AB945">
        <v>25</v>
      </c>
      <c r="AC945">
        <v>5.4046999999999903</v>
      </c>
      <c r="AD945">
        <v>-1.1038063305829999</v>
      </c>
      <c r="AE945">
        <v>-6.2205000000000101</v>
      </c>
      <c r="AF945">
        <v>3.6750341936780901</v>
      </c>
      <c r="AG945">
        <v>-1.1038063305829999</v>
      </c>
      <c r="AH945">
        <v>7.2129603669587299</v>
      </c>
      <c r="AI945">
        <v>97.764554295966903</v>
      </c>
      <c r="AJ945">
        <v>63.000962842498602</v>
      </c>
      <c r="AK945">
        <v>8.1701323119920009</v>
      </c>
      <c r="AL945">
        <v>70.751628387294701</v>
      </c>
      <c r="AM945">
        <v>74.5239942081854</v>
      </c>
      <c r="AN945">
        <v>0.99999995923078899</v>
      </c>
    </row>
    <row r="946" spans="1:40" x14ac:dyDescent="0.25">
      <c r="A946" t="str">
        <f>"20190304164613658"</f>
        <v>20190304164613658</v>
      </c>
      <c r="B946" t="str">
        <f>"1551689173648763"</f>
        <v>1551689173648763</v>
      </c>
      <c r="C946" t="s">
        <v>40</v>
      </c>
      <c r="D946">
        <v>5.1514230000000003</v>
      </c>
      <c r="E946">
        <v>0.60034809999999905</v>
      </c>
      <c r="F946" t="s">
        <v>44</v>
      </c>
      <c r="G946">
        <v>-198.9693</v>
      </c>
      <c r="H946" s="1">
        <v>-6.4278349999999996E-6</v>
      </c>
      <c r="I946">
        <v>358.8227</v>
      </c>
      <c r="J946">
        <v>-204.10929999999999</v>
      </c>
      <c r="K946">
        <v>1.1037349999999999</v>
      </c>
      <c r="L946">
        <v>364.75139999999999</v>
      </c>
      <c r="M946">
        <v>0.92462809999999995</v>
      </c>
      <c r="N946">
        <v>-1.4774539999999999E-2</v>
      </c>
      <c r="O946">
        <v>-0.38058449999999999</v>
      </c>
      <c r="P946">
        <v>0.75158950000000002</v>
      </c>
      <c r="Q946">
        <v>0.3205074</v>
      </c>
      <c r="R946">
        <v>-0.57653089999999996</v>
      </c>
      <c r="S946">
        <v>2.2436829999999999</v>
      </c>
      <c r="T946">
        <v>-0.46947549999999999</v>
      </c>
      <c r="U946">
        <v>-2.5478519999999998</v>
      </c>
      <c r="V946">
        <v>0.25296419999999997</v>
      </c>
      <c r="W946">
        <v>0.32953449999999901</v>
      </c>
      <c r="X946">
        <v>0.90962419999999999</v>
      </c>
      <c r="Y946">
        <v>0.44077060000000001</v>
      </c>
      <c r="Z946">
        <v>1.402905E-2</v>
      </c>
      <c r="AA946">
        <v>0.89751019999999904</v>
      </c>
      <c r="AB946">
        <v>25</v>
      </c>
      <c r="AC946">
        <v>5.1399999999999801</v>
      </c>
      <c r="AD946">
        <v>-1.103741427835</v>
      </c>
      <c r="AE946">
        <v>-5.9286999999999903</v>
      </c>
      <c r="AF946">
        <v>3.4576087485576399</v>
      </c>
      <c r="AG946">
        <v>-1.103741427835</v>
      </c>
      <c r="AH946">
        <v>6.87371721441954</v>
      </c>
      <c r="AI946">
        <v>98.163291323429306</v>
      </c>
      <c r="AJ946">
        <v>63.296745947691903</v>
      </c>
      <c r="AK946">
        <v>7.7731133879179399</v>
      </c>
      <c r="AL946">
        <v>70.759476603705593</v>
      </c>
      <c r="AM946">
        <v>74.458884835188201</v>
      </c>
      <c r="AN946">
        <v>1.0000000291987601</v>
      </c>
    </row>
    <row r="947" spans="1:40" x14ac:dyDescent="0.25">
      <c r="A947" t="str">
        <f>"20190304164613678"</f>
        <v>20190304164613678</v>
      </c>
      <c r="B947" t="str">
        <f>"1551689173669259"</f>
        <v>1551689173669259</v>
      </c>
      <c r="C947" t="s">
        <v>40</v>
      </c>
      <c r="D947">
        <v>5.174798</v>
      </c>
      <c r="E947">
        <v>0.59074969999999905</v>
      </c>
      <c r="F947" t="s">
        <v>44</v>
      </c>
      <c r="G947">
        <v>-198.88390000000001</v>
      </c>
      <c r="H947" s="1">
        <v>-6.3838509999999899E-6</v>
      </c>
      <c r="I947">
        <v>358.73110000000003</v>
      </c>
      <c r="J947">
        <v>-203.91460000000001</v>
      </c>
      <c r="K947">
        <v>1.1036589999999999</v>
      </c>
      <c r="L947">
        <v>364.66059999999999</v>
      </c>
      <c r="M947">
        <v>0.9211222</v>
      </c>
      <c r="N947">
        <v>-1.4796E-2</v>
      </c>
      <c r="O947">
        <v>-0.38899260000000002</v>
      </c>
      <c r="P947">
        <v>0.74563179999999996</v>
      </c>
      <c r="Q947">
        <v>0.31793860000000002</v>
      </c>
      <c r="R947">
        <v>-0.58561839999999998</v>
      </c>
      <c r="S947">
        <v>2.2253270000000001</v>
      </c>
      <c r="T947">
        <v>-0.4700511</v>
      </c>
      <c r="U947">
        <v>-2.5638429999999999</v>
      </c>
      <c r="V947">
        <v>0.25532769999999999</v>
      </c>
      <c r="W947">
        <v>0.32689960000000001</v>
      </c>
      <c r="X947">
        <v>0.90991449999999996</v>
      </c>
      <c r="Y947">
        <v>0.43909949999999998</v>
      </c>
      <c r="Z947">
        <v>1.5340299999999999E-2</v>
      </c>
      <c r="AA947">
        <v>0.89830750000000004</v>
      </c>
      <c r="AB947">
        <v>25</v>
      </c>
      <c r="AC947">
        <v>5.0306999999999897</v>
      </c>
      <c r="AD947">
        <v>-1.103665383851</v>
      </c>
      <c r="AE947">
        <v>-5.92949999999996</v>
      </c>
      <c r="AF947">
        <v>3.4360545571526</v>
      </c>
      <c r="AG947">
        <v>-1.103665383851</v>
      </c>
      <c r="AH947">
        <v>6.8041143029267799</v>
      </c>
      <c r="AI947">
        <v>98.238633566313297</v>
      </c>
      <c r="AJ947">
        <v>63.206379805556601</v>
      </c>
      <c r="AK947">
        <v>7.7019815402617597</v>
      </c>
      <c r="AL947">
        <v>70.919298333627907</v>
      </c>
      <c r="AM947">
        <v>74.325548082219996</v>
      </c>
      <c r="AN947">
        <v>0.99999999008884999</v>
      </c>
    </row>
    <row r="948" spans="1:40" x14ac:dyDescent="0.25">
      <c r="A948" t="str">
        <f>"20190304164613701"</f>
        <v>20190304164613701</v>
      </c>
      <c r="B948" t="str">
        <f>"1551689173688779"</f>
        <v>1551689173688779</v>
      </c>
      <c r="C948" t="s">
        <v>40</v>
      </c>
      <c r="D948">
        <v>5.1740640000000004</v>
      </c>
      <c r="E948">
        <v>0.59053359999999899</v>
      </c>
      <c r="F948" t="s">
        <v>44</v>
      </c>
      <c r="G948">
        <v>-199.62719999999999</v>
      </c>
      <c r="H948" s="1">
        <v>-1.0186220000000001E-5</v>
      </c>
      <c r="I948">
        <v>359.8741</v>
      </c>
      <c r="J948">
        <v>-203.67590000000001</v>
      </c>
      <c r="K948">
        <v>1.1035900000000001</v>
      </c>
      <c r="L948">
        <v>364.54579999999999</v>
      </c>
      <c r="M948">
        <v>0.91663910000000004</v>
      </c>
      <c r="N948">
        <v>-1.481963E-2</v>
      </c>
      <c r="O948">
        <v>-0.39944099999999999</v>
      </c>
      <c r="P948">
        <v>0.73871880000000001</v>
      </c>
      <c r="Q948">
        <v>0.31720209999999999</v>
      </c>
      <c r="R948">
        <v>-0.59470800000000001</v>
      </c>
      <c r="S948">
        <v>2.276932</v>
      </c>
      <c r="T948">
        <v>-0.58612819999999899</v>
      </c>
      <c r="U948">
        <v>-2.5419309999999999</v>
      </c>
      <c r="V948">
        <v>0.25604900000000003</v>
      </c>
      <c r="W948">
        <v>0.32612930000000001</v>
      </c>
      <c r="X948">
        <v>0.90998820000000002</v>
      </c>
      <c r="Y948">
        <v>0.41460019999999997</v>
      </c>
      <c r="Z948">
        <v>2.5312210000000002E-2</v>
      </c>
      <c r="AA948">
        <v>0.9096516</v>
      </c>
      <c r="AB948">
        <v>25</v>
      </c>
      <c r="AC948">
        <v>4.0487000000000197</v>
      </c>
      <c r="AD948">
        <v>-1.10360018622</v>
      </c>
      <c r="AE948">
        <v>-4.67169999999998</v>
      </c>
      <c r="AF948">
        <v>2.5830203174168398</v>
      </c>
      <c r="AG948">
        <v>-1.10360018622</v>
      </c>
      <c r="AH948">
        <v>5.40560608086414</v>
      </c>
      <c r="AI948">
        <v>100.43735870225299</v>
      </c>
      <c r="AJ948">
        <v>64.459615643029494</v>
      </c>
      <c r="AK948">
        <v>6.0918391666793301</v>
      </c>
      <c r="AL948">
        <v>70.965992029667802</v>
      </c>
      <c r="AM948">
        <v>74.284662968864893</v>
      </c>
      <c r="AN948">
        <v>0.99999996742936403</v>
      </c>
    </row>
    <row r="949" spans="1:40" x14ac:dyDescent="0.25">
      <c r="A949" t="str">
        <f>"20190304164613724"</f>
        <v>20190304164613724</v>
      </c>
      <c r="B949" t="str">
        <f>"1551689173719036"</f>
        <v>1551689173719036</v>
      </c>
      <c r="C949" t="s">
        <v>40</v>
      </c>
      <c r="D949">
        <v>5.1839170000000001</v>
      </c>
      <c r="E949">
        <v>0.59073690000000001</v>
      </c>
      <c r="F949" t="s">
        <v>44</v>
      </c>
      <c r="G949">
        <v>-199.4461</v>
      </c>
      <c r="H949" s="1">
        <v>-1.014967E-5</v>
      </c>
      <c r="I949">
        <v>359.7011</v>
      </c>
      <c r="J949">
        <v>-203.43520000000001</v>
      </c>
      <c r="K949">
        <v>1.1035440000000001</v>
      </c>
      <c r="L949">
        <v>364.42669999999998</v>
      </c>
      <c r="M949">
        <v>0.91192530000000005</v>
      </c>
      <c r="N949">
        <v>-1.4839969999999999E-2</v>
      </c>
      <c r="O949">
        <v>-0.41008790000000001</v>
      </c>
      <c r="P949">
        <v>0.73143539999999996</v>
      </c>
      <c r="Q949">
        <v>0.31663259999999899</v>
      </c>
      <c r="R949">
        <v>-0.60394250000000005</v>
      </c>
      <c r="S949">
        <v>2.2436069999999999</v>
      </c>
      <c r="T949">
        <v>-0.58538020000000002</v>
      </c>
      <c r="U949">
        <v>-2.5697939999999999</v>
      </c>
      <c r="V949">
        <v>0.2568164</v>
      </c>
      <c r="W949">
        <v>0.32553510000000002</v>
      </c>
      <c r="X949">
        <v>0.90998480000000004</v>
      </c>
      <c r="Y949">
        <v>0.4156782</v>
      </c>
      <c r="Z949">
        <v>2.700731E-2</v>
      </c>
      <c r="AA949">
        <v>0.90911070000000005</v>
      </c>
      <c r="AB949">
        <v>25</v>
      </c>
      <c r="AC949">
        <v>3.9891000000000001</v>
      </c>
      <c r="AD949">
        <v>-1.1035541496700001</v>
      </c>
      <c r="AE949">
        <v>-4.7255999999999796</v>
      </c>
      <c r="AF949">
        <v>2.5912909879382302</v>
      </c>
      <c r="AG949">
        <v>-1.1035541496700001</v>
      </c>
      <c r="AH949">
        <v>5.4041976030574697</v>
      </c>
      <c r="AI949">
        <v>100.433014781319</v>
      </c>
      <c r="AJ949">
        <v>64.382469710484699</v>
      </c>
      <c r="AK949">
        <v>6.0940932449640002</v>
      </c>
      <c r="AL949">
        <v>71.002003990455705</v>
      </c>
      <c r="AM949">
        <v>74.239843698245295</v>
      </c>
      <c r="AN949">
        <v>1.000000050436</v>
      </c>
    </row>
    <row r="950" spans="1:40" x14ac:dyDescent="0.25">
      <c r="A950" t="str">
        <f>"20190304164613746"</f>
        <v>20190304164613746</v>
      </c>
      <c r="B950" t="str">
        <f>"1551689173738555"</f>
        <v>1551689173738555</v>
      </c>
      <c r="C950" t="s">
        <v>40</v>
      </c>
      <c r="D950">
        <v>5.2461539999999998</v>
      </c>
      <c r="E950">
        <v>0.59071370000000001</v>
      </c>
      <c r="F950" t="s">
        <v>44</v>
      </c>
      <c r="G950">
        <v>-199.15600000000001</v>
      </c>
      <c r="H950" s="1">
        <v>-6.6457959999999999E-6</v>
      </c>
      <c r="I950">
        <v>359.38670000000002</v>
      </c>
      <c r="J950">
        <v>-203.21180000000001</v>
      </c>
      <c r="K950">
        <v>1.103512</v>
      </c>
      <c r="L950">
        <v>364.31290000000001</v>
      </c>
      <c r="M950">
        <v>0.90738079999999999</v>
      </c>
      <c r="N950">
        <v>-1.485496E-2</v>
      </c>
      <c r="O950">
        <v>-0.4200469</v>
      </c>
      <c r="P950">
        <v>0.72395600000000004</v>
      </c>
      <c r="Q950">
        <v>0.31669150000000001</v>
      </c>
      <c r="R950">
        <v>-0.61285749999999894</v>
      </c>
      <c r="S950">
        <v>2.2041019999999998</v>
      </c>
      <c r="T950">
        <v>-0.56841309999999901</v>
      </c>
      <c r="U950">
        <v>-2.5959780000000001</v>
      </c>
      <c r="V950">
        <v>0.25804060000000001</v>
      </c>
      <c r="W950">
        <v>0.32556350000000001</v>
      </c>
      <c r="X950">
        <v>0.9096282</v>
      </c>
      <c r="Y950">
        <v>0.41837639999999998</v>
      </c>
      <c r="Z950">
        <v>2.7453829999999999E-2</v>
      </c>
      <c r="AA950">
        <v>0.90785870000000002</v>
      </c>
      <c r="AB950">
        <v>25</v>
      </c>
      <c r="AC950">
        <v>4.0558000000000298</v>
      </c>
      <c r="AD950">
        <v>-1.103518645796</v>
      </c>
      <c r="AE950">
        <v>-4.9261999999999899</v>
      </c>
      <c r="AF950">
        <v>2.6862777995890799</v>
      </c>
      <c r="AG950">
        <v>-1.103518645796</v>
      </c>
      <c r="AH950">
        <v>5.58304808845031</v>
      </c>
      <c r="AI950">
        <v>100.099094992486</v>
      </c>
      <c r="AJ950">
        <v>64.305514630501804</v>
      </c>
      <c r="AK950">
        <v>6.2931921769586303</v>
      </c>
      <c r="AL950">
        <v>71.000282106179398</v>
      </c>
      <c r="AM950">
        <v>74.162580236478902</v>
      </c>
      <c r="AN950">
        <v>1.0000000030079199</v>
      </c>
    </row>
    <row r="951" spans="1:40" x14ac:dyDescent="0.25">
      <c r="A951" t="str">
        <f>"20190304164613760"</f>
        <v>20190304164613760</v>
      </c>
      <c r="B951" t="str">
        <f>"1551689173749292"</f>
        <v>1551689173749292</v>
      </c>
      <c r="C951" t="s">
        <v>40</v>
      </c>
      <c r="D951">
        <v>5.2883709999999997</v>
      </c>
      <c r="E951">
        <v>0.5911073</v>
      </c>
      <c r="F951" t="s">
        <v>44</v>
      </c>
      <c r="G951">
        <v>-199.01929999999999</v>
      </c>
      <c r="H951" s="1">
        <v>-6.5806140000000001E-6</v>
      </c>
      <c r="I951">
        <v>359.25580000000002</v>
      </c>
      <c r="J951">
        <v>-203.0805</v>
      </c>
      <c r="K951">
        <v>1.1035010000000001</v>
      </c>
      <c r="L951">
        <v>364.24459999999999</v>
      </c>
      <c r="M951">
        <v>0.90463550000000004</v>
      </c>
      <c r="N951">
        <v>-1.4860450000000001E-2</v>
      </c>
      <c r="O951">
        <v>-0.42592720000000001</v>
      </c>
      <c r="P951">
        <v>0.71927269999999999</v>
      </c>
      <c r="Q951">
        <v>0.3168589</v>
      </c>
      <c r="R951">
        <v>-0.61826179999999997</v>
      </c>
      <c r="S951">
        <v>2.174118</v>
      </c>
      <c r="T951">
        <v>-0.57226480000000002</v>
      </c>
      <c r="U951">
        <v>-2.6225589999999999</v>
      </c>
      <c r="V951">
        <v>0.25899549999999999</v>
      </c>
      <c r="W951">
        <v>0.32570779999999999</v>
      </c>
      <c r="X951">
        <v>0.90930509999999998</v>
      </c>
      <c r="Y951">
        <v>0.42313400000000001</v>
      </c>
      <c r="Z951">
        <v>2.8233729999999999E-2</v>
      </c>
      <c r="AA951">
        <v>0.90562710000000002</v>
      </c>
      <c r="AB951">
        <v>25</v>
      </c>
      <c r="AC951">
        <v>4.0612000000000101</v>
      </c>
      <c r="AD951">
        <v>-1.103507580614</v>
      </c>
      <c r="AE951">
        <v>-4.9887999999999604</v>
      </c>
      <c r="AF951">
        <v>2.70400656018559</v>
      </c>
      <c r="AG951">
        <v>-1.103507580614</v>
      </c>
      <c r="AH951">
        <v>5.6336307454950898</v>
      </c>
      <c r="AI951">
        <v>100.014654840597</v>
      </c>
      <c r="AJ951">
        <v>64.360119976742993</v>
      </c>
      <c r="AK951">
        <v>6.3456422712430696</v>
      </c>
      <c r="AL951">
        <v>70.9915377039422</v>
      </c>
      <c r="AM951">
        <v>74.101566118081095</v>
      </c>
      <c r="AN951">
        <v>1.00000000244354</v>
      </c>
    </row>
    <row r="952" spans="1:40" x14ac:dyDescent="0.25">
      <c r="A952" t="str">
        <f>"20190304164613772"</f>
        <v>20190304164613772</v>
      </c>
      <c r="B952" t="str">
        <f>"1551689173768812"</f>
        <v>1551689173768812</v>
      </c>
      <c r="C952" t="s">
        <v>40</v>
      </c>
      <c r="D952">
        <v>5.2767609999999996</v>
      </c>
      <c r="E952">
        <v>0.59241100000000002</v>
      </c>
      <c r="F952" t="s">
        <v>44</v>
      </c>
      <c r="G952">
        <v>-198.95500000000001</v>
      </c>
      <c r="H952" s="1">
        <v>-6.5473889999999899E-6</v>
      </c>
      <c r="I952">
        <v>359.18650000000002</v>
      </c>
      <c r="J952">
        <v>-202.94589999999999</v>
      </c>
      <c r="K952">
        <v>1.1034949999999999</v>
      </c>
      <c r="L952">
        <v>364.17360000000002</v>
      </c>
      <c r="M952">
        <v>0.90176670000000003</v>
      </c>
      <c r="N952">
        <v>-1.4863049999999999E-2</v>
      </c>
      <c r="O952">
        <v>-0.43196770000000001</v>
      </c>
      <c r="P952">
        <v>0.71446799999999999</v>
      </c>
      <c r="Q952">
        <v>0.31727529999999998</v>
      </c>
      <c r="R952">
        <v>-0.62359639999999905</v>
      </c>
      <c r="S952">
        <v>2.1543429999999999</v>
      </c>
      <c r="T952">
        <v>-0.57624960000000003</v>
      </c>
      <c r="U952">
        <v>-2.641327</v>
      </c>
      <c r="V952">
        <v>0.25977630000000002</v>
      </c>
      <c r="W952">
        <v>0.32610270000000002</v>
      </c>
      <c r="X952">
        <v>0.90894070000000005</v>
      </c>
      <c r="Y952">
        <v>0.42433480000000001</v>
      </c>
      <c r="Z952">
        <v>2.9393140000000002E-2</v>
      </c>
      <c r="AA952">
        <v>0.90502819999999995</v>
      </c>
      <c r="AB952">
        <v>25</v>
      </c>
      <c r="AC952">
        <v>3.9908999999999799</v>
      </c>
      <c r="AD952">
        <v>-1.103501547389</v>
      </c>
      <c r="AE952">
        <v>-4.9870999999999901</v>
      </c>
      <c r="AF952">
        <v>2.6931832038939798</v>
      </c>
      <c r="AG952">
        <v>-1.103501547389</v>
      </c>
      <c r="AH952">
        <v>5.58700591274029</v>
      </c>
      <c r="AI952">
        <v>100.08847644528601</v>
      </c>
      <c r="AJ952">
        <v>64.263883205882607</v>
      </c>
      <c r="AK952">
        <v>6.2996497127873399</v>
      </c>
      <c r="AL952">
        <v>70.9676038246118</v>
      </c>
      <c r="AM952">
        <v>74.050002712186895</v>
      </c>
      <c r="AN952">
        <v>0.99999994655273305</v>
      </c>
    </row>
    <row r="953" spans="1:40" x14ac:dyDescent="0.25">
      <c r="A953" t="str">
        <f>"20190304164613786"</f>
        <v>20190304164613786</v>
      </c>
      <c r="B953" t="str">
        <f>"1551689173778572"</f>
        <v>1551689173778572</v>
      </c>
      <c r="C953" t="s">
        <v>40</v>
      </c>
      <c r="D953">
        <v>5.2598969999999996</v>
      </c>
      <c r="E953">
        <v>0.59295109999999995</v>
      </c>
      <c r="F953" t="s">
        <v>44</v>
      </c>
      <c r="G953">
        <v>-198.8897</v>
      </c>
      <c r="H953" s="1">
        <v>-6.5067809999999998E-6</v>
      </c>
      <c r="I953">
        <v>359.09559999999999</v>
      </c>
      <c r="J953">
        <v>-202.81890000000001</v>
      </c>
      <c r="K953">
        <v>1.10349599999999</v>
      </c>
      <c r="L953">
        <v>364.10509999999999</v>
      </c>
      <c r="M953">
        <v>0.89900000000000002</v>
      </c>
      <c r="N953">
        <v>-1.485911E-2</v>
      </c>
      <c r="O953">
        <v>-0.4376968</v>
      </c>
      <c r="P953">
        <v>0.70983300000000005</v>
      </c>
      <c r="Q953">
        <v>0.31787720000000003</v>
      </c>
      <c r="R953">
        <v>-0.62856299999999998</v>
      </c>
      <c r="S953">
        <v>2.12941</v>
      </c>
      <c r="T953">
        <v>-0.57931350000000004</v>
      </c>
      <c r="U953">
        <v>-2.6658330000000001</v>
      </c>
      <c r="V953">
        <v>0.260465</v>
      </c>
      <c r="W953">
        <v>0.32668009999999997</v>
      </c>
      <c r="X953">
        <v>0.90853629999999996</v>
      </c>
      <c r="Y953">
        <v>0.42780689999999999</v>
      </c>
      <c r="Z953">
        <v>3.0220799999999999E-2</v>
      </c>
      <c r="AA953">
        <v>0.90336479999999997</v>
      </c>
      <c r="AB953">
        <v>25</v>
      </c>
      <c r="AC953">
        <v>3.9291999999999998</v>
      </c>
      <c r="AD953">
        <v>-1.10350250678099</v>
      </c>
      <c r="AE953">
        <v>-5.0095000000000001</v>
      </c>
      <c r="AF953">
        <v>2.7028499052105901</v>
      </c>
      <c r="AG953">
        <v>-1.10350250678099</v>
      </c>
      <c r="AH953">
        <v>5.5586312497585304</v>
      </c>
      <c r="AI953">
        <v>100.12257576351401</v>
      </c>
      <c r="AJ953">
        <v>64.0689500625693</v>
      </c>
      <c r="AK953">
        <v>6.2786540566717797</v>
      </c>
      <c r="AL953">
        <v>70.932606661319497</v>
      </c>
      <c r="AM953">
        <v>74.003122977899594</v>
      </c>
      <c r="AN953">
        <v>1.0000000561893401</v>
      </c>
    </row>
    <row r="954" spans="1:40" x14ac:dyDescent="0.25">
      <c r="A954" t="str">
        <f>"20190304164613805"</f>
        <v>20190304164613805</v>
      </c>
      <c r="B954" t="str">
        <f>"1551689173799067"</f>
        <v>1551689173799067</v>
      </c>
      <c r="C954" t="s">
        <v>40</v>
      </c>
      <c r="D954">
        <v>5.2481780000000002</v>
      </c>
      <c r="E954">
        <v>0.59389190000000003</v>
      </c>
      <c r="F954" t="s">
        <v>44</v>
      </c>
      <c r="G954">
        <v>-198.80090000000001</v>
      </c>
      <c r="H954" s="1">
        <v>-6.4574220000000004E-6</v>
      </c>
      <c r="I954">
        <v>358.9896</v>
      </c>
      <c r="J954">
        <v>-202.63159999999999</v>
      </c>
      <c r="K954">
        <v>1.1034930000000001</v>
      </c>
      <c r="L954">
        <v>364.00240000000002</v>
      </c>
      <c r="M954">
        <v>0.89483579999999996</v>
      </c>
      <c r="N954">
        <v>-1.4846389999999999E-2</v>
      </c>
      <c r="O954">
        <v>-0.4461484</v>
      </c>
      <c r="P954">
        <v>0.70265040000000001</v>
      </c>
      <c r="Q954">
        <v>0.31953900000000002</v>
      </c>
      <c r="R954">
        <v>-0.63574949999999997</v>
      </c>
      <c r="S954">
        <v>2.1085210000000001</v>
      </c>
      <c r="T954">
        <v>-0.57909270000000002</v>
      </c>
      <c r="U954">
        <v>-2.6844790000000001</v>
      </c>
      <c r="V954">
        <v>0.26151439999999998</v>
      </c>
      <c r="W954">
        <v>0.32829750000000002</v>
      </c>
      <c r="X954">
        <v>0.9076514</v>
      </c>
      <c r="Y954">
        <v>0.42679050000000002</v>
      </c>
      <c r="Z954">
        <v>3.1758920000000003E-2</v>
      </c>
      <c r="AA954">
        <v>0.9037927</v>
      </c>
      <c r="AB954">
        <v>25</v>
      </c>
      <c r="AC954">
        <v>3.83069999999997</v>
      </c>
      <c r="AD954">
        <v>-1.1034994574220001</v>
      </c>
      <c r="AE954">
        <v>-5.0128000000000199</v>
      </c>
      <c r="AF954">
        <v>2.69444483592742</v>
      </c>
      <c r="AG954">
        <v>-1.1034994574220001</v>
      </c>
      <c r="AH954">
        <v>5.4967575834328697</v>
      </c>
      <c r="AI954">
        <v>100.218530222455</v>
      </c>
      <c r="AJ954">
        <v>63.886458627412203</v>
      </c>
      <c r="AK954">
        <v>6.2202964525344999</v>
      </c>
      <c r="AL954">
        <v>70.834527726632501</v>
      </c>
      <c r="AM954">
        <v>73.927141277028198</v>
      </c>
      <c r="AN954">
        <v>1.0000000469177801</v>
      </c>
    </row>
    <row r="955" spans="1:40" x14ac:dyDescent="0.25">
      <c r="A955" t="str">
        <f>"20190304164613827"</f>
        <v>20190304164613827</v>
      </c>
      <c r="B955" t="str">
        <f>"1551689173818587"</f>
        <v>1551689173818587</v>
      </c>
      <c r="C955" t="s">
        <v>40</v>
      </c>
      <c r="D955">
        <v>4.9370310000000002</v>
      </c>
      <c r="E955">
        <v>0.59592590000000001</v>
      </c>
      <c r="F955" t="s">
        <v>44</v>
      </c>
      <c r="G955">
        <v>-198.64330000000001</v>
      </c>
      <c r="H955" s="1">
        <v>-6.3665970000000003E-6</v>
      </c>
      <c r="I955">
        <v>358.79180000000002</v>
      </c>
      <c r="J955">
        <v>-202.41669999999999</v>
      </c>
      <c r="K955">
        <v>1.1034930000000001</v>
      </c>
      <c r="L955">
        <v>363.8818</v>
      </c>
      <c r="M955">
        <v>0.88992879999999996</v>
      </c>
      <c r="N955">
        <v>-1.48197E-2</v>
      </c>
      <c r="O955">
        <v>-0.45585890000000001</v>
      </c>
      <c r="P955">
        <v>0.69447760000000003</v>
      </c>
      <c r="Q955">
        <v>0.3209651</v>
      </c>
      <c r="R955">
        <v>-0.64395839999999904</v>
      </c>
      <c r="S955">
        <v>2.0763699999999998</v>
      </c>
      <c r="T955">
        <v>-0.57450769999999995</v>
      </c>
      <c r="U955">
        <v>-2.7127379999999999</v>
      </c>
      <c r="V955">
        <v>0.26262400000000002</v>
      </c>
      <c r="W955">
        <v>0.32967039999999997</v>
      </c>
      <c r="X955">
        <v>0.906833</v>
      </c>
      <c r="Y955">
        <v>0.42834699999999998</v>
      </c>
      <c r="Z955">
        <v>3.2950970000000003E-2</v>
      </c>
      <c r="AA955">
        <v>0.90301330000000002</v>
      </c>
      <c r="AB955">
        <v>25</v>
      </c>
      <c r="AC955">
        <v>3.7733999999999801</v>
      </c>
      <c r="AD955">
        <v>-1.1034993665970001</v>
      </c>
      <c r="AE955">
        <v>-5.0899999999999697</v>
      </c>
      <c r="AF955">
        <v>2.7271879811775199</v>
      </c>
      <c r="AG955">
        <v>-1.1034993665970001</v>
      </c>
      <c r="AH955">
        <v>5.5118199853215897</v>
      </c>
      <c r="AI955">
        <v>100.17301108145099</v>
      </c>
      <c r="AJ955">
        <v>63.674300296154001</v>
      </c>
      <c r="AK955">
        <v>6.2478335995246903</v>
      </c>
      <c r="AL955">
        <v>70.751228938427701</v>
      </c>
      <c r="AM955">
        <v>73.848682669731801</v>
      </c>
      <c r="AN955">
        <v>1.00000001395058</v>
      </c>
    </row>
    <row r="956" spans="1:40" x14ac:dyDescent="0.25">
      <c r="A956" t="str">
        <f>"20190304164613846"</f>
        <v>20190304164613846</v>
      </c>
      <c r="B956" t="str">
        <f>"1551689173839083"</f>
        <v>1551689173839083</v>
      </c>
      <c r="C956" t="s">
        <v>40</v>
      </c>
      <c r="D956">
        <v>5.2783230000000003</v>
      </c>
      <c r="E956">
        <v>0.5960432</v>
      </c>
      <c r="F956" t="s">
        <v>44</v>
      </c>
      <c r="G956">
        <v>-198.38579999999999</v>
      </c>
      <c r="H956" s="1">
        <v>-6.2031629999999998E-6</v>
      </c>
      <c r="I956">
        <v>358.42380000000003</v>
      </c>
      <c r="J956">
        <v>-202.21639999999999</v>
      </c>
      <c r="K956">
        <v>1.103505</v>
      </c>
      <c r="L956">
        <v>363.76639999999998</v>
      </c>
      <c r="M956">
        <v>0.88522679999999998</v>
      </c>
      <c r="N956">
        <v>-1.4783930000000001E-2</v>
      </c>
      <c r="O956">
        <v>-0.46492499999999998</v>
      </c>
      <c r="P956">
        <v>0.68652669999999905</v>
      </c>
      <c r="Q956">
        <v>0.32235570000000002</v>
      </c>
      <c r="R956">
        <v>-0.6517425</v>
      </c>
      <c r="S956">
        <v>2.0290219999999999</v>
      </c>
      <c r="T956">
        <v>-0.55545999999999995</v>
      </c>
      <c r="U956">
        <v>-2.7473450000000001</v>
      </c>
      <c r="V956">
        <v>0.263903</v>
      </c>
      <c r="W956">
        <v>0.33099959999999901</v>
      </c>
      <c r="X956">
        <v>0.90597709999999998</v>
      </c>
      <c r="Y956">
        <v>0.43466149999999998</v>
      </c>
      <c r="Z956">
        <v>3.2530429999999999E-2</v>
      </c>
      <c r="AA956">
        <v>0.90000619999999998</v>
      </c>
      <c r="AB956">
        <v>25</v>
      </c>
      <c r="AC956">
        <v>3.8306</v>
      </c>
      <c r="AD956">
        <v>-1.1035112031630001</v>
      </c>
      <c r="AE956">
        <v>-5.3425999999999396</v>
      </c>
      <c r="AF956">
        <v>2.8679807104308801</v>
      </c>
      <c r="AG956">
        <v>-1.1035112031630001</v>
      </c>
      <c r="AH956">
        <v>5.71448038101805</v>
      </c>
      <c r="AI956">
        <v>99.792266269230296</v>
      </c>
      <c r="AJ956">
        <v>63.348862438724296</v>
      </c>
      <c r="AK956">
        <v>6.48832307734056</v>
      </c>
      <c r="AL956">
        <v>70.670541978961197</v>
      </c>
      <c r="AM956">
        <v>73.759632486144</v>
      </c>
      <c r="AN956">
        <v>1.00000001716678</v>
      </c>
    </row>
    <row r="957" spans="1:40" x14ac:dyDescent="0.25">
      <c r="A957" t="str">
        <f>"20190304164613860"</f>
        <v>20190304164613860</v>
      </c>
      <c r="B957" t="str">
        <f>"1551689173848843"</f>
        <v>1551689173848843</v>
      </c>
      <c r="C957" t="s">
        <v>40</v>
      </c>
      <c r="D957">
        <v>5.2901809999999996</v>
      </c>
      <c r="E957">
        <v>0.59605850000000005</v>
      </c>
      <c r="F957" t="s">
        <v>44</v>
      </c>
      <c r="G957">
        <v>-198.2312</v>
      </c>
      <c r="H957" s="1">
        <v>-6.1187119999999999E-6</v>
      </c>
      <c r="I957">
        <v>358.24360000000001</v>
      </c>
      <c r="J957">
        <v>-202.0865</v>
      </c>
      <c r="K957">
        <v>1.1035109999999999</v>
      </c>
      <c r="L957">
        <v>363.69029999999998</v>
      </c>
      <c r="M957">
        <v>0.88211450000000002</v>
      </c>
      <c r="N957">
        <v>-1.4755600000000001E-2</v>
      </c>
      <c r="O957">
        <v>-0.470804</v>
      </c>
      <c r="P957">
        <v>0.68180220000000002</v>
      </c>
      <c r="Q957">
        <v>0.32252989999999998</v>
      </c>
      <c r="R957">
        <v>-0.6565976</v>
      </c>
      <c r="S957">
        <v>1.999344</v>
      </c>
      <c r="T957">
        <v>-0.55363309999999999</v>
      </c>
      <c r="U957">
        <v>-2.770813</v>
      </c>
      <c r="V957">
        <v>0.26434049999999998</v>
      </c>
      <c r="W957">
        <v>0.33114300000000002</v>
      </c>
      <c r="X957">
        <v>0.90579710000000002</v>
      </c>
      <c r="Y957">
        <v>0.43863740000000001</v>
      </c>
      <c r="Z957">
        <v>3.301693E-2</v>
      </c>
      <c r="AA957">
        <v>0.89805740000000001</v>
      </c>
      <c r="AB957">
        <v>25</v>
      </c>
      <c r="AC957">
        <v>3.8553000000000002</v>
      </c>
      <c r="AD957">
        <v>-1.1035171187119901</v>
      </c>
      <c r="AE957">
        <v>-5.4466999999999599</v>
      </c>
      <c r="AF957">
        <v>2.9102613457936801</v>
      </c>
      <c r="AG957">
        <v>-1.1035171187119901</v>
      </c>
      <c r="AH957">
        <v>5.80699064399038</v>
      </c>
      <c r="AI957">
        <v>99.6419758276148</v>
      </c>
      <c r="AJ957">
        <v>63.3815671072147</v>
      </c>
      <c r="AK957">
        <v>6.58851360107142</v>
      </c>
      <c r="AL957">
        <v>70.661834106131906</v>
      </c>
      <c r="AM957">
        <v>73.731070074711198</v>
      </c>
      <c r="AN957">
        <v>0.99999998637882903</v>
      </c>
    </row>
    <row r="958" spans="1:40" x14ac:dyDescent="0.25">
      <c r="A958" t="str">
        <f>"20190304164613881"</f>
        <v>20190304164613881</v>
      </c>
      <c r="B958" t="str">
        <f>"1551689173868363"</f>
        <v>1551689173868363</v>
      </c>
      <c r="C958" t="s">
        <v>40</v>
      </c>
      <c r="D958">
        <v>5.256589</v>
      </c>
      <c r="E958">
        <v>0.59597829999999996</v>
      </c>
      <c r="F958" t="s">
        <v>44</v>
      </c>
      <c r="G958">
        <v>-198.15629999999999</v>
      </c>
      <c r="H958" s="1">
        <v>-6.0812339999999898E-6</v>
      </c>
      <c r="I958">
        <v>358.16660000000002</v>
      </c>
      <c r="J958">
        <v>-201.89060000000001</v>
      </c>
      <c r="K958">
        <v>1.103515</v>
      </c>
      <c r="L958">
        <v>363.57310000000001</v>
      </c>
      <c r="M958">
        <v>0.87731780000000004</v>
      </c>
      <c r="N958">
        <v>-1.4705299999999999E-2</v>
      </c>
      <c r="O958">
        <v>-0.47968480000000002</v>
      </c>
      <c r="P958">
        <v>0.67372949999999998</v>
      </c>
      <c r="Q958">
        <v>0.32213609999999998</v>
      </c>
      <c r="R958">
        <v>-0.66506949999999998</v>
      </c>
      <c r="S958">
        <v>1.98143</v>
      </c>
      <c r="T958">
        <v>-0.55633940000000004</v>
      </c>
      <c r="U958">
        <v>-2.7847599999999999</v>
      </c>
      <c r="V958">
        <v>0.26641930000000003</v>
      </c>
      <c r="W958">
        <v>0.3306692</v>
      </c>
      <c r="X958">
        <v>0.90536110000000003</v>
      </c>
      <c r="Y958">
        <v>0.43563930000000001</v>
      </c>
      <c r="Z958">
        <v>3.5015629999999999E-2</v>
      </c>
      <c r="AA958">
        <v>0.89944009999999996</v>
      </c>
      <c r="AB958">
        <v>25</v>
      </c>
      <c r="AC958">
        <v>3.7343000000000099</v>
      </c>
      <c r="AD958">
        <v>-1.1035210812339999</v>
      </c>
      <c r="AE958">
        <v>-5.4064999999999896</v>
      </c>
      <c r="AF958">
        <v>2.87126640702839</v>
      </c>
      <c r="AG958">
        <v>-1.1035210812339999</v>
      </c>
      <c r="AH958">
        <v>5.7091898097110301</v>
      </c>
      <c r="AI958">
        <v>99.797239452671604</v>
      </c>
      <c r="AJ958">
        <v>63.301256920783601</v>
      </c>
      <c r="AK958">
        <v>6.4851197244280598</v>
      </c>
      <c r="AL958">
        <v>70.690602618942705</v>
      </c>
      <c r="AM958">
        <v>73.602502164019498</v>
      </c>
      <c r="AN958">
        <v>1.00000004231716</v>
      </c>
    </row>
    <row r="959" spans="1:40" x14ac:dyDescent="0.25">
      <c r="A959" t="str">
        <f>"20190304164613895"</f>
        <v>20190304164613895</v>
      </c>
      <c r="B959" t="str">
        <f>"1551689173888859"</f>
        <v>1551689173888859</v>
      </c>
      <c r="C959" t="s">
        <v>40</v>
      </c>
      <c r="D959">
        <v>5.2103650000000004</v>
      </c>
      <c r="E959">
        <v>0.59602330000000003</v>
      </c>
      <c r="F959" t="s">
        <v>44</v>
      </c>
      <c r="G959">
        <v>-198.07220000000001</v>
      </c>
      <c r="H959" s="1">
        <v>-6.0388980000000003E-6</v>
      </c>
      <c r="I959">
        <v>358.07940000000002</v>
      </c>
      <c r="J959">
        <v>-201.745</v>
      </c>
      <c r="K959">
        <v>1.1035239999999999</v>
      </c>
      <c r="L959">
        <v>363.48439999999999</v>
      </c>
      <c r="M959">
        <v>0.87367649999999997</v>
      </c>
      <c r="N959">
        <v>-1.466314E-2</v>
      </c>
      <c r="O959">
        <v>-0.48628670000000002</v>
      </c>
      <c r="P959">
        <v>0.6679891</v>
      </c>
      <c r="Q959">
        <v>0.32245889999999999</v>
      </c>
      <c r="R959">
        <v>-0.67067980000000005</v>
      </c>
      <c r="S959">
        <v>1.951263</v>
      </c>
      <c r="T959">
        <v>-0.56391219999999997</v>
      </c>
      <c r="U959">
        <v>-2.8073429999999999</v>
      </c>
      <c r="V959">
        <v>0.26723740000000001</v>
      </c>
      <c r="W959">
        <v>0.3309415</v>
      </c>
      <c r="X959">
        <v>0.90502039999999995</v>
      </c>
      <c r="Y959">
        <v>0.43877080000000002</v>
      </c>
      <c r="Z959">
        <v>3.6479299999999999E-2</v>
      </c>
      <c r="AA959">
        <v>0.8978583</v>
      </c>
      <c r="AB959">
        <v>25</v>
      </c>
      <c r="AC959">
        <v>3.6727999999999899</v>
      </c>
      <c r="AD959">
        <v>-1.1035300388980001</v>
      </c>
      <c r="AE959">
        <v>-5.4049999999999701</v>
      </c>
      <c r="AF959">
        <v>2.85508416811295</v>
      </c>
      <c r="AG959">
        <v>-1.1035300388980001</v>
      </c>
      <c r="AH959">
        <v>5.6759827180830102</v>
      </c>
      <c r="AI959">
        <v>99.8531618052765</v>
      </c>
      <c r="AJ959">
        <v>63.297081502547599</v>
      </c>
      <c r="AK959">
        <v>6.4487257632602404</v>
      </c>
      <c r="AL959">
        <v>70.674069625536404</v>
      </c>
      <c r="AM959">
        <v>73.5490101201909</v>
      </c>
      <c r="AN959">
        <v>1.0000000143985801</v>
      </c>
    </row>
    <row r="960" spans="1:40" x14ac:dyDescent="0.25">
      <c r="A960" t="str">
        <f>"20190304164613908"</f>
        <v>20190304164613908</v>
      </c>
      <c r="B960" t="str">
        <f>"1551689173898619"</f>
        <v>1551689173898619</v>
      </c>
      <c r="C960" t="s">
        <v>40</v>
      </c>
      <c r="D960">
        <v>5.2395750000000003</v>
      </c>
      <c r="E960">
        <v>0.59596850000000001</v>
      </c>
      <c r="F960" t="s">
        <v>44</v>
      </c>
      <c r="G960">
        <v>-197.9845</v>
      </c>
      <c r="H960" s="1">
        <v>-5.9918479999999996E-6</v>
      </c>
      <c r="I960">
        <v>357.97980000000001</v>
      </c>
      <c r="J960">
        <v>-201.6199</v>
      </c>
      <c r="K960">
        <v>1.103529</v>
      </c>
      <c r="L960">
        <v>363.4067</v>
      </c>
      <c r="M960">
        <v>0.87049129999999997</v>
      </c>
      <c r="N960">
        <v>-1.46225E-2</v>
      </c>
      <c r="O960">
        <v>-0.49196649999999997</v>
      </c>
      <c r="P960">
        <v>0.66312590000000005</v>
      </c>
      <c r="Q960">
        <v>0.32271949999999999</v>
      </c>
      <c r="R960">
        <v>-0.67536409999999902</v>
      </c>
      <c r="S960">
        <v>1.929108</v>
      </c>
      <c r="T960">
        <v>-0.56610260000000001</v>
      </c>
      <c r="U960">
        <v>-2.8238219999999998</v>
      </c>
      <c r="V960">
        <v>0.26777269999999997</v>
      </c>
      <c r="W960">
        <v>0.33115879999999998</v>
      </c>
      <c r="X960">
        <v>0.90478270000000005</v>
      </c>
      <c r="Y960">
        <v>0.44019760000000002</v>
      </c>
      <c r="Z960">
        <v>3.7521970000000002E-2</v>
      </c>
      <c r="AA960">
        <v>0.89711659999999904</v>
      </c>
      <c r="AB960">
        <v>25</v>
      </c>
      <c r="AC960">
        <v>3.6354000000000002</v>
      </c>
      <c r="AD960">
        <v>-1.103534991848</v>
      </c>
      <c r="AE960">
        <v>-5.4268999999999803</v>
      </c>
      <c r="AF960">
        <v>2.8544188735630001</v>
      </c>
      <c r="AG960">
        <v>-1.103534991848</v>
      </c>
      <c r="AH960">
        <v>5.6731412776537598</v>
      </c>
      <c r="AI960">
        <v>99.857520923128007</v>
      </c>
      <c r="AJ960">
        <v>63.290924054376703</v>
      </c>
      <c r="AK960">
        <v>6.4459311616091997</v>
      </c>
      <c r="AL960">
        <v>70.660876019632397</v>
      </c>
      <c r="AM960">
        <v>73.513748751538103</v>
      </c>
      <c r="AN960">
        <v>1.0000000519509999</v>
      </c>
    </row>
    <row r="961" spans="1:40" x14ac:dyDescent="0.25">
      <c r="A961" t="str">
        <f>"20190304164613927"</f>
        <v>20190304164613927</v>
      </c>
      <c r="B961" t="str">
        <f>"1551689173919116"</f>
        <v>1551689173919116</v>
      </c>
      <c r="C961" t="s">
        <v>40</v>
      </c>
      <c r="D961">
        <v>4.9211980000000004</v>
      </c>
      <c r="E961">
        <v>0.59692630000000002</v>
      </c>
      <c r="F961" t="s">
        <v>44</v>
      </c>
      <c r="G961">
        <v>-197.90190000000001</v>
      </c>
      <c r="H961" s="1">
        <v>-5.9462949999999998E-6</v>
      </c>
      <c r="I961">
        <v>357.88220000000001</v>
      </c>
      <c r="J961">
        <v>-201.44</v>
      </c>
      <c r="K961">
        <v>1.103532</v>
      </c>
      <c r="L961">
        <v>363.29309999999998</v>
      </c>
      <c r="M961">
        <v>0.8658228</v>
      </c>
      <c r="N961">
        <v>-1.455976E-2</v>
      </c>
      <c r="O961">
        <v>-0.50013890000000005</v>
      </c>
      <c r="P961">
        <v>0.65639950000000002</v>
      </c>
      <c r="Q961">
        <v>0.32363229999999998</v>
      </c>
      <c r="R961">
        <v>-0.68147049999999998</v>
      </c>
      <c r="S961">
        <v>1.909821</v>
      </c>
      <c r="T961">
        <v>-0.56685569999999996</v>
      </c>
      <c r="U961">
        <v>-2.8377690000000002</v>
      </c>
      <c r="V961">
        <v>0.26785690000000001</v>
      </c>
      <c r="W961">
        <v>0.33201619999999998</v>
      </c>
      <c r="X961">
        <v>0.90444340000000001</v>
      </c>
      <c r="Y961">
        <v>0.43808859999999999</v>
      </c>
      <c r="Z961">
        <v>3.9225759999999998E-2</v>
      </c>
      <c r="AA961">
        <v>0.89807559999999997</v>
      </c>
      <c r="AB961">
        <v>25</v>
      </c>
      <c r="AC961">
        <v>3.53809999999998</v>
      </c>
      <c r="AD961">
        <v>-1.1035379462949999</v>
      </c>
      <c r="AE961">
        <v>-5.4108999999999696</v>
      </c>
      <c r="AF961">
        <v>2.83310103166531</v>
      </c>
      <c r="AG961">
        <v>-1.1035379462949999</v>
      </c>
      <c r="AH961">
        <v>5.6068168045161499</v>
      </c>
      <c r="AI961">
        <v>99.963385608330498</v>
      </c>
      <c r="AJ961">
        <v>63.192721393481698</v>
      </c>
      <c r="AK961">
        <v>6.3781386104364897</v>
      </c>
      <c r="AL961">
        <v>70.608802998378593</v>
      </c>
      <c r="AM961">
        <v>73.502995898901403</v>
      </c>
      <c r="AN961">
        <v>0.99999996987180395</v>
      </c>
    </row>
    <row r="962" spans="1:40" x14ac:dyDescent="0.25">
      <c r="A962" t="str">
        <f>"20190304164613964"</f>
        <v>20190304164613964</v>
      </c>
      <c r="B962" t="str">
        <f>"1551689173959131"</f>
        <v>1551689173959131</v>
      </c>
      <c r="C962" t="s">
        <v>40</v>
      </c>
      <c r="D962">
        <v>5.2533640000000004</v>
      </c>
      <c r="E962">
        <v>0.5966728</v>
      </c>
      <c r="F962" t="s">
        <v>44</v>
      </c>
      <c r="G962">
        <v>-197.7063</v>
      </c>
      <c r="H962" s="1">
        <v>-5.8193280000000003E-6</v>
      </c>
      <c r="I962">
        <v>357.5942</v>
      </c>
      <c r="J962">
        <v>-201.10910000000001</v>
      </c>
      <c r="K962">
        <v>1.103521</v>
      </c>
      <c r="L962">
        <v>363.07799999999997</v>
      </c>
      <c r="M962">
        <v>0.85693819999999998</v>
      </c>
      <c r="N962">
        <v>-1.441483E-2</v>
      </c>
      <c r="O962">
        <v>-0.5152177</v>
      </c>
      <c r="P962">
        <v>0.64341219999999999</v>
      </c>
      <c r="Q962">
        <v>0.32521820000000001</v>
      </c>
      <c r="R962">
        <v>-0.693003699999999</v>
      </c>
      <c r="S962">
        <v>1.8739170000000001</v>
      </c>
      <c r="T962">
        <v>-0.55386329999999995</v>
      </c>
      <c r="U962">
        <v>-2.8602910000000001</v>
      </c>
      <c r="V962">
        <v>0.26850089999999999</v>
      </c>
      <c r="W962">
        <v>0.33345200000000003</v>
      </c>
      <c r="X962">
        <v>0.90372399999999997</v>
      </c>
      <c r="Y962">
        <v>0.43368309999999999</v>
      </c>
      <c r="Z962">
        <v>4.1174139999999998E-2</v>
      </c>
      <c r="AA962">
        <v>0.90012429999999999</v>
      </c>
      <c r="AB962">
        <v>25</v>
      </c>
      <c r="AC962">
        <v>3.4028000000000098</v>
      </c>
      <c r="AD962">
        <v>-1.1035268193279999</v>
      </c>
      <c r="AE962">
        <v>-5.4838000000000298</v>
      </c>
      <c r="AF962">
        <v>2.8627027544647898</v>
      </c>
      <c r="AG962">
        <v>-1.1035268193279999</v>
      </c>
      <c r="AH962">
        <v>5.57882576708091</v>
      </c>
      <c r="AI962">
        <v>99.981210072896999</v>
      </c>
      <c r="AJ962">
        <v>62.835955785469501</v>
      </c>
      <c r="AK962">
        <v>6.3667994660459097</v>
      </c>
      <c r="AL962">
        <v>70.521568054152397</v>
      </c>
      <c r="AM962">
        <v>73.453053351612496</v>
      </c>
      <c r="AN962">
        <v>1.0000000188903999</v>
      </c>
    </row>
    <row r="963" spans="1:40" x14ac:dyDescent="0.25">
      <c r="A963" t="str">
        <f>"20190304164613981"</f>
        <v>20190304164613981</v>
      </c>
      <c r="B963" t="str">
        <f>"1551689173968891"</f>
        <v>1551689173968891</v>
      </c>
      <c r="C963" t="s">
        <v>40</v>
      </c>
      <c r="D963">
        <v>5.2848940000000004</v>
      </c>
      <c r="E963">
        <v>0.59655789999999997</v>
      </c>
      <c r="F963" t="s">
        <v>44</v>
      </c>
      <c r="G963">
        <v>-197.47399999999999</v>
      </c>
      <c r="H963" s="1">
        <v>-5.6905479999999996E-6</v>
      </c>
      <c r="I963">
        <v>357.31779999999998</v>
      </c>
      <c r="J963">
        <v>-200.941</v>
      </c>
      <c r="K963">
        <v>1.1035079999999999</v>
      </c>
      <c r="L963">
        <v>362.96559999999999</v>
      </c>
      <c r="M963">
        <v>0.85226849999999998</v>
      </c>
      <c r="N963">
        <v>-1.43301E-2</v>
      </c>
      <c r="O963">
        <v>-0.52290829999999999</v>
      </c>
      <c r="P963">
        <v>0.63709469999999901</v>
      </c>
      <c r="Q963">
        <v>0.3262545</v>
      </c>
      <c r="R963">
        <v>-0.69833259999999997</v>
      </c>
      <c r="S963">
        <v>1.8260959999999999</v>
      </c>
      <c r="T963">
        <v>-0.55436180000000002</v>
      </c>
      <c r="U963">
        <v>-2.8936459999999999</v>
      </c>
      <c r="V963">
        <v>0.26818520000000001</v>
      </c>
      <c r="W963">
        <v>0.3344085</v>
      </c>
      <c r="X963">
        <v>0.9034643</v>
      </c>
      <c r="Y963">
        <v>0.44088290000000002</v>
      </c>
      <c r="Z963">
        <v>4.1929689999999999E-2</v>
      </c>
      <c r="AA963">
        <v>0.89658470000000001</v>
      </c>
      <c r="AB963">
        <v>25</v>
      </c>
      <c r="AC963">
        <v>3.4669999999999499</v>
      </c>
      <c r="AD963">
        <v>-1.1035136905480001</v>
      </c>
      <c r="AE963">
        <v>-5.6478000000000099</v>
      </c>
      <c r="AF963">
        <v>2.9198655596005398</v>
      </c>
      <c r="AG963">
        <v>-1.1035136905480001</v>
      </c>
      <c r="AH963">
        <v>5.7492878403044703</v>
      </c>
      <c r="AI963">
        <v>99.711172461158696</v>
      </c>
      <c r="AJ963">
        <v>63.075551429329202</v>
      </c>
      <c r="AK963">
        <v>6.5419926644747202</v>
      </c>
      <c r="AL963">
        <v>70.463427734735404</v>
      </c>
      <c r="AM963">
        <v>73.466955127709497</v>
      </c>
      <c r="AN963">
        <v>1.00000004387288</v>
      </c>
    </row>
    <row r="964" spans="1:40" x14ac:dyDescent="0.25">
      <c r="A964" t="str">
        <f>"20190304164614005"</f>
        <v>20190304164614005</v>
      </c>
      <c r="B964" t="str">
        <f>"1551689173999147"</f>
        <v>1551689173999147</v>
      </c>
      <c r="C964" t="s">
        <v>40</v>
      </c>
      <c r="D964">
        <v>5.2552620000000001</v>
      </c>
      <c r="E964">
        <v>0.59636080000000002</v>
      </c>
      <c r="F964" t="s">
        <v>44</v>
      </c>
      <c r="G964">
        <v>-197.3381</v>
      </c>
      <c r="H964" s="1">
        <v>-5.6113729999999996E-6</v>
      </c>
      <c r="I964">
        <v>357.14479999999998</v>
      </c>
      <c r="J964">
        <v>-200.72040000000001</v>
      </c>
      <c r="K964">
        <v>1.103478</v>
      </c>
      <c r="L964">
        <v>362.81450000000001</v>
      </c>
      <c r="M964">
        <v>0.84597119999999904</v>
      </c>
      <c r="N964">
        <v>-1.4217230000000001E-2</v>
      </c>
      <c r="O964">
        <v>-0.53303919999999905</v>
      </c>
      <c r="P964">
        <v>0.62976769999999904</v>
      </c>
      <c r="Q964">
        <v>0.32784679999999999</v>
      </c>
      <c r="R964">
        <v>-0.70420830000000001</v>
      </c>
      <c r="S964">
        <v>1.8013920000000001</v>
      </c>
      <c r="T964">
        <v>-0.55173280000000002</v>
      </c>
      <c r="U964">
        <v>-2.9102779999999999</v>
      </c>
      <c r="V964">
        <v>0.26625280000000001</v>
      </c>
      <c r="W964">
        <v>0.33592119999999998</v>
      </c>
      <c r="X964">
        <v>0.90347460000000002</v>
      </c>
      <c r="Y964">
        <v>0.43809629999999999</v>
      </c>
      <c r="Z964">
        <v>4.3720370000000001E-2</v>
      </c>
      <c r="AA964">
        <v>0.8978642</v>
      </c>
      <c r="AB964">
        <v>25</v>
      </c>
      <c r="AC964">
        <v>3.3823000000000101</v>
      </c>
      <c r="AD964">
        <v>-1.103483611373</v>
      </c>
      <c r="AE964">
        <v>-5.6697000000000299</v>
      </c>
      <c r="AF964">
        <v>2.9124399325026702</v>
      </c>
      <c r="AG964">
        <v>-1.103483611373</v>
      </c>
      <c r="AH964">
        <v>5.7241747673174297</v>
      </c>
      <c r="AI964">
        <v>99.749103853268906</v>
      </c>
      <c r="AJ964">
        <v>63.033168509311302</v>
      </c>
      <c r="AK964">
        <v>6.5166064180521603</v>
      </c>
      <c r="AL964">
        <v>70.371434209300006</v>
      </c>
      <c r="AM964">
        <v>73.579822656528805</v>
      </c>
      <c r="AN964">
        <v>0.99999997948121899</v>
      </c>
    </row>
    <row r="965" spans="1:40" x14ac:dyDescent="0.25">
      <c r="A965" t="str">
        <f>"20190304164614027"</f>
        <v>20190304164614027</v>
      </c>
      <c r="B965" t="str">
        <f>"1551689174018668"</f>
        <v>1551689174018668</v>
      </c>
      <c r="C965" t="s">
        <v>40</v>
      </c>
      <c r="D965">
        <v>5.2840160000000003</v>
      </c>
      <c r="E965">
        <v>0.59613719999999903</v>
      </c>
      <c r="F965" t="s">
        <v>44</v>
      </c>
      <c r="G965">
        <v>-197.14879999999999</v>
      </c>
      <c r="H965" s="1">
        <v>-5.5031190000000002E-6</v>
      </c>
      <c r="I965">
        <v>356.90969999999999</v>
      </c>
      <c r="J965">
        <v>-200.50980000000001</v>
      </c>
      <c r="K965">
        <v>1.1034440000000001</v>
      </c>
      <c r="L965">
        <v>362.66660000000002</v>
      </c>
      <c r="M965">
        <v>0.83975469999999897</v>
      </c>
      <c r="N965">
        <v>-1.4108549999999999E-2</v>
      </c>
      <c r="O965">
        <v>-0.54278280000000001</v>
      </c>
      <c r="P965">
        <v>0.62162980000000001</v>
      </c>
      <c r="Q965">
        <v>0.33100350000000001</v>
      </c>
      <c r="R965">
        <v>-0.70993890000000004</v>
      </c>
      <c r="S965">
        <v>1.7722629999999999</v>
      </c>
      <c r="T965">
        <v>-0.54755869999999995</v>
      </c>
      <c r="U965">
        <v>-2.9300540000000002</v>
      </c>
      <c r="V965">
        <v>0.26505200000000001</v>
      </c>
      <c r="W965">
        <v>0.33896939999999998</v>
      </c>
      <c r="X965">
        <v>0.90268890000000002</v>
      </c>
      <c r="Y965">
        <v>0.43702849999999999</v>
      </c>
      <c r="Z965">
        <v>4.511457E-2</v>
      </c>
      <c r="AA965">
        <v>0.89831550000000004</v>
      </c>
      <c r="AB965">
        <v>25</v>
      </c>
      <c r="AC965">
        <v>3.36100000000001</v>
      </c>
      <c r="AD965">
        <v>-1.1034495031189999</v>
      </c>
      <c r="AE965">
        <v>-5.7569000000000301</v>
      </c>
      <c r="AF965">
        <v>2.93010572747826</v>
      </c>
      <c r="AG965">
        <v>-1.1034495031189999</v>
      </c>
      <c r="AH965">
        <v>5.7891319265591701</v>
      </c>
      <c r="AI965">
        <v>99.651636551560998</v>
      </c>
      <c r="AJ965">
        <v>63.154247095461102</v>
      </c>
      <c r="AK965">
        <v>6.5815779903638001</v>
      </c>
      <c r="AL965">
        <v>70.185903899754507</v>
      </c>
      <c r="AM965">
        <v>73.636444037452307</v>
      </c>
      <c r="AN965">
        <v>1.00000003351178</v>
      </c>
    </row>
    <row r="966" spans="1:40" x14ac:dyDescent="0.25">
      <c r="A966" t="str">
        <f>"20190304164614048"</f>
        <v>20190304164614048</v>
      </c>
      <c r="B966" t="str">
        <f>"1551689174039163"</f>
        <v>1551689174039163</v>
      </c>
      <c r="C966" t="s">
        <v>40</v>
      </c>
      <c r="D966">
        <v>5.2519150000000003</v>
      </c>
      <c r="E966">
        <v>0.59588280000000005</v>
      </c>
      <c r="F966" t="s">
        <v>44</v>
      </c>
      <c r="G966">
        <v>-196.9331</v>
      </c>
      <c r="H966" s="1">
        <v>-5.3664869999999996E-6</v>
      </c>
      <c r="I966">
        <v>356.60210000000001</v>
      </c>
      <c r="J966">
        <v>-200.31219999999999</v>
      </c>
      <c r="K966">
        <v>1.103399</v>
      </c>
      <c r="L966">
        <v>362.52440000000001</v>
      </c>
      <c r="M966">
        <v>0.8337194</v>
      </c>
      <c r="N966">
        <v>-1.4008639999999999E-2</v>
      </c>
      <c r="O966">
        <v>-0.55201049999999996</v>
      </c>
      <c r="P966">
        <v>0.61205619999999905</v>
      </c>
      <c r="Q966">
        <v>0.33512540000000002</v>
      </c>
      <c r="R966">
        <v>-0.7162946</v>
      </c>
      <c r="S966">
        <v>1.740891</v>
      </c>
      <c r="T966">
        <v>-0.53708480000000003</v>
      </c>
      <c r="U966">
        <v>-2.9517820000000001</v>
      </c>
      <c r="V966">
        <v>0.26573089999999999</v>
      </c>
      <c r="W966">
        <v>0.34293249999999997</v>
      </c>
      <c r="X966">
        <v>0.90099079999999998</v>
      </c>
      <c r="Y966">
        <v>0.43717319999999998</v>
      </c>
      <c r="Z966">
        <v>4.5628439999999999E-2</v>
      </c>
      <c r="AA966">
        <v>0.89821909999999905</v>
      </c>
      <c r="AB966">
        <v>25</v>
      </c>
      <c r="AC966">
        <v>3.37909999999999</v>
      </c>
      <c r="AD966">
        <v>-1.1034043664869999</v>
      </c>
      <c r="AE966">
        <v>-5.9222999999999999</v>
      </c>
      <c r="AF966">
        <v>2.9941310485355599</v>
      </c>
      <c r="AG966">
        <v>-1.1034043664869999</v>
      </c>
      <c r="AH966">
        <v>5.9316563135712999</v>
      </c>
      <c r="AI966">
        <v>99.428657135062906</v>
      </c>
      <c r="AJ966">
        <v>63.216657112121702</v>
      </c>
      <c r="AK966">
        <v>6.7354931930867199</v>
      </c>
      <c r="AL966">
        <v>69.944361470341207</v>
      </c>
      <c r="AM966">
        <v>73.567531979629507</v>
      </c>
      <c r="AN966">
        <v>1.00000001622784</v>
      </c>
    </row>
    <row r="967" spans="1:40" x14ac:dyDescent="0.25">
      <c r="A967" t="str">
        <f>"20190304164614071"</f>
        <v>20190304164614071</v>
      </c>
      <c r="B967" t="str">
        <f>"1551689174058683"</f>
        <v>1551689174058683</v>
      </c>
      <c r="C967" t="s">
        <v>40</v>
      </c>
      <c r="D967">
        <v>5.272608</v>
      </c>
      <c r="E967">
        <v>0.59557320000000002</v>
      </c>
      <c r="F967" t="s">
        <v>44</v>
      </c>
      <c r="G967">
        <v>-196.7201</v>
      </c>
      <c r="H967" s="1">
        <v>-5.2235239999999999E-6</v>
      </c>
      <c r="I967">
        <v>356.27440000000001</v>
      </c>
      <c r="J967">
        <v>-200.11519999999999</v>
      </c>
      <c r="K967">
        <v>1.103326</v>
      </c>
      <c r="L967">
        <v>362.37920000000003</v>
      </c>
      <c r="M967">
        <v>0.827486099999999</v>
      </c>
      <c r="N967">
        <v>-1.391526E-2</v>
      </c>
      <c r="O967">
        <v>-0.56131390000000003</v>
      </c>
      <c r="P967">
        <v>0.6011879</v>
      </c>
      <c r="Q967">
        <v>0.3388332</v>
      </c>
      <c r="R967">
        <v>-0.72371669999999999</v>
      </c>
      <c r="S967">
        <v>1.708969</v>
      </c>
      <c r="T967">
        <v>-0.52495289999999994</v>
      </c>
      <c r="U967">
        <v>-2.9734799999999999</v>
      </c>
      <c r="V967">
        <v>0.26794040000000002</v>
      </c>
      <c r="W967">
        <v>0.34644219999999998</v>
      </c>
      <c r="X967">
        <v>0.89899150000000005</v>
      </c>
      <c r="Y967">
        <v>0.43726179999999898</v>
      </c>
      <c r="Z967">
        <v>4.591953E-2</v>
      </c>
      <c r="AA967">
        <v>0.89816119999999899</v>
      </c>
      <c r="AB967">
        <v>25</v>
      </c>
      <c r="AC967">
        <v>3.3950999999999798</v>
      </c>
      <c r="AD967">
        <v>-1.103331223524</v>
      </c>
      <c r="AE967">
        <v>-6.1048000000000098</v>
      </c>
      <c r="AF967">
        <v>3.0696435204227099</v>
      </c>
      <c r="AG967">
        <v>-1.103331223524</v>
      </c>
      <c r="AH967">
        <v>6.0849048815157101</v>
      </c>
      <c r="AI967">
        <v>99.195805383552099</v>
      </c>
      <c r="AJ967">
        <v>63.230489061377902</v>
      </c>
      <c r="AK967">
        <v>6.9040653638540999</v>
      </c>
      <c r="AL967">
        <v>69.7301418151321</v>
      </c>
      <c r="AM967">
        <v>73.403547427257493</v>
      </c>
      <c r="AN967">
        <v>0.999999986482624</v>
      </c>
    </row>
    <row r="968" spans="1:40" x14ac:dyDescent="0.25">
      <c r="A968" t="str">
        <f>"20190304164614092"</f>
        <v>20190304164614092</v>
      </c>
      <c r="B968" t="str">
        <f>"1551689174088939"</f>
        <v>1551689174088939</v>
      </c>
      <c r="C968" t="s">
        <v>40</v>
      </c>
      <c r="D968">
        <v>5.259868</v>
      </c>
      <c r="E968">
        <v>0.59503229999999996</v>
      </c>
      <c r="F968" t="s">
        <v>44</v>
      </c>
      <c r="G968">
        <v>-196.53720000000001</v>
      </c>
      <c r="H968" s="1">
        <v>-5.0509999999999996E-6</v>
      </c>
      <c r="I968">
        <v>355.98149999999998</v>
      </c>
      <c r="J968">
        <v>-199.91990000000001</v>
      </c>
      <c r="K968">
        <v>1.1032299999999999</v>
      </c>
      <c r="L968">
        <v>362.23180000000002</v>
      </c>
      <c r="M968">
        <v>0.82107580000000002</v>
      </c>
      <c r="N968">
        <v>-1.382912E-2</v>
      </c>
      <c r="O968">
        <v>-0.57065169999999998</v>
      </c>
      <c r="P968">
        <v>0.58982319999999999</v>
      </c>
      <c r="Q968">
        <v>0.3402251</v>
      </c>
      <c r="R968">
        <v>-0.73236299999999999</v>
      </c>
      <c r="S968">
        <v>1.67526199999999</v>
      </c>
      <c r="T968">
        <v>-0.51658959999999998</v>
      </c>
      <c r="U968">
        <v>-2.9954830000000001</v>
      </c>
      <c r="V968">
        <v>0.27137149999999999</v>
      </c>
      <c r="W968">
        <v>0.34761429999999999</v>
      </c>
      <c r="X968">
        <v>0.89750859999999899</v>
      </c>
      <c r="Y968">
        <v>0.43765670000000001</v>
      </c>
      <c r="Z968">
        <v>4.6531780000000002E-2</v>
      </c>
      <c r="AA968">
        <v>0.89793729999999905</v>
      </c>
      <c r="AB968">
        <v>25</v>
      </c>
      <c r="AC968">
        <v>3.3826999999999998</v>
      </c>
      <c r="AD968">
        <v>-1.103235051</v>
      </c>
      <c r="AE968">
        <v>-6.2503000000000304</v>
      </c>
      <c r="AF968">
        <v>3.1265902981307598</v>
      </c>
      <c r="AG968">
        <v>-1.103235051</v>
      </c>
      <c r="AH968">
        <v>6.1955089750289298</v>
      </c>
      <c r="AI968">
        <v>99.032932634890201</v>
      </c>
      <c r="AJ968">
        <v>63.222008450426401</v>
      </c>
      <c r="AK968">
        <v>7.0268788184929196</v>
      </c>
      <c r="AL968">
        <v>69.658534431228802</v>
      </c>
      <c r="AM968">
        <v>73.176736461752597</v>
      </c>
      <c r="AN968">
        <v>0.99999993982534796</v>
      </c>
    </row>
    <row r="969" spans="1:40" x14ac:dyDescent="0.25">
      <c r="A969" t="str">
        <f>"20190304164614118"</f>
        <v>20190304164614118</v>
      </c>
      <c r="B969" t="str">
        <f>"1551689174109435"</f>
        <v>1551689174109435</v>
      </c>
      <c r="C969" t="s">
        <v>40</v>
      </c>
      <c r="D969">
        <v>5.2410430000000003</v>
      </c>
      <c r="E969">
        <v>0.59481410000000001</v>
      </c>
      <c r="F969" t="s">
        <v>44</v>
      </c>
      <c r="G969">
        <v>-196.43539999999999</v>
      </c>
      <c r="H969" s="1">
        <v>-4.9557200000000004E-6</v>
      </c>
      <c r="I969">
        <v>355.82530000000003</v>
      </c>
      <c r="J969">
        <v>-199.6987</v>
      </c>
      <c r="K969">
        <v>1.1031040000000001</v>
      </c>
      <c r="L969">
        <v>362.06</v>
      </c>
      <c r="M969">
        <v>0.81350489999999998</v>
      </c>
      <c r="N969">
        <v>-1.3739299999999999E-2</v>
      </c>
      <c r="O969">
        <v>-0.58139569999999996</v>
      </c>
      <c r="P969">
        <v>0.57814350000000003</v>
      </c>
      <c r="Q969">
        <v>0.34043839999999997</v>
      </c>
      <c r="R969">
        <v>-0.74151999999999996</v>
      </c>
      <c r="S969">
        <v>1.640579</v>
      </c>
      <c r="T969">
        <v>-0.51942349999999904</v>
      </c>
      <c r="U969">
        <v>-3.0162659999999999</v>
      </c>
      <c r="V969">
        <v>0.27382859999999998</v>
      </c>
      <c r="W969">
        <v>0.34761530000000002</v>
      </c>
      <c r="X969">
        <v>0.89676169999999999</v>
      </c>
      <c r="Y969">
        <v>0.4364961</v>
      </c>
      <c r="Z969">
        <v>4.8723710000000003E-2</v>
      </c>
      <c r="AA969">
        <v>0.89838589999999996</v>
      </c>
      <c r="AB969">
        <v>25</v>
      </c>
      <c r="AC969">
        <v>3.2633000000000099</v>
      </c>
      <c r="AD969">
        <v>-1.10310895572</v>
      </c>
      <c r="AE969">
        <v>-6.2346999999999699</v>
      </c>
      <c r="AF969">
        <v>3.09884357967666</v>
      </c>
      <c r="AG969">
        <v>-1.10310895572</v>
      </c>
      <c r="AH969">
        <v>6.1295132600487703</v>
      </c>
      <c r="AI969">
        <v>99.124260026474005</v>
      </c>
      <c r="AJ969">
        <v>63.180613357018103</v>
      </c>
      <c r="AK969">
        <v>6.9563362271102598</v>
      </c>
      <c r="AL969">
        <v>69.658475086760205</v>
      </c>
      <c r="AM969">
        <v>73.019807961422998</v>
      </c>
      <c r="AN969">
        <v>1.0000000227794601</v>
      </c>
    </row>
    <row r="970" spans="1:40" x14ac:dyDescent="0.25">
      <c r="A970" t="str">
        <f>"20190304164614140"</f>
        <v>20190304164614140</v>
      </c>
      <c r="B970" t="str">
        <f>"1551689174128955"</f>
        <v>1551689174128955</v>
      </c>
      <c r="C970" t="s">
        <v>40</v>
      </c>
      <c r="D970">
        <v>5.2310499999999998</v>
      </c>
      <c r="E970">
        <v>0.58228150000000001</v>
      </c>
      <c r="F970" t="s">
        <v>44</v>
      </c>
      <c r="G970">
        <v>-196.3227</v>
      </c>
      <c r="H970" s="1">
        <v>-4.8425370000000002E-6</v>
      </c>
      <c r="I970">
        <v>355.63600000000002</v>
      </c>
      <c r="J970">
        <v>-199.50020000000001</v>
      </c>
      <c r="K970">
        <v>1.1029850000000001</v>
      </c>
      <c r="L970">
        <v>361.90170000000001</v>
      </c>
      <c r="M970">
        <v>0.80642919999999996</v>
      </c>
      <c r="N970">
        <v>-1.366271E-2</v>
      </c>
      <c r="O970">
        <v>-0.5911729</v>
      </c>
      <c r="P970">
        <v>0.56780799999999998</v>
      </c>
      <c r="Q970">
        <v>0.33939209999999997</v>
      </c>
      <c r="R970">
        <v>-0.74993840000000001</v>
      </c>
      <c r="S970">
        <v>1.597534</v>
      </c>
      <c r="T970">
        <v>-0.5219935</v>
      </c>
      <c r="U970">
        <v>-3.039825</v>
      </c>
      <c r="V970">
        <v>0.27589330000000001</v>
      </c>
      <c r="W970">
        <v>0.34639039999999999</v>
      </c>
      <c r="X970">
        <v>0.89660280000000003</v>
      </c>
      <c r="Y970">
        <v>0.4385269</v>
      </c>
      <c r="Z970">
        <v>5.051162E-2</v>
      </c>
      <c r="AA970">
        <v>0.89729749999999997</v>
      </c>
      <c r="AB970">
        <v>25</v>
      </c>
      <c r="AC970">
        <v>3.1775000000000002</v>
      </c>
      <c r="AD970">
        <v>-1.1029898425369999</v>
      </c>
      <c r="AE970">
        <v>-6.26570000000003</v>
      </c>
      <c r="AF970">
        <v>3.0983158585947002</v>
      </c>
      <c r="AG970">
        <v>-1.1029898425369999</v>
      </c>
      <c r="AH970">
        <v>6.1163604146401402</v>
      </c>
      <c r="AI970">
        <v>99.138955690902407</v>
      </c>
      <c r="AJ970">
        <v>63.134958357934899</v>
      </c>
      <c r="AK970">
        <v>6.9444951201751302</v>
      </c>
      <c r="AL970">
        <v>69.733305957105998</v>
      </c>
      <c r="AM970">
        <v>72.896365302619301</v>
      </c>
      <c r="AN970">
        <v>1.00000000158244</v>
      </c>
    </row>
    <row r="971" spans="1:40" x14ac:dyDescent="0.25">
      <c r="A971" t="str">
        <f>"20190304164614160"</f>
        <v>20190304164614160</v>
      </c>
      <c r="B971" t="str">
        <f>"1551689174148476"</f>
        <v>1551689174148476</v>
      </c>
      <c r="C971" t="s">
        <v>40</v>
      </c>
      <c r="D971">
        <v>5.2478480000000003</v>
      </c>
      <c r="E971">
        <v>0.58317859999999999</v>
      </c>
      <c r="F971" t="s">
        <v>44</v>
      </c>
      <c r="G971">
        <v>-196.69900000000001</v>
      </c>
      <c r="H971" s="1">
        <v>-5.4096690000000003E-6</v>
      </c>
      <c r="I971">
        <v>356.84039999999999</v>
      </c>
      <c r="J971">
        <v>-199.32550000000001</v>
      </c>
      <c r="K971">
        <v>1.1028910000000001</v>
      </c>
      <c r="L971">
        <v>361.75889999999998</v>
      </c>
      <c r="M971">
        <v>0.79997850000000004</v>
      </c>
      <c r="N971">
        <v>-1.3598789999999999E-2</v>
      </c>
      <c r="O971">
        <v>-0.59987469999999998</v>
      </c>
      <c r="P971">
        <v>0.55852290000000004</v>
      </c>
      <c r="Q971">
        <v>0.3372444</v>
      </c>
      <c r="R971">
        <v>-0.75783829999999996</v>
      </c>
      <c r="S971">
        <v>1.676758</v>
      </c>
      <c r="T971">
        <v>-0.66022569999999903</v>
      </c>
      <c r="U971">
        <v>-3.0295719999999999</v>
      </c>
      <c r="V971">
        <v>0.27802929999999998</v>
      </c>
      <c r="W971">
        <v>0.34409190000000001</v>
      </c>
      <c r="X971">
        <v>0.89682809999999902</v>
      </c>
      <c r="Y971">
        <v>0.40979769999999999</v>
      </c>
      <c r="Z971">
        <v>7.0297830000000006E-2</v>
      </c>
      <c r="AA971">
        <v>0.90946360000000004</v>
      </c>
      <c r="AB971">
        <v>25</v>
      </c>
      <c r="AC971">
        <v>2.6264999999999898</v>
      </c>
      <c r="AD971">
        <v>-1.1028964096689999</v>
      </c>
      <c r="AE971">
        <v>-4.9184999999999901</v>
      </c>
      <c r="AF971">
        <v>2.27050919133463</v>
      </c>
      <c r="AG971">
        <v>-1.1028964096689999</v>
      </c>
      <c r="AH971">
        <v>4.8618763709343202</v>
      </c>
      <c r="AI971">
        <v>101.61467205068401</v>
      </c>
      <c r="AJ971">
        <v>64.967300317307306</v>
      </c>
      <c r="AK971">
        <v>5.4780867394232899</v>
      </c>
      <c r="AL971">
        <v>69.873629937754501</v>
      </c>
      <c r="AM971">
        <v>72.775830051025096</v>
      </c>
      <c r="AN971">
        <v>1.0000000841268499</v>
      </c>
    </row>
    <row r="972" spans="1:40" x14ac:dyDescent="0.25">
      <c r="A972" t="str">
        <f>"20190304164614182"</f>
        <v>20190304164614182</v>
      </c>
      <c r="B972" t="str">
        <f>"1551689174178731"</f>
        <v>1551689174178731</v>
      </c>
      <c r="C972" t="s">
        <v>40</v>
      </c>
      <c r="D972">
        <v>5.2239100000000001</v>
      </c>
      <c r="E972">
        <v>0.58347740000000003</v>
      </c>
      <c r="F972" t="s">
        <v>44</v>
      </c>
      <c r="G972">
        <v>-196.58080000000001</v>
      </c>
      <c r="H972" s="1">
        <v>-5.3143570000000002E-6</v>
      </c>
      <c r="I972">
        <v>356.61079999999998</v>
      </c>
      <c r="J972">
        <v>-199.12909999999999</v>
      </c>
      <c r="K972">
        <v>1.102803</v>
      </c>
      <c r="L972">
        <v>361.59440000000001</v>
      </c>
      <c r="M972">
        <v>0.79247019999999901</v>
      </c>
      <c r="N972">
        <v>-1.3531670000000001E-2</v>
      </c>
      <c r="O972">
        <v>-0.60976059999999999</v>
      </c>
      <c r="P972">
        <v>0.549604599999999</v>
      </c>
      <c r="Q972">
        <v>0.3359548</v>
      </c>
      <c r="R972">
        <v>-0.76489849999999904</v>
      </c>
      <c r="S972">
        <v>1.6264799999999999</v>
      </c>
      <c r="T972">
        <v>-0.65356539999999996</v>
      </c>
      <c r="U972">
        <v>-3.0506899999999999</v>
      </c>
      <c r="V972">
        <v>0.2778909</v>
      </c>
      <c r="W972">
        <v>0.34269909999999998</v>
      </c>
      <c r="X972">
        <v>0.89740399999999998</v>
      </c>
      <c r="Y972">
        <v>0.41278520000000002</v>
      </c>
      <c r="Z972">
        <v>7.1432019999999999E-2</v>
      </c>
      <c r="AA972">
        <v>0.90802309999999997</v>
      </c>
      <c r="AB972">
        <v>25</v>
      </c>
      <c r="AC972">
        <v>2.5482999999999798</v>
      </c>
      <c r="AD972">
        <v>-1.102808314357</v>
      </c>
      <c r="AE972">
        <v>-4.9836000000000196</v>
      </c>
      <c r="AF972">
        <v>2.3061977267520102</v>
      </c>
      <c r="AG972">
        <v>-1.102808314357</v>
      </c>
      <c r="AH972">
        <v>4.8696839987072904</v>
      </c>
      <c r="AI972">
        <v>101.567099087347</v>
      </c>
      <c r="AJ972">
        <v>64.658578069487604</v>
      </c>
      <c r="AK972">
        <v>5.4998687602848202</v>
      </c>
      <c r="AL972">
        <v>69.958596228209004</v>
      </c>
      <c r="AM972">
        <v>72.794292845325202</v>
      </c>
      <c r="AN972">
        <v>0.99999998232980902</v>
      </c>
    </row>
    <row r="973" spans="1:40" x14ac:dyDescent="0.25">
      <c r="A973" t="str">
        <f>"20190304164614206"</f>
        <v>20190304164614206</v>
      </c>
      <c r="B973" t="str">
        <f>"1551689174199228"</f>
        <v>1551689174199228</v>
      </c>
      <c r="C973" t="s">
        <v>40</v>
      </c>
      <c r="D973">
        <v>5.1926069999999998</v>
      </c>
      <c r="E973">
        <v>0.5840533</v>
      </c>
      <c r="F973" t="s">
        <v>44</v>
      </c>
      <c r="G973">
        <v>-196.4417</v>
      </c>
      <c r="H973" s="1">
        <v>-5.2152310000000003E-6</v>
      </c>
      <c r="I973">
        <v>356.37959999999998</v>
      </c>
      <c r="J973">
        <v>-198.93010000000001</v>
      </c>
      <c r="K973">
        <v>1.1027149999999999</v>
      </c>
      <c r="L973">
        <v>361.42340000000002</v>
      </c>
      <c r="M973">
        <v>0.78457109999999997</v>
      </c>
      <c r="N973">
        <v>-1.346401E-2</v>
      </c>
      <c r="O973">
        <v>-0.61989269999999996</v>
      </c>
      <c r="P973">
        <v>0.54011439999999999</v>
      </c>
      <c r="Q973">
        <v>0.33530599999999999</v>
      </c>
      <c r="R973">
        <v>-0.77191080000000001</v>
      </c>
      <c r="S973">
        <v>1.5822750000000001</v>
      </c>
      <c r="T973">
        <v>-0.64929510000000001</v>
      </c>
      <c r="U973">
        <v>-3.0703130000000001</v>
      </c>
      <c r="V973">
        <v>0.27771319999999999</v>
      </c>
      <c r="W973">
        <v>0.34194819999999998</v>
      </c>
      <c r="X973">
        <v>0.89774540000000003</v>
      </c>
      <c r="Y973">
        <v>0.41384500000000002</v>
      </c>
      <c r="Z973">
        <v>7.3016040000000004E-2</v>
      </c>
      <c r="AA973">
        <v>0.90741439999999995</v>
      </c>
      <c r="AB973">
        <v>25</v>
      </c>
      <c r="AC973">
        <v>2.4884000000000102</v>
      </c>
      <c r="AD973">
        <v>-1.1027202152309901</v>
      </c>
      <c r="AE973">
        <v>-5.0438000000000303</v>
      </c>
      <c r="AF973">
        <v>2.3255011900370799</v>
      </c>
      <c r="AG973">
        <v>-1.1027202152309901</v>
      </c>
      <c r="AH973">
        <v>4.8913689702473899</v>
      </c>
      <c r="AI973">
        <v>101.508281240649</v>
      </c>
      <c r="AJ973">
        <v>64.572206052125793</v>
      </c>
      <c r="AK973">
        <v>5.5271546080277103</v>
      </c>
      <c r="AL973">
        <v>70.004386491686901</v>
      </c>
      <c r="AM973">
        <v>72.810799878937701</v>
      </c>
      <c r="AN973">
        <v>0.99999999807932005</v>
      </c>
    </row>
    <row r="974" spans="1:40" x14ac:dyDescent="0.25">
      <c r="A974" t="str">
        <f>"20190304164614227"</f>
        <v>20190304164614227</v>
      </c>
      <c r="B974" t="str">
        <f>"1551689174218747"</f>
        <v>1551689174218747</v>
      </c>
      <c r="C974" t="s">
        <v>40</v>
      </c>
      <c r="D974">
        <v>5.197546</v>
      </c>
      <c r="E974">
        <v>0.58326859999999903</v>
      </c>
      <c r="F974" t="s">
        <v>44</v>
      </c>
      <c r="G974">
        <v>-196.2978</v>
      </c>
      <c r="H974" s="1">
        <v>-5.0620430000000001E-6</v>
      </c>
      <c r="I974">
        <v>356.1191</v>
      </c>
      <c r="J974">
        <v>-198.74420000000001</v>
      </c>
      <c r="K974">
        <v>1.1026309999999999</v>
      </c>
      <c r="L974">
        <v>361.25940000000003</v>
      </c>
      <c r="M974">
        <v>0.77691730000000003</v>
      </c>
      <c r="N974">
        <v>-1.34016E-2</v>
      </c>
      <c r="O974">
        <v>-0.62946009999999997</v>
      </c>
      <c r="P974">
        <v>0.5299391</v>
      </c>
      <c r="Q974">
        <v>0.33553729999999998</v>
      </c>
      <c r="R974">
        <v>-0.77883210000000003</v>
      </c>
      <c r="S974">
        <v>1.5344390000000001</v>
      </c>
      <c r="T974">
        <v>-0.64279319999999995</v>
      </c>
      <c r="U974">
        <v>-3.0919490000000001</v>
      </c>
      <c r="V974">
        <v>0.27848220000000001</v>
      </c>
      <c r="W974">
        <v>0.34205720000000001</v>
      </c>
      <c r="X974">
        <v>0.89746559999999898</v>
      </c>
      <c r="Y974">
        <v>0.41651870000000002</v>
      </c>
      <c r="Z974">
        <v>7.4016440000000003E-2</v>
      </c>
      <c r="AA974">
        <v>0.90610919999999895</v>
      </c>
      <c r="AB974">
        <v>25</v>
      </c>
      <c r="AC974">
        <v>2.4464000000000099</v>
      </c>
      <c r="AD974">
        <v>-1.102636062043</v>
      </c>
      <c r="AE974">
        <v>-5.1403000000000203</v>
      </c>
      <c r="AF974">
        <v>2.36516518870787</v>
      </c>
      <c r="AG974">
        <v>-1.102636062043</v>
      </c>
      <c r="AH974">
        <v>4.9509834896368901</v>
      </c>
      <c r="AI974">
        <v>101.362665405017</v>
      </c>
      <c r="AJ974">
        <v>64.465436526862405</v>
      </c>
      <c r="AK974">
        <v>5.59661059658883</v>
      </c>
      <c r="AL974">
        <v>69.997740186646297</v>
      </c>
      <c r="AM974">
        <v>72.760963531346206</v>
      </c>
      <c r="AN974">
        <v>0.99999998348601904</v>
      </c>
    </row>
    <row r="975" spans="1:40" x14ac:dyDescent="0.25">
      <c r="A975" t="str">
        <f>"20190304164614249"</f>
        <v>20190304164614249</v>
      </c>
      <c r="B975" t="str">
        <f>"1551689174239243"</f>
        <v>1551689174239243</v>
      </c>
      <c r="C975" t="s">
        <v>40</v>
      </c>
      <c r="D975">
        <v>5.2090699999999996</v>
      </c>
      <c r="E975">
        <v>0.58307359999999997</v>
      </c>
      <c r="F975" t="s">
        <v>44</v>
      </c>
      <c r="G975">
        <v>-196.1977</v>
      </c>
      <c r="H975" s="1">
        <v>-4.9773270000000003E-6</v>
      </c>
      <c r="I975">
        <v>355.98489999999998</v>
      </c>
      <c r="J975">
        <v>-198.56559999999999</v>
      </c>
      <c r="K975">
        <v>1.1025400000000001</v>
      </c>
      <c r="L975">
        <v>361.09780000000001</v>
      </c>
      <c r="M975">
        <v>0.76929879999999995</v>
      </c>
      <c r="N975">
        <v>-1.334429E-2</v>
      </c>
      <c r="O975">
        <v>-0.63874989999999998</v>
      </c>
      <c r="P975">
        <v>0.52009110000000003</v>
      </c>
      <c r="Q975">
        <v>0.33644159999999901</v>
      </c>
      <c r="R975">
        <v>-0.78505579999999997</v>
      </c>
      <c r="S975">
        <v>1.5016020000000001</v>
      </c>
      <c r="T975">
        <v>-0.65019439999999995</v>
      </c>
      <c r="U975">
        <v>-3.1102599999999998</v>
      </c>
      <c r="V975">
        <v>0.27878360000000002</v>
      </c>
      <c r="W975">
        <v>0.34284829999999999</v>
      </c>
      <c r="X975">
        <v>0.89707009999999898</v>
      </c>
      <c r="Y975">
        <v>0.41557149999999998</v>
      </c>
      <c r="Z975">
        <v>7.6976890000000006E-2</v>
      </c>
      <c r="AA975">
        <v>0.90629729999999997</v>
      </c>
      <c r="AB975">
        <v>25</v>
      </c>
      <c r="AC975">
        <v>2.3678999999999899</v>
      </c>
      <c r="AD975">
        <v>-1.102544977327</v>
      </c>
      <c r="AE975">
        <v>-5.1129000000000202</v>
      </c>
      <c r="AF975">
        <v>2.3317870420416198</v>
      </c>
      <c r="AG975">
        <v>-1.102544977327</v>
      </c>
      <c r="AH975">
        <v>4.9003146446519796</v>
      </c>
      <c r="AI975">
        <v>101.484255541257</v>
      </c>
      <c r="AJ975">
        <v>64.552822906085595</v>
      </c>
      <c r="AK975">
        <v>5.5376818121893603</v>
      </c>
      <c r="AL975">
        <v>69.949496957456503</v>
      </c>
      <c r="AM975">
        <v>72.736257302882393</v>
      </c>
      <c r="AN975">
        <v>1.0000000083779299</v>
      </c>
    </row>
    <row r="976" spans="1:40" x14ac:dyDescent="0.25">
      <c r="A976" t="str">
        <f>"20190304164614272"</f>
        <v>20190304164614272</v>
      </c>
      <c r="B976" t="str">
        <f>"1551689174268524"</f>
        <v>1551689174268524</v>
      </c>
      <c r="C976" t="s">
        <v>40</v>
      </c>
      <c r="D976">
        <v>5.216933</v>
      </c>
      <c r="E976">
        <v>0.58253069999999996</v>
      </c>
      <c r="F976" t="s">
        <v>44</v>
      </c>
      <c r="G976">
        <v>-196.0685</v>
      </c>
      <c r="H976" s="1">
        <v>-4.8448419999999996E-6</v>
      </c>
      <c r="I976">
        <v>355.76199999999898</v>
      </c>
      <c r="J976">
        <v>-198.3793</v>
      </c>
      <c r="K976">
        <v>1.102438</v>
      </c>
      <c r="L976">
        <v>360.92509999999999</v>
      </c>
      <c r="M976">
        <v>0.76106109999999905</v>
      </c>
      <c r="N976">
        <v>-1.3288680000000001E-2</v>
      </c>
      <c r="O976">
        <v>-0.64854400000000001</v>
      </c>
      <c r="P976">
        <v>0.5096984</v>
      </c>
      <c r="Q976">
        <v>0.33731620000000001</v>
      </c>
      <c r="R976">
        <v>-0.79147060000000002</v>
      </c>
      <c r="S976">
        <v>1.464081</v>
      </c>
      <c r="T976">
        <v>-0.64644579999999996</v>
      </c>
      <c r="U976">
        <v>-3.1285400000000001</v>
      </c>
      <c r="V976">
        <v>0.27893699999999999</v>
      </c>
      <c r="W976">
        <v>0.34360560000000001</v>
      </c>
      <c r="X976">
        <v>0.89673259999999899</v>
      </c>
      <c r="Y976">
        <v>0.41496949999999999</v>
      </c>
      <c r="Z976">
        <v>7.8596990000000005E-2</v>
      </c>
      <c r="AA976">
        <v>0.90643410000000002</v>
      </c>
      <c r="AB976">
        <v>25</v>
      </c>
      <c r="AC976">
        <v>2.3108</v>
      </c>
      <c r="AD976">
        <v>-1.1024428448420001</v>
      </c>
      <c r="AE976">
        <v>-5.16310000000004</v>
      </c>
      <c r="AF976">
        <v>2.3420346665273999</v>
      </c>
      <c r="AG976">
        <v>-1.1024428448420001</v>
      </c>
      <c r="AH976">
        <v>4.9207021726973599</v>
      </c>
      <c r="AI976">
        <v>101.436419078976</v>
      </c>
      <c r="AJ976">
        <v>64.547636178799493</v>
      </c>
      <c r="AK976">
        <v>5.5600194673893002</v>
      </c>
      <c r="AL976">
        <v>69.903300519390996</v>
      </c>
      <c r="AM976">
        <v>72.721209119779104</v>
      </c>
      <c r="AN976">
        <v>1.00000000711155</v>
      </c>
    </row>
    <row r="977" spans="1:40" x14ac:dyDescent="0.25">
      <c r="A977" t="str">
        <f>"20190304164614307"</f>
        <v>20190304164614307</v>
      </c>
      <c r="B977" t="str">
        <f>"1551689174298782"</f>
        <v>1551689174298782</v>
      </c>
      <c r="C977" t="s">
        <v>40</v>
      </c>
      <c r="D977">
        <v>5.2016939999999998</v>
      </c>
      <c r="E977">
        <v>0.58280580000000004</v>
      </c>
      <c r="F977" t="s">
        <v>44</v>
      </c>
      <c r="G977">
        <v>-195.94210000000001</v>
      </c>
      <c r="H977" s="1">
        <v>-4.7198530000000001E-6</v>
      </c>
      <c r="I977">
        <v>355.55380000000002</v>
      </c>
      <c r="J977">
        <v>-198.09530000000001</v>
      </c>
      <c r="K977">
        <v>1.102266</v>
      </c>
      <c r="L977">
        <v>360.65190000000001</v>
      </c>
      <c r="M977">
        <v>0.74784229999999996</v>
      </c>
      <c r="N977">
        <v>-1.32211E-2</v>
      </c>
      <c r="O977">
        <v>-0.66374489999999997</v>
      </c>
      <c r="P977">
        <v>0.49213380000000001</v>
      </c>
      <c r="Q977">
        <v>0.33873979999999998</v>
      </c>
      <c r="R977">
        <v>-0.80191020000000002</v>
      </c>
      <c r="S977">
        <v>1.427597</v>
      </c>
      <c r="T977">
        <v>-0.64576169999999899</v>
      </c>
      <c r="U977">
        <v>-3.146271</v>
      </c>
      <c r="V977">
        <v>0.28035710000000003</v>
      </c>
      <c r="W977">
        <v>0.34481889999999998</v>
      </c>
      <c r="X977">
        <v>0.89582349999999999</v>
      </c>
      <c r="Y977">
        <v>0.40748519999999999</v>
      </c>
      <c r="Z977">
        <v>8.2332509999999998E-2</v>
      </c>
      <c r="AA977">
        <v>0.90949279999999999</v>
      </c>
      <c r="AB977">
        <v>25</v>
      </c>
      <c r="AC977">
        <v>2.1531999999999898</v>
      </c>
      <c r="AD977">
        <v>-1.102270719853</v>
      </c>
      <c r="AE977">
        <v>-5.0980999999999801</v>
      </c>
      <c r="AF977">
        <v>2.2926553871767799</v>
      </c>
      <c r="AG977">
        <v>-1.102270719853</v>
      </c>
      <c r="AH977">
        <v>4.8039502573035797</v>
      </c>
      <c r="AI977">
        <v>101.699306315295</v>
      </c>
      <c r="AJ977">
        <v>64.487480363216093</v>
      </c>
      <c r="AK977">
        <v>5.4359182792646097</v>
      </c>
      <c r="AL977">
        <v>69.829258018085497</v>
      </c>
      <c r="AM977">
        <v>72.621956959301599</v>
      </c>
      <c r="AN977">
        <v>0.99999996023493398</v>
      </c>
    </row>
    <row r="978" spans="1:40" x14ac:dyDescent="0.25">
      <c r="A978" t="str">
        <f>"20190304164614330"</f>
        <v>20190304164614330</v>
      </c>
      <c r="B978" t="str">
        <f>"1551689174319278"</f>
        <v>1551689174319278</v>
      </c>
      <c r="C978" t="s">
        <v>40</v>
      </c>
      <c r="D978">
        <v>4.9799790000000002</v>
      </c>
      <c r="E978">
        <v>0.584032199999999</v>
      </c>
      <c r="F978" t="s">
        <v>44</v>
      </c>
      <c r="G978">
        <v>-195.7347</v>
      </c>
      <c r="H978" s="1">
        <v>-4.473339E-6</v>
      </c>
      <c r="I978">
        <v>355.1234</v>
      </c>
      <c r="J978">
        <v>-197.90780000000001</v>
      </c>
      <c r="K978">
        <v>1.102147</v>
      </c>
      <c r="L978">
        <v>360.46550000000002</v>
      </c>
      <c r="M978">
        <v>0.73867620000000001</v>
      </c>
      <c r="N978">
        <v>-1.3187219999999999E-2</v>
      </c>
      <c r="O978">
        <v>-0.67393149999999902</v>
      </c>
      <c r="P978">
        <v>0.48031410000000002</v>
      </c>
      <c r="Q978">
        <v>0.3402116</v>
      </c>
      <c r="R978">
        <v>-0.80842720000000001</v>
      </c>
      <c r="S978">
        <v>1.3562320000000001</v>
      </c>
      <c r="T978">
        <v>-0.63327730000000004</v>
      </c>
      <c r="U978">
        <v>-3.1762700000000001</v>
      </c>
      <c r="V978">
        <v>0.28089950000000002</v>
      </c>
      <c r="W978">
        <v>0.34616400000000003</v>
      </c>
      <c r="X978">
        <v>0.8951346</v>
      </c>
      <c r="Y978">
        <v>0.4152959</v>
      </c>
      <c r="Z978">
        <v>8.2072010000000001E-2</v>
      </c>
      <c r="AA978">
        <v>0.90597649999999996</v>
      </c>
      <c r="AB978">
        <v>25</v>
      </c>
      <c r="AC978">
        <v>2.1730999999999998</v>
      </c>
      <c r="AD978">
        <v>-1.1021514733390001</v>
      </c>
      <c r="AE978">
        <v>-5.3421000000000101</v>
      </c>
      <c r="AF978">
        <v>2.3943313753058102</v>
      </c>
      <c r="AG978">
        <v>-1.1021514733390001</v>
      </c>
      <c r="AH978">
        <v>5.0224490024096999</v>
      </c>
      <c r="AI978">
        <v>101.204506361659</v>
      </c>
      <c r="AJ978">
        <v>64.511654486686496</v>
      </c>
      <c r="AK978">
        <v>5.6720855588366499</v>
      </c>
      <c r="AL978">
        <v>69.747133106431605</v>
      </c>
      <c r="AM978">
        <v>72.577777806395403</v>
      </c>
      <c r="AN978">
        <v>0.99999999805670503</v>
      </c>
    </row>
    <row r="979" spans="1:40" x14ac:dyDescent="0.25">
      <c r="A979" t="str">
        <f>"20190304164614350"</f>
        <v>20190304164614350</v>
      </c>
      <c r="B979" t="str">
        <f>"1551689174338800"</f>
        <v>1551689174338800</v>
      </c>
      <c r="C979" t="s">
        <v>40</v>
      </c>
      <c r="D979">
        <v>5.2372300000000003</v>
      </c>
      <c r="E979">
        <v>0.58448480000000003</v>
      </c>
      <c r="F979" t="s">
        <v>44</v>
      </c>
      <c r="G979">
        <v>-195.54179999999999</v>
      </c>
      <c r="H979" s="1">
        <v>-4.20278399999999E-6</v>
      </c>
      <c r="I979">
        <v>354.63440000000003</v>
      </c>
      <c r="J979">
        <v>-197.7484</v>
      </c>
      <c r="K979">
        <v>1.1020529999999999</v>
      </c>
      <c r="L979">
        <v>360.30239999999998</v>
      </c>
      <c r="M979">
        <v>0.73056650000000001</v>
      </c>
      <c r="N979">
        <v>-1.316471E-2</v>
      </c>
      <c r="O979">
        <v>-0.68271459999999995</v>
      </c>
      <c r="P979">
        <v>0.46935739999999998</v>
      </c>
      <c r="Q979">
        <v>0.34161380000000002</v>
      </c>
      <c r="R979">
        <v>-0.81425059999999905</v>
      </c>
      <c r="S979">
        <v>1.2963559999999901</v>
      </c>
      <c r="T979">
        <v>-0.6038637</v>
      </c>
      <c r="U979">
        <v>-3.1948240000000001</v>
      </c>
      <c r="V979">
        <v>0.281972</v>
      </c>
      <c r="W979">
        <v>0.3474467</v>
      </c>
      <c r="X979">
        <v>0.89429999999999998</v>
      </c>
      <c r="Y979">
        <v>0.4207206</v>
      </c>
      <c r="Z979">
        <v>7.9310820000000004E-2</v>
      </c>
      <c r="AA979">
        <v>0.90371670000000004</v>
      </c>
      <c r="AB979">
        <v>25</v>
      </c>
      <c r="AC979">
        <v>2.2065999999999999</v>
      </c>
      <c r="AD979">
        <v>-1.1020572027840001</v>
      </c>
      <c r="AE979">
        <v>-5.6679999999999398</v>
      </c>
      <c r="AF979">
        <v>2.5508583714330202</v>
      </c>
      <c r="AG979">
        <v>-1.1020572027840001</v>
      </c>
      <c r="AH979">
        <v>5.3079144964356404</v>
      </c>
      <c r="AI979">
        <v>100.599554871903</v>
      </c>
      <c r="AJ979">
        <v>64.332159716682099</v>
      </c>
      <c r="AK979">
        <v>5.9912740557238502</v>
      </c>
      <c r="AL979">
        <v>69.6687758490649</v>
      </c>
      <c r="AM979">
        <v>72.499982919429598</v>
      </c>
      <c r="AN979">
        <v>0.99999995406244302</v>
      </c>
    </row>
    <row r="980" spans="1:40" x14ac:dyDescent="0.25">
      <c r="A980" t="str">
        <f>"20190304164614373"</f>
        <v>20190304164614373</v>
      </c>
      <c r="B980" t="str">
        <f>"1551689174369056"</f>
        <v>1551689174369056</v>
      </c>
      <c r="C980" t="s">
        <v>40</v>
      </c>
      <c r="D980">
        <v>5.2043160000000004</v>
      </c>
      <c r="E980">
        <v>0.58434249999999999</v>
      </c>
      <c r="F980" t="s">
        <v>44</v>
      </c>
      <c r="G980">
        <v>-195.4059</v>
      </c>
      <c r="H980" s="1">
        <v>-3.9979100000000001E-6</v>
      </c>
      <c r="I980">
        <v>354.28449999999998</v>
      </c>
      <c r="J980">
        <v>-197.57069999999999</v>
      </c>
      <c r="K980">
        <v>1.101934</v>
      </c>
      <c r="L980">
        <v>360.11610000000002</v>
      </c>
      <c r="M980">
        <v>0.72117439999999999</v>
      </c>
      <c r="N980">
        <v>-1.314659E-2</v>
      </c>
      <c r="O980">
        <v>-0.69262889999999999</v>
      </c>
      <c r="P980">
        <v>0.45735589999999998</v>
      </c>
      <c r="Q980">
        <v>0.34237519999999999</v>
      </c>
      <c r="R980">
        <v>-0.82073459999999998</v>
      </c>
      <c r="S980">
        <v>1.249741</v>
      </c>
      <c r="T980">
        <v>-0.58795730000000002</v>
      </c>
      <c r="U980">
        <v>-3.2105709999999998</v>
      </c>
      <c r="V980">
        <v>0.28277390000000002</v>
      </c>
      <c r="W980">
        <v>0.34809010000000001</v>
      </c>
      <c r="X980">
        <v>0.89379660000000005</v>
      </c>
      <c r="Y980">
        <v>0.4212321</v>
      </c>
      <c r="Z980">
        <v>7.8932160000000001E-2</v>
      </c>
      <c r="AA980">
        <v>0.90351159999999997</v>
      </c>
      <c r="AB980">
        <v>25</v>
      </c>
      <c r="AC980">
        <v>2.1647999999999801</v>
      </c>
      <c r="AD980">
        <v>-1.1019379979099999</v>
      </c>
      <c r="AE980">
        <v>-5.8316000000000301</v>
      </c>
      <c r="AF980">
        <v>2.6240839906829398</v>
      </c>
      <c r="AG980">
        <v>-1.1019379979099999</v>
      </c>
      <c r="AH980">
        <v>5.4304032792667698</v>
      </c>
      <c r="AI980">
        <v>100.35413220801701</v>
      </c>
      <c r="AJ980">
        <v>64.209198925293094</v>
      </c>
      <c r="AK980">
        <v>6.1310165484092201</v>
      </c>
      <c r="AL980">
        <v>69.629460171702505</v>
      </c>
      <c r="AM980">
        <v>72.443988955674399</v>
      </c>
      <c r="AN980">
        <v>1.00000007920538</v>
      </c>
    </row>
    <row r="981" spans="1:40" x14ac:dyDescent="0.25">
      <c r="A981" t="str">
        <f>"20190304164614399"</f>
        <v>20190304164614399</v>
      </c>
      <c r="B981" t="str">
        <f>"1551689174388575"</f>
        <v>1551689174388575</v>
      </c>
      <c r="C981" t="s">
        <v>40</v>
      </c>
      <c r="D981">
        <v>5.250966</v>
      </c>
      <c r="E981">
        <v>0.58421719999999999</v>
      </c>
      <c r="F981" t="s">
        <v>44</v>
      </c>
      <c r="G981">
        <v>-195.297</v>
      </c>
      <c r="H981" s="1">
        <v>-3.8450529999999996E-6</v>
      </c>
      <c r="I981">
        <v>354.02879999999999</v>
      </c>
      <c r="J981">
        <v>-197.37280000000001</v>
      </c>
      <c r="K981">
        <v>1.101796</v>
      </c>
      <c r="L981">
        <v>359.90140000000002</v>
      </c>
      <c r="M981">
        <v>0.71019339999999997</v>
      </c>
      <c r="N981">
        <v>-1.3138230000000001E-2</v>
      </c>
      <c r="O981">
        <v>-0.70388409999999901</v>
      </c>
      <c r="P981">
        <v>0.44454700000000003</v>
      </c>
      <c r="Q981">
        <v>0.342393</v>
      </c>
      <c r="R981">
        <v>-0.82773490000000005</v>
      </c>
      <c r="S981">
        <v>1.2054290000000001</v>
      </c>
      <c r="T981">
        <v>-0.58420289999999997</v>
      </c>
      <c r="U981">
        <v>-3.2272340000000002</v>
      </c>
      <c r="V981">
        <v>0.28271629999999998</v>
      </c>
      <c r="W981">
        <v>0.34801189999999999</v>
      </c>
      <c r="X981">
        <v>0.89384519999999901</v>
      </c>
      <c r="Y981">
        <v>0.41946099999999997</v>
      </c>
      <c r="Z981">
        <v>8.0683039999999998E-2</v>
      </c>
      <c r="AA981">
        <v>0.90418069999999895</v>
      </c>
      <c r="AB981">
        <v>25</v>
      </c>
      <c r="AC981">
        <v>2.0758000000000099</v>
      </c>
      <c r="AD981">
        <v>-1.101799845053</v>
      </c>
      <c r="AE981">
        <v>-5.8726000000000296</v>
      </c>
      <c r="AF981">
        <v>2.6275744384433399</v>
      </c>
      <c r="AG981">
        <v>-1.101799845053</v>
      </c>
      <c r="AH981">
        <v>5.4381692684875302</v>
      </c>
      <c r="AI981">
        <v>100.338587855423</v>
      </c>
      <c r="AJ981">
        <v>64.211438868888195</v>
      </c>
      <c r="AK981">
        <v>6.1393644069107003</v>
      </c>
      <c r="AL981">
        <v>69.634238166174896</v>
      </c>
      <c r="AM981">
        <v>72.448241217807706</v>
      </c>
      <c r="AN981">
        <v>1.00000001519516</v>
      </c>
    </row>
    <row r="982" spans="1:40" x14ac:dyDescent="0.25">
      <c r="A982" t="str">
        <f>"20190304164614418"</f>
        <v>20190304164614418</v>
      </c>
      <c r="B982" t="str">
        <f>"1551689174409074"</f>
        <v>1551689174409074</v>
      </c>
      <c r="C982" t="s">
        <v>40</v>
      </c>
      <c r="D982">
        <v>5.2383860000000002</v>
      </c>
      <c r="E982">
        <v>0.5846382</v>
      </c>
      <c r="F982" t="s">
        <v>44</v>
      </c>
      <c r="G982">
        <v>-195.2012</v>
      </c>
      <c r="H982" s="1">
        <v>-3.712935E-6</v>
      </c>
      <c r="I982">
        <v>353.80849999999998</v>
      </c>
      <c r="J982">
        <v>-197.22329999999999</v>
      </c>
      <c r="K982">
        <v>1.1016859999999999</v>
      </c>
      <c r="L982">
        <v>359.7346</v>
      </c>
      <c r="M982">
        <v>0.70154910000000004</v>
      </c>
      <c r="N982">
        <v>-1.3137650000000001E-2</v>
      </c>
      <c r="O982">
        <v>-0.71250019999999903</v>
      </c>
      <c r="P982">
        <v>0.43527640000000001</v>
      </c>
      <c r="Q982">
        <v>0.3418446</v>
      </c>
      <c r="R982">
        <v>-0.83287309999999903</v>
      </c>
      <c r="S982">
        <v>1.156876</v>
      </c>
      <c r="T982">
        <v>-0.58695410000000003</v>
      </c>
      <c r="U982">
        <v>-3.2458499999999999</v>
      </c>
      <c r="V982">
        <v>0.28201589999999999</v>
      </c>
      <c r="W982">
        <v>0.34741499999999997</v>
      </c>
      <c r="X982">
        <v>0.89429859999999906</v>
      </c>
      <c r="Y982">
        <v>0.42206500000000002</v>
      </c>
      <c r="Z982">
        <v>8.2571000000000006E-2</v>
      </c>
      <c r="AA982">
        <v>0.90279750000000003</v>
      </c>
      <c r="AB982">
        <v>25</v>
      </c>
      <c r="AC982">
        <v>2.0220999999999898</v>
      </c>
      <c r="AD982">
        <v>-1.1016897129350001</v>
      </c>
      <c r="AE982">
        <v>-5.9261000000000204</v>
      </c>
      <c r="AF982">
        <v>2.6353567125925399</v>
      </c>
      <c r="AG982">
        <v>-1.1016897129350001</v>
      </c>
      <c r="AH982">
        <v>5.47204186480307</v>
      </c>
      <c r="AI982">
        <v>100.281128121482</v>
      </c>
      <c r="AJ982">
        <v>64.284352364932204</v>
      </c>
      <c r="AK982">
        <v>6.1726872103121302</v>
      </c>
      <c r="AL982">
        <v>69.670715204709794</v>
      </c>
      <c r="AM982">
        <v>72.497398979506102</v>
      </c>
      <c r="AN982">
        <v>1.00000006801988</v>
      </c>
    </row>
    <row r="983" spans="1:40" x14ac:dyDescent="0.25">
      <c r="A983" t="str">
        <f>"20190304164614440"</f>
        <v>20190304164614440</v>
      </c>
      <c r="B983" t="str">
        <f>"1551689174428594"</f>
        <v>1551689174428594</v>
      </c>
      <c r="C983" t="s">
        <v>40</v>
      </c>
      <c r="D983">
        <v>5.2491309999999904</v>
      </c>
      <c r="E983">
        <v>0.58524529999999997</v>
      </c>
      <c r="F983" t="s">
        <v>44</v>
      </c>
      <c r="G983">
        <v>-195.13669999999999</v>
      </c>
      <c r="H983" s="1">
        <v>-3.6100429999999999E-6</v>
      </c>
      <c r="I983">
        <v>353.63240000000002</v>
      </c>
      <c r="J983">
        <v>-197.06729999999999</v>
      </c>
      <c r="K983">
        <v>1.1015820000000001</v>
      </c>
      <c r="L983">
        <v>359.55590000000001</v>
      </c>
      <c r="M983">
        <v>0.69219090000000005</v>
      </c>
      <c r="N983">
        <v>-1.314013E-2</v>
      </c>
      <c r="O983">
        <v>-0.72159479999999998</v>
      </c>
      <c r="P983">
        <v>0.42618410000000001</v>
      </c>
      <c r="Q983">
        <v>0.34097620000000001</v>
      </c>
      <c r="R983">
        <v>-0.83791550000000004</v>
      </c>
      <c r="S983">
        <v>1.1150359999999999</v>
      </c>
      <c r="T983">
        <v>-0.58872579999999997</v>
      </c>
      <c r="U983">
        <v>-3.2609249999999999</v>
      </c>
      <c r="V983">
        <v>0.28038010000000002</v>
      </c>
      <c r="W983">
        <v>0.34653040000000002</v>
      </c>
      <c r="X983">
        <v>0.895155699999999</v>
      </c>
      <c r="Y983">
        <v>0.4219464</v>
      </c>
      <c r="Z983">
        <v>8.4630120000000003E-2</v>
      </c>
      <c r="AA983">
        <v>0.90266219999999997</v>
      </c>
      <c r="AB983">
        <v>25</v>
      </c>
      <c r="AC983">
        <v>1.9305999999999901</v>
      </c>
      <c r="AD983">
        <v>-1.1015856100429999</v>
      </c>
      <c r="AE983">
        <v>-5.92349999999999</v>
      </c>
      <c r="AF983">
        <v>2.6252416951425199</v>
      </c>
      <c r="AG983">
        <v>-1.1015856100429999</v>
      </c>
      <c r="AH983">
        <v>5.4410882094337403</v>
      </c>
      <c r="AI983">
        <v>100.333918401164</v>
      </c>
      <c r="AJ983">
        <v>64.243402875317898</v>
      </c>
      <c r="AK983">
        <v>6.1409140782954701</v>
      </c>
      <c r="AL983">
        <v>69.724755388786903</v>
      </c>
      <c r="AM983">
        <v>72.608433430627102</v>
      </c>
      <c r="AN983">
        <v>1.00000002292132</v>
      </c>
    </row>
    <row r="984" spans="1:40" x14ac:dyDescent="0.25">
      <c r="A984" t="str">
        <f>"20190304164614462"</f>
        <v>20190304164614462</v>
      </c>
      <c r="B984" t="str">
        <f>"1551689174458847"</f>
        <v>1551689174458847</v>
      </c>
      <c r="C984" t="s">
        <v>40</v>
      </c>
      <c r="D984">
        <v>5.2447660000000003</v>
      </c>
      <c r="E984">
        <v>0.58596999999999999</v>
      </c>
      <c r="F984" t="s">
        <v>44</v>
      </c>
      <c r="G984">
        <v>-195.065</v>
      </c>
      <c r="H984" s="1">
        <v>-3.4916339999999998E-6</v>
      </c>
      <c r="I984">
        <v>353.42869999999999</v>
      </c>
      <c r="J984">
        <v>-196.8999</v>
      </c>
      <c r="K984">
        <v>1.1014820000000001</v>
      </c>
      <c r="L984">
        <v>359.35860000000002</v>
      </c>
      <c r="M984">
        <v>0.68174869999999899</v>
      </c>
      <c r="N984">
        <v>-1.314484E-2</v>
      </c>
      <c r="O984">
        <v>-0.73146849999999997</v>
      </c>
      <c r="P984">
        <v>0.41597309999999998</v>
      </c>
      <c r="Q984">
        <v>0.34022069999999999</v>
      </c>
      <c r="R984">
        <v>-0.84333649999999905</v>
      </c>
      <c r="S984">
        <v>1.0703739999999999</v>
      </c>
      <c r="T984">
        <v>-0.58888099999999999</v>
      </c>
      <c r="U984">
        <v>-3.275452</v>
      </c>
      <c r="V984">
        <v>0.27865410000000002</v>
      </c>
      <c r="W984">
        <v>0.34576319999999999</v>
      </c>
      <c r="X984">
        <v>0.89599089999999904</v>
      </c>
      <c r="Y984">
        <v>0.4212825</v>
      </c>
      <c r="Z984">
        <v>8.666016E-2</v>
      </c>
      <c r="AA984">
        <v>0.90277960000000002</v>
      </c>
      <c r="AB984">
        <v>25</v>
      </c>
      <c r="AC984">
        <v>1.8349</v>
      </c>
      <c r="AD984">
        <v>-1.101485491634</v>
      </c>
      <c r="AE984">
        <v>-5.9299000000000301</v>
      </c>
      <c r="AF984">
        <v>2.6183162002654501</v>
      </c>
      <c r="AG984">
        <v>-1.101485491634</v>
      </c>
      <c r="AH984">
        <v>5.4183424107156304</v>
      </c>
      <c r="AI984">
        <v>100.372466827607</v>
      </c>
      <c r="AJ984">
        <v>64.208682231026899</v>
      </c>
      <c r="AK984">
        <v>6.1177842796728603</v>
      </c>
      <c r="AL984">
        <v>69.771608615815097</v>
      </c>
      <c r="AM984">
        <v>72.724251969601696</v>
      </c>
      <c r="AN984">
        <v>0.99999999540192996</v>
      </c>
    </row>
    <row r="985" spans="1:40" x14ac:dyDescent="0.25">
      <c r="A985" t="str">
        <f>"20190304164614487"</f>
        <v>20190304164614487</v>
      </c>
      <c r="B985" t="str">
        <f>"1551689174479343"</f>
        <v>1551689174479343</v>
      </c>
      <c r="C985" t="s">
        <v>40</v>
      </c>
      <c r="D985">
        <v>5.253698</v>
      </c>
      <c r="E985">
        <v>0.58631290000000003</v>
      </c>
      <c r="F985" t="s">
        <v>44</v>
      </c>
      <c r="G985">
        <v>-194.9872</v>
      </c>
      <c r="H985" s="1">
        <v>-3.3612020000000002E-6</v>
      </c>
      <c r="I985">
        <v>353.2038</v>
      </c>
      <c r="J985">
        <v>-196.72880000000001</v>
      </c>
      <c r="K985">
        <v>1.101375</v>
      </c>
      <c r="L985">
        <v>359.1506</v>
      </c>
      <c r="M985">
        <v>0.67062129999999998</v>
      </c>
      <c r="N985">
        <v>-1.315232E-2</v>
      </c>
      <c r="O985">
        <v>-0.74168339999999999</v>
      </c>
      <c r="P985">
        <v>0.40462740000000003</v>
      </c>
      <c r="Q985">
        <v>0.33969379999999999</v>
      </c>
      <c r="R985">
        <v>-0.84904950000000001</v>
      </c>
      <c r="S985">
        <v>1.0225979999999999</v>
      </c>
      <c r="T985">
        <v>-0.58888079999999998</v>
      </c>
      <c r="U985">
        <v>-3.2904969999999998</v>
      </c>
      <c r="V985">
        <v>0.27733429999999998</v>
      </c>
      <c r="W985">
        <v>0.34521990000000002</v>
      </c>
      <c r="X985">
        <v>0.89660969999999995</v>
      </c>
      <c r="Y985">
        <v>0.42076760000000002</v>
      </c>
      <c r="Z985">
        <v>8.8725159999999997E-2</v>
      </c>
      <c r="AA985">
        <v>0.90281920000000004</v>
      </c>
      <c r="AB985">
        <v>25</v>
      </c>
      <c r="AC985">
        <v>1.7416</v>
      </c>
      <c r="AD985">
        <v>-1.1013783612019901</v>
      </c>
      <c r="AE985">
        <v>-5.9467999999999899</v>
      </c>
      <c r="AF985">
        <v>2.6139883648298801</v>
      </c>
      <c r="AG985">
        <v>-1.1013783612019901</v>
      </c>
      <c r="AH985">
        <v>5.4082255080098802</v>
      </c>
      <c r="AI985">
        <v>100.390046076237</v>
      </c>
      <c r="AJ985">
        <v>64.203864416075902</v>
      </c>
      <c r="AK985">
        <v>6.1069528090102896</v>
      </c>
      <c r="AL985">
        <v>69.804780645591606</v>
      </c>
      <c r="AM985">
        <v>72.812408211027105</v>
      </c>
      <c r="AN985">
        <v>1.00000002372329</v>
      </c>
    </row>
    <row r="986" spans="1:40" x14ac:dyDescent="0.25">
      <c r="A986" t="str">
        <f>"20190304164614509"</f>
        <v>20190304164614509</v>
      </c>
      <c r="B986" t="str">
        <f>"1551689174498866"</f>
        <v>1551689174498866</v>
      </c>
      <c r="C986" t="s">
        <v>40</v>
      </c>
      <c r="D986">
        <v>5.257638</v>
      </c>
      <c r="E986">
        <v>0.58665009999999995</v>
      </c>
      <c r="F986" t="s">
        <v>44</v>
      </c>
      <c r="G986">
        <v>-194.9085</v>
      </c>
      <c r="H986" s="1">
        <v>-3.2282170000000001E-6</v>
      </c>
      <c r="I986">
        <v>352.9742</v>
      </c>
      <c r="J986">
        <v>-196.56960000000001</v>
      </c>
      <c r="K986">
        <v>1.1012820000000001</v>
      </c>
      <c r="L986">
        <v>358.9511</v>
      </c>
      <c r="M986">
        <v>0.65983440000000004</v>
      </c>
      <c r="N986">
        <v>-1.316291E-2</v>
      </c>
      <c r="O986">
        <v>-0.75129579999999996</v>
      </c>
      <c r="P986">
        <v>0.39364700000000002</v>
      </c>
      <c r="Q986">
        <v>0.33953699999999998</v>
      </c>
      <c r="R986">
        <v>-0.85425790000000001</v>
      </c>
      <c r="S986">
        <v>0.97407529999999998</v>
      </c>
      <c r="T986">
        <v>-0.5893486</v>
      </c>
      <c r="U986">
        <v>-3.3049930000000001</v>
      </c>
      <c r="V986">
        <v>0.27604060000000002</v>
      </c>
      <c r="W986">
        <v>0.34505340000000001</v>
      </c>
      <c r="X986">
        <v>0.89707289999999995</v>
      </c>
      <c r="Y986">
        <v>0.42098180000000002</v>
      </c>
      <c r="Z986">
        <v>9.0708079999999996E-2</v>
      </c>
      <c r="AA986">
        <v>0.90252220000000005</v>
      </c>
      <c r="AB986">
        <v>25</v>
      </c>
      <c r="AC986">
        <v>1.6611</v>
      </c>
      <c r="AD986">
        <v>-1.10128522821699</v>
      </c>
      <c r="AE986">
        <v>-5.9768999999999997</v>
      </c>
      <c r="AF986">
        <v>2.6136477053277698</v>
      </c>
      <c r="AG986">
        <v>-1.10128522821699</v>
      </c>
      <c r="AH986">
        <v>5.4162542490185199</v>
      </c>
      <c r="AI986">
        <v>100.37721885553201</v>
      </c>
      <c r="AJ986">
        <v>64.240073437026197</v>
      </c>
      <c r="AK986">
        <v>6.1139016651779103</v>
      </c>
      <c r="AL986">
        <v>69.814944988056993</v>
      </c>
      <c r="AM986">
        <v>72.896210938012999</v>
      </c>
      <c r="AN986">
        <v>1.0000000248071601</v>
      </c>
    </row>
    <row r="987" spans="1:40" x14ac:dyDescent="0.25">
      <c r="A987" t="str">
        <f>"20190304164614535"</f>
        <v>20190304164614535</v>
      </c>
      <c r="B987" t="str">
        <f>"1551689174529118"</f>
        <v>1551689174529118</v>
      </c>
      <c r="C987" t="s">
        <v>40</v>
      </c>
      <c r="D987">
        <v>5.2559239999999896</v>
      </c>
      <c r="E987">
        <v>0.58705379999999996</v>
      </c>
      <c r="F987" t="s">
        <v>44</v>
      </c>
      <c r="G987">
        <v>-194.83240000000001</v>
      </c>
      <c r="H987" s="1">
        <v>-3.0950699999999998E-6</v>
      </c>
      <c r="I987">
        <v>352.74310000000003</v>
      </c>
      <c r="J987">
        <v>-196.39169999999999</v>
      </c>
      <c r="K987">
        <v>1.1011759999999999</v>
      </c>
      <c r="L987">
        <v>358.7208</v>
      </c>
      <c r="M987">
        <v>0.64724230000000005</v>
      </c>
      <c r="N987">
        <v>-1.3175009999999999E-2</v>
      </c>
      <c r="O987">
        <v>-0.76217069999999998</v>
      </c>
      <c r="P987">
        <v>0.38052900000000001</v>
      </c>
      <c r="Q987">
        <v>0.33939249999999999</v>
      </c>
      <c r="R987">
        <v>-0.86023899999999998</v>
      </c>
      <c r="S987">
        <v>0.92848209999999998</v>
      </c>
      <c r="T987">
        <v>-0.58860299999999999</v>
      </c>
      <c r="U987">
        <v>-3.3179630000000002</v>
      </c>
      <c r="V987">
        <v>0.27495229999999998</v>
      </c>
      <c r="W987">
        <v>0.34488609999999997</v>
      </c>
      <c r="X987">
        <v>0.89747140000000003</v>
      </c>
      <c r="Y987">
        <v>0.41837780000000002</v>
      </c>
      <c r="Z987">
        <v>9.2939960000000002E-2</v>
      </c>
      <c r="AA987">
        <v>0.90350549999999996</v>
      </c>
      <c r="AB987">
        <v>25</v>
      </c>
      <c r="AC987">
        <v>1.5592999999999699</v>
      </c>
      <c r="AD987">
        <v>-1.10117909507</v>
      </c>
      <c r="AE987">
        <v>-5.9776999999999703</v>
      </c>
      <c r="AF987">
        <v>2.5982456274910102</v>
      </c>
      <c r="AG987">
        <v>-1.10117909507</v>
      </c>
      <c r="AH987">
        <v>5.3943597236905401</v>
      </c>
      <c r="AI987">
        <v>100.421009639525</v>
      </c>
      <c r="AJ987">
        <v>64.281757834958398</v>
      </c>
      <c r="AK987">
        <v>6.0879054336257497</v>
      </c>
      <c r="AL987">
        <v>69.825158040252902</v>
      </c>
      <c r="AM987">
        <v>72.966857863227105</v>
      </c>
      <c r="AN987">
        <v>1.0000000515332199</v>
      </c>
    </row>
    <row r="988" spans="1:40" x14ac:dyDescent="0.25">
      <c r="A988" t="str">
        <f>"20190304164614555"</f>
        <v>20190304164614555</v>
      </c>
      <c r="B988" t="str">
        <f>"1551689174548639"</f>
        <v>1551689174548639</v>
      </c>
      <c r="C988" t="s">
        <v>40</v>
      </c>
      <c r="D988">
        <v>5.2978449999999997</v>
      </c>
      <c r="E988">
        <v>0.58716650000000004</v>
      </c>
      <c r="F988" t="s">
        <v>44</v>
      </c>
      <c r="G988">
        <v>-194.75450000000001</v>
      </c>
      <c r="H988" s="1">
        <v>-2.938226E-6</v>
      </c>
      <c r="I988">
        <v>352.4658</v>
      </c>
      <c r="J988">
        <v>-196.256</v>
      </c>
      <c r="K988">
        <v>1.101089</v>
      </c>
      <c r="L988">
        <v>358.53910000000002</v>
      </c>
      <c r="M988">
        <v>0.63720690000000002</v>
      </c>
      <c r="N988">
        <v>-1.318392E-2</v>
      </c>
      <c r="O988">
        <v>-0.77058000000000004</v>
      </c>
      <c r="P988">
        <v>0.37004330000000002</v>
      </c>
      <c r="Q988">
        <v>0.34047060000000001</v>
      </c>
      <c r="R988">
        <v>-0.86437699999999995</v>
      </c>
      <c r="S988">
        <v>0.87234500000000004</v>
      </c>
      <c r="T988">
        <v>-0.58676649999999997</v>
      </c>
      <c r="U988">
        <v>-3.333008</v>
      </c>
      <c r="V988">
        <v>0.27393420000000002</v>
      </c>
      <c r="W988">
        <v>0.34593990000000002</v>
      </c>
      <c r="X988">
        <v>0.89737710000000004</v>
      </c>
      <c r="Y988">
        <v>0.42173830000000001</v>
      </c>
      <c r="Z988">
        <v>9.4088069999999996E-2</v>
      </c>
      <c r="AA988">
        <v>0.90182269999999998</v>
      </c>
      <c r="AB988">
        <v>25</v>
      </c>
      <c r="AC988">
        <v>1.5014999999999601</v>
      </c>
      <c r="AD988">
        <v>-1.101091938226</v>
      </c>
      <c r="AE988">
        <v>-6.0733000000000104</v>
      </c>
      <c r="AF988">
        <v>2.6316396675972298</v>
      </c>
      <c r="AG988">
        <v>-1.101091938226</v>
      </c>
      <c r="AH988">
        <v>5.4678450229658697</v>
      </c>
      <c r="AI988">
        <v>100.284607378545</v>
      </c>
      <c r="AJ988">
        <v>64.298778530803801</v>
      </c>
      <c r="AK988">
        <v>6.1672733028194999</v>
      </c>
      <c r="AL988">
        <v>69.760818898724494</v>
      </c>
      <c r="AM988">
        <v>73.024615437277703</v>
      </c>
      <c r="AN988">
        <v>1.00000000997303</v>
      </c>
    </row>
    <row r="989" spans="1:40" x14ac:dyDescent="0.25">
      <c r="A989" t="str">
        <f>"20190304164614576"</f>
        <v>20190304164614576</v>
      </c>
      <c r="B989" t="str">
        <f>"1551689174569135"</f>
        <v>1551689174569135</v>
      </c>
      <c r="C989" t="s">
        <v>40</v>
      </c>
      <c r="D989">
        <v>5.2947769999999998</v>
      </c>
      <c r="E989">
        <v>0.58728429999999998</v>
      </c>
      <c r="F989" t="s">
        <v>44</v>
      </c>
      <c r="G989">
        <v>-194.68899999999999</v>
      </c>
      <c r="H989" s="1">
        <v>-2.7895210000000001E-6</v>
      </c>
      <c r="I989">
        <v>352.20760000000001</v>
      </c>
      <c r="J989">
        <v>-196.11109999999999</v>
      </c>
      <c r="K989">
        <v>1.100994</v>
      </c>
      <c r="L989">
        <v>358.33920000000001</v>
      </c>
      <c r="M989">
        <v>0.62606499999999998</v>
      </c>
      <c r="N989">
        <v>-1.319504E-2</v>
      </c>
      <c r="O989">
        <v>-0.7796594</v>
      </c>
      <c r="P989">
        <v>0.35689710000000002</v>
      </c>
      <c r="Q989">
        <v>0.341194</v>
      </c>
      <c r="R989">
        <v>-0.86960400000000004</v>
      </c>
      <c r="S989">
        <v>0.82792659999999996</v>
      </c>
      <c r="T989">
        <v>-0.58177419999999902</v>
      </c>
      <c r="U989">
        <v>-3.3453369999999998</v>
      </c>
      <c r="V989">
        <v>0.27456049999999999</v>
      </c>
      <c r="W989">
        <v>0.3465934</v>
      </c>
      <c r="X989">
        <v>0.89693339999999999</v>
      </c>
      <c r="Y989">
        <v>0.4208035</v>
      </c>
      <c r="Z989">
        <v>9.5056660000000001E-2</v>
      </c>
      <c r="AA989">
        <v>0.90215780000000001</v>
      </c>
      <c r="AB989">
        <v>25</v>
      </c>
      <c r="AC989">
        <v>1.4220999999999699</v>
      </c>
      <c r="AD989">
        <v>-1.100996789521</v>
      </c>
      <c r="AE989">
        <v>-6.1315999999999899</v>
      </c>
      <c r="AF989">
        <v>2.6492077138916601</v>
      </c>
      <c r="AG989">
        <v>-1.100996789521</v>
      </c>
      <c r="AH989">
        <v>5.50300755109925</v>
      </c>
      <c r="AI989">
        <v>100.218958879007</v>
      </c>
      <c r="AJ989">
        <v>64.293330141217695</v>
      </c>
      <c r="AK989">
        <v>6.2059316423349298</v>
      </c>
      <c r="AL989">
        <v>69.7209065486295</v>
      </c>
      <c r="AM989">
        <v>72.980113880315798</v>
      </c>
      <c r="AN989">
        <v>0.99999998855968497</v>
      </c>
    </row>
    <row r="990" spans="1:40" x14ac:dyDescent="0.25">
      <c r="A990" t="str">
        <f>"20190304164614601"</f>
        <v>20190304164614601</v>
      </c>
      <c r="B990" t="str">
        <f>"1551689174588655"</f>
        <v>1551689174588655</v>
      </c>
      <c r="C990" t="s">
        <v>40</v>
      </c>
      <c r="D990">
        <v>5.2922650000000004</v>
      </c>
      <c r="E990">
        <v>0.58731099999999903</v>
      </c>
      <c r="F990" t="s">
        <v>44</v>
      </c>
      <c r="G990">
        <v>-194.6336</v>
      </c>
      <c r="H990" s="1">
        <v>-2.6182289999999999E-6</v>
      </c>
      <c r="I990">
        <v>351.94310000000002</v>
      </c>
      <c r="J990">
        <v>-195.96170000000001</v>
      </c>
      <c r="K990">
        <v>1.1008929999999999</v>
      </c>
      <c r="L990">
        <v>358.12619999999998</v>
      </c>
      <c r="M990">
        <v>0.61406959999999999</v>
      </c>
      <c r="N990">
        <v>-1.3208060000000001E-2</v>
      </c>
      <c r="O990">
        <v>-0.78914139999999999</v>
      </c>
      <c r="P990">
        <v>0.34263749999999998</v>
      </c>
      <c r="Q990">
        <v>0.34065839999999997</v>
      </c>
      <c r="R990">
        <v>-0.87552909999999995</v>
      </c>
      <c r="S990">
        <v>0.77578740000000002</v>
      </c>
      <c r="T990">
        <v>-0.57807559999999902</v>
      </c>
      <c r="U990">
        <v>-3.3582459999999998</v>
      </c>
      <c r="V990">
        <v>0.27570709999999998</v>
      </c>
      <c r="W990">
        <v>0.34597559999999999</v>
      </c>
      <c r="X990">
        <v>0.89682019999999996</v>
      </c>
      <c r="Y990">
        <v>0.42102410000000001</v>
      </c>
      <c r="Z990">
        <v>9.6262940000000005E-2</v>
      </c>
      <c r="AA990">
        <v>0.90192689999999998</v>
      </c>
      <c r="AB990">
        <v>25</v>
      </c>
      <c r="AC990">
        <v>1.3281000000000001</v>
      </c>
      <c r="AD990">
        <v>-1.100895618229</v>
      </c>
      <c r="AE990">
        <v>-6.1830999999999596</v>
      </c>
      <c r="AF990">
        <v>2.6681798538452202</v>
      </c>
      <c r="AG990">
        <v>-1.100895618229</v>
      </c>
      <c r="AH990">
        <v>5.5278694431813298</v>
      </c>
      <c r="AI990">
        <v>100.168110414868</v>
      </c>
      <c r="AJ990">
        <v>64.234428012827195</v>
      </c>
      <c r="AK990">
        <v>6.2360641013029401</v>
      </c>
      <c r="AL990">
        <v>69.758638523613698</v>
      </c>
      <c r="AM990">
        <v>72.911137593371294</v>
      </c>
      <c r="AN990">
        <v>0.99999999595690403</v>
      </c>
    </row>
    <row r="991" spans="1:40" x14ac:dyDescent="0.25">
      <c r="A991" t="str">
        <f>"20190304164614621"</f>
        <v>20190304164614621</v>
      </c>
      <c r="B991" t="str">
        <f>"1551689174609151"</f>
        <v>1551689174609151</v>
      </c>
      <c r="C991" t="s">
        <v>40</v>
      </c>
      <c r="D991">
        <v>5.3037989999999997</v>
      </c>
      <c r="E991">
        <v>0.58731099999999903</v>
      </c>
      <c r="F991" t="s">
        <v>44</v>
      </c>
      <c r="G991">
        <v>-194.5924</v>
      </c>
      <c r="H991" s="1">
        <v>-2.4867260000000001E-6</v>
      </c>
      <c r="I991">
        <v>351.73950000000002</v>
      </c>
      <c r="J991">
        <v>-195.8252</v>
      </c>
      <c r="K991">
        <v>1.100789</v>
      </c>
      <c r="L991">
        <v>357.92520000000002</v>
      </c>
      <c r="M991">
        <v>0.60263109999999998</v>
      </c>
      <c r="N991">
        <v>-1.3217100000000001E-2</v>
      </c>
      <c r="O991">
        <v>-0.79791049999999997</v>
      </c>
      <c r="P991">
        <v>0.32995609999999997</v>
      </c>
      <c r="Q991">
        <v>0.34024529999999997</v>
      </c>
      <c r="R991">
        <v>-0.88054690000000002</v>
      </c>
      <c r="S991">
        <v>0.72245789999999999</v>
      </c>
      <c r="T991">
        <v>-0.58084990000000003</v>
      </c>
      <c r="U991">
        <v>-3.36972</v>
      </c>
      <c r="V991">
        <v>0.27590239999999999</v>
      </c>
      <c r="W991">
        <v>0.34550409999999998</v>
      </c>
      <c r="X991">
        <v>0.89694189999999996</v>
      </c>
      <c r="Y991">
        <v>0.42226249999999999</v>
      </c>
      <c r="Z991">
        <v>9.8488329999999999E-2</v>
      </c>
      <c r="AA991">
        <v>0.90110730000000006</v>
      </c>
      <c r="AB991">
        <v>25</v>
      </c>
      <c r="AC991">
        <v>1.2327999999999899</v>
      </c>
      <c r="AD991">
        <v>-1.100791486726</v>
      </c>
      <c r="AE991">
        <v>-6.18569999999999</v>
      </c>
      <c r="AF991">
        <v>2.6631536251443499</v>
      </c>
      <c r="AG991">
        <v>-1.100791486726</v>
      </c>
      <c r="AH991">
        <v>5.51118890411548</v>
      </c>
      <c r="AI991">
        <v>100.195150801964</v>
      </c>
      <c r="AJ991">
        <v>64.208926376509098</v>
      </c>
      <c r="AK991">
        <v>6.2191102470702004</v>
      </c>
      <c r="AL991">
        <v>69.787428953521001</v>
      </c>
      <c r="AM991">
        <v>72.901923336149494</v>
      </c>
      <c r="AN991">
        <v>0.99999999470908896</v>
      </c>
    </row>
    <row r="992" spans="1:40" x14ac:dyDescent="0.25">
      <c r="A992" t="str">
        <f>"20190304164614642"</f>
        <v>20190304164614642</v>
      </c>
      <c r="B992" t="str">
        <f>"1551689174638431"</f>
        <v>1551689174638431</v>
      </c>
      <c r="C992" t="s">
        <v>40</v>
      </c>
      <c r="D992">
        <v>5.2797109999999998</v>
      </c>
      <c r="E992">
        <v>0.58725819999999995</v>
      </c>
      <c r="F992" t="s">
        <v>44</v>
      </c>
      <c r="G992">
        <v>-194.55350000000001</v>
      </c>
      <c r="H992" s="1">
        <v>-2.3549999999999999E-6</v>
      </c>
      <c r="I992">
        <v>351.53440000000001</v>
      </c>
      <c r="J992">
        <v>-195.69399999999999</v>
      </c>
      <c r="K992">
        <v>1.100678</v>
      </c>
      <c r="L992">
        <v>357.72570000000002</v>
      </c>
      <c r="M992">
        <v>0.59114809999999995</v>
      </c>
      <c r="N992">
        <v>-1.322101E-2</v>
      </c>
      <c r="O992">
        <v>-0.80645480000000003</v>
      </c>
      <c r="P992">
        <v>0.31869009999999998</v>
      </c>
      <c r="Q992">
        <v>0.34086149999999998</v>
      </c>
      <c r="R992">
        <v>-0.88444889999999998</v>
      </c>
      <c r="S992">
        <v>0.67254639999999999</v>
      </c>
      <c r="T992">
        <v>-0.58217919999999901</v>
      </c>
      <c r="U992">
        <v>-3.3799130000000002</v>
      </c>
      <c r="V992">
        <v>0.2744682</v>
      </c>
      <c r="W992">
        <v>0.34609380000000001</v>
      </c>
      <c r="X992">
        <v>0.89715460000000002</v>
      </c>
      <c r="Y992">
        <v>0.42264469999999998</v>
      </c>
      <c r="Z992">
        <v>0.1004755</v>
      </c>
      <c r="AA992">
        <v>0.90070869999999903</v>
      </c>
      <c r="AB992">
        <v>25</v>
      </c>
      <c r="AC992">
        <v>1.1405000000000001</v>
      </c>
      <c r="AD992">
        <v>-1.1006803549999999</v>
      </c>
      <c r="AE992">
        <v>-6.1913000000000098</v>
      </c>
      <c r="AF992">
        <v>2.6591674814605799</v>
      </c>
      <c r="AG992">
        <v>-1.1006803549999999</v>
      </c>
      <c r="AH992">
        <v>5.4995915747416699</v>
      </c>
      <c r="AI992">
        <v>100.214035238855</v>
      </c>
      <c r="AJ992">
        <v>64.195262388808899</v>
      </c>
      <c r="AK992">
        <v>6.2071069289412097</v>
      </c>
      <c r="AL992">
        <v>69.751421238812995</v>
      </c>
      <c r="AM992">
        <v>72.989457794790994</v>
      </c>
      <c r="AN992">
        <v>1.00000004375541</v>
      </c>
    </row>
    <row r="993" spans="1:40" x14ac:dyDescent="0.25">
      <c r="A993" t="str">
        <f>"20190304164614665"</f>
        <v>20190304164614665</v>
      </c>
      <c r="B993" t="str">
        <f>"1551689174658927"</f>
        <v>1551689174658927</v>
      </c>
      <c r="C993" t="s">
        <v>40</v>
      </c>
      <c r="D993">
        <v>5.2661699999999998</v>
      </c>
      <c r="E993">
        <v>0.58716199999999996</v>
      </c>
      <c r="F993" t="s">
        <v>44</v>
      </c>
      <c r="G993">
        <v>-194.50460000000001</v>
      </c>
      <c r="H993" s="1">
        <v>-2.1856069999999999E-6</v>
      </c>
      <c r="I993">
        <v>351.27019999999999</v>
      </c>
      <c r="J993">
        <v>-195.54839999999999</v>
      </c>
      <c r="K993">
        <v>1.1005320000000001</v>
      </c>
      <c r="L993">
        <v>357.49650000000003</v>
      </c>
      <c r="M993">
        <v>0.57778229999999997</v>
      </c>
      <c r="N993">
        <v>-1.321953E-2</v>
      </c>
      <c r="O993">
        <v>-0.81608409999999998</v>
      </c>
      <c r="P993">
        <v>0.30564910000000001</v>
      </c>
      <c r="Q993">
        <v>0.34224579999999999</v>
      </c>
      <c r="R993">
        <v>-0.88850830000000003</v>
      </c>
      <c r="S993">
        <v>0.62454219999999905</v>
      </c>
      <c r="T993">
        <v>-0.57795019999999997</v>
      </c>
      <c r="U993">
        <v>-3.3896790000000001</v>
      </c>
      <c r="V993">
        <v>0.27271139999999999</v>
      </c>
      <c r="W993">
        <v>0.34743639999999998</v>
      </c>
      <c r="X993">
        <v>0.89717139999999995</v>
      </c>
      <c r="Y993">
        <v>0.42055710000000002</v>
      </c>
      <c r="Z993">
        <v>0.10177079999999999</v>
      </c>
      <c r="AA993">
        <v>0.90154000000000001</v>
      </c>
      <c r="AB993">
        <v>25</v>
      </c>
      <c r="AC993">
        <v>1.0437999999999701</v>
      </c>
      <c r="AD993">
        <v>-1.1005341856069999</v>
      </c>
      <c r="AE993">
        <v>-6.2263000000000304</v>
      </c>
      <c r="AF993">
        <v>2.6648750884032202</v>
      </c>
      <c r="AG993">
        <v>-1.1005341856069999</v>
      </c>
      <c r="AH993">
        <v>5.51711224368057</v>
      </c>
      <c r="AI993">
        <v>100.182910982089</v>
      </c>
      <c r="AJ993">
        <v>64.218532176302503</v>
      </c>
      <c r="AK993">
        <v>6.2250511837134201</v>
      </c>
      <c r="AL993">
        <v>69.669407035311394</v>
      </c>
      <c r="AM993">
        <v>73.092406335122504</v>
      </c>
      <c r="AN993">
        <v>1.00000004035643</v>
      </c>
    </row>
    <row r="994" spans="1:40" x14ac:dyDescent="0.25">
      <c r="A994" t="str">
        <f>"20190304164614688"</f>
        <v>20190304164614688</v>
      </c>
      <c r="B994" t="str">
        <f>"1551689174679423"</f>
        <v>1551689174679423</v>
      </c>
      <c r="C994" t="s">
        <v>40</v>
      </c>
      <c r="D994">
        <v>5.2958809999999996</v>
      </c>
      <c r="E994">
        <v>0.587024199999999</v>
      </c>
      <c r="F994" t="s">
        <v>44</v>
      </c>
      <c r="G994">
        <v>-194.45079999999999</v>
      </c>
      <c r="H994" s="1">
        <v>-1.9748600000000001E-6</v>
      </c>
      <c r="I994">
        <v>350.93830000000003</v>
      </c>
      <c r="J994">
        <v>-195.4179</v>
      </c>
      <c r="K994">
        <v>1.100395</v>
      </c>
      <c r="L994">
        <v>357.2835</v>
      </c>
      <c r="M994">
        <v>0.56520239999999999</v>
      </c>
      <c r="N994">
        <v>-1.321234E-2</v>
      </c>
      <c r="O994">
        <v>-0.82484659999999999</v>
      </c>
      <c r="P994">
        <v>0.29316249999999999</v>
      </c>
      <c r="Q994">
        <v>0.34240169999999998</v>
      </c>
      <c r="R994">
        <v>-0.8926463</v>
      </c>
      <c r="S994">
        <v>0.56910709999999998</v>
      </c>
      <c r="T994">
        <v>-0.57065319999999997</v>
      </c>
      <c r="U994">
        <v>-3.4005429999999999</v>
      </c>
      <c r="V994">
        <v>0.27160630000000002</v>
      </c>
      <c r="W994">
        <v>0.3475357</v>
      </c>
      <c r="X994">
        <v>0.89746809999999999</v>
      </c>
      <c r="Y994">
        <v>0.42143380000000003</v>
      </c>
      <c r="Z994">
        <v>0.10208009999999999</v>
      </c>
      <c r="AA994">
        <v>0.9010956</v>
      </c>
      <c r="AB994">
        <v>25</v>
      </c>
      <c r="AC994">
        <v>0.96710000000001595</v>
      </c>
      <c r="AD994">
        <v>-1.10039697486</v>
      </c>
      <c r="AE994">
        <v>-6.34519999999997</v>
      </c>
      <c r="AF994">
        <v>2.70922562768108</v>
      </c>
      <c r="AG994">
        <v>-1.10039697486</v>
      </c>
      <c r="AH994">
        <v>5.6158641774582296</v>
      </c>
      <c r="AI994">
        <v>100.008567399613</v>
      </c>
      <c r="AJ994">
        <v>64.246239881295296</v>
      </c>
      <c r="AK994">
        <v>6.3315643772786201</v>
      </c>
      <c r="AL994">
        <v>69.663338984781902</v>
      </c>
      <c r="AM994">
        <v>73.162286892872899</v>
      </c>
      <c r="AN994">
        <v>1.0000000177458901</v>
      </c>
    </row>
    <row r="995" spans="1:40" x14ac:dyDescent="0.25">
      <c r="A995" t="str">
        <f>"20190304164614711"</f>
        <v>20190304164614711</v>
      </c>
      <c r="B995" t="str">
        <f>"1551689174698546"</f>
        <v>1551689174698546</v>
      </c>
      <c r="C995" t="s">
        <v>40</v>
      </c>
      <c r="D995">
        <v>5.3726979999999998</v>
      </c>
      <c r="E995">
        <v>0.5867696</v>
      </c>
      <c r="F995" t="s">
        <v>44</v>
      </c>
      <c r="G995">
        <v>-194.4111</v>
      </c>
      <c r="H995" s="1">
        <v>-1.8274639999999999E-6</v>
      </c>
      <c r="I995">
        <v>350.7072</v>
      </c>
      <c r="J995">
        <v>-195.28729999999999</v>
      </c>
      <c r="K995">
        <v>1.10025</v>
      </c>
      <c r="L995">
        <v>357.06229999999999</v>
      </c>
      <c r="M995">
        <v>0.55198249999999904</v>
      </c>
      <c r="N995">
        <v>-1.320122E-2</v>
      </c>
      <c r="O995">
        <v>-0.83375109999999997</v>
      </c>
      <c r="P995">
        <v>0.28062320000000002</v>
      </c>
      <c r="Q995">
        <v>0.3411961</v>
      </c>
      <c r="R995">
        <v>-0.89712630000000004</v>
      </c>
      <c r="S995">
        <v>0.52178959999999996</v>
      </c>
      <c r="T995">
        <v>-0.57028190000000001</v>
      </c>
      <c r="U995">
        <v>-3.4081730000000001</v>
      </c>
      <c r="V995">
        <v>0.2702039</v>
      </c>
      <c r="W995">
        <v>0.34628300000000001</v>
      </c>
      <c r="X995">
        <v>0.89837520000000004</v>
      </c>
      <c r="Y995">
        <v>0.4195448</v>
      </c>
      <c r="Z995">
        <v>0.1039674</v>
      </c>
      <c r="AA995">
        <v>0.90176100000000003</v>
      </c>
      <c r="AB995">
        <v>25</v>
      </c>
      <c r="AC995">
        <v>0.87619999999998199</v>
      </c>
      <c r="AD995">
        <v>-1.1002518274640001</v>
      </c>
      <c r="AE995">
        <v>-6.3550999999999904</v>
      </c>
      <c r="AF995">
        <v>2.6982459869172501</v>
      </c>
      <c r="AG995">
        <v>-1.1002518274640001</v>
      </c>
      <c r="AH995">
        <v>5.61748748255736</v>
      </c>
      <c r="AI995">
        <v>100.012465316548</v>
      </c>
      <c r="AJ995">
        <v>64.343643828222596</v>
      </c>
      <c r="AK995">
        <v>6.3282897457718796</v>
      </c>
      <c r="AL995">
        <v>69.739866131084995</v>
      </c>
      <c r="AM995">
        <v>73.260313263723006</v>
      </c>
      <c r="AN995">
        <v>1.00000003181962</v>
      </c>
    </row>
    <row r="996" spans="1:40" x14ac:dyDescent="0.25">
      <c r="A996" t="str">
        <f>"20190304164614733"</f>
        <v>20190304164614733</v>
      </c>
      <c r="B996" t="str">
        <f>"1551689174728801"</f>
        <v>1551689174728801</v>
      </c>
      <c r="C996" t="s">
        <v>40</v>
      </c>
      <c r="D996">
        <v>5.0450160000000004</v>
      </c>
      <c r="E996">
        <v>0.57407369999999902</v>
      </c>
      <c r="F996" t="s">
        <v>44</v>
      </c>
      <c r="G996">
        <v>-194.37880000000001</v>
      </c>
      <c r="H996" s="1">
        <v>-1.7162969999999999E-6</v>
      </c>
      <c r="I996">
        <v>350.53390000000002</v>
      </c>
      <c r="J996">
        <v>-195.16380000000001</v>
      </c>
      <c r="K996">
        <v>1.100117</v>
      </c>
      <c r="L996">
        <v>356.84519999999998</v>
      </c>
      <c r="M996">
        <v>0.53885539999999998</v>
      </c>
      <c r="N996">
        <v>-1.3187320000000001E-2</v>
      </c>
      <c r="O996">
        <v>-0.84229519999999902</v>
      </c>
      <c r="P996">
        <v>0.2692734</v>
      </c>
      <c r="Q996">
        <v>0.33978930000000002</v>
      </c>
      <c r="R996">
        <v>-0.90112999999999999</v>
      </c>
      <c r="S996">
        <v>0.4751129</v>
      </c>
      <c r="T996">
        <v>-0.575399199999999</v>
      </c>
      <c r="U996">
        <v>-3.4141539999999999</v>
      </c>
      <c r="V996">
        <v>0.26781349999999998</v>
      </c>
      <c r="W996">
        <v>0.34486460000000002</v>
      </c>
      <c r="X996">
        <v>0.89963570000000004</v>
      </c>
      <c r="Y996">
        <v>0.41767870000000001</v>
      </c>
      <c r="Z996">
        <v>0.10693519999999899</v>
      </c>
      <c r="AA996">
        <v>0.90228010000000003</v>
      </c>
      <c r="AB996">
        <v>25</v>
      </c>
      <c r="AC996">
        <v>0.78499999999999603</v>
      </c>
      <c r="AD996">
        <v>-1.1001187162970001</v>
      </c>
      <c r="AE996">
        <v>-6.3112999999999504</v>
      </c>
      <c r="AF996">
        <v>2.6603153194103202</v>
      </c>
      <c r="AG996">
        <v>-1.1001187162970001</v>
      </c>
      <c r="AH996">
        <v>5.5727364367662</v>
      </c>
      <c r="AI996">
        <v>100.101386788268</v>
      </c>
      <c r="AJ996">
        <v>64.481103723239301</v>
      </c>
      <c r="AK996">
        <v>6.2723942942306996</v>
      </c>
      <c r="AL996">
        <v>69.826469918467893</v>
      </c>
      <c r="AM996">
        <v>73.422202344796901</v>
      </c>
      <c r="AN996">
        <v>1.0000000279149399</v>
      </c>
    </row>
    <row r="997" spans="1:40" x14ac:dyDescent="0.25">
      <c r="A997" t="str">
        <f>"20190304164614757"</f>
        <v>20190304164614757</v>
      </c>
      <c r="B997" t="str">
        <f>"1551689174749297"</f>
        <v>1551689174749297</v>
      </c>
      <c r="C997" t="s">
        <v>40</v>
      </c>
      <c r="D997">
        <v>5.0432420000000002</v>
      </c>
      <c r="E997">
        <v>0.57353189999999998</v>
      </c>
      <c r="F997" t="s">
        <v>42</v>
      </c>
      <c r="G997">
        <v>-194.0026</v>
      </c>
      <c r="H997" s="1">
        <v>-4.8698959999999996E-6</v>
      </c>
      <c r="I997">
        <v>349.21080000000001</v>
      </c>
      <c r="J997">
        <v>-195.03309999999999</v>
      </c>
      <c r="K997">
        <v>1.0999890000000001</v>
      </c>
      <c r="L997">
        <v>356.60559999999998</v>
      </c>
      <c r="M997">
        <v>0.52422069999999998</v>
      </c>
      <c r="N997">
        <v>-1.3169200000000001E-2</v>
      </c>
      <c r="O997">
        <v>-0.85148060000000003</v>
      </c>
      <c r="P997">
        <v>0.25695750000000001</v>
      </c>
      <c r="Q997">
        <v>0.3392095</v>
      </c>
      <c r="R997">
        <v>-0.90493630000000003</v>
      </c>
      <c r="S997">
        <v>0.51089479999999998</v>
      </c>
      <c r="T997">
        <v>-0.4840412</v>
      </c>
      <c r="U997">
        <v>-3.3590089999999901</v>
      </c>
      <c r="V997">
        <v>0.26471840000000002</v>
      </c>
      <c r="W997">
        <v>0.34428979999999998</v>
      </c>
      <c r="X997">
        <v>0.90077119999999999</v>
      </c>
      <c r="Y997">
        <v>0.39035750000000002</v>
      </c>
      <c r="Z997">
        <v>9.2670290000000002E-2</v>
      </c>
      <c r="AA997">
        <v>0.91598760000000001</v>
      </c>
      <c r="AB997">
        <v>25</v>
      </c>
      <c r="AC997">
        <v>1.03049999999998</v>
      </c>
      <c r="AD997">
        <v>-1.0999938698959999</v>
      </c>
      <c r="AE997">
        <v>-7.3947999999999698</v>
      </c>
      <c r="AF997">
        <v>2.9355972780114099</v>
      </c>
      <c r="AG997">
        <v>-1.0999938698959999</v>
      </c>
      <c r="AH997">
        <v>6.69207470498388</v>
      </c>
      <c r="AI997">
        <v>98.560269362595903</v>
      </c>
      <c r="AJ997">
        <v>66.314488771994803</v>
      </c>
      <c r="AK997">
        <v>7.3899649356111201</v>
      </c>
      <c r="AL997">
        <v>69.861551995831107</v>
      </c>
      <c r="AM997">
        <v>73.623006622421201</v>
      </c>
      <c r="AN997">
        <v>1.00000002621601</v>
      </c>
    </row>
    <row r="998" spans="1:40" x14ac:dyDescent="0.25">
      <c r="A998" t="str">
        <f>"20190304164614778"</f>
        <v>20190304164614778</v>
      </c>
      <c r="B998" t="str">
        <f>"1551689174768817"</f>
        <v>1551689174768817</v>
      </c>
      <c r="C998" t="s">
        <v>40</v>
      </c>
      <c r="D998">
        <v>5.0195790000000002</v>
      </c>
      <c r="E998">
        <v>0.5731195</v>
      </c>
      <c r="F998" t="s">
        <v>42</v>
      </c>
      <c r="G998">
        <v>-193.95670000000001</v>
      </c>
      <c r="H998" s="1">
        <v>-4.7258639999999998E-6</v>
      </c>
      <c r="I998">
        <v>348.8116</v>
      </c>
      <c r="J998">
        <v>-194.91890000000001</v>
      </c>
      <c r="K998">
        <v>1.0999000000000001</v>
      </c>
      <c r="L998">
        <v>356.38760000000002</v>
      </c>
      <c r="M998">
        <v>0.51078780000000001</v>
      </c>
      <c r="N998">
        <v>-1.315208E-2</v>
      </c>
      <c r="O998">
        <v>-0.85960630000000005</v>
      </c>
      <c r="P998">
        <v>0.24580959999999999</v>
      </c>
      <c r="Q998">
        <v>0.33882269999999998</v>
      </c>
      <c r="R998">
        <v>-0.90817219999999999</v>
      </c>
      <c r="S998">
        <v>0.46420289999999997</v>
      </c>
      <c r="T998">
        <v>-0.47437829999999898</v>
      </c>
      <c r="U998">
        <v>-3.361237</v>
      </c>
      <c r="V998">
        <v>0.26177309999999998</v>
      </c>
      <c r="W998">
        <v>0.34392489999999998</v>
      </c>
      <c r="X998">
        <v>0.90177079999999998</v>
      </c>
      <c r="Y998">
        <v>0.38846639999999999</v>
      </c>
      <c r="Z998">
        <v>9.2264789999999999E-2</v>
      </c>
      <c r="AA998">
        <v>0.91683210000000004</v>
      </c>
      <c r="AB998">
        <v>25</v>
      </c>
      <c r="AC998">
        <v>0.96219999999999495</v>
      </c>
      <c r="AD998">
        <v>-1.099904725864</v>
      </c>
      <c r="AE998">
        <v>-7.5760000000000201</v>
      </c>
      <c r="AF998">
        <v>2.98104112410683</v>
      </c>
      <c r="AG998">
        <v>-1.099904725864</v>
      </c>
      <c r="AH998">
        <v>6.8621187621028801</v>
      </c>
      <c r="AI998">
        <v>98.363338787997094</v>
      </c>
      <c r="AJ998">
        <v>66.518913147955701</v>
      </c>
      <c r="AK998">
        <v>7.5620810954920703</v>
      </c>
      <c r="AL998">
        <v>69.883819236648094</v>
      </c>
      <c r="AM998">
        <v>73.812629386859896</v>
      </c>
      <c r="AN998">
        <v>1.0000000342281199</v>
      </c>
    </row>
    <row r="999" spans="1:40" x14ac:dyDescent="0.25">
      <c r="A999" t="str">
        <f>"20190304164614801"</f>
        <v>20190304164614801</v>
      </c>
      <c r="B999" t="str">
        <f>"1551689174789313"</f>
        <v>1551689174789313</v>
      </c>
      <c r="C999" t="s">
        <v>40</v>
      </c>
      <c r="D999">
        <v>5.0099200000000002</v>
      </c>
      <c r="E999">
        <v>0.57299489999999997</v>
      </c>
      <c r="F999" t="s">
        <v>42</v>
      </c>
      <c r="G999">
        <v>-193.92310000000001</v>
      </c>
      <c r="H999" s="1">
        <v>-4.607297E-6</v>
      </c>
      <c r="I999">
        <v>348.48059999999998</v>
      </c>
      <c r="J999">
        <v>-194.8047</v>
      </c>
      <c r="K999">
        <v>1.0998129999999999</v>
      </c>
      <c r="L999">
        <v>356.16059999999999</v>
      </c>
      <c r="M999">
        <v>0.49670530000000002</v>
      </c>
      <c r="N999">
        <v>-1.3134349999999999E-2</v>
      </c>
      <c r="O999">
        <v>-0.86781980000000003</v>
      </c>
      <c r="P999">
        <v>0.23406450000000001</v>
      </c>
      <c r="Q999">
        <v>0.33896799999999999</v>
      </c>
      <c r="R999">
        <v>-0.91121600000000003</v>
      </c>
      <c r="S999">
        <v>0.42356870000000002</v>
      </c>
      <c r="T999">
        <v>-0.46784710000000002</v>
      </c>
      <c r="U999">
        <v>-3.363251</v>
      </c>
      <c r="V999">
        <v>0.25873109999999999</v>
      </c>
      <c r="W999">
        <v>0.34410359999999901</v>
      </c>
      <c r="X999">
        <v>0.9025801</v>
      </c>
      <c r="Y999">
        <v>0.38442379999999998</v>
      </c>
      <c r="Z999">
        <v>9.2567730000000001E-2</v>
      </c>
      <c r="AA999">
        <v>0.91850399999999999</v>
      </c>
      <c r="AB999">
        <v>25</v>
      </c>
      <c r="AC999">
        <v>0.88159999999999095</v>
      </c>
      <c r="AD999">
        <v>-1.0998176072969901</v>
      </c>
      <c r="AE999">
        <v>-7.68</v>
      </c>
      <c r="AF999">
        <v>2.9893817530369899</v>
      </c>
      <c r="AG999">
        <v>-1.0998176072969901</v>
      </c>
      <c r="AH999">
        <v>6.9624374434695397</v>
      </c>
      <c r="AI999">
        <v>98.258851754300807</v>
      </c>
      <c r="AJ999">
        <v>66.763321721143498</v>
      </c>
      <c r="AK999">
        <v>7.6564702826392397</v>
      </c>
      <c r="AL999">
        <v>69.872913230875994</v>
      </c>
      <c r="AM999">
        <v>74.004667974947907</v>
      </c>
      <c r="AN999">
        <v>0.99999995327808799</v>
      </c>
    </row>
    <row r="1000" spans="1:40" x14ac:dyDescent="0.25">
      <c r="A1000" t="str">
        <f>"20190304164614824"</f>
        <v>20190304164614824</v>
      </c>
      <c r="B1000" t="str">
        <f>"1551689174818594"</f>
        <v>1551689174818594</v>
      </c>
      <c r="C1000" t="s">
        <v>40</v>
      </c>
      <c r="D1000">
        <v>4.991752</v>
      </c>
      <c r="E1000">
        <v>0.57275010000000004</v>
      </c>
      <c r="F1000" t="s">
        <v>42</v>
      </c>
      <c r="G1000">
        <v>-193.89590000000001</v>
      </c>
      <c r="H1000" s="1">
        <v>-4.4692889999999996E-6</v>
      </c>
      <c r="I1000">
        <v>348.08929999999998</v>
      </c>
      <c r="J1000">
        <v>-194.68680000000001</v>
      </c>
      <c r="K1000">
        <v>1.099761</v>
      </c>
      <c r="L1000">
        <v>355.91609999999997</v>
      </c>
      <c r="M1000">
        <v>0.48146290000000003</v>
      </c>
      <c r="N1000">
        <v>-1.3115460000000001E-2</v>
      </c>
      <c r="O1000">
        <v>-0.87636819999999904</v>
      </c>
      <c r="P1000">
        <v>0.2216513</v>
      </c>
      <c r="Q1000">
        <v>0.3383524</v>
      </c>
      <c r="R1000">
        <v>-0.91454270000000004</v>
      </c>
      <c r="S1000">
        <v>0.37892150000000002</v>
      </c>
      <c r="T1000">
        <v>-0.45860020000000001</v>
      </c>
      <c r="U1000">
        <v>-3.3655699999999902</v>
      </c>
      <c r="V1000">
        <v>0.2553494</v>
      </c>
      <c r="W1000">
        <v>0.34354430000000002</v>
      </c>
      <c r="X1000">
        <v>0.90375550000000004</v>
      </c>
      <c r="Y1000">
        <v>0.38039770000000001</v>
      </c>
      <c r="Z1000">
        <v>9.2267600000000005E-2</v>
      </c>
      <c r="AA1000">
        <v>0.92020880000000005</v>
      </c>
      <c r="AB1000">
        <v>25</v>
      </c>
      <c r="AC1000">
        <v>0.79089999999999305</v>
      </c>
      <c r="AD1000">
        <v>-1.099765469289</v>
      </c>
      <c r="AE1000">
        <v>-7.8267999999999898</v>
      </c>
      <c r="AF1000">
        <v>3.0165037341621201</v>
      </c>
      <c r="AG1000">
        <v>-1.099765469289</v>
      </c>
      <c r="AH1000">
        <v>7.1017722917105104</v>
      </c>
      <c r="AI1000">
        <v>98.111908833084399</v>
      </c>
      <c r="AJ1000">
        <v>66.986464209904497</v>
      </c>
      <c r="AK1000">
        <v>7.7938404236269596</v>
      </c>
      <c r="AL1000">
        <v>69.907040328892904</v>
      </c>
      <c r="AM1000">
        <v>74.222755351081204</v>
      </c>
      <c r="AN1000">
        <v>1.0000000029615499</v>
      </c>
    </row>
    <row r="1001" spans="1:40" x14ac:dyDescent="0.25">
      <c r="A1001" t="str">
        <f>"20190304164614845"</f>
        <v>20190304164614845</v>
      </c>
      <c r="B1001" t="str">
        <f>"1551689174839089"</f>
        <v>1551689174839089</v>
      </c>
      <c r="C1001" t="s">
        <v>40</v>
      </c>
      <c r="D1001">
        <v>5.0257690000000004</v>
      </c>
      <c r="E1001">
        <v>0.5722585</v>
      </c>
      <c r="F1001" t="s">
        <v>42</v>
      </c>
      <c r="G1001">
        <v>-193.8732</v>
      </c>
      <c r="H1001" s="1">
        <v>-4.3497759999999996E-6</v>
      </c>
      <c r="I1001">
        <v>347.74990000000003</v>
      </c>
      <c r="J1001">
        <v>-194.5856</v>
      </c>
      <c r="K1001">
        <v>1.0997220000000001</v>
      </c>
      <c r="L1001">
        <v>355.69709999999998</v>
      </c>
      <c r="M1001">
        <v>0.46775670000000003</v>
      </c>
      <c r="N1001">
        <v>-1.309896E-2</v>
      </c>
      <c r="O1001">
        <v>-0.88376030000000005</v>
      </c>
      <c r="P1001">
        <v>0.21032390000000001</v>
      </c>
      <c r="Q1001">
        <v>0.33882839999999997</v>
      </c>
      <c r="R1001">
        <v>-0.91703840000000003</v>
      </c>
      <c r="S1001">
        <v>0.3354492</v>
      </c>
      <c r="T1001">
        <v>-0.45341399999999998</v>
      </c>
      <c r="U1001">
        <v>-3.3667910000000001</v>
      </c>
      <c r="V1001">
        <v>0.25239339999999999</v>
      </c>
      <c r="W1001">
        <v>0.34407450000000001</v>
      </c>
      <c r="X1001">
        <v>0.90438399999999997</v>
      </c>
      <c r="Y1001">
        <v>0.37779649999999998</v>
      </c>
      <c r="Z1001">
        <v>9.259262E-2</v>
      </c>
      <c r="AA1001">
        <v>0.92124720000000004</v>
      </c>
      <c r="AB1001">
        <v>25</v>
      </c>
      <c r="AC1001">
        <v>0.71240000000000203</v>
      </c>
      <c r="AD1001">
        <v>-1.0997263497759999</v>
      </c>
      <c r="AE1001">
        <v>-7.9471999999999499</v>
      </c>
      <c r="AF1001">
        <v>3.0304628060813701</v>
      </c>
      <c r="AG1001">
        <v>-1.0997263497759999</v>
      </c>
      <c r="AH1001">
        <v>7.2201258438676001</v>
      </c>
      <c r="AI1001">
        <v>97.994593554562599</v>
      </c>
      <c r="AJ1001">
        <v>67.231019730491496</v>
      </c>
      <c r="AK1001">
        <v>7.9071689032623498</v>
      </c>
      <c r="AL1001">
        <v>69.874691099212995</v>
      </c>
      <c r="AM1001">
        <v>74.406767788668006</v>
      </c>
      <c r="AN1001">
        <v>1.0000000546848999</v>
      </c>
    </row>
    <row r="1002" spans="1:40" x14ac:dyDescent="0.25">
      <c r="A1002" t="str">
        <f>"20190304164614868"</f>
        <v>20190304164614868</v>
      </c>
      <c r="B1002" t="str">
        <f>"1551689174858610"</f>
        <v>1551689174858610</v>
      </c>
      <c r="C1002" t="s">
        <v>40</v>
      </c>
      <c r="D1002">
        <v>4.927619</v>
      </c>
      <c r="E1002">
        <v>0.57161660000000003</v>
      </c>
      <c r="F1002" t="s">
        <v>42</v>
      </c>
      <c r="G1002">
        <v>-193.8569</v>
      </c>
      <c r="H1002" s="1">
        <v>-4.2489559999999999E-6</v>
      </c>
      <c r="I1002">
        <v>347.4622</v>
      </c>
      <c r="J1002">
        <v>-194.48050000000001</v>
      </c>
      <c r="K1002">
        <v>1.0996950000000001</v>
      </c>
      <c r="L1002">
        <v>355.4599</v>
      </c>
      <c r="M1002">
        <v>0.4528817</v>
      </c>
      <c r="N1002">
        <v>-1.308137E-2</v>
      </c>
      <c r="O1002">
        <v>-0.89147480000000001</v>
      </c>
      <c r="P1002">
        <v>0.19769800000000001</v>
      </c>
      <c r="Q1002">
        <v>0.34035690000000002</v>
      </c>
      <c r="R1002">
        <v>-0.91927859999999995</v>
      </c>
      <c r="S1002">
        <v>0.2981567</v>
      </c>
      <c r="T1002">
        <v>-0.44994390000000001</v>
      </c>
      <c r="U1002">
        <v>-3.3692630000000001</v>
      </c>
      <c r="V1002">
        <v>0.2494586</v>
      </c>
      <c r="W1002">
        <v>0.34565669999999998</v>
      </c>
      <c r="X1002">
        <v>0.90459480000000003</v>
      </c>
      <c r="Y1002">
        <v>0.3724731</v>
      </c>
      <c r="Z1002">
        <v>9.3378320000000001E-2</v>
      </c>
      <c r="AA1002">
        <v>0.92333319999999997</v>
      </c>
      <c r="AB1002">
        <v>25</v>
      </c>
      <c r="AC1002">
        <v>0.62360000000001004</v>
      </c>
      <c r="AD1002">
        <v>-1.099699248956</v>
      </c>
      <c r="AE1002">
        <v>-7.9977</v>
      </c>
      <c r="AF1002">
        <v>3.0097886916449501</v>
      </c>
      <c r="AG1002">
        <v>-1.099699248956</v>
      </c>
      <c r="AH1002">
        <v>7.2760626633522003</v>
      </c>
      <c r="AI1002">
        <v>97.950618011550105</v>
      </c>
      <c r="AJ1002">
        <v>67.527261437095405</v>
      </c>
      <c r="AK1002">
        <v>7.9504247866095996</v>
      </c>
      <c r="AL1002">
        <v>69.778110616942598</v>
      </c>
      <c r="AM1002">
        <v>74.582829673883296</v>
      </c>
      <c r="AN1002">
        <v>0.99999994977794304</v>
      </c>
    </row>
    <row r="1003" spans="1:40" x14ac:dyDescent="0.25">
      <c r="A1003" t="str">
        <f>"20190304164614891"</f>
        <v>20190304164614891</v>
      </c>
      <c r="B1003" t="str">
        <f>"1551689174879105"</f>
        <v>1551689174879105</v>
      </c>
      <c r="C1003" t="s">
        <v>40</v>
      </c>
      <c r="D1003">
        <v>5.0193909999999997</v>
      </c>
      <c r="E1003">
        <v>0.57123429999999997</v>
      </c>
      <c r="F1003" t="s">
        <v>42</v>
      </c>
      <c r="G1003">
        <v>-193.8372</v>
      </c>
      <c r="H1003" s="1">
        <v>-4.0607480000000004E-6</v>
      </c>
      <c r="I1003">
        <v>346.9194</v>
      </c>
      <c r="J1003">
        <v>-194.3776</v>
      </c>
      <c r="K1003">
        <v>1.099682</v>
      </c>
      <c r="L1003">
        <v>355.21660000000003</v>
      </c>
      <c r="M1003">
        <v>0.43761749999999999</v>
      </c>
      <c r="N1003">
        <v>-1.3063200000000001E-2</v>
      </c>
      <c r="O1003">
        <v>-0.8990667</v>
      </c>
      <c r="P1003">
        <v>0.18375649999999999</v>
      </c>
      <c r="Q1003">
        <v>0.34191290000000002</v>
      </c>
      <c r="R1003">
        <v>-0.92159100000000005</v>
      </c>
      <c r="S1003">
        <v>0.25383</v>
      </c>
      <c r="T1003">
        <v>-0.43386710000000001</v>
      </c>
      <c r="U1003">
        <v>-3.369507</v>
      </c>
      <c r="V1003">
        <v>0.24752009999999999</v>
      </c>
      <c r="W1003">
        <v>0.34724369999999999</v>
      </c>
      <c r="X1003">
        <v>0.90451959999999998</v>
      </c>
      <c r="Y1003">
        <v>0.36873260000000002</v>
      </c>
      <c r="Z1003">
        <v>9.1164110000000007E-2</v>
      </c>
      <c r="AA1003">
        <v>0.9250543</v>
      </c>
      <c r="AB1003">
        <v>25</v>
      </c>
      <c r="AC1003">
        <v>0.54040000000000499</v>
      </c>
      <c r="AD1003">
        <v>-1.0996860607479999</v>
      </c>
      <c r="AE1003">
        <v>-8.2972000000000303</v>
      </c>
      <c r="AF1003">
        <v>3.09133838256925</v>
      </c>
      <c r="AG1003">
        <v>-1.0996860607479999</v>
      </c>
      <c r="AH1003">
        <v>7.5645607286397096</v>
      </c>
      <c r="AI1003">
        <v>97.664261832681007</v>
      </c>
      <c r="AJ1003">
        <v>67.772096863859602</v>
      </c>
      <c r="AK1003">
        <v>8.2454994660740493</v>
      </c>
      <c r="AL1003">
        <v>69.681181126309099</v>
      </c>
      <c r="AM1003">
        <v>74.695784079749998</v>
      </c>
      <c r="AN1003">
        <v>1.0000000469389201</v>
      </c>
    </row>
    <row r="1004" spans="1:40" x14ac:dyDescent="0.25">
      <c r="A1004" t="str">
        <f>"20190304164614911"</f>
        <v>20190304164614911</v>
      </c>
      <c r="B1004" t="str">
        <f>"1551689174899133"</f>
        <v>1551689174899133</v>
      </c>
      <c r="C1004" t="s">
        <v>40</v>
      </c>
      <c r="D1004">
        <v>5.095987</v>
      </c>
      <c r="E1004">
        <v>0.5703433</v>
      </c>
      <c r="F1004" t="s">
        <v>42</v>
      </c>
      <c r="G1004">
        <v>-193.83760000000001</v>
      </c>
      <c r="H1004" s="1">
        <v>-3.9099679999999998E-6</v>
      </c>
      <c r="I1004">
        <v>346.47609999999997</v>
      </c>
      <c r="J1004">
        <v>-194.2894</v>
      </c>
      <c r="K1004">
        <v>1.099693</v>
      </c>
      <c r="L1004">
        <v>354.99829999999997</v>
      </c>
      <c r="M1004">
        <v>0.42393530000000001</v>
      </c>
      <c r="N1004">
        <v>-1.3045869999999999E-2</v>
      </c>
      <c r="O1004">
        <v>-0.90559860000000003</v>
      </c>
      <c r="P1004">
        <v>0.17119579999999901</v>
      </c>
      <c r="Q1004">
        <v>0.3430745</v>
      </c>
      <c r="R1004">
        <v>-0.92357590000000001</v>
      </c>
      <c r="S1004">
        <v>0.20826720000000001</v>
      </c>
      <c r="T1004">
        <v>-0.42413970000000001</v>
      </c>
      <c r="U1004">
        <v>-3.3711549999999999</v>
      </c>
      <c r="V1004">
        <v>0.24595339999999999</v>
      </c>
      <c r="W1004">
        <v>0.34843469999999999</v>
      </c>
      <c r="X1004">
        <v>0.90448890000000004</v>
      </c>
      <c r="Y1004">
        <v>0.36712689999999998</v>
      </c>
      <c r="Z1004">
        <v>9.006314E-2</v>
      </c>
      <c r="AA1004">
        <v>0.92580039999999997</v>
      </c>
      <c r="AB1004">
        <v>25</v>
      </c>
      <c r="AC1004">
        <v>0.45179999999999099</v>
      </c>
      <c r="AD1004">
        <v>-1.0996969099680001</v>
      </c>
      <c r="AE1004">
        <v>-8.5221999999999891</v>
      </c>
      <c r="AF1004">
        <v>3.1516530095117101</v>
      </c>
      <c r="AG1004">
        <v>-1.0996969099680001</v>
      </c>
      <c r="AH1004">
        <v>7.7807047935462101</v>
      </c>
      <c r="AI1004">
        <v>97.463121664501202</v>
      </c>
      <c r="AJ1004">
        <v>67.949094679240602</v>
      </c>
      <c r="AK1004">
        <v>8.4664996941162407</v>
      </c>
      <c r="AL1004">
        <v>69.608395617783103</v>
      </c>
      <c r="AM1004">
        <v>74.787659433280197</v>
      </c>
      <c r="AN1004">
        <v>0.99999999267942996</v>
      </c>
    </row>
    <row r="1005" spans="1:40" x14ac:dyDescent="0.25">
      <c r="A1005" t="str">
        <f>"20190304164614936"</f>
        <v>20190304164614936</v>
      </c>
      <c r="B1005" t="str">
        <f>"1551689174928414"</f>
        <v>1551689174928414</v>
      </c>
      <c r="C1005" t="s">
        <v>40</v>
      </c>
      <c r="D1005">
        <v>5.0473670000000004</v>
      </c>
      <c r="E1005">
        <v>0.57005269999999997</v>
      </c>
      <c r="F1005" t="s">
        <v>42</v>
      </c>
      <c r="G1005">
        <v>-193.83240000000001</v>
      </c>
      <c r="H1005" s="1">
        <v>-3.8163430000000003E-6</v>
      </c>
      <c r="I1005">
        <v>346.20359999999999</v>
      </c>
      <c r="J1005">
        <v>-194.1917</v>
      </c>
      <c r="K1005">
        <v>1.09972</v>
      </c>
      <c r="L1005">
        <v>354.74509999999998</v>
      </c>
      <c r="M1005">
        <v>0.40810960000000002</v>
      </c>
      <c r="N1005">
        <v>-1.302262E-2</v>
      </c>
      <c r="O1005">
        <v>-0.91284010000000004</v>
      </c>
      <c r="P1005">
        <v>0.15823679999999901</v>
      </c>
      <c r="Q1005">
        <v>0.343757599999999</v>
      </c>
      <c r="R1005">
        <v>-0.92563099999999998</v>
      </c>
      <c r="S1005">
        <v>0.1752319</v>
      </c>
      <c r="T1005">
        <v>-0.42169000000000001</v>
      </c>
      <c r="U1005">
        <v>-3.3724059999999998</v>
      </c>
      <c r="V1005">
        <v>0.24276200000000001</v>
      </c>
      <c r="W1005">
        <v>0.34920509999999999</v>
      </c>
      <c r="X1005">
        <v>0.90505380000000002</v>
      </c>
      <c r="Y1005">
        <v>0.36001070000000002</v>
      </c>
      <c r="Z1005">
        <v>9.0951550000000006E-2</v>
      </c>
      <c r="AA1005">
        <v>0.9285042</v>
      </c>
      <c r="AB1005">
        <v>25</v>
      </c>
      <c r="AC1005">
        <v>0.35929999999999002</v>
      </c>
      <c r="AD1005">
        <v>-1.0997238163429901</v>
      </c>
      <c r="AE1005">
        <v>-8.5414999999999797</v>
      </c>
      <c r="AF1005">
        <v>3.1067436780161799</v>
      </c>
      <c r="AG1005">
        <v>-1.0997238163429901</v>
      </c>
      <c r="AH1005">
        <v>7.8150122752633697</v>
      </c>
      <c r="AI1005">
        <v>97.450040004736707</v>
      </c>
      <c r="AJ1005">
        <v>68.3204298830195</v>
      </c>
      <c r="AK1005">
        <v>8.4814895870738791</v>
      </c>
      <c r="AL1005">
        <v>69.561296501480996</v>
      </c>
      <c r="AM1005">
        <v>74.985024029156506</v>
      </c>
      <c r="AN1005">
        <v>0.99999998570222404</v>
      </c>
    </row>
    <row r="1006" spans="1:40" x14ac:dyDescent="0.25">
      <c r="A1006" t="str">
        <f>"20190304164614959"</f>
        <v>20190304164614959</v>
      </c>
      <c r="B1006" t="str">
        <f>"1551689174948910"</f>
        <v>1551689174948910</v>
      </c>
      <c r="C1006" t="s">
        <v>40</v>
      </c>
      <c r="D1006">
        <v>5.011425</v>
      </c>
      <c r="E1006">
        <v>0.5699748</v>
      </c>
      <c r="F1006" t="s">
        <v>42</v>
      </c>
      <c r="G1006">
        <v>-193.8432</v>
      </c>
      <c r="H1006" s="1">
        <v>-3.6491809999999998E-6</v>
      </c>
      <c r="I1006">
        <v>345.71179999999998</v>
      </c>
      <c r="J1006">
        <v>-194.09739999999999</v>
      </c>
      <c r="K1006">
        <v>1.099769</v>
      </c>
      <c r="L1006">
        <v>354.48680000000002</v>
      </c>
      <c r="M1006">
        <v>0.39207110000000001</v>
      </c>
      <c r="N1006">
        <v>-1.2994149999999999E-2</v>
      </c>
      <c r="O1006">
        <v>-0.91984330000000003</v>
      </c>
      <c r="P1006">
        <v>0.14609259999999999</v>
      </c>
      <c r="Q1006">
        <v>0.34459780000000001</v>
      </c>
      <c r="R1006">
        <v>-0.9273131</v>
      </c>
      <c r="S1006">
        <v>0.13005069999999999</v>
      </c>
      <c r="T1006">
        <v>-0.41042089999999998</v>
      </c>
      <c r="U1006">
        <v>-3.3712770000000001</v>
      </c>
      <c r="V1006">
        <v>0.23861689999999999</v>
      </c>
      <c r="W1006">
        <v>0.35016920000000001</v>
      </c>
      <c r="X1006">
        <v>0.90578340000000002</v>
      </c>
      <c r="Y1006">
        <v>0.3560992</v>
      </c>
      <c r="Z1006">
        <v>8.9600020000000002E-2</v>
      </c>
      <c r="AA1006">
        <v>0.93014260000000004</v>
      </c>
      <c r="AB1006">
        <v>25</v>
      </c>
      <c r="AC1006">
        <v>0.25419999999999698</v>
      </c>
      <c r="AD1006">
        <v>-1.099772649181</v>
      </c>
      <c r="AE1006">
        <v>-8.7750000000000306</v>
      </c>
      <c r="AF1006">
        <v>3.1573175191823402</v>
      </c>
      <c r="AG1006">
        <v>-1.099772649181</v>
      </c>
      <c r="AH1006">
        <v>8.0457049217698398</v>
      </c>
      <c r="AI1006">
        <v>97.251565382048</v>
      </c>
      <c r="AJ1006">
        <v>68.573828867107693</v>
      </c>
      <c r="AK1006">
        <v>8.7127218184109303</v>
      </c>
      <c r="AL1006">
        <v>69.502336167771603</v>
      </c>
      <c r="AM1006">
        <v>75.241480085320205</v>
      </c>
      <c r="AN1006">
        <v>1.0000000306549</v>
      </c>
    </row>
    <row r="1007" spans="1:40" x14ac:dyDescent="0.25">
      <c r="A1007" t="str">
        <f>"20190304164614981"</f>
        <v>20190304164614981</v>
      </c>
      <c r="B1007" t="str">
        <f>"1551689174968429"</f>
        <v>1551689174968429</v>
      </c>
      <c r="C1007" t="s">
        <v>40</v>
      </c>
      <c r="D1007">
        <v>5.1402269999999897</v>
      </c>
      <c r="E1007">
        <v>0.56949640000000001</v>
      </c>
      <c r="F1007" t="s">
        <v>42</v>
      </c>
      <c r="G1007">
        <v>-193.8681</v>
      </c>
      <c r="H1007" s="1">
        <v>-3.4802740000000001E-6</v>
      </c>
      <c r="I1007">
        <v>345.30259999999998</v>
      </c>
      <c r="J1007">
        <v>-194.01560000000001</v>
      </c>
      <c r="K1007">
        <v>1.099837</v>
      </c>
      <c r="L1007">
        <v>354.25139999999999</v>
      </c>
      <c r="M1007">
        <v>0.37752400000000003</v>
      </c>
      <c r="N1007">
        <v>-1.2965920000000001E-2</v>
      </c>
      <c r="O1007">
        <v>-0.92590899999999998</v>
      </c>
      <c r="P1007">
        <v>0.137561299999999</v>
      </c>
      <c r="Q1007">
        <v>0.34637709999999999</v>
      </c>
      <c r="R1007">
        <v>-0.92795470000000002</v>
      </c>
      <c r="S1007">
        <v>8.4182740000000006E-2</v>
      </c>
      <c r="T1007">
        <v>-0.40376840000000003</v>
      </c>
      <c r="U1007">
        <v>-3.3718870000000001</v>
      </c>
      <c r="V1007">
        <v>0.23238039999999999</v>
      </c>
      <c r="W1007">
        <v>0.35213280000000002</v>
      </c>
      <c r="X1007">
        <v>0.90664319999999998</v>
      </c>
      <c r="Y1007">
        <v>0.35402909999999999</v>
      </c>
      <c r="Z1007">
        <v>8.9062589999999997E-2</v>
      </c>
      <c r="AA1007">
        <v>0.93098400000000003</v>
      </c>
      <c r="AB1007">
        <v>25</v>
      </c>
      <c r="AC1007">
        <v>0.14750000000000699</v>
      </c>
      <c r="AD1007">
        <v>-1.0998404802740001</v>
      </c>
      <c r="AE1007">
        <v>-8.9488000000000003</v>
      </c>
      <c r="AF1007">
        <v>3.1938566797988401</v>
      </c>
      <c r="AG1007">
        <v>-1.0998404802740001</v>
      </c>
      <c r="AH1007">
        <v>8.2180580170334991</v>
      </c>
      <c r="AI1007">
        <v>97.110502411824797</v>
      </c>
      <c r="AJ1007">
        <v>68.761939345786004</v>
      </c>
      <c r="AK1007">
        <v>8.8852038324662796</v>
      </c>
      <c r="AL1007">
        <v>69.382178253113693</v>
      </c>
      <c r="AM1007">
        <v>75.624073634604798</v>
      </c>
      <c r="AN1007">
        <v>1.0000000256231101</v>
      </c>
    </row>
    <row r="1008" spans="1:40" x14ac:dyDescent="0.25">
      <c r="A1008" t="str">
        <f>"20190304164615013"</f>
        <v>20190304164615013</v>
      </c>
      <c r="B1008" t="str">
        <f>"1551689175008446"</f>
        <v>1551689175008446</v>
      </c>
      <c r="C1008" t="s">
        <v>40</v>
      </c>
      <c r="D1008">
        <v>5.0162610000000001</v>
      </c>
      <c r="E1008">
        <v>0.56862639999999998</v>
      </c>
      <c r="F1008" t="s">
        <v>42</v>
      </c>
      <c r="G1008">
        <v>-193.8603</v>
      </c>
      <c r="H1008" s="1">
        <v>-3.3127289999999998E-6</v>
      </c>
      <c r="I1008">
        <v>344.9169</v>
      </c>
      <c r="J1008">
        <v>-193.90199999999999</v>
      </c>
      <c r="K1008">
        <v>1.099961</v>
      </c>
      <c r="L1008">
        <v>353.90449999999998</v>
      </c>
      <c r="M1008">
        <v>0.35628009999999999</v>
      </c>
      <c r="N1008">
        <v>-1.292075E-2</v>
      </c>
      <c r="O1008">
        <v>-0.93428990000000001</v>
      </c>
      <c r="P1008">
        <v>0.12408130000000001</v>
      </c>
      <c r="Q1008">
        <v>0.34722730000000002</v>
      </c>
      <c r="R1008">
        <v>-0.92953609999999998</v>
      </c>
      <c r="S1008">
        <v>5.6121829999999998E-2</v>
      </c>
      <c r="T1008">
        <v>-0.39741399999999999</v>
      </c>
      <c r="U1008">
        <v>-3.3728940000000001</v>
      </c>
      <c r="V1008">
        <v>0.22459499999999999</v>
      </c>
      <c r="W1008">
        <v>0.35322949999999997</v>
      </c>
      <c r="X1008">
        <v>0.90817729999999997</v>
      </c>
      <c r="Y1008">
        <v>0.34041500000000002</v>
      </c>
      <c r="Z1008">
        <v>8.9231019999999994E-2</v>
      </c>
      <c r="AA1008">
        <v>0.93603179999999997</v>
      </c>
      <c r="AB1008">
        <v>25</v>
      </c>
      <c r="AC1008">
        <v>4.1700000000019999E-2</v>
      </c>
      <c r="AD1008">
        <v>-1.099964312729</v>
      </c>
      <c r="AE1008">
        <v>-8.9875999999999792</v>
      </c>
      <c r="AF1008">
        <v>3.11672409580577</v>
      </c>
      <c r="AG1008">
        <v>-1.099964312729</v>
      </c>
      <c r="AH1008">
        <v>8.2884366567395293</v>
      </c>
      <c r="AI1008">
        <v>97.080934502121707</v>
      </c>
      <c r="AJ1008">
        <v>69.392092565353394</v>
      </c>
      <c r="AK1008">
        <v>8.9231201264713107</v>
      </c>
      <c r="AL1008">
        <v>69.315026539066395</v>
      </c>
      <c r="AM1008">
        <v>76.109283746002205</v>
      </c>
      <c r="AN1008">
        <v>1.0000000009652601</v>
      </c>
    </row>
    <row r="1009" spans="1:40" x14ac:dyDescent="0.25">
      <c r="A1009" t="str">
        <f>"20190304164615037"</f>
        <v>20190304164615037</v>
      </c>
      <c r="B1009" t="str">
        <f>"1551689175028942"</f>
        <v>1551689175028942</v>
      </c>
      <c r="C1009" t="s">
        <v>40</v>
      </c>
      <c r="D1009">
        <v>5.0765830000000003</v>
      </c>
      <c r="E1009">
        <v>0.56797810000000004</v>
      </c>
      <c r="F1009" t="s">
        <v>42</v>
      </c>
      <c r="G1009">
        <v>-193.88059999999999</v>
      </c>
      <c r="H1009" s="1">
        <v>-3.0945889999999999E-6</v>
      </c>
      <c r="I1009">
        <v>344.39580000000001</v>
      </c>
      <c r="J1009">
        <v>-193.81909999999999</v>
      </c>
      <c r="K1009">
        <v>1.10009</v>
      </c>
      <c r="L1009">
        <v>353.63319999999999</v>
      </c>
      <c r="M1009">
        <v>0.33992539999999999</v>
      </c>
      <c r="N1009">
        <v>-1.287599E-2</v>
      </c>
      <c r="O1009">
        <v>-0.94036439999999999</v>
      </c>
      <c r="P1009">
        <v>0.11432109999999999</v>
      </c>
      <c r="Q1009">
        <v>0.34791440000000001</v>
      </c>
      <c r="R1009">
        <v>-0.93053019999999997</v>
      </c>
      <c r="S1009">
        <v>7.5683590000000002E-3</v>
      </c>
      <c r="T1009">
        <v>-0.3900825</v>
      </c>
      <c r="U1009">
        <v>-3.3721009999999998</v>
      </c>
      <c r="V1009">
        <v>0.21805869999999999</v>
      </c>
      <c r="W1009">
        <v>0.3541318</v>
      </c>
      <c r="X1009">
        <v>0.90941799999999995</v>
      </c>
      <c r="Y1009">
        <v>0.33749649999999998</v>
      </c>
      <c r="Z1009">
        <v>8.8504700000000006E-2</v>
      </c>
      <c r="AA1009">
        <v>0.93715689999999996</v>
      </c>
      <c r="AB1009">
        <v>25</v>
      </c>
      <c r="AC1009">
        <v>-6.1499999999995197E-2</v>
      </c>
      <c r="AD1009">
        <v>-1.100093094589</v>
      </c>
      <c r="AE1009">
        <v>-9.2373999999999796</v>
      </c>
      <c r="AF1009">
        <v>3.1534021625044901</v>
      </c>
      <c r="AG1009">
        <v>-1.100093094589</v>
      </c>
      <c r="AH1009">
        <v>8.5451459434962391</v>
      </c>
      <c r="AI1009">
        <v>96.886683879148407</v>
      </c>
      <c r="AJ1009">
        <v>69.744503302836193</v>
      </c>
      <c r="AK1009">
        <v>9.1746209300930097</v>
      </c>
      <c r="AL1009">
        <v>69.259756499596406</v>
      </c>
      <c r="AM1009">
        <v>76.516278104508501</v>
      </c>
      <c r="AN1009">
        <v>1.0000000135704601</v>
      </c>
    </row>
    <row r="1010" spans="1:40" x14ac:dyDescent="0.25">
      <c r="A1010" t="str">
        <f>"20190304164615058"</f>
        <v>20190304164615058</v>
      </c>
      <c r="B1010" t="str">
        <f>"1551689175048461"</f>
        <v>1551689175048461</v>
      </c>
      <c r="C1010" t="s">
        <v>40</v>
      </c>
      <c r="D1010">
        <v>4.9463679999999997</v>
      </c>
      <c r="E1010">
        <v>0.56759869999999901</v>
      </c>
      <c r="F1010" t="s">
        <v>42</v>
      </c>
      <c r="G1010">
        <v>-193.8946</v>
      </c>
      <c r="H1010" s="1">
        <v>-2.950341E-6</v>
      </c>
      <c r="I1010">
        <v>344.05090000000001</v>
      </c>
      <c r="J1010">
        <v>-193.7518</v>
      </c>
      <c r="K1010">
        <v>1.100228</v>
      </c>
      <c r="L1010">
        <v>353.40019999999998</v>
      </c>
      <c r="M1010">
        <v>0.32611380000000001</v>
      </c>
      <c r="N1010">
        <v>-1.2829119999999999E-2</v>
      </c>
      <c r="O1010">
        <v>-0.94524350000000001</v>
      </c>
      <c r="P1010">
        <v>0.106681399999999</v>
      </c>
      <c r="Q1010">
        <v>0.34827809999999998</v>
      </c>
      <c r="R1010">
        <v>-0.93130119999999905</v>
      </c>
      <c r="S1010">
        <v>-2.6550290000000001E-2</v>
      </c>
      <c r="T1010">
        <v>-0.38712380000000002</v>
      </c>
      <c r="U1010">
        <v>-3.3720089999999998</v>
      </c>
      <c r="V1010">
        <v>0.2120021</v>
      </c>
      <c r="W1010">
        <v>0.35469889999999998</v>
      </c>
      <c r="X1010">
        <v>0.91062829999999995</v>
      </c>
      <c r="Y1010">
        <v>0.33319900000000002</v>
      </c>
      <c r="Z1010">
        <v>8.8685360000000005E-2</v>
      </c>
      <c r="AA1010">
        <v>0.93867639999999997</v>
      </c>
      <c r="AB1010">
        <v>25</v>
      </c>
      <c r="AC1010">
        <v>-0.14279999999999399</v>
      </c>
      <c r="AD1010">
        <v>-1.1002309503409999</v>
      </c>
      <c r="AE1010">
        <v>-9.3492999999999693</v>
      </c>
      <c r="AF1010">
        <v>3.1406940192149402</v>
      </c>
      <c r="AG1010">
        <v>-1.1002309503409999</v>
      </c>
      <c r="AH1010">
        <v>8.6714586395820206</v>
      </c>
      <c r="AI1010">
        <v>96.803006469141593</v>
      </c>
      <c r="AJ1010">
        <v>70.090245759307095</v>
      </c>
      <c r="AK1010">
        <v>9.2880924847033306</v>
      </c>
      <c r="AL1010">
        <v>69.2250093053526</v>
      </c>
      <c r="AM1010">
        <v>76.894493631103302</v>
      </c>
      <c r="AN1010">
        <v>1.00000005041325</v>
      </c>
    </row>
    <row r="1011" spans="1:40" x14ac:dyDescent="0.25">
      <c r="A1011" t="str">
        <f>"20190304164615080"</f>
        <v>20190304164615080</v>
      </c>
      <c r="B1011" t="str">
        <f>"1551689175068960"</f>
        <v>1551689175068960</v>
      </c>
      <c r="C1011" t="s">
        <v>40</v>
      </c>
      <c r="D1011">
        <v>5.0850549999999997</v>
      </c>
      <c r="E1011">
        <v>0.56702849999999905</v>
      </c>
      <c r="F1011" t="s">
        <v>42</v>
      </c>
      <c r="G1011">
        <v>-193.89619999999999</v>
      </c>
      <c r="H1011" s="1">
        <v>-2.8232439999999999E-6</v>
      </c>
      <c r="I1011">
        <v>343.75369999999998</v>
      </c>
      <c r="J1011">
        <v>-193.68629999999999</v>
      </c>
      <c r="K1011">
        <v>1.1004039999999999</v>
      </c>
      <c r="L1011">
        <v>353.16140000000001</v>
      </c>
      <c r="M1011">
        <v>0.3121678</v>
      </c>
      <c r="N1011">
        <v>-1.277612E-2</v>
      </c>
      <c r="O1011">
        <v>-0.94994120000000004</v>
      </c>
      <c r="P1011">
        <v>9.9269289999999996E-2</v>
      </c>
      <c r="Q1011">
        <v>0.34813280000000002</v>
      </c>
      <c r="R1011">
        <v>-0.93217439999999996</v>
      </c>
      <c r="S1011">
        <v>-5.044556E-2</v>
      </c>
      <c r="T1011">
        <v>-0.38445849999999998</v>
      </c>
      <c r="U1011">
        <v>-3.3708499999999999</v>
      </c>
      <c r="V1011">
        <v>0.20567750000000001</v>
      </c>
      <c r="W1011">
        <v>0.35476580000000002</v>
      </c>
      <c r="X1011">
        <v>0.91205159999999996</v>
      </c>
      <c r="Y1011">
        <v>0.32598549999999998</v>
      </c>
      <c r="Z1011">
        <v>8.9000399999999993E-2</v>
      </c>
      <c r="AA1011">
        <v>0.94117609999999996</v>
      </c>
      <c r="AB1011">
        <v>25</v>
      </c>
      <c r="AC1011">
        <v>-0.209900000000004</v>
      </c>
      <c r="AD1011">
        <v>-1.1004068232439901</v>
      </c>
      <c r="AE1011">
        <v>-9.4077000000000304</v>
      </c>
      <c r="AF1011">
        <v>3.0941175864396602</v>
      </c>
      <c r="AG1011">
        <v>-1.1004068232439901</v>
      </c>
      <c r="AH1011">
        <v>8.7522745223544902</v>
      </c>
      <c r="AI1011">
        <v>96.760225566570995</v>
      </c>
      <c r="AJ1011">
        <v>70.530401409775806</v>
      </c>
      <c r="AK1011">
        <v>9.3480890095255695</v>
      </c>
      <c r="AL1011">
        <v>69.220909900321004</v>
      </c>
      <c r="AM1011">
        <v>77.291762266505401</v>
      </c>
      <c r="AN1011">
        <v>1.0000000639592199</v>
      </c>
    </row>
    <row r="1012" spans="1:40" x14ac:dyDescent="0.25">
      <c r="A1012" t="str">
        <f>"20190304164615102"</f>
        <v>20190304164615102</v>
      </c>
      <c r="B1012" t="str">
        <f>"1551689175098651"</f>
        <v>1551689175098651</v>
      </c>
      <c r="C1012" t="s">
        <v>40</v>
      </c>
      <c r="D1012">
        <v>4.983943</v>
      </c>
      <c r="E1012">
        <v>0.56608510000000001</v>
      </c>
      <c r="F1012" t="s">
        <v>42</v>
      </c>
      <c r="G1012">
        <v>-193.89359999999999</v>
      </c>
      <c r="H1012" s="1">
        <v>-2.7237150000000001E-6</v>
      </c>
      <c r="I1012">
        <v>343.52330000000001</v>
      </c>
      <c r="J1012">
        <v>-193.62289999999999</v>
      </c>
      <c r="K1012">
        <v>1.1005959999999999</v>
      </c>
      <c r="L1012">
        <v>352.9169</v>
      </c>
      <c r="M1012">
        <v>0.2981548</v>
      </c>
      <c r="N1012">
        <v>-1.271893E-2</v>
      </c>
      <c r="O1012">
        <v>-0.95443299999999998</v>
      </c>
      <c r="P1012">
        <v>9.2950350000000001E-2</v>
      </c>
      <c r="Q1012">
        <v>0.34789340000000002</v>
      </c>
      <c r="R1012">
        <v>-0.93291539999999995</v>
      </c>
      <c r="S1012">
        <v>-7.2463990000000006E-2</v>
      </c>
      <c r="T1012">
        <v>-0.3847237</v>
      </c>
      <c r="U1012">
        <v>-3.3696899999999999</v>
      </c>
      <c r="V1012">
        <v>0.19824829999999999</v>
      </c>
      <c r="W1012">
        <v>0.35477029999999998</v>
      </c>
      <c r="X1012">
        <v>0.91369339999999999</v>
      </c>
      <c r="Y1012">
        <v>0.31822739999999999</v>
      </c>
      <c r="Z1012">
        <v>9.0054609999999993E-2</v>
      </c>
      <c r="AA1012">
        <v>0.94372739999999999</v>
      </c>
      <c r="AB1012">
        <v>25</v>
      </c>
      <c r="AC1012">
        <v>-0.27070000000000499</v>
      </c>
      <c r="AD1012">
        <v>-1.1005987237149999</v>
      </c>
      <c r="AE1012">
        <v>-9.3935999999999904</v>
      </c>
      <c r="AF1012">
        <v>3.0179638330440599</v>
      </c>
      <c r="AG1012">
        <v>-1.1005987237149999</v>
      </c>
      <c r="AH1012">
        <v>8.7653412049616009</v>
      </c>
      <c r="AI1012">
        <v>96.770606778345098</v>
      </c>
      <c r="AJ1012">
        <v>71.001082180212094</v>
      </c>
      <c r="AK1012">
        <v>9.3354501598799704</v>
      </c>
      <c r="AL1012">
        <v>69.220632561000201</v>
      </c>
      <c r="AM1012">
        <v>77.758023837490697</v>
      </c>
      <c r="AN1012">
        <v>0.99999999170927001</v>
      </c>
    </row>
    <row r="1013" spans="1:40" x14ac:dyDescent="0.25">
      <c r="A1013" t="str">
        <f>"20190304164615125"</f>
        <v>20190304164615125</v>
      </c>
      <c r="B1013" t="str">
        <f>"1551689175119148"</f>
        <v>1551689175119148</v>
      </c>
      <c r="C1013" t="s">
        <v>40</v>
      </c>
      <c r="D1013">
        <v>4.9563819999999996</v>
      </c>
      <c r="E1013">
        <v>0.56534209999999996</v>
      </c>
      <c r="F1013" t="s">
        <v>42</v>
      </c>
      <c r="G1013">
        <v>-193.88849999999999</v>
      </c>
      <c r="H1013" s="1">
        <v>-2.5866509999999999E-6</v>
      </c>
      <c r="I1013">
        <v>343.20690000000002</v>
      </c>
      <c r="J1013">
        <v>-193.5617</v>
      </c>
      <c r="K1013">
        <v>1.100806</v>
      </c>
      <c r="L1013">
        <v>352.66809999999998</v>
      </c>
      <c r="M1013">
        <v>0.28421190000000002</v>
      </c>
      <c r="N1013">
        <v>-1.26558E-2</v>
      </c>
      <c r="O1013">
        <v>-0.95867809999999998</v>
      </c>
      <c r="P1013">
        <v>8.654009E-2</v>
      </c>
      <c r="Q1013">
        <v>0.34696719999999998</v>
      </c>
      <c r="R1013">
        <v>-0.93387640000000005</v>
      </c>
      <c r="S1013">
        <v>-9.2117309999999994E-2</v>
      </c>
      <c r="T1013">
        <v>-0.38166309999999998</v>
      </c>
      <c r="U1013">
        <v>-3.3672179999999998</v>
      </c>
      <c r="V1013">
        <v>0.1910501</v>
      </c>
      <c r="W1013">
        <v>0.35408499999999998</v>
      </c>
      <c r="X1013">
        <v>0.91549100000000005</v>
      </c>
      <c r="Y1013">
        <v>0.3099343</v>
      </c>
      <c r="Z1013">
        <v>9.0236319999999995E-2</v>
      </c>
      <c r="AA1013">
        <v>0.94646609999999998</v>
      </c>
      <c r="AB1013">
        <v>25</v>
      </c>
      <c r="AC1013">
        <v>-0.32679999999999099</v>
      </c>
      <c r="AD1013">
        <v>-1.100808586651</v>
      </c>
      <c r="AE1013">
        <v>-9.4611999999999608</v>
      </c>
      <c r="AF1013">
        <v>2.96246577103769</v>
      </c>
      <c r="AG1013">
        <v>-1.100808586651</v>
      </c>
      <c r="AH1013">
        <v>8.8583081710481508</v>
      </c>
      <c r="AI1013">
        <v>96.721457127449199</v>
      </c>
      <c r="AJ1013">
        <v>71.508624914801004</v>
      </c>
      <c r="AK1013">
        <v>9.4051904096766101</v>
      </c>
      <c r="AL1013">
        <v>69.2626245053101</v>
      </c>
      <c r="AM1013">
        <v>78.2123499375503</v>
      </c>
      <c r="AN1013">
        <v>1.0000000495079999</v>
      </c>
    </row>
    <row r="1014" spans="1:40" x14ac:dyDescent="0.25">
      <c r="A1014" t="str">
        <f>"20190304164615149"</f>
        <v>20190304164615149</v>
      </c>
      <c r="B1014" t="str">
        <f>"1551689175138667"</f>
        <v>1551689175138667</v>
      </c>
      <c r="C1014" t="s">
        <v>40</v>
      </c>
      <c r="D1014">
        <v>5.0322239999999896</v>
      </c>
      <c r="E1014">
        <v>0.56462060000000003</v>
      </c>
      <c r="F1014" t="s">
        <v>42</v>
      </c>
      <c r="G1014">
        <v>-193.87970000000001</v>
      </c>
      <c r="H1014" s="1">
        <v>-2.530395E-6</v>
      </c>
      <c r="I1014">
        <v>343.08120000000002</v>
      </c>
      <c r="J1014">
        <v>-193.49860000000001</v>
      </c>
      <c r="K1014">
        <v>1.101081</v>
      </c>
      <c r="L1014">
        <v>352.3954</v>
      </c>
      <c r="M1014">
        <v>0.26937240000000001</v>
      </c>
      <c r="N1014">
        <v>-1.2577700000000001E-2</v>
      </c>
      <c r="O1014">
        <v>-0.96295399999999998</v>
      </c>
      <c r="P1014">
        <v>7.9277730000000005E-2</v>
      </c>
      <c r="Q1014">
        <v>0.34619899999999998</v>
      </c>
      <c r="R1014">
        <v>-0.93480560000000001</v>
      </c>
      <c r="S1014">
        <v>-0.11166379999999999</v>
      </c>
      <c r="T1014">
        <v>-0.38654260000000001</v>
      </c>
      <c r="U1014">
        <v>-3.3663639999999999</v>
      </c>
      <c r="V1014">
        <v>0.1838033</v>
      </c>
      <c r="W1014">
        <v>0.35356140000000003</v>
      </c>
      <c r="X1014">
        <v>0.91717539999999997</v>
      </c>
      <c r="Y1014">
        <v>0.30073879999999997</v>
      </c>
      <c r="Z1014">
        <v>9.2522129999999994E-2</v>
      </c>
      <c r="AA1014">
        <v>0.94920800000000005</v>
      </c>
      <c r="AB1014">
        <v>25</v>
      </c>
      <c r="AC1014">
        <v>-0.38110000000000299</v>
      </c>
      <c r="AD1014">
        <v>-1.101083530395</v>
      </c>
      <c r="AE1014">
        <v>-9.3141999999999694</v>
      </c>
      <c r="AF1014">
        <v>2.8366222330049702</v>
      </c>
      <c r="AG1014">
        <v>-1.101083530395</v>
      </c>
      <c r="AH1014">
        <v>8.7451803599249196</v>
      </c>
      <c r="AI1014">
        <v>96.829480548844501</v>
      </c>
      <c r="AJ1014">
        <v>72.028800127038807</v>
      </c>
      <c r="AK1014">
        <v>9.2594270968187793</v>
      </c>
      <c r="AL1014">
        <v>69.294698690228799</v>
      </c>
      <c r="AM1014">
        <v>78.667951315293195</v>
      </c>
      <c r="AN1014">
        <v>1.000000015513</v>
      </c>
    </row>
    <row r="1015" spans="1:40" x14ac:dyDescent="0.25">
      <c r="A1015" t="str">
        <f>"20190304164615171"</f>
        <v>20190304164615171</v>
      </c>
      <c r="B1015" t="str">
        <f>"1551689175159163"</f>
        <v>1551689175159163</v>
      </c>
      <c r="C1015" t="s">
        <v>40</v>
      </c>
      <c r="D1015">
        <v>4.9489179999999999</v>
      </c>
      <c r="E1015">
        <v>0.563917</v>
      </c>
      <c r="F1015" t="s">
        <v>42</v>
      </c>
      <c r="G1015">
        <v>-193.8664</v>
      </c>
      <c r="H1015" s="1">
        <v>-2.4565219999999999E-6</v>
      </c>
      <c r="I1015">
        <v>342.91730000000001</v>
      </c>
      <c r="J1015">
        <v>-193.44309999999999</v>
      </c>
      <c r="K1015">
        <v>1.1013820000000001</v>
      </c>
      <c r="L1015">
        <v>352.14069999999998</v>
      </c>
      <c r="M1015">
        <v>0.25597449999999999</v>
      </c>
      <c r="N1015">
        <v>-1.2495239999999999E-2</v>
      </c>
      <c r="O1015">
        <v>-0.96660290000000004</v>
      </c>
      <c r="P1015">
        <v>7.5163480000000005E-2</v>
      </c>
      <c r="Q1015">
        <v>0.34516200000000002</v>
      </c>
      <c r="R1015">
        <v>-0.93552880000000005</v>
      </c>
      <c r="S1015">
        <v>-0.1305847</v>
      </c>
      <c r="T1015">
        <v>-0.3909261</v>
      </c>
      <c r="U1015">
        <v>-3.3651119999999999</v>
      </c>
      <c r="V1015">
        <v>0.17486289999999999</v>
      </c>
      <c r="W1015">
        <v>0.3528075</v>
      </c>
      <c r="X1015">
        <v>0.91921149999999996</v>
      </c>
      <c r="Y1015">
        <v>0.29283009999999998</v>
      </c>
      <c r="Z1015">
        <v>9.4576170000000001E-2</v>
      </c>
      <c r="AA1015">
        <v>0.95147559999999998</v>
      </c>
      <c r="AB1015">
        <v>25</v>
      </c>
      <c r="AC1015">
        <v>-0.423300000000011</v>
      </c>
      <c r="AD1015">
        <v>-1.1013844565219999</v>
      </c>
      <c r="AE1015">
        <v>-9.2233999999999696</v>
      </c>
      <c r="AF1015">
        <v>2.7314674180993999</v>
      </c>
      <c r="AG1015">
        <v>-1.1013844565219999</v>
      </c>
      <c r="AH1015">
        <v>8.6841290743842201</v>
      </c>
      <c r="AI1015">
        <v>96.898333082530499</v>
      </c>
      <c r="AJ1015">
        <v>72.539784173956207</v>
      </c>
      <c r="AK1015">
        <v>9.1699541851512105</v>
      </c>
      <c r="AL1015">
        <v>69.340868616540405</v>
      </c>
      <c r="AM1015">
        <v>79.229236588747696</v>
      </c>
      <c r="AN1015">
        <v>0.99999997379245398</v>
      </c>
    </row>
    <row r="1016" spans="1:40" x14ac:dyDescent="0.25">
      <c r="A1016" t="str">
        <f>"20190304164615213"</f>
        <v>20190304164615213</v>
      </c>
      <c r="B1016" t="str">
        <f>"1551689175208939"</f>
        <v>1551689175208939</v>
      </c>
      <c r="C1016" t="s">
        <v>40</v>
      </c>
      <c r="D1016">
        <v>4.8317949999999996</v>
      </c>
      <c r="E1016">
        <v>0.54498489999999999</v>
      </c>
      <c r="F1016" t="s">
        <v>42</v>
      </c>
      <c r="G1016">
        <v>-193.8432</v>
      </c>
      <c r="H1016" s="1">
        <v>-2.3853829999999998E-6</v>
      </c>
      <c r="I1016">
        <v>342.76580000000001</v>
      </c>
      <c r="J1016">
        <v>-193.3477</v>
      </c>
      <c r="K1016">
        <v>1.102063</v>
      </c>
      <c r="L1016">
        <v>351.66590000000002</v>
      </c>
      <c r="M1016">
        <v>0.23246520000000001</v>
      </c>
      <c r="N1016">
        <v>-1.2321169999999999E-2</v>
      </c>
      <c r="O1016">
        <v>-0.97252680000000002</v>
      </c>
      <c r="P1016">
        <v>6.8980739999999999E-2</v>
      </c>
      <c r="Q1016">
        <v>0.34644439999999999</v>
      </c>
      <c r="R1016">
        <v>-0.935531</v>
      </c>
      <c r="S1016">
        <v>-0.14360049999999999</v>
      </c>
      <c r="T1016">
        <v>-0.39522600000000002</v>
      </c>
      <c r="U1016">
        <v>-3.3641049999999999</v>
      </c>
      <c r="V1016">
        <v>0.15786120000000001</v>
      </c>
      <c r="W1016">
        <v>0.35460000000000003</v>
      </c>
      <c r="X1016">
        <v>0.92159579999999997</v>
      </c>
      <c r="Y1016">
        <v>0.2732908</v>
      </c>
      <c r="Z1016">
        <v>9.7309380000000001E-2</v>
      </c>
      <c r="AA1016">
        <v>0.95699690000000004</v>
      </c>
      <c r="AB1016">
        <v>25</v>
      </c>
      <c r="AC1016">
        <v>-0.495499999999992</v>
      </c>
      <c r="AD1016">
        <v>-1.102065385383</v>
      </c>
      <c r="AE1016">
        <v>-8.9001000000000001</v>
      </c>
      <c r="AF1016">
        <v>2.5126368509250798</v>
      </c>
      <c r="AG1016">
        <v>-1.102065385383</v>
      </c>
      <c r="AH1016">
        <v>8.41245751059955</v>
      </c>
      <c r="AI1016">
        <v>97.154606384829094</v>
      </c>
      <c r="AJ1016">
        <v>73.370141391392295</v>
      </c>
      <c r="AK1016">
        <v>8.8485780454222596</v>
      </c>
      <c r="AL1016">
        <v>69.231070186812701</v>
      </c>
      <c r="AM1016">
        <v>80.280070774725502</v>
      </c>
      <c r="AN1016">
        <v>1.00000006852153</v>
      </c>
    </row>
    <row r="1017" spans="1:40" x14ac:dyDescent="0.25">
      <c r="A1017" t="str">
        <f>"20190304164615238"</f>
        <v>20190304164615238</v>
      </c>
      <c r="B1017" t="str">
        <f>"1551689175228459"</f>
        <v>1551689175228459</v>
      </c>
      <c r="C1017" t="s">
        <v>40</v>
      </c>
      <c r="D1017">
        <v>4.8413820000000003</v>
      </c>
      <c r="E1017">
        <v>0.54477719999999996</v>
      </c>
      <c r="F1017" t="s">
        <v>42</v>
      </c>
      <c r="G1017">
        <v>-193.48259999999999</v>
      </c>
      <c r="H1017" s="1">
        <v>-4.0000389999999998E-6</v>
      </c>
      <c r="I1017">
        <v>336.92579999999998</v>
      </c>
      <c r="J1017">
        <v>-193.2962</v>
      </c>
      <c r="K1017">
        <v>1.1024799999999999</v>
      </c>
      <c r="L1017">
        <v>351.38639999999998</v>
      </c>
      <c r="M1017">
        <v>0.21953230000000001</v>
      </c>
      <c r="N1017">
        <v>-1.221537E-2</v>
      </c>
      <c r="O1017">
        <v>-0.97552870000000003</v>
      </c>
      <c r="P1017">
        <v>6.2724550000000004E-2</v>
      </c>
      <c r="Q1017">
        <v>0.34610279999999999</v>
      </c>
      <c r="R1017">
        <v>-0.93609779999999998</v>
      </c>
      <c r="S1017">
        <v>-3.02124E-2</v>
      </c>
      <c r="T1017">
        <v>-0.2467512</v>
      </c>
      <c r="U1017">
        <v>-3.3002929999999999</v>
      </c>
      <c r="V1017">
        <v>0.1514094</v>
      </c>
      <c r="W1017">
        <v>0.35445779999999999</v>
      </c>
      <c r="X1017">
        <v>0.92273229999999995</v>
      </c>
      <c r="Y1017">
        <v>0.22832350000000001</v>
      </c>
      <c r="Z1017">
        <v>5.8645889999999999E-2</v>
      </c>
      <c r="AA1017">
        <v>0.97181740000000005</v>
      </c>
      <c r="AB1017">
        <v>25</v>
      </c>
      <c r="AC1017">
        <v>-0.18639999999999099</v>
      </c>
      <c r="AD1017">
        <v>-1.1024840000389999</v>
      </c>
      <c r="AE1017">
        <v>-14.460599999999999</v>
      </c>
      <c r="AF1017">
        <v>3.3372629323363499</v>
      </c>
      <c r="AG1017">
        <v>-1.1024840000389999</v>
      </c>
      <c r="AH1017">
        <v>13.985580437213001</v>
      </c>
      <c r="AI1017">
        <v>94.384703498512593</v>
      </c>
      <c r="AJ1017">
        <v>76.578960014438294</v>
      </c>
      <c r="AK1017">
        <v>14.420445728743699</v>
      </c>
      <c r="AL1017">
        <v>69.239782528158798</v>
      </c>
      <c r="AM1017">
        <v>80.681485000556094</v>
      </c>
      <c r="AN1017">
        <v>1.00000001792624</v>
      </c>
    </row>
    <row r="1018" spans="1:40" x14ac:dyDescent="0.25">
      <c r="A1018" t="str">
        <f>"20190304164615259"</f>
        <v>20190304164615259</v>
      </c>
      <c r="B1018" t="str">
        <f>"1551689175248955"</f>
        <v>1551689175248955</v>
      </c>
      <c r="C1018" t="s">
        <v>40</v>
      </c>
      <c r="D1018">
        <v>4.8853619999999998</v>
      </c>
      <c r="E1018">
        <v>0.54449899999999996</v>
      </c>
      <c r="F1018" t="s">
        <v>42</v>
      </c>
      <c r="G1018">
        <v>-193.49350000000001</v>
      </c>
      <c r="H1018" s="1">
        <v>-4.0781570000000001E-6</v>
      </c>
      <c r="I1018">
        <v>337.1497</v>
      </c>
      <c r="J1018">
        <v>-193.25409999999999</v>
      </c>
      <c r="K1018">
        <v>1.102857</v>
      </c>
      <c r="L1018">
        <v>351.1447</v>
      </c>
      <c r="M1018">
        <v>0.20891899999999999</v>
      </c>
      <c r="N1018">
        <v>-1.212514E-2</v>
      </c>
      <c r="O1018">
        <v>-0.97785789999999995</v>
      </c>
      <c r="P1018">
        <v>6.1443600000000001E-2</v>
      </c>
      <c r="Q1018">
        <v>0.34438940000000001</v>
      </c>
      <c r="R1018">
        <v>-0.93681409999999998</v>
      </c>
      <c r="S1018">
        <v>-4.5761110000000001E-2</v>
      </c>
      <c r="T1018">
        <v>-0.25573839999999998</v>
      </c>
      <c r="U1018">
        <v>-3.3024290000000001</v>
      </c>
      <c r="V1018">
        <v>0.1423729</v>
      </c>
      <c r="W1018">
        <v>0.35298859999999999</v>
      </c>
      <c r="X1018">
        <v>0.92473190000000005</v>
      </c>
      <c r="Y1018">
        <v>0.22230749999999999</v>
      </c>
      <c r="Z1018">
        <v>6.1571809999999998E-2</v>
      </c>
      <c r="AA1018">
        <v>0.97303039999999996</v>
      </c>
      <c r="AB1018">
        <v>25</v>
      </c>
      <c r="AC1018">
        <v>-0.23940000000001699</v>
      </c>
      <c r="AD1018">
        <v>-1.1028610781569901</v>
      </c>
      <c r="AE1018">
        <v>-13.994999999999999</v>
      </c>
      <c r="AF1018">
        <v>3.1386667618789299</v>
      </c>
      <c r="AG1018">
        <v>-1.1028610781569901</v>
      </c>
      <c r="AH1018">
        <v>13.5519729352695</v>
      </c>
      <c r="AI1018">
        <v>94.533017737005693</v>
      </c>
      <c r="AJ1018">
        <v>76.960078894466307</v>
      </c>
      <c r="AK1018">
        <v>13.9543363166477</v>
      </c>
      <c r="AL1018">
        <v>69.329780299817102</v>
      </c>
      <c r="AM1018">
        <v>81.247394543028904</v>
      </c>
      <c r="AN1018">
        <v>1.0000000406309799</v>
      </c>
    </row>
    <row r="1019" spans="1:40" x14ac:dyDescent="0.25">
      <c r="A1019" t="str">
        <f>"20190304164615283"</f>
        <v>20190304164615283</v>
      </c>
      <c r="B1019" t="str">
        <f>"1551689175279211"</f>
        <v>1551689175279211</v>
      </c>
      <c r="C1019" t="s">
        <v>40</v>
      </c>
      <c r="D1019">
        <v>4.86442</v>
      </c>
      <c r="E1019">
        <v>0.54371859999999905</v>
      </c>
      <c r="F1019" t="s">
        <v>42</v>
      </c>
      <c r="G1019">
        <v>-193.46209999999999</v>
      </c>
      <c r="H1019" s="1">
        <v>-4.2632360000000003E-6</v>
      </c>
      <c r="I1019">
        <v>337.7099</v>
      </c>
      <c r="J1019">
        <v>-193.21029999999999</v>
      </c>
      <c r="K1019">
        <v>1.1032489999999999</v>
      </c>
      <c r="L1019">
        <v>350.87900000000002</v>
      </c>
      <c r="M1019">
        <v>0.19782279999999999</v>
      </c>
      <c r="N1019">
        <v>-1.2027029999999999E-2</v>
      </c>
      <c r="O1019">
        <v>-0.98016409999999998</v>
      </c>
      <c r="P1019">
        <v>5.8693740000000001E-2</v>
      </c>
      <c r="Q1019">
        <v>0.34522709999999901</v>
      </c>
      <c r="R1019">
        <v>-0.93668220000000002</v>
      </c>
      <c r="S1019">
        <v>-5.1177979999999998E-2</v>
      </c>
      <c r="T1019">
        <v>-0.27134509999999901</v>
      </c>
      <c r="U1019">
        <v>-3.3054809999999999</v>
      </c>
      <c r="V1019">
        <v>0.13418579999999999</v>
      </c>
      <c r="W1019">
        <v>0.35402119999999998</v>
      </c>
      <c r="X1019">
        <v>0.92556099999999997</v>
      </c>
      <c r="Y1019">
        <v>0.2128244</v>
      </c>
      <c r="Z1019">
        <v>6.6437140000000006E-2</v>
      </c>
      <c r="AA1019">
        <v>0.9748291</v>
      </c>
      <c r="AB1019">
        <v>25</v>
      </c>
      <c r="AC1019">
        <v>-0.25180000000000202</v>
      </c>
      <c r="AD1019">
        <v>-1.1032532632359999</v>
      </c>
      <c r="AE1019">
        <v>-13.1691</v>
      </c>
      <c r="AF1019">
        <v>2.8322887222247899</v>
      </c>
      <c r="AG1019">
        <v>-1.1032532632359999</v>
      </c>
      <c r="AH1019">
        <v>12.769408126825899</v>
      </c>
      <c r="AI1019">
        <v>94.821385960495107</v>
      </c>
      <c r="AJ1019">
        <v>77.494102074430899</v>
      </c>
      <c r="AK1019">
        <v>13.1261879873149</v>
      </c>
      <c r="AL1019">
        <v>69.266532123809299</v>
      </c>
      <c r="AM1019">
        <v>81.750858400133694</v>
      </c>
      <c r="AN1019">
        <v>1.00000000184604</v>
      </c>
    </row>
    <row r="1020" spans="1:40" x14ac:dyDescent="0.25">
      <c r="A1020" t="str">
        <f>"20190304164615304"</f>
        <v>20190304164615304</v>
      </c>
      <c r="B1020" t="str">
        <f>"1551689175298731"</f>
        <v>1551689175298731</v>
      </c>
      <c r="C1020" t="s">
        <v>40</v>
      </c>
      <c r="D1020">
        <v>4.8058560000000003</v>
      </c>
      <c r="E1020">
        <v>0.54209399999999996</v>
      </c>
      <c r="F1020" t="s">
        <v>42</v>
      </c>
      <c r="G1020">
        <v>-193.44820000000001</v>
      </c>
      <c r="H1020" s="1">
        <v>-4.1415180000000001E-6</v>
      </c>
      <c r="I1020">
        <v>337.35939999999999</v>
      </c>
      <c r="J1020">
        <v>-193.17160000000001</v>
      </c>
      <c r="K1020">
        <v>1.103599</v>
      </c>
      <c r="L1020">
        <v>350.63139999999999</v>
      </c>
      <c r="M1020">
        <v>0.18801300000000001</v>
      </c>
      <c r="N1020">
        <v>-1.1937339999999999E-2</v>
      </c>
      <c r="O1020">
        <v>-0.98209400000000002</v>
      </c>
      <c r="P1020">
        <v>5.3490330000000003E-2</v>
      </c>
      <c r="Q1020">
        <v>0.34709200000000001</v>
      </c>
      <c r="R1020">
        <v>-0.93630449999999998</v>
      </c>
      <c r="S1020">
        <v>-5.8181759999999999E-2</v>
      </c>
      <c r="T1020">
        <v>-0.26977069999999997</v>
      </c>
      <c r="U1020">
        <v>-3.305847</v>
      </c>
      <c r="V1020">
        <v>0.12965380000000001</v>
      </c>
      <c r="W1020">
        <v>0.35598839999999998</v>
      </c>
      <c r="X1020">
        <v>0.92545239999999995</v>
      </c>
      <c r="Y1020">
        <v>0.205119</v>
      </c>
      <c r="Z1020">
        <v>6.6364790000000007E-2</v>
      </c>
      <c r="AA1020">
        <v>0.97648449999999998</v>
      </c>
      <c r="AB1020">
        <v>25</v>
      </c>
      <c r="AC1020">
        <v>-0.27660000000000201</v>
      </c>
      <c r="AD1020">
        <v>-1.1036031415180001</v>
      </c>
      <c r="AE1020">
        <v>-13.271999999999901</v>
      </c>
      <c r="AF1020">
        <v>2.7481593227609502</v>
      </c>
      <c r="AG1020">
        <v>-1.1036031415180001</v>
      </c>
      <c r="AH1020">
        <v>12.894155820150401</v>
      </c>
      <c r="AI1020">
        <v>94.785031536599803</v>
      </c>
      <c r="AJ1020">
        <v>77.968449772788105</v>
      </c>
      <c r="AK1020">
        <v>13.2298742953803</v>
      </c>
      <c r="AL1020">
        <v>69.145966636377807</v>
      </c>
      <c r="AM1020">
        <v>82.024896617353505</v>
      </c>
      <c r="AN1020">
        <v>0.99999999672737905</v>
      </c>
    </row>
    <row r="1021" spans="1:40" x14ac:dyDescent="0.25">
      <c r="A1021" t="str">
        <f>"20190304164615328"</f>
        <v>20190304164615328</v>
      </c>
      <c r="B1021" t="str">
        <f>"1551689175319227"</f>
        <v>1551689175319227</v>
      </c>
      <c r="C1021" t="s">
        <v>40</v>
      </c>
      <c r="D1021">
        <v>4.7280379999999997</v>
      </c>
      <c r="E1021">
        <v>0.54201390000000005</v>
      </c>
      <c r="F1021" t="s">
        <v>41</v>
      </c>
      <c r="G1021">
        <v>-193.1849</v>
      </c>
      <c r="H1021">
        <v>1.014189</v>
      </c>
      <c r="I1021">
        <v>349.78210000000001</v>
      </c>
      <c r="J1021">
        <v>-193.13130000000001</v>
      </c>
      <c r="K1021">
        <v>1.103998</v>
      </c>
      <c r="L1021">
        <v>350.35860000000002</v>
      </c>
      <c r="M1021">
        <v>0.17780760000000001</v>
      </c>
      <c r="N1021">
        <v>-1.183704E-2</v>
      </c>
      <c r="O1021">
        <v>-0.98399420000000004</v>
      </c>
      <c r="P1021">
        <v>4.9270750000000002E-2</v>
      </c>
      <c r="Q1021">
        <v>0.34758060000000002</v>
      </c>
      <c r="R1021">
        <v>-0.9363551</v>
      </c>
      <c r="S1021">
        <v>-5.186462E-2</v>
      </c>
      <c r="T1021">
        <v>-0.35128690000000001</v>
      </c>
      <c r="U1021">
        <v>-3.33725</v>
      </c>
      <c r="V1021">
        <v>0.12383280000000001</v>
      </c>
      <c r="W1021">
        <v>0.35660019999999998</v>
      </c>
      <c r="X1021">
        <v>0.92601389999999995</v>
      </c>
      <c r="Y1021">
        <v>0.19288330000000001</v>
      </c>
      <c r="Z1021">
        <v>8.9400149999999998E-2</v>
      </c>
      <c r="AA1021">
        <v>0.97714049999999997</v>
      </c>
      <c r="AB1021">
        <v>25</v>
      </c>
      <c r="AC1021">
        <v>-5.3599999999988698E-2</v>
      </c>
      <c r="AD1021">
        <v>-8.9809E-2</v>
      </c>
      <c r="AE1021">
        <v>-0.57650000000001</v>
      </c>
      <c r="AF1021">
        <v>0.15161120119448401</v>
      </c>
      <c r="AG1021">
        <v>-8.9809E-2</v>
      </c>
      <c r="AH1021">
        <v>0.54467604936396796</v>
      </c>
      <c r="AI1021">
        <v>99.025813158791806</v>
      </c>
      <c r="AJ1021">
        <v>74.445395331970701</v>
      </c>
      <c r="AK1021">
        <v>0.57247149410199805</v>
      </c>
      <c r="AL1021">
        <v>69.108451231979103</v>
      </c>
      <c r="AM1021">
        <v>82.383212171738506</v>
      </c>
      <c r="AN1021">
        <v>1.00000000399454</v>
      </c>
    </row>
    <row r="1022" spans="1:40" x14ac:dyDescent="0.25">
      <c r="A1022" t="str">
        <f>"20190304164615363"</f>
        <v>20190304164615363</v>
      </c>
      <c r="B1022" t="str">
        <f>"1551689175359243"</f>
        <v>1551689175359243</v>
      </c>
      <c r="C1022" t="s">
        <v>40</v>
      </c>
      <c r="D1022">
        <v>4.7358469999999997</v>
      </c>
      <c r="E1022">
        <v>0.54061289999999995</v>
      </c>
      <c r="F1022" t="s">
        <v>41</v>
      </c>
      <c r="G1022">
        <v>-193.14689999999999</v>
      </c>
      <c r="H1022">
        <v>1.0243719999999901</v>
      </c>
      <c r="I1022">
        <v>349.55029999999999</v>
      </c>
      <c r="J1022">
        <v>-193.07759999999999</v>
      </c>
      <c r="K1022">
        <v>1.104587</v>
      </c>
      <c r="L1022">
        <v>349.96969999999999</v>
      </c>
      <c r="M1022">
        <v>0.16439029999999999</v>
      </c>
      <c r="N1022">
        <v>-1.1687350000000001E-2</v>
      </c>
      <c r="O1022">
        <v>-0.98632629999999999</v>
      </c>
      <c r="P1022">
        <v>4.8702049999999997E-2</v>
      </c>
      <c r="Q1022">
        <v>0.34906179999999998</v>
      </c>
      <c r="R1022">
        <v>-0.93583380000000005</v>
      </c>
      <c r="S1022">
        <v>-6.4376829999999996E-2</v>
      </c>
      <c r="T1022">
        <v>-0.32783780000000001</v>
      </c>
      <c r="U1022">
        <v>-3.3290099999999998</v>
      </c>
      <c r="V1022">
        <v>0.1111533</v>
      </c>
      <c r="W1022">
        <v>0.35830669999999998</v>
      </c>
      <c r="X1022">
        <v>0.92696339999999999</v>
      </c>
      <c r="Y1022">
        <v>0.18324850000000001</v>
      </c>
      <c r="Z1022">
        <v>8.3511760000000004E-2</v>
      </c>
      <c r="AA1022">
        <v>0.97951299999999997</v>
      </c>
      <c r="AB1022">
        <v>25</v>
      </c>
      <c r="AC1022">
        <v>-6.9299999999998294E-2</v>
      </c>
      <c r="AD1022">
        <v>-8.0215000000000106E-2</v>
      </c>
      <c r="AE1022">
        <v>-0.419399999999996</v>
      </c>
      <c r="AF1022">
        <v>0.13258585314090801</v>
      </c>
      <c r="AG1022">
        <v>-8.0215000000000106E-2</v>
      </c>
      <c r="AH1022">
        <v>0.38846759639523798</v>
      </c>
      <c r="AI1022">
        <v>101.05750320158199</v>
      </c>
      <c r="AJ1022">
        <v>71.154980882520206</v>
      </c>
      <c r="AK1022">
        <v>0.41823501542457697</v>
      </c>
      <c r="AL1022">
        <v>69.0037577810415</v>
      </c>
      <c r="AM1022">
        <v>83.162241893123195</v>
      </c>
      <c r="AN1022">
        <v>0.99999994615266796</v>
      </c>
    </row>
    <row r="1023" spans="1:40" x14ac:dyDescent="0.25">
      <c r="A1023" t="str">
        <f>"20190304164615385"</f>
        <v>20190304164615385</v>
      </c>
      <c r="B1023" t="str">
        <f>"1551689175378763"</f>
        <v>1551689175378763</v>
      </c>
      <c r="C1023" t="s">
        <v>40</v>
      </c>
      <c r="D1023">
        <v>4.704434</v>
      </c>
      <c r="E1023">
        <v>0.54039040000000005</v>
      </c>
      <c r="F1023" t="s">
        <v>41</v>
      </c>
      <c r="G1023">
        <v>-193.09620000000001</v>
      </c>
      <c r="H1023">
        <v>1.025825</v>
      </c>
      <c r="I1023">
        <v>349.09269999999998</v>
      </c>
      <c r="J1023">
        <v>-193.04499999999999</v>
      </c>
      <c r="K1023">
        <v>1.104957</v>
      </c>
      <c r="L1023">
        <v>349.71870000000001</v>
      </c>
      <c r="M1023">
        <v>0.15637789999999999</v>
      </c>
      <c r="N1023">
        <v>-1.159396E-2</v>
      </c>
      <c r="O1023">
        <v>-0.98762919999999998</v>
      </c>
      <c r="P1023">
        <v>4.6382039999999999E-2</v>
      </c>
      <c r="Q1023">
        <v>0.35225469999999998</v>
      </c>
      <c r="R1023">
        <v>-0.93475430000000004</v>
      </c>
      <c r="S1023">
        <v>-6.97937E-2</v>
      </c>
      <c r="T1023">
        <v>-0.29817009999999899</v>
      </c>
      <c r="U1023">
        <v>-3.3205870000000002</v>
      </c>
      <c r="V1023">
        <v>0.1054331</v>
      </c>
      <c r="W1023">
        <v>0.36158230000000002</v>
      </c>
      <c r="X1023">
        <v>0.92635959999999995</v>
      </c>
      <c r="Y1023">
        <v>0.17693909999999999</v>
      </c>
      <c r="Z1023">
        <v>7.5497399999999895E-2</v>
      </c>
      <c r="AA1023">
        <v>0.98132189999999997</v>
      </c>
      <c r="AB1023">
        <v>25</v>
      </c>
      <c r="AC1023">
        <v>-5.12000000000227E-2</v>
      </c>
      <c r="AD1023">
        <v>-7.9131999999999897E-2</v>
      </c>
      <c r="AE1023">
        <v>-0.62600000000003297</v>
      </c>
      <c r="AF1023">
        <v>0.14614933237581601</v>
      </c>
      <c r="AG1023">
        <v>-7.9131999999999897E-2</v>
      </c>
      <c r="AH1023">
        <v>0.60075457781170905</v>
      </c>
      <c r="AI1023">
        <v>97.293523656523504</v>
      </c>
      <c r="AJ1023">
        <v>76.326906340017104</v>
      </c>
      <c r="AK1023">
        <v>0.62331979235350898</v>
      </c>
      <c r="AL1023">
        <v>68.802597752025605</v>
      </c>
      <c r="AM1023">
        <v>83.506853504438098</v>
      </c>
      <c r="AN1023">
        <v>1.0000000033805201</v>
      </c>
    </row>
    <row r="1024" spans="1:40" x14ac:dyDescent="0.25">
      <c r="A1024" t="str">
        <f>"20190304164615406"</f>
        <v>20190304164615406</v>
      </c>
      <c r="B1024" t="str">
        <f>"1551689175399260"</f>
        <v>1551689175399260</v>
      </c>
      <c r="C1024" t="s">
        <v>40</v>
      </c>
      <c r="D1024">
        <v>4.6949050000000003</v>
      </c>
      <c r="E1024">
        <v>0.54013089999999997</v>
      </c>
      <c r="F1024" t="s">
        <v>41</v>
      </c>
      <c r="G1024">
        <v>-193.0651</v>
      </c>
      <c r="H1024">
        <v>1.0314700000000001</v>
      </c>
      <c r="I1024">
        <v>348.86180000000002</v>
      </c>
      <c r="J1024">
        <v>-193.01519999999999</v>
      </c>
      <c r="K1024">
        <v>1.1052869999999999</v>
      </c>
      <c r="L1024">
        <v>349.47719999999998</v>
      </c>
      <c r="M1024">
        <v>0.1491015</v>
      </c>
      <c r="N1024">
        <v>-1.1508259999999999E-2</v>
      </c>
      <c r="O1024">
        <v>-0.98875489999999999</v>
      </c>
      <c r="P1024">
        <v>4.2990449999999999E-2</v>
      </c>
      <c r="Q1024">
        <v>0.35430089999999997</v>
      </c>
      <c r="R1024">
        <v>-0.93414299999999995</v>
      </c>
      <c r="S1024">
        <v>-7.7621460000000003E-2</v>
      </c>
      <c r="T1024">
        <v>-0.28475519999999999</v>
      </c>
      <c r="U1024">
        <v>-3.3205870000000002</v>
      </c>
      <c r="V1024">
        <v>0.1015715</v>
      </c>
      <c r="W1024">
        <v>0.36367759999999999</v>
      </c>
      <c r="X1024">
        <v>0.92597079999999998</v>
      </c>
      <c r="Y1024">
        <v>0.172017</v>
      </c>
      <c r="Z1024">
        <v>7.1868890000000005E-2</v>
      </c>
      <c r="AA1024">
        <v>0.98246880000000003</v>
      </c>
      <c r="AB1024">
        <v>25</v>
      </c>
      <c r="AC1024">
        <v>-4.9900000000008E-2</v>
      </c>
      <c r="AD1024">
        <v>-7.3816999999999994E-2</v>
      </c>
      <c r="AE1024">
        <v>-0.61539999999996498</v>
      </c>
      <c r="AF1024">
        <v>0.13911675498805201</v>
      </c>
      <c r="AG1024">
        <v>-7.3816999999999994E-2</v>
      </c>
      <c r="AH1024">
        <v>0.59260871174287499</v>
      </c>
      <c r="AI1024">
        <v>96.914279451619706</v>
      </c>
      <c r="AJ1024">
        <v>76.788853436247393</v>
      </c>
      <c r="AK1024">
        <v>0.61317820104840304</v>
      </c>
      <c r="AL1024">
        <v>68.673778405463594</v>
      </c>
      <c r="AM1024">
        <v>83.740143657696606</v>
      </c>
      <c r="AN1024">
        <v>1.0000000444033199</v>
      </c>
    </row>
    <row r="1025" spans="1:40" x14ac:dyDescent="0.25">
      <c r="A1025" t="str">
        <f>"20190304164615427"</f>
        <v>20190304164615427</v>
      </c>
      <c r="B1025" t="str">
        <f>"1551689175418780"</f>
        <v>1551689175418780</v>
      </c>
      <c r="C1025" t="s">
        <v>40</v>
      </c>
      <c r="D1025">
        <v>4.6837169999999997</v>
      </c>
      <c r="E1025">
        <v>0.53975139999999999</v>
      </c>
      <c r="F1025" t="s">
        <v>41</v>
      </c>
      <c r="G1025">
        <v>-193.03530000000001</v>
      </c>
      <c r="H1025">
        <v>1.0342659999999999</v>
      </c>
      <c r="I1025">
        <v>348.63299999999998</v>
      </c>
      <c r="J1025">
        <v>-192.9853</v>
      </c>
      <c r="K1025">
        <v>1.1056429999999999</v>
      </c>
      <c r="L1025">
        <v>349.22519999999997</v>
      </c>
      <c r="M1025">
        <v>0.14199809999999999</v>
      </c>
      <c r="N1025">
        <v>-1.141883E-2</v>
      </c>
      <c r="O1025">
        <v>-0.98980109999999999</v>
      </c>
      <c r="P1025">
        <v>4.314784E-2</v>
      </c>
      <c r="Q1025">
        <v>0.35501909999999998</v>
      </c>
      <c r="R1025">
        <v>-0.93386279999999999</v>
      </c>
      <c r="S1025">
        <v>-7.8674320000000006E-2</v>
      </c>
      <c r="T1025">
        <v>-0.27933740000000001</v>
      </c>
      <c r="U1025">
        <v>-3.321075</v>
      </c>
      <c r="V1025">
        <v>9.4396759999999996E-2</v>
      </c>
      <c r="W1025">
        <v>0.36448760000000002</v>
      </c>
      <c r="X1025">
        <v>0.9264114</v>
      </c>
      <c r="Y1025">
        <v>0.16525680000000001</v>
      </c>
      <c r="Z1025">
        <v>7.0550180000000004E-2</v>
      </c>
      <c r="AA1025">
        <v>0.98372400000000004</v>
      </c>
      <c r="AB1025">
        <v>25</v>
      </c>
      <c r="AC1025">
        <v>-5.0000000000011299E-2</v>
      </c>
      <c r="AD1025">
        <v>-7.1376999999999996E-2</v>
      </c>
      <c r="AE1025">
        <v>-0.592199999999934</v>
      </c>
      <c r="AF1025">
        <v>0.13169049134491401</v>
      </c>
      <c r="AG1025">
        <v>-7.1376999999999996E-2</v>
      </c>
      <c r="AH1025">
        <v>0.57086373053429096</v>
      </c>
      <c r="AI1025">
        <v>96.946316947807205</v>
      </c>
      <c r="AJ1025">
        <v>77.009889903233699</v>
      </c>
      <c r="AK1025">
        <v>0.59018849571911602</v>
      </c>
      <c r="AL1025">
        <v>68.623948318865502</v>
      </c>
      <c r="AM1025">
        <v>84.181922348126903</v>
      </c>
      <c r="AN1025">
        <v>1.0000000204510999</v>
      </c>
    </row>
    <row r="1026" spans="1:40" x14ac:dyDescent="0.25">
      <c r="A1026" t="str">
        <f>"20190304164615450"</f>
        <v>20190304164615450</v>
      </c>
      <c r="B1026" t="str">
        <f>"1551689175439276"</f>
        <v>1551689175439276</v>
      </c>
      <c r="C1026" t="s">
        <v>40</v>
      </c>
      <c r="D1026">
        <v>4.7249210000000001</v>
      </c>
      <c r="E1026">
        <v>0.53961899999999996</v>
      </c>
      <c r="F1026" t="s">
        <v>41</v>
      </c>
      <c r="G1026">
        <v>-193.00479999999999</v>
      </c>
      <c r="H1026">
        <v>1.037393</v>
      </c>
      <c r="I1026">
        <v>348.40390000000002</v>
      </c>
      <c r="J1026">
        <v>-192.95679999999999</v>
      </c>
      <c r="K1026">
        <v>1.1060000000000001</v>
      </c>
      <c r="L1026">
        <v>348.97390000000001</v>
      </c>
      <c r="M1026">
        <v>0.1354398</v>
      </c>
      <c r="N1026">
        <v>-1.1326299999999999E-2</v>
      </c>
      <c r="O1026">
        <v>-0.99072090000000002</v>
      </c>
      <c r="P1026">
        <v>4.6913799999999999E-2</v>
      </c>
      <c r="Q1026">
        <v>0.35547469999999998</v>
      </c>
      <c r="R1026">
        <v>-0.933508</v>
      </c>
      <c r="S1026">
        <v>-7.8674320000000006E-2</v>
      </c>
      <c r="T1026">
        <v>-0.27608310000000003</v>
      </c>
      <c r="U1026">
        <v>-3.3210449999999998</v>
      </c>
      <c r="V1026">
        <v>8.4146090000000007E-2</v>
      </c>
      <c r="W1026">
        <v>0.3650603</v>
      </c>
      <c r="X1026">
        <v>0.92717329999999998</v>
      </c>
      <c r="Y1026">
        <v>0.1587287</v>
      </c>
      <c r="Z1026">
        <v>6.9853699999999894E-2</v>
      </c>
      <c r="AA1026">
        <v>0.98484799999999995</v>
      </c>
      <c r="AB1026">
        <v>26</v>
      </c>
      <c r="AC1026">
        <v>-4.8000000000001798E-2</v>
      </c>
      <c r="AD1026">
        <v>-6.8606999999999793E-2</v>
      </c>
      <c r="AE1026">
        <v>-0.56999999999999296</v>
      </c>
      <c r="AF1026">
        <v>0.12299398161976199</v>
      </c>
      <c r="AG1026">
        <v>-6.8606999999999793E-2</v>
      </c>
      <c r="AH1026">
        <v>0.55032894109113295</v>
      </c>
      <c r="AI1026">
        <v>96.936741183860093</v>
      </c>
      <c r="AJ1026">
        <v>77.401895016021598</v>
      </c>
      <c r="AK1026">
        <v>0.56806371417840995</v>
      </c>
      <c r="AL1026">
        <v>68.588705333771003</v>
      </c>
      <c r="AM1026">
        <v>84.814298360036602</v>
      </c>
      <c r="AN1026">
        <v>0.99999995766563299</v>
      </c>
    </row>
    <row r="1027" spans="1:40" x14ac:dyDescent="0.25">
      <c r="A1027" t="str">
        <f>"20190304164615474"</f>
        <v>20190304164615474</v>
      </c>
      <c r="B1027" t="str">
        <f>"1551689175468556"</f>
        <v>1551689175468556</v>
      </c>
      <c r="C1027" t="s">
        <v>40</v>
      </c>
      <c r="D1027">
        <v>4.7081559999999998</v>
      </c>
      <c r="E1027">
        <v>0.53935140000000004</v>
      </c>
      <c r="F1027" t="s">
        <v>41</v>
      </c>
      <c r="G1027">
        <v>-192.9752</v>
      </c>
      <c r="H1027">
        <v>1.040448</v>
      </c>
      <c r="I1027">
        <v>348.17430000000002</v>
      </c>
      <c r="J1027">
        <v>-192.9271</v>
      </c>
      <c r="K1027">
        <v>1.1063909999999999</v>
      </c>
      <c r="L1027">
        <v>348.7004</v>
      </c>
      <c r="M1027">
        <v>0.12886700000000001</v>
      </c>
      <c r="N1027">
        <v>-1.1223790000000001E-2</v>
      </c>
      <c r="O1027">
        <v>-0.99159839999999999</v>
      </c>
      <c r="P1027">
        <v>4.7566999999999998E-2</v>
      </c>
      <c r="Q1027">
        <v>0.35616340000000002</v>
      </c>
      <c r="R1027">
        <v>-0.93321240000000005</v>
      </c>
      <c r="S1027">
        <v>-7.5164789999999995E-2</v>
      </c>
      <c r="T1027">
        <v>-0.27232149999999999</v>
      </c>
      <c r="U1027">
        <v>-3.3212280000000001</v>
      </c>
      <c r="V1027">
        <v>7.6939949999999993E-2</v>
      </c>
      <c r="W1027">
        <v>0.36580960000000001</v>
      </c>
      <c r="X1027">
        <v>0.92750390000000005</v>
      </c>
      <c r="Y1027">
        <v>0.1511431</v>
      </c>
      <c r="Z1027">
        <v>6.9010950000000001E-2</v>
      </c>
      <c r="AA1027">
        <v>0.98609999999999998</v>
      </c>
      <c r="AB1027">
        <v>26</v>
      </c>
      <c r="AC1027">
        <v>-4.8100000000005097E-2</v>
      </c>
      <c r="AD1027">
        <v>-6.5942999999999793E-2</v>
      </c>
      <c r="AE1027">
        <v>-0.52609999999998502</v>
      </c>
      <c r="AF1027">
        <v>0.11372812491343399</v>
      </c>
      <c r="AG1027">
        <v>-6.5942999999999793E-2</v>
      </c>
      <c r="AH1027">
        <v>0.50760505293663605</v>
      </c>
      <c r="AI1027">
        <v>97.2246954205538</v>
      </c>
      <c r="AJ1027">
        <v>77.371519844497001</v>
      </c>
      <c r="AK1027">
        <v>0.524352415282061</v>
      </c>
      <c r="AL1027">
        <v>68.542583556266706</v>
      </c>
      <c r="AM1027">
        <v>85.257956087025093</v>
      </c>
      <c r="AN1027">
        <v>0.99999995193668501</v>
      </c>
    </row>
    <row r="1028" spans="1:40" x14ac:dyDescent="0.25">
      <c r="A1028" t="str">
        <f>"20190304164615493"</f>
        <v>20190304164615493</v>
      </c>
      <c r="B1028" t="str">
        <f>"1551689175489052"</f>
        <v>1551689175489052</v>
      </c>
      <c r="C1028" t="s">
        <v>40</v>
      </c>
      <c r="D1028">
        <v>4.7109889999999996</v>
      </c>
      <c r="E1028">
        <v>0.53917979999999999</v>
      </c>
      <c r="F1028" t="s">
        <v>41</v>
      </c>
      <c r="G1028">
        <v>-192.94370000000001</v>
      </c>
      <c r="H1028">
        <v>1.0448809999999999</v>
      </c>
      <c r="I1028">
        <v>347.94369999999998</v>
      </c>
      <c r="J1028">
        <v>-192.90180000000001</v>
      </c>
      <c r="K1028">
        <v>1.106751</v>
      </c>
      <c r="L1028">
        <v>348.4588</v>
      </c>
      <c r="M1028">
        <v>0.12356780000000001</v>
      </c>
      <c r="N1028">
        <v>-1.113278E-2</v>
      </c>
      <c r="O1028">
        <v>-0.99227370000000004</v>
      </c>
      <c r="P1028">
        <v>4.9884530000000003E-2</v>
      </c>
      <c r="Q1028">
        <v>0.35672619999999999</v>
      </c>
      <c r="R1028">
        <v>-0.93287629999999999</v>
      </c>
      <c r="S1028">
        <v>-7.243347E-2</v>
      </c>
      <c r="T1028">
        <v>-0.26999139999999999</v>
      </c>
      <c r="U1028">
        <v>-3.3214419999999998</v>
      </c>
      <c r="V1028">
        <v>6.9312730000000003E-2</v>
      </c>
      <c r="W1028">
        <v>0.36642809999999998</v>
      </c>
      <c r="X1028">
        <v>0.92786109999999999</v>
      </c>
      <c r="Y1028">
        <v>0.14505309999999999</v>
      </c>
      <c r="Z1028">
        <v>6.8535159999999998E-2</v>
      </c>
      <c r="AA1028">
        <v>0.98704740000000002</v>
      </c>
      <c r="AB1028">
        <v>26</v>
      </c>
      <c r="AC1028">
        <v>-4.1899999999998203E-2</v>
      </c>
      <c r="AD1028">
        <v>-6.1870000000000001E-2</v>
      </c>
      <c r="AE1028">
        <v>-0.51510000000001799</v>
      </c>
      <c r="AF1028">
        <v>0.103745657416037</v>
      </c>
      <c r="AG1028">
        <v>-6.1870000000000001E-2</v>
      </c>
      <c r="AH1028">
        <v>0.49882478043168799</v>
      </c>
      <c r="AI1028">
        <v>96.923698630240196</v>
      </c>
      <c r="AJ1028">
        <v>78.251106065355302</v>
      </c>
      <c r="AK1028">
        <v>0.51324187271247401</v>
      </c>
      <c r="AL1028">
        <v>68.504503441102699</v>
      </c>
      <c r="AM1028">
        <v>85.727847171579199</v>
      </c>
      <c r="AN1028">
        <v>1.00000001395143</v>
      </c>
    </row>
    <row r="1029" spans="1:40" x14ac:dyDescent="0.25">
      <c r="A1029" t="str">
        <f>"20190304164615517"</f>
        <v>20190304164615517</v>
      </c>
      <c r="B1029" t="str">
        <f>"1551689175508571"</f>
        <v>1551689175508571</v>
      </c>
      <c r="C1029" t="s">
        <v>40</v>
      </c>
      <c r="D1029">
        <v>4.7082990000000002</v>
      </c>
      <c r="E1029">
        <v>0.53907340000000004</v>
      </c>
      <c r="F1029" t="s">
        <v>41</v>
      </c>
      <c r="G1029">
        <v>-192.91659999999999</v>
      </c>
      <c r="H1029">
        <v>1.046314</v>
      </c>
      <c r="I1029">
        <v>347.71429999999998</v>
      </c>
      <c r="J1029">
        <v>-192.876</v>
      </c>
      <c r="K1029">
        <v>1.1071260000000001</v>
      </c>
      <c r="L1029">
        <v>348.20339999999999</v>
      </c>
      <c r="M1029">
        <v>0.118488</v>
      </c>
      <c r="N1029">
        <v>-1.103869E-2</v>
      </c>
      <c r="O1029">
        <v>-0.99289439999999995</v>
      </c>
      <c r="P1029">
        <v>5.5057469999999997E-2</v>
      </c>
      <c r="Q1029">
        <v>0.35800720000000003</v>
      </c>
      <c r="R1029">
        <v>-0.93209439999999999</v>
      </c>
      <c r="S1029">
        <v>-6.5170290000000006E-2</v>
      </c>
      <c r="T1029">
        <v>-0.26978000000000002</v>
      </c>
      <c r="U1029">
        <v>-3.3225099999999999</v>
      </c>
      <c r="V1029">
        <v>5.8998139999999998E-2</v>
      </c>
      <c r="W1029">
        <v>0.36777209999999999</v>
      </c>
      <c r="X1029">
        <v>0.92804249999999999</v>
      </c>
      <c r="Y1029">
        <v>0.13782649999999999</v>
      </c>
      <c r="Z1029">
        <v>6.8662539999999994E-2</v>
      </c>
      <c r="AA1029">
        <v>0.98807350000000005</v>
      </c>
      <c r="AB1029">
        <v>26</v>
      </c>
      <c r="AC1029">
        <v>-4.0600000000011897E-2</v>
      </c>
      <c r="AD1029">
        <v>-6.0811999999999998E-2</v>
      </c>
      <c r="AE1029">
        <v>-0.48910000000000697</v>
      </c>
      <c r="AF1029">
        <v>9.6784002718846102E-2</v>
      </c>
      <c r="AG1029">
        <v>-6.0811999999999998E-2</v>
      </c>
      <c r="AH1029">
        <v>0.47357231835574098</v>
      </c>
      <c r="AI1029">
        <v>97.170748096725902</v>
      </c>
      <c r="AJ1029">
        <v>78.449515382233997</v>
      </c>
      <c r="AK1029">
        <v>0.48717141053135798</v>
      </c>
      <c r="AL1029">
        <v>68.421717396423304</v>
      </c>
      <c r="AM1029">
        <v>86.362449389760599</v>
      </c>
      <c r="AN1029">
        <v>0.99999998993405903</v>
      </c>
    </row>
    <row r="1030" spans="1:40" x14ac:dyDescent="0.25">
      <c r="A1030" t="str">
        <f>"20190304164615538"</f>
        <v>20190304164615538</v>
      </c>
      <c r="B1030" t="str">
        <f>"1551689175529068"</f>
        <v>1551689175529068</v>
      </c>
      <c r="C1030" t="s">
        <v>40</v>
      </c>
      <c r="D1030">
        <v>4.7008720000000004</v>
      </c>
      <c r="E1030">
        <v>0.53898590000000002</v>
      </c>
      <c r="F1030" t="s">
        <v>41</v>
      </c>
      <c r="G1030">
        <v>-192.8922</v>
      </c>
      <c r="H1030">
        <v>1.0320320000000001</v>
      </c>
      <c r="I1030">
        <v>347.26190000000003</v>
      </c>
      <c r="J1030">
        <v>-192.8503</v>
      </c>
      <c r="K1030">
        <v>1.10747</v>
      </c>
      <c r="L1030">
        <v>347.94240000000002</v>
      </c>
      <c r="M1030">
        <v>0.1137763</v>
      </c>
      <c r="N1030">
        <v>-1.0943710000000001E-2</v>
      </c>
      <c r="O1030">
        <v>-0.99344619999999995</v>
      </c>
      <c r="P1030">
        <v>5.8269710000000002E-2</v>
      </c>
      <c r="Q1030">
        <v>0.3613807</v>
      </c>
      <c r="R1030">
        <v>-0.93059590000000003</v>
      </c>
      <c r="S1030">
        <v>-5.6442260000000001E-2</v>
      </c>
      <c r="T1030">
        <v>-0.26514260000000001</v>
      </c>
      <c r="U1030">
        <v>-3.3237299999999999</v>
      </c>
      <c r="V1030">
        <v>5.0933270000000003E-2</v>
      </c>
      <c r="W1030">
        <v>0.37115870000000001</v>
      </c>
      <c r="X1030">
        <v>0.92717150000000004</v>
      </c>
      <c r="Y1030">
        <v>0.13053020000000001</v>
      </c>
      <c r="Z1030">
        <v>6.7475679999999996E-2</v>
      </c>
      <c r="AA1030">
        <v>0.98914550000000001</v>
      </c>
      <c r="AB1030">
        <v>26</v>
      </c>
      <c r="AC1030">
        <v>-4.1899999999998203E-2</v>
      </c>
      <c r="AD1030">
        <v>-7.5438000000000102E-2</v>
      </c>
      <c r="AE1030">
        <v>-0.680499999999994</v>
      </c>
      <c r="AF1030">
        <v>0.117617322643865</v>
      </c>
      <c r="AG1030">
        <v>-7.5438000000000102E-2</v>
      </c>
      <c r="AH1030">
        <v>0.66319371119666204</v>
      </c>
      <c r="AI1030">
        <v>96.390597856609006</v>
      </c>
      <c r="AJ1030">
        <v>79.943169594817505</v>
      </c>
      <c r="AK1030">
        <v>0.67775410363989197</v>
      </c>
      <c r="AL1030">
        <v>68.212904575091798</v>
      </c>
      <c r="AM1030">
        <v>86.855672132149905</v>
      </c>
      <c r="AN1030">
        <v>0.99999998449541605</v>
      </c>
    </row>
    <row r="1031" spans="1:40" x14ac:dyDescent="0.25">
      <c r="A1031" t="str">
        <f>"20190304164615565"</f>
        <v>20190304164615565</v>
      </c>
      <c r="B1031" t="str">
        <f>"1551689175559323"</f>
        <v>1551689175559323</v>
      </c>
      <c r="C1031" t="s">
        <v>40</v>
      </c>
      <c r="D1031">
        <v>4.6966519999999896</v>
      </c>
      <c r="E1031">
        <v>0.5388404</v>
      </c>
      <c r="F1031" t="s">
        <v>41</v>
      </c>
      <c r="G1031">
        <v>-192.863</v>
      </c>
      <c r="H1031">
        <v>1.0375129999999999</v>
      </c>
      <c r="I1031">
        <v>347.0301</v>
      </c>
      <c r="J1031">
        <v>-192.822</v>
      </c>
      <c r="K1031">
        <v>1.107782</v>
      </c>
      <c r="L1031">
        <v>347.64389999999997</v>
      </c>
      <c r="M1031">
        <v>0.1088475</v>
      </c>
      <c r="N1031">
        <v>-1.084153E-2</v>
      </c>
      <c r="O1031">
        <v>-0.99399939999999998</v>
      </c>
      <c r="P1031">
        <v>5.877756E-2</v>
      </c>
      <c r="Q1031">
        <v>0.36452050000000003</v>
      </c>
      <c r="R1031">
        <v>-0.92933869999999996</v>
      </c>
      <c r="S1031">
        <v>-4.6340939999999997E-2</v>
      </c>
      <c r="T1031">
        <v>-0.2549882</v>
      </c>
      <c r="U1031">
        <v>-3.3257140000000001</v>
      </c>
      <c r="V1031">
        <v>4.5414570000000001E-2</v>
      </c>
      <c r="W1031">
        <v>0.3742684</v>
      </c>
      <c r="X1031">
        <v>0.92620769999999997</v>
      </c>
      <c r="Y1031">
        <v>0.12260450000000001</v>
      </c>
      <c r="Z1031">
        <v>6.4651879999999995E-2</v>
      </c>
      <c r="AA1031">
        <v>0.99034759999999999</v>
      </c>
      <c r="AB1031">
        <v>26</v>
      </c>
      <c r="AC1031">
        <v>-4.0999999999996803E-2</v>
      </c>
      <c r="AD1031">
        <v>-7.0269000000000095E-2</v>
      </c>
      <c r="AE1031">
        <v>-0.61379999999996904</v>
      </c>
      <c r="AF1031">
        <v>0.10618539082261801</v>
      </c>
      <c r="AG1031">
        <v>-7.0269000000000095E-2</v>
      </c>
      <c r="AH1031">
        <v>0.59788845990939798</v>
      </c>
      <c r="AI1031">
        <v>96.600782840757304</v>
      </c>
      <c r="AJ1031">
        <v>79.929238976861001</v>
      </c>
      <c r="AK1031">
        <v>0.61129672015968095</v>
      </c>
      <c r="AL1031">
        <v>68.020897541959499</v>
      </c>
      <c r="AM1031">
        <v>87.192874898038497</v>
      </c>
      <c r="AN1031">
        <v>1.00000001097306</v>
      </c>
    </row>
    <row r="1032" spans="1:40" x14ac:dyDescent="0.25">
      <c r="A1032" t="str">
        <f>"20190304164615588"</f>
        <v>20190304164615588</v>
      </c>
      <c r="B1032" t="str">
        <f>"1551689175578843"</f>
        <v>1551689175578843</v>
      </c>
      <c r="C1032" t="s">
        <v>40</v>
      </c>
      <c r="D1032">
        <v>4.6872379999999998</v>
      </c>
      <c r="E1032">
        <v>0.53875859999999998</v>
      </c>
      <c r="F1032" t="s">
        <v>41</v>
      </c>
      <c r="G1032">
        <v>-192.83179999999999</v>
      </c>
      <c r="H1032">
        <v>1.044586</v>
      </c>
      <c r="I1032">
        <v>346.79629999999997</v>
      </c>
      <c r="J1032">
        <v>-192.79769999999999</v>
      </c>
      <c r="K1032">
        <v>1.1080049999999999</v>
      </c>
      <c r="L1032">
        <v>347.38040000000001</v>
      </c>
      <c r="M1032">
        <v>0.104871699999999</v>
      </c>
      <c r="N1032">
        <v>-1.075687E-2</v>
      </c>
      <c r="O1032">
        <v>-0.99442759999999997</v>
      </c>
      <c r="P1032">
        <v>6.3287079999999996E-2</v>
      </c>
      <c r="Q1032">
        <v>0.36529499999999998</v>
      </c>
      <c r="R1032">
        <v>-0.92873810000000001</v>
      </c>
      <c r="S1032">
        <v>-3.7948610000000001E-2</v>
      </c>
      <c r="T1032">
        <v>-0.24825539999999999</v>
      </c>
      <c r="U1032">
        <v>-3.3278810000000001</v>
      </c>
      <c r="V1032">
        <v>3.6951339999999999E-2</v>
      </c>
      <c r="W1032">
        <v>0.3750443</v>
      </c>
      <c r="X1032">
        <v>0.92627009999999999</v>
      </c>
      <c r="Y1032">
        <v>0.1161335</v>
      </c>
      <c r="Z1032">
        <v>6.2785129999999995E-2</v>
      </c>
      <c r="AA1032">
        <v>0.99124719999999999</v>
      </c>
      <c r="AB1032">
        <v>26</v>
      </c>
      <c r="AC1032">
        <v>-3.40999999999951E-2</v>
      </c>
      <c r="AD1032">
        <v>-6.3418999999999795E-2</v>
      </c>
      <c r="AE1032">
        <v>-0.58410000000003404</v>
      </c>
      <c r="AF1032">
        <v>9.40659016325609E-2</v>
      </c>
      <c r="AG1032">
        <v>-6.3418999999999795E-2</v>
      </c>
      <c r="AH1032">
        <v>0.57059868234866595</v>
      </c>
      <c r="AI1032">
        <v>96.258303458690705</v>
      </c>
      <c r="AJ1032">
        <v>80.638716883459296</v>
      </c>
      <c r="AK1032">
        <v>0.58176732437374001</v>
      </c>
      <c r="AL1032">
        <v>67.972948276465601</v>
      </c>
      <c r="AM1032">
        <v>87.715532645298396</v>
      </c>
      <c r="AN1032">
        <v>0.99999996332214702</v>
      </c>
    </row>
    <row r="1033" spans="1:40" x14ac:dyDescent="0.25">
      <c r="A1033" t="str">
        <f>"20190304164615613"</f>
        <v>20190304164615613</v>
      </c>
      <c r="B1033" t="str">
        <f>"1551689175609099"</f>
        <v>1551689175609099</v>
      </c>
      <c r="C1033" t="s">
        <v>40</v>
      </c>
      <c r="D1033">
        <v>4.625972</v>
      </c>
      <c r="E1033">
        <v>0.53869250000000002</v>
      </c>
      <c r="F1033" t="s">
        <v>41</v>
      </c>
      <c r="G1033">
        <v>-192.80410000000001</v>
      </c>
      <c r="H1033">
        <v>1.047304</v>
      </c>
      <c r="I1033">
        <v>346.56459999999998</v>
      </c>
      <c r="J1033">
        <v>-192.77160000000001</v>
      </c>
      <c r="K1033">
        <v>1.1082289999999999</v>
      </c>
      <c r="L1033">
        <v>347.08710000000002</v>
      </c>
      <c r="M1033">
        <v>0.1008307</v>
      </c>
      <c r="N1033">
        <v>-1.06607E-2</v>
      </c>
      <c r="O1033">
        <v>-0.99484649999999997</v>
      </c>
      <c r="P1033">
        <v>7.0094619999999996E-2</v>
      </c>
      <c r="Q1033">
        <v>0.36556309999999997</v>
      </c>
      <c r="R1033">
        <v>-0.92814370000000002</v>
      </c>
      <c r="S1033">
        <v>-2.575684E-2</v>
      </c>
      <c r="T1033">
        <v>-0.2478207</v>
      </c>
      <c r="U1033">
        <v>-3.3294679999999999</v>
      </c>
      <c r="V1033">
        <v>2.613859E-2</v>
      </c>
      <c r="W1033">
        <v>0.37530989999999997</v>
      </c>
      <c r="X1033">
        <v>0.92653079999999999</v>
      </c>
      <c r="Y1033">
        <v>0.1084643</v>
      </c>
      <c r="Z1033">
        <v>6.2800419999999996E-2</v>
      </c>
      <c r="AA1033">
        <v>0.99211470000000002</v>
      </c>
      <c r="AB1033">
        <v>26</v>
      </c>
      <c r="AC1033">
        <v>-3.2499999999998801E-2</v>
      </c>
      <c r="AD1033">
        <v>-6.0925000000000097E-2</v>
      </c>
      <c r="AE1033">
        <v>-0.52250000000003605</v>
      </c>
      <c r="AF1033">
        <v>8.3885254298561196E-2</v>
      </c>
      <c r="AG1033">
        <v>-6.0925000000000097E-2</v>
      </c>
      <c r="AH1033">
        <v>0.50965693648203902</v>
      </c>
      <c r="AI1033">
        <v>96.727191606623407</v>
      </c>
      <c r="AJ1033">
        <v>80.653395421302406</v>
      </c>
      <c r="AK1033">
        <v>0.52009497634373603</v>
      </c>
      <c r="AL1033">
        <v>67.956532975020195</v>
      </c>
      <c r="AM1033">
        <v>88.384043174502906</v>
      </c>
      <c r="AN1033">
        <v>1.00000003513691</v>
      </c>
    </row>
    <row r="1034" spans="1:40" x14ac:dyDescent="0.25">
      <c r="A1034" t="str">
        <f>"20190304164615633"</f>
        <v>20190304164615633</v>
      </c>
      <c r="B1034" t="str">
        <f>"1551689175628620"</f>
        <v>1551689175628620</v>
      </c>
      <c r="C1034" t="s">
        <v>40</v>
      </c>
      <c r="D1034">
        <v>4.6293350000000002</v>
      </c>
      <c r="E1034">
        <v>0.53871990000000003</v>
      </c>
      <c r="F1034" t="s">
        <v>41</v>
      </c>
      <c r="G1034">
        <v>-192.77440000000001</v>
      </c>
      <c r="H1034">
        <v>1.0513570000000001</v>
      </c>
      <c r="I1034">
        <v>346.33159999999998</v>
      </c>
      <c r="J1034">
        <v>-192.75139999999999</v>
      </c>
      <c r="K1034">
        <v>1.1084080000000001</v>
      </c>
      <c r="L1034">
        <v>346.85480000000001</v>
      </c>
      <c r="M1034">
        <v>9.791648E-2</v>
      </c>
      <c r="N1034">
        <v>-1.058423E-2</v>
      </c>
      <c r="O1034">
        <v>-0.99513850000000004</v>
      </c>
      <c r="P1034">
        <v>7.6229690000000003E-2</v>
      </c>
      <c r="Q1034">
        <v>0.36773699999999998</v>
      </c>
      <c r="R1034">
        <v>-0.92680050000000003</v>
      </c>
      <c r="S1034">
        <v>-1.164246E-2</v>
      </c>
      <c r="T1034">
        <v>-0.25102099999999999</v>
      </c>
      <c r="U1034">
        <v>-3.3319700000000001</v>
      </c>
      <c r="V1034">
        <v>1.7028829999999998E-2</v>
      </c>
      <c r="W1034">
        <v>0.3774672</v>
      </c>
      <c r="X1034">
        <v>0.92586639999999998</v>
      </c>
      <c r="Y1034">
        <v>0.1013447</v>
      </c>
      <c r="Z1034">
        <v>6.3829209999999997E-2</v>
      </c>
      <c r="AA1034">
        <v>0.99280170000000001</v>
      </c>
      <c r="AB1034">
        <v>26</v>
      </c>
      <c r="AC1034">
        <v>-2.3000000000024501E-2</v>
      </c>
      <c r="AD1034">
        <v>-5.7051000000000102E-2</v>
      </c>
      <c r="AE1034">
        <v>-0.52320000000003097</v>
      </c>
      <c r="AF1034">
        <v>7.3252913117203805E-2</v>
      </c>
      <c r="AG1034">
        <v>-5.7051000000000102E-2</v>
      </c>
      <c r="AH1034">
        <v>0.51235308979454497</v>
      </c>
      <c r="AI1034">
        <v>96.290319432411707</v>
      </c>
      <c r="AJ1034">
        <v>81.863364464319204</v>
      </c>
      <c r="AK1034">
        <v>0.52069808382898197</v>
      </c>
      <c r="AL1034">
        <v>67.823117509468801</v>
      </c>
      <c r="AM1034">
        <v>88.946316558704595</v>
      </c>
      <c r="AN1034">
        <v>1.00000002938798</v>
      </c>
    </row>
    <row r="1035" spans="1:40" x14ac:dyDescent="0.25">
      <c r="A1035" t="str">
        <f>"20190304164615651"</f>
        <v>20190304164615651</v>
      </c>
      <c r="B1035" t="str">
        <f>"1551689175639357"</f>
        <v>1551689175639357</v>
      </c>
      <c r="C1035" t="s">
        <v>40</v>
      </c>
      <c r="D1035">
        <v>4.6485699999999897</v>
      </c>
      <c r="E1035">
        <v>0.53838050000000004</v>
      </c>
      <c r="F1035" t="s">
        <v>41</v>
      </c>
      <c r="G1035">
        <v>-192.75069999999999</v>
      </c>
      <c r="H1035">
        <v>1.053283</v>
      </c>
      <c r="I1035">
        <v>346.09910000000002</v>
      </c>
      <c r="J1035">
        <v>-192.73400000000001</v>
      </c>
      <c r="K1035">
        <v>1.108562</v>
      </c>
      <c r="L1035">
        <v>346.65</v>
      </c>
      <c r="M1035">
        <v>9.5531809999999995E-2</v>
      </c>
      <c r="N1035">
        <v>-1.051735E-2</v>
      </c>
      <c r="O1035">
        <v>-0.99537070000000005</v>
      </c>
      <c r="P1035">
        <v>7.8906279999999995E-2</v>
      </c>
      <c r="Q1035">
        <v>0.37222090000000002</v>
      </c>
      <c r="R1035">
        <v>-0.92478380000000004</v>
      </c>
      <c r="S1035">
        <v>3.0822750000000002E-3</v>
      </c>
      <c r="T1035">
        <v>-0.24310390000000001</v>
      </c>
      <c r="U1035">
        <v>-3.3331599999999999</v>
      </c>
      <c r="V1035">
        <v>1.182308E-2</v>
      </c>
      <c r="W1035">
        <v>0.38190439999999998</v>
      </c>
      <c r="X1035">
        <v>0.92412620000000001</v>
      </c>
      <c r="Y1035">
        <v>9.4576220000000003E-2</v>
      </c>
      <c r="Z1035">
        <v>6.1587009999999998E-2</v>
      </c>
      <c r="AA1035">
        <v>0.99361080000000002</v>
      </c>
      <c r="AB1035">
        <v>26</v>
      </c>
      <c r="AC1035">
        <v>-1.66999999999859E-2</v>
      </c>
      <c r="AD1035">
        <v>-5.5279000000000002E-2</v>
      </c>
      <c r="AE1035">
        <v>-0.55089999999995598</v>
      </c>
      <c r="AF1035">
        <v>6.8565271567414196E-2</v>
      </c>
      <c r="AG1035">
        <v>-5.5279000000000002E-2</v>
      </c>
      <c r="AH1035">
        <v>0.541339047836778</v>
      </c>
      <c r="AI1035">
        <v>95.784667449826699</v>
      </c>
      <c r="AJ1035">
        <v>82.781431391893094</v>
      </c>
      <c r="AK1035">
        <v>0.54845686158433904</v>
      </c>
      <c r="AL1035">
        <v>67.5483043114792</v>
      </c>
      <c r="AM1035">
        <v>89.267009604767495</v>
      </c>
      <c r="AN1035">
        <v>0.99999999474324297</v>
      </c>
    </row>
    <row r="1036" spans="1:40" x14ac:dyDescent="0.25">
      <c r="A1036" t="str">
        <f>"20190304164615673"</f>
        <v>20190304164615673</v>
      </c>
      <c r="B1036" t="str">
        <f>"1551689175668637"</f>
        <v>1551689175668637</v>
      </c>
      <c r="C1036" t="s">
        <v>40</v>
      </c>
      <c r="D1036">
        <v>4.6308470000000002</v>
      </c>
      <c r="E1036">
        <v>0.53906109999999996</v>
      </c>
      <c r="F1036" t="s">
        <v>41</v>
      </c>
      <c r="G1036">
        <v>-192.72839999999999</v>
      </c>
      <c r="H1036">
        <v>1.0390410000000001</v>
      </c>
      <c r="I1036">
        <v>345.87810000000002</v>
      </c>
      <c r="J1036">
        <v>-192.7122</v>
      </c>
      <c r="K1036">
        <v>1.1087549999999999</v>
      </c>
      <c r="L1036">
        <v>346.38799999999998</v>
      </c>
      <c r="M1036">
        <v>9.2677700000000002E-2</v>
      </c>
      <c r="N1036">
        <v>-1.043531E-2</v>
      </c>
      <c r="O1036">
        <v>-0.99564160000000002</v>
      </c>
      <c r="P1036">
        <v>8.1507109999999994E-2</v>
      </c>
      <c r="Q1036">
        <v>0.37577199999999999</v>
      </c>
      <c r="R1036">
        <v>-0.92312099999999997</v>
      </c>
      <c r="S1036">
        <v>2.47345E-2</v>
      </c>
      <c r="T1036">
        <v>-0.3029984</v>
      </c>
      <c r="U1036">
        <v>-3.3637999999999999</v>
      </c>
      <c r="V1036">
        <v>6.252578E-3</v>
      </c>
      <c r="W1036">
        <v>0.38539639999999997</v>
      </c>
      <c r="X1036">
        <v>0.92272989999999999</v>
      </c>
      <c r="Y1036">
        <v>8.5336339999999997E-2</v>
      </c>
      <c r="Z1036">
        <v>7.8575309999999995E-2</v>
      </c>
      <c r="AA1036">
        <v>0.99324900000000005</v>
      </c>
      <c r="AB1036">
        <v>26</v>
      </c>
      <c r="AC1036">
        <v>-1.6199999999997699E-2</v>
      </c>
      <c r="AD1036">
        <v>-6.9713999999999998E-2</v>
      </c>
      <c r="AE1036">
        <v>-0.50990000000001601</v>
      </c>
      <c r="AF1036">
        <v>6.2227181212361898E-2</v>
      </c>
      <c r="AG1036">
        <v>-6.9713999999999998E-2</v>
      </c>
      <c r="AH1036">
        <v>0.49692432615030102</v>
      </c>
      <c r="AI1036">
        <v>97.924862534144495</v>
      </c>
      <c r="AJ1036">
        <v>82.862309802050405</v>
      </c>
      <c r="AK1036">
        <v>0.50563430441136703</v>
      </c>
      <c r="AL1036">
        <v>67.331647919292095</v>
      </c>
      <c r="AM1036">
        <v>89.611759792887597</v>
      </c>
      <c r="AN1036">
        <v>0.99999997410930697</v>
      </c>
    </row>
    <row r="1037" spans="1:40" x14ac:dyDescent="0.25">
      <c r="A1037" t="str">
        <f>"20190304164615695"</f>
        <v>20190304164615695</v>
      </c>
      <c r="B1037" t="str">
        <f>"1551689175689132"</f>
        <v>1551689175689132</v>
      </c>
      <c r="C1037" t="s">
        <v>40</v>
      </c>
      <c r="D1037">
        <v>4.6104459999999996</v>
      </c>
      <c r="E1037">
        <v>0.53948879999999999</v>
      </c>
      <c r="F1037" t="s">
        <v>41</v>
      </c>
      <c r="G1037">
        <v>-192.70490000000001</v>
      </c>
      <c r="H1037">
        <v>1.04325</v>
      </c>
      <c r="I1037">
        <v>345.64449999999999</v>
      </c>
      <c r="J1037">
        <v>-192.6919</v>
      </c>
      <c r="K1037">
        <v>1.1089249999999999</v>
      </c>
      <c r="L1037">
        <v>346.1388</v>
      </c>
      <c r="M1037">
        <v>9.017733E-2</v>
      </c>
      <c r="N1037">
        <v>-1.036371E-2</v>
      </c>
      <c r="O1037">
        <v>-0.99587190000000003</v>
      </c>
      <c r="P1037">
        <v>8.5899840000000005E-2</v>
      </c>
      <c r="Q1037">
        <v>0.37636219999999998</v>
      </c>
      <c r="R1037">
        <v>-0.92248189999999997</v>
      </c>
      <c r="S1037">
        <v>3.3309940000000003E-2</v>
      </c>
      <c r="T1037">
        <v>-0.29678729999999998</v>
      </c>
      <c r="U1037">
        <v>-3.3676759999999999</v>
      </c>
      <c r="V1037">
        <v>-6.609955E-4</v>
      </c>
      <c r="W1037">
        <v>0.38595069999999998</v>
      </c>
      <c r="X1037">
        <v>0.92251910000000004</v>
      </c>
      <c r="Y1037">
        <v>8.0315250000000005E-2</v>
      </c>
      <c r="Z1037">
        <v>7.6784539999999998E-2</v>
      </c>
      <c r="AA1037">
        <v>0.99380760000000001</v>
      </c>
      <c r="AB1037">
        <v>26</v>
      </c>
      <c r="AC1037">
        <v>-1.30000000000052E-2</v>
      </c>
      <c r="AD1037">
        <v>-6.56749999999999E-2</v>
      </c>
      <c r="AE1037">
        <v>-0.49430000000000901</v>
      </c>
      <c r="AF1037">
        <v>5.65268920583109E-2</v>
      </c>
      <c r="AG1037">
        <v>-6.56749999999999E-2</v>
      </c>
      <c r="AH1037">
        <v>0.48260004299910098</v>
      </c>
      <c r="AI1037">
        <v>97.697549945123896</v>
      </c>
      <c r="AJ1037">
        <v>83.319391760994193</v>
      </c>
      <c r="AK1037">
        <v>0.49031754675261802</v>
      </c>
      <c r="AL1037">
        <v>67.297224869107197</v>
      </c>
      <c r="AM1037">
        <v>90.041053075156995</v>
      </c>
      <c r="AN1037">
        <v>0.99999993480517302</v>
      </c>
    </row>
    <row r="1038" spans="1:40" x14ac:dyDescent="0.25">
      <c r="A1038" t="str">
        <f>"20190304164615717"</f>
        <v>20190304164615717</v>
      </c>
      <c r="B1038" t="str">
        <f>"1551689175708652"</f>
        <v>1551689175708652</v>
      </c>
      <c r="C1038" t="s">
        <v>40</v>
      </c>
      <c r="D1038">
        <v>4.6116859999999997</v>
      </c>
      <c r="E1038">
        <v>0.53959040000000003</v>
      </c>
      <c r="F1038" t="s">
        <v>41</v>
      </c>
      <c r="G1038">
        <v>-192.68109999999999</v>
      </c>
      <c r="H1038">
        <v>1.024583</v>
      </c>
      <c r="I1038">
        <v>345.18770000000001</v>
      </c>
      <c r="J1038">
        <v>-192.6711</v>
      </c>
      <c r="K1038">
        <v>1.109064</v>
      </c>
      <c r="L1038">
        <v>345.87819999999999</v>
      </c>
      <c r="M1038">
        <v>8.777219E-2</v>
      </c>
      <c r="N1038">
        <v>-1.0291130000000001E-2</v>
      </c>
      <c r="O1038">
        <v>-0.99608759999999996</v>
      </c>
      <c r="P1038">
        <v>9.0590329999999997E-2</v>
      </c>
      <c r="Q1038">
        <v>0.37666549999999999</v>
      </c>
      <c r="R1038">
        <v>-0.92190930000000004</v>
      </c>
      <c r="S1038">
        <v>3.8391109999999999E-2</v>
      </c>
      <c r="T1038">
        <v>-0.29892059999999998</v>
      </c>
      <c r="U1038">
        <v>-3.370514</v>
      </c>
      <c r="V1038">
        <v>-7.7563119999999996E-3</v>
      </c>
      <c r="W1038">
        <v>0.38621290000000003</v>
      </c>
      <c r="X1038">
        <v>0.92237709999999995</v>
      </c>
      <c r="Y1038">
        <v>7.6420489999999994E-2</v>
      </c>
      <c r="Z1038">
        <v>7.7447160000000001E-2</v>
      </c>
      <c r="AA1038">
        <v>0.99406329999999998</v>
      </c>
      <c r="AB1038">
        <v>26</v>
      </c>
      <c r="AC1038">
        <v>-9.9999999999908998E-3</v>
      </c>
      <c r="AD1038">
        <v>-8.4481000000000001E-2</v>
      </c>
      <c r="AE1038">
        <v>-0.69049999999998501</v>
      </c>
      <c r="AF1038">
        <v>6.9530715107302896E-2</v>
      </c>
      <c r="AG1038">
        <v>-8.4481000000000001E-2</v>
      </c>
      <c r="AH1038">
        <v>0.67682775406074702</v>
      </c>
      <c r="AI1038">
        <v>97.077938413914694</v>
      </c>
      <c r="AJ1038">
        <v>84.134563550217393</v>
      </c>
      <c r="AK1038">
        <v>0.68561459171406802</v>
      </c>
      <c r="AL1038">
        <v>67.280941710482907</v>
      </c>
      <c r="AM1038">
        <v>90.481791522929498</v>
      </c>
      <c r="AN1038">
        <v>1.00000003955332</v>
      </c>
    </row>
    <row r="1039" spans="1:40" x14ac:dyDescent="0.25">
      <c r="A1039" t="str">
        <f>"20190304164615739"</f>
        <v>20190304164615739</v>
      </c>
      <c r="B1039" t="str">
        <f>"1551689175729148"</f>
        <v>1551689175729148</v>
      </c>
      <c r="C1039" t="s">
        <v>40</v>
      </c>
      <c r="D1039">
        <v>4.6117419999999996</v>
      </c>
      <c r="E1039">
        <v>0.54067339999999997</v>
      </c>
      <c r="F1039" t="s">
        <v>41</v>
      </c>
      <c r="G1039">
        <v>-192.65870000000001</v>
      </c>
      <c r="H1039">
        <v>1.0268170000000001</v>
      </c>
      <c r="I1039">
        <v>344.95400000000001</v>
      </c>
      <c r="J1039">
        <v>-192.65020000000001</v>
      </c>
      <c r="K1039">
        <v>1.1091599999999999</v>
      </c>
      <c r="L1039">
        <v>345.6114</v>
      </c>
      <c r="M1039">
        <v>8.5473339999999995E-2</v>
      </c>
      <c r="N1039">
        <v>-1.0218990000000001E-2</v>
      </c>
      <c r="O1039">
        <v>-0.99628819999999996</v>
      </c>
      <c r="P1039">
        <v>9.2287250000000001E-2</v>
      </c>
      <c r="Q1039">
        <v>0.37728240000000002</v>
      </c>
      <c r="R1039">
        <v>-0.92148859999999999</v>
      </c>
      <c r="S1039">
        <v>4.5913700000000002E-2</v>
      </c>
      <c r="T1039">
        <v>-0.30034860000000002</v>
      </c>
      <c r="U1039">
        <v>-3.3723139999999998</v>
      </c>
      <c r="V1039">
        <v>-1.1719139999999999E-2</v>
      </c>
      <c r="W1039">
        <v>0.38677270000000002</v>
      </c>
      <c r="X1039">
        <v>0.92210060000000005</v>
      </c>
      <c r="Y1039">
        <v>7.1910730000000006E-2</v>
      </c>
      <c r="Z1039">
        <v>7.7929440000000003E-2</v>
      </c>
      <c r="AA1039">
        <v>0.99436210000000003</v>
      </c>
      <c r="AB1039">
        <v>26</v>
      </c>
      <c r="AC1039">
        <v>-8.4999999999979502E-3</v>
      </c>
      <c r="AD1039">
        <v>-8.2343E-2</v>
      </c>
      <c r="AE1039">
        <v>-0.65739999999999499</v>
      </c>
      <c r="AF1039">
        <v>6.3663345840527699E-2</v>
      </c>
      <c r="AG1039">
        <v>-8.2343E-2</v>
      </c>
      <c r="AH1039">
        <v>0.64416285313796595</v>
      </c>
      <c r="AI1039">
        <v>97.249642041800101</v>
      </c>
      <c r="AJ1039">
        <v>84.355722464624407</v>
      </c>
      <c r="AK1039">
        <v>0.65251756498615099</v>
      </c>
      <c r="AL1039">
        <v>67.246163893971399</v>
      </c>
      <c r="AM1039">
        <v>90.728143017208495</v>
      </c>
      <c r="AN1039">
        <v>0.99999998811399404</v>
      </c>
    </row>
    <row r="1040" spans="1:40" x14ac:dyDescent="0.25">
      <c r="A1040" t="str">
        <f>"20190304164615763"</f>
        <v>20190304164615763</v>
      </c>
      <c r="B1040" t="str">
        <f>"1551689175759403"</f>
        <v>1551689175759403</v>
      </c>
      <c r="C1040" t="s">
        <v>40</v>
      </c>
      <c r="D1040">
        <v>4.6253129999999896</v>
      </c>
      <c r="E1040">
        <v>0.54084600000000005</v>
      </c>
      <c r="F1040" t="s">
        <v>41</v>
      </c>
      <c r="G1040">
        <v>-192.63849999999999</v>
      </c>
      <c r="H1040">
        <v>1.019387</v>
      </c>
      <c r="I1040">
        <v>344.72460000000001</v>
      </c>
      <c r="J1040">
        <v>-192.63069999999999</v>
      </c>
      <c r="K1040">
        <v>1.1092310000000001</v>
      </c>
      <c r="L1040">
        <v>345.3562</v>
      </c>
      <c r="M1040">
        <v>8.3400569999999993E-2</v>
      </c>
      <c r="N1040">
        <v>-1.014934E-2</v>
      </c>
      <c r="O1040">
        <v>-0.99646460000000003</v>
      </c>
      <c r="P1040">
        <v>9.3477710000000006E-2</v>
      </c>
      <c r="Q1040">
        <v>0.37707089999999999</v>
      </c>
      <c r="R1040">
        <v>-0.92145529999999998</v>
      </c>
      <c r="S1040">
        <v>4.4403079999999998E-2</v>
      </c>
      <c r="T1040">
        <v>-0.34333900000000001</v>
      </c>
      <c r="U1040">
        <v>-3.391785</v>
      </c>
      <c r="V1040">
        <v>-1.4905109999999999E-2</v>
      </c>
      <c r="W1040">
        <v>0.38650659999999998</v>
      </c>
      <c r="X1040">
        <v>0.92216620000000005</v>
      </c>
      <c r="Y1040">
        <v>7.0366100000000001E-2</v>
      </c>
      <c r="Z1040">
        <v>8.9960250000000005E-2</v>
      </c>
      <c r="AA1040">
        <v>0.99345649999999996</v>
      </c>
      <c r="AB1040">
        <v>26</v>
      </c>
      <c r="AC1040">
        <v>-7.80000000000313E-3</v>
      </c>
      <c r="AD1040">
        <v>-8.9843999999999799E-2</v>
      </c>
      <c r="AE1040">
        <v>-0.63159999999999095</v>
      </c>
      <c r="AF1040">
        <v>5.9252559452817898E-2</v>
      </c>
      <c r="AG1040">
        <v>-8.9843999999999799E-2</v>
      </c>
      <c r="AH1040">
        <v>0.61628051907648596</v>
      </c>
      <c r="AI1040">
        <v>98.256845276788596</v>
      </c>
      <c r="AJ1040">
        <v>84.508152872426805</v>
      </c>
      <c r="AK1040">
        <v>0.62560729561834005</v>
      </c>
      <c r="AL1040">
        <v>67.262696448029601</v>
      </c>
      <c r="AM1040">
        <v>90.925999607681007</v>
      </c>
      <c r="AN1040">
        <v>1.0000000072850499</v>
      </c>
    </row>
    <row r="1041" spans="1:40" x14ac:dyDescent="0.25">
      <c r="A1041" t="str">
        <f>"20190304164615785"</f>
        <v>20190304164615785</v>
      </c>
      <c r="B1041" t="str">
        <f>"1551689175778924"</f>
        <v>1551689175778924</v>
      </c>
      <c r="C1041" t="s">
        <v>40</v>
      </c>
      <c r="D1041">
        <v>4.6026509999999998</v>
      </c>
      <c r="E1041">
        <v>0.541045</v>
      </c>
      <c r="F1041" t="s">
        <v>41</v>
      </c>
      <c r="G1041">
        <v>-192.6206</v>
      </c>
      <c r="H1041">
        <v>1.042198</v>
      </c>
      <c r="I1041">
        <v>344.47980000000001</v>
      </c>
      <c r="J1041">
        <v>-192.60980000000001</v>
      </c>
      <c r="K1041">
        <v>1.1092839999999999</v>
      </c>
      <c r="L1041">
        <v>345.07780000000002</v>
      </c>
      <c r="M1041">
        <v>8.1255649999999999E-2</v>
      </c>
      <c r="N1041">
        <v>-1.006957E-2</v>
      </c>
      <c r="O1041">
        <v>-0.99664240000000004</v>
      </c>
      <c r="P1041">
        <v>9.5526219999999995E-2</v>
      </c>
      <c r="Q1041">
        <v>0.37701899999999999</v>
      </c>
      <c r="R1041">
        <v>-0.92126620000000004</v>
      </c>
      <c r="S1041">
        <v>3.9184570000000002E-2</v>
      </c>
      <c r="T1041">
        <v>-0.25685669999999999</v>
      </c>
      <c r="U1041">
        <v>-3.3568419999999999</v>
      </c>
      <c r="V1041">
        <v>-1.9013390000000002E-2</v>
      </c>
      <c r="W1041">
        <v>0.38639240000000002</v>
      </c>
      <c r="X1041">
        <v>0.92213849999999997</v>
      </c>
      <c r="Y1041">
        <v>6.9615330000000003E-2</v>
      </c>
      <c r="Z1041">
        <v>6.5781909999999999E-2</v>
      </c>
      <c r="AA1041">
        <v>0.99540260000000003</v>
      </c>
      <c r="AB1041">
        <v>26</v>
      </c>
      <c r="AC1041">
        <v>-1.0799999999989001E-2</v>
      </c>
      <c r="AD1041">
        <v>-6.7085999999999896E-2</v>
      </c>
      <c r="AE1041">
        <v>-0.59800000000001297</v>
      </c>
      <c r="AF1041">
        <v>5.86201198911653E-2</v>
      </c>
      <c r="AG1041">
        <v>-6.7085999999999896E-2</v>
      </c>
      <c r="AH1041">
        <v>0.58775021803553196</v>
      </c>
      <c r="AI1041">
        <v>96.479705935802897</v>
      </c>
      <c r="AJ1041">
        <v>84.304358080093195</v>
      </c>
      <c r="AK1041">
        <v>0.59446376563493697</v>
      </c>
      <c r="AL1041">
        <v>67.269790713335794</v>
      </c>
      <c r="AM1041">
        <v>91.181202890645906</v>
      </c>
      <c r="AN1041">
        <v>1.00000000447965</v>
      </c>
    </row>
    <row r="1042" spans="1:40" x14ac:dyDescent="0.25">
      <c r="A1042" t="str">
        <f>"20190304164615808"</f>
        <v>20190304164615808</v>
      </c>
      <c r="B1042" t="str">
        <f>"1551689175799420"</f>
        <v>1551689175799420</v>
      </c>
      <c r="C1042" t="s">
        <v>40</v>
      </c>
      <c r="D1042">
        <v>4.6067309999999999</v>
      </c>
      <c r="E1042">
        <v>0.54123929999999998</v>
      </c>
      <c r="F1042" t="s">
        <v>41</v>
      </c>
      <c r="G1042">
        <v>-192.60069999999999</v>
      </c>
      <c r="H1042">
        <v>1.045304</v>
      </c>
      <c r="I1042">
        <v>344.24439999999998</v>
      </c>
      <c r="J1042">
        <v>-192.59119999999999</v>
      </c>
      <c r="K1042">
        <v>1.1093090000000001</v>
      </c>
      <c r="L1042">
        <v>344.82220000000001</v>
      </c>
      <c r="M1042">
        <v>7.9363279999999994E-2</v>
      </c>
      <c r="N1042">
        <v>-9.9921360000000004E-3</v>
      </c>
      <c r="O1042">
        <v>-0.99679580000000001</v>
      </c>
      <c r="P1042">
        <v>9.6905409999999997E-2</v>
      </c>
      <c r="Q1042">
        <v>0.37591249999999998</v>
      </c>
      <c r="R1042">
        <v>-0.92157469999999997</v>
      </c>
      <c r="S1042">
        <v>3.6926269999999997E-2</v>
      </c>
      <c r="T1042">
        <v>-0.25792130000000002</v>
      </c>
      <c r="U1042">
        <v>-3.3580930000000002</v>
      </c>
      <c r="V1042">
        <v>-2.2170240000000001E-2</v>
      </c>
      <c r="W1042">
        <v>0.38522610000000002</v>
      </c>
      <c r="X1042">
        <v>0.92255589999999998</v>
      </c>
      <c r="Y1042">
        <v>6.8395819999999996E-2</v>
      </c>
      <c r="Z1042">
        <v>6.6164210000000001E-2</v>
      </c>
      <c r="AA1042">
        <v>0.99546190000000001</v>
      </c>
      <c r="AB1042">
        <v>26</v>
      </c>
      <c r="AC1042">
        <v>-9.5000000000027198E-3</v>
      </c>
      <c r="AD1042">
        <v>-6.4005000000000006E-2</v>
      </c>
      <c r="AE1042">
        <v>-0.57780000000002396</v>
      </c>
      <c r="AF1042">
        <v>5.4657904067826897E-2</v>
      </c>
      <c r="AG1042">
        <v>-6.4005000000000006E-2</v>
      </c>
      <c r="AH1042">
        <v>0.56825228644634196</v>
      </c>
      <c r="AI1042">
        <v>96.397137515885305</v>
      </c>
      <c r="AJ1042">
        <v>84.505851080293994</v>
      </c>
      <c r="AK1042">
        <v>0.57445172778361697</v>
      </c>
      <c r="AL1042">
        <v>67.3422231307337</v>
      </c>
      <c r="AM1042">
        <v>91.376628495122802</v>
      </c>
      <c r="AN1042">
        <v>1.0000000281438299</v>
      </c>
    </row>
    <row r="1043" spans="1:40" x14ac:dyDescent="0.25">
      <c r="A1043" t="str">
        <f>"20190304164615830"</f>
        <v>20190304164615830</v>
      </c>
      <c r="B1043" t="str">
        <f>"1551689175818940"</f>
        <v>1551689175818940</v>
      </c>
      <c r="C1043" t="s">
        <v>40</v>
      </c>
      <c r="D1043">
        <v>4.6184029999999998</v>
      </c>
      <c r="E1043">
        <v>0.54123399999999999</v>
      </c>
      <c r="F1043" t="s">
        <v>41</v>
      </c>
      <c r="G1043">
        <v>-192.58320000000001</v>
      </c>
      <c r="H1043">
        <v>1.045431</v>
      </c>
      <c r="I1043">
        <v>344.00990000000002</v>
      </c>
      <c r="J1043">
        <v>-192.57210000000001</v>
      </c>
      <c r="K1043">
        <v>1.1093379999999999</v>
      </c>
      <c r="L1043">
        <v>344.55529999999999</v>
      </c>
      <c r="M1043">
        <v>7.743295E-2</v>
      </c>
      <c r="N1043">
        <v>-9.9075020000000003E-3</v>
      </c>
      <c r="O1043">
        <v>-0.99694839999999996</v>
      </c>
      <c r="P1043">
        <v>9.8382029999999995E-2</v>
      </c>
      <c r="Q1043">
        <v>0.37498219999999999</v>
      </c>
      <c r="R1043">
        <v>-0.92179699999999998</v>
      </c>
      <c r="S1043">
        <v>3.3752440000000002E-2</v>
      </c>
      <c r="T1043">
        <v>-0.26437450000000001</v>
      </c>
      <c r="U1043">
        <v>-3.3595890000000002</v>
      </c>
      <c r="V1043">
        <v>-2.54571E-2</v>
      </c>
      <c r="W1043">
        <v>0.3842296</v>
      </c>
      <c r="X1043">
        <v>0.9228866</v>
      </c>
      <c r="Y1043">
        <v>6.7410479999999995E-2</v>
      </c>
      <c r="Z1043">
        <v>6.8128939999999999E-2</v>
      </c>
      <c r="AA1043">
        <v>0.99539659999999996</v>
      </c>
      <c r="AB1043">
        <v>26</v>
      </c>
      <c r="AC1043">
        <v>-1.1099999999999E-2</v>
      </c>
      <c r="AD1043">
        <v>-6.3906999999999894E-2</v>
      </c>
      <c r="AE1043">
        <v>-0.54539999999997202</v>
      </c>
      <c r="AF1043">
        <v>5.2579065536302698E-2</v>
      </c>
      <c r="AG1043">
        <v>-6.3906999999999894E-2</v>
      </c>
      <c r="AH1043">
        <v>0.53555273370030099</v>
      </c>
      <c r="AI1043">
        <v>96.772616709751006</v>
      </c>
      <c r="AJ1043">
        <v>84.392830360279902</v>
      </c>
      <c r="AK1043">
        <v>0.54190902682603104</v>
      </c>
      <c r="AL1043">
        <v>67.4040802854324</v>
      </c>
      <c r="AM1043">
        <v>91.580058283735298</v>
      </c>
      <c r="AN1043">
        <v>1.0000000629580601</v>
      </c>
    </row>
    <row r="1044" spans="1:40" x14ac:dyDescent="0.25">
      <c r="A1044" t="str">
        <f>"20190304164615853"</f>
        <v>20190304164615853</v>
      </c>
      <c r="B1044" t="str">
        <f>"1551689175849196"</f>
        <v>1551689175849196</v>
      </c>
      <c r="C1044" t="s">
        <v>40</v>
      </c>
      <c r="D1044">
        <v>4.6032510000000002</v>
      </c>
      <c r="E1044">
        <v>0.54175169999999995</v>
      </c>
      <c r="F1044" t="s">
        <v>41</v>
      </c>
      <c r="G1044">
        <v>-192.56469999999999</v>
      </c>
      <c r="H1044">
        <v>1.046986</v>
      </c>
      <c r="I1044">
        <v>343.77359999999999</v>
      </c>
      <c r="J1044">
        <v>-192.5539</v>
      </c>
      <c r="K1044">
        <v>1.1093550000000001</v>
      </c>
      <c r="L1044">
        <v>344.29410000000001</v>
      </c>
      <c r="M1044">
        <v>7.5564489999999998E-2</v>
      </c>
      <c r="N1044">
        <v>-9.8212890000000004E-3</v>
      </c>
      <c r="O1044">
        <v>-0.99709250000000005</v>
      </c>
      <c r="P1044">
        <v>9.8689680000000002E-2</v>
      </c>
      <c r="Q1044">
        <v>0.37478210000000001</v>
      </c>
      <c r="R1044">
        <v>-0.92184529999999998</v>
      </c>
      <c r="S1044">
        <v>3.2272339999999997E-2</v>
      </c>
      <c r="T1044">
        <v>-0.2681152</v>
      </c>
      <c r="U1044">
        <v>-3.3601070000000002</v>
      </c>
      <c r="V1044">
        <v>-2.751731E-2</v>
      </c>
      <c r="W1044">
        <v>0.3839554</v>
      </c>
      <c r="X1044">
        <v>0.92294149999999997</v>
      </c>
      <c r="Y1044">
        <v>6.5981899999999996E-2</v>
      </c>
      <c r="Z1044">
        <v>6.9321190000000005E-2</v>
      </c>
      <c r="AA1044">
        <v>0.99541000000000002</v>
      </c>
      <c r="AB1044">
        <v>26</v>
      </c>
      <c r="AC1044">
        <v>-1.0799999999989001E-2</v>
      </c>
      <c r="AD1044">
        <v>-6.2368999999999897E-2</v>
      </c>
      <c r="AE1044">
        <v>-0.52050000000002605</v>
      </c>
      <c r="AF1044">
        <v>4.9393445507989402E-2</v>
      </c>
      <c r="AG1044">
        <v>-6.2368999999999897E-2</v>
      </c>
      <c r="AH1044">
        <v>0.51086370664441205</v>
      </c>
      <c r="AI1044">
        <v>96.928539498893102</v>
      </c>
      <c r="AJ1044">
        <v>84.477457549635702</v>
      </c>
      <c r="AK1044">
        <v>0.51702159663462699</v>
      </c>
      <c r="AL1044">
        <v>67.421094053355006</v>
      </c>
      <c r="AM1044">
        <v>91.707755919361205</v>
      </c>
      <c r="AN1044">
        <v>0.99999998198052198</v>
      </c>
    </row>
    <row r="1045" spans="1:40" x14ac:dyDescent="0.25">
      <c r="A1045" t="str">
        <f>"20190304164615873"</f>
        <v>20190304164615873</v>
      </c>
      <c r="B1045" t="str">
        <f>"1551689175868716"</f>
        <v>1551689175868716</v>
      </c>
      <c r="C1045" t="s">
        <v>40</v>
      </c>
      <c r="D1045">
        <v>4.5829559999999896</v>
      </c>
      <c r="E1045">
        <v>0.54180220000000001</v>
      </c>
      <c r="F1045" t="s">
        <v>41</v>
      </c>
      <c r="G1045">
        <v>-192.54830000000001</v>
      </c>
      <c r="H1045">
        <v>1.048082</v>
      </c>
      <c r="I1045">
        <v>343.53710000000001</v>
      </c>
      <c r="J1045">
        <v>-192.53720000000001</v>
      </c>
      <c r="K1045">
        <v>1.1093470000000001</v>
      </c>
      <c r="L1045">
        <v>344.04910000000001</v>
      </c>
      <c r="M1045">
        <v>7.3814099999999994E-2</v>
      </c>
      <c r="N1045">
        <v>-9.7377160000000004E-3</v>
      </c>
      <c r="O1045">
        <v>-0.99722469999999996</v>
      </c>
      <c r="P1045">
        <v>9.9186179999999999E-2</v>
      </c>
      <c r="Q1045">
        <v>0.37394670000000002</v>
      </c>
      <c r="R1045">
        <v>-0.92213129999999999</v>
      </c>
      <c r="S1045">
        <v>2.5085449999999999E-2</v>
      </c>
      <c r="T1045">
        <v>-0.27227760000000001</v>
      </c>
      <c r="U1045">
        <v>-3.3623660000000002</v>
      </c>
      <c r="V1045">
        <v>-2.962323E-2</v>
      </c>
      <c r="W1045">
        <v>0.38305210000000001</v>
      </c>
      <c r="X1045">
        <v>0.92325159999999995</v>
      </c>
      <c r="Y1045">
        <v>6.6364549999999994E-2</v>
      </c>
      <c r="Z1045">
        <v>7.058673E-2</v>
      </c>
      <c r="AA1045">
        <v>0.99529559999999995</v>
      </c>
      <c r="AB1045">
        <v>26</v>
      </c>
      <c r="AC1045">
        <v>-1.1099999999999E-2</v>
      </c>
      <c r="AD1045">
        <v>-6.1264999999999903E-2</v>
      </c>
      <c r="AE1045">
        <v>-0.51200000000000001</v>
      </c>
      <c r="AF1045">
        <v>4.81748713584077E-2</v>
      </c>
      <c r="AG1045">
        <v>-6.1264999999999903E-2</v>
      </c>
      <c r="AH1045">
        <v>0.502591005853398</v>
      </c>
      <c r="AI1045">
        <v>96.918569911064793</v>
      </c>
      <c r="AJ1045">
        <v>84.524753468400206</v>
      </c>
      <c r="AK1045">
        <v>0.50859801181299302</v>
      </c>
      <c r="AL1045">
        <v>67.477134203373396</v>
      </c>
      <c r="AM1045">
        <v>91.837748198105302</v>
      </c>
      <c r="AN1045">
        <v>0.99999998198630102</v>
      </c>
    </row>
    <row r="1046" spans="1:40" x14ac:dyDescent="0.25">
      <c r="A1046" t="str">
        <f>"20190304164615897"</f>
        <v>20190304164615897</v>
      </c>
      <c r="B1046" t="str">
        <f>"1551689175889212"</f>
        <v>1551689175889212</v>
      </c>
      <c r="C1046" t="s">
        <v>40</v>
      </c>
      <c r="D1046">
        <v>4.5668419999999896</v>
      </c>
      <c r="E1046">
        <v>0.54208059999999902</v>
      </c>
      <c r="F1046" t="s">
        <v>41</v>
      </c>
      <c r="G1046">
        <v>-192.53219999999999</v>
      </c>
      <c r="H1046">
        <v>1.0480959999999999</v>
      </c>
      <c r="I1046">
        <v>343.30110000000002</v>
      </c>
      <c r="J1046">
        <v>-192.51920000000001</v>
      </c>
      <c r="K1046">
        <v>1.109302</v>
      </c>
      <c r="L1046">
        <v>343.77699999999999</v>
      </c>
      <c r="M1046">
        <v>7.1850490000000003E-2</v>
      </c>
      <c r="N1046">
        <v>-9.6417540000000006E-3</v>
      </c>
      <c r="O1046">
        <v>-0.9973689</v>
      </c>
      <c r="P1046">
        <v>9.9717459999999994E-2</v>
      </c>
      <c r="Q1046">
        <v>0.37209540000000002</v>
      </c>
      <c r="R1046">
        <v>-0.9228227</v>
      </c>
      <c r="S1046">
        <v>2.3040769999999999E-2</v>
      </c>
      <c r="T1046">
        <v>-0.27542699999999998</v>
      </c>
      <c r="U1046">
        <v>-3.3624879999999999</v>
      </c>
      <c r="V1046">
        <v>-3.1916529999999999E-2</v>
      </c>
      <c r="W1046">
        <v>0.38112740000000001</v>
      </c>
      <c r="X1046">
        <v>0.92397149999999995</v>
      </c>
      <c r="Y1046">
        <v>6.5006410000000001E-2</v>
      </c>
      <c r="Z1046">
        <v>7.1623850000000003E-2</v>
      </c>
      <c r="AA1046">
        <v>0.9953111</v>
      </c>
      <c r="AB1046">
        <v>26</v>
      </c>
      <c r="AC1046">
        <v>-1.2999999999976799E-2</v>
      </c>
      <c r="AD1046">
        <v>-6.1206000000000101E-2</v>
      </c>
      <c r="AE1046">
        <v>-0.47589999999996702</v>
      </c>
      <c r="AF1046">
        <v>4.6394796895451798E-2</v>
      </c>
      <c r="AG1046">
        <v>-6.1206000000000101E-2</v>
      </c>
      <c r="AH1046">
        <v>0.46603296964358598</v>
      </c>
      <c r="AI1046">
        <v>97.445675680913595</v>
      </c>
      <c r="AJ1046">
        <v>84.314787938473799</v>
      </c>
      <c r="AK1046">
        <v>0.47231915100892302</v>
      </c>
      <c r="AL1046">
        <v>67.596467192141205</v>
      </c>
      <c r="AM1046">
        <v>91.978368008560906</v>
      </c>
      <c r="AN1046">
        <v>1.00000004636512</v>
      </c>
    </row>
    <row r="1047" spans="1:40" x14ac:dyDescent="0.25">
      <c r="A1047" t="str">
        <f>"20190304164615919"</f>
        <v>20190304164615919</v>
      </c>
      <c r="B1047" t="str">
        <f>"1551689175908732"</f>
        <v>1551689175908732</v>
      </c>
      <c r="C1047" t="s">
        <v>40</v>
      </c>
      <c r="D1047">
        <v>4.5819429999999999</v>
      </c>
      <c r="E1047">
        <v>0.54227769999999897</v>
      </c>
      <c r="F1047" t="s">
        <v>41</v>
      </c>
      <c r="G1047">
        <v>-192.5129</v>
      </c>
      <c r="H1047">
        <v>1.030341</v>
      </c>
      <c r="I1047">
        <v>342.83710000000002</v>
      </c>
      <c r="J1047">
        <v>-192.50200000000001</v>
      </c>
      <c r="K1047">
        <v>1.109229</v>
      </c>
      <c r="L1047">
        <v>343.50839999999999</v>
      </c>
      <c r="M1047">
        <v>6.9867769999999996E-2</v>
      </c>
      <c r="N1047">
        <v>-9.5452790000000003E-3</v>
      </c>
      <c r="O1047">
        <v>-0.99751089999999998</v>
      </c>
      <c r="P1047">
        <v>9.9824590000000005E-2</v>
      </c>
      <c r="Q1047">
        <v>0.37042510000000001</v>
      </c>
      <c r="R1047">
        <v>-0.92348280000000005</v>
      </c>
      <c r="S1047">
        <v>2.2949219999999999E-2</v>
      </c>
      <c r="T1047">
        <v>-0.28249970000000002</v>
      </c>
      <c r="U1047">
        <v>-3.3623349999999999</v>
      </c>
      <c r="V1047">
        <v>-3.3790470000000003E-2</v>
      </c>
      <c r="W1047">
        <v>0.37938309999999997</v>
      </c>
      <c r="X1047">
        <v>0.92462250000000001</v>
      </c>
      <c r="Y1047">
        <v>6.3051070000000001E-2</v>
      </c>
      <c r="Z1047">
        <v>7.3819830000000003E-2</v>
      </c>
      <c r="AA1047">
        <v>0.99527650000000001</v>
      </c>
      <c r="AB1047">
        <v>26</v>
      </c>
      <c r="AC1047">
        <v>-1.08999999999923E-2</v>
      </c>
      <c r="AD1047">
        <v>-7.8888E-2</v>
      </c>
      <c r="AE1047">
        <v>-0.67129999999997303</v>
      </c>
      <c r="AF1047">
        <v>5.6990889750096002E-2</v>
      </c>
      <c r="AG1047">
        <v>-7.8888E-2</v>
      </c>
      <c r="AH1047">
        <v>0.65978860405906903</v>
      </c>
      <c r="AI1047">
        <v>96.793177041261103</v>
      </c>
      <c r="AJ1047">
        <v>85.063187477994703</v>
      </c>
      <c r="AK1047">
        <v>0.66692749238933202</v>
      </c>
      <c r="AL1047">
        <v>67.704525483154598</v>
      </c>
      <c r="AM1047">
        <v>92.092951569080398</v>
      </c>
      <c r="AN1047">
        <v>1.0000000499673301</v>
      </c>
    </row>
    <row r="1048" spans="1:40" x14ac:dyDescent="0.25">
      <c r="A1048" t="str">
        <f>"20190304164615940"</f>
        <v>20190304164615940</v>
      </c>
      <c r="B1048" t="str">
        <f>"1551689175929227"</f>
        <v>1551689175929227</v>
      </c>
      <c r="C1048" t="s">
        <v>40</v>
      </c>
      <c r="D1048">
        <v>4.6035740000000001</v>
      </c>
      <c r="E1048">
        <v>0.54505959999999998</v>
      </c>
      <c r="F1048" t="s">
        <v>41</v>
      </c>
      <c r="G1048">
        <v>-192.49639999999999</v>
      </c>
      <c r="H1048">
        <v>1.031256</v>
      </c>
      <c r="I1048">
        <v>342.5992</v>
      </c>
      <c r="J1048">
        <v>-192.48599999999999</v>
      </c>
      <c r="K1048">
        <v>1.109156</v>
      </c>
      <c r="L1048">
        <v>343.24869999999999</v>
      </c>
      <c r="M1048">
        <v>6.7906019999999997E-2</v>
      </c>
      <c r="N1048">
        <v>-9.4549430000000004E-3</v>
      </c>
      <c r="O1048">
        <v>-0.99764699999999995</v>
      </c>
      <c r="P1048">
        <v>9.8634299999999994E-2</v>
      </c>
      <c r="Q1048">
        <v>0.36805680000000002</v>
      </c>
      <c r="R1048">
        <v>-0.92455710000000002</v>
      </c>
      <c r="S1048">
        <v>2.1484380000000001E-2</v>
      </c>
      <c r="T1048">
        <v>-0.28851830000000001</v>
      </c>
      <c r="U1048">
        <v>-3.3620000000000001</v>
      </c>
      <c r="V1048">
        <v>-3.4322039999999998E-2</v>
      </c>
      <c r="W1048">
        <v>0.376946</v>
      </c>
      <c r="X1048">
        <v>0.92559910000000001</v>
      </c>
      <c r="Y1048">
        <v>6.1522649999999998E-2</v>
      </c>
      <c r="Z1048">
        <v>7.5703610000000005E-2</v>
      </c>
      <c r="AA1048">
        <v>0.99523059999999997</v>
      </c>
      <c r="AB1048">
        <v>26</v>
      </c>
      <c r="AC1048">
        <v>-1.04000000000041E-2</v>
      </c>
      <c r="AD1048">
        <v>-7.7899999999999997E-2</v>
      </c>
      <c r="AE1048">
        <v>-0.64949999999998898</v>
      </c>
      <c r="AF1048">
        <v>5.3710480557183901E-2</v>
      </c>
      <c r="AG1048">
        <v>-7.7899999999999997E-2</v>
      </c>
      <c r="AH1048">
        <v>0.63811727894235504</v>
      </c>
      <c r="AI1048">
        <v>96.935822363944993</v>
      </c>
      <c r="AJ1048">
        <v>85.188741449507603</v>
      </c>
      <c r="AK1048">
        <v>0.64509447944194898</v>
      </c>
      <c r="AL1048">
        <v>67.855361117084598</v>
      </c>
      <c r="AM1048">
        <v>92.123605638597098</v>
      </c>
      <c r="AN1048">
        <v>0.99999999163328501</v>
      </c>
    </row>
    <row r="1049" spans="1:40" x14ac:dyDescent="0.25">
      <c r="A1049" t="str">
        <f>"20190304164615962"</f>
        <v>20190304164615962</v>
      </c>
      <c r="B1049" t="str">
        <f>"1551689175959484"</f>
        <v>1551689175959484</v>
      </c>
      <c r="C1049" t="s">
        <v>40</v>
      </c>
      <c r="D1049">
        <v>4.5809930000000003</v>
      </c>
      <c r="E1049">
        <v>0.54588700000000001</v>
      </c>
      <c r="F1049" t="s">
        <v>41</v>
      </c>
      <c r="G1049">
        <v>-192.48580000000001</v>
      </c>
      <c r="H1049">
        <v>1.005781</v>
      </c>
      <c r="I1049">
        <v>342.3734</v>
      </c>
      <c r="J1049">
        <v>-192.471</v>
      </c>
      <c r="K1049">
        <v>1.109091</v>
      </c>
      <c r="L1049">
        <v>342.99759999999998</v>
      </c>
      <c r="M1049">
        <v>6.5958580000000003E-2</v>
      </c>
      <c r="N1049">
        <v>-9.3687170000000004E-3</v>
      </c>
      <c r="O1049">
        <v>-0.99777839999999995</v>
      </c>
      <c r="P1049">
        <v>9.60393999999999E-2</v>
      </c>
      <c r="Q1049">
        <v>0.36538969999999998</v>
      </c>
      <c r="R1049">
        <v>-0.92588709999999996</v>
      </c>
      <c r="S1049">
        <v>1.34277299999999E-3</v>
      </c>
      <c r="T1049">
        <v>-0.40218880000000001</v>
      </c>
      <c r="U1049">
        <v>-3.4047550000000002</v>
      </c>
      <c r="V1049">
        <v>-3.3424530000000001E-2</v>
      </c>
      <c r="W1049">
        <v>0.37420999999999999</v>
      </c>
      <c r="X1049">
        <v>0.92674140000000005</v>
      </c>
      <c r="Y1049">
        <v>6.5530699999999997E-2</v>
      </c>
      <c r="Z1049">
        <v>0.10749259999999999</v>
      </c>
      <c r="AA1049">
        <v>0.99204389999999998</v>
      </c>
      <c r="AB1049">
        <v>27</v>
      </c>
      <c r="AC1049">
        <v>-1.4800000000036499E-2</v>
      </c>
      <c r="AD1049">
        <v>-0.10331</v>
      </c>
      <c r="AE1049">
        <v>-0.624199999999973</v>
      </c>
      <c r="AF1049">
        <v>5.4450211520765901E-2</v>
      </c>
      <c r="AG1049">
        <v>-0.10331</v>
      </c>
      <c r="AH1049">
        <v>0.60529298613024396</v>
      </c>
      <c r="AI1049">
        <v>99.647558502785699</v>
      </c>
      <c r="AJ1049">
        <v>84.859691546489003</v>
      </c>
      <c r="AK1049">
        <v>0.61645549773939401</v>
      </c>
      <c r="AL1049">
        <v>68.024504940623501</v>
      </c>
      <c r="AM1049">
        <v>92.065575965862706</v>
      </c>
      <c r="AN1049">
        <v>0.99999997288983999</v>
      </c>
    </row>
    <row r="1050" spans="1:40" x14ac:dyDescent="0.25">
      <c r="A1050" t="str">
        <f>"20190304164615986"</f>
        <v>20190304164615986</v>
      </c>
      <c r="B1050" t="str">
        <f>"1551689175979004"</f>
        <v>1551689175979004</v>
      </c>
      <c r="C1050" t="s">
        <v>40</v>
      </c>
      <c r="D1050">
        <v>4.5846349999999996</v>
      </c>
      <c r="E1050">
        <v>0.54631549999999995</v>
      </c>
      <c r="F1050" t="s">
        <v>41</v>
      </c>
      <c r="G1050">
        <v>-192.47450000000001</v>
      </c>
      <c r="H1050">
        <v>1.0070319999999999</v>
      </c>
      <c r="I1050">
        <v>342.13400000000001</v>
      </c>
      <c r="J1050">
        <v>-192.45400000000001</v>
      </c>
      <c r="K1050">
        <v>1.109013</v>
      </c>
      <c r="L1050">
        <v>342.7</v>
      </c>
      <c r="M1050">
        <v>6.3576569999999999E-2</v>
      </c>
      <c r="N1050">
        <v>-9.264642E-3</v>
      </c>
      <c r="O1050">
        <v>-0.99793390000000004</v>
      </c>
      <c r="P1050">
        <v>9.2257980000000003E-2</v>
      </c>
      <c r="Q1050">
        <v>0.36366480000000001</v>
      </c>
      <c r="R1050">
        <v>-0.92695000000000005</v>
      </c>
      <c r="S1050">
        <v>-1.272583E-2</v>
      </c>
      <c r="T1050">
        <v>-0.40192339999999999</v>
      </c>
      <c r="U1050">
        <v>-3.4000240000000002</v>
      </c>
      <c r="V1050">
        <v>-3.1758300000000003E-2</v>
      </c>
      <c r="W1050">
        <v>0.37239410000000001</v>
      </c>
      <c r="X1050">
        <v>0.9275312</v>
      </c>
      <c r="Y1050">
        <v>6.725217E-2</v>
      </c>
      <c r="Z1050">
        <v>0.107699</v>
      </c>
      <c r="AA1050">
        <v>0.99190630000000002</v>
      </c>
      <c r="AB1050">
        <v>27</v>
      </c>
      <c r="AC1050">
        <v>-2.0499999999998401E-2</v>
      </c>
      <c r="AD1050">
        <v>-0.101981</v>
      </c>
      <c r="AE1050">
        <v>-0.56599999999997397</v>
      </c>
      <c r="AF1050">
        <v>5.4671852722342103E-2</v>
      </c>
      <c r="AG1050">
        <v>-0.101981</v>
      </c>
      <c r="AH1050">
        <v>0.54585395191380803</v>
      </c>
      <c r="AI1050">
        <v>100.530973011605</v>
      </c>
      <c r="AJ1050">
        <v>84.280421805957999</v>
      </c>
      <c r="AK1050">
        <v>0.55798357741157101</v>
      </c>
      <c r="AL1050">
        <v>68.136657343759396</v>
      </c>
      <c r="AM1050">
        <v>91.961018646272194</v>
      </c>
      <c r="AN1050">
        <v>1.0000000411535599</v>
      </c>
    </row>
    <row r="1051" spans="1:40" x14ac:dyDescent="0.25">
      <c r="A1051" t="str">
        <f>"20190304164616009"</f>
        <v>20190304164616009</v>
      </c>
      <c r="B1051" t="str">
        <f>"1551689175998524"</f>
        <v>1551689175998524</v>
      </c>
      <c r="C1051" t="s">
        <v>40</v>
      </c>
      <c r="D1051">
        <v>4.6710960000000004</v>
      </c>
      <c r="E1051">
        <v>0.54709289999999999</v>
      </c>
      <c r="F1051" t="s">
        <v>41</v>
      </c>
      <c r="G1051">
        <v>-192.4606</v>
      </c>
      <c r="H1051">
        <v>1.0143439999999999</v>
      </c>
      <c r="I1051">
        <v>341.8913</v>
      </c>
      <c r="J1051">
        <v>-192.43899999999999</v>
      </c>
      <c r="K1051">
        <v>1.1089500000000001</v>
      </c>
      <c r="L1051">
        <v>342.42680000000001</v>
      </c>
      <c r="M1051">
        <v>6.1329349999999998E-2</v>
      </c>
      <c r="N1051">
        <v>-9.1699030000000001E-3</v>
      </c>
      <c r="O1051">
        <v>-0.99807579999999996</v>
      </c>
      <c r="P1051">
        <v>8.7287970000000006E-2</v>
      </c>
      <c r="Q1051">
        <v>0.36364170000000001</v>
      </c>
      <c r="R1051">
        <v>-0.92744059999999995</v>
      </c>
      <c r="S1051">
        <v>-2.7893069999999999E-2</v>
      </c>
      <c r="T1051">
        <v>-0.39753640000000001</v>
      </c>
      <c r="U1051">
        <v>-3.395203</v>
      </c>
      <c r="V1051">
        <v>-2.8820660000000001E-2</v>
      </c>
      <c r="W1051">
        <v>0.37227680000000002</v>
      </c>
      <c r="X1051">
        <v>0.9276742</v>
      </c>
      <c r="Y1051">
        <v>6.9441900000000001E-2</v>
      </c>
      <c r="Z1051">
        <v>0.10670830000000001</v>
      </c>
      <c r="AA1051">
        <v>0.99186249999999998</v>
      </c>
      <c r="AB1051">
        <v>27</v>
      </c>
      <c r="AC1051">
        <v>-2.1599999999978001E-2</v>
      </c>
      <c r="AD1051">
        <v>-9.4605999999999899E-2</v>
      </c>
      <c r="AE1051">
        <v>-0.53550000000001297</v>
      </c>
      <c r="AF1051">
        <v>5.27585597974237E-2</v>
      </c>
      <c r="AG1051">
        <v>-9.4605999999999899E-2</v>
      </c>
      <c r="AH1051">
        <v>0.51705512095565598</v>
      </c>
      <c r="AI1051">
        <v>100.316355314156</v>
      </c>
      <c r="AJ1051">
        <v>84.173895606489793</v>
      </c>
      <c r="AK1051">
        <v>0.52828000054361901</v>
      </c>
      <c r="AL1051">
        <v>68.143898643954003</v>
      </c>
      <c r="AM1051">
        <v>91.779473019524801</v>
      </c>
      <c r="AN1051">
        <v>1.0000000338033499</v>
      </c>
    </row>
    <row r="1052" spans="1:40" x14ac:dyDescent="0.25">
      <c r="A1052" t="str">
        <f>"20190304164616030"</f>
        <v>20190304164616030</v>
      </c>
      <c r="B1052" t="str">
        <f>"1551689176019996"</f>
        <v>1551689176019996</v>
      </c>
      <c r="C1052" t="s">
        <v>40</v>
      </c>
      <c r="D1052">
        <v>4.6164829999999997</v>
      </c>
      <c r="E1052">
        <v>0.56711999999999996</v>
      </c>
      <c r="F1052" t="s">
        <v>41</v>
      </c>
      <c r="G1052">
        <v>-192.45</v>
      </c>
      <c r="H1052">
        <v>1.0176339999999999</v>
      </c>
      <c r="I1052">
        <v>341.64980000000003</v>
      </c>
      <c r="J1052">
        <v>-192.4256</v>
      </c>
      <c r="K1052">
        <v>1.108911</v>
      </c>
      <c r="L1052">
        <v>342.17200000000003</v>
      </c>
      <c r="M1052">
        <v>5.9193900000000001E-2</v>
      </c>
      <c r="N1052">
        <v>-9.0880160000000008E-3</v>
      </c>
      <c r="O1052">
        <v>-0.99820520000000001</v>
      </c>
      <c r="P1052">
        <v>8.197045E-2</v>
      </c>
      <c r="Q1052">
        <v>0.36492350000000001</v>
      </c>
      <c r="R1052">
        <v>-0.92742230000000003</v>
      </c>
      <c r="S1052">
        <v>-4.7760009999999999E-2</v>
      </c>
      <c r="T1052">
        <v>-0.3991364</v>
      </c>
      <c r="U1052">
        <v>-3.3956909999999998</v>
      </c>
      <c r="V1052">
        <v>-2.5466269999999999E-2</v>
      </c>
      <c r="W1052">
        <v>0.37346829999999998</v>
      </c>
      <c r="X1052">
        <v>0.92729329999999999</v>
      </c>
      <c r="Y1052">
        <v>7.3105519999999993E-2</v>
      </c>
      <c r="Z1052">
        <v>0.1072355</v>
      </c>
      <c r="AA1052">
        <v>0.99154229999999999</v>
      </c>
      <c r="AB1052">
        <v>27</v>
      </c>
      <c r="AC1052">
        <v>-2.43999999999857E-2</v>
      </c>
      <c r="AD1052">
        <v>-9.1276999999999997E-2</v>
      </c>
      <c r="AE1052">
        <v>-0.52219999999994104</v>
      </c>
      <c r="AF1052">
        <v>5.3634435656508002E-2</v>
      </c>
      <c r="AG1052">
        <v>-9.1276999999999997E-2</v>
      </c>
      <c r="AH1052">
        <v>0.50446081628808903</v>
      </c>
      <c r="AI1052">
        <v>100.19984682730799</v>
      </c>
      <c r="AJ1052">
        <v>83.9310934940126</v>
      </c>
      <c r="AK1052">
        <v>0.515450151408686</v>
      </c>
      <c r="AL1052">
        <v>68.070323589624707</v>
      </c>
      <c r="AM1052">
        <v>91.573119452370904</v>
      </c>
      <c r="AN1052">
        <v>0.99999998311874605</v>
      </c>
    </row>
    <row r="1053" spans="1:40" x14ac:dyDescent="0.25">
      <c r="A1053" t="str">
        <f>"20190304164616053"</f>
        <v>20190304164616053</v>
      </c>
      <c r="B1053" t="str">
        <f>"1551689176049276"</f>
        <v>1551689176049276</v>
      </c>
      <c r="C1053" t="s">
        <v>40</v>
      </c>
      <c r="D1053">
        <v>4.5652419999999996</v>
      </c>
      <c r="E1053">
        <v>0.56530530000000001</v>
      </c>
      <c r="F1053" t="s">
        <v>41</v>
      </c>
      <c r="G1053">
        <v>-192.47489999999999</v>
      </c>
      <c r="H1053">
        <v>1.0134920000000001</v>
      </c>
      <c r="I1053">
        <v>341.4092</v>
      </c>
      <c r="J1053">
        <v>-192.41210000000001</v>
      </c>
      <c r="K1053">
        <v>1.1088629999999999</v>
      </c>
      <c r="L1053">
        <v>341.90440000000001</v>
      </c>
      <c r="M1053">
        <v>5.6925589999999998E-2</v>
      </c>
      <c r="N1053">
        <v>-9.0107350000000006E-3</v>
      </c>
      <c r="O1053">
        <v>-0.99833780000000005</v>
      </c>
      <c r="P1053">
        <v>7.6373750000000004E-2</v>
      </c>
      <c r="Q1053">
        <v>0.36688510000000002</v>
      </c>
      <c r="R1053">
        <v>-0.92712600000000001</v>
      </c>
      <c r="S1053">
        <v>-0.22053529999999999</v>
      </c>
      <c r="T1053">
        <v>-0.42826510000000001</v>
      </c>
      <c r="U1053">
        <v>-3.4227910000000001</v>
      </c>
      <c r="V1053">
        <v>-2.197495E-2</v>
      </c>
      <c r="W1053">
        <v>0.37534050000000002</v>
      </c>
      <c r="X1053">
        <v>0.92662650000000002</v>
      </c>
      <c r="Y1053">
        <v>0.1205075</v>
      </c>
      <c r="Z1053">
        <v>0.1143107</v>
      </c>
      <c r="AA1053">
        <v>0.98610900000000001</v>
      </c>
      <c r="AB1053">
        <v>27</v>
      </c>
      <c r="AC1053">
        <v>-6.2799999999981496E-2</v>
      </c>
      <c r="AD1053">
        <v>-9.5370999999999803E-2</v>
      </c>
      <c r="AE1053">
        <v>-0.49520000000001102</v>
      </c>
      <c r="AF1053">
        <v>8.7687879882648298E-2</v>
      </c>
      <c r="AG1053">
        <v>-9.5370999999999803E-2</v>
      </c>
      <c r="AH1053">
        <v>0.473535830547133</v>
      </c>
      <c r="AI1053">
        <v>101.201642652096</v>
      </c>
      <c r="AJ1053">
        <v>79.508983973695194</v>
      </c>
      <c r="AK1053">
        <v>0.49093887066647801</v>
      </c>
      <c r="AL1053">
        <v>67.954641319474703</v>
      </c>
      <c r="AM1053">
        <v>91.358514930284699</v>
      </c>
      <c r="AN1053">
        <v>1.000000029935</v>
      </c>
    </row>
    <row r="1054" spans="1:40" x14ac:dyDescent="0.25">
      <c r="A1054" t="str">
        <f>"20190304164616074"</f>
        <v>20190304164616074</v>
      </c>
      <c r="B1054" t="str">
        <f>"1551689176068796"</f>
        <v>1551689176068796</v>
      </c>
      <c r="C1054" t="s">
        <v>40</v>
      </c>
      <c r="D1054">
        <v>4.70228</v>
      </c>
      <c r="E1054">
        <v>0.56377290000000002</v>
      </c>
      <c r="F1054" t="s">
        <v>41</v>
      </c>
      <c r="G1054">
        <v>-192.4599</v>
      </c>
      <c r="H1054">
        <v>1.014507</v>
      </c>
      <c r="I1054">
        <v>341.16809999999998</v>
      </c>
      <c r="J1054">
        <v>-192.3998</v>
      </c>
      <c r="K1054">
        <v>1.1088290000000001</v>
      </c>
      <c r="L1054">
        <v>341.64769999999999</v>
      </c>
      <c r="M1054">
        <v>5.4733810000000001E-2</v>
      </c>
      <c r="N1054">
        <v>-8.9442800000000006E-3</v>
      </c>
      <c r="O1054">
        <v>-0.99846100000000004</v>
      </c>
      <c r="P1054">
        <v>7.1712659999999998E-2</v>
      </c>
      <c r="Q1054">
        <v>0.3672377</v>
      </c>
      <c r="R1054">
        <v>-0.92735849999999997</v>
      </c>
      <c r="S1054">
        <v>-0.22174070000000001</v>
      </c>
      <c r="T1054">
        <v>-0.43937900000000002</v>
      </c>
      <c r="U1054">
        <v>-3.4279480000000002</v>
      </c>
      <c r="V1054">
        <v>-1.9329780000000001E-2</v>
      </c>
      <c r="W1054">
        <v>0.37562109999999999</v>
      </c>
      <c r="X1054">
        <v>0.9265717</v>
      </c>
      <c r="Y1054">
        <v>0.1185553</v>
      </c>
      <c r="Z1054">
        <v>0.1173787</v>
      </c>
      <c r="AA1054">
        <v>0.98598520000000001</v>
      </c>
      <c r="AB1054">
        <v>27</v>
      </c>
      <c r="AC1054">
        <v>-6.0100000000005503E-2</v>
      </c>
      <c r="AD1054">
        <v>-9.4322000000000003E-2</v>
      </c>
      <c r="AE1054">
        <v>-0.47960000000000402</v>
      </c>
      <c r="AF1054">
        <v>8.3096926029470095E-2</v>
      </c>
      <c r="AG1054">
        <v>-9.4322000000000003E-2</v>
      </c>
      <c r="AH1054">
        <v>0.45814506117711901</v>
      </c>
      <c r="AI1054">
        <v>101.45160898002401</v>
      </c>
      <c r="AJ1054">
        <v>79.719630537087895</v>
      </c>
      <c r="AK1054">
        <v>0.47507750512998798</v>
      </c>
      <c r="AL1054">
        <v>67.937293803611297</v>
      </c>
      <c r="AM1054">
        <v>91.195109011890196</v>
      </c>
      <c r="AN1054">
        <v>0.99999998320047401</v>
      </c>
    </row>
    <row r="1055" spans="1:40" x14ac:dyDescent="0.25">
      <c r="A1055" t="str">
        <f>"20190304164616097"</f>
        <v>20190304164616097</v>
      </c>
      <c r="B1055" t="str">
        <f>"1551689176089291"</f>
        <v>1551689176089291</v>
      </c>
      <c r="C1055" t="s">
        <v>40</v>
      </c>
      <c r="D1055">
        <v>4.6332060000000004</v>
      </c>
      <c r="E1055">
        <v>0.56280520000000001</v>
      </c>
      <c r="F1055" t="s">
        <v>41</v>
      </c>
      <c r="G1055">
        <v>-192.44710000000001</v>
      </c>
      <c r="H1055">
        <v>1.0170760000000001</v>
      </c>
      <c r="I1055">
        <v>340.9255</v>
      </c>
      <c r="J1055">
        <v>-192.38740000000001</v>
      </c>
      <c r="K1055">
        <v>1.10880499999999</v>
      </c>
      <c r="L1055">
        <v>341.37560000000002</v>
      </c>
      <c r="M1055">
        <v>5.2405130000000001E-2</v>
      </c>
      <c r="N1055">
        <v>-8.8819869999999992E-3</v>
      </c>
      <c r="O1055">
        <v>-0.99858639999999999</v>
      </c>
      <c r="P1055">
        <v>6.7441009999999996E-2</v>
      </c>
      <c r="Q1055">
        <v>0.36699910000000002</v>
      </c>
      <c r="R1055">
        <v>-0.92777370000000003</v>
      </c>
      <c r="S1055">
        <v>-0.223999</v>
      </c>
      <c r="T1055">
        <v>-0.43510529999999997</v>
      </c>
      <c r="U1055">
        <v>-3.4246219999999998</v>
      </c>
      <c r="V1055">
        <v>-1.719888E-2</v>
      </c>
      <c r="W1055">
        <v>0.37531829999999999</v>
      </c>
      <c r="X1055">
        <v>0.92673640000000002</v>
      </c>
      <c r="Y1055">
        <v>0.1169586</v>
      </c>
      <c r="Z1055">
        <v>0.1163835</v>
      </c>
      <c r="AA1055">
        <v>0.98629389999999995</v>
      </c>
      <c r="AB1055">
        <v>27</v>
      </c>
      <c r="AC1055">
        <v>-5.9699999999992301E-2</v>
      </c>
      <c r="AD1055">
        <v>-9.17289999999997E-2</v>
      </c>
      <c r="AE1055">
        <v>-0.45010000000001998</v>
      </c>
      <c r="AF1055">
        <v>7.9943532949218604E-2</v>
      </c>
      <c r="AG1055">
        <v>-9.17289999999997E-2</v>
      </c>
      <c r="AH1055">
        <v>0.42884921927573699</v>
      </c>
      <c r="AI1055">
        <v>101.874779645648</v>
      </c>
      <c r="AJ1055">
        <v>79.440462037758905</v>
      </c>
      <c r="AK1055">
        <v>0.44577666019522799</v>
      </c>
      <c r="AL1055">
        <v>67.956012718820404</v>
      </c>
      <c r="AM1055">
        <v>91.063204301343305</v>
      </c>
      <c r="AN1055">
        <v>0.99999999143655205</v>
      </c>
    </row>
    <row r="1056" spans="1:40" x14ac:dyDescent="0.25">
      <c r="A1056" t="str">
        <f>"20190304164616119"</f>
        <v>20190304164616119</v>
      </c>
      <c r="B1056" t="str">
        <f>"1551689176108812"</f>
        <v>1551689176108812</v>
      </c>
      <c r="C1056" t="s">
        <v>40</v>
      </c>
      <c r="D1056">
        <v>4.6110319999999998</v>
      </c>
      <c r="E1056">
        <v>0.56198709999999996</v>
      </c>
      <c r="F1056" t="s">
        <v>41</v>
      </c>
      <c r="G1056">
        <v>-192.44970000000001</v>
      </c>
      <c r="H1056">
        <v>0.99252260000000003</v>
      </c>
      <c r="I1056">
        <v>340.45159999999998</v>
      </c>
      <c r="J1056">
        <v>-192.3758</v>
      </c>
      <c r="K1056">
        <v>1.108787</v>
      </c>
      <c r="L1056">
        <v>341.108</v>
      </c>
      <c r="M1056">
        <v>5.0117920000000003E-2</v>
      </c>
      <c r="N1056">
        <v>-8.8285310000000006E-3</v>
      </c>
      <c r="O1056">
        <v>-0.99870440000000005</v>
      </c>
      <c r="P1056">
        <v>6.3291150000000004E-2</v>
      </c>
      <c r="Q1056">
        <v>0.36646020000000001</v>
      </c>
      <c r="R1056">
        <v>-0.92827890000000002</v>
      </c>
      <c r="S1056">
        <v>-0.2303772</v>
      </c>
      <c r="T1056">
        <v>-0.4304943</v>
      </c>
      <c r="U1056">
        <v>-3.4205930000000002</v>
      </c>
      <c r="V1056">
        <v>-1.5152779999999999E-2</v>
      </c>
      <c r="W1056">
        <v>0.37472420000000001</v>
      </c>
      <c r="X1056">
        <v>0.92701250000000002</v>
      </c>
      <c r="Y1056">
        <v>0.1166008</v>
      </c>
      <c r="Z1056">
        <v>0.11528969999999999</v>
      </c>
      <c r="AA1056">
        <v>0.98646469999999997</v>
      </c>
      <c r="AB1056">
        <v>27</v>
      </c>
      <c r="AC1056">
        <v>-7.3900000000008903E-2</v>
      </c>
      <c r="AD1056">
        <v>-0.1162644</v>
      </c>
      <c r="AE1056">
        <v>-0.65640000000001897</v>
      </c>
      <c r="AF1056">
        <v>0.103499358594604</v>
      </c>
      <c r="AG1056">
        <v>-0.1162644</v>
      </c>
      <c r="AH1056">
        <v>0.63228284488706499</v>
      </c>
      <c r="AI1056">
        <v>100.28527149310599</v>
      </c>
      <c r="AJ1056">
        <v>80.703611969488506</v>
      </c>
      <c r="AK1056">
        <v>0.65116136546583803</v>
      </c>
      <c r="AL1056">
        <v>67.992732349604907</v>
      </c>
      <c r="AM1056">
        <v>90.936463134594902</v>
      </c>
      <c r="AN1056">
        <v>1.0000000039818</v>
      </c>
    </row>
    <row r="1057" spans="1:40" x14ac:dyDescent="0.25">
      <c r="A1057" t="str">
        <f>"20190304164616152"</f>
        <v>20190304164616152</v>
      </c>
      <c r="B1057" t="str">
        <f>"1551689176148828"</f>
        <v>1551689176148828</v>
      </c>
      <c r="C1057" t="s">
        <v>40</v>
      </c>
      <c r="D1057">
        <v>4.6172440000000003</v>
      </c>
      <c r="E1057">
        <v>0.55726960000000003</v>
      </c>
      <c r="F1057" t="s">
        <v>41</v>
      </c>
      <c r="G1057">
        <v>-192.4385</v>
      </c>
      <c r="H1057">
        <v>0.99543130000000002</v>
      </c>
      <c r="I1057">
        <v>340.2072</v>
      </c>
      <c r="J1057">
        <v>-192.35910000000001</v>
      </c>
      <c r="K1057">
        <v>1.1087560000000001</v>
      </c>
      <c r="L1057">
        <v>340.6952</v>
      </c>
      <c r="M1057">
        <v>4.6606219999999997E-2</v>
      </c>
      <c r="N1057">
        <v>-8.758877E-3</v>
      </c>
      <c r="O1057">
        <v>-0.99887499999999996</v>
      </c>
      <c r="P1057">
        <v>5.8691170000000001E-2</v>
      </c>
      <c r="Q1057">
        <v>0.36629869999999998</v>
      </c>
      <c r="R1057">
        <v>-0.92864480000000005</v>
      </c>
      <c r="S1057">
        <v>-0.23757929999999999</v>
      </c>
      <c r="T1057">
        <v>-0.43021749999999997</v>
      </c>
      <c r="U1057">
        <v>-3.4178470000000001</v>
      </c>
      <c r="V1057">
        <v>-1.380375E-2</v>
      </c>
      <c r="W1057">
        <v>0.37449339999999998</v>
      </c>
      <c r="X1057">
        <v>0.92712680000000003</v>
      </c>
      <c r="Y1057">
        <v>0.11523170000000001</v>
      </c>
      <c r="Z1057">
        <v>0.115412</v>
      </c>
      <c r="AA1057">
        <v>0.98661120000000002</v>
      </c>
      <c r="AB1057">
        <v>27</v>
      </c>
      <c r="AC1057">
        <v>-7.9399999999992504E-2</v>
      </c>
      <c r="AD1057">
        <v>-0.113324699999999</v>
      </c>
      <c r="AE1057">
        <v>-0.48799999999999899</v>
      </c>
      <c r="AF1057">
        <v>9.6964246408851498E-2</v>
      </c>
      <c r="AG1057">
        <v>-0.113324699999999</v>
      </c>
      <c r="AH1057">
        <v>0.45962201212821902</v>
      </c>
      <c r="AI1057">
        <v>103.563460274639</v>
      </c>
      <c r="AJ1057">
        <v>78.087265486665501</v>
      </c>
      <c r="AK1057">
        <v>0.48321521783209498</v>
      </c>
      <c r="AL1057">
        <v>68.006994131216004</v>
      </c>
      <c r="AM1057">
        <v>90.852998946493699</v>
      </c>
      <c r="AN1057">
        <v>0.99999997671793095</v>
      </c>
    </row>
    <row r="1058" spans="1:40" x14ac:dyDescent="0.25">
      <c r="A1058" t="str">
        <f>"20190304164616174"</f>
        <v>20190304164616174</v>
      </c>
      <c r="B1058" t="str">
        <f>"1551689176169324"</f>
        <v>1551689176169324</v>
      </c>
      <c r="C1058" t="s">
        <v>40</v>
      </c>
      <c r="D1058">
        <v>4.6784210000000002</v>
      </c>
      <c r="E1058">
        <v>0.55720340000000002</v>
      </c>
      <c r="F1058" t="s">
        <v>41</v>
      </c>
      <c r="G1058">
        <v>-192.40950000000001</v>
      </c>
      <c r="H1058">
        <v>1.050276</v>
      </c>
      <c r="I1058">
        <v>339.93599999999998</v>
      </c>
      <c r="J1058">
        <v>-192.3494</v>
      </c>
      <c r="K1058">
        <v>1.1087400000000001</v>
      </c>
      <c r="L1058">
        <v>340.4384</v>
      </c>
      <c r="M1058">
        <v>4.4433889999999997E-2</v>
      </c>
      <c r="N1058">
        <v>-8.7229100000000004E-3</v>
      </c>
      <c r="O1058">
        <v>-0.99897429999999998</v>
      </c>
      <c r="P1058">
        <v>5.6924839999999997E-2</v>
      </c>
      <c r="Q1058">
        <v>0.36494159999999998</v>
      </c>
      <c r="R1058">
        <v>-0.92928869999999997</v>
      </c>
      <c r="S1058">
        <v>-0.22215270000000001</v>
      </c>
      <c r="T1058">
        <v>-0.25789139999999999</v>
      </c>
      <c r="U1058">
        <v>-3.3462830000000001</v>
      </c>
      <c r="V1058">
        <v>-1.403544E-2</v>
      </c>
      <c r="W1058">
        <v>0.37310870000000002</v>
      </c>
      <c r="X1058">
        <v>0.92768139999999999</v>
      </c>
      <c r="Y1058">
        <v>0.110321</v>
      </c>
      <c r="Z1058">
        <v>6.7695249999999998E-2</v>
      </c>
      <c r="AA1058">
        <v>0.99158789999999997</v>
      </c>
      <c r="AB1058">
        <v>27</v>
      </c>
      <c r="AC1058">
        <v>-6.0100000000005503E-2</v>
      </c>
      <c r="AD1058">
        <v>-5.8464000000000002E-2</v>
      </c>
      <c r="AE1058">
        <v>-0.50240000000002205</v>
      </c>
      <c r="AF1058">
        <v>8.1279919686305893E-2</v>
      </c>
      <c r="AG1058">
        <v>-5.8464000000000002E-2</v>
      </c>
      <c r="AH1058">
        <v>0.49265583289406001</v>
      </c>
      <c r="AI1058">
        <v>96.678253947120794</v>
      </c>
      <c r="AJ1058">
        <v>80.631553789181098</v>
      </c>
      <c r="AK1058">
        <v>0.50272679889255201</v>
      </c>
      <c r="AL1058">
        <v>68.092531472659203</v>
      </c>
      <c r="AM1058">
        <v>90.866795566387495</v>
      </c>
      <c r="AN1058">
        <v>0.99999993774881901</v>
      </c>
    </row>
    <row r="1059" spans="1:40" x14ac:dyDescent="0.25">
      <c r="A1059" t="str">
        <f>"20190304164616199"</f>
        <v>20190304164616199</v>
      </c>
      <c r="B1059" t="str">
        <f>"1551689176188844"</f>
        <v>1551689176188844</v>
      </c>
      <c r="C1059" t="s">
        <v>40</v>
      </c>
      <c r="D1059">
        <v>4.6632449999999999</v>
      </c>
      <c r="E1059">
        <v>0.55718440000000002</v>
      </c>
      <c r="F1059" t="s">
        <v>41</v>
      </c>
      <c r="G1059">
        <v>-192.4007</v>
      </c>
      <c r="H1059">
        <v>1.051366</v>
      </c>
      <c r="I1059">
        <v>339.6909</v>
      </c>
      <c r="J1059">
        <v>-192.33840000000001</v>
      </c>
      <c r="K1059">
        <v>1.1087260000000001</v>
      </c>
      <c r="L1059">
        <v>340.12560000000002</v>
      </c>
      <c r="M1059">
        <v>4.1800259999999999E-2</v>
      </c>
      <c r="N1059">
        <v>-8.7007100000000004E-3</v>
      </c>
      <c r="O1059">
        <v>-0.99908850000000005</v>
      </c>
      <c r="P1059">
        <v>5.5211349999999999E-2</v>
      </c>
      <c r="Q1059">
        <v>0.36265829999999999</v>
      </c>
      <c r="R1059">
        <v>-0.93028560000000005</v>
      </c>
      <c r="S1059">
        <v>-0.2292023</v>
      </c>
      <c r="T1059">
        <v>-0.25670520000000002</v>
      </c>
      <c r="U1059">
        <v>-3.34314</v>
      </c>
      <c r="V1059">
        <v>-1.4740090000000001E-2</v>
      </c>
      <c r="W1059">
        <v>0.37081589999999998</v>
      </c>
      <c r="X1059">
        <v>0.92858940000000001</v>
      </c>
      <c r="Y1059">
        <v>0.1098456</v>
      </c>
      <c r="Z1059">
        <v>6.7448850000000005E-2</v>
      </c>
      <c r="AA1059">
        <v>0.99165749999999997</v>
      </c>
      <c r="AB1059">
        <v>27</v>
      </c>
      <c r="AC1059">
        <v>-6.2299999999993298E-2</v>
      </c>
      <c r="AD1059">
        <v>-5.7360000000000001E-2</v>
      </c>
      <c r="AE1059">
        <v>-0.43470000000002001</v>
      </c>
      <c r="AF1059">
        <v>7.9067808481162294E-2</v>
      </c>
      <c r="AG1059">
        <v>-5.7360000000000001E-2</v>
      </c>
      <c r="AH1059">
        <v>0.42447376147428001</v>
      </c>
      <c r="AI1059">
        <v>97.567260910087995</v>
      </c>
      <c r="AJ1059">
        <v>79.448299209436897</v>
      </c>
      <c r="AK1059">
        <v>0.43556843563111602</v>
      </c>
      <c r="AL1059">
        <v>68.2340549767368</v>
      </c>
      <c r="AM1059">
        <v>90.909415962946795</v>
      </c>
      <c r="AN1059">
        <v>0.99999998786918798</v>
      </c>
    </row>
    <row r="1060" spans="1:40" x14ac:dyDescent="0.25">
      <c r="A1060" t="str">
        <f>"20190304164616223"</f>
        <v>20190304164616223</v>
      </c>
      <c r="B1060" t="str">
        <f>"1551689176219102"</f>
        <v>1551689176219102</v>
      </c>
      <c r="C1060" t="s">
        <v>40</v>
      </c>
      <c r="D1060">
        <v>4.6139029999999996</v>
      </c>
      <c r="E1060">
        <v>0.55738669999999901</v>
      </c>
      <c r="F1060" t="s">
        <v>41</v>
      </c>
      <c r="G1060">
        <v>-192.40020000000001</v>
      </c>
      <c r="H1060">
        <v>1.0084379999999999</v>
      </c>
      <c r="I1060">
        <v>339.22359999999998</v>
      </c>
      <c r="J1060">
        <v>-192.3289</v>
      </c>
      <c r="K1060">
        <v>1.1087149999999999</v>
      </c>
      <c r="L1060">
        <v>339.83690000000001</v>
      </c>
      <c r="M1060">
        <v>3.9375519999999997E-2</v>
      </c>
      <c r="N1060">
        <v>-8.6994900000000007E-3</v>
      </c>
      <c r="O1060">
        <v>-0.99918669999999998</v>
      </c>
      <c r="P1060">
        <v>5.2786449999999999E-2</v>
      </c>
      <c r="Q1060">
        <v>0.36105110000000001</v>
      </c>
      <c r="R1060">
        <v>-0.93105110000000002</v>
      </c>
      <c r="S1060">
        <v>-0.23153689999999999</v>
      </c>
      <c r="T1060">
        <v>-0.37648369999999998</v>
      </c>
      <c r="U1060">
        <v>-3.3852839999999902</v>
      </c>
      <c r="V1060">
        <v>-1.4549950000000001E-2</v>
      </c>
      <c r="W1060">
        <v>0.36921229999999999</v>
      </c>
      <c r="X1060">
        <v>0.92923120000000003</v>
      </c>
      <c r="Y1060">
        <v>0.1070603</v>
      </c>
      <c r="Z1060">
        <v>0.1012951</v>
      </c>
      <c r="AA1060">
        <v>0.98907909999999999</v>
      </c>
      <c r="AB1060">
        <v>27</v>
      </c>
      <c r="AC1060">
        <v>-7.1300000000007899E-2</v>
      </c>
      <c r="AD1060">
        <v>-0.10027699999999901</v>
      </c>
      <c r="AE1060">
        <v>-0.61330000000003704</v>
      </c>
      <c r="AF1060">
        <v>9.2943055459941207E-2</v>
      </c>
      <c r="AG1060">
        <v>-0.10027699999999901</v>
      </c>
      <c r="AH1060">
        <v>0.59433982417991305</v>
      </c>
      <c r="AI1060">
        <v>99.463848761035294</v>
      </c>
      <c r="AJ1060">
        <v>81.112051822947393</v>
      </c>
      <c r="AK1060">
        <v>0.60986368550147396</v>
      </c>
      <c r="AL1060">
        <v>68.332954539724</v>
      </c>
      <c r="AM1060">
        <v>90.897066959394607</v>
      </c>
      <c r="AN1060">
        <v>1.00000002328486</v>
      </c>
    </row>
    <row r="1061" spans="1:40" x14ac:dyDescent="0.25">
      <c r="A1061" t="str">
        <f>"20190304164616242"</f>
        <v>20190304164616242</v>
      </c>
      <c r="B1061" t="str">
        <f>"1551689176238620"</f>
        <v>1551689176238620</v>
      </c>
      <c r="C1061" t="s">
        <v>40</v>
      </c>
      <c r="D1061">
        <v>4.7138150000000003</v>
      </c>
      <c r="E1061">
        <v>0.55707109999999904</v>
      </c>
      <c r="F1061" t="s">
        <v>41</v>
      </c>
      <c r="G1061">
        <v>-192.39019999999999</v>
      </c>
      <c r="H1061">
        <v>1.0131650000000001</v>
      </c>
      <c r="I1061">
        <v>338.97579999999999</v>
      </c>
      <c r="J1061">
        <v>-192.32159999999999</v>
      </c>
      <c r="K1061">
        <v>1.108711</v>
      </c>
      <c r="L1061">
        <v>339.59589999999997</v>
      </c>
      <c r="M1061">
        <v>3.7354930000000001E-2</v>
      </c>
      <c r="N1061">
        <v>-8.7106779999999995E-3</v>
      </c>
      <c r="O1061">
        <v>-0.99926440000000005</v>
      </c>
      <c r="P1061">
        <v>5.0231049999999999E-2</v>
      </c>
      <c r="Q1061">
        <v>0.35923189999999999</v>
      </c>
      <c r="R1061">
        <v>-0.93189560000000005</v>
      </c>
      <c r="S1061">
        <v>-0.2407379</v>
      </c>
      <c r="T1061">
        <v>-0.375218</v>
      </c>
      <c r="U1061">
        <v>-3.3813170000000001</v>
      </c>
      <c r="V1061">
        <v>-1.3852980000000001E-2</v>
      </c>
      <c r="W1061">
        <v>0.3674075</v>
      </c>
      <c r="X1061">
        <v>0.92995689999999998</v>
      </c>
      <c r="Y1061">
        <v>0.1078088</v>
      </c>
      <c r="Z1061">
        <v>0.10104349999999999</v>
      </c>
      <c r="AA1061">
        <v>0.98902350000000006</v>
      </c>
      <c r="AB1061">
        <v>27</v>
      </c>
      <c r="AC1061">
        <v>-6.8600000000003505E-2</v>
      </c>
      <c r="AD1061">
        <v>-9.5546000000000103E-2</v>
      </c>
      <c r="AE1061">
        <v>-0.620099999999979</v>
      </c>
      <c r="AF1061">
        <v>8.9614943935718103E-2</v>
      </c>
      <c r="AG1061">
        <v>-9.5546000000000103E-2</v>
      </c>
      <c r="AH1061">
        <v>0.60296258682408999</v>
      </c>
      <c r="AI1061">
        <v>98.9080205798289</v>
      </c>
      <c r="AJ1061">
        <v>81.546332450781406</v>
      </c>
      <c r="AK1061">
        <v>0.61702816580947095</v>
      </c>
      <c r="AL1061">
        <v>68.4441804591589</v>
      </c>
      <c r="AM1061">
        <v>90.853435881171805</v>
      </c>
      <c r="AN1061">
        <v>1.0000000059843701</v>
      </c>
    </row>
    <row r="1062" spans="1:40" x14ac:dyDescent="0.25">
      <c r="A1062" t="str">
        <f>"20190304164616263"</f>
        <v>20190304164616263</v>
      </c>
      <c r="B1062" t="str">
        <f>"1551689176259117"</f>
        <v>1551689176259117</v>
      </c>
      <c r="C1062" t="s">
        <v>40</v>
      </c>
      <c r="D1062">
        <v>4.626665</v>
      </c>
      <c r="E1062">
        <v>0.55641569999999996</v>
      </c>
      <c r="F1062" t="s">
        <v>41</v>
      </c>
      <c r="G1062">
        <v>-192.38390000000001</v>
      </c>
      <c r="H1062">
        <v>1.010483</v>
      </c>
      <c r="I1062">
        <v>338.73099999999999</v>
      </c>
      <c r="J1062">
        <v>-192.3142</v>
      </c>
      <c r="K1062">
        <v>1.108711</v>
      </c>
      <c r="L1062">
        <v>339.33679999999998</v>
      </c>
      <c r="M1062">
        <v>3.5184849999999997E-2</v>
      </c>
      <c r="N1062">
        <v>-8.7423799999999992E-3</v>
      </c>
      <c r="O1062">
        <v>-0.99934259999999997</v>
      </c>
      <c r="P1062">
        <v>4.7734890000000002E-2</v>
      </c>
      <c r="Q1062">
        <v>0.35770279999999999</v>
      </c>
      <c r="R1062">
        <v>-0.93261470000000002</v>
      </c>
      <c r="S1062">
        <v>-0.24296570000000001</v>
      </c>
      <c r="T1062">
        <v>-0.38399240000000001</v>
      </c>
      <c r="U1062">
        <v>-3.380341</v>
      </c>
      <c r="V1062">
        <v>-1.335947E-2</v>
      </c>
      <c r="W1062">
        <v>0.36591119999999999</v>
      </c>
      <c r="X1062">
        <v>0.93055390000000004</v>
      </c>
      <c r="Y1062">
        <v>0.10629909999999999</v>
      </c>
      <c r="Z1062">
        <v>0.10360030000000001</v>
      </c>
      <c r="AA1062">
        <v>0.98892239999999998</v>
      </c>
      <c r="AB1062">
        <v>27</v>
      </c>
      <c r="AC1062">
        <v>-6.97000000000116E-2</v>
      </c>
      <c r="AD1062">
        <v>-9.8227999999999899E-2</v>
      </c>
      <c r="AE1062">
        <v>-0.60579999999998702</v>
      </c>
      <c r="AF1062">
        <v>8.8671796902863795E-2</v>
      </c>
      <c r="AG1062">
        <v>-9.8227999999999899E-2</v>
      </c>
      <c r="AH1062">
        <v>0.58772228597381604</v>
      </c>
      <c r="AI1062">
        <v>99.384054680685296</v>
      </c>
      <c r="AJ1062">
        <v>81.420286616523498</v>
      </c>
      <c r="AK1062">
        <v>0.60243581648194799</v>
      </c>
      <c r="AL1062">
        <v>68.536330212290395</v>
      </c>
      <c r="AM1062">
        <v>90.822508686614995</v>
      </c>
      <c r="AN1062">
        <v>1.00000002126466</v>
      </c>
    </row>
    <row r="1063" spans="1:40" x14ac:dyDescent="0.25">
      <c r="A1063" t="str">
        <f>"20190304164616287"</f>
        <v>20190304164616287</v>
      </c>
      <c r="B1063" t="str">
        <f>"1551689176278636"</f>
        <v>1551689176278636</v>
      </c>
      <c r="C1063" t="s">
        <v>40</v>
      </c>
      <c r="D1063">
        <v>4.6319800000000004</v>
      </c>
      <c r="E1063">
        <v>0.55614419999999898</v>
      </c>
      <c r="F1063" t="s">
        <v>41</v>
      </c>
      <c r="G1063">
        <v>-192.37559999999999</v>
      </c>
      <c r="H1063">
        <v>1.0102070000000001</v>
      </c>
      <c r="I1063">
        <v>338.48469999999998</v>
      </c>
      <c r="J1063">
        <v>-192.3064</v>
      </c>
      <c r="K1063">
        <v>1.108724</v>
      </c>
      <c r="L1063">
        <v>339.03969999999998</v>
      </c>
      <c r="M1063">
        <v>3.2699310000000002E-2</v>
      </c>
      <c r="N1063">
        <v>-8.8095450000000002E-3</v>
      </c>
      <c r="O1063">
        <v>-0.9994267</v>
      </c>
      <c r="P1063">
        <v>4.5726879999999998E-2</v>
      </c>
      <c r="Q1063">
        <v>0.35814689999999999</v>
      </c>
      <c r="R1063">
        <v>-0.93254539999999997</v>
      </c>
      <c r="S1063">
        <v>-0.24333189999999999</v>
      </c>
      <c r="T1063">
        <v>-0.39069029999999999</v>
      </c>
      <c r="U1063">
        <v>-3.3790279999999999</v>
      </c>
      <c r="V1063">
        <v>-1.366848E-2</v>
      </c>
      <c r="W1063">
        <v>0.36641750000000001</v>
      </c>
      <c r="X1063">
        <v>0.93035020000000002</v>
      </c>
      <c r="Y1063">
        <v>0.1039453</v>
      </c>
      <c r="Z1063">
        <v>0.10554139999999999</v>
      </c>
      <c r="AA1063">
        <v>0.98896740000000005</v>
      </c>
      <c r="AB1063">
        <v>27</v>
      </c>
      <c r="AC1063">
        <v>-6.9199999999995002E-2</v>
      </c>
      <c r="AD1063">
        <v>-9.8516999999999896E-2</v>
      </c>
      <c r="AE1063">
        <v>-0.55500000000000604</v>
      </c>
      <c r="AF1063">
        <v>8.4684325661966403E-2</v>
      </c>
      <c r="AG1063">
        <v>-9.8516999999999896E-2</v>
      </c>
      <c r="AH1063">
        <v>0.53581566922601798</v>
      </c>
      <c r="AI1063">
        <v>100.293265564047</v>
      </c>
      <c r="AJ1063">
        <v>81.018833942766094</v>
      </c>
      <c r="AK1063">
        <v>0.551339700810623</v>
      </c>
      <c r="AL1063">
        <v>68.505157059368003</v>
      </c>
      <c r="AM1063">
        <v>90.841715170127799</v>
      </c>
      <c r="AN1063">
        <v>1.0000000531458899</v>
      </c>
    </row>
    <row r="1064" spans="1:40" x14ac:dyDescent="0.25">
      <c r="A1064" t="str">
        <f>"20190304164616309"</f>
        <v>20190304164616309</v>
      </c>
      <c r="B1064" t="str">
        <f>"1551689176299132"</f>
        <v>1551689176299132</v>
      </c>
      <c r="C1064" t="s">
        <v>40</v>
      </c>
      <c r="D1064">
        <v>4.6228189999999998</v>
      </c>
      <c r="E1064">
        <v>0.55627819999999994</v>
      </c>
      <c r="F1064" t="s">
        <v>41</v>
      </c>
      <c r="G1064">
        <v>-192.36510000000001</v>
      </c>
      <c r="H1064">
        <v>1.017083</v>
      </c>
      <c r="I1064">
        <v>338.2346</v>
      </c>
      <c r="J1064">
        <v>-192.29990000000001</v>
      </c>
      <c r="K1064">
        <v>1.108738</v>
      </c>
      <c r="L1064">
        <v>338.76690000000002</v>
      </c>
      <c r="M1064">
        <v>3.0417389999999999E-2</v>
      </c>
      <c r="N1064">
        <v>-8.9064950000000004E-3</v>
      </c>
      <c r="O1064">
        <v>-0.99949779999999999</v>
      </c>
      <c r="P1064">
        <v>4.4015230000000002E-2</v>
      </c>
      <c r="Q1064">
        <v>0.36004069999999999</v>
      </c>
      <c r="R1064">
        <v>-0.93189789999999995</v>
      </c>
      <c r="S1064">
        <v>-0.24551390000000001</v>
      </c>
      <c r="T1064">
        <v>-0.38442979999999999</v>
      </c>
      <c r="U1064">
        <v>-3.3767089999999902</v>
      </c>
      <c r="V1064">
        <v>-1.409403E-2</v>
      </c>
      <c r="W1064">
        <v>0.36839759999999999</v>
      </c>
      <c r="X1064">
        <v>0.92956150000000004</v>
      </c>
      <c r="Y1064">
        <v>0.1023739</v>
      </c>
      <c r="Z1064">
        <v>0.10373060000000001</v>
      </c>
      <c r="AA1064">
        <v>0.98932279999999995</v>
      </c>
      <c r="AB1064">
        <v>28</v>
      </c>
      <c r="AC1064">
        <v>-6.5200000000004296E-2</v>
      </c>
      <c r="AD1064">
        <v>-9.1655E-2</v>
      </c>
      <c r="AE1064">
        <v>-0.53230000000001998</v>
      </c>
      <c r="AF1064">
        <v>7.9052517842349096E-2</v>
      </c>
      <c r="AG1064">
        <v>-9.1655E-2</v>
      </c>
      <c r="AH1064">
        <v>0.51502644680645704</v>
      </c>
      <c r="AI1064">
        <v>99.976365682928602</v>
      </c>
      <c r="AJ1064">
        <v>81.273652615718703</v>
      </c>
      <c r="AK1064">
        <v>0.529057823410919</v>
      </c>
      <c r="AL1064">
        <v>68.383173156486606</v>
      </c>
      <c r="AM1064">
        <v>90.868653191648804</v>
      </c>
      <c r="AN1064">
        <v>1.0000000078248199</v>
      </c>
    </row>
    <row r="1065" spans="1:40" x14ac:dyDescent="0.25">
      <c r="A1065" t="str">
        <f>"20190304164616332"</f>
        <v>20190304164616332</v>
      </c>
      <c r="B1065" t="str">
        <f>"1551689176329388"</f>
        <v>1551689176329388</v>
      </c>
      <c r="C1065" t="s">
        <v>40</v>
      </c>
      <c r="D1065">
        <v>4.5916779999999999</v>
      </c>
      <c r="E1065">
        <v>0.55622369999999899</v>
      </c>
      <c r="F1065" t="s">
        <v>41</v>
      </c>
      <c r="G1065">
        <v>-192.3587</v>
      </c>
      <c r="H1065">
        <v>1.0231779999999999</v>
      </c>
      <c r="I1065">
        <v>337.98450000000003</v>
      </c>
      <c r="J1065">
        <v>-192.29409999999999</v>
      </c>
      <c r="K1065">
        <v>1.1087610000000001</v>
      </c>
      <c r="L1065">
        <v>338.49310000000003</v>
      </c>
      <c r="M1065">
        <v>2.8128630000000002E-2</v>
      </c>
      <c r="N1065">
        <v>-9.0426970000000006E-3</v>
      </c>
      <c r="O1065">
        <v>-0.99956369999999894</v>
      </c>
      <c r="P1065">
        <v>4.3085890000000002E-2</v>
      </c>
      <c r="Q1065">
        <v>0.36233490000000002</v>
      </c>
      <c r="R1065">
        <v>-0.93105190000000004</v>
      </c>
      <c r="S1065">
        <v>-0.25247190000000003</v>
      </c>
      <c r="T1065">
        <v>-0.36915589999999998</v>
      </c>
      <c r="U1065">
        <v>-3.3738100000000002</v>
      </c>
      <c r="V1065">
        <v>-1.5308189999999999E-2</v>
      </c>
      <c r="W1065">
        <v>0.37081500000000001</v>
      </c>
      <c r="X1065">
        <v>0.92858059999999998</v>
      </c>
      <c r="Y1065">
        <v>0.1022223</v>
      </c>
      <c r="Z1065">
        <v>9.9266740000000006E-2</v>
      </c>
      <c r="AA1065">
        <v>0.98979629999999996</v>
      </c>
      <c r="AB1065">
        <v>28</v>
      </c>
      <c r="AC1065">
        <v>-6.46000000000128E-2</v>
      </c>
      <c r="AD1065">
        <v>-8.5582999999999895E-2</v>
      </c>
      <c r="AE1065">
        <v>-0.50860000000000105</v>
      </c>
      <c r="AF1065">
        <v>7.6742739307948199E-2</v>
      </c>
      <c r="AG1065">
        <v>-8.5582999999999895E-2</v>
      </c>
      <c r="AH1065">
        <v>0.49284794252569503</v>
      </c>
      <c r="AI1065">
        <v>99.736131201655695</v>
      </c>
      <c r="AJ1065">
        <v>81.149388358570903</v>
      </c>
      <c r="AK1065">
        <v>0.50607607370562302</v>
      </c>
      <c r="AL1065">
        <v>68.234111186247503</v>
      </c>
      <c r="AM1065">
        <v>90.944468616572294</v>
      </c>
      <c r="AN1065">
        <v>1.0000000178012101</v>
      </c>
    </row>
    <row r="1066" spans="1:40" x14ac:dyDescent="0.25">
      <c r="A1066" t="str">
        <f>"20190304164616353"</f>
        <v>20190304164616353</v>
      </c>
      <c r="B1066" t="str">
        <f>"1551689176348909"</f>
        <v>1551689176348909</v>
      </c>
      <c r="C1066" t="s">
        <v>40</v>
      </c>
      <c r="D1066">
        <v>4.6169510000000002</v>
      </c>
      <c r="E1066">
        <v>0.5564173</v>
      </c>
      <c r="F1066" t="s">
        <v>41</v>
      </c>
      <c r="G1066">
        <v>-192.35159999999999</v>
      </c>
      <c r="H1066">
        <v>1.0282500000000001</v>
      </c>
      <c r="I1066">
        <v>337.73469999999998</v>
      </c>
      <c r="J1066">
        <v>-192.28880000000001</v>
      </c>
      <c r="K1066">
        <v>1.108798</v>
      </c>
      <c r="L1066">
        <v>338.21879999999999</v>
      </c>
      <c r="M1066">
        <v>2.5836520000000002E-2</v>
      </c>
      <c r="N1066">
        <v>-9.2275310000000006E-3</v>
      </c>
      <c r="O1066">
        <v>-0.9996235</v>
      </c>
      <c r="P1066">
        <v>4.331231E-2</v>
      </c>
      <c r="Q1066">
        <v>0.36391430000000002</v>
      </c>
      <c r="R1066">
        <v>-0.9304249</v>
      </c>
      <c r="S1066">
        <v>-0.25538640000000001</v>
      </c>
      <c r="T1066">
        <v>-0.35832730000000002</v>
      </c>
      <c r="U1066">
        <v>-3.3734130000000002</v>
      </c>
      <c r="V1066">
        <v>-1.7673810000000002E-2</v>
      </c>
      <c r="W1066">
        <v>0.37257069999999998</v>
      </c>
      <c r="X1066">
        <v>0.92783550000000004</v>
      </c>
      <c r="Y1066">
        <v>0.10082579999999999</v>
      </c>
      <c r="Z1066">
        <v>9.5966380000000004E-2</v>
      </c>
      <c r="AA1066">
        <v>0.9902649</v>
      </c>
      <c r="AB1066">
        <v>28</v>
      </c>
      <c r="AC1066">
        <v>-6.2799999999981496E-2</v>
      </c>
      <c r="AD1066">
        <v>-8.05479999999998E-2</v>
      </c>
      <c r="AE1066">
        <v>-0.48410000000001202</v>
      </c>
      <c r="AF1066">
        <v>7.3291555924751395E-2</v>
      </c>
      <c r="AG1066">
        <v>-8.05479999999998E-2</v>
      </c>
      <c r="AH1066">
        <v>0.46953207370237698</v>
      </c>
      <c r="AI1066">
        <v>99.620032396608394</v>
      </c>
      <c r="AJ1066">
        <v>81.128016577805198</v>
      </c>
      <c r="AK1066">
        <v>0.48199585134015999</v>
      </c>
      <c r="AL1066">
        <v>68.125753432074703</v>
      </c>
      <c r="AM1066">
        <v>91.091262698901204</v>
      </c>
      <c r="AN1066">
        <v>1.0000000025593201</v>
      </c>
    </row>
    <row r="1067" spans="1:40" x14ac:dyDescent="0.25">
      <c r="A1067" t="str">
        <f>"20190304164616377"</f>
        <v>20190304164616377</v>
      </c>
      <c r="B1067" t="str">
        <f>"1551689176369404"</f>
        <v>1551689176369404</v>
      </c>
      <c r="C1067" t="s">
        <v>40</v>
      </c>
      <c r="D1067">
        <v>4.5514159999999997</v>
      </c>
      <c r="E1067">
        <v>0.55649729999999997</v>
      </c>
      <c r="F1067" t="s">
        <v>41</v>
      </c>
      <c r="G1067">
        <v>-192.3451</v>
      </c>
      <c r="H1067">
        <v>1.0323</v>
      </c>
      <c r="I1067">
        <v>337.4853</v>
      </c>
      <c r="J1067">
        <v>-192.2841</v>
      </c>
      <c r="K1067">
        <v>1.108838</v>
      </c>
      <c r="L1067">
        <v>337.93560000000002</v>
      </c>
      <c r="M1067">
        <v>2.3471539999999999E-2</v>
      </c>
      <c r="N1067">
        <v>-9.4702060000000001E-3</v>
      </c>
      <c r="O1067">
        <v>-0.99967989999999995</v>
      </c>
      <c r="P1067">
        <v>4.2543320000000003E-2</v>
      </c>
      <c r="Q1067">
        <v>0.36369509999999999</v>
      </c>
      <c r="R1067">
        <v>-0.9305464</v>
      </c>
      <c r="S1067">
        <v>-0.25805660000000002</v>
      </c>
      <c r="T1067">
        <v>-0.351991099999999</v>
      </c>
      <c r="U1067">
        <v>-3.3740230000000002</v>
      </c>
      <c r="V1067">
        <v>-1.9099189999999999E-2</v>
      </c>
      <c r="W1067">
        <v>0.3725831</v>
      </c>
      <c r="X1067">
        <v>0.92780229999999997</v>
      </c>
      <c r="Y1067">
        <v>9.9253300000000003E-2</v>
      </c>
      <c r="Z1067">
        <v>9.3880030000000003E-2</v>
      </c>
      <c r="AA1067">
        <v>0.9906237</v>
      </c>
      <c r="AB1067">
        <v>28</v>
      </c>
      <c r="AC1067">
        <v>-6.1000000000007E-2</v>
      </c>
      <c r="AD1067">
        <v>-7.6537999999999995E-2</v>
      </c>
      <c r="AE1067">
        <v>-0.45030000000002701</v>
      </c>
      <c r="AF1067">
        <v>6.95789729119385E-2</v>
      </c>
      <c r="AG1067">
        <v>-7.6537999999999995E-2</v>
      </c>
      <c r="AH1067">
        <v>0.43636462492706501</v>
      </c>
      <c r="AI1067">
        <v>99.826763598398898</v>
      </c>
      <c r="AJ1067">
        <v>80.940370690082403</v>
      </c>
      <c r="AK1067">
        <v>0.44845666992834199</v>
      </c>
      <c r="AL1067">
        <v>68.124988397755601</v>
      </c>
      <c r="AM1067">
        <v>91.179290507043106</v>
      </c>
      <c r="AN1067">
        <v>1.0000000266747699</v>
      </c>
    </row>
    <row r="1068" spans="1:40" x14ac:dyDescent="0.25">
      <c r="A1068" t="str">
        <f>"20190304164616400"</f>
        <v>20190304164616400</v>
      </c>
      <c r="B1068" t="str">
        <f>"1551689176388924"</f>
        <v>1551689176388924</v>
      </c>
      <c r="C1068" t="s">
        <v>40</v>
      </c>
      <c r="D1068">
        <v>4.6845860000000004</v>
      </c>
      <c r="E1068">
        <v>0.55729910000000005</v>
      </c>
      <c r="F1068" t="s">
        <v>41</v>
      </c>
      <c r="G1068">
        <v>-192.3571</v>
      </c>
      <c r="H1068">
        <v>1.011917</v>
      </c>
      <c r="I1068">
        <v>336.99979999999999</v>
      </c>
      <c r="J1068">
        <v>-192.28</v>
      </c>
      <c r="K1068">
        <v>1.1088750000000001</v>
      </c>
      <c r="L1068">
        <v>337.64949999999999</v>
      </c>
      <c r="M1068">
        <v>2.108428E-2</v>
      </c>
      <c r="N1068">
        <v>-9.7541499999999996E-3</v>
      </c>
      <c r="O1068">
        <v>-0.99973020000000001</v>
      </c>
      <c r="P1068">
        <v>4.1793070000000002E-2</v>
      </c>
      <c r="Q1068">
        <v>0.36297309999999999</v>
      </c>
      <c r="R1068">
        <v>-0.93086179999999996</v>
      </c>
      <c r="S1068">
        <v>-0.2629089</v>
      </c>
      <c r="T1068">
        <v>-0.34935959999999899</v>
      </c>
      <c r="U1068">
        <v>-3.372528</v>
      </c>
      <c r="V1068">
        <v>-2.0563999999999999E-2</v>
      </c>
      <c r="W1068">
        <v>0.3721334</v>
      </c>
      <c r="X1068">
        <v>0.92795139999999998</v>
      </c>
      <c r="Y1068">
        <v>9.833393E-2</v>
      </c>
      <c r="Z1068">
        <v>9.2885140000000005E-2</v>
      </c>
      <c r="AA1068">
        <v>0.9908091</v>
      </c>
      <c r="AB1068">
        <v>28</v>
      </c>
      <c r="AC1068">
        <v>-7.7100000000001501E-2</v>
      </c>
      <c r="AD1068">
        <v>-9.69580000000001E-2</v>
      </c>
      <c r="AE1068">
        <v>-0.64969999999999495</v>
      </c>
      <c r="AF1068">
        <v>8.88310748522569E-2</v>
      </c>
      <c r="AG1068">
        <v>-9.69580000000001E-2</v>
      </c>
      <c r="AH1068">
        <v>0.63400596229461803</v>
      </c>
      <c r="AI1068">
        <v>98.611989371620794</v>
      </c>
      <c r="AJ1068">
        <v>82.024164049331205</v>
      </c>
      <c r="AK1068">
        <v>0.64749932343480698</v>
      </c>
      <c r="AL1068">
        <v>68.152749493814994</v>
      </c>
      <c r="AM1068">
        <v>91.269503545889094</v>
      </c>
      <c r="AN1068">
        <v>0.99999997312675903</v>
      </c>
    </row>
    <row r="1069" spans="1:40" x14ac:dyDescent="0.25">
      <c r="A1069" t="str">
        <f>"20190304164616423"</f>
        <v>20190304164616423</v>
      </c>
      <c r="B1069" t="str">
        <f>"1551689176419180"</f>
        <v>1551689176419180</v>
      </c>
      <c r="C1069" t="s">
        <v>40</v>
      </c>
      <c r="D1069">
        <v>4.6790979999999998</v>
      </c>
      <c r="E1069">
        <v>0.55826500000000001</v>
      </c>
      <c r="F1069" t="s">
        <v>41</v>
      </c>
      <c r="G1069">
        <v>-192.35249999999999</v>
      </c>
      <c r="H1069">
        <v>1.0142949999999999</v>
      </c>
      <c r="I1069">
        <v>336.75119999999998</v>
      </c>
      <c r="J1069">
        <v>-192.2766</v>
      </c>
      <c r="K1069">
        <v>1.1089230000000001</v>
      </c>
      <c r="L1069">
        <v>337.35989999999998</v>
      </c>
      <c r="M1069">
        <v>1.8667679999999999E-2</v>
      </c>
      <c r="N1069">
        <v>-1.005347E-2</v>
      </c>
      <c r="O1069">
        <v>-0.99977519999999998</v>
      </c>
      <c r="P1069">
        <v>4.0470699999999998E-2</v>
      </c>
      <c r="Q1069">
        <v>0.36193730000000002</v>
      </c>
      <c r="R1069">
        <v>-0.93132360000000003</v>
      </c>
      <c r="S1069">
        <v>-0.271698</v>
      </c>
      <c r="T1069">
        <v>-0.35531489999999999</v>
      </c>
      <c r="U1069">
        <v>-3.3735659999999998</v>
      </c>
      <c r="V1069">
        <v>-2.1486439999999999E-2</v>
      </c>
      <c r="W1069">
        <v>0.37138359999999998</v>
      </c>
      <c r="X1069">
        <v>0.92823089999999997</v>
      </c>
      <c r="Y1069">
        <v>9.8456929999999998E-2</v>
      </c>
      <c r="Z1069">
        <v>9.428388E-2</v>
      </c>
      <c r="AA1069">
        <v>0.99066480000000001</v>
      </c>
      <c r="AB1069">
        <v>28</v>
      </c>
      <c r="AC1069">
        <v>-7.5899999999990003E-2</v>
      </c>
      <c r="AD1069">
        <v>-9.4627999999999698E-2</v>
      </c>
      <c r="AE1069">
        <v>-0.60869999999999802</v>
      </c>
      <c r="AF1069">
        <v>8.5222282258052007E-2</v>
      </c>
      <c r="AG1069">
        <v>-9.4627999999999698E-2</v>
      </c>
      <c r="AH1069">
        <v>0.59306351302481597</v>
      </c>
      <c r="AI1069">
        <v>98.974914273699497</v>
      </c>
      <c r="AJ1069">
        <v>81.822666334499203</v>
      </c>
      <c r="AK1069">
        <v>0.60658192048445303</v>
      </c>
      <c r="AL1069">
        <v>68.199027754260598</v>
      </c>
      <c r="AM1069">
        <v>91.326030539320698</v>
      </c>
      <c r="AN1069">
        <v>1.0000000245838201</v>
      </c>
    </row>
    <row r="1070" spans="1:40" x14ac:dyDescent="0.25">
      <c r="A1070" t="str">
        <f>"20190304164616454"</f>
        <v>20190304164616454</v>
      </c>
      <c r="B1070" t="str">
        <f>"1551689176449437"</f>
        <v>1551689176449437</v>
      </c>
      <c r="C1070" t="s">
        <v>40</v>
      </c>
      <c r="D1070">
        <v>4.6721529999999998</v>
      </c>
      <c r="E1070">
        <v>0.55897640000000004</v>
      </c>
      <c r="F1070" t="s">
        <v>41</v>
      </c>
      <c r="G1070">
        <v>-192.34880000000001</v>
      </c>
      <c r="H1070">
        <v>1.016591</v>
      </c>
      <c r="I1070">
        <v>336.50279999999998</v>
      </c>
      <c r="J1070">
        <v>-192.2731</v>
      </c>
      <c r="K1070">
        <v>1.1089800000000001</v>
      </c>
      <c r="L1070">
        <v>336.97629999999998</v>
      </c>
      <c r="M1070">
        <v>1.547283E-2</v>
      </c>
      <c r="N1070">
        <v>-1.048027E-2</v>
      </c>
      <c r="O1070">
        <v>-0.99982539999999998</v>
      </c>
      <c r="P1070">
        <v>3.8753419999999997E-2</v>
      </c>
      <c r="Q1070">
        <v>0.36106579999999999</v>
      </c>
      <c r="R1070">
        <v>-0.93173499999999998</v>
      </c>
      <c r="S1070">
        <v>-0.2842865</v>
      </c>
      <c r="T1070">
        <v>-0.36359409999999998</v>
      </c>
      <c r="U1070">
        <v>-3.3748779999999998</v>
      </c>
      <c r="V1070">
        <v>-2.2745359999999999E-2</v>
      </c>
      <c r="W1070">
        <v>0.37091649999999998</v>
      </c>
      <c r="X1070">
        <v>0.92838759999999998</v>
      </c>
      <c r="Y1070">
        <v>9.8897100000000002E-2</v>
      </c>
      <c r="Z1070">
        <v>9.6214309999999997E-2</v>
      </c>
      <c r="AA1070">
        <v>0.99043539999999997</v>
      </c>
      <c r="AB1070">
        <v>28</v>
      </c>
      <c r="AC1070">
        <v>-7.57000000000118E-2</v>
      </c>
      <c r="AD1070">
        <v>-9.2388999999999805E-2</v>
      </c>
      <c r="AE1070">
        <v>-0.47350000000000098</v>
      </c>
      <c r="AF1070">
        <v>8.0046192079606004E-2</v>
      </c>
      <c r="AG1070">
        <v>-9.2388999999999805E-2</v>
      </c>
      <c r="AH1070">
        <v>0.45536747637193598</v>
      </c>
      <c r="AI1070">
        <v>101.30029567845</v>
      </c>
      <c r="AJ1070">
        <v>80.0301903872857</v>
      </c>
      <c r="AK1070">
        <v>0.47148982886674301</v>
      </c>
      <c r="AL1070">
        <v>68.2278479670275</v>
      </c>
      <c r="AM1070">
        <v>91.403457432292399</v>
      </c>
      <c r="AN1070">
        <v>0.99999996860376905</v>
      </c>
    </row>
    <row r="1071" spans="1:40" x14ac:dyDescent="0.25">
      <c r="A1071" t="str">
        <f>"20190304164616477"</f>
        <v>20190304164616477</v>
      </c>
      <c r="B1071" t="str">
        <f>"1551689176468956"</f>
        <v>1551689176468956</v>
      </c>
      <c r="C1071" t="s">
        <v>40</v>
      </c>
      <c r="D1071">
        <v>4.6843709999999996</v>
      </c>
      <c r="E1071">
        <v>0.55940140000000005</v>
      </c>
      <c r="F1071" t="s">
        <v>41</v>
      </c>
      <c r="G1071">
        <v>-192.33709999999999</v>
      </c>
      <c r="H1071">
        <v>1.0293760000000001</v>
      </c>
      <c r="I1071">
        <v>336.24959999999999</v>
      </c>
      <c r="J1071">
        <v>-192.2713</v>
      </c>
      <c r="K1071">
        <v>1.1090469999999999</v>
      </c>
      <c r="L1071">
        <v>336.6891</v>
      </c>
      <c r="M1071">
        <v>1.309888E-2</v>
      </c>
      <c r="N1071">
        <v>-1.084529E-2</v>
      </c>
      <c r="O1071">
        <v>-0.99985550000000001</v>
      </c>
      <c r="P1071">
        <v>3.6979140000000001E-2</v>
      </c>
      <c r="Q1071">
        <v>0.36129480000000003</v>
      </c>
      <c r="R1071">
        <v>-0.93171839999999995</v>
      </c>
      <c r="S1071">
        <v>-0.29631039999999997</v>
      </c>
      <c r="T1071">
        <v>-0.37002089999999999</v>
      </c>
      <c r="U1071">
        <v>-3.3755190000000002</v>
      </c>
      <c r="V1071">
        <v>-2.319388E-2</v>
      </c>
      <c r="W1071">
        <v>0.3714845</v>
      </c>
      <c r="X1071">
        <v>0.92814940000000001</v>
      </c>
      <c r="Y1071">
        <v>0.10000439999999999</v>
      </c>
      <c r="Z1071">
        <v>9.7679470000000004E-2</v>
      </c>
      <c r="AA1071">
        <v>0.99018070000000002</v>
      </c>
      <c r="AB1071">
        <v>28</v>
      </c>
      <c r="AC1071">
        <v>-6.5799999999995806E-2</v>
      </c>
      <c r="AD1071">
        <v>-7.9670999999999798E-2</v>
      </c>
      <c r="AE1071">
        <v>-0.43950000000000899</v>
      </c>
      <c r="AF1071">
        <v>6.9323540945866902E-2</v>
      </c>
      <c r="AG1071">
        <v>-7.9670999999999798E-2</v>
      </c>
      <c r="AH1071">
        <v>0.42494237615913499</v>
      </c>
      <c r="AI1071">
        <v>100.48346076229799</v>
      </c>
      <c r="AJ1071">
        <v>80.734596130641606</v>
      </c>
      <c r="AK1071">
        <v>0.43786898111883299</v>
      </c>
      <c r="AL1071">
        <v>68.192800574834493</v>
      </c>
      <c r="AM1071">
        <v>91.431488202980702</v>
      </c>
      <c r="AN1071">
        <v>0.99999999926503202</v>
      </c>
    </row>
    <row r="1072" spans="1:40" x14ac:dyDescent="0.25">
      <c r="A1072" t="str">
        <f>"20190304164616498"</f>
        <v>20190304164616498</v>
      </c>
      <c r="B1072" t="str">
        <f>"1551689176489452"</f>
        <v>1551689176489452</v>
      </c>
      <c r="C1072" t="s">
        <v>40</v>
      </c>
      <c r="D1072">
        <v>4.6729979999999998</v>
      </c>
      <c r="E1072">
        <v>0.55973930000000005</v>
      </c>
      <c r="F1072" t="s">
        <v>41</v>
      </c>
      <c r="G1072">
        <v>-192.35509999999999</v>
      </c>
      <c r="H1072">
        <v>1.007617</v>
      </c>
      <c r="I1072">
        <v>335.76670000000001</v>
      </c>
      <c r="J1072">
        <v>-192.27029999999999</v>
      </c>
      <c r="K1072">
        <v>1.1091200000000001</v>
      </c>
      <c r="L1072">
        <v>336.42860000000002</v>
      </c>
      <c r="M1072">
        <v>1.0966129999999999E-2</v>
      </c>
      <c r="N1072">
        <v>-1.118267E-2</v>
      </c>
      <c r="O1072">
        <v>-0.99987749999999997</v>
      </c>
      <c r="P1072">
        <v>3.4994440000000002E-2</v>
      </c>
      <c r="Q1072">
        <v>0.36124020000000001</v>
      </c>
      <c r="R1072">
        <v>-0.93181610000000004</v>
      </c>
      <c r="S1072">
        <v>-0.30584719999999999</v>
      </c>
      <c r="T1072">
        <v>-0.37132470000000001</v>
      </c>
      <c r="U1072">
        <v>-3.3759769999999998</v>
      </c>
      <c r="V1072">
        <v>-2.3215199999999998E-2</v>
      </c>
      <c r="W1072">
        <v>0.37174210000000002</v>
      </c>
      <c r="X1072">
        <v>0.92804569999999997</v>
      </c>
      <c r="Y1072">
        <v>0.1006426</v>
      </c>
      <c r="Z1072">
        <v>9.769514E-2</v>
      </c>
      <c r="AA1072">
        <v>0.99011450000000001</v>
      </c>
      <c r="AB1072">
        <v>28</v>
      </c>
      <c r="AC1072">
        <v>-8.4800000000001305E-2</v>
      </c>
      <c r="AD1072">
        <v>-0.101503</v>
      </c>
      <c r="AE1072">
        <v>-0.66190000000000204</v>
      </c>
      <c r="AF1072">
        <v>8.9972170314933306E-2</v>
      </c>
      <c r="AG1072">
        <v>-0.101503</v>
      </c>
      <c r="AH1072">
        <v>0.64598422943042</v>
      </c>
      <c r="AI1072">
        <v>98.845810868867503</v>
      </c>
      <c r="AJ1072">
        <v>82.070898194382806</v>
      </c>
      <c r="AK1072">
        <v>0.66007081068093998</v>
      </c>
      <c r="AL1072">
        <v>68.176902205725199</v>
      </c>
      <c r="AM1072">
        <v>91.432963525108207</v>
      </c>
      <c r="AN1072">
        <v>0.99999997785596895</v>
      </c>
    </row>
    <row r="1073" spans="1:40" x14ac:dyDescent="0.25">
      <c r="A1073" t="str">
        <f>"20190304164616522"</f>
        <v>20190304164616522</v>
      </c>
      <c r="B1073" t="str">
        <f>"1551689176519103"</f>
        <v>1551689176519103</v>
      </c>
      <c r="C1073" t="s">
        <v>40</v>
      </c>
      <c r="D1073">
        <v>4.6828200000000004</v>
      </c>
      <c r="E1073">
        <v>0.5601969</v>
      </c>
      <c r="F1073" t="s">
        <v>41</v>
      </c>
      <c r="G1073">
        <v>-192.35509999999999</v>
      </c>
      <c r="H1073">
        <v>1.00858799999999</v>
      </c>
      <c r="I1073">
        <v>335.52010000000001</v>
      </c>
      <c r="J1073">
        <v>-192.2698</v>
      </c>
      <c r="K1073">
        <v>1.1092</v>
      </c>
      <c r="L1073">
        <v>336.14139999999998</v>
      </c>
      <c r="M1073">
        <v>8.6437570000000002E-3</v>
      </c>
      <c r="N1073">
        <v>-1.153147E-2</v>
      </c>
      <c r="O1073">
        <v>-0.99989640000000002</v>
      </c>
      <c r="P1073">
        <v>3.1944460000000001E-2</v>
      </c>
      <c r="Q1073">
        <v>0.36108879999999999</v>
      </c>
      <c r="R1073">
        <v>-0.93198460000000005</v>
      </c>
      <c r="S1073">
        <v>-0.31452940000000001</v>
      </c>
      <c r="T1073">
        <v>-0.3736254</v>
      </c>
      <c r="U1073">
        <v>-3.3761899999999998</v>
      </c>
      <c r="V1073">
        <v>-2.2355960000000001E-2</v>
      </c>
      <c r="W1073">
        <v>0.3719095</v>
      </c>
      <c r="X1073">
        <v>0.92799969999999998</v>
      </c>
      <c r="Y1073">
        <v>0.10084559999999999</v>
      </c>
      <c r="Z1073">
        <v>9.7998989999999994E-2</v>
      </c>
      <c r="AA1073">
        <v>0.99006380000000005</v>
      </c>
      <c r="AB1073">
        <v>27</v>
      </c>
      <c r="AC1073">
        <v>-8.5299999999989495E-2</v>
      </c>
      <c r="AD1073">
        <v>-0.10061199999999999</v>
      </c>
      <c r="AE1073">
        <v>-0.62129999999996199</v>
      </c>
      <c r="AF1073">
        <v>8.8392427208423399E-2</v>
      </c>
      <c r="AG1073">
        <v>-0.10061199999999999</v>
      </c>
      <c r="AH1073">
        <v>0.60496831650968697</v>
      </c>
      <c r="AI1073">
        <v>99.344966546811506</v>
      </c>
      <c r="AJ1073">
        <v>81.6872869518171</v>
      </c>
      <c r="AK1073">
        <v>0.61961492857448297</v>
      </c>
      <c r="AL1073">
        <v>68.166569562778704</v>
      </c>
      <c r="AM1073">
        <v>91.380016017382104</v>
      </c>
      <c r="AN1073">
        <v>0.99999995416892895</v>
      </c>
    </row>
    <row r="1074" spans="1:40" x14ac:dyDescent="0.25">
      <c r="A1074" t="str">
        <f>"20190304164616544"</f>
        <v>20190304164616544</v>
      </c>
      <c r="B1074" t="str">
        <f>"1551689176538623"</f>
        <v>1551689176538623</v>
      </c>
      <c r="C1074" t="s">
        <v>40</v>
      </c>
      <c r="D1074">
        <v>4.7031150000000004</v>
      </c>
      <c r="E1074">
        <v>0.56040780000000001</v>
      </c>
      <c r="F1074" t="s">
        <v>41</v>
      </c>
      <c r="G1074">
        <v>-192.35429999999999</v>
      </c>
      <c r="H1074">
        <v>1.0123409999999999</v>
      </c>
      <c r="I1074">
        <v>335.27249999999998</v>
      </c>
      <c r="J1074">
        <v>-192.26990000000001</v>
      </c>
      <c r="K1074">
        <v>1.109267</v>
      </c>
      <c r="L1074">
        <v>335.86399999999998</v>
      </c>
      <c r="M1074">
        <v>6.4557900000000003E-3</v>
      </c>
      <c r="N1074">
        <v>-1.18374E-2</v>
      </c>
      <c r="O1074">
        <v>-0.9999093</v>
      </c>
      <c r="P1074">
        <v>2.9187790000000002E-2</v>
      </c>
      <c r="Q1074">
        <v>0.36121120000000001</v>
      </c>
      <c r="R1074">
        <v>-0.93202750000000001</v>
      </c>
      <c r="S1074">
        <v>-0.32740780000000003</v>
      </c>
      <c r="T1074">
        <v>-0.3764924</v>
      </c>
      <c r="U1074">
        <v>-3.376007</v>
      </c>
      <c r="V1074">
        <v>-2.1672070000000002E-2</v>
      </c>
      <c r="W1074">
        <v>0.3723109</v>
      </c>
      <c r="X1074">
        <v>0.92785499999999999</v>
      </c>
      <c r="Y1074">
        <v>0.102408</v>
      </c>
      <c r="Z1074">
        <v>9.8506460000000004E-2</v>
      </c>
      <c r="AA1074">
        <v>0.98985310000000004</v>
      </c>
      <c r="AB1074">
        <v>27</v>
      </c>
      <c r="AC1074">
        <v>-8.4399999999987999E-2</v>
      </c>
      <c r="AD1074">
        <v>-9.6925999999999998E-2</v>
      </c>
      <c r="AE1074">
        <v>-0.59150000000005298</v>
      </c>
      <c r="AF1074">
        <v>8.5955123804491496E-2</v>
      </c>
      <c r="AG1074">
        <v>-9.6925999999999998E-2</v>
      </c>
      <c r="AH1074">
        <v>0.57579034251349004</v>
      </c>
      <c r="AI1074">
        <v>99.452510499545198</v>
      </c>
      <c r="AJ1074">
        <v>81.509472729798404</v>
      </c>
      <c r="AK1074">
        <v>0.59018425200614</v>
      </c>
      <c r="AL1074">
        <v>68.141792592813204</v>
      </c>
      <c r="AM1074">
        <v>91.338024161783807</v>
      </c>
      <c r="AN1074">
        <v>0.99999999295094699</v>
      </c>
    </row>
    <row r="1075" spans="1:40" x14ac:dyDescent="0.25">
      <c r="A1075" t="str">
        <f>"20190304164616567"</f>
        <v>20190304164616567</v>
      </c>
      <c r="B1075" t="str">
        <f>"1551689176559119"</f>
        <v>1551689176559119</v>
      </c>
      <c r="C1075" t="s">
        <v>40</v>
      </c>
      <c r="D1075">
        <v>4.5003950000000001</v>
      </c>
      <c r="E1075">
        <v>0.56081000000000003</v>
      </c>
      <c r="F1075" t="s">
        <v>41</v>
      </c>
      <c r="G1075">
        <v>-192.3536</v>
      </c>
      <c r="H1075">
        <v>1.0153129999999999</v>
      </c>
      <c r="I1075">
        <v>335.02550000000002</v>
      </c>
      <c r="J1075">
        <v>-192.2705</v>
      </c>
      <c r="K1075">
        <v>1.1093420000000001</v>
      </c>
      <c r="L1075">
        <v>335.57960000000003</v>
      </c>
      <c r="M1075">
        <v>4.2990459999999999E-3</v>
      </c>
      <c r="N1075">
        <v>-1.21216E-2</v>
      </c>
      <c r="O1075">
        <v>-0.99991750000000001</v>
      </c>
      <c r="P1075">
        <v>2.710419E-2</v>
      </c>
      <c r="Q1075">
        <v>0.35982619999999998</v>
      </c>
      <c r="R1075">
        <v>-0.93262599999999996</v>
      </c>
      <c r="S1075">
        <v>-0.33723449999999999</v>
      </c>
      <c r="T1075">
        <v>-0.37823180000000001</v>
      </c>
      <c r="U1075">
        <v>-3.3758849999999998</v>
      </c>
      <c r="V1075">
        <v>-2.1652419999999999E-2</v>
      </c>
      <c r="W1075">
        <v>0.37119269999999999</v>
      </c>
      <c r="X1075">
        <v>0.9283034</v>
      </c>
      <c r="Y1075">
        <v>0.10311480000000001</v>
      </c>
      <c r="Z1075">
        <v>9.8714860000000001E-2</v>
      </c>
      <c r="AA1075">
        <v>0.9897589</v>
      </c>
      <c r="AB1075">
        <v>27</v>
      </c>
      <c r="AC1075">
        <v>-8.31000000000017E-2</v>
      </c>
      <c r="AD1075">
        <v>-9.4029000000000099E-2</v>
      </c>
      <c r="AE1075">
        <v>-0.55410000000000503</v>
      </c>
      <c r="AF1075">
        <v>8.3139990224187596E-2</v>
      </c>
      <c r="AG1075">
        <v>-9.4029000000000099E-2</v>
      </c>
      <c r="AH1075">
        <v>0.53856956851716098</v>
      </c>
      <c r="AI1075">
        <v>99.789786146254599</v>
      </c>
      <c r="AJ1075">
        <v>81.224415318435405</v>
      </c>
      <c r="AK1075">
        <v>0.55300170971547602</v>
      </c>
      <c r="AL1075">
        <v>68.210807579114103</v>
      </c>
      <c r="AM1075">
        <v>91.336165931585498</v>
      </c>
      <c r="AN1075">
        <v>1.0000000251383501</v>
      </c>
    </row>
    <row r="1076" spans="1:40" x14ac:dyDescent="0.25">
      <c r="A1076" t="str">
        <f>"20190304164616590"</f>
        <v>20190304164616590</v>
      </c>
      <c r="B1076" t="str">
        <f>"1551689176578639"</f>
        <v>1551689176578639</v>
      </c>
      <c r="C1076" t="s">
        <v>40</v>
      </c>
      <c r="D1076">
        <v>4.5060260000000003</v>
      </c>
      <c r="E1076">
        <v>0.56139110000000003</v>
      </c>
      <c r="F1076" t="s">
        <v>41</v>
      </c>
      <c r="G1076">
        <v>-192.35329999999999</v>
      </c>
      <c r="H1076">
        <v>1.01912</v>
      </c>
      <c r="I1076">
        <v>334.77850000000001</v>
      </c>
      <c r="J1076">
        <v>-192.27160000000001</v>
      </c>
      <c r="K1076">
        <v>1.1094379999999999</v>
      </c>
      <c r="L1076">
        <v>335.30799999999999</v>
      </c>
      <c r="M1076">
        <v>2.3537150000000001E-3</v>
      </c>
      <c r="N1076">
        <v>-1.2365589999999999E-2</v>
      </c>
      <c r="O1076">
        <v>-0.99992080000000005</v>
      </c>
      <c r="P1076">
        <v>2.5236290000000001E-2</v>
      </c>
      <c r="Q1076">
        <v>0.35936099999999999</v>
      </c>
      <c r="R1076">
        <v>-0.93285750000000001</v>
      </c>
      <c r="S1076">
        <v>-0.34809879999999999</v>
      </c>
      <c r="T1076">
        <v>-0.38002780000000003</v>
      </c>
      <c r="U1076">
        <v>-3.3734739999999999</v>
      </c>
      <c r="V1076">
        <v>-2.1671490000000002E-2</v>
      </c>
      <c r="W1076">
        <v>0.37095230000000001</v>
      </c>
      <c r="X1076">
        <v>0.92839899999999997</v>
      </c>
      <c r="Y1076">
        <v>0.1043982</v>
      </c>
      <c r="Z1076">
        <v>9.9047330000000003E-2</v>
      </c>
      <c r="AA1076">
        <v>0.9895912</v>
      </c>
      <c r="AB1076">
        <v>27</v>
      </c>
      <c r="AC1076">
        <v>-8.1699999999983605E-2</v>
      </c>
      <c r="AD1076">
        <v>-9.0317999999999898E-2</v>
      </c>
      <c r="AE1076">
        <v>-0.52950000000004105</v>
      </c>
      <c r="AF1076">
        <v>8.0654106663127403E-2</v>
      </c>
      <c r="AG1076">
        <v>-9.0317999999999898E-2</v>
      </c>
      <c r="AH1076">
        <v>0.51467988142132604</v>
      </c>
      <c r="AI1076">
        <v>99.835494024918901</v>
      </c>
      <c r="AJ1076">
        <v>81.093764398995603</v>
      </c>
      <c r="AK1076">
        <v>0.52873226342403001</v>
      </c>
      <c r="AL1076">
        <v>68.2256395271461</v>
      </c>
      <c r="AM1076">
        <v>91.337204649677403</v>
      </c>
      <c r="AN1076">
        <v>0.99999998277755398</v>
      </c>
    </row>
    <row r="1077" spans="1:40" x14ac:dyDescent="0.25">
      <c r="A1077" t="str">
        <f>"20190304164616616"</f>
        <v>20190304164616616</v>
      </c>
      <c r="B1077" t="str">
        <f>"1551689176609401"</f>
        <v>1551689176609401</v>
      </c>
      <c r="C1077" t="s">
        <v>40</v>
      </c>
      <c r="D1077">
        <v>4.5930970000000002</v>
      </c>
      <c r="E1077">
        <v>0.56168459999999998</v>
      </c>
      <c r="F1077" t="s">
        <v>41</v>
      </c>
      <c r="G1077">
        <v>-192.3545</v>
      </c>
      <c r="H1077">
        <v>1.02342</v>
      </c>
      <c r="I1077">
        <v>334.53160000000003</v>
      </c>
      <c r="J1077">
        <v>-192.27330000000001</v>
      </c>
      <c r="K1077">
        <v>1.1095759999999999</v>
      </c>
      <c r="L1077">
        <v>335.00330000000002</v>
      </c>
      <c r="M1077">
        <v>3.3759540000000002E-4</v>
      </c>
      <c r="N1077">
        <v>-1.2608100000000001E-2</v>
      </c>
      <c r="O1077">
        <v>-0.9999207</v>
      </c>
      <c r="P1077">
        <v>2.4197429999999999E-2</v>
      </c>
      <c r="Q1077">
        <v>0.35863390000000001</v>
      </c>
      <c r="R1077">
        <v>-0.93316509999999997</v>
      </c>
      <c r="S1077">
        <v>-0.35923769999999999</v>
      </c>
      <c r="T1077">
        <v>-0.37345699999999998</v>
      </c>
      <c r="U1077">
        <v>-3.3694760000000001</v>
      </c>
      <c r="V1077">
        <v>-2.262639E-2</v>
      </c>
      <c r="W1077">
        <v>0.37044969999999999</v>
      </c>
      <c r="X1077">
        <v>0.92857690000000004</v>
      </c>
      <c r="Y1077">
        <v>0.1057683</v>
      </c>
      <c r="Z1077">
        <v>9.7004569999999998E-2</v>
      </c>
      <c r="AA1077">
        <v>0.98964799999999997</v>
      </c>
      <c r="AB1077">
        <v>27</v>
      </c>
      <c r="AC1077">
        <v>-8.1199999999995498E-2</v>
      </c>
      <c r="AD1077">
        <v>-8.6156000000000094E-2</v>
      </c>
      <c r="AE1077">
        <v>-0.47169999999999801</v>
      </c>
      <c r="AF1077">
        <v>7.8805872655270795E-2</v>
      </c>
      <c r="AG1077">
        <v>-8.6156000000000094E-2</v>
      </c>
      <c r="AH1077">
        <v>0.45686958471585298</v>
      </c>
      <c r="AI1077">
        <v>100.527451236405</v>
      </c>
      <c r="AJ1077">
        <v>80.213299396894598</v>
      </c>
      <c r="AK1077">
        <v>0.47155385624485702</v>
      </c>
      <c r="AL1077">
        <v>68.256645805002904</v>
      </c>
      <c r="AM1077">
        <v>91.3958350360612</v>
      </c>
      <c r="AN1077">
        <v>0.99999999648406601</v>
      </c>
    </row>
    <row r="1078" spans="1:40" x14ac:dyDescent="0.25">
      <c r="A1078" t="str">
        <f>"20190304164616636"</f>
        <v>20190304164616636</v>
      </c>
      <c r="B1078" t="str">
        <f>"1551689176628920"</f>
        <v>1551689176628920</v>
      </c>
      <c r="C1078" t="s">
        <v>40</v>
      </c>
      <c r="D1078">
        <v>4.62012</v>
      </c>
      <c r="E1078">
        <v>0.56195150000000005</v>
      </c>
      <c r="F1078" t="s">
        <v>41</v>
      </c>
      <c r="G1078">
        <v>-192.37629999999999</v>
      </c>
      <c r="H1078">
        <v>1.0032299999999901</v>
      </c>
      <c r="I1078">
        <v>334.05290000000002</v>
      </c>
      <c r="J1078">
        <v>-192.27500000000001</v>
      </c>
      <c r="K1078">
        <v>1.1097170000000001</v>
      </c>
      <c r="L1078">
        <v>334.7398</v>
      </c>
      <c r="M1078">
        <v>-1.209742E-3</v>
      </c>
      <c r="N1078">
        <v>-1.2789399999999999E-2</v>
      </c>
      <c r="O1078">
        <v>-0.99991759999999996</v>
      </c>
      <c r="P1078">
        <v>2.37016E-2</v>
      </c>
      <c r="Q1078">
        <v>0.357317</v>
      </c>
      <c r="R1078">
        <v>-0.93368269999999998</v>
      </c>
      <c r="S1078">
        <v>-0.36483759999999998</v>
      </c>
      <c r="T1078">
        <v>-0.37714310000000001</v>
      </c>
      <c r="U1078">
        <v>-3.3692319999999998</v>
      </c>
      <c r="V1078">
        <v>-2.3702460000000002E-2</v>
      </c>
      <c r="W1078">
        <v>0.36930269999999998</v>
      </c>
      <c r="X1078">
        <v>0.92900689999999997</v>
      </c>
      <c r="Y1078">
        <v>0.1058519</v>
      </c>
      <c r="Z1078">
        <v>9.789225E-2</v>
      </c>
      <c r="AA1078">
        <v>0.98955170000000003</v>
      </c>
      <c r="AB1078">
        <v>27</v>
      </c>
      <c r="AC1078">
        <v>-0.10129999999998</v>
      </c>
      <c r="AD1078">
        <v>-0.106487</v>
      </c>
      <c r="AE1078">
        <v>-0.68689999999997997</v>
      </c>
      <c r="AF1078">
        <v>9.8160030606873894E-2</v>
      </c>
      <c r="AG1078">
        <v>-0.106487</v>
      </c>
      <c r="AH1078">
        <v>0.67123373619070903</v>
      </c>
      <c r="AI1078">
        <v>98.921152686110801</v>
      </c>
      <c r="AJ1078">
        <v>81.6801408204241</v>
      </c>
      <c r="AK1078">
        <v>0.68668013032144803</v>
      </c>
      <c r="AL1078">
        <v>68.327381845627201</v>
      </c>
      <c r="AM1078">
        <v>91.461513753874996</v>
      </c>
      <c r="AN1078">
        <v>1.00000005554247</v>
      </c>
    </row>
    <row r="1079" spans="1:40" x14ac:dyDescent="0.25">
      <c r="A1079" t="str">
        <f>"20190304164616657"</f>
        <v>20190304164616657</v>
      </c>
      <c r="B1079" t="str">
        <f>"1551689176649417"</f>
        <v>1551689176649417</v>
      </c>
      <c r="C1079" t="s">
        <v>40</v>
      </c>
      <c r="D1079">
        <v>4.6989939999999999</v>
      </c>
      <c r="E1079">
        <v>0.56211699999999998</v>
      </c>
      <c r="F1079" t="s">
        <v>41</v>
      </c>
      <c r="G1079">
        <v>-192.37719999999999</v>
      </c>
      <c r="H1079">
        <v>1.0042549999999999</v>
      </c>
      <c r="I1079">
        <v>333.80869999999999</v>
      </c>
      <c r="J1079">
        <v>-192.27690000000001</v>
      </c>
      <c r="K1079">
        <v>1.10985</v>
      </c>
      <c r="L1079">
        <v>334.48559999999998</v>
      </c>
      <c r="M1079">
        <v>-2.5590629999999999E-3</v>
      </c>
      <c r="N1079">
        <v>-1.2944020000000001E-2</v>
      </c>
      <c r="O1079">
        <v>-0.9999131</v>
      </c>
      <c r="P1079">
        <v>2.436543E-2</v>
      </c>
      <c r="Q1079">
        <v>0.35662640000000001</v>
      </c>
      <c r="R1079">
        <v>-0.93392949999999997</v>
      </c>
      <c r="S1079">
        <v>-0.36914059999999999</v>
      </c>
      <c r="T1079">
        <v>-0.38173020000000002</v>
      </c>
      <c r="U1079">
        <v>-3.3685909999999999</v>
      </c>
      <c r="V1079">
        <v>-2.5747030000000001E-2</v>
      </c>
      <c r="W1079">
        <v>0.36875669999999999</v>
      </c>
      <c r="X1079">
        <v>0.92916929999999998</v>
      </c>
      <c r="Y1079">
        <v>0.1057647</v>
      </c>
      <c r="Z1079">
        <v>9.9083050000000006E-2</v>
      </c>
      <c r="AA1079">
        <v>0.9894425</v>
      </c>
      <c r="AB1079">
        <v>27</v>
      </c>
      <c r="AC1079">
        <v>-0.10029999999997501</v>
      </c>
      <c r="AD1079">
        <v>-0.10559499999999999</v>
      </c>
      <c r="AE1079">
        <v>-0.67689999999998895</v>
      </c>
      <c r="AF1079">
        <v>9.6274751750428697E-2</v>
      </c>
      <c r="AG1079">
        <v>-0.10559499999999999</v>
      </c>
      <c r="AH1079">
        <v>0.66140475975547697</v>
      </c>
      <c r="AI1079">
        <v>98.977821510861205</v>
      </c>
      <c r="AJ1079">
        <v>81.718133092250696</v>
      </c>
      <c r="AK1079">
        <v>0.67666490087546804</v>
      </c>
      <c r="AL1079">
        <v>68.361039843602896</v>
      </c>
      <c r="AM1079">
        <v>91.587244393095204</v>
      </c>
      <c r="AN1079">
        <v>1.0000000007056</v>
      </c>
    </row>
    <row r="1080" spans="1:40" x14ac:dyDescent="0.25">
      <c r="A1080" t="str">
        <f>"20190304164616678"</f>
        <v>20190304164616678</v>
      </c>
      <c r="B1080" t="str">
        <f>"1551689176668937"</f>
        <v>1551689176668937</v>
      </c>
      <c r="C1080" t="s">
        <v>40</v>
      </c>
      <c r="D1080">
        <v>4.6105790000000004</v>
      </c>
      <c r="E1080">
        <v>0.56231369999999903</v>
      </c>
      <c r="F1080" t="s">
        <v>41</v>
      </c>
      <c r="G1080">
        <v>-192.3785</v>
      </c>
      <c r="H1080">
        <v>1.004931</v>
      </c>
      <c r="I1080">
        <v>333.56509999999997</v>
      </c>
      <c r="J1080">
        <v>-192.279</v>
      </c>
      <c r="K1080">
        <v>1.1099969999999999</v>
      </c>
      <c r="L1080">
        <v>334.22199999999998</v>
      </c>
      <c r="M1080">
        <v>-3.7827109999999998E-3</v>
      </c>
      <c r="N1080">
        <v>-1.3084790000000001E-2</v>
      </c>
      <c r="O1080">
        <v>-0.99990730000000005</v>
      </c>
      <c r="P1080">
        <v>2.4561340000000001E-2</v>
      </c>
      <c r="Q1080">
        <v>0.35658719999999999</v>
      </c>
      <c r="R1080">
        <v>-0.93393899999999996</v>
      </c>
      <c r="S1080">
        <v>-0.37152099999999999</v>
      </c>
      <c r="T1080">
        <v>-0.38404440000000001</v>
      </c>
      <c r="U1080">
        <v>-3.3685299999999998</v>
      </c>
      <c r="V1080">
        <v>-2.7207660000000002E-2</v>
      </c>
      <c r="W1080">
        <v>0.36884220000000001</v>
      </c>
      <c r="X1080">
        <v>0.92909370000000002</v>
      </c>
      <c r="Y1080">
        <v>0.1052337</v>
      </c>
      <c r="Z1080">
        <v>9.9615129999999996E-2</v>
      </c>
      <c r="AA1080">
        <v>0.98944560000000004</v>
      </c>
      <c r="AB1080">
        <v>27</v>
      </c>
      <c r="AC1080">
        <v>-9.9499999999977704E-2</v>
      </c>
      <c r="AD1080">
        <v>-0.10506599999999899</v>
      </c>
      <c r="AE1080">
        <v>-0.65690000000000703</v>
      </c>
      <c r="AF1080">
        <v>9.4647297289123397E-2</v>
      </c>
      <c r="AG1080">
        <v>-0.10506599999999899</v>
      </c>
      <c r="AH1080">
        <v>0.64123585008501405</v>
      </c>
      <c r="AI1080">
        <v>99.207168121691296</v>
      </c>
      <c r="AJ1080">
        <v>81.603688027633694</v>
      </c>
      <c r="AK1080">
        <v>0.65664327505456599</v>
      </c>
      <c r="AL1080">
        <v>68.355768718620396</v>
      </c>
      <c r="AM1080">
        <v>91.677375173837206</v>
      </c>
      <c r="AN1080">
        <v>0.99999996432160199</v>
      </c>
    </row>
    <row r="1081" spans="1:40" x14ac:dyDescent="0.25">
      <c r="A1081" t="str">
        <f>"20190304164616701"</f>
        <v>20190304164616701</v>
      </c>
      <c r="B1081" t="str">
        <f>"1551689176699192"</f>
        <v>1551689176699192</v>
      </c>
      <c r="C1081" t="s">
        <v>40</v>
      </c>
      <c r="D1081">
        <v>4.6949589999999999</v>
      </c>
      <c r="E1081">
        <v>0.56251609999999996</v>
      </c>
      <c r="F1081" t="s">
        <v>41</v>
      </c>
      <c r="G1081">
        <v>-192.37950000000001</v>
      </c>
      <c r="H1081">
        <v>1.0074669999999999</v>
      </c>
      <c r="I1081">
        <v>333.32100000000003</v>
      </c>
      <c r="J1081">
        <v>-192.28129999999999</v>
      </c>
      <c r="K1081">
        <v>1.1101479999999999</v>
      </c>
      <c r="L1081">
        <v>333.95060000000001</v>
      </c>
      <c r="M1081">
        <v>-4.8286279999999997E-3</v>
      </c>
      <c r="N1081">
        <v>-1.3210919999999999E-2</v>
      </c>
      <c r="O1081">
        <v>-0.99990120000000005</v>
      </c>
      <c r="P1081">
        <v>2.4868189999999998E-2</v>
      </c>
      <c r="Q1081">
        <v>0.35659239999999998</v>
      </c>
      <c r="R1081">
        <v>-0.93392929999999996</v>
      </c>
      <c r="S1081">
        <v>-0.37472529999999998</v>
      </c>
      <c r="T1081">
        <v>-0.38355339999999999</v>
      </c>
      <c r="U1081">
        <v>-3.3685299999999998</v>
      </c>
      <c r="V1081">
        <v>-2.862081E-2</v>
      </c>
      <c r="W1081">
        <v>0.36895699999999998</v>
      </c>
      <c r="X1081">
        <v>0.92900570000000005</v>
      </c>
      <c r="Y1081">
        <v>0.1051257</v>
      </c>
      <c r="Z1081">
        <v>9.9342189999999997E-2</v>
      </c>
      <c r="AA1081">
        <v>0.98948449999999999</v>
      </c>
      <c r="AB1081">
        <v>27</v>
      </c>
      <c r="AC1081">
        <v>-9.8200000000019799E-2</v>
      </c>
      <c r="AD1081">
        <v>-0.102680999999999</v>
      </c>
      <c r="AE1081">
        <v>-0.62960000000003902</v>
      </c>
      <c r="AF1081">
        <v>9.2750098278030602E-2</v>
      </c>
      <c r="AG1081">
        <v>-0.102680999999999</v>
      </c>
      <c r="AH1081">
        <v>0.61412036690400695</v>
      </c>
      <c r="AI1081">
        <v>99.387524791839198</v>
      </c>
      <c r="AJ1081">
        <v>81.411572762621901</v>
      </c>
      <c r="AK1081">
        <v>0.62951552287286505</v>
      </c>
      <c r="AL1081">
        <v>68.348692955988497</v>
      </c>
      <c r="AM1081">
        <v>91.764610380816194</v>
      </c>
      <c r="AN1081">
        <v>1.00000000462327</v>
      </c>
    </row>
    <row r="1082" spans="1:40" x14ac:dyDescent="0.25">
      <c r="A1082" t="str">
        <f>"20190304164616724"</f>
        <v>20190304164616724</v>
      </c>
      <c r="B1082" t="str">
        <f>"1551689176719221"</f>
        <v>1551689176719221</v>
      </c>
      <c r="C1082" t="s">
        <v>40</v>
      </c>
      <c r="D1082">
        <v>4.7011419999999999</v>
      </c>
      <c r="E1082">
        <v>0.56255279999999996</v>
      </c>
      <c r="F1082" t="s">
        <v>41</v>
      </c>
      <c r="G1082">
        <v>-192.3794</v>
      </c>
      <c r="H1082">
        <v>1.010832</v>
      </c>
      <c r="I1082">
        <v>333.07659999999998</v>
      </c>
      <c r="J1082">
        <v>-192.28370000000001</v>
      </c>
      <c r="K1082">
        <v>1.110314</v>
      </c>
      <c r="L1082">
        <v>333.67970000000003</v>
      </c>
      <c r="M1082">
        <v>-5.6458230000000003E-3</v>
      </c>
      <c r="N1082">
        <v>-1.332004E-2</v>
      </c>
      <c r="O1082">
        <v>-0.99989550000000005</v>
      </c>
      <c r="P1082">
        <v>2.4974400000000001E-2</v>
      </c>
      <c r="Q1082">
        <v>0.35598429999999998</v>
      </c>
      <c r="R1082">
        <v>-0.93415809999999999</v>
      </c>
      <c r="S1082">
        <v>-0.37785340000000001</v>
      </c>
      <c r="T1082">
        <v>-0.38279879999999999</v>
      </c>
      <c r="U1082">
        <v>-3.3684690000000002</v>
      </c>
      <c r="V1082">
        <v>-2.9633300000000001E-2</v>
      </c>
      <c r="W1082">
        <v>0.36844369999999999</v>
      </c>
      <c r="X1082">
        <v>0.92917760000000005</v>
      </c>
      <c r="Y1082">
        <v>0.1052255</v>
      </c>
      <c r="Z1082">
        <v>9.901045E-2</v>
      </c>
      <c r="AA1082">
        <v>0.98950720000000003</v>
      </c>
      <c r="AB1082">
        <v>27</v>
      </c>
      <c r="AC1082">
        <v>-9.5699999999993596E-2</v>
      </c>
      <c r="AD1082">
        <v>-9.9482000000000001E-2</v>
      </c>
      <c r="AE1082">
        <v>-0.60310000000004005</v>
      </c>
      <c r="AF1082">
        <v>8.9906992867716001E-2</v>
      </c>
      <c r="AG1082">
        <v>-9.9482000000000001E-2</v>
      </c>
      <c r="AH1082">
        <v>0.58802423220067801</v>
      </c>
      <c r="AI1082">
        <v>99.494092350641694</v>
      </c>
      <c r="AJ1082">
        <v>81.306984518782201</v>
      </c>
      <c r="AK1082">
        <v>0.60311892139586598</v>
      </c>
      <c r="AL1082">
        <v>68.380330712057599</v>
      </c>
      <c r="AM1082">
        <v>91.826655898019297</v>
      </c>
      <c r="AN1082">
        <v>0.99999995244016804</v>
      </c>
    </row>
    <row r="1083" spans="1:40" x14ac:dyDescent="0.25">
      <c r="A1083" t="str">
        <f>"20190304164616744"</f>
        <v>20190304164616744</v>
      </c>
      <c r="B1083" t="str">
        <f>"1551689176738740"</f>
        <v>1551689176738740</v>
      </c>
      <c r="C1083" t="s">
        <v>40</v>
      </c>
      <c r="D1083">
        <v>4.6771580000000004</v>
      </c>
      <c r="E1083">
        <v>0.56257440000000003</v>
      </c>
      <c r="F1083" t="s">
        <v>41</v>
      </c>
      <c r="G1083">
        <v>-192.3793</v>
      </c>
      <c r="H1083">
        <v>1.013763</v>
      </c>
      <c r="I1083">
        <v>332.8329</v>
      </c>
      <c r="J1083">
        <v>-192.2859</v>
      </c>
      <c r="K1083">
        <v>1.110473</v>
      </c>
      <c r="L1083">
        <v>333.42899999999997</v>
      </c>
      <c r="M1083">
        <v>-6.1972479999999998E-3</v>
      </c>
      <c r="N1083">
        <v>-1.340798E-2</v>
      </c>
      <c r="O1083">
        <v>-0.99989110000000003</v>
      </c>
      <c r="P1083">
        <v>2.4803970000000002E-2</v>
      </c>
      <c r="Q1083">
        <v>0.35538819999999999</v>
      </c>
      <c r="R1083">
        <v>-0.93438980000000005</v>
      </c>
      <c r="S1083">
        <v>-0.37968439999999998</v>
      </c>
      <c r="T1083">
        <v>-0.38417790000000002</v>
      </c>
      <c r="U1083">
        <v>-3.3679809999999999</v>
      </c>
      <c r="V1083">
        <v>-3.01225E-2</v>
      </c>
      <c r="W1083">
        <v>0.367921</v>
      </c>
      <c r="X1083">
        <v>0.929369</v>
      </c>
      <c r="Y1083">
        <v>0.1052196</v>
      </c>
      <c r="Z1083">
        <v>9.9335409999999999E-2</v>
      </c>
      <c r="AA1083">
        <v>0.98947529999999995</v>
      </c>
      <c r="AB1083">
        <v>27</v>
      </c>
      <c r="AC1083">
        <v>-9.3400000000002606E-2</v>
      </c>
      <c r="AD1083">
        <v>-9.6710000000000004E-2</v>
      </c>
      <c r="AE1083">
        <v>-0.59610000000003505</v>
      </c>
      <c r="AF1083">
        <v>8.7456890607267995E-2</v>
      </c>
      <c r="AG1083">
        <v>-9.6710000000000004E-2</v>
      </c>
      <c r="AH1083">
        <v>0.58172272255500901</v>
      </c>
      <c r="AI1083">
        <v>99.335918108444801</v>
      </c>
      <c r="AJ1083">
        <v>81.450116359476496</v>
      </c>
      <c r="AK1083">
        <v>0.59615673924858403</v>
      </c>
      <c r="AL1083">
        <v>68.412542627208595</v>
      </c>
      <c r="AM1083">
        <v>91.856408096008394</v>
      </c>
      <c r="AN1083">
        <v>0.99999998270412405</v>
      </c>
    </row>
    <row r="1084" spans="1:40" x14ac:dyDescent="0.25">
      <c r="A1084" t="str">
        <f>"20190304164616767"</f>
        <v>20190304164616767</v>
      </c>
      <c r="B1084" t="str">
        <f>"1551689176759237"</f>
        <v>1551689176759237</v>
      </c>
      <c r="C1084" t="s">
        <v>40</v>
      </c>
      <c r="D1084">
        <v>4.7339760000000002</v>
      </c>
      <c r="E1084">
        <v>0.56254309999999996</v>
      </c>
      <c r="F1084" t="s">
        <v>41</v>
      </c>
      <c r="G1084">
        <v>-192.38050000000001</v>
      </c>
      <c r="H1084">
        <v>1.0141469999999999</v>
      </c>
      <c r="I1084">
        <v>332.59089999999998</v>
      </c>
      <c r="J1084">
        <v>-192.28829999999999</v>
      </c>
      <c r="K1084">
        <v>1.1106480000000001</v>
      </c>
      <c r="L1084">
        <v>333.15100000000001</v>
      </c>
      <c r="M1084">
        <v>-6.5840589999999997E-3</v>
      </c>
      <c r="N1084">
        <v>-1.349271E-2</v>
      </c>
      <c r="O1084">
        <v>-0.99988730000000003</v>
      </c>
      <c r="P1084">
        <v>2.4270739999999999E-2</v>
      </c>
      <c r="Q1084">
        <v>0.35542509999999999</v>
      </c>
      <c r="R1084">
        <v>-0.93438949999999998</v>
      </c>
      <c r="S1084">
        <v>-0.38046259999999998</v>
      </c>
      <c r="T1084">
        <v>-0.38702629999999999</v>
      </c>
      <c r="U1084">
        <v>-3.36795</v>
      </c>
      <c r="V1084">
        <v>-3.0114100000000001E-2</v>
      </c>
      <c r="W1084">
        <v>0.36802299999999999</v>
      </c>
      <c r="X1084">
        <v>0.92932890000000001</v>
      </c>
      <c r="Y1084">
        <v>0.1050523</v>
      </c>
      <c r="Z1084">
        <v>0.10007729999999999</v>
      </c>
      <c r="AA1084">
        <v>0.98941829999999997</v>
      </c>
      <c r="AB1084">
        <v>27</v>
      </c>
      <c r="AC1084">
        <v>-9.22000000000196E-2</v>
      </c>
      <c r="AD1084">
        <v>-9.6500999999999906E-2</v>
      </c>
      <c r="AE1084">
        <v>-0.56010000000003302</v>
      </c>
      <c r="AF1084">
        <v>8.6023717355298596E-2</v>
      </c>
      <c r="AG1084">
        <v>-9.6500999999999906E-2</v>
      </c>
      <c r="AH1084">
        <v>0.54494521484506198</v>
      </c>
      <c r="AI1084">
        <v>99.921679943390401</v>
      </c>
      <c r="AJ1084">
        <v>81.029452131743597</v>
      </c>
      <c r="AK1084">
        <v>0.56006946902250898</v>
      </c>
      <c r="AL1084">
        <v>68.406257772027502</v>
      </c>
      <c r="AM1084">
        <v>91.855970802277696</v>
      </c>
      <c r="AN1084">
        <v>0.99999999596151001</v>
      </c>
    </row>
    <row r="1085" spans="1:40" x14ac:dyDescent="0.25">
      <c r="A1085" t="str">
        <f>"20190304164616790"</f>
        <v>20190304164616790</v>
      </c>
      <c r="B1085" t="str">
        <f>"1551689176778758"</f>
        <v>1551689176778758</v>
      </c>
      <c r="C1085" t="s">
        <v>40</v>
      </c>
      <c r="D1085">
        <v>4.7022259999999996</v>
      </c>
      <c r="E1085">
        <v>0.56257400000000002</v>
      </c>
      <c r="F1085" t="s">
        <v>41</v>
      </c>
      <c r="G1085">
        <v>-192.37970000000001</v>
      </c>
      <c r="H1085">
        <v>1.0181389999999999</v>
      </c>
      <c r="I1085">
        <v>332.34739999999999</v>
      </c>
      <c r="J1085">
        <v>-192.29040000000001</v>
      </c>
      <c r="K1085">
        <v>1.1108229999999999</v>
      </c>
      <c r="L1085">
        <v>332.8777</v>
      </c>
      <c r="M1085">
        <v>-6.7523390000000004E-3</v>
      </c>
      <c r="N1085">
        <v>-1.3564619999999999E-2</v>
      </c>
      <c r="O1085">
        <v>-0.99988509999999997</v>
      </c>
      <c r="P1085">
        <v>2.4863449999999999E-2</v>
      </c>
      <c r="Q1085">
        <v>0.35504809999999998</v>
      </c>
      <c r="R1085">
        <v>-0.93451759999999995</v>
      </c>
      <c r="S1085">
        <v>-0.3821716</v>
      </c>
      <c r="T1085">
        <v>-0.38806580000000002</v>
      </c>
      <c r="U1085">
        <v>-3.3681640000000002</v>
      </c>
      <c r="V1085">
        <v>-3.1017449999999998E-2</v>
      </c>
      <c r="W1085">
        <v>0.36770249999999999</v>
      </c>
      <c r="X1085">
        <v>0.92942610000000003</v>
      </c>
      <c r="Y1085">
        <v>0.10537009999999999</v>
      </c>
      <c r="Z1085">
        <v>0.1002948</v>
      </c>
      <c r="AA1085">
        <v>0.98936250000000003</v>
      </c>
      <c r="AB1085">
        <v>27</v>
      </c>
      <c r="AC1085">
        <v>-8.9300000000008595E-2</v>
      </c>
      <c r="AD1085">
        <v>-9.2684000000000002E-2</v>
      </c>
      <c r="AE1085">
        <v>-0.53030000000001098</v>
      </c>
      <c r="AF1085">
        <v>8.3244142187442999E-2</v>
      </c>
      <c r="AG1085">
        <v>-9.2684000000000002E-2</v>
      </c>
      <c r="AH1085">
        <v>0.51557601493657901</v>
      </c>
      <c r="AI1085">
        <v>100.063477123217</v>
      </c>
      <c r="AJ1085">
        <v>80.828260344002899</v>
      </c>
      <c r="AK1085">
        <v>0.53041355397690104</v>
      </c>
      <c r="AL1085">
        <v>68.426006865782099</v>
      </c>
      <c r="AM1085">
        <v>91.911404952803494</v>
      </c>
      <c r="AN1085">
        <v>1.0000000430359799</v>
      </c>
    </row>
    <row r="1086" spans="1:40" x14ac:dyDescent="0.25">
      <c r="A1086" t="str">
        <f>"20190304164616816"</f>
        <v>20190304164616816</v>
      </c>
      <c r="B1086" t="str">
        <f>"1551689176808543"</f>
        <v>1551689176808543</v>
      </c>
      <c r="C1086" t="s">
        <v>40</v>
      </c>
      <c r="D1086">
        <v>4.7102579999999996</v>
      </c>
      <c r="E1086">
        <v>0.56271199999999999</v>
      </c>
      <c r="F1086" t="s">
        <v>41</v>
      </c>
      <c r="G1086">
        <v>-192.37790000000001</v>
      </c>
      <c r="H1086">
        <v>1.021503</v>
      </c>
      <c r="I1086">
        <v>332.1046</v>
      </c>
      <c r="J1086">
        <v>-192.29259999999999</v>
      </c>
      <c r="K1086">
        <v>1.111011</v>
      </c>
      <c r="L1086">
        <v>332.57100000000003</v>
      </c>
      <c r="M1086">
        <v>-6.7037819999999897E-3</v>
      </c>
      <c r="N1086">
        <v>-1.363349E-2</v>
      </c>
      <c r="O1086">
        <v>-0.99988460000000001</v>
      </c>
      <c r="P1086">
        <v>2.5236709999999999E-2</v>
      </c>
      <c r="Q1086">
        <v>0.35470259999999998</v>
      </c>
      <c r="R1086">
        <v>-0.934639</v>
      </c>
      <c r="S1086">
        <v>-0.38142399999999999</v>
      </c>
      <c r="T1086">
        <v>-0.38906000000000002</v>
      </c>
      <c r="U1086">
        <v>-3.3682249999999998</v>
      </c>
      <c r="V1086">
        <v>-3.1498669999999999E-2</v>
      </c>
      <c r="W1086">
        <v>0.36741020000000002</v>
      </c>
      <c r="X1086">
        <v>0.92952539999999995</v>
      </c>
      <c r="Y1086">
        <v>0.1051965</v>
      </c>
      <c r="Z1086">
        <v>0.1005149</v>
      </c>
      <c r="AA1086">
        <v>0.98935859999999998</v>
      </c>
      <c r="AB1086">
        <v>27</v>
      </c>
      <c r="AC1086">
        <v>-8.5300000000017903E-2</v>
      </c>
      <c r="AD1086">
        <v>-8.9507999999999893E-2</v>
      </c>
      <c r="AE1086">
        <v>-0.46639999999996401</v>
      </c>
      <c r="AF1086">
        <v>7.9343477423969799E-2</v>
      </c>
      <c r="AG1086">
        <v>-8.9507999999999893E-2</v>
      </c>
      <c r="AH1086">
        <v>0.45089234237652198</v>
      </c>
      <c r="AI1086">
        <v>101.062306349031</v>
      </c>
      <c r="AJ1086">
        <v>80.019843874242696</v>
      </c>
      <c r="AK1086">
        <v>0.46648791397796602</v>
      </c>
      <c r="AL1086">
        <v>68.444012752791195</v>
      </c>
      <c r="AM1086">
        <v>91.940829719976605</v>
      </c>
      <c r="AN1086">
        <v>0.99999994526048197</v>
      </c>
    </row>
    <row r="1087" spans="1:40" x14ac:dyDescent="0.25">
      <c r="A1087" t="str">
        <f>"20190304164616836"</f>
        <v>20190304164616836</v>
      </c>
      <c r="B1087" t="str">
        <f>"1551689176829040"</f>
        <v>1551689176829040</v>
      </c>
      <c r="C1087" t="s">
        <v>40</v>
      </c>
      <c r="D1087">
        <v>4.654757</v>
      </c>
      <c r="E1087">
        <v>0.56270989999999999</v>
      </c>
      <c r="F1087" t="s">
        <v>41</v>
      </c>
      <c r="G1087">
        <v>-192.39869999999999</v>
      </c>
      <c r="H1087">
        <v>1.002432</v>
      </c>
      <c r="I1087">
        <v>331.63260000000002</v>
      </c>
      <c r="J1087">
        <v>-192.29409999999999</v>
      </c>
      <c r="K1087">
        <v>1.1111470000000001</v>
      </c>
      <c r="L1087">
        <v>332.31330000000003</v>
      </c>
      <c r="M1087">
        <v>-6.4697909999999999E-3</v>
      </c>
      <c r="N1087">
        <v>-1.368224E-2</v>
      </c>
      <c r="O1087">
        <v>-0.99988560000000004</v>
      </c>
      <c r="P1087">
        <v>2.6134919999999999E-2</v>
      </c>
      <c r="Q1087">
        <v>0.35492180000000001</v>
      </c>
      <c r="R1087">
        <v>-0.93453109999999995</v>
      </c>
      <c r="S1087">
        <v>-0.3812103</v>
      </c>
      <c r="T1087">
        <v>-0.38971270000000002</v>
      </c>
      <c r="U1087">
        <v>-3.36795</v>
      </c>
      <c r="V1087">
        <v>-3.2286790000000003E-2</v>
      </c>
      <c r="W1087">
        <v>0.36766300000000002</v>
      </c>
      <c r="X1087">
        <v>0.92939850000000002</v>
      </c>
      <c r="Y1087">
        <v>0.10537390000000001</v>
      </c>
      <c r="Z1087">
        <v>0.10066410000000001</v>
      </c>
      <c r="AA1087">
        <v>0.9893246</v>
      </c>
      <c r="AB1087">
        <v>27</v>
      </c>
      <c r="AC1087">
        <v>-0.104600000000004</v>
      </c>
      <c r="AD1087">
        <v>-0.10871499999999901</v>
      </c>
      <c r="AE1087">
        <v>-0.68070000000000097</v>
      </c>
      <c r="AF1087">
        <v>9.7757389857304894E-2</v>
      </c>
      <c r="AG1087">
        <v>-0.10871499999999901</v>
      </c>
      <c r="AH1087">
        <v>0.66479645243975605</v>
      </c>
      <c r="AI1087">
        <v>99.190325510970595</v>
      </c>
      <c r="AJ1087">
        <v>81.634687053069499</v>
      </c>
      <c r="AK1087">
        <v>0.68068331966722795</v>
      </c>
      <c r="AL1087">
        <v>68.428440570081605</v>
      </c>
      <c r="AM1087">
        <v>91.989623578688395</v>
      </c>
      <c r="AN1087">
        <v>1.0000000450898701</v>
      </c>
    </row>
    <row r="1088" spans="1:40" x14ac:dyDescent="0.25">
      <c r="A1088" t="str">
        <f>"20190304164616858"</f>
        <v>20190304164616858</v>
      </c>
      <c r="B1088" t="str">
        <f>"1551689176848560"</f>
        <v>1551689176848560</v>
      </c>
      <c r="C1088" t="s">
        <v>40</v>
      </c>
      <c r="D1088">
        <v>4.7289450000000004</v>
      </c>
      <c r="E1088">
        <v>0.53858459999999997</v>
      </c>
      <c r="F1088" t="s">
        <v>41</v>
      </c>
      <c r="G1088">
        <v>-192.3982</v>
      </c>
      <c r="H1088">
        <v>1.004785</v>
      </c>
      <c r="I1088">
        <v>331.3913</v>
      </c>
      <c r="J1088">
        <v>-192.29560000000001</v>
      </c>
      <c r="K1088">
        <v>1.1112660000000001</v>
      </c>
      <c r="L1088">
        <v>332.05399999999997</v>
      </c>
      <c r="M1088">
        <v>-6.1146229999999996E-3</v>
      </c>
      <c r="N1088">
        <v>-1.3724460000000001E-2</v>
      </c>
      <c r="O1088">
        <v>-0.99988719999999998</v>
      </c>
      <c r="P1088">
        <v>2.77652E-2</v>
      </c>
      <c r="Q1088">
        <v>0.35582629999999998</v>
      </c>
      <c r="R1088">
        <v>-0.93413990000000002</v>
      </c>
      <c r="S1088">
        <v>-0.37959290000000001</v>
      </c>
      <c r="T1088">
        <v>-0.38884960000000002</v>
      </c>
      <c r="U1088">
        <v>-3.3684690000000002</v>
      </c>
      <c r="V1088">
        <v>-3.3673410000000001E-2</v>
      </c>
      <c r="W1088">
        <v>0.36859310000000001</v>
      </c>
      <c r="X1088">
        <v>0.92898080000000005</v>
      </c>
      <c r="Y1088">
        <v>0.1052444</v>
      </c>
      <c r="Z1088">
        <v>0.10035860000000001</v>
      </c>
      <c r="AA1088">
        <v>0.98936939999999995</v>
      </c>
      <c r="AB1088">
        <v>27</v>
      </c>
      <c r="AC1088">
        <v>-0.102599999999995</v>
      </c>
      <c r="AD1088">
        <v>-0.10648100000000001</v>
      </c>
      <c r="AE1088">
        <v>-0.66270000000002904</v>
      </c>
      <c r="AF1088">
        <v>9.6122022194277207E-2</v>
      </c>
      <c r="AG1088">
        <v>-0.10648100000000001</v>
      </c>
      <c r="AH1088">
        <v>0.64700220978582901</v>
      </c>
      <c r="AI1088">
        <v>99.246031303498697</v>
      </c>
      <c r="AJ1088">
        <v>81.549649447464404</v>
      </c>
      <c r="AK1088">
        <v>0.66271374361745605</v>
      </c>
      <c r="AL1088">
        <v>68.371124865243502</v>
      </c>
      <c r="AM1088">
        <v>92.075930907226393</v>
      </c>
      <c r="AN1088">
        <v>1.0000000493386301</v>
      </c>
    </row>
    <row r="1089" spans="1:40" x14ac:dyDescent="0.25">
      <c r="A1089" t="str">
        <f>"20190304164616880"</f>
        <v>20190304164616880</v>
      </c>
      <c r="B1089" t="str">
        <f>"1551689176869057"</f>
        <v>1551689176869057</v>
      </c>
      <c r="C1089" t="s">
        <v>40</v>
      </c>
      <c r="D1089">
        <v>4.6418189999999999</v>
      </c>
      <c r="E1089">
        <v>0.52794549999999996</v>
      </c>
      <c r="F1089" t="s">
        <v>41</v>
      </c>
      <c r="G1089">
        <v>-192.34540000000001</v>
      </c>
      <c r="H1089">
        <v>1.0132429999999999</v>
      </c>
      <c r="I1089">
        <v>331.14699999999999</v>
      </c>
      <c r="J1089">
        <v>-192.29679999999999</v>
      </c>
      <c r="K1089">
        <v>1.1113649999999999</v>
      </c>
      <c r="L1089">
        <v>331.78730000000002</v>
      </c>
      <c r="M1089">
        <v>-5.6460809999999998E-3</v>
      </c>
      <c r="N1089">
        <v>-1.3761570000000001E-2</v>
      </c>
      <c r="O1089">
        <v>-0.99988969999999999</v>
      </c>
      <c r="P1089">
        <v>2.9540859999999999E-2</v>
      </c>
      <c r="Q1089">
        <v>0.35645640000000001</v>
      </c>
      <c r="R1089">
        <v>-0.93384520000000004</v>
      </c>
      <c r="S1089">
        <v>-0.1838226</v>
      </c>
      <c r="T1089">
        <v>-0.3627937</v>
      </c>
      <c r="U1089">
        <v>-3.3551639999999998</v>
      </c>
      <c r="V1089">
        <v>-3.5087750000000001E-2</v>
      </c>
      <c r="W1089">
        <v>0.36924509999999999</v>
      </c>
      <c r="X1089">
        <v>0.92866950000000004</v>
      </c>
      <c r="Y1089">
        <v>4.8785469999999997E-2</v>
      </c>
      <c r="Z1089">
        <v>9.3667260000000002E-2</v>
      </c>
      <c r="AA1089">
        <v>0.99440759999999995</v>
      </c>
      <c r="AB1089">
        <v>27</v>
      </c>
      <c r="AC1089">
        <v>-4.8600000000021702E-2</v>
      </c>
      <c r="AD1089">
        <v>-9.8121999999999807E-2</v>
      </c>
      <c r="AE1089">
        <v>-0.64030000000002396</v>
      </c>
      <c r="AF1089">
        <v>4.3957332345400599E-2</v>
      </c>
      <c r="AG1089">
        <v>-9.8121999999999807E-2</v>
      </c>
      <c r="AH1089">
        <v>0.62594884843954801</v>
      </c>
      <c r="AI1089">
        <v>98.887488798021707</v>
      </c>
      <c r="AJ1089">
        <v>85.982991788221995</v>
      </c>
      <c r="AK1089">
        <v>0.635115843617304</v>
      </c>
      <c r="AL1089">
        <v>68.330933345814003</v>
      </c>
      <c r="AM1089">
        <v>92.163766735833207</v>
      </c>
      <c r="AN1089">
        <v>1.0000000671521501</v>
      </c>
    </row>
    <row r="1090" spans="1:40" x14ac:dyDescent="0.25">
      <c r="A1090" t="str">
        <f>"20190304164616903"</f>
        <v>20190304164616903</v>
      </c>
      <c r="B1090" t="str">
        <f>"1551689176899312"</f>
        <v>1551689176899312</v>
      </c>
      <c r="C1090" t="s">
        <v>40</v>
      </c>
      <c r="D1090">
        <v>4.6231299999999997</v>
      </c>
      <c r="E1090">
        <v>0.52262580000000003</v>
      </c>
      <c r="F1090" t="s">
        <v>41</v>
      </c>
      <c r="G1090">
        <v>-192.322</v>
      </c>
      <c r="H1090">
        <v>1.0235730000000001</v>
      </c>
      <c r="I1090">
        <v>330.90199999999999</v>
      </c>
      <c r="J1090">
        <v>-192.2978</v>
      </c>
      <c r="K1090">
        <v>1.111451</v>
      </c>
      <c r="L1090">
        <v>331.51490000000001</v>
      </c>
      <c r="M1090">
        <v>-5.0727659999999898E-3</v>
      </c>
      <c r="N1090">
        <v>-1.379412E-2</v>
      </c>
      <c r="O1090">
        <v>-0.99989220000000001</v>
      </c>
      <c r="P1090">
        <v>3.1053399999999998E-2</v>
      </c>
      <c r="Q1090">
        <v>0.35688370000000003</v>
      </c>
      <c r="R1090">
        <v>-0.93363269999999998</v>
      </c>
      <c r="S1090">
        <v>-9.4345090000000006E-2</v>
      </c>
      <c r="T1090">
        <v>-0.33179150000000002</v>
      </c>
      <c r="U1090">
        <v>-3.3421630000000002</v>
      </c>
      <c r="V1090">
        <v>-3.613384E-2</v>
      </c>
      <c r="W1090">
        <v>0.36969259999999998</v>
      </c>
      <c r="X1090">
        <v>0.92845120000000003</v>
      </c>
      <c r="Y1090">
        <v>2.3025759999999999E-2</v>
      </c>
      <c r="Z1090">
        <v>8.5019339999999999E-2</v>
      </c>
      <c r="AA1090">
        <v>0.99611320000000003</v>
      </c>
      <c r="AB1090">
        <v>27</v>
      </c>
      <c r="AC1090">
        <v>-2.42000000000075E-2</v>
      </c>
      <c r="AD1090">
        <v>-8.7877999999999901E-2</v>
      </c>
      <c r="AE1090">
        <v>-0.61290000000002398</v>
      </c>
      <c r="AF1090">
        <v>2.0666102477508601E-2</v>
      </c>
      <c r="AG1090">
        <v>-8.7877999999999901E-2</v>
      </c>
      <c r="AH1090">
        <v>0.60068521436202604</v>
      </c>
      <c r="AI1090">
        <v>98.318262049896404</v>
      </c>
      <c r="AJ1090">
        <v>88.029560949326097</v>
      </c>
      <c r="AK1090">
        <v>0.60743094869191805</v>
      </c>
      <c r="AL1090">
        <v>68.303338519307303</v>
      </c>
      <c r="AM1090">
        <v>92.228735571156903</v>
      </c>
      <c r="AN1090">
        <v>0.99999995183467105</v>
      </c>
    </row>
    <row r="1091" spans="1:40" x14ac:dyDescent="0.25">
      <c r="A1091" t="str">
        <f>"20190304164616924"</f>
        <v>20190304164616924</v>
      </c>
      <c r="B1091" t="str">
        <f>"1551689176919340"</f>
        <v>1551689176919340</v>
      </c>
      <c r="C1091" t="s">
        <v>40</v>
      </c>
      <c r="D1091">
        <v>4.6073389999999996</v>
      </c>
      <c r="E1091">
        <v>0.52116269999999998</v>
      </c>
      <c r="F1091" t="s">
        <v>41</v>
      </c>
      <c r="G1091">
        <v>-192.3098</v>
      </c>
      <c r="H1091">
        <v>1.0286999999999999</v>
      </c>
      <c r="I1091">
        <v>330.66</v>
      </c>
      <c r="J1091">
        <v>-192.29839999999999</v>
      </c>
      <c r="K1091">
        <v>1.1115170000000001</v>
      </c>
      <c r="L1091">
        <v>331.26240000000001</v>
      </c>
      <c r="M1091">
        <v>-4.4611529999999998E-3</v>
      </c>
      <c r="N1091">
        <v>-1.382018E-2</v>
      </c>
      <c r="O1091">
        <v>-0.99989459999999997</v>
      </c>
      <c r="P1091">
        <v>3.27497E-2</v>
      </c>
      <c r="Q1091">
        <v>0.35721819999999999</v>
      </c>
      <c r="R1091">
        <v>-0.93344649999999996</v>
      </c>
      <c r="S1091">
        <v>-4.6844480000000001E-2</v>
      </c>
      <c r="T1091">
        <v>-0.32324899999999901</v>
      </c>
      <c r="U1091">
        <v>-3.3384089999999902</v>
      </c>
      <c r="V1091">
        <v>-3.731781E-2</v>
      </c>
      <c r="W1091">
        <v>0.37004209999999998</v>
      </c>
      <c r="X1091">
        <v>0.92826520000000001</v>
      </c>
      <c r="Y1091">
        <v>9.5140669999999993E-3</v>
      </c>
      <c r="Z1091">
        <v>8.2603570000000001E-2</v>
      </c>
      <c r="AA1091">
        <v>0.99653709999999995</v>
      </c>
      <c r="AB1091">
        <v>27</v>
      </c>
      <c r="AC1091">
        <v>-1.14000000000089E-2</v>
      </c>
      <c r="AD1091">
        <v>-8.2817000000000099E-2</v>
      </c>
      <c r="AE1091">
        <v>-0.60239999999998795</v>
      </c>
      <c r="AF1091">
        <v>8.5506787655339703E-3</v>
      </c>
      <c r="AG1091">
        <v>-8.2817000000000099E-2</v>
      </c>
      <c r="AH1091">
        <v>0.59127360915127303</v>
      </c>
      <c r="AI1091">
        <v>97.972464997201996</v>
      </c>
      <c r="AJ1091">
        <v>89.171477216043101</v>
      </c>
      <c r="AK1091">
        <v>0.59710656542624196</v>
      </c>
      <c r="AL1091">
        <v>68.281786919769502</v>
      </c>
      <c r="AM1091">
        <v>92.302146254622699</v>
      </c>
      <c r="AN1091">
        <v>1.0000000281233199</v>
      </c>
    </row>
    <row r="1092" spans="1:40" x14ac:dyDescent="0.25">
      <c r="A1092" t="str">
        <f>"20190304164616945"</f>
        <v>20190304164616945</v>
      </c>
      <c r="B1092" t="str">
        <f>"1551689176938859"</f>
        <v>1551689176938859</v>
      </c>
      <c r="C1092" t="s">
        <v>40</v>
      </c>
      <c r="D1092">
        <v>4.5849840000000004</v>
      </c>
      <c r="E1092">
        <v>0.52050829999999904</v>
      </c>
      <c r="F1092" t="s">
        <v>41</v>
      </c>
      <c r="G1092">
        <v>-192.30590000000001</v>
      </c>
      <c r="H1092">
        <v>1.031244</v>
      </c>
      <c r="I1092">
        <v>330.41980000000001</v>
      </c>
      <c r="J1092">
        <v>-192.2989</v>
      </c>
      <c r="K1092">
        <v>1.1115930000000001</v>
      </c>
      <c r="L1092">
        <v>331.00650000000002</v>
      </c>
      <c r="M1092">
        <v>-3.7630139999999999E-3</v>
      </c>
      <c r="N1092">
        <v>-1.3843019999999999E-2</v>
      </c>
      <c r="O1092">
        <v>-0.99989709999999998</v>
      </c>
      <c r="P1092">
        <v>3.3767949999999998E-2</v>
      </c>
      <c r="Q1092">
        <v>0.3585122</v>
      </c>
      <c r="R1092">
        <v>-0.93291429999999997</v>
      </c>
      <c r="S1092">
        <v>-2.893066E-2</v>
      </c>
      <c r="T1092">
        <v>-0.31809019999999999</v>
      </c>
      <c r="U1092">
        <v>-3.3366090000000002</v>
      </c>
      <c r="V1092">
        <v>-3.7741980000000001E-2</v>
      </c>
      <c r="W1092">
        <v>0.37134329999999999</v>
      </c>
      <c r="X1092">
        <v>0.9277282</v>
      </c>
      <c r="Y1092">
        <v>4.874794E-3</v>
      </c>
      <c r="Z1092">
        <v>8.1110370000000001E-2</v>
      </c>
      <c r="AA1092">
        <v>0.99669319999999895</v>
      </c>
      <c r="AB1092">
        <v>27</v>
      </c>
      <c r="AC1092">
        <v>-7.0000000000049996E-3</v>
      </c>
      <c r="AD1092">
        <v>-8.0349000000000004E-2</v>
      </c>
      <c r="AE1092">
        <v>-0.58670000000000699</v>
      </c>
      <c r="AF1092">
        <v>4.7037695306237004E-3</v>
      </c>
      <c r="AG1092">
        <v>-8.0349000000000004E-2</v>
      </c>
      <c r="AH1092">
        <v>0.575922017705499</v>
      </c>
      <c r="AI1092">
        <v>97.942018611863801</v>
      </c>
      <c r="AJ1092">
        <v>89.532054442606096</v>
      </c>
      <c r="AK1092">
        <v>0.58151892293094898</v>
      </c>
      <c r="AL1092">
        <v>68.201513096511306</v>
      </c>
      <c r="AM1092">
        <v>92.329630990731602</v>
      </c>
      <c r="AN1092">
        <v>0.99999995829222399</v>
      </c>
    </row>
    <row r="1093" spans="1:40" x14ac:dyDescent="0.25">
      <c r="A1093" t="str">
        <f>"20190304164616968"</f>
        <v>20190304164616968</v>
      </c>
      <c r="B1093" t="str">
        <f>"1551689176959356"</f>
        <v>1551689176959356</v>
      </c>
      <c r="C1093" t="s">
        <v>40</v>
      </c>
      <c r="D1093">
        <v>4.5908579999999999</v>
      </c>
      <c r="E1093">
        <v>0.52009939999999999</v>
      </c>
      <c r="F1093" t="s">
        <v>41</v>
      </c>
      <c r="G1093">
        <v>-192.30350000000001</v>
      </c>
      <c r="H1093">
        <v>1.0342290000000001</v>
      </c>
      <c r="I1093">
        <v>330.17860000000002</v>
      </c>
      <c r="J1093">
        <v>-192.29900000000001</v>
      </c>
      <c r="K1093">
        <v>1.1116680000000001</v>
      </c>
      <c r="L1093">
        <v>330.73689999999999</v>
      </c>
      <c r="M1093">
        <v>-2.9399209999999999E-3</v>
      </c>
      <c r="N1093">
        <v>-1.3863530000000001E-2</v>
      </c>
      <c r="O1093">
        <v>-0.99989969999999995</v>
      </c>
      <c r="P1093">
        <v>3.4673330000000002E-2</v>
      </c>
      <c r="Q1093">
        <v>0.35883569999999998</v>
      </c>
      <c r="R1093">
        <v>-0.93275669999999999</v>
      </c>
      <c r="S1093">
        <v>-1.8157960000000001E-2</v>
      </c>
      <c r="T1093">
        <v>-0.31197170000000002</v>
      </c>
      <c r="U1093">
        <v>-3.3362729999999998</v>
      </c>
      <c r="V1093">
        <v>-3.7940000000000002E-2</v>
      </c>
      <c r="W1093">
        <v>0.37167800000000001</v>
      </c>
      <c r="X1093">
        <v>0.92758609999999997</v>
      </c>
      <c r="Y1093">
        <v>2.4833310000000001E-3</v>
      </c>
      <c r="Z1093">
        <v>7.9289289999999998E-2</v>
      </c>
      <c r="AA1093">
        <v>0.99684859999999997</v>
      </c>
      <c r="AB1093">
        <v>27</v>
      </c>
      <c r="AC1093">
        <v>-4.5000000000072699E-3</v>
      </c>
      <c r="AD1093">
        <v>-7.7438999999999994E-2</v>
      </c>
      <c r="AE1093">
        <v>-0.55829999999997404</v>
      </c>
      <c r="AF1093">
        <v>2.8045123829534401E-3</v>
      </c>
      <c r="AG1093">
        <v>-7.7438999999999994E-2</v>
      </c>
      <c r="AH1093">
        <v>0.54777285852044899</v>
      </c>
      <c r="AI1093">
        <v>98.046514069837599</v>
      </c>
      <c r="AJ1093">
        <v>89.706657026464796</v>
      </c>
      <c r="AK1093">
        <v>0.55322668820508802</v>
      </c>
      <c r="AL1093">
        <v>68.180858285413393</v>
      </c>
      <c r="AM1093">
        <v>92.342198595319701</v>
      </c>
      <c r="AN1093">
        <v>0.99999997609860403</v>
      </c>
    </row>
    <row r="1094" spans="1:40" x14ac:dyDescent="0.25">
      <c r="A1094" t="str">
        <f>"20190304164616991"</f>
        <v>20190304164616991</v>
      </c>
      <c r="B1094" t="str">
        <f>"1551689176978879"</f>
        <v>1551689176978879</v>
      </c>
      <c r="C1094" t="s">
        <v>40</v>
      </c>
      <c r="D1094">
        <v>5.0654110000000001</v>
      </c>
      <c r="E1094">
        <v>0.51975249999999995</v>
      </c>
      <c r="F1094" t="s">
        <v>41</v>
      </c>
      <c r="G1094">
        <v>-192.3014</v>
      </c>
      <c r="H1094">
        <v>1.0392429999999999</v>
      </c>
      <c r="I1094">
        <v>329.93579999999997</v>
      </c>
      <c r="J1094">
        <v>-192.2988</v>
      </c>
      <c r="K1094">
        <v>1.111745</v>
      </c>
      <c r="L1094">
        <v>330.46899999999999</v>
      </c>
      <c r="M1094">
        <v>-2.0277860000000002E-3</v>
      </c>
      <c r="N1094">
        <v>-1.388088E-2</v>
      </c>
      <c r="O1094">
        <v>-0.99990179999999995</v>
      </c>
      <c r="P1094">
        <v>3.6256990000000003E-2</v>
      </c>
      <c r="Q1094">
        <v>0.35893999999999998</v>
      </c>
      <c r="R1094">
        <v>-0.93265629999999999</v>
      </c>
      <c r="S1094">
        <v>-9.8571779999999994E-3</v>
      </c>
      <c r="T1094">
        <v>-0.301384599999999</v>
      </c>
      <c r="U1094">
        <v>-3.332611</v>
      </c>
      <c r="V1094">
        <v>-3.8733389999999999E-2</v>
      </c>
      <c r="W1094">
        <v>0.37178990000000001</v>
      </c>
      <c r="X1094">
        <v>0.92750849999999996</v>
      </c>
      <c r="Y1094">
        <v>9.205242E-4</v>
      </c>
      <c r="Z1094">
        <v>7.6233809999999999E-2</v>
      </c>
      <c r="AA1094">
        <v>0.99708960000000002</v>
      </c>
      <c r="AB1094">
        <v>27</v>
      </c>
      <c r="AC1094">
        <v>-2.6000000000010398E-3</v>
      </c>
      <c r="AD1094">
        <v>-7.2501999999999803E-2</v>
      </c>
      <c r="AE1094">
        <v>-0.53320000000002199</v>
      </c>
      <c r="AF1094">
        <v>1.4911063875671E-3</v>
      </c>
      <c r="AG1094">
        <v>-7.2501999999999803E-2</v>
      </c>
      <c r="AH1094">
        <v>0.52352481637867598</v>
      </c>
      <c r="AI1094">
        <v>97.884605573151504</v>
      </c>
      <c r="AJ1094">
        <v>89.836810273134702</v>
      </c>
      <c r="AK1094">
        <v>0.52852341174879403</v>
      </c>
      <c r="AL1094">
        <v>68.173952786866096</v>
      </c>
      <c r="AM1094">
        <v>92.391321508367298</v>
      </c>
      <c r="AN1094">
        <v>1.00000001140757</v>
      </c>
    </row>
    <row r="1095" spans="1:40" x14ac:dyDescent="0.25">
      <c r="A1095" t="str">
        <f>"20190304164617014"</f>
        <v>20190304164617014</v>
      </c>
      <c r="B1095" t="str">
        <f>"1551689177008662"</f>
        <v>1551689177008662</v>
      </c>
      <c r="C1095" t="s">
        <v>40</v>
      </c>
      <c r="D1095">
        <v>4.6148429999999996</v>
      </c>
      <c r="E1095">
        <v>0.51955969999999996</v>
      </c>
      <c r="F1095" t="s">
        <v>42</v>
      </c>
      <c r="G1095">
        <v>-192.3107</v>
      </c>
      <c r="H1095" s="1">
        <v>-4.4760570000000001E-6</v>
      </c>
      <c r="I1095">
        <v>317.87470000000002</v>
      </c>
      <c r="J1095">
        <v>-192.29830000000001</v>
      </c>
      <c r="K1095">
        <v>1.1118250000000001</v>
      </c>
      <c r="L1095">
        <v>330.19720000000001</v>
      </c>
      <c r="M1095">
        <v>-9.9972439999999993E-4</v>
      </c>
      <c r="N1095">
        <v>-1.389631E-2</v>
      </c>
      <c r="O1095">
        <v>-0.99990310000000004</v>
      </c>
      <c r="P1095">
        <v>3.6927340000000003E-2</v>
      </c>
      <c r="Q1095">
        <v>0.35974309999999998</v>
      </c>
      <c r="R1095">
        <v>-0.93232060000000005</v>
      </c>
      <c r="S1095">
        <v>-3.1280520000000001E-3</v>
      </c>
      <c r="T1095">
        <v>-0.29394049999999999</v>
      </c>
      <c r="U1095">
        <v>-3.3298649999999999</v>
      </c>
      <c r="V1095">
        <v>-3.8510330000000002E-2</v>
      </c>
      <c r="W1095">
        <v>0.37259680000000001</v>
      </c>
      <c r="X1095">
        <v>0.92719390000000002</v>
      </c>
      <c r="Y1095" s="1">
        <v>-6.2966540000000004E-5</v>
      </c>
      <c r="Z1095">
        <v>7.4081060000000004E-2</v>
      </c>
      <c r="AA1095">
        <v>0.99725220000000003</v>
      </c>
      <c r="AB1095">
        <v>27</v>
      </c>
      <c r="AC1095">
        <v>-1.23999999999853E-2</v>
      </c>
      <c r="AD1095">
        <v>-1.111829476057</v>
      </c>
      <c r="AE1095">
        <v>-12.3224999999999</v>
      </c>
      <c r="AF1095" s="1">
        <v>7.9058587565454503E-5</v>
      </c>
      <c r="AG1095">
        <v>-1.111829476057</v>
      </c>
      <c r="AH1095">
        <v>12.222998687510101</v>
      </c>
      <c r="AI1095">
        <v>95.197440484713297</v>
      </c>
      <c r="AJ1095">
        <v>89.999629409810296</v>
      </c>
      <c r="AK1095">
        <v>12.273461683850799</v>
      </c>
      <c r="AL1095">
        <v>68.124141341271596</v>
      </c>
      <c r="AM1095">
        <v>92.378371872197405</v>
      </c>
      <c r="AN1095">
        <v>0.99999997454207901</v>
      </c>
    </row>
    <row r="1096" spans="1:40" x14ac:dyDescent="0.25">
      <c r="A1096" t="str">
        <f>"20190304164617039"</f>
        <v>20190304164617039</v>
      </c>
      <c r="B1096" t="str">
        <f>"1551689177029159"</f>
        <v>1551689177029159</v>
      </c>
      <c r="C1096" t="s">
        <v>40</v>
      </c>
      <c r="D1096">
        <v>4.6115009999999996</v>
      </c>
      <c r="E1096">
        <v>0.51951999999999998</v>
      </c>
      <c r="F1096" t="s">
        <v>42</v>
      </c>
      <c r="G1096">
        <v>-192.2979</v>
      </c>
      <c r="H1096" s="1">
        <v>-4.2676749999999998E-6</v>
      </c>
      <c r="I1096">
        <v>317.33789999999999</v>
      </c>
      <c r="J1096">
        <v>-192.2972</v>
      </c>
      <c r="K1096">
        <v>1.1119139999999901</v>
      </c>
      <c r="L1096">
        <v>329.90199999999999</v>
      </c>
      <c r="M1096">
        <v>2.6200270000000002E-4</v>
      </c>
      <c r="N1096">
        <v>-1.3910499999999999E-2</v>
      </c>
      <c r="O1096">
        <v>-0.9999034</v>
      </c>
      <c r="P1096">
        <v>3.7946689999999998E-2</v>
      </c>
      <c r="Q1096">
        <v>0.35975829999999998</v>
      </c>
      <c r="R1096">
        <v>-0.93227400000000005</v>
      </c>
      <c r="S1096" s="1">
        <v>9.1552730000000004E-5</v>
      </c>
      <c r="T1096">
        <v>-0.2878172</v>
      </c>
      <c r="U1096">
        <v>-3.3288570000000002</v>
      </c>
      <c r="V1096">
        <v>-3.842773E-2</v>
      </c>
      <c r="W1096">
        <v>0.372618</v>
      </c>
      <c r="X1096">
        <v>0.92718880000000004</v>
      </c>
      <c r="Y1096">
        <v>2.344337E-4</v>
      </c>
      <c r="Z1096">
        <v>7.2272779999999995E-2</v>
      </c>
      <c r="AA1096">
        <v>0.99738490000000002</v>
      </c>
      <c r="AB1096">
        <v>27</v>
      </c>
      <c r="AC1096">
        <v>-6.9999999999481501E-4</v>
      </c>
      <c r="AD1096">
        <v>-1.1119182676749999</v>
      </c>
      <c r="AE1096">
        <v>-12.5640999999999</v>
      </c>
      <c r="AF1096">
        <v>3.96112176717839E-3</v>
      </c>
      <c r="AG1096">
        <v>-1.1119182676749999</v>
      </c>
      <c r="AH1096">
        <v>12.4664597608708</v>
      </c>
      <c r="AI1096">
        <v>95.096882619079807</v>
      </c>
      <c r="AJ1096">
        <v>89.981794707069</v>
      </c>
      <c r="AK1096">
        <v>12.515949700038201</v>
      </c>
      <c r="AL1096">
        <v>68.122832253937005</v>
      </c>
      <c r="AM1096">
        <v>92.373289430752195</v>
      </c>
      <c r="AN1096">
        <v>0.99999996760119503</v>
      </c>
    </row>
    <row r="1097" spans="1:40" x14ac:dyDescent="0.25">
      <c r="A1097" t="str">
        <f>"20190304164617061"</f>
        <v>20190304164617061</v>
      </c>
      <c r="B1097" t="str">
        <f>"1551689177049654"</f>
        <v>1551689177049654</v>
      </c>
      <c r="C1097" t="s">
        <v>40</v>
      </c>
      <c r="D1097">
        <v>4.632174</v>
      </c>
      <c r="E1097">
        <v>0.51952770000000004</v>
      </c>
      <c r="F1097" t="s">
        <v>41</v>
      </c>
      <c r="G1097">
        <v>-192.29599999999999</v>
      </c>
      <c r="H1097">
        <v>1.0325260000000001</v>
      </c>
      <c r="I1097">
        <v>328.99220000000003</v>
      </c>
      <c r="J1097">
        <v>-192.29580000000001</v>
      </c>
      <c r="K1097">
        <v>1.111996</v>
      </c>
      <c r="L1097">
        <v>329.6413</v>
      </c>
      <c r="M1097">
        <v>1.485414E-3</v>
      </c>
      <c r="N1097">
        <v>-1.3921340000000001E-2</v>
      </c>
      <c r="O1097">
        <v>-0.99990210000000002</v>
      </c>
      <c r="P1097">
        <v>3.8782690000000002E-2</v>
      </c>
      <c r="Q1097">
        <v>0.35984690000000003</v>
      </c>
      <c r="R1097">
        <v>-0.93220530000000001</v>
      </c>
      <c r="S1097">
        <v>5.0048829999999999E-3</v>
      </c>
      <c r="T1097">
        <v>-0.29079250000000001</v>
      </c>
      <c r="U1097">
        <v>-3.3299560000000001</v>
      </c>
      <c r="V1097">
        <v>-3.819057E-2</v>
      </c>
      <c r="W1097">
        <v>0.37271009999999999</v>
      </c>
      <c r="X1097">
        <v>0.92716160000000003</v>
      </c>
      <c r="Y1097" s="1">
        <v>-1.339312E-5</v>
      </c>
      <c r="Z1097">
        <v>7.3117979999999999E-2</v>
      </c>
      <c r="AA1097">
        <v>0.99732330000000002</v>
      </c>
      <c r="AB1097">
        <v>27</v>
      </c>
      <c r="AC1097">
        <v>-1.9999999997821701E-4</v>
      </c>
      <c r="AD1097">
        <v>-7.9469999999999902E-2</v>
      </c>
      <c r="AE1097">
        <v>-0.64909999999997503</v>
      </c>
      <c r="AF1097">
        <v>1.14708132736125E-3</v>
      </c>
      <c r="AG1097">
        <v>-7.9469999999999902E-2</v>
      </c>
      <c r="AH1097">
        <v>0.63951309298385495</v>
      </c>
      <c r="AI1097">
        <v>97.083616703354195</v>
      </c>
      <c r="AJ1097">
        <v>89.897229862759403</v>
      </c>
      <c r="AK1097">
        <v>0.64443292342442304</v>
      </c>
      <c r="AL1097">
        <v>68.117146097759402</v>
      </c>
      <c r="AM1097">
        <v>92.3587281843987</v>
      </c>
      <c r="AN1097">
        <v>0.99999998539674695</v>
      </c>
    </row>
    <row r="1098" spans="1:40" x14ac:dyDescent="0.25">
      <c r="A1098" t="str">
        <f>"20190304164617105"</f>
        <v>20190304164617105</v>
      </c>
      <c r="B1098" t="str">
        <f>"1551689177099431"</f>
        <v>1551689177099431</v>
      </c>
      <c r="C1098" t="s">
        <v>40</v>
      </c>
      <c r="D1098">
        <v>4.6500329999999996</v>
      </c>
      <c r="E1098">
        <v>0.51953190000000005</v>
      </c>
      <c r="F1098" t="s">
        <v>41</v>
      </c>
      <c r="G1098">
        <v>-192.2936</v>
      </c>
      <c r="H1098">
        <v>1.0341469999999999</v>
      </c>
      <c r="I1098">
        <v>328.75420000000003</v>
      </c>
      <c r="J1098">
        <v>-192.29159999999999</v>
      </c>
      <c r="K1098">
        <v>1.112131</v>
      </c>
      <c r="L1098">
        <v>329.11709999999999</v>
      </c>
      <c r="M1098">
        <v>4.2225550000000002E-3</v>
      </c>
      <c r="N1098">
        <v>-1.39385E-2</v>
      </c>
      <c r="O1098">
        <v>-0.99989399999999995</v>
      </c>
      <c r="P1098">
        <v>4.0201550000000003E-2</v>
      </c>
      <c r="Q1098">
        <v>0.36069099999999998</v>
      </c>
      <c r="R1098">
        <v>-0.9318187</v>
      </c>
      <c r="S1098">
        <v>8.4075929999999997E-3</v>
      </c>
      <c r="T1098">
        <v>-0.29252739999999999</v>
      </c>
      <c r="U1098">
        <v>-3.3307799999999999</v>
      </c>
      <c r="V1098">
        <v>-3.7179950000000003E-2</v>
      </c>
      <c r="W1098">
        <v>0.37355630000000001</v>
      </c>
      <c r="X1098">
        <v>0.92686210000000002</v>
      </c>
      <c r="Y1098">
        <v>1.7044129999999999E-3</v>
      </c>
      <c r="Z1098">
        <v>7.3593899999999907E-2</v>
      </c>
      <c r="AA1098">
        <v>0.99728689999999998</v>
      </c>
      <c r="AB1098">
        <v>27</v>
      </c>
      <c r="AC1098">
        <v>-2.0000000000095402E-3</v>
      </c>
      <c r="AD1098">
        <v>-7.7983999999999998E-2</v>
      </c>
      <c r="AE1098">
        <v>-0.36289999999996703</v>
      </c>
      <c r="AF1098">
        <v>3.37657663520869E-3</v>
      </c>
      <c r="AG1098">
        <v>-7.7983999999999998E-2</v>
      </c>
      <c r="AH1098">
        <v>0.34687092675748599</v>
      </c>
      <c r="AI1098">
        <v>102.670061115891</v>
      </c>
      <c r="AJ1098">
        <v>89.442278193236803</v>
      </c>
      <c r="AK1098">
        <v>0.35554513828116202</v>
      </c>
      <c r="AL1098">
        <v>68.064888683075097</v>
      </c>
      <c r="AM1098">
        <v>92.297119183830404</v>
      </c>
      <c r="AN1098">
        <v>1.0000000051840501</v>
      </c>
    </row>
    <row r="1099" spans="1:40" x14ac:dyDescent="0.25">
      <c r="A1099" t="str">
        <f>"20190304164617126"</f>
        <v>20190304164617126</v>
      </c>
      <c r="B1099" t="str">
        <f>"1551689177119458"</f>
        <v>1551689177119458</v>
      </c>
      <c r="C1099" t="s">
        <v>40</v>
      </c>
      <c r="D1099">
        <v>4.6222300000000001</v>
      </c>
      <c r="E1099">
        <v>0.51947449999999995</v>
      </c>
      <c r="F1099" t="s">
        <v>41</v>
      </c>
      <c r="G1099">
        <v>-192.2884</v>
      </c>
      <c r="H1099">
        <v>1.037927</v>
      </c>
      <c r="I1099">
        <v>328.279</v>
      </c>
      <c r="J1099">
        <v>-192.28909999999999</v>
      </c>
      <c r="K1099">
        <v>1.1121909999999999</v>
      </c>
      <c r="L1099">
        <v>328.87430000000001</v>
      </c>
      <c r="M1099">
        <v>5.612527E-3</v>
      </c>
      <c r="N1099">
        <v>-1.3944750000000001E-2</v>
      </c>
      <c r="O1099">
        <v>-0.99988730000000003</v>
      </c>
      <c r="P1099">
        <v>4.1088119999999999E-2</v>
      </c>
      <c r="Q1099">
        <v>0.36118450000000002</v>
      </c>
      <c r="R1099">
        <v>-0.93158909999999995</v>
      </c>
      <c r="S1099">
        <v>1.338196E-2</v>
      </c>
      <c r="T1099">
        <v>-0.29527750000000003</v>
      </c>
      <c r="U1099">
        <v>-3.333221</v>
      </c>
      <c r="V1099">
        <v>-3.682158E-2</v>
      </c>
      <c r="W1099">
        <v>0.37404949999999998</v>
      </c>
      <c r="X1099">
        <v>0.92667750000000004</v>
      </c>
      <c r="Y1099">
        <v>1.60836799999999E-3</v>
      </c>
      <c r="Z1099">
        <v>7.4339409999999995E-2</v>
      </c>
      <c r="AA1099">
        <v>0.99723170000000005</v>
      </c>
      <c r="AB1099">
        <v>26</v>
      </c>
      <c r="AC1099">
        <v>6.9999999999481501E-4</v>
      </c>
      <c r="AD1099">
        <v>-7.4263999999999802E-2</v>
      </c>
      <c r="AE1099">
        <v>-0.59530000000000804</v>
      </c>
      <c r="AF1099">
        <v>2.6009938708782899E-3</v>
      </c>
      <c r="AG1099">
        <v>-7.4263999999999802E-2</v>
      </c>
      <c r="AH1099">
        <v>0.58617214329923994</v>
      </c>
      <c r="AI1099">
        <v>97.220444364540697</v>
      </c>
      <c r="AJ1099">
        <v>89.745765821545902</v>
      </c>
      <c r="AK1099">
        <v>0.59086351084251298</v>
      </c>
      <c r="AL1099">
        <v>68.034422218411507</v>
      </c>
      <c r="AM1099">
        <v>92.275453813631103</v>
      </c>
      <c r="AN1099">
        <v>1.0000000231050901</v>
      </c>
    </row>
    <row r="1100" spans="1:40" x14ac:dyDescent="0.25">
      <c r="A1100" t="str">
        <f>"20190304164617147"</f>
        <v>20190304164617147</v>
      </c>
      <c r="B1100" t="str">
        <f>"1551689177138977"</f>
        <v>1551689177138977</v>
      </c>
      <c r="C1100" t="s">
        <v>40</v>
      </c>
      <c r="D1100">
        <v>4.6365179999999997</v>
      </c>
      <c r="E1100">
        <v>0.51943640000000002</v>
      </c>
      <c r="F1100" t="s">
        <v>41</v>
      </c>
      <c r="G1100">
        <v>-192.28530000000001</v>
      </c>
      <c r="H1100">
        <v>1.0387420000000001</v>
      </c>
      <c r="I1100">
        <v>328.04289999999997</v>
      </c>
      <c r="J1100">
        <v>-192.2859</v>
      </c>
      <c r="K1100">
        <v>1.1122479999999999</v>
      </c>
      <c r="L1100">
        <v>328.6148</v>
      </c>
      <c r="M1100">
        <v>7.1684160000000004E-3</v>
      </c>
      <c r="N1100">
        <v>-1.395043E-2</v>
      </c>
      <c r="O1100">
        <v>-0.99987720000000002</v>
      </c>
      <c r="P1100">
        <v>4.1488490000000003E-2</v>
      </c>
      <c r="Q1100">
        <v>0.36190129999999998</v>
      </c>
      <c r="R1100">
        <v>-0.93129309999999998</v>
      </c>
      <c r="S1100">
        <v>1.5655519999999999E-2</v>
      </c>
      <c r="T1100">
        <v>-0.29487529999999901</v>
      </c>
      <c r="U1100">
        <v>-3.3339539999999999</v>
      </c>
      <c r="V1100">
        <v>-3.5821459999999999E-2</v>
      </c>
      <c r="W1100">
        <v>0.37476660000000001</v>
      </c>
      <c r="X1100">
        <v>0.92642690000000005</v>
      </c>
      <c r="Y1100">
        <v>2.4846040000000001E-3</v>
      </c>
      <c r="Z1100">
        <v>7.4193659999999995E-2</v>
      </c>
      <c r="AA1100">
        <v>0.99724080000000004</v>
      </c>
      <c r="AB1100">
        <v>26</v>
      </c>
      <c r="AC1100">
        <v>5.9999999999149601E-4</v>
      </c>
      <c r="AD1100">
        <v>-7.3505999999999794E-2</v>
      </c>
      <c r="AE1100">
        <v>-0.57190000000002705</v>
      </c>
      <c r="AF1100">
        <v>3.44315048403119E-3</v>
      </c>
      <c r="AG1100">
        <v>-7.3505999999999794E-2</v>
      </c>
      <c r="AH1100">
        <v>0.56259563452217498</v>
      </c>
      <c r="AI1100">
        <v>97.443682979931694</v>
      </c>
      <c r="AJ1100">
        <v>89.649347567161996</v>
      </c>
      <c r="AK1100">
        <v>0.56738772925105196</v>
      </c>
      <c r="AL1100">
        <v>67.990111767673298</v>
      </c>
      <c r="AM1100">
        <v>92.214310214557003</v>
      </c>
      <c r="AN1100">
        <v>0.99999999125785</v>
      </c>
    </row>
    <row r="1101" spans="1:40" x14ac:dyDescent="0.25">
      <c r="A1101" t="str">
        <f>"20190304164617192"</f>
        <v>20190304164617192</v>
      </c>
      <c r="B1101" t="str">
        <f>"1551689177188753"</f>
        <v>1551689177188753</v>
      </c>
      <c r="C1101" t="s">
        <v>40</v>
      </c>
      <c r="D1101">
        <v>4.6023129999999997</v>
      </c>
      <c r="E1101">
        <v>0.47133370000000002</v>
      </c>
      <c r="F1101" t="s">
        <v>41</v>
      </c>
      <c r="G1101">
        <v>-192.28190000000001</v>
      </c>
      <c r="H1101">
        <v>1.041075</v>
      </c>
      <c r="I1101">
        <v>327.80579999999998</v>
      </c>
      <c r="J1101">
        <v>-192.27809999999999</v>
      </c>
      <c r="K1101">
        <v>1.112333</v>
      </c>
      <c r="L1101">
        <v>328.08800000000002</v>
      </c>
      <c r="M1101">
        <v>1.04888E-2</v>
      </c>
      <c r="N1101">
        <v>-1.3958750000000001E-2</v>
      </c>
      <c r="O1101">
        <v>-0.99984779999999995</v>
      </c>
      <c r="P1101">
        <v>4.4990820000000001E-2</v>
      </c>
      <c r="Q1101">
        <v>0.3639925</v>
      </c>
      <c r="R1101">
        <v>-0.930315</v>
      </c>
      <c r="S1101">
        <v>1.7105099999999901E-2</v>
      </c>
      <c r="T1101">
        <v>-0.29357729999999999</v>
      </c>
      <c r="U1101">
        <v>-3.3346559999999998</v>
      </c>
      <c r="V1101">
        <v>-3.6314079999999999E-2</v>
      </c>
      <c r="W1101">
        <v>0.37684620000000002</v>
      </c>
      <c r="X1101">
        <v>0.92556380000000005</v>
      </c>
      <c r="Y1101">
        <v>5.3707039999999996E-3</v>
      </c>
      <c r="Z1101">
        <v>7.3777499999999996E-2</v>
      </c>
      <c r="AA1101">
        <v>0.99726029999999999</v>
      </c>
      <c r="AB1101">
        <v>26</v>
      </c>
      <c r="AC1101">
        <v>-3.8000000000124601E-3</v>
      </c>
      <c r="AD1101">
        <v>-7.1258000000000002E-2</v>
      </c>
      <c r="AE1101">
        <v>-0.28220000000004503</v>
      </c>
      <c r="AF1101">
        <v>6.3548985057092196E-3</v>
      </c>
      <c r="AG1101">
        <v>-7.1258000000000002E-2</v>
      </c>
      <c r="AH1101">
        <v>0.26523603637875898</v>
      </c>
      <c r="AI1101">
        <v>105.033809120444</v>
      </c>
      <c r="AJ1101">
        <v>88.627489612860899</v>
      </c>
      <c r="AK1101">
        <v>0.274714838137536</v>
      </c>
      <c r="AL1101">
        <v>67.861536066670496</v>
      </c>
      <c r="AM1101">
        <v>92.246821767467097</v>
      </c>
      <c r="AN1101">
        <v>1.00000005936556</v>
      </c>
    </row>
    <row r="1102" spans="1:40" x14ac:dyDescent="0.25">
      <c r="A1102" t="str">
        <f>"20190304164617217"</f>
        <v>20190304164617217</v>
      </c>
      <c r="B1102" t="str">
        <f>"1551689177208781"</f>
        <v>1551689177208781</v>
      </c>
      <c r="C1102" t="s">
        <v>40</v>
      </c>
      <c r="D1102">
        <v>4.4948620000000004</v>
      </c>
      <c r="E1102">
        <v>0.46678589999999998</v>
      </c>
      <c r="F1102" t="s">
        <v>42</v>
      </c>
      <c r="G1102">
        <v>-190.02340000000001</v>
      </c>
      <c r="H1102" s="1">
        <v>-1.6704909999999999E-7</v>
      </c>
      <c r="I1102">
        <v>309.93189999999998</v>
      </c>
      <c r="J1102">
        <v>-192.2732</v>
      </c>
      <c r="K1102">
        <v>1.1123609999999999</v>
      </c>
      <c r="L1102">
        <v>327.81319999999999</v>
      </c>
      <c r="M1102">
        <v>1.2266579999999999E-2</v>
      </c>
      <c r="N1102">
        <v>-1.3961360000000001E-2</v>
      </c>
      <c r="O1102">
        <v>-0.99982729999999997</v>
      </c>
      <c r="P1102">
        <v>4.6541180000000001E-2</v>
      </c>
      <c r="Q1102">
        <v>0.36496699999999999</v>
      </c>
      <c r="R1102">
        <v>-0.92985640000000003</v>
      </c>
      <c r="S1102">
        <v>0.40777590000000002</v>
      </c>
      <c r="T1102">
        <v>-0.2011743</v>
      </c>
      <c r="U1102">
        <v>-3.2836910000000001</v>
      </c>
      <c r="V1102">
        <v>-3.6233290000000001E-2</v>
      </c>
      <c r="W1102">
        <v>0.37781629999999999</v>
      </c>
      <c r="X1102">
        <v>0.92517130000000003</v>
      </c>
      <c r="Y1102">
        <v>-0.1108594</v>
      </c>
      <c r="Z1102">
        <v>4.6791619999999999E-2</v>
      </c>
      <c r="AA1102">
        <v>0.99273400000000001</v>
      </c>
      <c r="AB1102">
        <v>26</v>
      </c>
      <c r="AC1102">
        <v>2.2497999999999898</v>
      </c>
      <c r="AD1102">
        <v>-1.1123611670491</v>
      </c>
      <c r="AE1102">
        <v>-17.8813</v>
      </c>
      <c r="AF1102">
        <v>-2.0225618969239001</v>
      </c>
      <c r="AG1102">
        <v>-1.1123611670491</v>
      </c>
      <c r="AH1102">
        <v>17.839593830802499</v>
      </c>
      <c r="AI1102">
        <v>93.545319013645994</v>
      </c>
      <c r="AJ1102">
        <v>96.468282625085706</v>
      </c>
      <c r="AK1102">
        <v>17.988307648048799</v>
      </c>
      <c r="AL1102">
        <v>67.801514637288406</v>
      </c>
      <c r="AM1102">
        <v>92.242778356203004</v>
      </c>
      <c r="AN1102">
        <v>0.99999997109680105</v>
      </c>
    </row>
    <row r="1103" spans="1:40" x14ac:dyDescent="0.25">
      <c r="A1103" t="str">
        <f>"20190304164617260"</f>
        <v>20190304164617260</v>
      </c>
      <c r="B1103" t="str">
        <f>"1551689177248797"</f>
        <v>1551689177248797</v>
      </c>
      <c r="C1103" t="s">
        <v>40</v>
      </c>
      <c r="D1103">
        <v>4.5339879999999999</v>
      </c>
      <c r="E1103">
        <v>0.4622541</v>
      </c>
      <c r="F1103" t="s">
        <v>42</v>
      </c>
      <c r="G1103">
        <v>-189.62819999999999</v>
      </c>
      <c r="H1103" s="1">
        <v>-3.9158800000000004E-6</v>
      </c>
      <c r="I1103">
        <v>308.6071</v>
      </c>
      <c r="J1103">
        <v>-192.26300000000001</v>
      </c>
      <c r="K1103">
        <v>1.112358</v>
      </c>
      <c r="L1103">
        <v>327.30840000000001</v>
      </c>
      <c r="M1103">
        <v>1.552195E-2</v>
      </c>
      <c r="N1103">
        <v>-1.3963639999999999E-2</v>
      </c>
      <c r="O1103">
        <v>-0.99978239999999996</v>
      </c>
      <c r="P1103">
        <v>4.7063059999999997E-2</v>
      </c>
      <c r="Q1103">
        <v>0.36465130000000001</v>
      </c>
      <c r="R1103">
        <v>-0.92995450000000002</v>
      </c>
      <c r="S1103">
        <v>0.45146180000000002</v>
      </c>
      <c r="T1103">
        <v>-0.18986610000000001</v>
      </c>
      <c r="U1103">
        <v>-3.2782290000000001</v>
      </c>
      <c r="V1103">
        <v>-3.3712470000000001E-2</v>
      </c>
      <c r="W1103">
        <v>0.37751390000000001</v>
      </c>
      <c r="X1103">
        <v>0.92539009999999999</v>
      </c>
      <c r="Y1103">
        <v>-0.1208444</v>
      </c>
      <c r="Z1103">
        <v>4.339726E-2</v>
      </c>
      <c r="AA1103">
        <v>0.9917224</v>
      </c>
      <c r="AB1103">
        <v>26</v>
      </c>
      <c r="AC1103">
        <v>2.63480000000001</v>
      </c>
      <c r="AD1103">
        <v>-1.11236191588</v>
      </c>
      <c r="AE1103">
        <v>-18.7013</v>
      </c>
      <c r="AF1103">
        <v>-2.33606970095888</v>
      </c>
      <c r="AG1103">
        <v>-1.11236191588</v>
      </c>
      <c r="AH1103">
        <v>18.675162410193199</v>
      </c>
      <c r="AI1103">
        <v>93.382423210722706</v>
      </c>
      <c r="AJ1103">
        <v>97.130074353297005</v>
      </c>
      <c r="AK1103">
        <v>18.8535477225569</v>
      </c>
      <c r="AL1103">
        <v>67.820228640230695</v>
      </c>
      <c r="AM1103">
        <v>92.086394057475502</v>
      </c>
      <c r="AN1103">
        <v>1.0000000562523499</v>
      </c>
    </row>
    <row r="1104" spans="1:40" x14ac:dyDescent="0.25">
      <c r="A1104" t="str">
        <f>"20190304164617284"</f>
        <v>20190304164617284</v>
      </c>
      <c r="B1104" t="str">
        <f>"1551689177279053"</f>
        <v>1551689177279053</v>
      </c>
      <c r="C1104" t="s">
        <v>40</v>
      </c>
      <c r="D1104">
        <v>4.4647739999999896</v>
      </c>
      <c r="E1104">
        <v>0.46116180000000001</v>
      </c>
      <c r="F1104" t="s">
        <v>42</v>
      </c>
      <c r="G1104">
        <v>-189.5745</v>
      </c>
      <c r="H1104" s="1">
        <v>-4.3078919999999996E-6</v>
      </c>
      <c r="I1104">
        <v>309.49869999999999</v>
      </c>
      <c r="J1104">
        <v>-192.25630000000001</v>
      </c>
      <c r="K1104">
        <v>1.112333</v>
      </c>
      <c r="L1104">
        <v>327.01679999999999</v>
      </c>
      <c r="M1104">
        <v>1.7365370000000001E-2</v>
      </c>
      <c r="N1104">
        <v>-1.3963919999999999E-2</v>
      </c>
      <c r="O1104">
        <v>-0.99975170000000002</v>
      </c>
      <c r="P1104">
        <v>4.6609610000000003E-2</v>
      </c>
      <c r="Q1104">
        <v>0.36356260000000001</v>
      </c>
      <c r="R1104">
        <v>-0.93040310000000004</v>
      </c>
      <c r="S1104">
        <v>0.49531560000000002</v>
      </c>
      <c r="T1104">
        <v>-0.2049407</v>
      </c>
      <c r="U1104">
        <v>-3.28125</v>
      </c>
      <c r="V1104">
        <v>-3.1510780000000002E-2</v>
      </c>
      <c r="W1104">
        <v>0.37644109999999997</v>
      </c>
      <c r="X1104">
        <v>0.92590450000000002</v>
      </c>
      <c r="Y1104">
        <v>-0.13182749999999999</v>
      </c>
      <c r="Z1104">
        <v>4.7777559999999997E-2</v>
      </c>
      <c r="AA1104">
        <v>0.99012060000000002</v>
      </c>
      <c r="AB1104">
        <v>26</v>
      </c>
      <c r="AC1104">
        <v>2.6818</v>
      </c>
      <c r="AD1104">
        <v>-1.112337307892</v>
      </c>
      <c r="AE1104">
        <v>-17.5181</v>
      </c>
      <c r="AF1104">
        <v>-2.3678295769205402</v>
      </c>
      <c r="AG1104">
        <v>-1.112337307892</v>
      </c>
      <c r="AH1104">
        <v>17.4931192133281</v>
      </c>
      <c r="AI1104">
        <v>93.605583540774404</v>
      </c>
      <c r="AJ1104">
        <v>97.708578526057593</v>
      </c>
      <c r="AK1104">
        <v>17.687654762674899</v>
      </c>
      <c r="AL1104">
        <v>67.886590046028402</v>
      </c>
      <c r="AM1104">
        <v>91.9491623220337</v>
      </c>
      <c r="AN1104">
        <v>0.999999987072834</v>
      </c>
    </row>
    <row r="1105" spans="1:40" x14ac:dyDescent="0.25">
      <c r="A1105" t="str">
        <f>"20190304164617305"</f>
        <v>20190304164617305</v>
      </c>
      <c r="B1105" t="str">
        <f>"1551689177298573"</f>
        <v>1551689177298573</v>
      </c>
      <c r="C1105" t="s">
        <v>40</v>
      </c>
      <c r="D1105">
        <v>4.510993</v>
      </c>
      <c r="E1105">
        <v>0.46069579999999999</v>
      </c>
      <c r="F1105" t="s">
        <v>42</v>
      </c>
      <c r="G1105">
        <v>-189.6848</v>
      </c>
      <c r="H1105" s="1">
        <v>-3.6954950000000001E-7</v>
      </c>
      <c r="I1105">
        <v>310.29480000000001</v>
      </c>
      <c r="J1105">
        <v>-192.25020000000001</v>
      </c>
      <c r="K1105">
        <v>1.112301</v>
      </c>
      <c r="L1105">
        <v>326.76569999999998</v>
      </c>
      <c r="M1105">
        <v>1.8914279999999999E-2</v>
      </c>
      <c r="N1105">
        <v>-1.3963389999999999E-2</v>
      </c>
      <c r="O1105">
        <v>-0.99972360000000005</v>
      </c>
      <c r="P1105">
        <v>4.6425719999999997E-2</v>
      </c>
      <c r="Q1105">
        <v>0.3635814</v>
      </c>
      <c r="R1105">
        <v>-0.93040480000000003</v>
      </c>
      <c r="S1105">
        <v>0.50508120000000001</v>
      </c>
      <c r="T1105">
        <v>-0.2184789</v>
      </c>
      <c r="U1105">
        <v>-3.2844540000000002</v>
      </c>
      <c r="V1105">
        <v>-2.9859159999999999E-2</v>
      </c>
      <c r="W1105">
        <v>0.37646679999999999</v>
      </c>
      <c r="X1105">
        <v>0.92594880000000002</v>
      </c>
      <c r="Y1105">
        <v>-0.1329919</v>
      </c>
      <c r="Z1105">
        <v>5.1756440000000001E-2</v>
      </c>
      <c r="AA1105">
        <v>0.9897648</v>
      </c>
      <c r="AB1105">
        <v>26</v>
      </c>
      <c r="AC1105">
        <v>2.5654000000000101</v>
      </c>
      <c r="AD1105">
        <v>-1.1123013695495001</v>
      </c>
      <c r="AE1105">
        <v>-16.470899999999901</v>
      </c>
      <c r="AF1105">
        <v>-2.2433867947742101</v>
      </c>
      <c r="AG1105">
        <v>-1.1123013695495001</v>
      </c>
      <c r="AH1105">
        <v>16.443267296310399</v>
      </c>
      <c r="AI1105">
        <v>93.8344509499845</v>
      </c>
      <c r="AJ1105">
        <v>97.769007836531102</v>
      </c>
      <c r="AK1105">
        <v>16.632830126757799</v>
      </c>
      <c r="AL1105">
        <v>67.885000933265303</v>
      </c>
      <c r="AM1105">
        <v>91.8469824789657</v>
      </c>
      <c r="AN1105">
        <v>1.00000000057979</v>
      </c>
    </row>
    <row r="1106" spans="1:40" x14ac:dyDescent="0.25">
      <c r="A1106" t="str">
        <f>"20190304164617327"</f>
        <v>20190304164617327</v>
      </c>
      <c r="B1106" t="str">
        <f>"1551689177318601"</f>
        <v>1551689177318601</v>
      </c>
      <c r="C1106" t="s">
        <v>40</v>
      </c>
      <c r="D1106">
        <v>4.5068869999999999</v>
      </c>
      <c r="E1106">
        <v>0.46026509999999998</v>
      </c>
      <c r="F1106" t="s">
        <v>42</v>
      </c>
      <c r="G1106">
        <v>-189.71809999999999</v>
      </c>
      <c r="H1106" s="1">
        <v>-4.3738280000000001E-7</v>
      </c>
      <c r="I1106">
        <v>310.45069999999998</v>
      </c>
      <c r="J1106">
        <v>-192.244</v>
      </c>
      <c r="K1106">
        <v>1.112269</v>
      </c>
      <c r="L1106">
        <v>326.52350000000001</v>
      </c>
      <c r="M1106">
        <v>2.0358790000000002E-2</v>
      </c>
      <c r="N1106">
        <v>-1.3962459999999999E-2</v>
      </c>
      <c r="O1106">
        <v>-0.99969520000000001</v>
      </c>
      <c r="P1106">
        <v>4.6857820000000001E-2</v>
      </c>
      <c r="Q1106">
        <v>0.36416549999999998</v>
      </c>
      <c r="R1106">
        <v>-0.93015460000000005</v>
      </c>
      <c r="S1106">
        <v>0.51008609999999999</v>
      </c>
      <c r="T1106">
        <v>-0.2240674</v>
      </c>
      <c r="U1106">
        <v>-3.2865600000000001</v>
      </c>
      <c r="V1106">
        <v>-2.8920970000000001E-2</v>
      </c>
      <c r="W1106">
        <v>0.377052</v>
      </c>
      <c r="X1106">
        <v>0.92574040000000002</v>
      </c>
      <c r="Y1106">
        <v>-0.13292209999999999</v>
      </c>
      <c r="Z1106">
        <v>5.3380080000000003E-2</v>
      </c>
      <c r="AA1106">
        <v>0.98968800000000001</v>
      </c>
      <c r="AB1106">
        <v>26</v>
      </c>
      <c r="AC1106">
        <v>2.5259000000000298</v>
      </c>
      <c r="AD1106">
        <v>-1.1122694373827999</v>
      </c>
      <c r="AE1106">
        <v>-16.072800000000001</v>
      </c>
      <c r="AF1106">
        <v>-2.1878965891298798</v>
      </c>
      <c r="AG1106">
        <v>-1.1122694373827999</v>
      </c>
      <c r="AH1106">
        <v>16.045906968371799</v>
      </c>
      <c r="AI1106">
        <v>93.929042640975197</v>
      </c>
      <c r="AJ1106">
        <v>97.7645292900512</v>
      </c>
      <c r="AK1106">
        <v>16.232534159018499</v>
      </c>
      <c r="AL1106">
        <v>67.848803212379295</v>
      </c>
      <c r="AM1106">
        <v>91.789390141777602</v>
      </c>
      <c r="AN1106">
        <v>0.99999996070094899</v>
      </c>
    </row>
    <row r="1107" spans="1:40" x14ac:dyDescent="0.25">
      <c r="A1107" t="str">
        <f>"20190304164617347"</f>
        <v>20190304164617347</v>
      </c>
      <c r="B1107" t="str">
        <f>"1551689177339096"</f>
        <v>1551689177339096</v>
      </c>
      <c r="C1107" t="s">
        <v>40</v>
      </c>
      <c r="D1107">
        <v>4.5641339999999904</v>
      </c>
      <c r="E1107">
        <v>0.46005079999999998</v>
      </c>
      <c r="F1107" t="s">
        <v>42</v>
      </c>
      <c r="G1107">
        <v>-189.71530000000001</v>
      </c>
      <c r="H1107" s="1">
        <v>-4.1094219999999999E-7</v>
      </c>
      <c r="I1107">
        <v>310.3938</v>
      </c>
      <c r="J1107">
        <v>-192.2373</v>
      </c>
      <c r="K1107">
        <v>1.112223</v>
      </c>
      <c r="L1107">
        <v>326.27519999999998</v>
      </c>
      <c r="M1107">
        <v>2.1784870000000001E-2</v>
      </c>
      <c r="N1107">
        <v>-1.3961029999999999E-2</v>
      </c>
      <c r="O1107">
        <v>-0.99966529999999998</v>
      </c>
      <c r="P1107">
        <v>4.7099729999999999E-2</v>
      </c>
      <c r="Q1107">
        <v>0.36397570000000001</v>
      </c>
      <c r="R1107">
        <v>-0.93021699999999996</v>
      </c>
      <c r="S1107">
        <v>0.51547240000000005</v>
      </c>
      <c r="T1107">
        <v>-0.2267343</v>
      </c>
      <c r="U1107">
        <v>-3.2880250000000002</v>
      </c>
      <c r="V1107">
        <v>-2.7794030000000001E-2</v>
      </c>
      <c r="W1107">
        <v>0.37686789999999998</v>
      </c>
      <c r="X1107">
        <v>0.92584999999999995</v>
      </c>
      <c r="Y1107">
        <v>-0.1330172</v>
      </c>
      <c r="Z1107">
        <v>5.4139300000000001E-2</v>
      </c>
      <c r="AA1107">
        <v>0.98963400000000001</v>
      </c>
      <c r="AB1107">
        <v>26</v>
      </c>
      <c r="AC1107">
        <v>2.52199999999999</v>
      </c>
      <c r="AD1107">
        <v>-1.1122234109422</v>
      </c>
      <c r="AE1107">
        <v>-15.8813999999999</v>
      </c>
      <c r="AF1107">
        <v>-2.1650359357517801</v>
      </c>
      <c r="AG1107">
        <v>-1.1122234109422</v>
      </c>
      <c r="AH1107">
        <v>15.856718731335301</v>
      </c>
      <c r="AI1107">
        <v>93.975508759488406</v>
      </c>
      <c r="AJ1107">
        <v>97.774942756773697</v>
      </c>
      <c r="AK1107">
        <v>16.042442159584802</v>
      </c>
      <c r="AL1107">
        <v>67.860194085896296</v>
      </c>
      <c r="AM1107">
        <v>91.7195036899369</v>
      </c>
      <c r="AN1107">
        <v>1.0000000723270199</v>
      </c>
    </row>
    <row r="1108" spans="1:40" x14ac:dyDescent="0.25">
      <c r="A1108" t="str">
        <f>"20190304164617372"</f>
        <v>20190304164617372</v>
      </c>
      <c r="B1108" t="str">
        <f>"1551689177369351"</f>
        <v>1551689177369351</v>
      </c>
      <c r="C1108" t="s">
        <v>40</v>
      </c>
      <c r="D1108">
        <v>4.47818</v>
      </c>
      <c r="E1108">
        <v>0.45953369999999999</v>
      </c>
      <c r="F1108" t="s">
        <v>42</v>
      </c>
      <c r="G1108">
        <v>-189.72540000000001</v>
      </c>
      <c r="H1108" s="1">
        <v>-3.9298169999999999E-7</v>
      </c>
      <c r="I1108">
        <v>310.3596</v>
      </c>
      <c r="J1108">
        <v>-192.2295</v>
      </c>
      <c r="K1108">
        <v>1.1121730000000001</v>
      </c>
      <c r="L1108">
        <v>325.99860000000001</v>
      </c>
      <c r="M1108">
        <v>2.3310549999999999E-2</v>
      </c>
      <c r="N1108">
        <v>-1.39591E-2</v>
      </c>
      <c r="O1108">
        <v>-0.99963089999999999</v>
      </c>
      <c r="P1108">
        <v>4.8021599999999998E-2</v>
      </c>
      <c r="Q1108">
        <v>0.36270970000000002</v>
      </c>
      <c r="R1108">
        <v>-0.93066420000000005</v>
      </c>
      <c r="S1108">
        <v>0.51904300000000003</v>
      </c>
      <c r="T1108">
        <v>-0.22982159999999999</v>
      </c>
      <c r="U1108">
        <v>-3.2886959999999998</v>
      </c>
      <c r="V1108">
        <v>-2.7233759999999999E-2</v>
      </c>
      <c r="W1108">
        <v>0.3756118</v>
      </c>
      <c r="X1108">
        <v>0.92637689999999995</v>
      </c>
      <c r="Y1108">
        <v>-0.13251399999999999</v>
      </c>
      <c r="Z1108">
        <v>5.5045190000000001E-2</v>
      </c>
      <c r="AA1108">
        <v>0.98965150000000002</v>
      </c>
      <c r="AB1108">
        <v>26</v>
      </c>
      <c r="AC1108">
        <v>2.50409999999999</v>
      </c>
      <c r="AD1108">
        <v>-1.1121733929816999</v>
      </c>
      <c r="AE1108">
        <v>-15.638999999999999</v>
      </c>
      <c r="AF1108">
        <v>-2.1283354796198499</v>
      </c>
      <c r="AG1108">
        <v>-1.1121733929816999</v>
      </c>
      <c r="AH1108">
        <v>15.616124513847</v>
      </c>
      <c r="AI1108">
        <v>94.036509527061895</v>
      </c>
      <c r="AJ1108">
        <v>97.761073905843304</v>
      </c>
      <c r="AK1108">
        <v>15.7996862754245</v>
      </c>
      <c r="AL1108">
        <v>67.937869874754099</v>
      </c>
      <c r="AM1108">
        <v>91.683904490163599</v>
      </c>
      <c r="AN1108">
        <v>1.00000003141829</v>
      </c>
    </row>
    <row r="1109" spans="1:40" x14ac:dyDescent="0.25">
      <c r="A1109" t="str">
        <f>"20190304164617395"</f>
        <v>20190304164617395</v>
      </c>
      <c r="B1109" t="str">
        <f>"1551689177388872"</f>
        <v>1551689177388872</v>
      </c>
      <c r="C1109" t="s">
        <v>40</v>
      </c>
      <c r="D1109">
        <v>4.4677829999999998</v>
      </c>
      <c r="E1109">
        <v>0.45949069999999997</v>
      </c>
      <c r="F1109" t="s">
        <v>42</v>
      </c>
      <c r="G1109">
        <v>-189.75020000000001</v>
      </c>
      <c r="H1109" s="1">
        <v>-4.766895E-7</v>
      </c>
      <c r="I1109">
        <v>310.54599999999999</v>
      </c>
      <c r="J1109">
        <v>-192.2217</v>
      </c>
      <c r="K1109">
        <v>1.112128</v>
      </c>
      <c r="L1109">
        <v>325.73230000000001</v>
      </c>
      <c r="M1109">
        <v>2.471547E-2</v>
      </c>
      <c r="N1109">
        <v>-1.395685E-2</v>
      </c>
      <c r="O1109">
        <v>-0.99959730000000002</v>
      </c>
      <c r="P1109">
        <v>4.8250910000000001E-2</v>
      </c>
      <c r="Q1109">
        <v>0.36219020000000002</v>
      </c>
      <c r="R1109">
        <v>-0.93085479999999998</v>
      </c>
      <c r="S1109">
        <v>0.52763369999999998</v>
      </c>
      <c r="T1109">
        <v>-0.2366866</v>
      </c>
      <c r="U1109">
        <v>-3.2885439999999999</v>
      </c>
      <c r="V1109">
        <v>-2.6103020000000001E-2</v>
      </c>
      <c r="W1109">
        <v>0.37509959999999998</v>
      </c>
      <c r="X1109">
        <v>0.92661700000000002</v>
      </c>
      <c r="Y1109">
        <v>-0.13362879999999999</v>
      </c>
      <c r="Z1109">
        <v>5.7080480000000003E-2</v>
      </c>
      <c r="AA1109">
        <v>0.98938630000000005</v>
      </c>
      <c r="AB1109">
        <v>26</v>
      </c>
      <c r="AC1109">
        <v>2.47149999999999</v>
      </c>
      <c r="AD1109">
        <v>-1.1121284766895001</v>
      </c>
      <c r="AE1109">
        <v>-15.186299999999999</v>
      </c>
      <c r="AF1109">
        <v>-2.08448126986409</v>
      </c>
      <c r="AG1109">
        <v>-1.1121284766895001</v>
      </c>
      <c r="AH1109">
        <v>15.1635269619897</v>
      </c>
      <c r="AI1109">
        <v>94.155752551400894</v>
      </c>
      <c r="AJ1109">
        <v>97.827208620390707</v>
      </c>
      <c r="AK1109">
        <v>15.3464797865851</v>
      </c>
      <c r="AL1109">
        <v>67.969532791672606</v>
      </c>
      <c r="AM1109">
        <v>91.613608914438103</v>
      </c>
      <c r="AN1109">
        <v>1.0000000711311301</v>
      </c>
    </row>
    <row r="1110" spans="1:40" x14ac:dyDescent="0.25">
      <c r="A1110" t="str">
        <f>"20190304164617415"</f>
        <v>20190304164617415</v>
      </c>
      <c r="B1110" t="str">
        <f>"1551689177409367"</f>
        <v>1551689177409367</v>
      </c>
      <c r="C1110" t="s">
        <v>40</v>
      </c>
      <c r="D1110">
        <v>4.5096309999999997</v>
      </c>
      <c r="E1110">
        <v>0.45928229999999998</v>
      </c>
      <c r="F1110" t="s">
        <v>42</v>
      </c>
      <c r="G1110">
        <v>-189.72020000000001</v>
      </c>
      <c r="H1110" s="1">
        <v>-3.3324729999999899E-7</v>
      </c>
      <c r="I1110">
        <v>310.23129999999998</v>
      </c>
      <c r="J1110">
        <v>-192.21440000000001</v>
      </c>
      <c r="K1110">
        <v>1.112087</v>
      </c>
      <c r="L1110">
        <v>325.49310000000003</v>
      </c>
      <c r="M1110">
        <v>2.592384E-2</v>
      </c>
      <c r="N1110">
        <v>-1.3954650000000001E-2</v>
      </c>
      <c r="O1110">
        <v>-0.99956670000000003</v>
      </c>
      <c r="P1110">
        <v>4.8030509999999998E-2</v>
      </c>
      <c r="Q1110">
        <v>0.36272500000000002</v>
      </c>
      <c r="R1110">
        <v>-0.93065790000000004</v>
      </c>
      <c r="S1110">
        <v>0.5304565</v>
      </c>
      <c r="T1110">
        <v>-0.2358353</v>
      </c>
      <c r="U1110">
        <v>-3.2871090000000001</v>
      </c>
      <c r="V1110">
        <v>-2.47257E-2</v>
      </c>
      <c r="W1110">
        <v>0.37563570000000002</v>
      </c>
      <c r="X1110">
        <v>0.92643759999999997</v>
      </c>
      <c r="Y1110">
        <v>-0.133329</v>
      </c>
      <c r="Z1110">
        <v>5.6853689999999998E-2</v>
      </c>
      <c r="AA1110">
        <v>0.98943979999999998</v>
      </c>
      <c r="AB1110">
        <v>26</v>
      </c>
      <c r="AC1110">
        <v>2.4942000000000002</v>
      </c>
      <c r="AD1110">
        <v>-1.1120873332473</v>
      </c>
      <c r="AE1110">
        <v>-15.261799999999999</v>
      </c>
      <c r="AF1110">
        <v>-2.0868862756114299</v>
      </c>
      <c r="AG1110">
        <v>-1.1120873332473</v>
      </c>
      <c r="AH1110">
        <v>15.242508261833899</v>
      </c>
      <c r="AI1110">
        <v>94.134448984043104</v>
      </c>
      <c r="AJ1110">
        <v>97.796023804434697</v>
      </c>
      <c r="AK1110">
        <v>15.4248465365519</v>
      </c>
      <c r="AL1110">
        <v>67.936393505133495</v>
      </c>
      <c r="AM1110">
        <v>91.528804563931899</v>
      </c>
      <c r="AN1110">
        <v>1.0000000830243601</v>
      </c>
    </row>
    <row r="1111" spans="1:40" x14ac:dyDescent="0.25">
      <c r="A1111" t="str">
        <f>"20190304164617440"</f>
        <v>20190304164617440</v>
      </c>
      <c r="B1111" t="str">
        <f>"1551689177428887"</f>
        <v>1551689177428887</v>
      </c>
      <c r="C1111" t="s">
        <v>40</v>
      </c>
      <c r="D1111">
        <v>4.5350669999999997</v>
      </c>
      <c r="E1111">
        <v>0.4240218</v>
      </c>
      <c r="F1111" t="s">
        <v>42</v>
      </c>
      <c r="G1111">
        <v>-189.68219999999999</v>
      </c>
      <c r="H1111" s="1">
        <v>-1.865772E-7</v>
      </c>
      <c r="I1111">
        <v>309.9067</v>
      </c>
      <c r="J1111">
        <v>-192.20519999999999</v>
      </c>
      <c r="K1111">
        <v>1.112053</v>
      </c>
      <c r="L1111">
        <v>325.2038</v>
      </c>
      <c r="M1111">
        <v>2.7332579999999999E-2</v>
      </c>
      <c r="N1111">
        <v>-1.395181E-2</v>
      </c>
      <c r="O1111">
        <v>-0.99952909999999995</v>
      </c>
      <c r="P1111">
        <v>4.881303E-2</v>
      </c>
      <c r="Q1111">
        <v>0.36415009999999998</v>
      </c>
      <c r="R1111">
        <v>-0.93006029999999995</v>
      </c>
      <c r="S1111">
        <v>0.53407289999999996</v>
      </c>
      <c r="T1111">
        <v>-0.2345544</v>
      </c>
      <c r="U1111">
        <v>-3.2873839999999999</v>
      </c>
      <c r="V1111">
        <v>-2.417834E-2</v>
      </c>
      <c r="W1111">
        <v>0.37705379999999999</v>
      </c>
      <c r="X1111">
        <v>0.92587569999999997</v>
      </c>
      <c r="Y1111">
        <v>-0.13298399999999999</v>
      </c>
      <c r="Z1111">
        <v>5.6461360000000002E-2</v>
      </c>
      <c r="AA1111">
        <v>0.98950859999999996</v>
      </c>
      <c r="AB1111">
        <v>26</v>
      </c>
      <c r="AC1111">
        <v>2.5229999999999899</v>
      </c>
      <c r="AD1111">
        <v>-1.1120531865772001</v>
      </c>
      <c r="AE1111">
        <v>-15.2971</v>
      </c>
      <c r="AF1111">
        <v>-2.0931383533319901</v>
      </c>
      <c r="AG1111">
        <v>-1.1120531865772001</v>
      </c>
      <c r="AH1111">
        <v>15.281727718486</v>
      </c>
      <c r="AI1111">
        <v>94.123716786473494</v>
      </c>
      <c r="AJ1111">
        <v>97.799271482855502</v>
      </c>
      <c r="AK1111">
        <v>15.4644460785994</v>
      </c>
      <c r="AL1111">
        <v>67.848692452266107</v>
      </c>
      <c r="AM1111">
        <v>91.495883372245601</v>
      </c>
      <c r="AN1111">
        <v>0.99999998603504203</v>
      </c>
    </row>
    <row r="1112" spans="1:40" x14ac:dyDescent="0.25">
      <c r="A1112" t="str">
        <f>"20190304164617462"</f>
        <v>20190304164617462</v>
      </c>
      <c r="B1112" t="str">
        <f>"1551689177449384"</f>
        <v>1551689177449384</v>
      </c>
      <c r="C1112" t="s">
        <v>40</v>
      </c>
      <c r="D1112">
        <v>4.5033510000000003</v>
      </c>
      <c r="E1112">
        <v>0.34931200000000001</v>
      </c>
      <c r="F1112" t="s">
        <v>42</v>
      </c>
      <c r="G1112">
        <v>-186.92169999999999</v>
      </c>
      <c r="H1112" s="1">
        <v>-2.4985470000000001E-6</v>
      </c>
      <c r="I1112">
        <v>304.1841</v>
      </c>
      <c r="J1112">
        <v>-192.19710000000001</v>
      </c>
      <c r="K1112">
        <v>1.112023</v>
      </c>
      <c r="L1112">
        <v>324.95679999999999</v>
      </c>
      <c r="M1112">
        <v>2.8499859999999998E-2</v>
      </c>
      <c r="N1112">
        <v>-1.39493E-2</v>
      </c>
      <c r="O1112">
        <v>-0.99949679999999996</v>
      </c>
      <c r="P1112">
        <v>4.908676E-2</v>
      </c>
      <c r="Q1112">
        <v>0.36521049999999999</v>
      </c>
      <c r="R1112">
        <v>-0.92963019999999996</v>
      </c>
      <c r="S1112">
        <v>0.81694029999999995</v>
      </c>
      <c r="T1112">
        <v>-0.1719475</v>
      </c>
      <c r="U1112">
        <v>-3.250092</v>
      </c>
      <c r="V1112">
        <v>-2.335336E-2</v>
      </c>
      <c r="W1112">
        <v>0.37810949999999999</v>
      </c>
      <c r="X1112">
        <v>0.92546629999999996</v>
      </c>
      <c r="Y1112">
        <v>-0.2157664</v>
      </c>
      <c r="Z1112">
        <v>3.7494090000000001E-2</v>
      </c>
      <c r="AA1112">
        <v>0.97572490000000001</v>
      </c>
      <c r="AB1112">
        <v>26</v>
      </c>
      <c r="AC1112">
        <v>5.2754000000000101</v>
      </c>
      <c r="AD1112">
        <v>-1.1120254985469999</v>
      </c>
      <c r="AE1112">
        <v>-20.772699999999901</v>
      </c>
      <c r="AF1112">
        <v>-4.66861162503616</v>
      </c>
      <c r="AG1112">
        <v>-1.1120254985469999</v>
      </c>
      <c r="AH1112">
        <v>20.858468931294301</v>
      </c>
      <c r="AI1112">
        <v>92.978165966173506</v>
      </c>
      <c r="AJ1112">
        <v>102.616196792054</v>
      </c>
      <c r="AK1112">
        <v>21.4034637704417</v>
      </c>
      <c r="AL1112">
        <v>67.783370735786207</v>
      </c>
      <c r="AM1112">
        <v>91.445503815109703</v>
      </c>
      <c r="AN1112">
        <v>1.00000002292461</v>
      </c>
    </row>
    <row r="1113" spans="1:40" x14ac:dyDescent="0.25">
      <c r="A1113" t="str">
        <f>"20190304164617487"</f>
        <v>20190304164617487</v>
      </c>
      <c r="B1113" t="str">
        <f>"1551689177478663"</f>
        <v>1551689177478663</v>
      </c>
      <c r="C1113" t="s">
        <v>40</v>
      </c>
      <c r="D1113">
        <v>4.4306619999999999</v>
      </c>
      <c r="E1113">
        <v>0.34222029999999998</v>
      </c>
      <c r="F1113" t="s">
        <v>45</v>
      </c>
      <c r="G1113">
        <v>-176.523</v>
      </c>
      <c r="H1113">
        <v>7.9981029999999995E-2</v>
      </c>
      <c r="I1113">
        <v>289.52589999999998</v>
      </c>
      <c r="J1113">
        <v>-192.18700000000001</v>
      </c>
      <c r="K1113">
        <v>1.111999</v>
      </c>
      <c r="L1113">
        <v>324.66059999999999</v>
      </c>
      <c r="M1113">
        <v>2.9859790000000001E-2</v>
      </c>
      <c r="N1113">
        <v>-1.394622E-2</v>
      </c>
      <c r="O1113">
        <v>-0.99945680000000003</v>
      </c>
      <c r="P1113">
        <v>4.9693090000000002E-2</v>
      </c>
      <c r="Q1113">
        <v>0.36547750000000001</v>
      </c>
      <c r="R1113">
        <v>-0.92949269999999995</v>
      </c>
      <c r="S1113">
        <v>1.410812</v>
      </c>
      <c r="T1113">
        <v>-9.289348E-2</v>
      </c>
      <c r="U1113">
        <v>-3.189117</v>
      </c>
      <c r="V1113">
        <v>-2.2670220000000001E-2</v>
      </c>
      <c r="W1113">
        <v>0.37837520000000002</v>
      </c>
      <c r="X1113">
        <v>0.92537469999999999</v>
      </c>
      <c r="Y1113">
        <v>-0.3769383</v>
      </c>
      <c r="Z1113">
        <v>1.291669E-2</v>
      </c>
      <c r="AA1113">
        <v>0.92614830000000004</v>
      </c>
      <c r="AB1113">
        <v>26</v>
      </c>
      <c r="AC1113">
        <v>15.664</v>
      </c>
      <c r="AD1113">
        <v>-1.0320179700000001</v>
      </c>
      <c r="AE1113">
        <v>-35.134700000000002</v>
      </c>
      <c r="AF1113">
        <v>-14.5972911163385</v>
      </c>
      <c r="AG1113">
        <v>-1.0320179700000001</v>
      </c>
      <c r="AH1113">
        <v>35.561205089759802</v>
      </c>
      <c r="AI1113">
        <v>91.537854874933004</v>
      </c>
      <c r="AJ1113">
        <v>112.31734539991901</v>
      </c>
      <c r="AK1113">
        <v>38.454457172888297</v>
      </c>
      <c r="AL1113">
        <v>67.766925712059304</v>
      </c>
      <c r="AM1113">
        <v>91.403375480024906</v>
      </c>
      <c r="AN1113">
        <v>1.0000000331249801</v>
      </c>
    </row>
    <row r="1114" spans="1:40" x14ac:dyDescent="0.25">
      <c r="A1114" t="str">
        <f>"20190304164617526"</f>
        <v>20190304164617526</v>
      </c>
      <c r="B1114" t="str">
        <f>"1551689177518680"</f>
        <v>1551689177518680</v>
      </c>
      <c r="C1114" t="s">
        <v>40</v>
      </c>
      <c r="D1114">
        <v>4.3733849999999999</v>
      </c>
      <c r="E1114">
        <v>0.34021800000000002</v>
      </c>
      <c r="F1114" t="s">
        <v>46</v>
      </c>
      <c r="G1114">
        <v>-177.8058</v>
      </c>
      <c r="H1114">
        <v>0.37458950000000002</v>
      </c>
      <c r="I1114">
        <v>293.56079999999997</v>
      </c>
      <c r="J1114">
        <v>-192.1712</v>
      </c>
      <c r="K1114">
        <v>1.1119589999999999</v>
      </c>
      <c r="L1114">
        <v>324.21359999999999</v>
      </c>
      <c r="M1114">
        <v>3.183221E-2</v>
      </c>
      <c r="N1114">
        <v>-1.3941179999999999E-2</v>
      </c>
      <c r="O1114">
        <v>-0.99939599999999995</v>
      </c>
      <c r="P1114">
        <v>4.9214069999999999E-2</v>
      </c>
      <c r="Q1114">
        <v>0.36536109999999999</v>
      </c>
      <c r="R1114">
        <v>-0.92956399999999995</v>
      </c>
      <c r="S1114">
        <v>1.4698639999999901</v>
      </c>
      <c r="T1114">
        <v>-7.5368519999999994E-2</v>
      </c>
      <c r="U1114">
        <v>-3.1786189999999999</v>
      </c>
      <c r="V1114">
        <v>-2.0310450000000001E-2</v>
      </c>
      <c r="W1114">
        <v>0.3782626</v>
      </c>
      <c r="X1114">
        <v>0.92547550000000001</v>
      </c>
      <c r="Y1114">
        <v>-0.39050659999999998</v>
      </c>
      <c r="Z1114">
        <v>7.8024890000000001E-3</v>
      </c>
      <c r="AA1114">
        <v>0.92056709999999997</v>
      </c>
      <c r="AB1114">
        <v>26</v>
      </c>
      <c r="AC1114">
        <v>14.3653999999999</v>
      </c>
      <c r="AD1114">
        <v>-0.73736949999999901</v>
      </c>
      <c r="AE1114">
        <v>-30.652799999999999</v>
      </c>
      <c r="AF1114">
        <v>-13.3759310190318</v>
      </c>
      <c r="AG1114">
        <v>-0.73736949999999901</v>
      </c>
      <c r="AH1114">
        <v>31.079843632812899</v>
      </c>
      <c r="AI1114">
        <v>91.248419543587701</v>
      </c>
      <c r="AJ1114">
        <v>113.285747280718</v>
      </c>
      <c r="AK1114">
        <v>33.843993922785302</v>
      </c>
      <c r="AL1114">
        <v>67.773894565204998</v>
      </c>
      <c r="AM1114">
        <v>91.257209181720199</v>
      </c>
      <c r="AN1114">
        <v>1.0000000050191</v>
      </c>
    </row>
    <row r="1115" spans="1:40" x14ac:dyDescent="0.25">
      <c r="A1115" t="str">
        <f>"20190304164617549"</f>
        <v>20190304164617549</v>
      </c>
      <c r="B1115" t="str">
        <f>"1551689177539176"</f>
        <v>1551689177539176</v>
      </c>
      <c r="C1115" t="s">
        <v>40</v>
      </c>
      <c r="D1115">
        <v>4.3257000000000003</v>
      </c>
      <c r="E1115">
        <v>0.33939540000000001</v>
      </c>
      <c r="F1115" t="s">
        <v>46</v>
      </c>
      <c r="G1115">
        <v>-177.78790000000001</v>
      </c>
      <c r="H1115">
        <v>0.4545341</v>
      </c>
      <c r="I1115">
        <v>293.4606</v>
      </c>
      <c r="J1115">
        <v>-192.16139999999999</v>
      </c>
      <c r="K1115">
        <v>1.111931</v>
      </c>
      <c r="L1115">
        <v>323.9477</v>
      </c>
      <c r="M1115">
        <v>3.2966139999999998E-2</v>
      </c>
      <c r="N1115">
        <v>-1.393805E-2</v>
      </c>
      <c r="O1115">
        <v>-0.99935940000000001</v>
      </c>
      <c r="P1115">
        <v>4.8734090000000001E-2</v>
      </c>
      <c r="Q1115">
        <v>0.36529450000000002</v>
      </c>
      <c r="R1115">
        <v>-0.92961570000000004</v>
      </c>
      <c r="S1115">
        <v>1.4851379999999901</v>
      </c>
      <c r="T1115">
        <v>-6.7882059999999994E-2</v>
      </c>
      <c r="U1115">
        <v>-3.1753849999999999</v>
      </c>
      <c r="V1115">
        <v>-1.8747420000000001E-2</v>
      </c>
      <c r="W1115">
        <v>0.37819829999999999</v>
      </c>
      <c r="X1115">
        <v>0.92553479999999999</v>
      </c>
      <c r="Y1115">
        <v>-0.39346819999999999</v>
      </c>
      <c r="Z1115">
        <v>5.6458119999999896E-3</v>
      </c>
      <c r="AA1115">
        <v>0.9193209</v>
      </c>
      <c r="AB1115">
        <v>26</v>
      </c>
      <c r="AC1115">
        <v>14.3734999999999</v>
      </c>
      <c r="AD1115">
        <v>-0.65739689999999995</v>
      </c>
      <c r="AE1115">
        <v>-30.487100000000002</v>
      </c>
      <c r="AF1115">
        <v>-13.3554659462331</v>
      </c>
      <c r="AG1115">
        <v>-0.65739689999999995</v>
      </c>
      <c r="AH1115">
        <v>30.9326437539521</v>
      </c>
      <c r="AI1115">
        <v>91.117788350358893</v>
      </c>
      <c r="AJ1115">
        <v>113.35273590054901</v>
      </c>
      <c r="AK1115">
        <v>33.699096292542301</v>
      </c>
      <c r="AL1115">
        <v>67.777875222825301</v>
      </c>
      <c r="AM1115">
        <v>91.160411442790505</v>
      </c>
      <c r="AN1115">
        <v>1.00000004294529</v>
      </c>
    </row>
    <row r="1116" spans="1:40" x14ac:dyDescent="0.25">
      <c r="A1116" t="str">
        <f>"20190304164617572"</f>
        <v>20190304164617572</v>
      </c>
      <c r="B1116" t="str">
        <f>"1551689177569432"</f>
        <v>1551689177569432</v>
      </c>
      <c r="C1116" t="s">
        <v>40</v>
      </c>
      <c r="D1116">
        <v>4.3573740000000001</v>
      </c>
      <c r="E1116">
        <v>0.33856239999999999</v>
      </c>
      <c r="F1116" t="s">
        <v>47</v>
      </c>
      <c r="G1116">
        <v>-168.054</v>
      </c>
      <c r="H1116">
        <v>7.8520770000000004E-2</v>
      </c>
      <c r="I1116">
        <v>272.61509999999998</v>
      </c>
      <c r="J1116">
        <v>-192.15170000000001</v>
      </c>
      <c r="K1116">
        <v>1.111901</v>
      </c>
      <c r="L1116">
        <v>323.69150000000002</v>
      </c>
      <c r="M1116">
        <v>3.4025239999999998E-2</v>
      </c>
      <c r="N1116">
        <v>-1.393518E-2</v>
      </c>
      <c r="O1116">
        <v>-0.99932379999999998</v>
      </c>
      <c r="P1116">
        <v>4.8977329999999999E-2</v>
      </c>
      <c r="Q1116">
        <v>0.36484050000000001</v>
      </c>
      <c r="R1116">
        <v>-0.92978099999999997</v>
      </c>
      <c r="S1116">
        <v>1.4906459999999999</v>
      </c>
      <c r="T1116">
        <v>-6.3894510000000002E-2</v>
      </c>
      <c r="U1116">
        <v>-3.1740719999999998</v>
      </c>
      <c r="V1116">
        <v>-1.7972499999999999E-2</v>
      </c>
      <c r="W1116">
        <v>0.37774609999999997</v>
      </c>
      <c r="X1116">
        <v>0.92573479999999997</v>
      </c>
      <c r="Y1116">
        <v>-0.393953</v>
      </c>
      <c r="Z1116">
        <v>4.5056050000000002E-3</v>
      </c>
      <c r="AA1116">
        <v>0.91911949999999998</v>
      </c>
      <c r="AB1116">
        <v>26</v>
      </c>
      <c r="AC1116">
        <v>24.0977</v>
      </c>
      <c r="AD1116">
        <v>-1.0333802299999999</v>
      </c>
      <c r="AE1116">
        <v>-51.0764</v>
      </c>
      <c r="AF1116">
        <v>-22.338209478338101</v>
      </c>
      <c r="AG1116">
        <v>-1.0333802299999999</v>
      </c>
      <c r="AH1116">
        <v>51.8494696431707</v>
      </c>
      <c r="AI1116">
        <v>91.048620916893199</v>
      </c>
      <c r="AJ1116">
        <v>113.307736426158</v>
      </c>
      <c r="AK1116">
        <v>56.466193245834702</v>
      </c>
      <c r="AL1116">
        <v>67.805859941859197</v>
      </c>
      <c r="AM1116">
        <v>91.112218154230206</v>
      </c>
      <c r="AN1116">
        <v>1.0000000233762401</v>
      </c>
    </row>
    <row r="1117" spans="1:40" x14ac:dyDescent="0.25">
      <c r="A1117" t="str">
        <f>"20190304164617595"</f>
        <v>20190304164617595</v>
      </c>
      <c r="B1117" t="str">
        <f>"1551689177588952"</f>
        <v>1551689177588952</v>
      </c>
      <c r="C1117" t="s">
        <v>40</v>
      </c>
      <c r="D1117">
        <v>4.3365769999999904</v>
      </c>
      <c r="E1117">
        <v>0.3384336</v>
      </c>
      <c r="F1117" t="s">
        <v>47</v>
      </c>
      <c r="G1117">
        <v>-168.03989999999999</v>
      </c>
      <c r="H1117">
        <v>0.1043911</v>
      </c>
      <c r="I1117">
        <v>272.61509999999998</v>
      </c>
      <c r="J1117">
        <v>-192.14160000000001</v>
      </c>
      <c r="K1117">
        <v>1.1118669999999999</v>
      </c>
      <c r="L1117">
        <v>323.43119999999999</v>
      </c>
      <c r="M1117">
        <v>3.5051430000000001E-2</v>
      </c>
      <c r="N1117">
        <v>-1.393196E-2</v>
      </c>
      <c r="O1117">
        <v>-0.99928850000000002</v>
      </c>
      <c r="P1117">
        <v>4.9273249999999998E-2</v>
      </c>
      <c r="Q1117">
        <v>0.36425429999999998</v>
      </c>
      <c r="R1117">
        <v>-0.92999520000000002</v>
      </c>
      <c r="S1117">
        <v>1.4975430000000001</v>
      </c>
      <c r="T1117">
        <v>-6.2569979999999997E-2</v>
      </c>
      <c r="U1117">
        <v>-3.172272</v>
      </c>
      <c r="V1117">
        <v>-1.7273730000000001E-2</v>
      </c>
      <c r="W1117">
        <v>0.37716329999999998</v>
      </c>
      <c r="X1117">
        <v>0.92598570000000002</v>
      </c>
      <c r="Y1117">
        <v>-0.3948468</v>
      </c>
      <c r="Z1117">
        <v>4.129204E-3</v>
      </c>
      <c r="AA1117">
        <v>0.91873769999999999</v>
      </c>
      <c r="AB1117">
        <v>26</v>
      </c>
      <c r="AC1117">
        <v>24.101700000000001</v>
      </c>
      <c r="AD1117">
        <v>-1.0074759</v>
      </c>
      <c r="AE1117">
        <v>-50.816099999999999</v>
      </c>
      <c r="AF1117">
        <v>-22.2983820171583</v>
      </c>
      <c r="AG1117">
        <v>-1.0074759</v>
      </c>
      <c r="AH1117">
        <v>51.613187101919998</v>
      </c>
      <c r="AI1117">
        <v>91.026571094199795</v>
      </c>
      <c r="AJ1117">
        <v>113.365733872042</v>
      </c>
      <c r="AK1117">
        <v>56.233032383911201</v>
      </c>
      <c r="AL1117">
        <v>67.841919378807205</v>
      </c>
      <c r="AM1117">
        <v>91.068695819979993</v>
      </c>
      <c r="AN1117">
        <v>1.00000002660974</v>
      </c>
    </row>
    <row r="1118" spans="1:40" x14ac:dyDescent="0.25">
      <c r="A1118" t="str">
        <f>"20190304164617615"</f>
        <v>20190304164617615</v>
      </c>
      <c r="B1118" t="str">
        <f>"1551689177609448"</f>
        <v>1551689177609448</v>
      </c>
      <c r="C1118" t="s">
        <v>40</v>
      </c>
      <c r="D1118">
        <v>4.3297160000000003</v>
      </c>
      <c r="E1118">
        <v>0.34034409999999998</v>
      </c>
      <c r="F1118" t="s">
        <v>47</v>
      </c>
      <c r="G1118">
        <v>-168.1189</v>
      </c>
      <c r="H1118">
        <v>0.1019096</v>
      </c>
      <c r="I1118">
        <v>272.61509999999998</v>
      </c>
      <c r="J1118">
        <v>-192.13220000000001</v>
      </c>
      <c r="K1118">
        <v>1.111831</v>
      </c>
      <c r="L1118">
        <v>323.19279999999998</v>
      </c>
      <c r="M1118">
        <v>3.5934109999999998E-2</v>
      </c>
      <c r="N1118">
        <v>-1.39291E-2</v>
      </c>
      <c r="O1118">
        <v>-0.99925710000000001</v>
      </c>
      <c r="P1118">
        <v>5.0061880000000003E-2</v>
      </c>
      <c r="Q1118">
        <v>0.36385459999999997</v>
      </c>
      <c r="R1118">
        <v>-0.93010950000000003</v>
      </c>
      <c r="S1118">
        <v>1.4990840000000001</v>
      </c>
      <c r="T1118">
        <v>-6.3018920000000006E-2</v>
      </c>
      <c r="U1118">
        <v>-3.1710509999999998</v>
      </c>
      <c r="V1118">
        <v>-1.7199470000000001E-2</v>
      </c>
      <c r="W1118">
        <v>0.37676490000000001</v>
      </c>
      <c r="X1118">
        <v>0.92614920000000001</v>
      </c>
      <c r="Y1118">
        <v>-0.3945362</v>
      </c>
      <c r="Z1118">
        <v>4.2685839999999997E-3</v>
      </c>
      <c r="AA1118">
        <v>0.91887039999999998</v>
      </c>
      <c r="AB1118">
        <v>26</v>
      </c>
      <c r="AC1118">
        <v>24.013300000000001</v>
      </c>
      <c r="AD1118">
        <v>-1.0099214000000001</v>
      </c>
      <c r="AE1118">
        <v>-50.577699999999901</v>
      </c>
      <c r="AF1118">
        <v>-22.172932990465402</v>
      </c>
      <c r="AG1118">
        <v>-1.0099214000000001</v>
      </c>
      <c r="AH1118">
        <v>51.391287874944801</v>
      </c>
      <c r="AI1118">
        <v>91.033721241614302</v>
      </c>
      <c r="AJ1118">
        <v>113.33793469095799</v>
      </c>
      <c r="AK1118">
        <v>55.979669238744997</v>
      </c>
      <c r="AL1118">
        <v>67.866562935408695</v>
      </c>
      <c r="AM1118">
        <v>91.063914730049007</v>
      </c>
      <c r="AN1118">
        <v>0.99999997615046499</v>
      </c>
    </row>
    <row r="1119" spans="1:40" x14ac:dyDescent="0.25">
      <c r="A1119" t="str">
        <f>"20190304164617639"</f>
        <v>20190304164617639</v>
      </c>
      <c r="B1119" t="str">
        <f>"1551689177628968"</f>
        <v>1551689177628968</v>
      </c>
      <c r="C1119" t="s">
        <v>40</v>
      </c>
      <c r="D1119">
        <v>4.3256540000000001</v>
      </c>
      <c r="E1119">
        <v>0.34222829999999999</v>
      </c>
      <c r="F1119" t="s">
        <v>47</v>
      </c>
      <c r="G1119">
        <v>-168.35050000000001</v>
      </c>
      <c r="H1119">
        <v>5.1209449999999997E-2</v>
      </c>
      <c r="I1119">
        <v>272.4889</v>
      </c>
      <c r="J1119">
        <v>-192.12119999999999</v>
      </c>
      <c r="K1119">
        <v>1.1117840000000001</v>
      </c>
      <c r="L1119">
        <v>322.91930000000002</v>
      </c>
      <c r="M1119">
        <v>3.6887860000000001E-2</v>
      </c>
      <c r="N1119">
        <v>-1.3925440000000001E-2</v>
      </c>
      <c r="O1119">
        <v>-0.99922239999999996</v>
      </c>
      <c r="P1119">
        <v>5.1461840000000002E-2</v>
      </c>
      <c r="Q1119">
        <v>0.36418879999999998</v>
      </c>
      <c r="R1119">
        <v>-0.92990229999999996</v>
      </c>
      <c r="S1119">
        <v>1.487457</v>
      </c>
      <c r="T1119">
        <v>-6.6332820000000001E-2</v>
      </c>
      <c r="U1119">
        <v>-3.1713260000000001</v>
      </c>
      <c r="V1119">
        <v>-1.767519E-2</v>
      </c>
      <c r="W1119">
        <v>0.37709480000000001</v>
      </c>
      <c r="X1119">
        <v>0.926006</v>
      </c>
      <c r="Y1119">
        <v>-0.39086419999999999</v>
      </c>
      <c r="Z1119">
        <v>5.2523700000000001E-3</v>
      </c>
      <c r="AA1119">
        <v>0.92043339999999996</v>
      </c>
      <c r="AB1119">
        <v>26</v>
      </c>
      <c r="AC1119">
        <v>23.770699999999898</v>
      </c>
      <c r="AD1119">
        <v>-1.0605745499999999</v>
      </c>
      <c r="AE1119">
        <v>-50.430399999999999</v>
      </c>
      <c r="AF1119">
        <v>-21.886148755762601</v>
      </c>
      <c r="AG1119">
        <v>-1.0605745499999999</v>
      </c>
      <c r="AH1119">
        <v>51.254458333828403</v>
      </c>
      <c r="AI1119">
        <v>91.090207292203701</v>
      </c>
      <c r="AJ1119">
        <v>113.12295022469699</v>
      </c>
      <c r="AK1119">
        <v>55.7417960316102</v>
      </c>
      <c r="AL1119">
        <v>67.846156571665205</v>
      </c>
      <c r="AM1119">
        <v>91.093503527010498</v>
      </c>
      <c r="AN1119">
        <v>1.00000000628228</v>
      </c>
    </row>
    <row r="1120" spans="1:40" x14ac:dyDescent="0.25">
      <c r="A1120" t="str">
        <f>"20190304164617662"</f>
        <v>20190304164617662</v>
      </c>
      <c r="B1120" t="str">
        <f>"1551689177659223"</f>
        <v>1551689177659223</v>
      </c>
      <c r="C1120" t="s">
        <v>40</v>
      </c>
      <c r="D1120">
        <v>4.3102910000000003</v>
      </c>
      <c r="E1120">
        <v>0.34439829999999999</v>
      </c>
      <c r="F1120" t="s">
        <v>43</v>
      </c>
      <c r="G1120">
        <v>-167.09030000000001</v>
      </c>
      <c r="H1120">
        <v>-0.05</v>
      </c>
      <c r="I1120">
        <v>269.18279999999999</v>
      </c>
      <c r="J1120">
        <v>-192.11060000000001</v>
      </c>
      <c r="K1120">
        <v>1.1117349999999999</v>
      </c>
      <c r="L1120">
        <v>322.65809999999999</v>
      </c>
      <c r="M1120">
        <v>3.7730199999999998E-2</v>
      </c>
      <c r="N1120">
        <v>-1.392203E-2</v>
      </c>
      <c r="O1120">
        <v>-0.99919100000000005</v>
      </c>
      <c r="P1120">
        <v>5.3088360000000001E-2</v>
      </c>
      <c r="Q1120">
        <v>0.3647783</v>
      </c>
      <c r="R1120">
        <v>-0.92957959999999995</v>
      </c>
      <c r="S1120">
        <v>1.4771879999999999</v>
      </c>
      <c r="T1120">
        <v>-6.8562150000000002E-2</v>
      </c>
      <c r="U1120">
        <v>-3.1712340000000001</v>
      </c>
      <c r="V1120">
        <v>-1.8484219999999999E-2</v>
      </c>
      <c r="W1120">
        <v>0.37767859999999998</v>
      </c>
      <c r="X1120">
        <v>0.92575229999999997</v>
      </c>
      <c r="Y1120">
        <v>-0.38764749999999998</v>
      </c>
      <c r="Z1120">
        <v>5.9245160000000003E-3</v>
      </c>
      <c r="AA1120">
        <v>0.92178859999999996</v>
      </c>
      <c r="AB1120">
        <v>26</v>
      </c>
      <c r="AC1120">
        <v>25.020299999999899</v>
      </c>
      <c r="AD1120">
        <v>-1.161735</v>
      </c>
      <c r="AE1120">
        <v>-53.475299999999997</v>
      </c>
      <c r="AF1120">
        <v>-22.975755696398501</v>
      </c>
      <c r="AG1120">
        <v>-1.161735</v>
      </c>
      <c r="AH1120">
        <v>54.360280378712503</v>
      </c>
      <c r="AI1120">
        <v>91.127720645062794</v>
      </c>
      <c r="AJ1120">
        <v>112.91169267822001</v>
      </c>
      <c r="AK1120">
        <v>59.0277482281261</v>
      </c>
      <c r="AL1120">
        <v>67.810037582580506</v>
      </c>
      <c r="AM1120">
        <v>91.143855746314202</v>
      </c>
      <c r="AN1120">
        <v>1.00000005612112</v>
      </c>
    </row>
    <row r="1121" spans="1:40" x14ac:dyDescent="0.25">
      <c r="A1121" t="str">
        <f>"20190304164617681"</f>
        <v>20190304164617681</v>
      </c>
      <c r="B1121" t="str">
        <f>"1551689177678744"</f>
        <v>1551689177678744</v>
      </c>
      <c r="C1121" t="s">
        <v>40</v>
      </c>
      <c r="D1121">
        <v>4.2814740000000002</v>
      </c>
      <c r="E1121">
        <v>0.3454738</v>
      </c>
      <c r="F1121" t="s">
        <v>43</v>
      </c>
      <c r="G1121">
        <v>-168.07079999999999</v>
      </c>
      <c r="H1121">
        <v>-0.05</v>
      </c>
      <c r="I1121">
        <v>270.60930000000002</v>
      </c>
      <c r="J1121">
        <v>-192.10159999999999</v>
      </c>
      <c r="K1121">
        <v>1.1116839999999999</v>
      </c>
      <c r="L1121">
        <v>322.43950000000001</v>
      </c>
      <c r="M1121">
        <v>3.8368689999999997E-2</v>
      </c>
      <c r="N1121">
        <v>-1.391912E-2</v>
      </c>
      <c r="O1121">
        <v>-0.99916680000000002</v>
      </c>
      <c r="P1121">
        <v>5.3824690000000001E-2</v>
      </c>
      <c r="Q1121">
        <v>0.36410379999999998</v>
      </c>
      <c r="R1121">
        <v>-0.92980209999999996</v>
      </c>
      <c r="S1121">
        <v>1.4647669999999999</v>
      </c>
      <c r="T1121">
        <v>-7.0785639999999997E-2</v>
      </c>
      <c r="U1121">
        <v>-3.1713870000000002</v>
      </c>
      <c r="V1121">
        <v>-1.8573139999999998E-2</v>
      </c>
      <c r="W1121">
        <v>0.37700689999999998</v>
      </c>
      <c r="X1121">
        <v>0.92602419999999996</v>
      </c>
      <c r="Y1121">
        <v>-0.38406509999999999</v>
      </c>
      <c r="Z1121">
        <v>6.5983669999999999E-3</v>
      </c>
      <c r="AA1121">
        <v>0.92328239999999995</v>
      </c>
      <c r="AB1121">
        <v>26</v>
      </c>
      <c r="AC1121">
        <v>24.030799999999999</v>
      </c>
      <c r="AD1121">
        <v>-1.1616839999999999</v>
      </c>
      <c r="AE1121">
        <v>-51.830199999999898</v>
      </c>
      <c r="AF1121">
        <v>-22.0151495097356</v>
      </c>
      <c r="AG1121">
        <v>-1.1616839999999999</v>
      </c>
      <c r="AH1121">
        <v>52.692360227482602</v>
      </c>
      <c r="AI1121">
        <v>91.165373796977406</v>
      </c>
      <c r="AJ1121">
        <v>112.675432608658</v>
      </c>
      <c r="AK1121">
        <v>57.118308308235598</v>
      </c>
      <c r="AL1121">
        <v>67.851593865873994</v>
      </c>
      <c r="AM1121">
        <v>91.149019509901805</v>
      </c>
      <c r="AN1121">
        <v>0.999999991581354</v>
      </c>
    </row>
    <row r="1122" spans="1:40" x14ac:dyDescent="0.25">
      <c r="A1122" t="str">
        <f>"20190304164617706"</f>
        <v>20190304164617706</v>
      </c>
      <c r="B1122" t="str">
        <f>"1551689177699242"</f>
        <v>1551689177699242</v>
      </c>
      <c r="C1122" t="s">
        <v>40</v>
      </c>
      <c r="D1122">
        <v>4.2742250000000004</v>
      </c>
      <c r="E1122">
        <v>0.3465567</v>
      </c>
      <c r="F1122" t="s">
        <v>43</v>
      </c>
      <c r="G1122">
        <v>-169.49469999999999</v>
      </c>
      <c r="H1122">
        <v>-0.05</v>
      </c>
      <c r="I1122">
        <v>273.29239999999999</v>
      </c>
      <c r="J1122">
        <v>-192.09039999999999</v>
      </c>
      <c r="K1122">
        <v>1.1116159999999999</v>
      </c>
      <c r="L1122">
        <v>322.17079999999999</v>
      </c>
      <c r="M1122">
        <v>3.9050199999999903E-2</v>
      </c>
      <c r="N1122">
        <v>-1.3915439999999999E-2</v>
      </c>
      <c r="O1122">
        <v>-0.99914069999999999</v>
      </c>
      <c r="P1122">
        <v>5.3763110000000003E-2</v>
      </c>
      <c r="Q1122">
        <v>0.36431609999999998</v>
      </c>
      <c r="R1122">
        <v>-0.92972239999999995</v>
      </c>
      <c r="S1122">
        <v>1.458801</v>
      </c>
      <c r="T1122">
        <v>-7.4962500000000001E-2</v>
      </c>
      <c r="U1122">
        <v>-3.1714169999999999</v>
      </c>
      <c r="V1122">
        <v>-1.781551E-2</v>
      </c>
      <c r="W1122">
        <v>0.37721890000000002</v>
      </c>
      <c r="X1122">
        <v>0.92595280000000002</v>
      </c>
      <c r="Y1122">
        <v>-0.38199230000000001</v>
      </c>
      <c r="Z1122">
        <v>7.8237159999999997E-3</v>
      </c>
      <c r="AA1122">
        <v>0.92413239999999996</v>
      </c>
      <c r="AB1122">
        <v>26</v>
      </c>
      <c r="AC1122">
        <v>22.595699999999901</v>
      </c>
      <c r="AD1122">
        <v>-1.161616</v>
      </c>
      <c r="AE1122">
        <v>-48.878399999999999</v>
      </c>
      <c r="AF1122">
        <v>-20.6599522838371</v>
      </c>
      <c r="AG1122">
        <v>-1.161616</v>
      </c>
      <c r="AH1122">
        <v>49.700434563508601</v>
      </c>
      <c r="AI1122">
        <v>91.236363119904098</v>
      </c>
      <c r="AJ1122">
        <v>112.57214648665099</v>
      </c>
      <c r="AK1122">
        <v>53.836011887058298</v>
      </c>
      <c r="AL1122">
        <v>67.838479958115798</v>
      </c>
      <c r="AM1122">
        <v>91.102245821772797</v>
      </c>
      <c r="AN1122">
        <v>1.0000000393708</v>
      </c>
    </row>
    <row r="1123" spans="1:40" x14ac:dyDescent="0.25">
      <c r="A1123" t="str">
        <f>"20190304164617726"</f>
        <v>20190304164617726</v>
      </c>
      <c r="B1123" t="str">
        <f>"1551689177718760"</f>
        <v>1551689177718760</v>
      </c>
      <c r="C1123" t="s">
        <v>40</v>
      </c>
      <c r="D1123">
        <v>4.2790019999999904</v>
      </c>
      <c r="E1123">
        <v>0.34731499999999998</v>
      </c>
      <c r="F1123" t="s">
        <v>43</v>
      </c>
      <c r="G1123">
        <v>-169.16299999999899</v>
      </c>
      <c r="H1123">
        <v>-0.05</v>
      </c>
      <c r="I1123">
        <v>272.08839999999998</v>
      </c>
      <c r="J1123">
        <v>-192.08019999999999</v>
      </c>
      <c r="K1123">
        <v>1.1115459999999999</v>
      </c>
      <c r="L1123">
        <v>321.92689999999999</v>
      </c>
      <c r="M1123">
        <v>3.956523E-2</v>
      </c>
      <c r="N1123">
        <v>-1.391217E-2</v>
      </c>
      <c r="O1123">
        <v>-0.99912029999999996</v>
      </c>
      <c r="P1123">
        <v>5.2602919999999997E-2</v>
      </c>
      <c r="Q1123">
        <v>0.36387429999999998</v>
      </c>
      <c r="R1123">
        <v>-0.9299617</v>
      </c>
      <c r="S1123">
        <v>1.4519500000000001</v>
      </c>
      <c r="T1123">
        <v>-7.3563100000000006E-2</v>
      </c>
      <c r="U1123">
        <v>-3.1716310000000001</v>
      </c>
      <c r="V1123">
        <v>-1.609882E-2</v>
      </c>
      <c r="W1123">
        <v>0.37678159999999999</v>
      </c>
      <c r="X1123">
        <v>0.92616220000000005</v>
      </c>
      <c r="Y1123">
        <v>-0.37984489999999999</v>
      </c>
      <c r="Z1123">
        <v>7.441423E-3</v>
      </c>
      <c r="AA1123">
        <v>0.92502030000000002</v>
      </c>
      <c r="AB1123">
        <v>26</v>
      </c>
      <c r="AC1123">
        <v>22.917200000000001</v>
      </c>
      <c r="AD1123">
        <v>-1.161546</v>
      </c>
      <c r="AE1123">
        <v>-49.838500000000003</v>
      </c>
      <c r="AF1123">
        <v>-20.917810891586999</v>
      </c>
      <c r="AG1123">
        <v>-1.161546</v>
      </c>
      <c r="AH1123">
        <v>50.6835551348872</v>
      </c>
      <c r="AI1123">
        <v>91.213590952701196</v>
      </c>
      <c r="AJ1123">
        <v>112.426623212108</v>
      </c>
      <c r="AK1123">
        <v>54.842745762019199</v>
      </c>
      <c r="AL1123">
        <v>67.865530141280601</v>
      </c>
      <c r="AM1123">
        <v>90.995831571756398</v>
      </c>
      <c r="AN1123">
        <v>0.99999998340639595</v>
      </c>
    </row>
    <row r="1124" spans="1:40" x14ac:dyDescent="0.25">
      <c r="A1124" t="str">
        <f>"20190304164617750"</f>
        <v>20190304164617750</v>
      </c>
      <c r="B1124" t="str">
        <f>"1551689177739255"</f>
        <v>1551689177739255</v>
      </c>
      <c r="C1124" t="s">
        <v>40</v>
      </c>
      <c r="D1124">
        <v>4.2838139999999996</v>
      </c>
      <c r="E1124">
        <v>0.34807359999999998</v>
      </c>
      <c r="F1124" t="s">
        <v>43</v>
      </c>
      <c r="G1124">
        <v>-169.5652</v>
      </c>
      <c r="H1124">
        <v>-0.05</v>
      </c>
      <c r="I1124">
        <v>272.45530000000002</v>
      </c>
      <c r="J1124">
        <v>-192.06899999999999</v>
      </c>
      <c r="K1124">
        <v>1.111462</v>
      </c>
      <c r="L1124">
        <v>321.65809999999999</v>
      </c>
      <c r="M1124">
        <v>4.001449E-2</v>
      </c>
      <c r="N1124">
        <v>-1.390859E-2</v>
      </c>
      <c r="O1124">
        <v>-0.9991023</v>
      </c>
      <c r="P1124">
        <v>5.149492E-2</v>
      </c>
      <c r="Q1124">
        <v>0.3637185</v>
      </c>
      <c r="R1124">
        <v>-0.93008460000000004</v>
      </c>
      <c r="S1124">
        <v>1.4442440000000001</v>
      </c>
      <c r="T1124">
        <v>-7.450843E-2</v>
      </c>
      <c r="U1124">
        <v>-3.1734010000000001</v>
      </c>
      <c r="V1124">
        <v>-1.448606E-2</v>
      </c>
      <c r="W1124">
        <v>0.37662800000000002</v>
      </c>
      <c r="X1124">
        <v>0.92625139999999995</v>
      </c>
      <c r="Y1124">
        <v>-0.37737229999999999</v>
      </c>
      <c r="Z1124">
        <v>7.7285869999999899E-3</v>
      </c>
      <c r="AA1124">
        <v>0.9260294</v>
      </c>
      <c r="AB1124">
        <v>25</v>
      </c>
      <c r="AC1124">
        <v>22.503799999999998</v>
      </c>
      <c r="AD1124">
        <v>-1.161462</v>
      </c>
      <c r="AE1124">
        <v>-49.202799999999897</v>
      </c>
      <c r="AF1124">
        <v>-20.5073075040264</v>
      </c>
      <c r="AG1124">
        <v>-1.161462</v>
      </c>
      <c r="AH1124">
        <v>50.040890850096901</v>
      </c>
      <c r="AI1124">
        <v>91.230338571222404</v>
      </c>
      <c r="AJ1124">
        <v>112.284358002139</v>
      </c>
      <c r="AK1124">
        <v>54.092415476787998</v>
      </c>
      <c r="AL1124">
        <v>67.8750328039105</v>
      </c>
      <c r="AM1124">
        <v>90.896001279965205</v>
      </c>
      <c r="AN1124">
        <v>1.00000007616013</v>
      </c>
    </row>
    <row r="1125" spans="1:40" x14ac:dyDescent="0.25">
      <c r="A1125" t="str">
        <f>"20190304164617770"</f>
        <v>20190304164617770</v>
      </c>
      <c r="B1125" t="str">
        <f>"1551689177758794"</f>
        <v>1551689177758794</v>
      </c>
      <c r="C1125" t="s">
        <v>40</v>
      </c>
      <c r="D1125">
        <v>4.2832489999999996</v>
      </c>
      <c r="E1125">
        <v>0.34865380000000001</v>
      </c>
      <c r="F1125" t="s">
        <v>43</v>
      </c>
      <c r="G1125">
        <v>-170.12819999999999</v>
      </c>
      <c r="H1125">
        <v>-0.05</v>
      </c>
      <c r="I1125">
        <v>273.10469999999998</v>
      </c>
      <c r="J1125">
        <v>-192.05930000000001</v>
      </c>
      <c r="K1125">
        <v>1.1113850000000001</v>
      </c>
      <c r="L1125">
        <v>321.42619999999999</v>
      </c>
      <c r="M1125">
        <v>4.0294009999999998E-2</v>
      </c>
      <c r="N1125">
        <v>-1.390541E-2</v>
      </c>
      <c r="O1125">
        <v>-0.99909130000000002</v>
      </c>
      <c r="P1125">
        <v>4.9131130000000002E-2</v>
      </c>
      <c r="Q1125">
        <v>0.36346840000000002</v>
      </c>
      <c r="R1125">
        <v>-0.93031030000000003</v>
      </c>
      <c r="S1125">
        <v>1.4351039999999999</v>
      </c>
      <c r="T1125">
        <v>-7.5968980000000005E-2</v>
      </c>
      <c r="U1125">
        <v>-3.1757810000000002</v>
      </c>
      <c r="V1125">
        <v>-1.178249E-2</v>
      </c>
      <c r="W1125">
        <v>0.37638110000000002</v>
      </c>
      <c r="X1125">
        <v>0.92639000000000005</v>
      </c>
      <c r="Y1125">
        <v>-0.3746372</v>
      </c>
      <c r="Z1125">
        <v>8.1631599999999992E-3</v>
      </c>
      <c r="AA1125">
        <v>0.9271355</v>
      </c>
      <c r="AB1125">
        <v>25</v>
      </c>
      <c r="AC1125">
        <v>21.931100000000001</v>
      </c>
      <c r="AD1125">
        <v>-1.1613849999999999</v>
      </c>
      <c r="AE1125">
        <v>-48.3215</v>
      </c>
      <c r="AF1125">
        <v>-19.9564716854388</v>
      </c>
      <c r="AG1125">
        <v>-1.1613849999999999</v>
      </c>
      <c r="AH1125">
        <v>49.142487259730203</v>
      </c>
      <c r="AI1125">
        <v>91.254370084552605</v>
      </c>
      <c r="AJ1125">
        <v>112.101778425427</v>
      </c>
      <c r="AK1125">
        <v>53.052743862336499</v>
      </c>
      <c r="AL1125">
        <v>67.8903009046074</v>
      </c>
      <c r="AM1125">
        <v>90.728689375659002</v>
      </c>
      <c r="AN1125">
        <v>0.99999999580390497</v>
      </c>
    </row>
    <row r="1126" spans="1:40" x14ac:dyDescent="0.25">
      <c r="A1126" t="str">
        <f>"20190304164617793"</f>
        <v>20190304164617793</v>
      </c>
      <c r="B1126" t="str">
        <f>"1551689177789032"</f>
        <v>1551689177789032</v>
      </c>
      <c r="C1126" t="s">
        <v>40</v>
      </c>
      <c r="D1126">
        <v>4.3024760000000004</v>
      </c>
      <c r="E1126">
        <v>0.34943859999999999</v>
      </c>
      <c r="F1126" t="s">
        <v>43</v>
      </c>
      <c r="G1126">
        <v>-170.8888</v>
      </c>
      <c r="H1126">
        <v>-0.05</v>
      </c>
      <c r="I1126">
        <v>274.08909999999997</v>
      </c>
      <c r="J1126">
        <v>-192.04859999999999</v>
      </c>
      <c r="K1126">
        <v>1.1113</v>
      </c>
      <c r="L1126">
        <v>321.16759999999999</v>
      </c>
      <c r="M1126">
        <v>4.0496280000000003E-2</v>
      </c>
      <c r="N1126">
        <v>-1.3902039999999999E-2</v>
      </c>
      <c r="O1126">
        <v>-0.99908319999999995</v>
      </c>
      <c r="P1126">
        <v>4.7192739999999997E-2</v>
      </c>
      <c r="Q1126">
        <v>0.36278680000000002</v>
      </c>
      <c r="R1126">
        <v>-0.93067679999999997</v>
      </c>
      <c r="S1126">
        <v>1.4222109999999999</v>
      </c>
      <c r="T1126">
        <v>-7.8020569999999997E-2</v>
      </c>
      <c r="U1126">
        <v>-3.1800540000000002</v>
      </c>
      <c r="V1126">
        <v>-9.5655659999999993E-3</v>
      </c>
      <c r="W1126">
        <v>0.37570320000000001</v>
      </c>
      <c r="X1126">
        <v>0.92669060000000003</v>
      </c>
      <c r="Y1126">
        <v>-0.37084859999999997</v>
      </c>
      <c r="Z1126">
        <v>8.7662590000000002E-3</v>
      </c>
      <c r="AA1126">
        <v>0.92865200000000003</v>
      </c>
      <c r="AB1126">
        <v>25</v>
      </c>
      <c r="AC1126">
        <v>21.159799999999901</v>
      </c>
      <c r="AD1126">
        <v>-1.1613</v>
      </c>
      <c r="AE1126">
        <v>-47.078499999999998</v>
      </c>
      <c r="AF1126">
        <v>-19.226018604959901</v>
      </c>
      <c r="AG1126">
        <v>-1.1613</v>
      </c>
      <c r="AH1126">
        <v>47.872615535400598</v>
      </c>
      <c r="AI1126">
        <v>91.289544786817302</v>
      </c>
      <c r="AJ1126">
        <v>111.880782243166</v>
      </c>
      <c r="AK1126">
        <v>51.6020903383627</v>
      </c>
      <c r="AL1126">
        <v>67.932216850673399</v>
      </c>
      <c r="AM1126">
        <v>90.591402455440502</v>
      </c>
      <c r="AN1126">
        <v>0.99999993133574705</v>
      </c>
    </row>
    <row r="1127" spans="1:40" x14ac:dyDescent="0.25">
      <c r="A1127" t="str">
        <f>"20190304164617817"</f>
        <v>20190304164617817</v>
      </c>
      <c r="B1127" t="str">
        <f>"1551689177809528"</f>
        <v>1551689177809528</v>
      </c>
      <c r="C1127" t="s">
        <v>40</v>
      </c>
      <c r="D1127">
        <v>4.2481179999999998</v>
      </c>
      <c r="E1127">
        <v>0.34967819999999999</v>
      </c>
      <c r="F1127" t="s">
        <v>43</v>
      </c>
      <c r="G1127">
        <v>-171.6771</v>
      </c>
      <c r="H1127">
        <v>-0.05</v>
      </c>
      <c r="I1127">
        <v>275.18060000000003</v>
      </c>
      <c r="J1127">
        <v>-192.0378</v>
      </c>
      <c r="K1127">
        <v>1.111224</v>
      </c>
      <c r="L1127">
        <v>320.90449999999998</v>
      </c>
      <c r="M1127">
        <v>4.05844E-2</v>
      </c>
      <c r="N1127">
        <v>-1.389869E-2</v>
      </c>
      <c r="O1127">
        <v>-0.99907959999999996</v>
      </c>
      <c r="P1127">
        <v>4.4639320000000003E-2</v>
      </c>
      <c r="Q1127">
        <v>0.36235600000000001</v>
      </c>
      <c r="R1127">
        <v>-0.93097050000000003</v>
      </c>
      <c r="S1127">
        <v>1.4101410000000001</v>
      </c>
      <c r="T1127">
        <v>-8.0386879999999994E-2</v>
      </c>
      <c r="U1127">
        <v>-3.1832889999999998</v>
      </c>
      <c r="V1127">
        <v>-6.8514589999999998E-3</v>
      </c>
      <c r="W1127">
        <v>0.3752742</v>
      </c>
      <c r="X1127">
        <v>0.9268885</v>
      </c>
      <c r="Y1127">
        <v>-0.36746970000000001</v>
      </c>
      <c r="Z1127">
        <v>9.4640009999999997E-3</v>
      </c>
      <c r="AA1127">
        <v>0.92998729999999996</v>
      </c>
      <c r="AB1127">
        <v>25</v>
      </c>
      <c r="AC1127">
        <v>20.360700000000001</v>
      </c>
      <c r="AD1127">
        <v>-1.161224</v>
      </c>
      <c r="AE1127">
        <v>-45.723899999999901</v>
      </c>
      <c r="AF1127">
        <v>-18.4781200046354</v>
      </c>
      <c r="AG1127">
        <v>-1.161224</v>
      </c>
      <c r="AH1127">
        <v>46.487605985583201</v>
      </c>
      <c r="AI1127">
        <v>91.329750837841004</v>
      </c>
      <c r="AJ1127">
        <v>111.677072228919</v>
      </c>
      <c r="AK1127">
        <v>50.038853607519002</v>
      </c>
      <c r="AL1127">
        <v>67.958738444370098</v>
      </c>
      <c r="AM1127">
        <v>90.423516458142998</v>
      </c>
      <c r="AN1127">
        <v>0.99999997955415898</v>
      </c>
    </row>
    <row r="1128" spans="1:40" x14ac:dyDescent="0.25">
      <c r="A1128" t="str">
        <f>"20190304164617839"</f>
        <v>20190304164617839</v>
      </c>
      <c r="B1128" t="str">
        <f>"1551689177829048"</f>
        <v>1551689177829048</v>
      </c>
      <c r="C1128" t="s">
        <v>40</v>
      </c>
      <c r="D1128">
        <v>4.378571</v>
      </c>
      <c r="E1128">
        <v>0.32047510000000001</v>
      </c>
      <c r="F1128" t="s">
        <v>43</v>
      </c>
      <c r="G1128">
        <v>-172.11089999999999</v>
      </c>
      <c r="H1128">
        <v>-0.05</v>
      </c>
      <c r="I1128">
        <v>275.57369999999997</v>
      </c>
      <c r="J1128">
        <v>-192.0274</v>
      </c>
      <c r="K1128">
        <v>1.1111629999999999</v>
      </c>
      <c r="L1128">
        <v>320.65230000000003</v>
      </c>
      <c r="M1128">
        <v>4.0595949999999999E-2</v>
      </c>
      <c r="N1128">
        <v>-1.3895360000000001E-2</v>
      </c>
      <c r="O1128">
        <v>-0.99907939999999995</v>
      </c>
      <c r="P1128">
        <v>4.2415219999999997E-2</v>
      </c>
      <c r="Q1128">
        <v>0.36229080000000002</v>
      </c>
      <c r="R1128">
        <v>-0.93109980000000003</v>
      </c>
      <c r="S1128">
        <v>1.40097</v>
      </c>
      <c r="T1128">
        <v>-8.1640599999999994E-2</v>
      </c>
      <c r="U1128">
        <v>-3.1870120000000002</v>
      </c>
      <c r="V1128">
        <v>-4.56347E-3</v>
      </c>
      <c r="W1128">
        <v>0.37520690000000001</v>
      </c>
      <c r="X1128">
        <v>0.92692980000000003</v>
      </c>
      <c r="Y1128">
        <v>-0.36481330000000001</v>
      </c>
      <c r="Z1128">
        <v>9.8295159999999999E-3</v>
      </c>
      <c r="AA1128">
        <v>0.93102879999999999</v>
      </c>
      <c r="AB1128">
        <v>25</v>
      </c>
      <c r="AC1128">
        <v>19.916499999999999</v>
      </c>
      <c r="AD1128">
        <v>-1.1611629999999999</v>
      </c>
      <c r="AE1128">
        <v>-45.078600000000002</v>
      </c>
      <c r="AF1128">
        <v>-18.059868184026001</v>
      </c>
      <c r="AG1128">
        <v>-1.1611629999999999</v>
      </c>
      <c r="AH1128">
        <v>45.824599902154397</v>
      </c>
      <c r="AI1128">
        <v>91.350470999543703</v>
      </c>
      <c r="AJ1128">
        <v>111.50982544331001</v>
      </c>
      <c r="AK1128">
        <v>49.268662398420098</v>
      </c>
      <c r="AL1128">
        <v>67.962897713235193</v>
      </c>
      <c r="AM1128">
        <v>90.282076871929206</v>
      </c>
      <c r="AN1128">
        <v>0.999999948597044</v>
      </c>
    </row>
    <row r="1129" spans="1:40" x14ac:dyDescent="0.25">
      <c r="A1129" t="str">
        <f>"20190304164617864"</f>
        <v>20190304164617864</v>
      </c>
      <c r="B1129" t="str">
        <f>"1551689177859304"</f>
        <v>1551689177859304</v>
      </c>
      <c r="C1129" t="s">
        <v>40</v>
      </c>
      <c r="D1129">
        <v>4.4369170000000002</v>
      </c>
      <c r="E1129">
        <v>0.27692480000000003</v>
      </c>
      <c r="F1129" t="s">
        <v>47</v>
      </c>
      <c r="G1129">
        <v>-167.3023</v>
      </c>
      <c r="H1129">
        <v>0.84613130000000003</v>
      </c>
      <c r="I1129">
        <v>272.61509999999998</v>
      </c>
      <c r="J1129">
        <v>-192.0163</v>
      </c>
      <c r="K1129">
        <v>1.1111249999999999</v>
      </c>
      <c r="L1129">
        <v>320.37889999999999</v>
      </c>
      <c r="M1129">
        <v>4.0557080000000002E-2</v>
      </c>
      <c r="N1129">
        <v>-1.3892120000000001E-2</v>
      </c>
      <c r="O1129">
        <v>-0.99908079999999999</v>
      </c>
      <c r="P1129">
        <v>4.0127790000000003E-2</v>
      </c>
      <c r="Q1129">
        <v>0.36125849999999998</v>
      </c>
      <c r="R1129">
        <v>-0.93160189999999998</v>
      </c>
      <c r="S1129">
        <v>1.6237790000000001</v>
      </c>
      <c r="T1129">
        <v>-1.740038E-2</v>
      </c>
      <c r="U1129">
        <v>-3.1547550000000002</v>
      </c>
      <c r="V1129">
        <v>-2.25947E-3</v>
      </c>
      <c r="W1129">
        <v>0.3741777</v>
      </c>
      <c r="X1129">
        <v>0.92735429999999996</v>
      </c>
      <c r="Y1129">
        <v>-0.42113479999999998</v>
      </c>
      <c r="Z1129">
        <v>-8.8124499999999995E-3</v>
      </c>
      <c r="AA1129">
        <v>0.90695519999999996</v>
      </c>
      <c r="AB1129">
        <v>25</v>
      </c>
      <c r="AC1129">
        <v>24.713999999999999</v>
      </c>
      <c r="AD1129">
        <v>-0.264993699999999</v>
      </c>
      <c r="AE1129">
        <v>-47.763800000000003</v>
      </c>
      <c r="AF1129">
        <v>-22.7557625539513</v>
      </c>
      <c r="AG1129">
        <v>-0.264993699999999</v>
      </c>
      <c r="AH1129">
        <v>48.7257346668152</v>
      </c>
      <c r="AI1129">
        <v>90.282327949646003</v>
      </c>
      <c r="AJ1129">
        <v>115.033389825181</v>
      </c>
      <c r="AK1129">
        <v>53.778175590974897</v>
      </c>
      <c r="AL1129">
        <v>68.026501828484101</v>
      </c>
      <c r="AM1129">
        <v>90.139599114131897</v>
      </c>
      <c r="AN1129">
        <v>1.0000000270552301</v>
      </c>
    </row>
    <row r="1130" spans="1:40" x14ac:dyDescent="0.25">
      <c r="A1130" t="str">
        <f>"20190304164617884"</f>
        <v>20190304164617884</v>
      </c>
      <c r="B1130" t="str">
        <f>"1551689177878824"</f>
        <v>1551689177878824</v>
      </c>
      <c r="C1130" t="s">
        <v>40</v>
      </c>
      <c r="D1130">
        <v>4.4068820000000004</v>
      </c>
      <c r="E1130">
        <v>0.27487220000000001</v>
      </c>
      <c r="F1130" t="s">
        <v>48</v>
      </c>
      <c r="G1130">
        <v>-150.5967</v>
      </c>
      <c r="H1130">
        <v>1.817591</v>
      </c>
      <c r="I1130">
        <v>254.45500000000001</v>
      </c>
      <c r="J1130">
        <v>-192.0068</v>
      </c>
      <c r="K1130">
        <v>1.1110899999999999</v>
      </c>
      <c r="L1130">
        <v>320.1429</v>
      </c>
      <c r="M1130">
        <v>4.0487210000000003E-2</v>
      </c>
      <c r="N1130">
        <v>-1.388956E-2</v>
      </c>
      <c r="O1130">
        <v>-0.99908379999999997</v>
      </c>
      <c r="P1130">
        <v>3.7611329999999998E-2</v>
      </c>
      <c r="Q1130">
        <v>0.36047079999999998</v>
      </c>
      <c r="R1130">
        <v>-0.93201210000000001</v>
      </c>
      <c r="S1130">
        <v>1.9620059999999999</v>
      </c>
      <c r="T1130">
        <v>3.3466940000000001E-2</v>
      </c>
      <c r="U1130">
        <v>-3.1227420000000001</v>
      </c>
      <c r="V1130">
        <v>2.2686740000000001E-4</v>
      </c>
      <c r="W1130">
        <v>0.3733919</v>
      </c>
      <c r="X1130">
        <v>0.92767370000000005</v>
      </c>
      <c r="Y1130">
        <v>-0.4971276</v>
      </c>
      <c r="Z1130">
        <v>-2.2891640000000001E-2</v>
      </c>
      <c r="AA1130">
        <v>0.86737540000000002</v>
      </c>
      <c r="AB1130">
        <v>25</v>
      </c>
      <c r="AC1130">
        <v>41.4101</v>
      </c>
      <c r="AD1130">
        <v>0.70650100000000005</v>
      </c>
      <c r="AE1130">
        <v>-65.6878999999999</v>
      </c>
      <c r="AF1130">
        <v>-38.713159210517603</v>
      </c>
      <c r="AG1130">
        <v>0.70650100000000005</v>
      </c>
      <c r="AH1130">
        <v>67.3051983800665</v>
      </c>
      <c r="AI1130">
        <v>89.478671283214297</v>
      </c>
      <c r="AJ1130">
        <v>119.90700705280599</v>
      </c>
      <c r="AK1130">
        <v>77.647907690432902</v>
      </c>
      <c r="AL1130">
        <v>68.075043386835006</v>
      </c>
      <c r="AM1130">
        <v>89.985988021143598</v>
      </c>
      <c r="AN1130">
        <v>1.0000000280630501</v>
      </c>
    </row>
    <row r="1131" spans="1:40" x14ac:dyDescent="0.25">
      <c r="A1131" t="str">
        <f>"20190304164617906"</f>
        <v>20190304164617906</v>
      </c>
      <c r="B1131" t="str">
        <f>"1551689177899320"</f>
        <v>1551689177899320</v>
      </c>
      <c r="C1131" t="s">
        <v>40</v>
      </c>
      <c r="D1131">
        <v>4.4155670000000002</v>
      </c>
      <c r="E1131">
        <v>0.2736712</v>
      </c>
      <c r="F1131" t="s">
        <v>48</v>
      </c>
      <c r="G1131">
        <v>-150.578</v>
      </c>
      <c r="H1131">
        <v>1.8617919999999999</v>
      </c>
      <c r="I1131">
        <v>254.45500000000001</v>
      </c>
      <c r="J1131">
        <v>-191.99709999999999</v>
      </c>
      <c r="K1131">
        <v>1.1110610000000001</v>
      </c>
      <c r="L1131">
        <v>319.90120000000002</v>
      </c>
      <c r="M1131">
        <v>4.0379739999999997E-2</v>
      </c>
      <c r="N1131">
        <v>-1.388702E-2</v>
      </c>
      <c r="O1131">
        <v>-0.99908799999999998</v>
      </c>
      <c r="P1131">
        <v>3.5063240000000002E-2</v>
      </c>
      <c r="Q1131">
        <v>0.35978569999999999</v>
      </c>
      <c r="R1131">
        <v>-0.93237599999999998</v>
      </c>
      <c r="S1131">
        <v>1.971222</v>
      </c>
      <c r="T1131">
        <v>3.5721660000000002E-2</v>
      </c>
      <c r="U1131">
        <v>-3.1254879999999998</v>
      </c>
      <c r="V1131">
        <v>2.707334E-3</v>
      </c>
      <c r="W1131">
        <v>0.37270740000000002</v>
      </c>
      <c r="X1131">
        <v>0.92794500000000002</v>
      </c>
      <c r="Y1131">
        <v>-0.49870330000000002</v>
      </c>
      <c r="Z1131">
        <v>-2.3487290000000001E-2</v>
      </c>
      <c r="AA1131">
        <v>0.86645450000000002</v>
      </c>
      <c r="AB1131">
        <v>25</v>
      </c>
      <c r="AC1131">
        <v>41.419099999999901</v>
      </c>
      <c r="AD1131">
        <v>0.75073099999999904</v>
      </c>
      <c r="AE1131">
        <v>-65.446200000000005</v>
      </c>
      <c r="AF1131">
        <v>-38.738717580587199</v>
      </c>
      <c r="AG1131">
        <v>0.75073099999999904</v>
      </c>
      <c r="AH1131">
        <v>67.059165400613693</v>
      </c>
      <c r="AI1131">
        <v>89.444602514197697</v>
      </c>
      <c r="AJ1131">
        <v>120.014153605361</v>
      </c>
      <c r="AK1131">
        <v>77.447940586239696</v>
      </c>
      <c r="AL1131">
        <v>68.117313819566704</v>
      </c>
      <c r="AM1131">
        <v>89.832836674799594</v>
      </c>
      <c r="AN1131">
        <v>1.00000002934857</v>
      </c>
    </row>
    <row r="1132" spans="1:40" x14ac:dyDescent="0.25">
      <c r="A1132" t="str">
        <f>"20190304164617928"</f>
        <v>20190304164617928</v>
      </c>
      <c r="B1132" t="str">
        <f>"1551689177918840"</f>
        <v>1551689177918840</v>
      </c>
      <c r="C1132" t="s">
        <v>40</v>
      </c>
      <c r="D1132">
        <v>4.4267880000000002</v>
      </c>
      <c r="E1132">
        <v>0.27289259999999999</v>
      </c>
      <c r="F1132" t="s">
        <v>48</v>
      </c>
      <c r="G1132">
        <v>-150.73330000000001</v>
      </c>
      <c r="H1132">
        <v>1.8935169999999999</v>
      </c>
      <c r="I1132">
        <v>254.45500000000001</v>
      </c>
      <c r="J1132">
        <v>-191.98679999999999</v>
      </c>
      <c r="K1132">
        <v>1.1110359999999999</v>
      </c>
      <c r="L1132">
        <v>319.64510000000001</v>
      </c>
      <c r="M1132">
        <v>4.0227390000000002E-2</v>
      </c>
      <c r="N1132">
        <v>-1.388437E-2</v>
      </c>
      <c r="O1132">
        <v>-0.99909409999999998</v>
      </c>
      <c r="P1132">
        <v>3.2811399999999998E-2</v>
      </c>
      <c r="Q1132">
        <v>0.35966479999999901</v>
      </c>
      <c r="R1132">
        <v>-0.93250449999999996</v>
      </c>
      <c r="S1132">
        <v>1.972855</v>
      </c>
      <c r="T1132">
        <v>3.741241E-2</v>
      </c>
      <c r="U1132">
        <v>-3.1290279999999999</v>
      </c>
      <c r="V1132">
        <v>4.8464629999999996E-3</v>
      </c>
      <c r="W1132">
        <v>0.37258400000000003</v>
      </c>
      <c r="X1132">
        <v>0.92798579999999997</v>
      </c>
      <c r="Y1132">
        <v>-0.4987124</v>
      </c>
      <c r="Z1132">
        <v>-2.3936240000000001E-2</v>
      </c>
      <c r="AA1132">
        <v>0.86643700000000001</v>
      </c>
      <c r="AB1132">
        <v>25</v>
      </c>
      <c r="AC1132">
        <v>41.253499999999903</v>
      </c>
      <c r="AD1132">
        <v>0.78248099999999898</v>
      </c>
      <c r="AE1132">
        <v>-65.190100000000001</v>
      </c>
      <c r="AF1132">
        <v>-38.593450283785998</v>
      </c>
      <c r="AG1132">
        <v>0.78248099999999898</v>
      </c>
      <c r="AH1132">
        <v>66.790131242286606</v>
      </c>
      <c r="AI1132">
        <v>89.418821777820696</v>
      </c>
      <c r="AJ1132">
        <v>120.020680568584</v>
      </c>
      <c r="AK1132">
        <v>77.142649116323994</v>
      </c>
      <c r="AL1132">
        <v>68.1249318749758</v>
      </c>
      <c r="AM1132">
        <v>89.700771982822602</v>
      </c>
      <c r="AN1132">
        <v>0.99999998513062505</v>
      </c>
    </row>
    <row r="1133" spans="1:40" x14ac:dyDescent="0.25">
      <c r="A1133" t="str">
        <f>"20190304164617951"</f>
        <v>20190304164617951</v>
      </c>
      <c r="B1133" t="str">
        <f>"1551689177939336"</f>
        <v>1551689177939336</v>
      </c>
      <c r="C1133" t="s">
        <v>40</v>
      </c>
      <c r="D1133">
        <v>4.4469200000000004</v>
      </c>
      <c r="E1133">
        <v>0.27259889999999998</v>
      </c>
      <c r="F1133" t="s">
        <v>48</v>
      </c>
      <c r="G1133">
        <v>-150.95339999999999</v>
      </c>
      <c r="H1133">
        <v>1.926229</v>
      </c>
      <c r="I1133">
        <v>254.45500000000001</v>
      </c>
      <c r="J1133">
        <v>-191.977</v>
      </c>
      <c r="K1133">
        <v>1.111005</v>
      </c>
      <c r="L1133">
        <v>319.39640000000003</v>
      </c>
      <c r="M1133">
        <v>4.0041050000000002E-2</v>
      </c>
      <c r="N1133">
        <v>-1.3881839999999999E-2</v>
      </c>
      <c r="O1133">
        <v>-0.99910180000000004</v>
      </c>
      <c r="P1133">
        <v>3.0021309999999999E-2</v>
      </c>
      <c r="Q1133">
        <v>0.35935800000000001</v>
      </c>
      <c r="R1133">
        <v>-0.93271689999999996</v>
      </c>
      <c r="S1133">
        <v>1.971832</v>
      </c>
      <c r="T1133">
        <v>3.9176229999999999E-2</v>
      </c>
      <c r="U1133">
        <v>-3.13266</v>
      </c>
      <c r="V1133">
        <v>7.498981E-3</v>
      </c>
      <c r="W1133">
        <v>0.37227460000000001</v>
      </c>
      <c r="X1133">
        <v>0.92809240000000004</v>
      </c>
      <c r="Y1133">
        <v>-0.49821359999999998</v>
      </c>
      <c r="Z1133">
        <v>-2.440821E-2</v>
      </c>
      <c r="AA1133">
        <v>0.86671069999999995</v>
      </c>
      <c r="AB1133">
        <v>25</v>
      </c>
      <c r="AC1133">
        <v>41.023600000000002</v>
      </c>
      <c r="AD1133">
        <v>0.81522399999999995</v>
      </c>
      <c r="AE1133">
        <v>-64.941400000000002</v>
      </c>
      <c r="AF1133">
        <v>-38.3857986575306</v>
      </c>
      <c r="AG1133">
        <v>0.81522399999999995</v>
      </c>
      <c r="AH1133">
        <v>66.524602190019195</v>
      </c>
      <c r="AI1133">
        <v>89.391872884750995</v>
      </c>
      <c r="AJ1133">
        <v>119.98565883098</v>
      </c>
      <c r="AK1133">
        <v>76.809223569093405</v>
      </c>
      <c r="AL1133">
        <v>68.1440350064386</v>
      </c>
      <c r="AM1133">
        <v>89.537060521116601</v>
      </c>
      <c r="AN1133">
        <v>1.0000000577294701</v>
      </c>
    </row>
    <row r="1134" spans="1:40" x14ac:dyDescent="0.25">
      <c r="A1134" t="str">
        <f>"20190304164617972"</f>
        <v>20190304164617972</v>
      </c>
      <c r="B1134" t="str">
        <f>"1551689177969593"</f>
        <v>1551689177969593</v>
      </c>
      <c r="C1134" t="s">
        <v>40</v>
      </c>
      <c r="D1134">
        <v>4.4367590000000003</v>
      </c>
      <c r="E1134">
        <v>0.27133829999999998</v>
      </c>
      <c r="F1134" t="s">
        <v>48</v>
      </c>
      <c r="G1134">
        <v>-151.2903</v>
      </c>
      <c r="H1134">
        <v>1.9463809999999999</v>
      </c>
      <c r="I1134">
        <v>254.45500000000001</v>
      </c>
      <c r="J1134">
        <v>-191.96770000000001</v>
      </c>
      <c r="K1134">
        <v>1.1109719999999901</v>
      </c>
      <c r="L1134">
        <v>319.15820000000002</v>
      </c>
      <c r="M1134">
        <v>3.982364E-2</v>
      </c>
      <c r="N1134">
        <v>-1.3879519999999999E-2</v>
      </c>
      <c r="O1134">
        <v>-0.99911059999999996</v>
      </c>
      <c r="P1134">
        <v>2.6556409999999999E-2</v>
      </c>
      <c r="Q1134">
        <v>0.35870560000000001</v>
      </c>
      <c r="R1134">
        <v>-0.93307309999999999</v>
      </c>
      <c r="S1134">
        <v>1.9657750000000001</v>
      </c>
      <c r="T1134">
        <v>4.0363910000000003E-2</v>
      </c>
      <c r="U1134">
        <v>-3.1376339999999998</v>
      </c>
      <c r="V1134">
        <v>1.0802590000000001E-2</v>
      </c>
      <c r="W1134">
        <v>0.37162129999999999</v>
      </c>
      <c r="X1134">
        <v>0.92832150000000002</v>
      </c>
      <c r="Y1134">
        <v>-0.49657790000000002</v>
      </c>
      <c r="Z1134">
        <v>-2.4727369999999999E-2</v>
      </c>
      <c r="AA1134">
        <v>0.86763979999999996</v>
      </c>
      <c r="AB1134">
        <v>25</v>
      </c>
      <c r="AC1134">
        <v>40.677399999999999</v>
      </c>
      <c r="AD1134">
        <v>0.83540899999999996</v>
      </c>
      <c r="AE1134">
        <v>-64.703199999999995</v>
      </c>
      <c r="AF1134">
        <v>-38.0636130593006</v>
      </c>
      <c r="AG1134">
        <v>0.83540899999999996</v>
      </c>
      <c r="AH1134">
        <v>66.264023086424103</v>
      </c>
      <c r="AI1134">
        <v>89.373664532531507</v>
      </c>
      <c r="AJ1134">
        <v>119.874072614914</v>
      </c>
      <c r="AK1134">
        <v>76.422884680726298</v>
      </c>
      <c r="AL1134">
        <v>68.184356933295703</v>
      </c>
      <c r="AM1134">
        <v>89.333296837857404</v>
      </c>
      <c r="AN1134">
        <v>0.99999994696332195</v>
      </c>
    </row>
    <row r="1135" spans="1:40" x14ac:dyDescent="0.25">
      <c r="A1135" t="str">
        <f>"20190304164617994"</f>
        <v>20190304164617994</v>
      </c>
      <c r="B1135" t="str">
        <f>"1551689177989112"</f>
        <v>1551689177989112</v>
      </c>
      <c r="C1135" t="s">
        <v>40</v>
      </c>
      <c r="D1135">
        <v>4.510294</v>
      </c>
      <c r="E1135">
        <v>0.27084899999999901</v>
      </c>
      <c r="F1135" t="s">
        <v>48</v>
      </c>
      <c r="G1135">
        <v>-151.52539999999999</v>
      </c>
      <c r="H1135">
        <v>1.9524919999999999</v>
      </c>
      <c r="I1135">
        <v>254.45500000000001</v>
      </c>
      <c r="J1135">
        <v>-191.9579</v>
      </c>
      <c r="K1135">
        <v>1.110938</v>
      </c>
      <c r="L1135">
        <v>318.90499999999997</v>
      </c>
      <c r="M1135">
        <v>3.9544799999999998E-2</v>
      </c>
      <c r="N1135">
        <v>-1.3876960000000001E-2</v>
      </c>
      <c r="O1135">
        <v>-0.99912140000000005</v>
      </c>
      <c r="P1135">
        <v>2.3039339999999998E-2</v>
      </c>
      <c r="Q1135">
        <v>0.3584271</v>
      </c>
      <c r="R1135">
        <v>-0.93327340000000003</v>
      </c>
      <c r="S1135">
        <v>1.9648589999999999</v>
      </c>
      <c r="T1135">
        <v>4.0887359999999998E-2</v>
      </c>
      <c r="U1135">
        <v>-3.1435550000000001</v>
      </c>
      <c r="V1135">
        <v>1.409498E-2</v>
      </c>
      <c r="W1135">
        <v>0.37133840000000001</v>
      </c>
      <c r="X1135">
        <v>0.92839059999999995</v>
      </c>
      <c r="Y1135">
        <v>-0.49590139999999999</v>
      </c>
      <c r="Z1135">
        <v>-2.4854459999999998E-2</v>
      </c>
      <c r="AA1135">
        <v>0.86802299999999999</v>
      </c>
      <c r="AB1135">
        <v>25</v>
      </c>
      <c r="AC1135">
        <v>40.432499999999997</v>
      </c>
      <c r="AD1135">
        <v>0.84155399999999903</v>
      </c>
      <c r="AE1135">
        <v>-64.449999999999903</v>
      </c>
      <c r="AF1135">
        <v>-37.847329177583497</v>
      </c>
      <c r="AG1135">
        <v>0.84155399999999903</v>
      </c>
      <c r="AH1135">
        <v>65.990552839049599</v>
      </c>
      <c r="AI1135">
        <v>89.366197921777399</v>
      </c>
      <c r="AJ1135">
        <v>119.835412500361</v>
      </c>
      <c r="AK1135">
        <v>76.078128282803306</v>
      </c>
      <c r="AL1135">
        <v>68.201816215151297</v>
      </c>
      <c r="AM1135">
        <v>89.130192802346798</v>
      </c>
      <c r="AN1135">
        <v>0.99999999097206005</v>
      </c>
    </row>
    <row r="1136" spans="1:40" x14ac:dyDescent="0.25">
      <c r="A1136" t="str">
        <f>"20190304164618018"</f>
        <v>20190304164618018</v>
      </c>
      <c r="B1136" t="str">
        <f>"1551689178008632"</f>
        <v>1551689178008632</v>
      </c>
      <c r="C1136" t="s">
        <v>40</v>
      </c>
      <c r="D1136">
        <v>4.9003189999999996</v>
      </c>
      <c r="E1136">
        <v>0.35261439999999999</v>
      </c>
      <c r="F1136" t="s">
        <v>48</v>
      </c>
      <c r="G1136">
        <v>-151.8998</v>
      </c>
      <c r="H1136">
        <v>1.9799249999999999</v>
      </c>
      <c r="I1136">
        <v>254.45500000000001</v>
      </c>
      <c r="J1136">
        <v>-191.94800000000001</v>
      </c>
      <c r="K1136">
        <v>1.110908</v>
      </c>
      <c r="L1136">
        <v>318.64249999999998</v>
      </c>
      <c r="M1136">
        <v>3.9194279999999998E-2</v>
      </c>
      <c r="N1136">
        <v>-1.38745E-2</v>
      </c>
      <c r="O1136">
        <v>-0.99913529999999995</v>
      </c>
      <c r="P1136">
        <v>1.834566E-2</v>
      </c>
      <c r="Q1136">
        <v>0.35760059999999999</v>
      </c>
      <c r="R1136">
        <v>-0.93369449999999998</v>
      </c>
      <c r="S1136">
        <v>1.957748</v>
      </c>
      <c r="T1136">
        <v>4.2472360000000001E-2</v>
      </c>
      <c r="U1136">
        <v>-3.1498409999999999</v>
      </c>
      <c r="V1136">
        <v>1.8502040000000001E-2</v>
      </c>
      <c r="W1136">
        <v>0.37050899999999998</v>
      </c>
      <c r="X1136">
        <v>0.92864460000000004</v>
      </c>
      <c r="Y1136">
        <v>-0.49400949999999999</v>
      </c>
      <c r="Z1136">
        <v>-2.5279320000000001E-2</v>
      </c>
      <c r="AA1136">
        <v>0.86908890000000005</v>
      </c>
      <c r="AB1136">
        <v>25</v>
      </c>
      <c r="AC1136">
        <v>40.048199999999902</v>
      </c>
      <c r="AD1136">
        <v>0.86901699999999904</v>
      </c>
      <c r="AE1136">
        <v>-64.187499999999901</v>
      </c>
      <c r="AF1136">
        <v>-37.496449269523403</v>
      </c>
      <c r="AG1136">
        <v>0.86901699999999904</v>
      </c>
      <c r="AH1136">
        <v>65.699312701386106</v>
      </c>
      <c r="AI1136">
        <v>89.341822055465698</v>
      </c>
      <c r="AJ1136">
        <v>119.714620789702</v>
      </c>
      <c r="AK1136">
        <v>75.6514281940714</v>
      </c>
      <c r="AL1136">
        <v>68.252988380001597</v>
      </c>
      <c r="AM1136">
        <v>88.858606867515107</v>
      </c>
      <c r="AN1136">
        <v>1.0000000188371601</v>
      </c>
    </row>
    <row r="1137" spans="1:40" x14ac:dyDescent="0.25">
      <c r="A1137" t="str">
        <f>"20190304164618040"</f>
        <v>20190304164618040</v>
      </c>
      <c r="B1137" t="str">
        <f>"1551689178029128"</f>
        <v>1551689178029128</v>
      </c>
      <c r="C1137" t="s">
        <v>40</v>
      </c>
      <c r="D1137">
        <v>4.3659350000000003</v>
      </c>
      <c r="E1137">
        <v>0.46603050000000001</v>
      </c>
      <c r="F1137" t="s">
        <v>48</v>
      </c>
      <c r="G1137">
        <v>-157.25</v>
      </c>
      <c r="H1137">
        <v>0.60080359999999999</v>
      </c>
      <c r="I1137">
        <v>232.97649999999999</v>
      </c>
      <c r="J1137">
        <v>-191.93870000000001</v>
      </c>
      <c r="K1137">
        <v>1.1108769999999999</v>
      </c>
      <c r="L1137">
        <v>318.39609999999999</v>
      </c>
      <c r="M1137">
        <v>3.882331E-2</v>
      </c>
      <c r="N1137">
        <v>-1.387215E-2</v>
      </c>
      <c r="O1137">
        <v>-0.99915019999999999</v>
      </c>
      <c r="P1137">
        <v>1.378776E-2</v>
      </c>
      <c r="Q1137">
        <v>0.35748089999999999</v>
      </c>
      <c r="R1137">
        <v>-0.93381910000000001</v>
      </c>
      <c r="S1137">
        <v>1.2940370000000001</v>
      </c>
      <c r="T1137">
        <v>-1.9021630000000001E-2</v>
      </c>
      <c r="U1137">
        <v>-3.194855</v>
      </c>
      <c r="V1137">
        <v>2.273646E-2</v>
      </c>
      <c r="W1137">
        <v>0.3703823</v>
      </c>
      <c r="X1137">
        <v>0.92860109999999996</v>
      </c>
      <c r="Y1137">
        <v>-0.33908559999999999</v>
      </c>
      <c r="Z1137">
        <v>-8.2162539999999992E-3</v>
      </c>
      <c r="AA1137">
        <v>0.94071970000000005</v>
      </c>
      <c r="AB1137">
        <v>25</v>
      </c>
      <c r="AC1137">
        <v>34.688699999999997</v>
      </c>
      <c r="AD1137">
        <v>-0.51007340000000001</v>
      </c>
      <c r="AE1137">
        <v>-85.419600000000003</v>
      </c>
      <c r="AF1137">
        <v>-31.344994009930598</v>
      </c>
      <c r="AG1137">
        <v>-0.51007340000000001</v>
      </c>
      <c r="AH1137">
        <v>86.699394441432503</v>
      </c>
      <c r="AI1137">
        <v>90.317000144288599</v>
      </c>
      <c r="AJ1137">
        <v>109.876771858569</v>
      </c>
      <c r="AK1137">
        <v>92.193024795084597</v>
      </c>
      <c r="AL1137">
        <v>68.260803332317593</v>
      </c>
      <c r="AM1137">
        <v>88.597413926959405</v>
      </c>
      <c r="AN1137">
        <v>0.99999999884391499</v>
      </c>
    </row>
    <row r="1138" spans="1:40" x14ac:dyDescent="0.25">
      <c r="A1138" t="str">
        <f>"20190304164618065"</f>
        <v>20190304164618065</v>
      </c>
      <c r="B1138" t="str">
        <f>"1551689178059384"</f>
        <v>1551689178059384</v>
      </c>
      <c r="C1138" t="s">
        <v>40</v>
      </c>
      <c r="D1138">
        <v>4.5653329999999999</v>
      </c>
      <c r="E1138">
        <v>0.54977519999999902</v>
      </c>
      <c r="F1138" t="s">
        <v>45</v>
      </c>
      <c r="G1138">
        <v>-188.68960000000001</v>
      </c>
      <c r="H1138" s="1">
        <v>3.0815169999999999E-6</v>
      </c>
      <c r="I1138">
        <v>290.58089999999999</v>
      </c>
      <c r="J1138">
        <v>-191.92859999999999</v>
      </c>
      <c r="K1138">
        <v>1.110857</v>
      </c>
      <c r="L1138">
        <v>318.12279999999998</v>
      </c>
      <c r="M1138">
        <v>3.836788E-2</v>
      </c>
      <c r="N1138">
        <v>-1.386946E-2</v>
      </c>
      <c r="O1138">
        <v>-0.99916740000000004</v>
      </c>
      <c r="P1138">
        <v>1.0113530000000001E-2</v>
      </c>
      <c r="Q1138">
        <v>0.35720109999999999</v>
      </c>
      <c r="R1138">
        <v>-0.93397249999999998</v>
      </c>
      <c r="S1138">
        <v>0.3804321</v>
      </c>
      <c r="T1138">
        <v>-0.13007079999999999</v>
      </c>
      <c r="U1138">
        <v>-3.2568359999999998</v>
      </c>
      <c r="V1138">
        <v>2.6009500000000001E-2</v>
      </c>
      <c r="W1138">
        <v>0.37009710000000001</v>
      </c>
      <c r="X1138">
        <v>0.92862889999999998</v>
      </c>
      <c r="Y1138">
        <v>-7.7756080000000005E-2</v>
      </c>
      <c r="Z1138">
        <v>2.5835529999999999E-2</v>
      </c>
      <c r="AA1138">
        <v>0.99663760000000001</v>
      </c>
      <c r="AB1138">
        <v>25</v>
      </c>
      <c r="AC1138">
        <v>3.2389999999999701</v>
      </c>
      <c r="AD1138">
        <v>-1.110853918483</v>
      </c>
      <c r="AE1138">
        <v>-27.541899999999998</v>
      </c>
      <c r="AF1138">
        <v>-2.1762965764712598</v>
      </c>
      <c r="AG1138">
        <v>-1.110853918483</v>
      </c>
      <c r="AH1138">
        <v>27.601613076266599</v>
      </c>
      <c r="AI1138">
        <v>92.297557911951401</v>
      </c>
      <c r="AJ1138">
        <v>94.508257234891303</v>
      </c>
      <c r="AK1138">
        <v>27.709552642164802</v>
      </c>
      <c r="AL1138">
        <v>68.278394087393295</v>
      </c>
      <c r="AM1138">
        <v>88.395650753296593</v>
      </c>
      <c r="AN1138">
        <v>0.99999999571693499</v>
      </c>
    </row>
    <row r="1139" spans="1:40" x14ac:dyDescent="0.25">
      <c r="A1139" t="str">
        <f>"20190304164618086"</f>
        <v>20190304164618086</v>
      </c>
      <c r="B1139" t="str">
        <f>"1551689178078904"</f>
        <v>1551689178078904</v>
      </c>
      <c r="C1139" t="s">
        <v>40</v>
      </c>
      <c r="D1139">
        <v>4.7229179999999999</v>
      </c>
      <c r="E1139">
        <v>0.55543830000000005</v>
      </c>
      <c r="F1139" t="s">
        <v>41</v>
      </c>
      <c r="G1139">
        <v>-192.00299999999999</v>
      </c>
      <c r="H1139">
        <v>1.044028</v>
      </c>
      <c r="I1139">
        <v>317.27820000000003</v>
      </c>
      <c r="J1139">
        <v>-191.91980000000001</v>
      </c>
      <c r="K1139">
        <v>1.110832</v>
      </c>
      <c r="L1139">
        <v>317.8811</v>
      </c>
      <c r="M1139">
        <v>3.7927379999999997E-2</v>
      </c>
      <c r="N1139">
        <v>-1.38671E-2</v>
      </c>
      <c r="O1139">
        <v>-0.99918439999999997</v>
      </c>
      <c r="P1139">
        <v>7.1416559999999997E-3</v>
      </c>
      <c r="Q1139">
        <v>0.35692849999999998</v>
      </c>
      <c r="R1139">
        <v>-0.93410470000000001</v>
      </c>
      <c r="S1139">
        <v>-0.29174800000000001</v>
      </c>
      <c r="T1139">
        <v>-0.262412799999999</v>
      </c>
      <c r="U1139">
        <v>-3.3156129999999999</v>
      </c>
      <c r="V1139">
        <v>2.859161E-2</v>
      </c>
      <c r="W1139">
        <v>0.36981930000000002</v>
      </c>
      <c r="X1139">
        <v>0.92866369999999998</v>
      </c>
      <c r="Y1139">
        <v>0.1251121</v>
      </c>
      <c r="Z1139">
        <v>6.4497680000000002E-2</v>
      </c>
      <c r="AA1139">
        <v>0.99004389999999998</v>
      </c>
      <c r="AB1139">
        <v>25</v>
      </c>
      <c r="AC1139">
        <v>-8.3199999999976598E-2</v>
      </c>
      <c r="AD1139">
        <v>-6.6804000000000002E-2</v>
      </c>
      <c r="AE1139">
        <v>-0.60289999999997601</v>
      </c>
      <c r="AF1139">
        <v>0.104746731843082</v>
      </c>
      <c r="AG1139">
        <v>-6.6804000000000002E-2</v>
      </c>
      <c r="AH1139">
        <v>0.59217562893100995</v>
      </c>
      <c r="AI1139">
        <v>96.338808086173302</v>
      </c>
      <c r="AJ1139">
        <v>79.969018746152202</v>
      </c>
      <c r="AK1139">
        <v>0.60506745718774502</v>
      </c>
      <c r="AL1139">
        <v>68.295527232135996</v>
      </c>
      <c r="AM1139">
        <v>88.236540020341295</v>
      </c>
      <c r="AN1139">
        <v>1.00000003125628</v>
      </c>
    </row>
    <row r="1140" spans="1:40" x14ac:dyDescent="0.25">
      <c r="A1140" t="str">
        <f>"20190304164618108"</f>
        <v>20190304164618108</v>
      </c>
      <c r="B1140" t="str">
        <f>"1551689178099400"</f>
        <v>1551689178099400</v>
      </c>
      <c r="C1140" t="s">
        <v>40</v>
      </c>
      <c r="D1140">
        <v>4.6333500000000001</v>
      </c>
      <c r="E1140">
        <v>0.55731560000000002</v>
      </c>
      <c r="F1140" t="s">
        <v>41</v>
      </c>
      <c r="G1140">
        <v>-192.00110000000001</v>
      </c>
      <c r="H1140">
        <v>1.0154860000000001</v>
      </c>
      <c r="I1140">
        <v>317.07080000000002</v>
      </c>
      <c r="J1140">
        <v>-191.91130000000001</v>
      </c>
      <c r="K1140">
        <v>1.1108070000000001</v>
      </c>
      <c r="L1140">
        <v>317.64159999999998</v>
      </c>
      <c r="M1140">
        <v>3.745428E-2</v>
      </c>
      <c r="N1140">
        <v>-1.386473E-2</v>
      </c>
      <c r="O1140">
        <v>-0.99920249999999999</v>
      </c>
      <c r="P1140">
        <v>4.4129859999999998E-3</v>
      </c>
      <c r="Q1140">
        <v>0.3563384</v>
      </c>
      <c r="R1140">
        <v>-0.93434689999999998</v>
      </c>
      <c r="S1140">
        <v>-0.3368835</v>
      </c>
      <c r="T1140">
        <v>-0.39631460000000002</v>
      </c>
      <c r="U1140">
        <v>-3.365631</v>
      </c>
      <c r="V1140">
        <v>3.0906489999999998E-2</v>
      </c>
      <c r="W1140">
        <v>0.36922509999999997</v>
      </c>
      <c r="X1140">
        <v>0.92882589999999998</v>
      </c>
      <c r="Y1140">
        <v>0.13615279999999999</v>
      </c>
      <c r="Z1140">
        <v>0.1021849</v>
      </c>
      <c r="AA1140">
        <v>0.98540380000000005</v>
      </c>
      <c r="AB1140">
        <v>25</v>
      </c>
      <c r="AC1140">
        <v>-8.9799999999996702E-2</v>
      </c>
      <c r="AD1140">
        <v>-9.5320999999999698E-2</v>
      </c>
      <c r="AE1140">
        <v>-0.570799999999962</v>
      </c>
      <c r="AF1140">
        <v>0.108174088916864</v>
      </c>
      <c r="AG1140">
        <v>-9.5320999999999698E-2</v>
      </c>
      <c r="AH1140">
        <v>0.552013256287332</v>
      </c>
      <c r="AI1140">
        <v>99.617738124915704</v>
      </c>
      <c r="AJ1140">
        <v>78.912654474156696</v>
      </c>
      <c r="AK1140">
        <v>0.57053164826408798</v>
      </c>
      <c r="AL1140">
        <v>68.332164160267396</v>
      </c>
      <c r="AM1140">
        <v>88.094197937517706</v>
      </c>
      <c r="AN1140">
        <v>0.99999996905246902</v>
      </c>
    </row>
    <row r="1141" spans="1:40" x14ac:dyDescent="0.25">
      <c r="A1141" t="str">
        <f>"20190304164618129"</f>
        <v>20190304164618129</v>
      </c>
      <c r="B1141" t="str">
        <f>"1551689178118920"</f>
        <v>1551689178118920</v>
      </c>
      <c r="C1141" t="s">
        <v>40</v>
      </c>
      <c r="D1141">
        <v>4.6319460000000001</v>
      </c>
      <c r="E1141">
        <v>0.55799409999999905</v>
      </c>
      <c r="F1141" t="s">
        <v>41</v>
      </c>
      <c r="G1141">
        <v>-191.9948</v>
      </c>
      <c r="H1141">
        <v>1.0084219999999999</v>
      </c>
      <c r="I1141">
        <v>316.8519</v>
      </c>
      <c r="J1141">
        <v>-191.90270000000001</v>
      </c>
      <c r="K1141">
        <v>1.1107689999999999</v>
      </c>
      <c r="L1141">
        <v>317.39769999999999</v>
      </c>
      <c r="M1141">
        <v>3.6931949999999998E-2</v>
      </c>
      <c r="N1141">
        <v>-1.386242E-2</v>
      </c>
      <c r="O1141">
        <v>-0.9992219</v>
      </c>
      <c r="P1141">
        <v>2.0868710000000001E-3</v>
      </c>
      <c r="Q1141">
        <v>0.35593229999999998</v>
      </c>
      <c r="R1141">
        <v>-0.93450979999999995</v>
      </c>
      <c r="S1141">
        <v>-0.3572998</v>
      </c>
      <c r="T1141">
        <v>-0.43824540000000001</v>
      </c>
      <c r="U1141">
        <v>-3.3796689999999998</v>
      </c>
      <c r="V1141">
        <v>3.2774589999999999E-2</v>
      </c>
      <c r="W1141">
        <v>0.36881429999999998</v>
      </c>
      <c r="X1141">
        <v>0.92892509999999995</v>
      </c>
      <c r="Y1141">
        <v>0.1409705</v>
      </c>
      <c r="Z1141">
        <v>0.1136842</v>
      </c>
      <c r="AA1141">
        <v>0.98346489999999998</v>
      </c>
      <c r="AB1141">
        <v>25</v>
      </c>
      <c r="AC1141">
        <v>-9.2099999999987803E-2</v>
      </c>
      <c r="AD1141">
        <v>-0.10234699999999999</v>
      </c>
      <c r="AE1141">
        <v>-0.54579999999998496</v>
      </c>
      <c r="AF1141">
        <v>0.108487439958156</v>
      </c>
      <c r="AG1141">
        <v>-0.10234699999999999</v>
      </c>
      <c r="AH1141">
        <v>0.52410698390352395</v>
      </c>
      <c r="AI1141">
        <v>100.825699318449</v>
      </c>
      <c r="AJ1141">
        <v>78.305230732406201</v>
      </c>
      <c r="AK1141">
        <v>0.54491518937732197</v>
      </c>
      <c r="AL1141">
        <v>68.357489366929101</v>
      </c>
      <c r="AM1141">
        <v>87.979312800731606</v>
      </c>
      <c r="AN1141">
        <v>1.00000000152208</v>
      </c>
    </row>
    <row r="1142" spans="1:40" x14ac:dyDescent="0.25">
      <c r="A1142" t="str">
        <f>"20190304164618151"</f>
        <v>20190304164618151</v>
      </c>
      <c r="B1142" t="str">
        <f>"1551689178139416"</f>
        <v>1551689178139416</v>
      </c>
      <c r="C1142" t="s">
        <v>40</v>
      </c>
      <c r="D1142">
        <v>4.4523390000000003</v>
      </c>
      <c r="E1142">
        <v>0.5588071</v>
      </c>
      <c r="F1142" t="s">
        <v>41</v>
      </c>
      <c r="G1142">
        <v>-191.98650000000001</v>
      </c>
      <c r="H1142">
        <v>1.0078579999999999</v>
      </c>
      <c r="I1142">
        <v>316.63010000000003</v>
      </c>
      <c r="J1142">
        <v>-191.8946</v>
      </c>
      <c r="K1142">
        <v>1.1107419999999999</v>
      </c>
      <c r="L1142">
        <v>317.16050000000001</v>
      </c>
      <c r="M1142">
        <v>3.6378939999999999E-2</v>
      </c>
      <c r="N1142">
        <v>-1.3860239999999999E-2</v>
      </c>
      <c r="O1142">
        <v>-0.99924199999999996</v>
      </c>
      <c r="P1142">
        <v>-5.8105120000000003E-4</v>
      </c>
      <c r="Q1142">
        <v>0.35563450000000002</v>
      </c>
      <c r="R1142">
        <v>-0.93462520000000004</v>
      </c>
      <c r="S1142">
        <v>-0.36851499999999998</v>
      </c>
      <c r="T1142">
        <v>-0.45375009999999999</v>
      </c>
      <c r="U1142">
        <v>-3.3839109999999999</v>
      </c>
      <c r="V1142">
        <v>3.4956760000000003E-2</v>
      </c>
      <c r="W1142">
        <v>0.36851070000000002</v>
      </c>
      <c r="X1142">
        <v>0.92896599999999996</v>
      </c>
      <c r="Y1142">
        <v>0.14345529999999901</v>
      </c>
      <c r="Z1142">
        <v>0.1179211</v>
      </c>
      <c r="AA1142">
        <v>0.98260639999999999</v>
      </c>
      <c r="AB1142">
        <v>25</v>
      </c>
      <c r="AC1142">
        <v>-9.1900000000009599E-2</v>
      </c>
      <c r="AD1142">
        <v>-0.102884</v>
      </c>
      <c r="AE1142">
        <v>-0.53039999999998599</v>
      </c>
      <c r="AF1142">
        <v>0.10721972621415</v>
      </c>
      <c r="AG1142">
        <v>-0.102884</v>
      </c>
      <c r="AH1142">
        <v>0.50814313132357802</v>
      </c>
      <c r="AI1142">
        <v>101.205683450161</v>
      </c>
      <c r="AJ1142">
        <v>78.085191495291994</v>
      </c>
      <c r="AK1142">
        <v>0.52942480963472904</v>
      </c>
      <c r="AL1142">
        <v>68.376201740185707</v>
      </c>
      <c r="AM1142">
        <v>87.844990817650796</v>
      </c>
      <c r="AN1142">
        <v>0.99999997012009301</v>
      </c>
    </row>
    <row r="1143" spans="1:40" x14ac:dyDescent="0.25">
      <c r="A1143" t="str">
        <f>"20190304164618173"</f>
        <v>20190304164618173</v>
      </c>
      <c r="B1143" t="str">
        <f>"1551689178168696"</f>
        <v>1551689178168696</v>
      </c>
      <c r="C1143" t="s">
        <v>40</v>
      </c>
      <c r="D1143">
        <v>4.6397199999999996</v>
      </c>
      <c r="E1143">
        <v>0.55951549999999906</v>
      </c>
      <c r="F1143" t="s">
        <v>41</v>
      </c>
      <c r="G1143">
        <v>-191.98079999999999</v>
      </c>
      <c r="H1143">
        <v>1.014122</v>
      </c>
      <c r="I1143">
        <v>316.4051</v>
      </c>
      <c r="J1143">
        <v>-191.8862</v>
      </c>
      <c r="K1143">
        <v>1.1107070000000001</v>
      </c>
      <c r="L1143">
        <v>316.91199999999998</v>
      </c>
      <c r="M1143">
        <v>3.5747029999999999E-2</v>
      </c>
      <c r="N1143">
        <v>-1.385782E-2</v>
      </c>
      <c r="O1143">
        <v>-0.99926499999999996</v>
      </c>
      <c r="P1143">
        <v>-3.1762019999999999E-3</v>
      </c>
      <c r="Q1143">
        <v>0.35600579999999998</v>
      </c>
      <c r="R1143">
        <v>-0.93447860000000005</v>
      </c>
      <c r="S1143">
        <v>-0.3847351</v>
      </c>
      <c r="T1143">
        <v>-0.43162509999999998</v>
      </c>
      <c r="U1143">
        <v>-3.37384</v>
      </c>
      <c r="V1143">
        <v>3.6988420000000001E-2</v>
      </c>
      <c r="W1143">
        <v>0.36887110000000001</v>
      </c>
      <c r="X1143">
        <v>0.92874429999999997</v>
      </c>
      <c r="Y1143">
        <v>0.14789050000000001</v>
      </c>
      <c r="Z1143">
        <v>0.1118918</v>
      </c>
      <c r="AA1143">
        <v>0.98265389999999997</v>
      </c>
      <c r="AB1143">
        <v>25</v>
      </c>
      <c r="AC1143">
        <v>-9.4599999999985501E-2</v>
      </c>
      <c r="AD1143">
        <v>-9.6584999999999893E-2</v>
      </c>
      <c r="AE1143">
        <v>-0.50690000000002999</v>
      </c>
      <c r="AF1143">
        <v>0.108842815765476</v>
      </c>
      <c r="AG1143">
        <v>-9.6584999999999893E-2</v>
      </c>
      <c r="AH1143">
        <v>0.48613840033325501</v>
      </c>
      <c r="AI1143">
        <v>100.972268061973</v>
      </c>
      <c r="AJ1143">
        <v>77.380019967196802</v>
      </c>
      <c r="AK1143">
        <v>0.50745045575635594</v>
      </c>
      <c r="AL1143">
        <v>68.353988136926105</v>
      </c>
      <c r="AM1143">
        <v>87.719328198199307</v>
      </c>
      <c r="AN1143">
        <v>1.00000000320589</v>
      </c>
    </row>
    <row r="1144" spans="1:40" x14ac:dyDescent="0.25">
      <c r="A1144" t="str">
        <f>"20190304164618197"</f>
        <v>20190304164618197</v>
      </c>
      <c r="B1144" t="str">
        <f>"1551689178189192"</f>
        <v>1551689178189192</v>
      </c>
      <c r="C1144" t="s">
        <v>40</v>
      </c>
      <c r="D1144">
        <v>4.6537119999999996</v>
      </c>
      <c r="E1144">
        <v>0.55913619999999997</v>
      </c>
      <c r="F1144" t="s">
        <v>41</v>
      </c>
      <c r="G1144">
        <v>-191.97309999999999</v>
      </c>
      <c r="H1144">
        <v>1.0205959999999901</v>
      </c>
      <c r="I1144">
        <v>316.18040000000002</v>
      </c>
      <c r="J1144">
        <v>-191.87790000000001</v>
      </c>
      <c r="K1144">
        <v>1.1106609999999999</v>
      </c>
      <c r="L1144">
        <v>316.65690000000001</v>
      </c>
      <c r="M1144">
        <v>3.5027620000000002E-2</v>
      </c>
      <c r="N1144">
        <v>-1.385573E-2</v>
      </c>
      <c r="O1144">
        <v>-0.99929020000000002</v>
      </c>
      <c r="P1144">
        <v>-5.7328609999999997E-3</v>
      </c>
      <c r="Q1144">
        <v>0.3558229</v>
      </c>
      <c r="R1144">
        <v>-0.93453580000000003</v>
      </c>
      <c r="S1144">
        <v>-0.39886470000000002</v>
      </c>
      <c r="T1144">
        <v>-0.41489959999999998</v>
      </c>
      <c r="U1144">
        <v>-3.3670960000000001</v>
      </c>
      <c r="V1144">
        <v>3.8911059999999997E-2</v>
      </c>
      <c r="W1144">
        <v>0.36868050000000002</v>
      </c>
      <c r="X1144">
        <v>0.9287415</v>
      </c>
      <c r="Y1144">
        <v>0.1515292</v>
      </c>
      <c r="Z1144">
        <v>0.1072685</v>
      </c>
      <c r="AA1144">
        <v>0.98261509999999996</v>
      </c>
      <c r="AB1144">
        <v>25</v>
      </c>
      <c r="AC1144">
        <v>-9.5199999999976997E-2</v>
      </c>
      <c r="AD1144">
        <v>-9.00650000000002E-2</v>
      </c>
      <c r="AE1144">
        <v>-0.47649999999998699</v>
      </c>
      <c r="AF1144">
        <v>0.10811940807217001</v>
      </c>
      <c r="AG1144">
        <v>-9.00650000000002E-2</v>
      </c>
      <c r="AH1144">
        <v>0.457166696084159</v>
      </c>
      <c r="AI1144">
        <v>100.852957693137</v>
      </c>
      <c r="AJ1144">
        <v>76.694091427534005</v>
      </c>
      <c r="AK1144">
        <v>0.47833345966530799</v>
      </c>
      <c r="AL1144">
        <v>68.365738469544297</v>
      </c>
      <c r="AM1144">
        <v>87.600907867012296</v>
      </c>
      <c r="AN1144">
        <v>1.0000000777464</v>
      </c>
    </row>
    <row r="1145" spans="1:40" x14ac:dyDescent="0.25">
      <c r="A1145" t="str">
        <f>"20190304164618218"</f>
        <v>20190304164618218</v>
      </c>
      <c r="B1145" t="str">
        <f>"1551689178208712"</f>
        <v>1551689178208712</v>
      </c>
      <c r="C1145" t="s">
        <v>40</v>
      </c>
      <c r="D1145">
        <v>4.6533439999999997</v>
      </c>
      <c r="E1145">
        <v>0.55881990000000004</v>
      </c>
      <c r="F1145" t="s">
        <v>41</v>
      </c>
      <c r="G1145">
        <v>-191.98679999999999</v>
      </c>
      <c r="H1145">
        <v>0.99581629999999999</v>
      </c>
      <c r="I1145">
        <v>315.74860000000001</v>
      </c>
      <c r="J1145">
        <v>-191.87020000000001</v>
      </c>
      <c r="K1145">
        <v>1.1106180000000001</v>
      </c>
      <c r="L1145">
        <v>316.41250000000002</v>
      </c>
      <c r="M1145">
        <v>3.4272240000000002E-2</v>
      </c>
      <c r="N1145">
        <v>-1.3853799999999901E-2</v>
      </c>
      <c r="O1145">
        <v>-0.99931669999999995</v>
      </c>
      <c r="P1145">
        <v>-7.8176200000000008E-3</v>
      </c>
      <c r="Q1145">
        <v>0.3557767</v>
      </c>
      <c r="R1145">
        <v>-0.9345388</v>
      </c>
      <c r="S1145">
        <v>-0.40345760000000003</v>
      </c>
      <c r="T1145">
        <v>-0.42630430000000002</v>
      </c>
      <c r="U1145">
        <v>-3.3700260000000002</v>
      </c>
      <c r="V1145">
        <v>4.0326849999999997E-2</v>
      </c>
      <c r="W1145">
        <v>0.36862590000000001</v>
      </c>
      <c r="X1145">
        <v>0.92870269999999999</v>
      </c>
      <c r="Y1145">
        <v>0.1519576</v>
      </c>
      <c r="Z1145">
        <v>0.11043749999999999</v>
      </c>
      <c r="AA1145">
        <v>0.98219780000000001</v>
      </c>
      <c r="AB1145">
        <v>25</v>
      </c>
      <c r="AC1145">
        <v>-0.116599999999976</v>
      </c>
      <c r="AD1145">
        <v>-0.11480170000000001</v>
      </c>
      <c r="AE1145">
        <v>-0.66390000000001204</v>
      </c>
      <c r="AF1145">
        <v>0.135360647701499</v>
      </c>
      <c r="AG1145">
        <v>-0.11480170000000001</v>
      </c>
      <c r="AH1145">
        <v>0.64092236372630995</v>
      </c>
      <c r="AI1145">
        <v>99.940345572816597</v>
      </c>
      <c r="AJ1145">
        <v>78.074570353630094</v>
      </c>
      <c r="AK1145">
        <v>0.66504391704125798</v>
      </c>
      <c r="AL1145">
        <v>68.369102245084505</v>
      </c>
      <c r="AM1145">
        <v>87.513620093962203</v>
      </c>
      <c r="AN1145">
        <v>1.0000000069845101</v>
      </c>
    </row>
    <row r="1146" spans="1:40" x14ac:dyDescent="0.25">
      <c r="A1146" t="str">
        <f>"20190304164618240"</f>
        <v>20190304164618240</v>
      </c>
      <c r="B1146" t="str">
        <f>"1551689178229208"</f>
        <v>1551689178229208</v>
      </c>
      <c r="C1146" t="s">
        <v>40</v>
      </c>
      <c r="D1146">
        <v>4.6429309999999999</v>
      </c>
      <c r="E1146">
        <v>0.55847919999999995</v>
      </c>
      <c r="F1146" t="s">
        <v>41</v>
      </c>
      <c r="G1146">
        <v>-191.97730000000001</v>
      </c>
      <c r="H1146">
        <v>0.99630549999999996</v>
      </c>
      <c r="I1146">
        <v>315.52780000000001</v>
      </c>
      <c r="J1146">
        <v>-191.86279999999999</v>
      </c>
      <c r="K1146">
        <v>1.110576</v>
      </c>
      <c r="L1146">
        <v>316.16919999999999</v>
      </c>
      <c r="M1146">
        <v>3.3465139999999997E-2</v>
      </c>
      <c r="N1146">
        <v>-1.385174E-2</v>
      </c>
      <c r="O1146">
        <v>-0.99934400000000001</v>
      </c>
      <c r="P1146">
        <v>-9.7629429999999996E-3</v>
      </c>
      <c r="Q1146">
        <v>0.355985099999999</v>
      </c>
      <c r="R1146">
        <v>-0.93444110000000002</v>
      </c>
      <c r="S1146">
        <v>-0.40797420000000001</v>
      </c>
      <c r="T1146">
        <v>-0.43580639999999998</v>
      </c>
      <c r="U1146">
        <v>-3.3726500000000001</v>
      </c>
      <c r="V1146">
        <v>4.1548710000000003E-2</v>
      </c>
      <c r="W1146">
        <v>0.36882500000000001</v>
      </c>
      <c r="X1146">
        <v>0.9285698</v>
      </c>
      <c r="Y1146">
        <v>0.1523272</v>
      </c>
      <c r="Z1146">
        <v>0.1130637</v>
      </c>
      <c r="AA1146">
        <v>0.98184170000000004</v>
      </c>
      <c r="AB1146">
        <v>25</v>
      </c>
      <c r="AC1146">
        <v>-0.11450000000002</v>
      </c>
      <c r="AD1146">
        <v>-0.114270499999999</v>
      </c>
      <c r="AE1146">
        <v>-0.64139999999997599</v>
      </c>
      <c r="AF1146">
        <v>0.131846844340613</v>
      </c>
      <c r="AG1146">
        <v>-0.114270499999999</v>
      </c>
      <c r="AH1146">
        <v>0.61819293646777895</v>
      </c>
      <c r="AI1146">
        <v>100.247262910947</v>
      </c>
      <c r="AJ1146">
        <v>77.960466893620705</v>
      </c>
      <c r="AK1146">
        <v>0.64234246647056004</v>
      </c>
      <c r="AL1146">
        <v>68.356830330458294</v>
      </c>
      <c r="AM1146">
        <v>87.438018206116993</v>
      </c>
      <c r="AN1146">
        <v>1.0000000246998499</v>
      </c>
    </row>
    <row r="1147" spans="1:40" x14ac:dyDescent="0.25">
      <c r="A1147" t="str">
        <f>"20190304164618265"</f>
        <v>20190304164618265</v>
      </c>
      <c r="B1147" t="str">
        <f>"1551689178259464"</f>
        <v>1551689178259464</v>
      </c>
      <c r="C1147" t="s">
        <v>40</v>
      </c>
      <c r="D1147">
        <v>4.6356020000000004</v>
      </c>
      <c r="E1147">
        <v>0.55788149999999903</v>
      </c>
      <c r="F1147" t="s">
        <v>41</v>
      </c>
      <c r="G1147">
        <v>-191.96809999999999</v>
      </c>
      <c r="H1147">
        <v>0.99760260000000001</v>
      </c>
      <c r="I1147">
        <v>315.30689999999998</v>
      </c>
      <c r="J1147">
        <v>-191.85489999999999</v>
      </c>
      <c r="K1147">
        <v>1.1105389999999999</v>
      </c>
      <c r="L1147">
        <v>315.90230000000003</v>
      </c>
      <c r="M1147">
        <v>3.2513350000000003E-2</v>
      </c>
      <c r="N1147">
        <v>-1.3849469999999999E-2</v>
      </c>
      <c r="O1147">
        <v>-0.99937560000000003</v>
      </c>
      <c r="P1147">
        <v>-1.221598E-2</v>
      </c>
      <c r="Q1147">
        <v>0.35570350000000001</v>
      </c>
      <c r="R1147">
        <v>-0.93451949999999995</v>
      </c>
      <c r="S1147">
        <v>-0.41116330000000001</v>
      </c>
      <c r="T1147">
        <v>-0.4422584</v>
      </c>
      <c r="U1147">
        <v>-3.3746640000000001</v>
      </c>
      <c r="V1147">
        <v>4.3149170000000001E-2</v>
      </c>
      <c r="W1147">
        <v>0.3685351</v>
      </c>
      <c r="X1147">
        <v>0.92861190000000005</v>
      </c>
      <c r="Y1147">
        <v>0.15220410000000001</v>
      </c>
      <c r="Z1147">
        <v>0.11484129999999999</v>
      </c>
      <c r="AA1147">
        <v>0.98165440000000004</v>
      </c>
      <c r="AB1147">
        <v>25</v>
      </c>
      <c r="AC1147">
        <v>-0.113200000000006</v>
      </c>
      <c r="AD1147">
        <v>-0.11293639999999899</v>
      </c>
      <c r="AE1147">
        <v>-0.59540000000004001</v>
      </c>
      <c r="AF1147">
        <v>0.12805390669608299</v>
      </c>
      <c r="AG1147">
        <v>-0.11293639999999899</v>
      </c>
      <c r="AH1147">
        <v>0.57155757008494601</v>
      </c>
      <c r="AI1147">
        <v>100.913506408952</v>
      </c>
      <c r="AJ1147">
        <v>77.3717757083176</v>
      </c>
      <c r="AK1147">
        <v>0.59651528847674695</v>
      </c>
      <c r="AL1147">
        <v>68.374698917268503</v>
      </c>
      <c r="AM1147">
        <v>87.339590061589107</v>
      </c>
      <c r="AN1147">
        <v>1.0000000158126501</v>
      </c>
    </row>
    <row r="1148" spans="1:40" x14ac:dyDescent="0.25">
      <c r="A1148" t="str">
        <f>"20190304164618287"</f>
        <v>20190304164618287</v>
      </c>
      <c r="B1148" t="str">
        <f>"1551689178278984"</f>
        <v>1551689178278984</v>
      </c>
      <c r="C1148" t="s">
        <v>40</v>
      </c>
      <c r="D1148">
        <v>4.6202769999999997</v>
      </c>
      <c r="E1148">
        <v>0.55767929999999999</v>
      </c>
      <c r="F1148" t="s">
        <v>41</v>
      </c>
      <c r="G1148">
        <v>-191.95480000000001</v>
      </c>
      <c r="H1148">
        <v>1.0007870000000001</v>
      </c>
      <c r="I1148">
        <v>315.08539999999999</v>
      </c>
      <c r="J1148">
        <v>-191.84790000000001</v>
      </c>
      <c r="K1148">
        <v>1.110503</v>
      </c>
      <c r="L1148">
        <v>315.65260000000001</v>
      </c>
      <c r="M1148">
        <v>3.1555399999999997E-2</v>
      </c>
      <c r="N1148">
        <v>-1.384732E-2</v>
      </c>
      <c r="O1148">
        <v>-0.99940629999999997</v>
      </c>
      <c r="P1148">
        <v>-1.46231E-2</v>
      </c>
      <c r="Q1148">
        <v>0.35545939999999998</v>
      </c>
      <c r="R1148">
        <v>-0.93457789999999996</v>
      </c>
      <c r="S1148">
        <v>-0.41235349999999998</v>
      </c>
      <c r="T1148">
        <v>-0.4538276</v>
      </c>
      <c r="U1148">
        <v>-3.3775330000000001</v>
      </c>
      <c r="V1148">
        <v>4.4696100000000002E-2</v>
      </c>
      <c r="W1148">
        <v>0.36828319999999998</v>
      </c>
      <c r="X1148">
        <v>0.92863859999999998</v>
      </c>
      <c r="Y1148">
        <v>0.1514491</v>
      </c>
      <c r="Z1148">
        <v>0.11805739999999899</v>
      </c>
      <c r="AA1148">
        <v>0.98138959999999997</v>
      </c>
      <c r="AB1148">
        <v>25</v>
      </c>
      <c r="AC1148">
        <v>-0.106899999999996</v>
      </c>
      <c r="AD1148">
        <v>-0.10971599999999899</v>
      </c>
      <c r="AE1148">
        <v>-0.56720000000001303</v>
      </c>
      <c r="AF1148">
        <v>0.120396361096357</v>
      </c>
      <c r="AG1148">
        <v>-0.10971599999999899</v>
      </c>
      <c r="AH1148">
        <v>0.54389125552413897</v>
      </c>
      <c r="AI1148">
        <v>101.142153852852</v>
      </c>
      <c r="AJ1148">
        <v>77.518218257902106</v>
      </c>
      <c r="AK1148">
        <v>0.56775926435142299</v>
      </c>
      <c r="AL1148">
        <v>68.3902222535269</v>
      </c>
      <c r="AM1148">
        <v>87.244435958888801</v>
      </c>
      <c r="AN1148">
        <v>0.99999995308370304</v>
      </c>
    </row>
    <row r="1149" spans="1:40" x14ac:dyDescent="0.25">
      <c r="A1149" t="str">
        <f>"20190304164618309"</f>
        <v>20190304164618309</v>
      </c>
      <c r="B1149" t="str">
        <f>"1551689178299481"</f>
        <v>1551689178299481</v>
      </c>
      <c r="C1149" t="s">
        <v>40</v>
      </c>
      <c r="D1149">
        <v>4.5865999999999998</v>
      </c>
      <c r="E1149">
        <v>0.55750200000000005</v>
      </c>
      <c r="F1149" t="s">
        <v>41</v>
      </c>
      <c r="G1149">
        <v>-191.94560000000001</v>
      </c>
      <c r="H1149">
        <v>1.0032219999999901</v>
      </c>
      <c r="I1149">
        <v>314.86430000000001</v>
      </c>
      <c r="J1149">
        <v>-191.84139999999999</v>
      </c>
      <c r="K1149">
        <v>1.1104609999999999</v>
      </c>
      <c r="L1149">
        <v>315.41320000000002</v>
      </c>
      <c r="M1149">
        <v>3.0574359999999998E-2</v>
      </c>
      <c r="N1149">
        <v>-1.384555E-2</v>
      </c>
      <c r="O1149">
        <v>-0.99943669999999996</v>
      </c>
      <c r="P1149">
        <v>-1.71287E-2</v>
      </c>
      <c r="Q1149">
        <v>0.3555102</v>
      </c>
      <c r="R1149">
        <v>-0.93451589999999995</v>
      </c>
      <c r="S1149">
        <v>-0.41790769999999999</v>
      </c>
      <c r="T1149">
        <v>-0.45993689999999998</v>
      </c>
      <c r="U1149">
        <v>-3.378387</v>
      </c>
      <c r="V1149">
        <v>4.6318249999999998E-2</v>
      </c>
      <c r="W1149">
        <v>0.36832359999999997</v>
      </c>
      <c r="X1149">
        <v>0.92854309999999995</v>
      </c>
      <c r="Y1149">
        <v>0.15201120000000001</v>
      </c>
      <c r="Z1149">
        <v>0.1197597</v>
      </c>
      <c r="AA1149">
        <v>0.98109639999999998</v>
      </c>
      <c r="AB1149">
        <v>25</v>
      </c>
      <c r="AC1149">
        <v>-0.10420000000002</v>
      </c>
      <c r="AD1149">
        <v>-0.107239</v>
      </c>
      <c r="AE1149">
        <v>-0.54890000000000305</v>
      </c>
      <c r="AF1149">
        <v>0.11663796820677599</v>
      </c>
      <c r="AG1149">
        <v>-0.107239</v>
      </c>
      <c r="AH1149">
        <v>0.52607548531570003</v>
      </c>
      <c r="AI1149">
        <v>101.255623068674</v>
      </c>
      <c r="AJ1149">
        <v>77.498978417218794</v>
      </c>
      <c r="AK1149">
        <v>0.54941790560424497</v>
      </c>
      <c r="AL1149">
        <v>68.387732907256904</v>
      </c>
      <c r="AM1149">
        <v>87.144298041252696</v>
      </c>
      <c r="AN1149">
        <v>0.99999997157881504</v>
      </c>
    </row>
    <row r="1150" spans="1:40" x14ac:dyDescent="0.25">
      <c r="A1150" t="str">
        <f>"20190304164618333"</f>
        <v>20190304164618333</v>
      </c>
      <c r="B1150" t="str">
        <f>"1551689178328762"</f>
        <v>1551689178328762</v>
      </c>
      <c r="C1150" t="s">
        <v>40</v>
      </c>
      <c r="D1150">
        <v>4.5206780000000002</v>
      </c>
      <c r="E1150">
        <v>0.55812510000000004</v>
      </c>
      <c r="F1150" t="s">
        <v>41</v>
      </c>
      <c r="G1150">
        <v>-191.9383</v>
      </c>
      <c r="H1150">
        <v>1.0050490000000001</v>
      </c>
      <c r="I1150">
        <v>314.64370000000002</v>
      </c>
      <c r="J1150">
        <v>-191.8349</v>
      </c>
      <c r="K1150">
        <v>1.110412</v>
      </c>
      <c r="L1150">
        <v>315.16019999999997</v>
      </c>
      <c r="M1150">
        <v>2.9471150000000002E-2</v>
      </c>
      <c r="N1150">
        <v>-1.384382E-2</v>
      </c>
      <c r="O1150">
        <v>-0.99946990000000002</v>
      </c>
      <c r="P1150">
        <v>-1.9922169999999999E-2</v>
      </c>
      <c r="Q1150">
        <v>0.355274599999999</v>
      </c>
      <c r="R1150">
        <v>-0.93454990000000004</v>
      </c>
      <c r="S1150">
        <v>-0.42492679999999999</v>
      </c>
      <c r="T1150">
        <v>-0.46285500000000002</v>
      </c>
      <c r="U1150">
        <v>-3.3785099999999999</v>
      </c>
      <c r="V1150">
        <v>4.8121820000000003E-2</v>
      </c>
      <c r="W1150">
        <v>0.36807839999999997</v>
      </c>
      <c r="X1150">
        <v>0.92854859999999995</v>
      </c>
      <c r="Y1150">
        <v>0.15290899999999999</v>
      </c>
      <c r="Z1150">
        <v>0.12057080000000001</v>
      </c>
      <c r="AA1150">
        <v>0.9808576</v>
      </c>
      <c r="AB1150">
        <v>25</v>
      </c>
      <c r="AC1150">
        <v>-0.103399999999993</v>
      </c>
      <c r="AD1150">
        <v>-0.105363</v>
      </c>
      <c r="AE1150">
        <v>-0.51649999999995</v>
      </c>
      <c r="AF1150">
        <v>0.114016566280325</v>
      </c>
      <c r="AG1150">
        <v>-0.105363</v>
      </c>
      <c r="AH1150">
        <v>0.49348365431085101</v>
      </c>
      <c r="AI1150">
        <v>101.751540486539</v>
      </c>
      <c r="AJ1150">
        <v>76.990422788883507</v>
      </c>
      <c r="AK1150">
        <v>0.51732703025006099</v>
      </c>
      <c r="AL1150">
        <v>68.402843147353295</v>
      </c>
      <c r="AM1150">
        <v>87.033313341515097</v>
      </c>
      <c r="AN1150">
        <v>0.99999996033431504</v>
      </c>
    </row>
    <row r="1151" spans="1:40" x14ac:dyDescent="0.25">
      <c r="A1151" t="str">
        <f>"20190304164618353"</f>
        <v>20190304164618353</v>
      </c>
      <c r="B1151" t="str">
        <f>"1551689178339496"</f>
        <v>1551689178339496</v>
      </c>
      <c r="C1151" t="s">
        <v>40</v>
      </c>
      <c r="D1151">
        <v>4.4934370000000001</v>
      </c>
      <c r="E1151">
        <v>0.55857290000000004</v>
      </c>
      <c r="F1151" t="s">
        <v>41</v>
      </c>
      <c r="G1151">
        <v>-191.9307</v>
      </c>
      <c r="H1151">
        <v>1.008543</v>
      </c>
      <c r="I1151">
        <v>314.42270000000002</v>
      </c>
      <c r="J1151">
        <v>-191.8295</v>
      </c>
      <c r="K1151">
        <v>1.1103730000000001</v>
      </c>
      <c r="L1151">
        <v>314.93849999999998</v>
      </c>
      <c r="M1151">
        <v>2.8447980000000001E-2</v>
      </c>
      <c r="N1151">
        <v>-1.384232E-2</v>
      </c>
      <c r="O1151">
        <v>-0.99949960000000004</v>
      </c>
      <c r="P1151">
        <v>-2.3319119999999999E-2</v>
      </c>
      <c r="Q1151">
        <v>0.35512359999999998</v>
      </c>
      <c r="R1151">
        <v>-0.93452880000000005</v>
      </c>
      <c r="S1151">
        <v>-0.43772889999999998</v>
      </c>
      <c r="T1151">
        <v>-0.46671590000000002</v>
      </c>
      <c r="U1151">
        <v>-3.3782350000000001</v>
      </c>
      <c r="V1151">
        <v>5.0597219999999998E-2</v>
      </c>
      <c r="W1151">
        <v>0.36791570000000001</v>
      </c>
      <c r="X1151">
        <v>0.92848149999999996</v>
      </c>
      <c r="Y1151">
        <v>0.15554370000000001</v>
      </c>
      <c r="Z1151">
        <v>0.12163119999999999</v>
      </c>
      <c r="AA1151">
        <v>0.98031219999999997</v>
      </c>
      <c r="AB1151">
        <v>25</v>
      </c>
      <c r="AC1151">
        <v>-0.10120000000000499</v>
      </c>
      <c r="AD1151">
        <v>-0.10183</v>
      </c>
      <c r="AE1151">
        <v>-0.51579999999995596</v>
      </c>
      <c r="AF1151">
        <v>0.11164385318065401</v>
      </c>
      <c r="AG1151">
        <v>-0.10183</v>
      </c>
      <c r="AH1151">
        <v>0.49416569436040297</v>
      </c>
      <c r="AI1151">
        <v>101.36494097884</v>
      </c>
      <c r="AJ1151">
        <v>77.269240297167499</v>
      </c>
      <c r="AK1151">
        <v>0.51675277680504395</v>
      </c>
      <c r="AL1151">
        <v>68.412868877334304</v>
      </c>
      <c r="AM1151">
        <v>86.880775142573597</v>
      </c>
      <c r="AN1151">
        <v>0.99999996841023298</v>
      </c>
    </row>
    <row r="1152" spans="1:40" x14ac:dyDescent="0.25">
      <c r="A1152" t="str">
        <f>"20190304164618375"</f>
        <v>20190304164618375</v>
      </c>
      <c r="B1152" t="str">
        <f>"1551689178368777"</f>
        <v>1551689178368777</v>
      </c>
      <c r="C1152" t="s">
        <v>40</v>
      </c>
      <c r="D1152">
        <v>4.4388120000000004</v>
      </c>
      <c r="E1152">
        <v>0.55981979999999998</v>
      </c>
      <c r="F1152" t="s">
        <v>41</v>
      </c>
      <c r="G1152">
        <v>-191.92769999999999</v>
      </c>
      <c r="H1152">
        <v>1.0085919999999999</v>
      </c>
      <c r="I1152">
        <v>314.20319999999998</v>
      </c>
      <c r="J1152">
        <v>-191.82380000000001</v>
      </c>
      <c r="K1152">
        <v>1.1103289999999999</v>
      </c>
      <c r="L1152">
        <v>314.68810000000002</v>
      </c>
      <c r="M1152">
        <v>2.7231430000000001E-2</v>
      </c>
      <c r="N1152">
        <v>-1.384051E-2</v>
      </c>
      <c r="O1152">
        <v>-0.99953340000000002</v>
      </c>
      <c r="P1152">
        <v>-2.689484E-2</v>
      </c>
      <c r="Q1152">
        <v>0.35554960000000002</v>
      </c>
      <c r="R1152">
        <v>-0.93427059999999995</v>
      </c>
      <c r="S1152">
        <v>-0.45082090000000002</v>
      </c>
      <c r="T1152">
        <v>-0.4674238</v>
      </c>
      <c r="U1152">
        <v>-3.3765869999999998</v>
      </c>
      <c r="V1152">
        <v>5.3067749999999997E-2</v>
      </c>
      <c r="W1152">
        <v>0.36832579999999998</v>
      </c>
      <c r="X1152">
        <v>0.92818100000000003</v>
      </c>
      <c r="Y1152">
        <v>0.15813189999999999</v>
      </c>
      <c r="Z1152">
        <v>0.12184499999999999</v>
      </c>
      <c r="AA1152">
        <v>0.97987150000000001</v>
      </c>
      <c r="AB1152">
        <v>25</v>
      </c>
      <c r="AC1152">
        <v>-0.10389999999998099</v>
      </c>
      <c r="AD1152">
        <v>-0.10173699999999999</v>
      </c>
      <c r="AE1152">
        <v>-0.48490000000003802</v>
      </c>
      <c r="AF1152">
        <v>0.112339117300691</v>
      </c>
      <c r="AG1152">
        <v>-0.10173699999999999</v>
      </c>
      <c r="AH1152">
        <v>0.46242786167359401</v>
      </c>
      <c r="AI1152">
        <v>102.067495546825</v>
      </c>
      <c r="AJ1152">
        <v>76.345461547633505</v>
      </c>
      <c r="AK1152">
        <v>0.48663129954505702</v>
      </c>
      <c r="AL1152">
        <v>68.3875985350261</v>
      </c>
      <c r="AM1152">
        <v>86.727737870548296</v>
      </c>
      <c r="AN1152">
        <v>1.00000002489835</v>
      </c>
    </row>
    <row r="1153" spans="1:40" x14ac:dyDescent="0.25">
      <c r="A1153" t="str">
        <f>"20190304164618398"</f>
        <v>20190304164618398</v>
      </c>
      <c r="B1153" t="str">
        <f>"1551689178389272"</f>
        <v>1551689178389272</v>
      </c>
      <c r="C1153" t="s">
        <v>40</v>
      </c>
      <c r="D1153">
        <v>4.4166100000000004</v>
      </c>
      <c r="E1153">
        <v>0.560519199999999</v>
      </c>
      <c r="F1153" t="s">
        <v>41</v>
      </c>
      <c r="G1153">
        <v>-191.95160000000001</v>
      </c>
      <c r="H1153">
        <v>0.98448559999999996</v>
      </c>
      <c r="I1153">
        <v>313.77550000000002</v>
      </c>
      <c r="J1153">
        <v>-191.8185</v>
      </c>
      <c r="K1153">
        <v>1.1102959999999999</v>
      </c>
      <c r="L1153">
        <v>314.44099999999997</v>
      </c>
      <c r="M1153">
        <v>2.5970690000000001E-2</v>
      </c>
      <c r="N1153">
        <v>-1.3838970000000001E-2</v>
      </c>
      <c r="O1153">
        <v>-0.99956719999999999</v>
      </c>
      <c r="P1153">
        <v>-3.0477480000000001E-2</v>
      </c>
      <c r="Q1153">
        <v>0.35554409999999997</v>
      </c>
      <c r="R1153">
        <v>-0.93416299999999997</v>
      </c>
      <c r="S1153">
        <v>-0.4724274</v>
      </c>
      <c r="T1153">
        <v>-0.46536480000000002</v>
      </c>
      <c r="U1153">
        <v>-3.374603</v>
      </c>
      <c r="V1153">
        <v>5.5501479999999999E-2</v>
      </c>
      <c r="W1153">
        <v>0.36830770000000002</v>
      </c>
      <c r="X1153">
        <v>0.92804580000000003</v>
      </c>
      <c r="Y1153">
        <v>0.16312449999999901</v>
      </c>
      <c r="Z1153">
        <v>0.1212309</v>
      </c>
      <c r="AA1153">
        <v>0.97912889999999997</v>
      </c>
      <c r="AB1153">
        <v>24</v>
      </c>
      <c r="AC1153">
        <v>-0.13310000000001301</v>
      </c>
      <c r="AD1153">
        <v>-0.12581039999999999</v>
      </c>
      <c r="AE1153">
        <v>-0.66549999999995102</v>
      </c>
      <c r="AF1153">
        <v>0.14534558707841799</v>
      </c>
      <c r="AG1153">
        <v>-0.12581039999999999</v>
      </c>
      <c r="AH1153">
        <v>0.63983129966382402</v>
      </c>
      <c r="AI1153">
        <v>100.854462002069</v>
      </c>
      <c r="AJ1153">
        <v>77.201747150010306</v>
      </c>
      <c r="AK1153">
        <v>0.66808509073382905</v>
      </c>
      <c r="AL1153">
        <v>68.388713248384505</v>
      </c>
      <c r="AM1153">
        <v>86.577520764988506</v>
      </c>
      <c r="AN1153">
        <v>0.99999999152955998</v>
      </c>
    </row>
    <row r="1154" spans="1:40" x14ac:dyDescent="0.25">
      <c r="A1154" t="str">
        <f>"20190304164618420"</f>
        <v>20190304164618420</v>
      </c>
      <c r="B1154" t="str">
        <f>"1551689178408796"</f>
        <v>1551689178408796</v>
      </c>
      <c r="C1154" t="s">
        <v>40</v>
      </c>
      <c r="D1154">
        <v>4.4779280000000004</v>
      </c>
      <c r="E1154">
        <v>0.56108019999999903</v>
      </c>
      <c r="F1154" t="s">
        <v>41</v>
      </c>
      <c r="G1154">
        <v>-191.9469</v>
      </c>
      <c r="H1154">
        <v>0.98813899999999999</v>
      </c>
      <c r="I1154">
        <v>313.55529999999999</v>
      </c>
      <c r="J1154">
        <v>-191.81360000000001</v>
      </c>
      <c r="K1154">
        <v>1.110263</v>
      </c>
      <c r="L1154">
        <v>314.19310000000002</v>
      </c>
      <c r="M1154">
        <v>2.466148E-2</v>
      </c>
      <c r="N1154">
        <v>-1.3837220000000001E-2</v>
      </c>
      <c r="O1154">
        <v>-0.9996003</v>
      </c>
      <c r="P1154">
        <v>-3.4538279999999998E-2</v>
      </c>
      <c r="Q1154">
        <v>0.35555170000000003</v>
      </c>
      <c r="R1154">
        <v>-0.93401840000000003</v>
      </c>
      <c r="S1154">
        <v>-0.48847960000000001</v>
      </c>
      <c r="T1154">
        <v>-0.46516180000000001</v>
      </c>
      <c r="U1154">
        <v>-3.372528</v>
      </c>
      <c r="V1154">
        <v>5.83597E-2</v>
      </c>
      <c r="W1154">
        <v>0.36830099999999999</v>
      </c>
      <c r="X1154">
        <v>0.92787310000000001</v>
      </c>
      <c r="Y1154">
        <v>0.1664795</v>
      </c>
      <c r="Z1154">
        <v>0.12118039999999899</v>
      </c>
      <c r="AA1154">
        <v>0.9785703</v>
      </c>
      <c r="AB1154">
        <v>24</v>
      </c>
      <c r="AC1154">
        <v>-0.13329999999999101</v>
      </c>
      <c r="AD1154">
        <v>-0.122124</v>
      </c>
      <c r="AE1154">
        <v>-0.63780000000002701</v>
      </c>
      <c r="AF1154">
        <v>0.14393380034256101</v>
      </c>
      <c r="AG1154">
        <v>-0.122124</v>
      </c>
      <c r="AH1154">
        <v>0.61279156263508205</v>
      </c>
      <c r="AI1154">
        <v>100.979627602164</v>
      </c>
      <c r="AJ1154">
        <v>76.7818478486233</v>
      </c>
      <c r="AK1154">
        <v>0.64120566863822803</v>
      </c>
      <c r="AL1154">
        <v>68.389126017166902</v>
      </c>
      <c r="AM1154">
        <v>86.401053437604403</v>
      </c>
      <c r="AN1154">
        <v>0.99999998544434998</v>
      </c>
    </row>
    <row r="1155" spans="1:40" x14ac:dyDescent="0.25">
      <c r="A1155" t="str">
        <f>"20190304164618441"</f>
        <v>20190304164618441</v>
      </c>
      <c r="B1155" t="str">
        <f>"1551689178439048"</f>
        <v>1551689178439048</v>
      </c>
      <c r="C1155" t="s">
        <v>40</v>
      </c>
      <c r="D1155">
        <v>4.4549469999999998</v>
      </c>
      <c r="E1155">
        <v>0.56183660000000002</v>
      </c>
      <c r="F1155" t="s">
        <v>41</v>
      </c>
      <c r="G1155">
        <v>-191.94239999999999</v>
      </c>
      <c r="H1155">
        <v>0.99177890000000002</v>
      </c>
      <c r="I1155">
        <v>313.33539999999999</v>
      </c>
      <c r="J1155">
        <v>-191.80930000000001</v>
      </c>
      <c r="K1155">
        <v>1.1102369999999999</v>
      </c>
      <c r="L1155">
        <v>313.9606</v>
      </c>
      <c r="M1155">
        <v>2.339716E-2</v>
      </c>
      <c r="N1155">
        <v>-1.383552E-2</v>
      </c>
      <c r="O1155">
        <v>-0.99963060000000004</v>
      </c>
      <c r="P1155">
        <v>-3.843394E-2</v>
      </c>
      <c r="Q1155">
        <v>0.35574600000000001</v>
      </c>
      <c r="R1155">
        <v>-0.93379219999999996</v>
      </c>
      <c r="S1155">
        <v>-0.50560000000000005</v>
      </c>
      <c r="T1155">
        <v>-0.46569490000000002</v>
      </c>
      <c r="U1155">
        <v>-3.3704830000000001</v>
      </c>
      <c r="V1155">
        <v>6.1086939999999999E-2</v>
      </c>
      <c r="W1155">
        <v>0.36848189999999997</v>
      </c>
      <c r="X1155">
        <v>0.9276257</v>
      </c>
      <c r="Y1155">
        <v>0.17017370000000001</v>
      </c>
      <c r="Z1155">
        <v>0.1213287</v>
      </c>
      <c r="AA1155">
        <v>0.97791629999999996</v>
      </c>
      <c r="AB1155">
        <v>24</v>
      </c>
      <c r="AC1155">
        <v>-0.13309999999998401</v>
      </c>
      <c r="AD1155">
        <v>-0.1184581</v>
      </c>
      <c r="AE1155">
        <v>-0.62520000000000597</v>
      </c>
      <c r="AF1155">
        <v>0.14278902421987499</v>
      </c>
      <c r="AG1155">
        <v>-0.1184581</v>
      </c>
      <c r="AH1155">
        <v>0.60126497864628603</v>
      </c>
      <c r="AI1155">
        <v>100.851046997859</v>
      </c>
      <c r="AJ1155">
        <v>76.640810625593502</v>
      </c>
      <c r="AK1155">
        <v>0.62923811187800205</v>
      </c>
      <c r="AL1155">
        <v>68.377977040545005</v>
      </c>
      <c r="AM1155">
        <v>86.232340752604202</v>
      </c>
      <c r="AN1155">
        <v>0.99999998208333096</v>
      </c>
    </row>
    <row r="1156" spans="1:40" x14ac:dyDescent="0.25">
      <c r="A1156" t="str">
        <f>"20190304164618466"</f>
        <v>20190304164618466</v>
      </c>
      <c r="B1156" t="str">
        <f>"1551689178459544"</f>
        <v>1551689178459544</v>
      </c>
      <c r="C1156" t="s">
        <v>40</v>
      </c>
      <c r="D1156">
        <v>4.7162600000000001</v>
      </c>
      <c r="E1156">
        <v>0.56203110000000001</v>
      </c>
      <c r="F1156" t="s">
        <v>41</v>
      </c>
      <c r="G1156">
        <v>-191.9408</v>
      </c>
      <c r="H1156">
        <v>0.99367169999999905</v>
      </c>
      <c r="I1156">
        <v>313.11649999999997</v>
      </c>
      <c r="J1156">
        <v>-191.8049</v>
      </c>
      <c r="K1156">
        <v>1.1102190000000001</v>
      </c>
      <c r="L1156">
        <v>313.69990000000001</v>
      </c>
      <c r="M1156">
        <v>2.1941680000000002E-2</v>
      </c>
      <c r="N1156">
        <v>-1.383347E-2</v>
      </c>
      <c r="O1156">
        <v>-0.99966370000000004</v>
      </c>
      <c r="P1156">
        <v>-4.275379E-2</v>
      </c>
      <c r="Q1156">
        <v>0.35507699999999998</v>
      </c>
      <c r="R1156">
        <v>-0.9338592</v>
      </c>
      <c r="S1156">
        <v>-0.52426149999999905</v>
      </c>
      <c r="T1156">
        <v>-0.46516970000000002</v>
      </c>
      <c r="U1156">
        <v>-3.3683169999999998</v>
      </c>
      <c r="V1156">
        <v>6.4064679999999999E-2</v>
      </c>
      <c r="W1156">
        <v>0.36780220000000002</v>
      </c>
      <c r="X1156">
        <v>0.92769460000000004</v>
      </c>
      <c r="Y1156">
        <v>0.17412349999999999</v>
      </c>
      <c r="Z1156">
        <v>0.1211706</v>
      </c>
      <c r="AA1156">
        <v>0.97724029999999995</v>
      </c>
      <c r="AB1156">
        <v>24</v>
      </c>
      <c r="AC1156">
        <v>-0.135899999999992</v>
      </c>
      <c r="AD1156">
        <v>-0.11654730000000001</v>
      </c>
      <c r="AE1156">
        <v>-0.58340000000004</v>
      </c>
      <c r="AF1156">
        <v>0.143246681433254</v>
      </c>
      <c r="AG1156">
        <v>-0.11654730000000001</v>
      </c>
      <c r="AH1156">
        <v>0.55911220568727305</v>
      </c>
      <c r="AI1156">
        <v>101.41614541256899</v>
      </c>
      <c r="AJ1156">
        <v>75.629704367623603</v>
      </c>
      <c r="AK1156">
        <v>0.58882029807694203</v>
      </c>
      <c r="AL1156">
        <v>68.419863173958504</v>
      </c>
      <c r="AM1156">
        <v>86.0495433161622</v>
      </c>
      <c r="AN1156">
        <v>1.00000000620875</v>
      </c>
    </row>
    <row r="1157" spans="1:40" x14ac:dyDescent="0.25">
      <c r="A1157" t="str">
        <f>"20190304164618488"</f>
        <v>20190304164618488</v>
      </c>
      <c r="B1157" t="str">
        <f>"1551689178479064"</f>
        <v>1551689178479064</v>
      </c>
      <c r="C1157" t="s">
        <v>40</v>
      </c>
      <c r="D1157">
        <v>4.4117620000000004</v>
      </c>
      <c r="E1157">
        <v>0.57268909999999995</v>
      </c>
      <c r="F1157" t="s">
        <v>41</v>
      </c>
      <c r="G1157">
        <v>-191.93369999999999</v>
      </c>
      <c r="H1157">
        <v>0.99848650000000005</v>
      </c>
      <c r="I1157">
        <v>312.89659999999998</v>
      </c>
      <c r="J1157">
        <v>-191.80109999999999</v>
      </c>
      <c r="K1157">
        <v>1.110206</v>
      </c>
      <c r="L1157">
        <v>313.4513</v>
      </c>
      <c r="M1157">
        <v>2.0520150000000001E-2</v>
      </c>
      <c r="N1157">
        <v>-1.383175E-2</v>
      </c>
      <c r="O1157">
        <v>-0.99969399999999997</v>
      </c>
      <c r="P1157">
        <v>-4.7321130000000003E-2</v>
      </c>
      <c r="Q1157">
        <v>0.35481550000000001</v>
      </c>
      <c r="R1157">
        <v>-0.93373819999999996</v>
      </c>
      <c r="S1157">
        <v>-0.53950500000000001</v>
      </c>
      <c r="T1157">
        <v>-0.46819759999999999</v>
      </c>
      <c r="U1157">
        <v>-3.3658139999999999</v>
      </c>
      <c r="V1157">
        <v>6.7318169999999997E-2</v>
      </c>
      <c r="W1157">
        <v>0.36752689999999999</v>
      </c>
      <c r="X1157">
        <v>0.92757330000000004</v>
      </c>
      <c r="Y1157">
        <v>0.1771297</v>
      </c>
      <c r="Z1157">
        <v>0.1220571</v>
      </c>
      <c r="AA1157">
        <v>0.97658959999999995</v>
      </c>
      <c r="AB1157">
        <v>24</v>
      </c>
      <c r="AC1157">
        <v>-0.132599999999996</v>
      </c>
      <c r="AD1157">
        <v>-0.1117195</v>
      </c>
      <c r="AE1157">
        <v>-0.55470000000002495</v>
      </c>
      <c r="AF1157">
        <v>0.13863603117464601</v>
      </c>
      <c r="AG1157">
        <v>-0.1117195</v>
      </c>
      <c r="AH1157">
        <v>0.53146875574090902</v>
      </c>
      <c r="AI1157">
        <v>101.49726436512699</v>
      </c>
      <c r="AJ1157">
        <v>75.379932712310307</v>
      </c>
      <c r="AK1157">
        <v>0.56049998585985505</v>
      </c>
      <c r="AL1157">
        <v>68.4368244048717</v>
      </c>
      <c r="AM1157">
        <v>85.849064885883294</v>
      </c>
      <c r="AN1157">
        <v>0.99999999255432404</v>
      </c>
    </row>
    <row r="1158" spans="1:40" x14ac:dyDescent="0.25">
      <c r="A1158" t="str">
        <f>"20190304164618511"</f>
        <v>20190304164618511</v>
      </c>
      <c r="B1158" t="str">
        <f>"1551689178499561"</f>
        <v>1551689178499561</v>
      </c>
      <c r="C1158" t="s">
        <v>40</v>
      </c>
      <c r="D1158">
        <v>4.4698180000000001</v>
      </c>
      <c r="E1158">
        <v>0.56914160000000003</v>
      </c>
      <c r="F1158" t="s">
        <v>41</v>
      </c>
      <c r="G1158">
        <v>-191.95320000000001</v>
      </c>
      <c r="H1158">
        <v>1.0204439999999999</v>
      </c>
      <c r="I1158">
        <v>312.66520000000003</v>
      </c>
      <c r="J1158">
        <v>-191.79769999999999</v>
      </c>
      <c r="K1158">
        <v>1.110185</v>
      </c>
      <c r="L1158">
        <v>313.20760000000001</v>
      </c>
      <c r="M1158">
        <v>1.9095560000000001E-2</v>
      </c>
      <c r="N1158">
        <v>-1.383003E-2</v>
      </c>
      <c r="O1158">
        <v>-0.99972220000000001</v>
      </c>
      <c r="P1158">
        <v>-5.1825679999999999E-2</v>
      </c>
      <c r="Q1158">
        <v>0.35416789999999998</v>
      </c>
      <c r="R1158">
        <v>-0.93374500000000005</v>
      </c>
      <c r="S1158">
        <v>-0.64233399999999996</v>
      </c>
      <c r="T1158">
        <v>-0.37976880000000002</v>
      </c>
      <c r="U1158">
        <v>-3.3246150000000001</v>
      </c>
      <c r="V1158">
        <v>7.0509160000000001E-2</v>
      </c>
      <c r="W1158">
        <v>0.36686730000000001</v>
      </c>
      <c r="X1158">
        <v>0.92759729999999996</v>
      </c>
      <c r="Y1158">
        <v>0.20733009999999999</v>
      </c>
      <c r="Z1158">
        <v>9.743425E-2</v>
      </c>
      <c r="AA1158">
        <v>0.97340680000000002</v>
      </c>
      <c r="AB1158">
        <v>24</v>
      </c>
      <c r="AC1158">
        <v>-0.15550000000001701</v>
      </c>
      <c r="AD1158">
        <v>-8.9740999999999793E-2</v>
      </c>
      <c r="AE1158">
        <v>-0.542399999999986</v>
      </c>
      <c r="AF1158">
        <v>0.16173883941547301</v>
      </c>
      <c r="AG1158">
        <v>-8.9740999999999793E-2</v>
      </c>
      <c r="AH1158">
        <v>0.52602549915845898</v>
      </c>
      <c r="AI1158">
        <v>99.261581076656796</v>
      </c>
      <c r="AJ1158">
        <v>72.908730392321601</v>
      </c>
      <c r="AK1158">
        <v>0.557598175231385</v>
      </c>
      <c r="AL1158">
        <v>68.477454163368705</v>
      </c>
      <c r="AM1158">
        <v>85.653153107241494</v>
      </c>
      <c r="AN1158">
        <v>0.99999995421024102</v>
      </c>
    </row>
    <row r="1159" spans="1:40" x14ac:dyDescent="0.25">
      <c r="A1159" t="str">
        <f>"20190304164618532"</f>
        <v>20190304164618532</v>
      </c>
      <c r="B1159" t="str">
        <f>"1551689178528841"</f>
        <v>1551689178528841</v>
      </c>
      <c r="C1159" t="s">
        <v>40</v>
      </c>
      <c r="D1159">
        <v>4.4853579999999997</v>
      </c>
      <c r="E1159">
        <v>0.5683684</v>
      </c>
      <c r="F1159" t="s">
        <v>41</v>
      </c>
      <c r="G1159">
        <v>-191.93620000000001</v>
      </c>
      <c r="H1159">
        <v>1.0027969999999999</v>
      </c>
      <c r="I1159">
        <v>312.45960000000002</v>
      </c>
      <c r="J1159">
        <v>-191.79490000000001</v>
      </c>
      <c r="K1159">
        <v>1.1101700000000001</v>
      </c>
      <c r="L1159">
        <v>312.98180000000002</v>
      </c>
      <c r="M1159">
        <v>1.7748340000000001E-2</v>
      </c>
      <c r="N1159">
        <v>-1.3828419999999999E-2</v>
      </c>
      <c r="O1159">
        <v>-0.9997471</v>
      </c>
      <c r="P1159">
        <v>-5.5928690000000003E-2</v>
      </c>
      <c r="Q1159">
        <v>0.35408869999999998</v>
      </c>
      <c r="R1159">
        <v>-0.93353799999999998</v>
      </c>
      <c r="S1159">
        <v>-0.6216583</v>
      </c>
      <c r="T1159">
        <v>-0.4826587</v>
      </c>
      <c r="U1159">
        <v>-3.3614199999999999</v>
      </c>
      <c r="V1159">
        <v>7.3367920000000003E-2</v>
      </c>
      <c r="W1159">
        <v>0.36677369999999998</v>
      </c>
      <c r="X1159">
        <v>0.92741260000000003</v>
      </c>
      <c r="Y1159">
        <v>0.1976232</v>
      </c>
      <c r="Z1159">
        <v>0.1258098</v>
      </c>
      <c r="AA1159">
        <v>0.97217120000000001</v>
      </c>
      <c r="AB1159">
        <v>24</v>
      </c>
      <c r="AC1159">
        <v>-0.14130000000000101</v>
      </c>
      <c r="AD1159">
        <v>-0.107373</v>
      </c>
      <c r="AE1159">
        <v>-0.522199999999998</v>
      </c>
      <c r="AF1159">
        <v>0.144840955882065</v>
      </c>
      <c r="AG1159">
        <v>-0.107373</v>
      </c>
      <c r="AH1159">
        <v>0.49991600903739702</v>
      </c>
      <c r="AI1159">
        <v>101.656469155764</v>
      </c>
      <c r="AJ1159">
        <v>73.8420810623645</v>
      </c>
      <c r="AK1159">
        <v>0.53143567787805701</v>
      </c>
      <c r="AL1159">
        <v>68.483219134482397</v>
      </c>
      <c r="AM1159">
        <v>85.476732289732297</v>
      </c>
      <c r="AN1159">
        <v>0.99999996466778696</v>
      </c>
    </row>
    <row r="1160" spans="1:40" x14ac:dyDescent="0.25">
      <c r="A1160" t="str">
        <f>"20190304164618557"</f>
        <v>20190304164618557</v>
      </c>
      <c r="B1160" t="str">
        <f>"1551689178549337"</f>
        <v>1551689178549337</v>
      </c>
      <c r="C1160" t="s">
        <v>40</v>
      </c>
      <c r="D1160">
        <v>4.4915139999999996</v>
      </c>
      <c r="E1160">
        <v>0.56840930000000001</v>
      </c>
      <c r="F1160" t="s">
        <v>41</v>
      </c>
      <c r="G1160">
        <v>-191.93340000000001</v>
      </c>
      <c r="H1160">
        <v>1.002353</v>
      </c>
      <c r="I1160">
        <v>312.24290000000002</v>
      </c>
      <c r="J1160">
        <v>-191.7921</v>
      </c>
      <c r="K1160">
        <v>1.110141</v>
      </c>
      <c r="L1160">
        <v>312.71800000000002</v>
      </c>
      <c r="M1160">
        <v>1.6137240000000001E-2</v>
      </c>
      <c r="N1160">
        <v>-1.3826359999999999E-2</v>
      </c>
      <c r="O1160">
        <v>-0.99977439999999995</v>
      </c>
      <c r="P1160">
        <v>-6.0149149999999998E-2</v>
      </c>
      <c r="Q1160">
        <v>0.35436040000000002</v>
      </c>
      <c r="R1160">
        <v>-0.93317280000000002</v>
      </c>
      <c r="S1160">
        <v>-0.62936400000000003</v>
      </c>
      <c r="T1160">
        <v>-0.49060179999999998</v>
      </c>
      <c r="U1160">
        <v>-3.3619690000000002</v>
      </c>
      <c r="V1160">
        <v>7.6099529999999999E-2</v>
      </c>
      <c r="W1160">
        <v>0.36702839999999998</v>
      </c>
      <c r="X1160">
        <v>0.92709169999999996</v>
      </c>
      <c r="Y1160">
        <v>0.19811380000000001</v>
      </c>
      <c r="Z1160">
        <v>0.12801509999999999</v>
      </c>
      <c r="AA1160">
        <v>0.97178350000000002</v>
      </c>
      <c r="AB1160">
        <v>24</v>
      </c>
      <c r="AC1160">
        <v>-0.14130000000000101</v>
      </c>
      <c r="AD1160">
        <v>-0.10778799999999999</v>
      </c>
      <c r="AE1160">
        <v>-0.47509999999999702</v>
      </c>
      <c r="AF1160">
        <v>0.142223511018441</v>
      </c>
      <c r="AG1160">
        <v>-0.10778799999999999</v>
      </c>
      <c r="AH1160">
        <v>0.451410903726499</v>
      </c>
      <c r="AI1160">
        <v>102.82994227074499</v>
      </c>
      <c r="AJ1160">
        <v>72.512215333255497</v>
      </c>
      <c r="AK1160">
        <v>0.485404557079543</v>
      </c>
      <c r="AL1160">
        <v>68.467532724631397</v>
      </c>
      <c r="AM1160">
        <v>85.307445203969394</v>
      </c>
      <c r="AN1160">
        <v>1.00000000254083</v>
      </c>
    </row>
    <row r="1161" spans="1:40" x14ac:dyDescent="0.25">
      <c r="A1161" t="str">
        <f>"20190304164618578"</f>
        <v>20190304164618578</v>
      </c>
      <c r="B1161" t="str">
        <f>"1551689178568857"</f>
        <v>1551689178568857</v>
      </c>
      <c r="C1161" t="s">
        <v>40</v>
      </c>
      <c r="D1161">
        <v>4.5110020000000004</v>
      </c>
      <c r="E1161">
        <v>0.56823579999999996</v>
      </c>
      <c r="F1161" t="s">
        <v>41</v>
      </c>
      <c r="G1161">
        <v>-191.965</v>
      </c>
      <c r="H1161">
        <v>0.97980699999999998</v>
      </c>
      <c r="I1161">
        <v>311.81900000000002</v>
      </c>
      <c r="J1161">
        <v>-191.79</v>
      </c>
      <c r="K1161">
        <v>1.1101219999999901</v>
      </c>
      <c r="L1161">
        <v>312.48039999999997</v>
      </c>
      <c r="M1161">
        <v>1.465055E-2</v>
      </c>
      <c r="N1161">
        <v>-1.3824680000000001E-2</v>
      </c>
      <c r="O1161">
        <v>-0.99979709999999999</v>
      </c>
      <c r="P1161">
        <v>-6.3657749999999999E-2</v>
      </c>
      <c r="Q1161">
        <v>0.35453959999999901</v>
      </c>
      <c r="R1161">
        <v>-0.93287160000000002</v>
      </c>
      <c r="S1161">
        <v>-0.64515690000000003</v>
      </c>
      <c r="T1161">
        <v>-0.48690250000000002</v>
      </c>
      <c r="U1161">
        <v>-3.3581850000000002</v>
      </c>
      <c r="V1161">
        <v>7.8234360000000003E-2</v>
      </c>
      <c r="W1161">
        <v>0.36719469999999998</v>
      </c>
      <c r="X1161">
        <v>0.92684809999999995</v>
      </c>
      <c r="Y1161">
        <v>0.2012873</v>
      </c>
      <c r="Z1161">
        <v>0.12702089999999999</v>
      </c>
      <c r="AA1161">
        <v>0.97126159999999995</v>
      </c>
      <c r="AB1161">
        <v>24</v>
      </c>
      <c r="AC1161">
        <v>-0.17500000000001101</v>
      </c>
      <c r="AD1161">
        <v>-0.13031499999999899</v>
      </c>
      <c r="AE1161">
        <v>-0.66139999999995702</v>
      </c>
      <c r="AF1161">
        <v>0.17820658812373499</v>
      </c>
      <c r="AG1161">
        <v>-0.13031499999999899</v>
      </c>
      <c r="AH1161">
        <v>0.63570134021251801</v>
      </c>
      <c r="AI1161">
        <v>101.165791680417</v>
      </c>
      <c r="AJ1161">
        <v>74.340185975898194</v>
      </c>
      <c r="AK1161">
        <v>0.67294560049360197</v>
      </c>
      <c r="AL1161">
        <v>68.457288729360798</v>
      </c>
      <c r="AM1161">
        <v>85.175155285905703</v>
      </c>
      <c r="AN1161">
        <v>0.99999998163315396</v>
      </c>
    </row>
    <row r="1162" spans="1:40" x14ac:dyDescent="0.25">
      <c r="A1162" t="str">
        <f>"20190304164618622"</f>
        <v>20190304164618622</v>
      </c>
      <c r="B1162" t="str">
        <f>"1551689178619095"</f>
        <v>1551689178619095</v>
      </c>
      <c r="C1162" t="s">
        <v>40</v>
      </c>
      <c r="D1162">
        <v>4.5664189999999998</v>
      </c>
      <c r="E1162">
        <v>0.56750429999999996</v>
      </c>
      <c r="F1162" t="s">
        <v>41</v>
      </c>
      <c r="G1162">
        <v>-191.96170000000001</v>
      </c>
      <c r="H1162">
        <v>0.98292840000000004</v>
      </c>
      <c r="I1162">
        <v>311.60160000000002</v>
      </c>
      <c r="J1162">
        <v>-191.78700000000001</v>
      </c>
      <c r="K1162">
        <v>1.1100939999999999</v>
      </c>
      <c r="L1162">
        <v>312.01</v>
      </c>
      <c r="M1162">
        <v>1.162534E-2</v>
      </c>
      <c r="N1162">
        <v>-1.382132E-2</v>
      </c>
      <c r="O1162">
        <v>-0.99983699999999998</v>
      </c>
      <c r="P1162">
        <v>-7.1153549999999996E-2</v>
      </c>
      <c r="Q1162">
        <v>0.35349540000000002</v>
      </c>
      <c r="R1162">
        <v>-0.93272639999999996</v>
      </c>
      <c r="S1162">
        <v>-0.65565490000000004</v>
      </c>
      <c r="T1162">
        <v>-0.48559629999999998</v>
      </c>
      <c r="U1162">
        <v>-3.3556819999999998</v>
      </c>
      <c r="V1162">
        <v>8.2930719999999999E-2</v>
      </c>
      <c r="W1162">
        <v>0.3661295</v>
      </c>
      <c r="X1162">
        <v>0.92686120000000005</v>
      </c>
      <c r="Y1162">
        <v>0.2013953</v>
      </c>
      <c r="Z1162">
        <v>0.12672459999999999</v>
      </c>
      <c r="AA1162">
        <v>0.97127799999999997</v>
      </c>
      <c r="AB1162">
        <v>24</v>
      </c>
      <c r="AC1162">
        <v>-0.17470000000000099</v>
      </c>
      <c r="AD1162">
        <v>-0.12716559999999999</v>
      </c>
      <c r="AE1162">
        <v>-0.40839999999997101</v>
      </c>
      <c r="AF1162">
        <v>0.16584425189686999</v>
      </c>
      <c r="AG1162">
        <v>-0.12716559999999999</v>
      </c>
      <c r="AH1162">
        <v>0.37556119489878598</v>
      </c>
      <c r="AI1162">
        <v>107.210116310563</v>
      </c>
      <c r="AJ1162">
        <v>66.174202822228494</v>
      </c>
      <c r="AK1162">
        <v>0.42979252765072201</v>
      </c>
      <c r="AL1162">
        <v>68.522889387727304</v>
      </c>
      <c r="AM1162">
        <v>84.887086828351499</v>
      </c>
      <c r="AN1162">
        <v>0.99999999957770402</v>
      </c>
    </row>
    <row r="1163" spans="1:40" x14ac:dyDescent="0.25">
      <c r="A1163" t="str">
        <f>"20190304164618643"</f>
        <v>20190304164618643</v>
      </c>
      <c r="B1163" t="str">
        <f>"1551689178639591"</f>
        <v>1551689178639591</v>
      </c>
      <c r="C1163" t="s">
        <v>40</v>
      </c>
      <c r="D1163">
        <v>4.569979</v>
      </c>
      <c r="E1163">
        <v>0.56723559999999995</v>
      </c>
      <c r="F1163" t="s">
        <v>41</v>
      </c>
      <c r="G1163">
        <v>-191.95650000000001</v>
      </c>
      <c r="H1163">
        <v>0.9863982</v>
      </c>
      <c r="I1163">
        <v>311.16879999999998</v>
      </c>
      <c r="J1163">
        <v>-191.7861</v>
      </c>
      <c r="K1163">
        <v>1.11008</v>
      </c>
      <c r="L1163">
        <v>311.78570000000002</v>
      </c>
      <c r="M1163">
        <v>1.0145090000000001E-2</v>
      </c>
      <c r="N1163">
        <v>-1.381959E-2</v>
      </c>
      <c r="O1163">
        <v>-0.99985310000000005</v>
      </c>
      <c r="P1163">
        <v>-7.4972380000000005E-2</v>
      </c>
      <c r="Q1163">
        <v>0.35322890000000001</v>
      </c>
      <c r="R1163">
        <v>-0.93252809999999997</v>
      </c>
      <c r="S1163">
        <v>-0.67472840000000001</v>
      </c>
      <c r="T1163">
        <v>-0.49298500000000001</v>
      </c>
      <c r="U1163">
        <v>-3.3517459999999999</v>
      </c>
      <c r="V1163">
        <v>8.5377789999999995E-2</v>
      </c>
      <c r="W1163">
        <v>0.3658517</v>
      </c>
      <c r="X1163">
        <v>0.92674869999999998</v>
      </c>
      <c r="Y1163">
        <v>0.20541470000000001</v>
      </c>
      <c r="Z1163">
        <v>0.12885260000000001</v>
      </c>
      <c r="AA1163">
        <v>0.97015549999999995</v>
      </c>
      <c r="AB1163">
        <v>24</v>
      </c>
      <c r="AC1163">
        <v>-0.1704</v>
      </c>
      <c r="AD1163">
        <v>-0.123681799999999</v>
      </c>
      <c r="AE1163">
        <v>-0.61690000000004297</v>
      </c>
      <c r="AF1163">
        <v>0.170290577384236</v>
      </c>
      <c r="AG1163">
        <v>-0.123681799999999</v>
      </c>
      <c r="AH1163">
        <v>0.59299314671218595</v>
      </c>
      <c r="AI1163">
        <v>101.33580651951399</v>
      </c>
      <c r="AJ1163">
        <v>73.977456669073007</v>
      </c>
      <c r="AK1163">
        <v>0.62923520280155698</v>
      </c>
      <c r="AL1163">
        <v>68.539992672088104</v>
      </c>
      <c r="AM1163">
        <v>84.736417926246602</v>
      </c>
      <c r="AN1163">
        <v>0.99999999318493205</v>
      </c>
    </row>
    <row r="1164" spans="1:40" x14ac:dyDescent="0.25">
      <c r="A1164" t="str">
        <f>"20190304164618668"</f>
        <v>20190304164618668</v>
      </c>
      <c r="B1164" t="str">
        <f>"1551689178659112"</f>
        <v>1551689178659112</v>
      </c>
      <c r="C1164" t="s">
        <v>40</v>
      </c>
      <c r="D1164">
        <v>4.5538550000000004</v>
      </c>
      <c r="E1164">
        <v>0.56705190000000005</v>
      </c>
      <c r="F1164" t="s">
        <v>41</v>
      </c>
      <c r="G1164">
        <v>-191.9563</v>
      </c>
      <c r="H1164">
        <v>0.98702670000000003</v>
      </c>
      <c r="I1164">
        <v>310.95319999999998</v>
      </c>
      <c r="J1164">
        <v>-191.78540000000001</v>
      </c>
      <c r="K1164">
        <v>1.110066</v>
      </c>
      <c r="L1164">
        <v>311.50940000000003</v>
      </c>
      <c r="M1164">
        <v>8.2879919999999992E-3</v>
      </c>
      <c r="N1164">
        <v>-1.381741E-2</v>
      </c>
      <c r="O1164">
        <v>-0.99987040000000005</v>
      </c>
      <c r="P1164">
        <v>-7.8933569999999995E-2</v>
      </c>
      <c r="Q1164">
        <v>0.35337289999999999</v>
      </c>
      <c r="R1164">
        <v>-0.93214699999999995</v>
      </c>
      <c r="S1164">
        <v>-0.6844635</v>
      </c>
      <c r="T1164">
        <v>-0.49524829999999997</v>
      </c>
      <c r="U1164">
        <v>-3.3496700000000001</v>
      </c>
      <c r="V1164">
        <v>8.7620089999999998E-2</v>
      </c>
      <c r="W1164">
        <v>0.36598039999999998</v>
      </c>
      <c r="X1164">
        <v>0.9264886</v>
      </c>
      <c r="Y1164">
        <v>0.20640230000000001</v>
      </c>
      <c r="Z1164">
        <v>0.12953310000000001</v>
      </c>
      <c r="AA1164">
        <v>0.96985520000000003</v>
      </c>
      <c r="AB1164">
        <v>24</v>
      </c>
      <c r="AC1164">
        <v>-0.17089999999998801</v>
      </c>
      <c r="AD1164">
        <v>-0.12303929999999901</v>
      </c>
      <c r="AE1164">
        <v>-0.55620000000004599</v>
      </c>
      <c r="AF1164">
        <v>0.167992693013924</v>
      </c>
      <c r="AG1164">
        <v>-0.12303929999999901</v>
      </c>
      <c r="AH1164">
        <v>0.53102020450372001</v>
      </c>
      <c r="AI1164">
        <v>102.45727390169399</v>
      </c>
      <c r="AJ1164">
        <v>72.444796207346499</v>
      </c>
      <c r="AK1164">
        <v>0.57038817645681705</v>
      </c>
      <c r="AL1164">
        <v>68.532070016620395</v>
      </c>
      <c r="AM1164">
        <v>84.5974788570079</v>
      </c>
      <c r="AN1164">
        <v>1.0000000296428599</v>
      </c>
    </row>
    <row r="1165" spans="1:40" x14ac:dyDescent="0.25">
      <c r="A1165" t="str">
        <f>"20190304164618689"</f>
        <v>20190304164618689</v>
      </c>
      <c r="B1165" t="str">
        <f>"1551689178679608"</f>
        <v>1551689178679608</v>
      </c>
      <c r="C1165" t="s">
        <v>40</v>
      </c>
      <c r="D1165">
        <v>4.586271</v>
      </c>
      <c r="E1165">
        <v>0.56690629999999997</v>
      </c>
      <c r="F1165" t="s">
        <v>41</v>
      </c>
      <c r="G1165">
        <v>-191.94640000000001</v>
      </c>
      <c r="H1165">
        <v>0.99526440000000005</v>
      </c>
      <c r="I1165">
        <v>310.73480000000001</v>
      </c>
      <c r="J1165">
        <v>-191.78530000000001</v>
      </c>
      <c r="K1165">
        <v>1.1100540000000001</v>
      </c>
      <c r="L1165">
        <v>311.28109999999998</v>
      </c>
      <c r="M1165">
        <v>6.7148549999999996E-3</v>
      </c>
      <c r="N1165">
        <v>-1.381577E-2</v>
      </c>
      <c r="O1165">
        <v>-0.9998821</v>
      </c>
      <c r="P1165">
        <v>-8.2645010000000005E-2</v>
      </c>
      <c r="Q1165">
        <v>0.3539564</v>
      </c>
      <c r="R1165">
        <v>-0.93160370000000003</v>
      </c>
      <c r="S1165">
        <v>-0.69555659999999997</v>
      </c>
      <c r="T1165">
        <v>-0.49604799999999899</v>
      </c>
      <c r="U1165">
        <v>-3.347534</v>
      </c>
      <c r="V1165">
        <v>8.9881150000000007E-2</v>
      </c>
      <c r="W1165">
        <v>0.36654569999999997</v>
      </c>
      <c r="X1165">
        <v>0.92604839999999999</v>
      </c>
      <c r="Y1165">
        <v>0.20805889999999999</v>
      </c>
      <c r="Z1165">
        <v>0.12978219999999999</v>
      </c>
      <c r="AA1165">
        <v>0.96946790000000005</v>
      </c>
      <c r="AB1165">
        <v>24</v>
      </c>
      <c r="AC1165">
        <v>-0.16110000000000399</v>
      </c>
      <c r="AD1165">
        <v>-0.11478960000000001</v>
      </c>
      <c r="AE1165">
        <v>-0.54629999999997303</v>
      </c>
      <c r="AF1165">
        <v>0.15833369834130201</v>
      </c>
      <c r="AG1165">
        <v>-0.11478960000000001</v>
      </c>
      <c r="AH1165">
        <v>0.52392456424482503</v>
      </c>
      <c r="AI1165">
        <v>101.844838791805</v>
      </c>
      <c r="AJ1165">
        <v>73.184812776619907</v>
      </c>
      <c r="AK1165">
        <v>0.55923444217762996</v>
      </c>
      <c r="AL1165">
        <v>68.497261396092497</v>
      </c>
      <c r="AM1165">
        <v>84.456304622979303</v>
      </c>
      <c r="AN1165">
        <v>1.0000000052281799</v>
      </c>
    </row>
    <row r="1166" spans="1:40" x14ac:dyDescent="0.25">
      <c r="A1166" t="str">
        <f>"20190304164618732"</f>
        <v>20190304164618732</v>
      </c>
      <c r="B1166" t="str">
        <f>"1551689178728913"</f>
        <v>1551689178728913</v>
      </c>
      <c r="C1166" t="s">
        <v>40</v>
      </c>
      <c r="D1166">
        <v>4.6075280000000003</v>
      </c>
      <c r="E1166">
        <v>0.56669550000000002</v>
      </c>
      <c r="F1166" t="s">
        <v>41</v>
      </c>
      <c r="G1166">
        <v>-191.94649999999999</v>
      </c>
      <c r="H1166">
        <v>0.99734650000000002</v>
      </c>
      <c r="I1166">
        <v>310.51900000000001</v>
      </c>
      <c r="J1166">
        <v>-191.78639999999999</v>
      </c>
      <c r="K1166">
        <v>1.1099909999999999</v>
      </c>
      <c r="L1166">
        <v>310.8184</v>
      </c>
      <c r="M1166">
        <v>3.3877569999999999E-3</v>
      </c>
      <c r="N1166">
        <v>-1.381318E-2</v>
      </c>
      <c r="O1166">
        <v>-0.99989910000000004</v>
      </c>
      <c r="P1166">
        <v>-9.169157E-2</v>
      </c>
      <c r="Q1166">
        <v>0.35360970000000003</v>
      </c>
      <c r="R1166">
        <v>-0.93088850000000001</v>
      </c>
      <c r="S1166">
        <v>-0.70617680000000005</v>
      </c>
      <c r="T1166">
        <v>-0.49492039999999998</v>
      </c>
      <c r="U1166">
        <v>-3.3456419999999998</v>
      </c>
      <c r="V1166">
        <v>9.5881519999999998E-2</v>
      </c>
      <c r="W1166">
        <v>0.36616009999999999</v>
      </c>
      <c r="X1166">
        <v>0.92559899999999995</v>
      </c>
      <c r="Y1166">
        <v>0.20787130000000001</v>
      </c>
      <c r="Z1166">
        <v>0.1295087</v>
      </c>
      <c r="AA1166">
        <v>0.96954479999999998</v>
      </c>
      <c r="AB1166">
        <v>24</v>
      </c>
      <c r="AC1166">
        <v>-0.16009999999999899</v>
      </c>
      <c r="AD1166">
        <v>-0.112644499999999</v>
      </c>
      <c r="AE1166">
        <v>-0.29939999999999101</v>
      </c>
      <c r="AF1166">
        <v>0.14513726450718301</v>
      </c>
      <c r="AG1166">
        <v>-0.112644499999999</v>
      </c>
      <c r="AH1166">
        <v>0.26922094100458499</v>
      </c>
      <c r="AI1166">
        <v>110.21869176746</v>
      </c>
      <c r="AJ1166">
        <v>61.670850926105501</v>
      </c>
      <c r="AK1166">
        <v>0.32593484625653701</v>
      </c>
      <c r="AL1166">
        <v>68.521005238350099</v>
      </c>
      <c r="AM1166">
        <v>84.085903203962204</v>
      </c>
      <c r="AN1166">
        <v>0.99999999675525997</v>
      </c>
    </row>
    <row r="1167" spans="1:40" x14ac:dyDescent="0.25">
      <c r="A1167" t="str">
        <f>"20190304164618755"</f>
        <v>20190304164618755</v>
      </c>
      <c r="B1167" t="str">
        <f>"1551689178749409"</f>
        <v>1551689178749409</v>
      </c>
      <c r="C1167" t="s">
        <v>40</v>
      </c>
      <c r="D1167">
        <v>4.7212509999999996</v>
      </c>
      <c r="E1167">
        <v>0.56758889999999995</v>
      </c>
      <c r="F1167" t="s">
        <v>41</v>
      </c>
      <c r="G1167">
        <v>-191.94649999999999</v>
      </c>
      <c r="H1167">
        <v>1.0014050000000001</v>
      </c>
      <c r="I1167">
        <v>310.0883</v>
      </c>
      <c r="J1167">
        <v>-191.7876</v>
      </c>
      <c r="K1167">
        <v>1.109964</v>
      </c>
      <c r="L1167">
        <v>310.57979999999998</v>
      </c>
      <c r="M1167">
        <v>1.59111E-3</v>
      </c>
      <c r="N1167">
        <v>-1.381224E-2</v>
      </c>
      <c r="O1167">
        <v>-0.99990369999999995</v>
      </c>
      <c r="P1167">
        <v>-9.5762070000000005E-2</v>
      </c>
      <c r="Q1167">
        <v>0.35350759999999998</v>
      </c>
      <c r="R1167">
        <v>-0.93051759999999994</v>
      </c>
      <c r="S1167">
        <v>-0.73088069999999905</v>
      </c>
      <c r="T1167">
        <v>-0.49681950000000002</v>
      </c>
      <c r="U1167">
        <v>-3.3395079999999999</v>
      </c>
      <c r="V1167">
        <v>9.8312860000000002E-2</v>
      </c>
      <c r="W1167">
        <v>0.36603849999999999</v>
      </c>
      <c r="X1167">
        <v>0.92539199999999999</v>
      </c>
      <c r="Y1167">
        <v>0.2133022</v>
      </c>
      <c r="Z1167">
        <v>0.1301118</v>
      </c>
      <c r="AA1167">
        <v>0.96828360000000002</v>
      </c>
      <c r="AB1167">
        <v>24</v>
      </c>
      <c r="AC1167">
        <v>-0.158899999999988</v>
      </c>
      <c r="AD1167">
        <v>-0.108559</v>
      </c>
      <c r="AE1167">
        <v>-0.49149999999997301</v>
      </c>
      <c r="AF1167">
        <v>0.15292735871007501</v>
      </c>
      <c r="AG1167">
        <v>-0.108559</v>
      </c>
      <c r="AH1167">
        <v>0.47046679679068698</v>
      </c>
      <c r="AI1167">
        <v>102.377091599118</v>
      </c>
      <c r="AJ1167">
        <v>71.993013110591804</v>
      </c>
      <c r="AK1167">
        <v>0.50646899254103395</v>
      </c>
      <c r="AL1167">
        <v>68.528491752863602</v>
      </c>
      <c r="AM1167">
        <v>83.935692244044503</v>
      </c>
      <c r="AN1167">
        <v>0.999999977793814</v>
      </c>
    </row>
    <row r="1168" spans="1:40" x14ac:dyDescent="0.25">
      <c r="A1168" t="str">
        <f>"20190304164618779"</f>
        <v>20190304164618779</v>
      </c>
      <c r="B1168" t="str">
        <f>"1551689178768930"</f>
        <v>1551689178768930</v>
      </c>
      <c r="C1168" t="s">
        <v>40</v>
      </c>
      <c r="D1168">
        <v>4.6351459999999998</v>
      </c>
      <c r="E1168">
        <v>0.56821429999999995</v>
      </c>
      <c r="F1168" t="s">
        <v>41</v>
      </c>
      <c r="G1168">
        <v>-191.9924</v>
      </c>
      <c r="H1168">
        <v>0.97394119999999995</v>
      </c>
      <c r="I1168">
        <v>309.67219999999998</v>
      </c>
      <c r="J1168">
        <v>-191.78960000000001</v>
      </c>
      <c r="K1168">
        <v>1.10992</v>
      </c>
      <c r="L1168">
        <v>310.31819999999999</v>
      </c>
      <c r="M1168">
        <v>-4.8125490000000001E-4</v>
      </c>
      <c r="N1168">
        <v>-1.381157E-2</v>
      </c>
      <c r="O1168">
        <v>-0.99990480000000004</v>
      </c>
      <c r="P1168">
        <v>-9.8978730000000001E-2</v>
      </c>
      <c r="Q1168">
        <v>0.35430040000000002</v>
      </c>
      <c r="R1168">
        <v>-0.92987929999999996</v>
      </c>
      <c r="S1168">
        <v>-0.75245669999999898</v>
      </c>
      <c r="T1168">
        <v>-0.50008710000000001</v>
      </c>
      <c r="U1168">
        <v>-3.3365170000000002</v>
      </c>
      <c r="V1168">
        <v>9.9650870000000003E-2</v>
      </c>
      <c r="W1168">
        <v>0.36680790000000002</v>
      </c>
      <c r="X1168">
        <v>0.92494419999999999</v>
      </c>
      <c r="Y1168">
        <v>0.21739269999999999</v>
      </c>
      <c r="Z1168">
        <v>0.13100319999999999</v>
      </c>
      <c r="AA1168">
        <v>0.96725309999999998</v>
      </c>
      <c r="AB1168">
        <v>24</v>
      </c>
      <c r="AC1168">
        <v>-0.20279999999999601</v>
      </c>
      <c r="AD1168">
        <v>-0.13597879999999901</v>
      </c>
      <c r="AE1168">
        <v>-0.64600000000001501</v>
      </c>
      <c r="AF1168">
        <v>0.19463876785225201</v>
      </c>
      <c r="AG1168">
        <v>-0.13597879999999901</v>
      </c>
      <c r="AH1168">
        <v>0.62104900894576798</v>
      </c>
      <c r="AI1168">
        <v>101.801037261107</v>
      </c>
      <c r="AJ1168">
        <v>72.598840226626805</v>
      </c>
      <c r="AK1168">
        <v>0.66488822783457602</v>
      </c>
      <c r="AL1168">
        <v>68.481114794260094</v>
      </c>
      <c r="AM1168">
        <v>83.850833432219503</v>
      </c>
      <c r="AN1168">
        <v>1.0000000522539001</v>
      </c>
    </row>
    <row r="1169" spans="1:40" x14ac:dyDescent="0.25">
      <c r="A1169" t="str">
        <f>"20190304164618800"</f>
        <v>20190304164618800</v>
      </c>
      <c r="B1169" t="str">
        <f>"1551689178789425"</f>
        <v>1551689178789425</v>
      </c>
      <c r="C1169" t="s">
        <v>40</v>
      </c>
      <c r="D1169">
        <v>4.6556800000000003</v>
      </c>
      <c r="E1169">
        <v>0.56885659999999905</v>
      </c>
      <c r="F1169" t="s">
        <v>41</v>
      </c>
      <c r="G1169">
        <v>-191.98920000000001</v>
      </c>
      <c r="H1169">
        <v>0.98012710000000003</v>
      </c>
      <c r="I1169">
        <v>309.45620000000002</v>
      </c>
      <c r="J1169">
        <v>-191.79179999999999</v>
      </c>
      <c r="K1169">
        <v>1.10988</v>
      </c>
      <c r="L1169">
        <v>310.10090000000002</v>
      </c>
      <c r="M1169">
        <v>-2.2764220000000002E-3</v>
      </c>
      <c r="N1169">
        <v>-1.381133E-2</v>
      </c>
      <c r="O1169">
        <v>-0.99990199999999996</v>
      </c>
      <c r="P1169">
        <v>-0.10222340000000001</v>
      </c>
      <c r="Q1169">
        <v>0.35546090000000002</v>
      </c>
      <c r="R1169">
        <v>-0.92908449999999998</v>
      </c>
      <c r="S1169">
        <v>-0.771347</v>
      </c>
      <c r="T1169">
        <v>-0.50228479999999998</v>
      </c>
      <c r="U1169">
        <v>-3.3355100000000002</v>
      </c>
      <c r="V1169">
        <v>0.10127419999999999</v>
      </c>
      <c r="W1169">
        <v>0.36794280000000001</v>
      </c>
      <c r="X1169">
        <v>0.9243169</v>
      </c>
      <c r="Y1169">
        <v>0.22088869999999999</v>
      </c>
      <c r="Z1169">
        <v>0.131524799999999</v>
      </c>
      <c r="AA1169">
        <v>0.96638990000000002</v>
      </c>
      <c r="AB1169">
        <v>24</v>
      </c>
      <c r="AC1169">
        <v>-0.19740000000001601</v>
      </c>
      <c r="AD1169">
        <v>-0.12975289999999901</v>
      </c>
      <c r="AE1169">
        <v>-0.64470000000000005</v>
      </c>
      <c r="AF1169">
        <v>0.188934738724924</v>
      </c>
      <c r="AG1169">
        <v>-0.12975289999999901</v>
      </c>
      <c r="AH1169">
        <v>0.62210859671760099</v>
      </c>
      <c r="AI1169">
        <v>101.28618418499499</v>
      </c>
      <c r="AJ1169">
        <v>73.106433928416706</v>
      </c>
      <c r="AK1169">
        <v>0.66298661876798703</v>
      </c>
      <c r="AL1169">
        <v>68.411200869731104</v>
      </c>
      <c r="AM1169">
        <v>83.747241459110597</v>
      </c>
      <c r="AN1169">
        <v>1.00000004964154</v>
      </c>
    </row>
    <row r="1170" spans="1:40" x14ac:dyDescent="0.25">
      <c r="A1170" t="str">
        <f>"20190304164618824"</f>
        <v>20190304164618824</v>
      </c>
      <c r="B1170" t="str">
        <f>"1551689178819211"</f>
        <v>1551689178819211</v>
      </c>
      <c r="C1170" t="s">
        <v>40</v>
      </c>
      <c r="D1170">
        <v>4.6656589999999998</v>
      </c>
      <c r="E1170">
        <v>0.56965529999999998</v>
      </c>
      <c r="F1170" t="s">
        <v>41</v>
      </c>
      <c r="G1170">
        <v>-191.9958</v>
      </c>
      <c r="H1170">
        <v>0.98084320000000003</v>
      </c>
      <c r="I1170">
        <v>309.24250000000001</v>
      </c>
      <c r="J1170">
        <v>-191.79490000000001</v>
      </c>
      <c r="K1170">
        <v>1.1098110000000001</v>
      </c>
      <c r="L1170">
        <v>309.84629999999999</v>
      </c>
      <c r="M1170">
        <v>-4.4921969999999999E-3</v>
      </c>
      <c r="N1170">
        <v>-1.3811489999999999E-2</v>
      </c>
      <c r="O1170">
        <v>-0.99989459999999997</v>
      </c>
      <c r="P1170">
        <v>-0.1054451</v>
      </c>
      <c r="Q1170">
        <v>0.35654859999999999</v>
      </c>
      <c r="R1170">
        <v>-0.9283072</v>
      </c>
      <c r="S1170">
        <v>-0.79136660000000003</v>
      </c>
      <c r="T1170">
        <v>-0.5011622</v>
      </c>
      <c r="U1170">
        <v>-3.3336790000000001</v>
      </c>
      <c r="V1170">
        <v>0.10250330000000001</v>
      </c>
      <c r="W1170">
        <v>0.36900309999999997</v>
      </c>
      <c r="X1170">
        <v>0.92375850000000004</v>
      </c>
      <c r="Y1170">
        <v>0.22435379999999999</v>
      </c>
      <c r="Z1170">
        <v>0.13113060000000001</v>
      </c>
      <c r="AA1170">
        <v>0.96564499999999998</v>
      </c>
      <c r="AB1170">
        <v>24</v>
      </c>
      <c r="AC1170">
        <v>-0.20089999999999</v>
      </c>
      <c r="AD1170">
        <v>-0.12896779999999999</v>
      </c>
      <c r="AE1170">
        <v>-0.60379999999997802</v>
      </c>
      <c r="AF1170">
        <v>0.19036605025842501</v>
      </c>
      <c r="AG1170">
        <v>-0.12896779999999999</v>
      </c>
      <c r="AH1170">
        <v>0.58083856245815801</v>
      </c>
      <c r="AI1170">
        <v>101.914325068872</v>
      </c>
      <c r="AJ1170">
        <v>71.853780562438402</v>
      </c>
      <c r="AK1170">
        <v>0.62469621590521396</v>
      </c>
      <c r="AL1170">
        <v>68.345850765603899</v>
      </c>
      <c r="AM1170">
        <v>83.668173545735996</v>
      </c>
      <c r="AN1170">
        <v>0.99999999032137499</v>
      </c>
    </row>
    <row r="1171" spans="1:40" x14ac:dyDescent="0.25">
      <c r="A1171" t="str">
        <f>"20190304164618845"</f>
        <v>20190304164618845</v>
      </c>
      <c r="B1171" t="str">
        <f>"1551689178838731"</f>
        <v>1551689178838731</v>
      </c>
      <c r="C1171" t="s">
        <v>40</v>
      </c>
      <c r="D1171">
        <v>4.847397</v>
      </c>
      <c r="E1171">
        <v>0.57006979999999996</v>
      </c>
      <c r="F1171" t="s">
        <v>41</v>
      </c>
      <c r="G1171">
        <v>-191.9941</v>
      </c>
      <c r="H1171">
        <v>0.98656540000000004</v>
      </c>
      <c r="I1171">
        <v>309.02719999999999</v>
      </c>
      <c r="J1171">
        <v>-191.79839999999999</v>
      </c>
      <c r="K1171">
        <v>1.109731</v>
      </c>
      <c r="L1171">
        <v>309.61250000000001</v>
      </c>
      <c r="M1171">
        <v>-6.6571679999999998E-3</v>
      </c>
      <c r="N1171">
        <v>-1.381226E-2</v>
      </c>
      <c r="O1171">
        <v>-0.99988250000000001</v>
      </c>
      <c r="P1171">
        <v>-0.10931970000000001</v>
      </c>
      <c r="Q1171">
        <v>0.35699560000000002</v>
      </c>
      <c r="R1171">
        <v>-0.92768720000000005</v>
      </c>
      <c r="S1171">
        <v>-0.80966190000000005</v>
      </c>
      <c r="T1171">
        <v>-0.50139809999999996</v>
      </c>
      <c r="U1171">
        <v>-3.3322750000000001</v>
      </c>
      <c r="V1171">
        <v>0.1044426</v>
      </c>
      <c r="W1171">
        <v>0.3694192</v>
      </c>
      <c r="X1171">
        <v>0.9233749</v>
      </c>
      <c r="Y1171">
        <v>0.22734509999999999</v>
      </c>
      <c r="Z1171">
        <v>0.1311155</v>
      </c>
      <c r="AA1171">
        <v>0.96494709999999995</v>
      </c>
      <c r="AB1171">
        <v>24</v>
      </c>
      <c r="AC1171">
        <v>-0.195700000000016</v>
      </c>
      <c r="AD1171">
        <v>-0.1231656</v>
      </c>
      <c r="AE1171">
        <v>-0.58530000000001703</v>
      </c>
      <c r="AF1171">
        <v>0.18445234129033</v>
      </c>
      <c r="AG1171">
        <v>-0.1231656</v>
      </c>
      <c r="AH1171">
        <v>0.56412168829029796</v>
      </c>
      <c r="AI1171">
        <v>101.72362751007699</v>
      </c>
      <c r="AJ1171">
        <v>71.893672956643201</v>
      </c>
      <c r="AK1171">
        <v>0.606156506547889</v>
      </c>
      <c r="AL1171">
        <v>68.3201977827203</v>
      </c>
      <c r="AM1171">
        <v>83.546722520639193</v>
      </c>
      <c r="AN1171">
        <v>1.0000000039867001</v>
      </c>
    </row>
    <row r="1172" spans="1:40" x14ac:dyDescent="0.25">
      <c r="A1172" t="str">
        <f>"20190304164618868"</f>
        <v>20190304164618868</v>
      </c>
      <c r="B1172" t="str">
        <f>"1551689178859226"</f>
        <v>1551689178859226</v>
      </c>
      <c r="C1172" t="s">
        <v>40</v>
      </c>
      <c r="D1172">
        <v>4.7078870000000004</v>
      </c>
      <c r="E1172">
        <v>0.57039249999999997</v>
      </c>
      <c r="F1172" t="s">
        <v>41</v>
      </c>
      <c r="G1172">
        <v>-191.99709999999999</v>
      </c>
      <c r="H1172">
        <v>0.98912730000000004</v>
      </c>
      <c r="I1172">
        <v>308.81330000000003</v>
      </c>
      <c r="J1172">
        <v>-191.80279999999999</v>
      </c>
      <c r="K1172">
        <v>1.109629</v>
      </c>
      <c r="L1172">
        <v>309.36279999999999</v>
      </c>
      <c r="M1172">
        <v>-9.1320930000000008E-3</v>
      </c>
      <c r="N1172">
        <v>-1.3814089999999999E-2</v>
      </c>
      <c r="O1172">
        <v>-0.99986280000000005</v>
      </c>
      <c r="P1172">
        <v>-0.1132577</v>
      </c>
      <c r="Q1172">
        <v>0.35664319999999999</v>
      </c>
      <c r="R1172">
        <v>-0.92735029999999996</v>
      </c>
      <c r="S1172">
        <v>-0.82754519999999998</v>
      </c>
      <c r="T1172">
        <v>-0.5024767</v>
      </c>
      <c r="U1172">
        <v>-3.329742</v>
      </c>
      <c r="V1172">
        <v>0.1061768</v>
      </c>
      <c r="W1172">
        <v>0.36903550000000002</v>
      </c>
      <c r="X1172">
        <v>0.92333050000000005</v>
      </c>
      <c r="Y1172">
        <v>0.22997880000000001</v>
      </c>
      <c r="Z1172">
        <v>0.13138910000000001</v>
      </c>
      <c r="AA1172">
        <v>0.96428559999999996</v>
      </c>
      <c r="AB1172">
        <v>24</v>
      </c>
      <c r="AC1172">
        <v>-0.194299999999998</v>
      </c>
      <c r="AD1172">
        <v>-0.120501699999999</v>
      </c>
      <c r="AE1172">
        <v>-0.54949999999996602</v>
      </c>
      <c r="AF1172">
        <v>0.18151446113225</v>
      </c>
      <c r="AG1172">
        <v>-0.120501699999999</v>
      </c>
      <c r="AH1172">
        <v>0.52865419122711099</v>
      </c>
      <c r="AI1172">
        <v>102.166003279934</v>
      </c>
      <c r="AJ1172">
        <v>71.0499898156</v>
      </c>
      <c r="AK1172">
        <v>0.571789658182982</v>
      </c>
      <c r="AL1172">
        <v>68.343852783643499</v>
      </c>
      <c r="AM1172">
        <v>83.440183768352497</v>
      </c>
      <c r="AN1172">
        <v>0.99999996267436897</v>
      </c>
    </row>
    <row r="1173" spans="1:40" x14ac:dyDescent="0.25">
      <c r="A1173" t="str">
        <f>"20190304164618891"</f>
        <v>20190304164618891</v>
      </c>
      <c r="B1173" t="str">
        <f>"1551689178878747"</f>
        <v>1551689178878747</v>
      </c>
      <c r="C1173" t="s">
        <v>40</v>
      </c>
      <c r="D1173">
        <v>4.8846210000000001</v>
      </c>
      <c r="E1173">
        <v>0.57066640000000002</v>
      </c>
      <c r="F1173" t="s">
        <v>41</v>
      </c>
      <c r="G1173">
        <v>-191.9966</v>
      </c>
      <c r="H1173">
        <v>0.99326709999999996</v>
      </c>
      <c r="I1173">
        <v>308.59899999999999</v>
      </c>
      <c r="J1173">
        <v>-191.80779999999999</v>
      </c>
      <c r="K1173">
        <v>1.1095159999999999</v>
      </c>
      <c r="L1173">
        <v>309.12549999999999</v>
      </c>
      <c r="M1173">
        <v>-1.165762E-2</v>
      </c>
      <c r="N1173">
        <v>-1.381697E-2</v>
      </c>
      <c r="O1173">
        <v>-0.99983690000000003</v>
      </c>
      <c r="P1173">
        <v>-0.11760569999999999</v>
      </c>
      <c r="Q1173">
        <v>0.35622959999999998</v>
      </c>
      <c r="R1173">
        <v>-0.92696829999999997</v>
      </c>
      <c r="S1173">
        <v>-0.84393309999999999</v>
      </c>
      <c r="T1173">
        <v>-0.50688449999999996</v>
      </c>
      <c r="U1173">
        <v>-3.3269039999999999</v>
      </c>
      <c r="V1173">
        <v>0.1082856</v>
      </c>
      <c r="W1173">
        <v>0.36858560000000001</v>
      </c>
      <c r="X1173">
        <v>0.92326529999999996</v>
      </c>
      <c r="Y1173">
        <v>0.23213719999999999</v>
      </c>
      <c r="Z1173">
        <v>0.13262829999999901</v>
      </c>
      <c r="AA1173">
        <v>0.96359850000000002</v>
      </c>
      <c r="AB1173">
        <v>24</v>
      </c>
      <c r="AC1173">
        <v>-0.18880000000001401</v>
      </c>
      <c r="AD1173">
        <v>-0.116248899999999</v>
      </c>
      <c r="AE1173">
        <v>-0.52649999999999797</v>
      </c>
      <c r="AF1173">
        <v>0.17508581895039901</v>
      </c>
      <c r="AG1173">
        <v>-0.116248899999999</v>
      </c>
      <c r="AH1173">
        <v>0.506774683666809</v>
      </c>
      <c r="AI1173">
        <v>102.233213292906</v>
      </c>
      <c r="AJ1173">
        <v>70.940457108790596</v>
      </c>
      <c r="AK1173">
        <v>0.54862503657264505</v>
      </c>
      <c r="AL1173">
        <v>68.371585213222303</v>
      </c>
      <c r="AM1173">
        <v>83.310599013750505</v>
      </c>
      <c r="AN1173">
        <v>0.99999996493940402</v>
      </c>
    </row>
    <row r="1174" spans="1:40" x14ac:dyDescent="0.25">
      <c r="A1174" t="str">
        <f>"20190304164618915"</f>
        <v>20190304164618915</v>
      </c>
      <c r="B1174" t="str">
        <f>"1551689178909003"</f>
        <v>1551689178909003</v>
      </c>
      <c r="C1174" t="s">
        <v>40</v>
      </c>
      <c r="D1174">
        <v>4.8969189999999996</v>
      </c>
      <c r="E1174">
        <v>0.57112580000000002</v>
      </c>
      <c r="F1174" t="s">
        <v>41</v>
      </c>
      <c r="G1174">
        <v>-191.99950000000001</v>
      </c>
      <c r="H1174">
        <v>0.99563800000000002</v>
      </c>
      <c r="I1174">
        <v>308.38580000000002</v>
      </c>
      <c r="J1174">
        <v>-191.81399999999999</v>
      </c>
      <c r="K1174">
        <v>1.109375</v>
      </c>
      <c r="L1174">
        <v>308.8732</v>
      </c>
      <c r="M1174">
        <v>-1.454868E-2</v>
      </c>
      <c r="N1174">
        <v>-1.3821099999999999E-2</v>
      </c>
      <c r="O1174">
        <v>-0.99979870000000004</v>
      </c>
      <c r="P1174">
        <v>-0.1224093</v>
      </c>
      <c r="Q1174">
        <v>0.35596290000000003</v>
      </c>
      <c r="R1174">
        <v>-0.9264483</v>
      </c>
      <c r="S1174">
        <v>-0.86027529999999997</v>
      </c>
      <c r="T1174">
        <v>-0.51169409999999904</v>
      </c>
      <c r="U1174">
        <v>-3.3238530000000002</v>
      </c>
      <c r="V1174">
        <v>0.1105308</v>
      </c>
      <c r="W1174">
        <v>0.3682761</v>
      </c>
      <c r="X1174">
        <v>0.92312280000000002</v>
      </c>
      <c r="Y1174">
        <v>0.23393220000000001</v>
      </c>
      <c r="Z1174">
        <v>0.1339909</v>
      </c>
      <c r="AA1174">
        <v>0.96297569999999999</v>
      </c>
      <c r="AB1174">
        <v>24</v>
      </c>
      <c r="AC1174">
        <v>-0.18549999999999001</v>
      </c>
      <c r="AD1174">
        <v>-0.113737</v>
      </c>
      <c r="AE1174">
        <v>-0.48739999999997902</v>
      </c>
      <c r="AF1174">
        <v>0.170288929971843</v>
      </c>
      <c r="AG1174">
        <v>-0.113737</v>
      </c>
      <c r="AH1174">
        <v>0.46779685844440699</v>
      </c>
      <c r="AI1174">
        <v>102.86929817139399</v>
      </c>
      <c r="AJ1174">
        <v>69.997318097544493</v>
      </c>
      <c r="AK1174">
        <v>0.51065480082969095</v>
      </c>
      <c r="AL1174">
        <v>68.390661410372999</v>
      </c>
      <c r="AM1174">
        <v>83.172152585356898</v>
      </c>
      <c r="AN1174">
        <v>1.0000000237298401</v>
      </c>
    </row>
    <row r="1175" spans="1:40" x14ac:dyDescent="0.25">
      <c r="A1175" t="str">
        <f>"20190304164618934"</f>
        <v>20190304164618934</v>
      </c>
      <c r="B1175" t="str">
        <f>"1551689178929031"</f>
        <v>1551689178929031</v>
      </c>
      <c r="C1175" t="s">
        <v>40</v>
      </c>
      <c r="D1175">
        <v>4.924086</v>
      </c>
      <c r="E1175">
        <v>0.57132759999999905</v>
      </c>
      <c r="F1175" t="s">
        <v>41</v>
      </c>
      <c r="G1175">
        <v>-192.05269999999999</v>
      </c>
      <c r="H1175">
        <v>0.96907520000000003</v>
      </c>
      <c r="I1175">
        <v>307.9708</v>
      </c>
      <c r="J1175">
        <v>-191.81989999999999</v>
      </c>
      <c r="K1175">
        <v>1.109264</v>
      </c>
      <c r="L1175">
        <v>308.66460000000001</v>
      </c>
      <c r="M1175">
        <v>-1.7108769999999999E-2</v>
      </c>
      <c r="N1175">
        <v>-1.3825179999999999E-2</v>
      </c>
      <c r="O1175">
        <v>-0.99975829999999999</v>
      </c>
      <c r="P1175">
        <v>-0.1274053</v>
      </c>
      <c r="Q1175">
        <v>0.35536479999999998</v>
      </c>
      <c r="R1175">
        <v>-0.92600470000000001</v>
      </c>
      <c r="S1175">
        <v>-0.87745669999999898</v>
      </c>
      <c r="T1175">
        <v>-0.5162485</v>
      </c>
      <c r="U1175">
        <v>-3.3206180000000001</v>
      </c>
      <c r="V1175">
        <v>0.1132547</v>
      </c>
      <c r="W1175">
        <v>0.36763810000000002</v>
      </c>
      <c r="X1175">
        <v>0.9230469</v>
      </c>
      <c r="Y1175">
        <v>0.2362853</v>
      </c>
      <c r="Z1175">
        <v>0.13527059999999999</v>
      </c>
      <c r="AA1175">
        <v>0.96222200000000002</v>
      </c>
      <c r="AB1175">
        <v>24</v>
      </c>
      <c r="AC1175">
        <v>-0.23279999999999701</v>
      </c>
      <c r="AD1175">
        <v>-0.1401888</v>
      </c>
      <c r="AE1175">
        <v>-0.69380000000000996</v>
      </c>
      <c r="AF1175">
        <v>0.213075620899879</v>
      </c>
      <c r="AG1175">
        <v>-0.1401888</v>
      </c>
      <c r="AH1175">
        <v>0.67298560271567298</v>
      </c>
      <c r="AI1175">
        <v>101.2323771449</v>
      </c>
      <c r="AJ1175">
        <v>72.431564508542607</v>
      </c>
      <c r="AK1175">
        <v>0.71969697882503803</v>
      </c>
      <c r="AL1175">
        <v>68.429973421274497</v>
      </c>
      <c r="AM1175">
        <v>83.004965984657701</v>
      </c>
      <c r="AN1175">
        <v>0.99999998962165504</v>
      </c>
    </row>
    <row r="1176" spans="1:40" x14ac:dyDescent="0.25">
      <c r="A1176" t="str">
        <f>"20190304164618958"</f>
        <v>20190304164618958</v>
      </c>
      <c r="B1176" t="str">
        <f>"1551689178949527"</f>
        <v>1551689178949527</v>
      </c>
      <c r="C1176" t="s">
        <v>40</v>
      </c>
      <c r="D1176">
        <v>4.7969860000000004</v>
      </c>
      <c r="E1176">
        <v>0.57151779999999996</v>
      </c>
      <c r="F1176" t="s">
        <v>41</v>
      </c>
      <c r="G1176">
        <v>-192.0635</v>
      </c>
      <c r="H1176">
        <v>0.9670339</v>
      </c>
      <c r="I1176">
        <v>307.76010000000002</v>
      </c>
      <c r="J1176">
        <v>-191.8278</v>
      </c>
      <c r="K1176">
        <v>1.109156</v>
      </c>
      <c r="L1176">
        <v>308.41820000000001</v>
      </c>
      <c r="M1176">
        <v>-2.030181E-2</v>
      </c>
      <c r="N1176">
        <v>-1.382999E-2</v>
      </c>
      <c r="O1176">
        <v>-0.99969839999999999</v>
      </c>
      <c r="P1176">
        <v>-0.13245479999999901</v>
      </c>
      <c r="Q1176">
        <v>0.35609299999999999</v>
      </c>
      <c r="R1176">
        <v>-0.92501560000000005</v>
      </c>
      <c r="S1176">
        <v>-0.89303589999999999</v>
      </c>
      <c r="T1176">
        <v>-0.52162929999999996</v>
      </c>
      <c r="U1176">
        <v>-3.317078</v>
      </c>
      <c r="V1176">
        <v>0.1154633</v>
      </c>
      <c r="W1176">
        <v>0.36832179999999998</v>
      </c>
      <c r="X1176">
        <v>0.9225006</v>
      </c>
      <c r="Y1176">
        <v>0.237597</v>
      </c>
      <c r="Z1176">
        <v>0.1368181</v>
      </c>
      <c r="AA1176">
        <v>0.96168010000000004</v>
      </c>
      <c r="AB1176">
        <v>24</v>
      </c>
      <c r="AC1176">
        <v>-0.23570000000000799</v>
      </c>
      <c r="AD1176">
        <v>-0.1421221</v>
      </c>
      <c r="AE1176">
        <v>-0.65809999999999003</v>
      </c>
      <c r="AF1176">
        <v>0.21346575986769001</v>
      </c>
      <c r="AG1176">
        <v>-0.1421221</v>
      </c>
      <c r="AH1176">
        <v>0.63644215278309202</v>
      </c>
      <c r="AI1176">
        <v>101.95390519820199</v>
      </c>
      <c r="AJ1176">
        <v>71.458299413971602</v>
      </c>
      <c r="AK1176">
        <v>0.686166842527003</v>
      </c>
      <c r="AL1176">
        <v>68.387845380114996</v>
      </c>
      <c r="AM1176">
        <v>82.865766448193796</v>
      </c>
      <c r="AN1176">
        <v>1.0000000395012401</v>
      </c>
    </row>
    <row r="1177" spans="1:40" x14ac:dyDescent="0.25">
      <c r="A1177" t="str">
        <f>"20190304164618979"</f>
        <v>20190304164618979</v>
      </c>
      <c r="B1177" t="str">
        <f>"1551689178969047"</f>
        <v>1551689178969047</v>
      </c>
      <c r="C1177" t="s">
        <v>40</v>
      </c>
      <c r="D1177">
        <v>4.8835629999999997</v>
      </c>
      <c r="E1177">
        <v>0.57169320000000001</v>
      </c>
      <c r="F1177" t="s">
        <v>41</v>
      </c>
      <c r="G1177">
        <v>-192.06739999999999</v>
      </c>
      <c r="H1177">
        <v>0.97204630000000003</v>
      </c>
      <c r="I1177">
        <v>307.54759999999999</v>
      </c>
      <c r="J1177">
        <v>-191.83600000000001</v>
      </c>
      <c r="K1177">
        <v>1.1090739999999999</v>
      </c>
      <c r="L1177">
        <v>308.18729999999999</v>
      </c>
      <c r="M1177">
        <v>-2.3436450000000001E-2</v>
      </c>
      <c r="N1177">
        <v>-1.383347E-2</v>
      </c>
      <c r="O1177">
        <v>-0.99962969999999896</v>
      </c>
      <c r="P1177">
        <v>-0.13735039999999901</v>
      </c>
      <c r="Q1177">
        <v>0.35649750000000002</v>
      </c>
      <c r="R1177">
        <v>-0.9241452</v>
      </c>
      <c r="S1177">
        <v>-0.91090389999999999</v>
      </c>
      <c r="T1177">
        <v>-0.52173599999999998</v>
      </c>
      <c r="U1177">
        <v>-3.313599</v>
      </c>
      <c r="V1177">
        <v>0.11754820000000001</v>
      </c>
      <c r="W1177">
        <v>0.3686893</v>
      </c>
      <c r="X1177">
        <v>0.92209039999999998</v>
      </c>
      <c r="Y1177">
        <v>0.23963100000000001</v>
      </c>
      <c r="Z1177">
        <v>0.13684470000000001</v>
      </c>
      <c r="AA1177">
        <v>0.96117140000000001</v>
      </c>
      <c r="AB1177">
        <v>24</v>
      </c>
      <c r="AC1177">
        <v>-0.23140000000000699</v>
      </c>
      <c r="AD1177">
        <v>-0.137027699999999</v>
      </c>
      <c r="AE1177">
        <v>-0.63970000000000404</v>
      </c>
      <c r="AF1177">
        <v>0.20790686806747299</v>
      </c>
      <c r="AG1177">
        <v>-0.137027699999999</v>
      </c>
      <c r="AH1177">
        <v>0.61979957705697297</v>
      </c>
      <c r="AI1177">
        <v>101.838135059176</v>
      </c>
      <c r="AJ1177">
        <v>71.456379272219095</v>
      </c>
      <c r="AK1177">
        <v>0.66794713269608197</v>
      </c>
      <c r="AL1177">
        <v>68.365195255463505</v>
      </c>
      <c r="AM1177">
        <v>82.735112060244901</v>
      </c>
      <c r="AN1177">
        <v>1.00000004251494</v>
      </c>
    </row>
    <row r="1178" spans="1:40" x14ac:dyDescent="0.25">
      <c r="A1178" t="str">
        <f>"20190304164619002"</f>
        <v>20190304164619002</v>
      </c>
      <c r="B1178" t="str">
        <f>"1551689178989542"</f>
        <v>1551689178989542</v>
      </c>
      <c r="C1178" t="s">
        <v>40</v>
      </c>
      <c r="D1178">
        <v>5.6121179999999997</v>
      </c>
      <c r="E1178">
        <v>0.57182500000000003</v>
      </c>
      <c r="F1178" t="s">
        <v>41</v>
      </c>
      <c r="G1178">
        <v>-192.07499999999999</v>
      </c>
      <c r="H1178">
        <v>0.97461869999999995</v>
      </c>
      <c r="I1178">
        <v>307.33600000000001</v>
      </c>
      <c r="J1178">
        <v>-191.84520000000001</v>
      </c>
      <c r="K1178">
        <v>1.109003</v>
      </c>
      <c r="L1178">
        <v>307.95429999999999</v>
      </c>
      <c r="M1178">
        <v>-2.6727000000000001E-2</v>
      </c>
      <c r="N1178">
        <v>-1.383655E-2</v>
      </c>
      <c r="O1178">
        <v>-0.99954699999999996</v>
      </c>
      <c r="P1178">
        <v>-0.14245749999999999</v>
      </c>
      <c r="Q1178">
        <v>0.35673080000000001</v>
      </c>
      <c r="R1178">
        <v>-0.92328180000000004</v>
      </c>
      <c r="S1178">
        <v>-0.92854309999999995</v>
      </c>
      <c r="T1178">
        <v>-0.52272129999999895</v>
      </c>
      <c r="U1178">
        <v>-3.3098450000000001</v>
      </c>
      <c r="V1178">
        <v>0.119689</v>
      </c>
      <c r="W1178">
        <v>0.36888919999999997</v>
      </c>
      <c r="X1178">
        <v>0.92173490000000002</v>
      </c>
      <c r="Y1178">
        <v>0.24145759999999999</v>
      </c>
      <c r="Z1178">
        <v>0.1371317</v>
      </c>
      <c r="AA1178">
        <v>0.96067329999999995</v>
      </c>
      <c r="AB1178">
        <v>24</v>
      </c>
      <c r="AC1178">
        <v>-0.22979999999998299</v>
      </c>
      <c r="AD1178">
        <v>-0.13438429999999901</v>
      </c>
      <c r="AE1178">
        <v>-0.61829999999997598</v>
      </c>
      <c r="AF1178">
        <v>0.204695047749933</v>
      </c>
      <c r="AG1178">
        <v>-0.13438429999999901</v>
      </c>
      <c r="AH1178">
        <v>0.59934543681733499</v>
      </c>
      <c r="AI1178">
        <v>101.979613591324</v>
      </c>
      <c r="AJ1178">
        <v>71.143373192888006</v>
      </c>
      <c r="AK1178">
        <v>0.64743660330073904</v>
      </c>
      <c r="AL1178">
        <v>68.352871466436397</v>
      </c>
      <c r="AM1178">
        <v>82.601434228004706</v>
      </c>
      <c r="AN1178">
        <v>0.99999996223782395</v>
      </c>
    </row>
    <row r="1179" spans="1:40" x14ac:dyDescent="0.25">
      <c r="A1179" t="str">
        <f>"20190304164619025"</f>
        <v>20190304164619025</v>
      </c>
      <c r="B1179" t="str">
        <f>"1551689179019109"</f>
        <v>1551689179019109</v>
      </c>
      <c r="C1179" t="s">
        <v>40</v>
      </c>
      <c r="D1179">
        <v>5.3634230000000001</v>
      </c>
      <c r="E1179">
        <v>0.57220079999999995</v>
      </c>
      <c r="F1179" t="s">
        <v>41</v>
      </c>
      <c r="G1179">
        <v>-192.08269999999999</v>
      </c>
      <c r="H1179">
        <v>0.97735110000000003</v>
      </c>
      <c r="I1179">
        <v>307.12479999999999</v>
      </c>
      <c r="J1179">
        <v>-191.85579999999999</v>
      </c>
      <c r="K1179">
        <v>1.108938</v>
      </c>
      <c r="L1179">
        <v>307.70960000000002</v>
      </c>
      <c r="M1179">
        <v>-3.030122E-2</v>
      </c>
      <c r="N1179">
        <v>-1.3839870000000001E-2</v>
      </c>
      <c r="O1179">
        <v>-0.99944500000000003</v>
      </c>
      <c r="P1179">
        <v>-0.14794260000000001</v>
      </c>
      <c r="Q1179">
        <v>0.3572417</v>
      </c>
      <c r="R1179">
        <v>-0.92222119999999996</v>
      </c>
      <c r="S1179">
        <v>-0.94624330000000001</v>
      </c>
      <c r="T1179">
        <v>-0.52469519999999903</v>
      </c>
      <c r="U1179">
        <v>-3.3059690000000002</v>
      </c>
      <c r="V1179">
        <v>0.1219488</v>
      </c>
      <c r="W1179">
        <v>0.36936600000000003</v>
      </c>
      <c r="X1179">
        <v>0.9212477</v>
      </c>
      <c r="Y1179">
        <v>0.24301890000000001</v>
      </c>
      <c r="Z1179">
        <v>0.1377014</v>
      </c>
      <c r="AA1179">
        <v>0.960198</v>
      </c>
      <c r="AB1179">
        <v>24</v>
      </c>
      <c r="AC1179">
        <v>-0.22689999999999999</v>
      </c>
      <c r="AD1179">
        <v>-0.13158689999999901</v>
      </c>
      <c r="AE1179">
        <v>-0.58480000000002896</v>
      </c>
      <c r="AF1179">
        <v>0.20026130841675299</v>
      </c>
      <c r="AG1179">
        <v>-0.13158689999999901</v>
      </c>
      <c r="AH1179">
        <v>0.56647913215366796</v>
      </c>
      <c r="AI1179">
        <v>102.35311523709299</v>
      </c>
      <c r="AJ1179">
        <v>70.530515410181593</v>
      </c>
      <c r="AK1179">
        <v>0.61507585797686104</v>
      </c>
      <c r="AL1179">
        <v>68.323478691025002</v>
      </c>
      <c r="AM1179">
        <v>82.459396133971197</v>
      </c>
      <c r="AN1179">
        <v>1.0000000382663601</v>
      </c>
    </row>
    <row r="1180" spans="1:40" x14ac:dyDescent="0.25">
      <c r="A1180" t="str">
        <f>"20190304164619046"</f>
        <v>20190304164619046</v>
      </c>
      <c r="B1180" t="str">
        <f>"1551689179039605"</f>
        <v>1551689179039605</v>
      </c>
      <c r="C1180" t="s">
        <v>40</v>
      </c>
      <c r="D1180">
        <v>4.9929779999999999</v>
      </c>
      <c r="E1180">
        <v>0.57242660000000001</v>
      </c>
      <c r="F1180" t="s">
        <v>41</v>
      </c>
      <c r="G1180">
        <v>-192.0891</v>
      </c>
      <c r="H1180">
        <v>0.9825313</v>
      </c>
      <c r="I1180">
        <v>306.9128</v>
      </c>
      <c r="J1180">
        <v>-191.8665</v>
      </c>
      <c r="K1180">
        <v>1.1088899999999999</v>
      </c>
      <c r="L1180">
        <v>307.48270000000002</v>
      </c>
      <c r="M1180">
        <v>-3.3704060000000001E-2</v>
      </c>
      <c r="N1180">
        <v>-1.3842999999999999E-2</v>
      </c>
      <c r="O1180">
        <v>-0.99933609999999995</v>
      </c>
      <c r="P1180">
        <v>-0.15329379999999901</v>
      </c>
      <c r="Q1180">
        <v>0.35744110000000001</v>
      </c>
      <c r="R1180">
        <v>-0.92126960000000002</v>
      </c>
      <c r="S1180">
        <v>-0.96621699999999999</v>
      </c>
      <c r="T1180">
        <v>-0.52355989999999997</v>
      </c>
      <c r="U1180">
        <v>-3.3007810000000002</v>
      </c>
      <c r="V1180">
        <v>0.1242226</v>
      </c>
      <c r="W1180">
        <v>0.36953530000000001</v>
      </c>
      <c r="X1180">
        <v>0.92087589999999997</v>
      </c>
      <c r="Y1180">
        <v>0.2454865</v>
      </c>
      <c r="Z1180">
        <v>0.13741489999999901</v>
      </c>
      <c r="AA1180">
        <v>0.95961110000000005</v>
      </c>
      <c r="AB1180">
        <v>23</v>
      </c>
      <c r="AC1180">
        <v>-0.22259999999999899</v>
      </c>
      <c r="AD1180">
        <v>-0.12635869999999899</v>
      </c>
      <c r="AE1180">
        <v>-0.56990000000001795</v>
      </c>
      <c r="AF1180">
        <v>0.194948615534692</v>
      </c>
      <c r="AG1180">
        <v>-0.12635869999999899</v>
      </c>
      <c r="AH1180">
        <v>0.55347223993917205</v>
      </c>
      <c r="AI1180">
        <v>102.15219792703699</v>
      </c>
      <c r="AJ1180">
        <v>70.596291055184693</v>
      </c>
      <c r="AK1180">
        <v>0.60025245034724195</v>
      </c>
      <c r="AL1180">
        <v>68.3130392855374</v>
      </c>
      <c r="AM1180">
        <v>82.317396803680893</v>
      </c>
      <c r="AN1180">
        <v>1.00000000774883</v>
      </c>
    </row>
    <row r="1181" spans="1:40" x14ac:dyDescent="0.25">
      <c r="A1181" t="str">
        <f>"20190304164619068"</f>
        <v>20190304164619068</v>
      </c>
      <c r="B1181" t="str">
        <f>"1551689179059126"</f>
        <v>1551689179059126</v>
      </c>
      <c r="C1181" t="s">
        <v>40</v>
      </c>
      <c r="D1181">
        <v>4.7909879999999996</v>
      </c>
      <c r="E1181">
        <v>0.57229410000000003</v>
      </c>
      <c r="F1181" t="s">
        <v>41</v>
      </c>
      <c r="G1181">
        <v>-192.1003</v>
      </c>
      <c r="H1181">
        <v>0.98509179999999996</v>
      </c>
      <c r="I1181">
        <v>306.70139999999998</v>
      </c>
      <c r="J1181">
        <v>-191.8784</v>
      </c>
      <c r="K1181">
        <v>1.1088450000000001</v>
      </c>
      <c r="L1181">
        <v>307.25</v>
      </c>
      <c r="M1181">
        <v>-3.7265390000000002E-2</v>
      </c>
      <c r="N1181">
        <v>-1.384584E-2</v>
      </c>
      <c r="O1181">
        <v>-0.99920960000000003</v>
      </c>
      <c r="P1181">
        <v>-0.1583908</v>
      </c>
      <c r="Q1181">
        <v>0.35750680000000001</v>
      </c>
      <c r="R1181">
        <v>-0.92038140000000002</v>
      </c>
      <c r="S1181">
        <v>-0.98483279999999995</v>
      </c>
      <c r="T1181">
        <v>-0.52200839999999904</v>
      </c>
      <c r="U1181">
        <v>-3.2950439999999999</v>
      </c>
      <c r="V1181">
        <v>0.12609210000000001</v>
      </c>
      <c r="W1181">
        <v>0.36957469999999998</v>
      </c>
      <c r="X1181">
        <v>0.92060600000000004</v>
      </c>
      <c r="Y1181">
        <v>0.24748200000000001</v>
      </c>
      <c r="Z1181">
        <v>0.13704569999999999</v>
      </c>
      <c r="AA1181">
        <v>0.95915130000000004</v>
      </c>
      <c r="AB1181">
        <v>23</v>
      </c>
      <c r="AC1181">
        <v>-0.22190000000000501</v>
      </c>
      <c r="AD1181">
        <v>-0.12375319999999999</v>
      </c>
      <c r="AE1181">
        <v>-0.54860000000002096</v>
      </c>
      <c r="AF1181">
        <v>0.192865771755941</v>
      </c>
      <c r="AG1181">
        <v>-0.12375319999999999</v>
      </c>
      <c r="AH1181">
        <v>0.53317240242088604</v>
      </c>
      <c r="AI1181">
        <v>102.31262290363</v>
      </c>
      <c r="AJ1181">
        <v>70.113297382315693</v>
      </c>
      <c r="AK1181">
        <v>0.58033169061194101</v>
      </c>
      <c r="AL1181">
        <v>68.310610627513398</v>
      </c>
      <c r="AM1181">
        <v>82.200930747098496</v>
      </c>
      <c r="AN1181">
        <v>1.0000000418992401</v>
      </c>
    </row>
    <row r="1182" spans="1:40" x14ac:dyDescent="0.25">
      <c r="A1182" t="str">
        <f>"20190304164619093"</f>
        <v>20190304164619093</v>
      </c>
      <c r="B1182" t="str">
        <f>"1551689179089381"</f>
        <v>1551689179089381</v>
      </c>
      <c r="C1182" t="s">
        <v>40</v>
      </c>
      <c r="D1182">
        <v>4.8963890000000001</v>
      </c>
      <c r="E1182">
        <v>0.57165819999999901</v>
      </c>
      <c r="F1182" t="s">
        <v>41</v>
      </c>
      <c r="G1182">
        <v>-192.10919999999999</v>
      </c>
      <c r="H1182">
        <v>0.98851100000000003</v>
      </c>
      <c r="I1182">
        <v>306.4905</v>
      </c>
      <c r="J1182">
        <v>-191.89189999999999</v>
      </c>
      <c r="K1182">
        <v>1.108808</v>
      </c>
      <c r="L1182">
        <v>307.00380000000001</v>
      </c>
      <c r="M1182">
        <v>-4.1101899999999997E-2</v>
      </c>
      <c r="N1182">
        <v>-1.384817E-2</v>
      </c>
      <c r="O1182">
        <v>-0.99905909999999998</v>
      </c>
      <c r="P1182">
        <v>-0.1643473</v>
      </c>
      <c r="Q1182">
        <v>0.35754570000000002</v>
      </c>
      <c r="R1182">
        <v>-0.9193211</v>
      </c>
      <c r="S1182">
        <v>-0.99966429999999995</v>
      </c>
      <c r="T1182">
        <v>-0.52123169999999996</v>
      </c>
      <c r="U1182">
        <v>-3.2899479999999999</v>
      </c>
      <c r="V1182">
        <v>0.1285712</v>
      </c>
      <c r="W1182">
        <v>0.36958360000000001</v>
      </c>
      <c r="X1182">
        <v>0.92025939999999995</v>
      </c>
      <c r="Y1182">
        <v>0.24814069999999999</v>
      </c>
      <c r="Z1182">
        <v>0.1369109</v>
      </c>
      <c r="AA1182">
        <v>0.95900030000000003</v>
      </c>
      <c r="AB1182">
        <v>23</v>
      </c>
      <c r="AC1182">
        <v>-0.217299999999994</v>
      </c>
      <c r="AD1182">
        <v>-0.120297</v>
      </c>
      <c r="AE1182">
        <v>-0.51330000000001497</v>
      </c>
      <c r="AF1182">
        <v>0.18729311638943899</v>
      </c>
      <c r="AG1182">
        <v>-0.120297</v>
      </c>
      <c r="AH1182">
        <v>0.498576158507548</v>
      </c>
      <c r="AI1182">
        <v>102.72780788375201</v>
      </c>
      <c r="AJ1182">
        <v>69.411010659719906</v>
      </c>
      <c r="AK1182">
        <v>0.54601123201635005</v>
      </c>
      <c r="AL1182">
        <v>68.310060363251793</v>
      </c>
      <c r="AM1182">
        <v>82.046579188213201</v>
      </c>
      <c r="AN1182">
        <v>0.99999997707337895</v>
      </c>
    </row>
    <row r="1183" spans="1:40" x14ac:dyDescent="0.25">
      <c r="A1183" t="str">
        <f>"20190304164619115"</f>
        <v>20190304164619115</v>
      </c>
      <c r="B1183" t="str">
        <f>"1551689179108902"</f>
        <v>1551689179108902</v>
      </c>
      <c r="C1183" t="s">
        <v>40</v>
      </c>
      <c r="D1183">
        <v>4.900277</v>
      </c>
      <c r="E1183">
        <v>0.57126009999999905</v>
      </c>
      <c r="F1183" t="s">
        <v>41</v>
      </c>
      <c r="G1183">
        <v>-192.11519999999999</v>
      </c>
      <c r="H1183">
        <v>0.99411369999999999</v>
      </c>
      <c r="I1183">
        <v>306.27940000000001</v>
      </c>
      <c r="J1183">
        <v>-191.9059</v>
      </c>
      <c r="K1183">
        <v>1.108778</v>
      </c>
      <c r="L1183">
        <v>306.767</v>
      </c>
      <c r="M1183">
        <v>-4.4856279999999998E-2</v>
      </c>
      <c r="N1183">
        <v>-1.385012E-2</v>
      </c>
      <c r="O1183">
        <v>-0.99889760000000005</v>
      </c>
      <c r="P1183">
        <v>-0.17009070000000001</v>
      </c>
      <c r="Q1183">
        <v>0.35757909999999998</v>
      </c>
      <c r="R1183">
        <v>-0.9182631</v>
      </c>
      <c r="S1183">
        <v>-1.0114749999999999</v>
      </c>
      <c r="T1183">
        <v>-0.51997839999999995</v>
      </c>
      <c r="U1183">
        <v>-3.2846980000000001</v>
      </c>
      <c r="V1183">
        <v>0.130908199999999</v>
      </c>
      <c r="W1183">
        <v>0.36959019999999998</v>
      </c>
      <c r="X1183">
        <v>0.91992719999999994</v>
      </c>
      <c r="Y1183">
        <v>0.2480918</v>
      </c>
      <c r="Z1183">
        <v>0.1366771</v>
      </c>
      <c r="AA1183">
        <v>0.95904630000000002</v>
      </c>
      <c r="AB1183">
        <v>23</v>
      </c>
      <c r="AC1183">
        <v>-0.209299999999984</v>
      </c>
      <c r="AD1183">
        <v>-0.1146643</v>
      </c>
      <c r="AE1183">
        <v>-0.48759999999998599</v>
      </c>
      <c r="AF1183">
        <v>0.178862982010246</v>
      </c>
      <c r="AG1183">
        <v>-0.1146643</v>
      </c>
      <c r="AH1183">
        <v>0.47434799994452598</v>
      </c>
      <c r="AI1183">
        <v>102.744978472196</v>
      </c>
      <c r="AJ1183">
        <v>69.339984029809997</v>
      </c>
      <c r="AK1183">
        <v>0.51975560899278395</v>
      </c>
      <c r="AL1183">
        <v>68.309653076269498</v>
      </c>
      <c r="AM1183">
        <v>81.901027333102206</v>
      </c>
      <c r="AN1183">
        <v>0.99999996303155902</v>
      </c>
    </row>
    <row r="1184" spans="1:40" x14ac:dyDescent="0.25">
      <c r="A1184" t="str">
        <f>"20190304164619160"</f>
        <v>20190304164619160</v>
      </c>
      <c r="B1184" t="str">
        <f>"1551689179149424"</f>
        <v>1551689179149424</v>
      </c>
      <c r="C1184" t="s">
        <v>40</v>
      </c>
      <c r="D1184">
        <v>4.9076019999999998</v>
      </c>
      <c r="E1184">
        <v>0.57053949999999998</v>
      </c>
      <c r="F1184" t="s">
        <v>42</v>
      </c>
      <c r="G1184">
        <v>-194.09739999999999</v>
      </c>
      <c r="H1184" s="1">
        <v>-1.1662580000000001E-6</v>
      </c>
      <c r="I1184">
        <v>299.76639999999998</v>
      </c>
      <c r="J1184">
        <v>-191.9366</v>
      </c>
      <c r="K1184">
        <v>1.108738</v>
      </c>
      <c r="L1184">
        <v>306.29880000000003</v>
      </c>
      <c r="M1184">
        <v>-5.2450789999999997E-2</v>
      </c>
      <c r="N1184">
        <v>-1.385345E-2</v>
      </c>
      <c r="O1184">
        <v>-0.99852750000000001</v>
      </c>
      <c r="P1184">
        <v>-0.18149280000000001</v>
      </c>
      <c r="Q1184">
        <v>0.35673280000000002</v>
      </c>
      <c r="R1184">
        <v>-0.91640730000000004</v>
      </c>
      <c r="S1184">
        <v>-1.026505</v>
      </c>
      <c r="T1184">
        <v>-0.51936289999999996</v>
      </c>
      <c r="U1184">
        <v>-3.2791440000000001</v>
      </c>
      <c r="V1184">
        <v>0.1353927</v>
      </c>
      <c r="W1184">
        <v>0.36870039999999998</v>
      </c>
      <c r="X1184">
        <v>0.91963519999999999</v>
      </c>
      <c r="Y1184">
        <v>0.2452009</v>
      </c>
      <c r="Z1184">
        <v>0.1366301</v>
      </c>
      <c r="AA1184">
        <v>0.95979619999999999</v>
      </c>
      <c r="AB1184">
        <v>23</v>
      </c>
      <c r="AC1184">
        <v>-2.1607999999999898</v>
      </c>
      <c r="AD1184">
        <v>-1.108739166258</v>
      </c>
      <c r="AE1184">
        <v>-6.5324000000000497</v>
      </c>
      <c r="AF1184">
        <v>1.7692216783500501</v>
      </c>
      <c r="AG1184">
        <v>-1.108739166258</v>
      </c>
      <c r="AH1184">
        <v>6.4687794806682897</v>
      </c>
      <c r="AI1184">
        <v>99.387597714138195</v>
      </c>
      <c r="AJ1184">
        <v>74.703594048552702</v>
      </c>
      <c r="AK1184">
        <v>6.7973933132821802</v>
      </c>
      <c r="AL1184">
        <v>68.364510892667397</v>
      </c>
      <c r="AM1184">
        <v>81.624830558550499</v>
      </c>
      <c r="AN1184">
        <v>1.0000000346262401</v>
      </c>
    </row>
    <row r="1185" spans="1:40" x14ac:dyDescent="0.25">
      <c r="A1185" t="str">
        <f>"20190304164619184"</f>
        <v>20190304164619184</v>
      </c>
      <c r="B1185" t="str">
        <f>"1551689179178704"</f>
        <v>1551689179178704</v>
      </c>
      <c r="C1185" t="s">
        <v>40</v>
      </c>
      <c r="D1185">
        <v>4.9024489999999998</v>
      </c>
      <c r="E1185">
        <v>0.5700482</v>
      </c>
      <c r="F1185" t="s">
        <v>45</v>
      </c>
      <c r="G1185">
        <v>-194.19560000000001</v>
      </c>
      <c r="H1185" s="1">
        <v>4.8353189999999997E-8</v>
      </c>
      <c r="I1185">
        <v>299.34179999999998</v>
      </c>
      <c r="J1185">
        <v>-191.9547</v>
      </c>
      <c r="K1185">
        <v>1.1087260000000001</v>
      </c>
      <c r="L1185">
        <v>306.04829999999998</v>
      </c>
      <c r="M1185">
        <v>-5.6588119999999999E-2</v>
      </c>
      <c r="N1185">
        <v>-1.385489E-2</v>
      </c>
      <c r="O1185">
        <v>-0.99830140000000001</v>
      </c>
      <c r="P1185">
        <v>-0.1875242</v>
      </c>
      <c r="Q1185">
        <v>0.35669440000000002</v>
      </c>
      <c r="R1185">
        <v>-0.91520690000000005</v>
      </c>
      <c r="S1185">
        <v>-1.060562</v>
      </c>
      <c r="T1185">
        <v>-0.52054630000000002</v>
      </c>
      <c r="U1185">
        <v>-3.2662960000000001</v>
      </c>
      <c r="V1185">
        <v>0.13766489999999901</v>
      </c>
      <c r="W1185">
        <v>0.36863960000000001</v>
      </c>
      <c r="X1185">
        <v>0.91932210000000003</v>
      </c>
      <c r="Y1185">
        <v>0.25130980000000003</v>
      </c>
      <c r="Z1185">
        <v>0.13712959999999999</v>
      </c>
      <c r="AA1185">
        <v>0.95814339999999998</v>
      </c>
      <c r="AB1185">
        <v>23</v>
      </c>
      <c r="AC1185">
        <v>-2.2409000000000101</v>
      </c>
      <c r="AD1185">
        <v>-1.10872595164681</v>
      </c>
      <c r="AE1185">
        <v>-6.7065000000000001</v>
      </c>
      <c r="AF1185">
        <v>1.8131847450305201</v>
      </c>
      <c r="AG1185">
        <v>-1.10872595164681</v>
      </c>
      <c r="AH1185">
        <v>6.6588568927705998</v>
      </c>
      <c r="AI1185">
        <v>99.126838920014507</v>
      </c>
      <c r="AJ1185">
        <v>74.7678459839683</v>
      </c>
      <c r="AK1185">
        <v>6.9897988006712302</v>
      </c>
      <c r="AL1185">
        <v>68.368256563188297</v>
      </c>
      <c r="AM1185">
        <v>81.483462150503996</v>
      </c>
      <c r="AN1185">
        <v>0.99999995146428799</v>
      </c>
    </row>
    <row r="1186" spans="1:40" x14ac:dyDescent="0.25">
      <c r="A1186" t="str">
        <f>"20190304164619205"</f>
        <v>20190304164619205</v>
      </c>
      <c r="B1186" t="str">
        <f>"1551689179199201"</f>
        <v>1551689179199201</v>
      </c>
      <c r="C1186" t="s">
        <v>40</v>
      </c>
      <c r="D1186">
        <v>4.9387660000000002</v>
      </c>
      <c r="E1186">
        <v>0.56972069999999997</v>
      </c>
      <c r="F1186" t="s">
        <v>45</v>
      </c>
      <c r="G1186">
        <v>-194.25700000000001</v>
      </c>
      <c r="H1186" s="1">
        <v>9.2572949999999995E-8</v>
      </c>
      <c r="I1186">
        <v>299.09070000000003</v>
      </c>
      <c r="J1186">
        <v>-191.97149999999999</v>
      </c>
      <c r="K1186">
        <v>1.108711</v>
      </c>
      <c r="L1186">
        <v>305.82679999999999</v>
      </c>
      <c r="M1186">
        <v>-6.0295380000000003E-2</v>
      </c>
      <c r="N1186">
        <v>-1.385596E-2</v>
      </c>
      <c r="O1186">
        <v>-0.99808450000000004</v>
      </c>
      <c r="P1186">
        <v>-0.1924178</v>
      </c>
      <c r="Q1186">
        <v>0.35728369999999998</v>
      </c>
      <c r="R1186">
        <v>-0.91396080000000002</v>
      </c>
      <c r="S1186">
        <v>-1.078568</v>
      </c>
      <c r="T1186">
        <v>-0.51939190000000002</v>
      </c>
      <c r="U1186">
        <v>-3.259369</v>
      </c>
      <c r="V1186">
        <v>0.13921059999999999</v>
      </c>
      <c r="W1186">
        <v>0.36920789999999998</v>
      </c>
      <c r="X1186">
        <v>0.91886120000000004</v>
      </c>
      <c r="Y1186">
        <v>0.25310260000000001</v>
      </c>
      <c r="Z1186">
        <v>0.13690089999999999</v>
      </c>
      <c r="AA1186">
        <v>0.95770420000000001</v>
      </c>
      <c r="AB1186">
        <v>23</v>
      </c>
      <c r="AC1186">
        <v>-2.2855000000000101</v>
      </c>
      <c r="AD1186">
        <v>-1.10871090742705</v>
      </c>
      <c r="AE1186">
        <v>-6.7360999999999596</v>
      </c>
      <c r="AF1186">
        <v>1.8306719543399399</v>
      </c>
      <c r="AG1186">
        <v>-1.10871090742705</v>
      </c>
      <c r="AH1186">
        <v>6.6989168464134297</v>
      </c>
      <c r="AI1186">
        <v>99.070824839223306</v>
      </c>
      <c r="AJ1186">
        <v>74.715472958756607</v>
      </c>
      <c r="AK1186">
        <v>7.0325021575408098</v>
      </c>
      <c r="AL1186">
        <v>68.333224929476899</v>
      </c>
      <c r="AM1186">
        <v>81.385009770756</v>
      </c>
      <c r="AN1186">
        <v>0.99999998472010498</v>
      </c>
    </row>
    <row r="1187" spans="1:40" x14ac:dyDescent="0.25">
      <c r="A1187" t="str">
        <f>"20190304164619226"</f>
        <v>20190304164619226</v>
      </c>
      <c r="B1187" t="str">
        <f>"1551689179219227"</f>
        <v>1551689179219227</v>
      </c>
      <c r="C1187" t="s">
        <v>40</v>
      </c>
      <c r="D1187">
        <v>4.9479129999999998</v>
      </c>
      <c r="E1187">
        <v>0.5693899</v>
      </c>
      <c r="F1187" t="s">
        <v>45</v>
      </c>
      <c r="G1187">
        <v>-194.33019999999999</v>
      </c>
      <c r="H1187" s="1">
        <v>1.376695E-7</v>
      </c>
      <c r="I1187">
        <v>298.83460000000002</v>
      </c>
      <c r="J1187">
        <v>-191.9888</v>
      </c>
      <c r="K1187">
        <v>1.1086800000000001</v>
      </c>
      <c r="L1187">
        <v>305.60989999999998</v>
      </c>
      <c r="M1187">
        <v>-6.4002240000000002E-2</v>
      </c>
      <c r="N1187">
        <v>-1.385758E-2</v>
      </c>
      <c r="O1187">
        <v>-0.99785360000000001</v>
      </c>
      <c r="P1187">
        <v>-0.19698070000000001</v>
      </c>
      <c r="Q1187">
        <v>0.35889539999999998</v>
      </c>
      <c r="R1187">
        <v>-0.91235580000000005</v>
      </c>
      <c r="S1187">
        <v>-1.0973660000000001</v>
      </c>
      <c r="T1187">
        <v>-0.51581080000000001</v>
      </c>
      <c r="U1187">
        <v>-3.2530209999999999</v>
      </c>
      <c r="V1187">
        <v>0.1404745</v>
      </c>
      <c r="W1187">
        <v>0.37079109999999998</v>
      </c>
      <c r="X1187">
        <v>0.91803100000000004</v>
      </c>
      <c r="Y1187">
        <v>0.25508829999999999</v>
      </c>
      <c r="Z1187">
        <v>0.13594319999999999</v>
      </c>
      <c r="AA1187">
        <v>0.95731370000000005</v>
      </c>
      <c r="AB1187">
        <v>23</v>
      </c>
      <c r="AC1187">
        <v>-2.3413999999999899</v>
      </c>
      <c r="AD1187">
        <v>-1.1086798623305001</v>
      </c>
      <c r="AE1187">
        <v>-6.7752999999999597</v>
      </c>
      <c r="AF1187">
        <v>1.8584681661503599</v>
      </c>
      <c r="AG1187">
        <v>-1.1086798623305001</v>
      </c>
      <c r="AH1187">
        <v>6.7498201320390399</v>
      </c>
      <c r="AI1187">
        <v>98.998648210933396</v>
      </c>
      <c r="AJ1187">
        <v>74.605854876424601</v>
      </c>
      <c r="AK1187">
        <v>7.0882400337891296</v>
      </c>
      <c r="AL1187">
        <v>68.235585741580195</v>
      </c>
      <c r="AM1187">
        <v>81.300242922548307</v>
      </c>
      <c r="AN1187">
        <v>1.00000002097522</v>
      </c>
    </row>
    <row r="1188" spans="1:40" x14ac:dyDescent="0.25">
      <c r="A1188" t="str">
        <f>"20190304164619249"</f>
        <v>20190304164619249</v>
      </c>
      <c r="B1188" t="str">
        <f>"1551689179238746"</f>
        <v>1551689179238746</v>
      </c>
      <c r="C1188" t="s">
        <v>40</v>
      </c>
      <c r="D1188">
        <v>4.9327350000000001</v>
      </c>
      <c r="E1188">
        <v>0.56905249999999996</v>
      </c>
      <c r="F1188" t="s">
        <v>45</v>
      </c>
      <c r="G1188">
        <v>-194.42060000000001</v>
      </c>
      <c r="H1188" s="1">
        <v>1.913192E-7</v>
      </c>
      <c r="I1188">
        <v>298.52999999999997</v>
      </c>
      <c r="J1188">
        <v>-192.00899999999999</v>
      </c>
      <c r="K1188">
        <v>1.108622</v>
      </c>
      <c r="L1188">
        <v>305.36900000000003</v>
      </c>
      <c r="M1188">
        <v>-6.8230189999999996E-2</v>
      </c>
      <c r="N1188">
        <v>-1.3860849999999999E-2</v>
      </c>
      <c r="O1188">
        <v>-0.99757340000000005</v>
      </c>
      <c r="P1188">
        <v>-0.20202639999999999</v>
      </c>
      <c r="Q1188">
        <v>0.36027199999999998</v>
      </c>
      <c r="R1188">
        <v>-0.91070850000000003</v>
      </c>
      <c r="S1188">
        <v>-1.115448</v>
      </c>
      <c r="T1188">
        <v>-0.50852699999999995</v>
      </c>
      <c r="U1188">
        <v>-3.2474059999999998</v>
      </c>
      <c r="V1188">
        <v>0.14177290000000001</v>
      </c>
      <c r="W1188">
        <v>0.3721312</v>
      </c>
      <c r="X1188">
        <v>0.91728880000000002</v>
      </c>
      <c r="Y1188">
        <v>0.25636360000000002</v>
      </c>
      <c r="Z1188">
        <v>0.13390729999999901</v>
      </c>
      <c r="AA1188">
        <v>0.95725990000000005</v>
      </c>
      <c r="AB1188">
        <v>23</v>
      </c>
      <c r="AC1188">
        <v>-2.4115999999999902</v>
      </c>
      <c r="AD1188">
        <v>-1.1086218086808</v>
      </c>
      <c r="AE1188">
        <v>-6.8390000000000502</v>
      </c>
      <c r="AF1188">
        <v>1.8950188755990001</v>
      </c>
      <c r="AG1188">
        <v>-1.1086218086808</v>
      </c>
      <c r="AH1188">
        <v>6.8280391223189802</v>
      </c>
      <c r="AI1188">
        <v>98.891821431363297</v>
      </c>
      <c r="AJ1188">
        <v>74.488811021821803</v>
      </c>
      <c r="AK1188">
        <v>7.1723257810474399</v>
      </c>
      <c r="AL1188">
        <v>68.152885086005696</v>
      </c>
      <c r="AM1188">
        <v>81.214086019659604</v>
      </c>
      <c r="AN1188">
        <v>0.99999996389664403</v>
      </c>
    </row>
    <row r="1189" spans="1:40" x14ac:dyDescent="0.25">
      <c r="A1189" t="str">
        <f>"20190304164619296"</f>
        <v>20190304164619296</v>
      </c>
      <c r="B1189" t="str">
        <f>"1551689179289498"</f>
        <v>1551689179289498</v>
      </c>
      <c r="C1189" t="s">
        <v>40</v>
      </c>
      <c r="D1189">
        <v>4.7475800000000001</v>
      </c>
      <c r="E1189">
        <v>0.56838869999999997</v>
      </c>
      <c r="F1189" t="s">
        <v>45</v>
      </c>
      <c r="G1189">
        <v>-194.50919999999999</v>
      </c>
      <c r="H1189" s="1">
        <v>2.4616010000000002E-7</v>
      </c>
      <c r="I1189">
        <v>298.21859999999998</v>
      </c>
      <c r="J1189">
        <v>-192.0532</v>
      </c>
      <c r="K1189">
        <v>1.108447</v>
      </c>
      <c r="L1189">
        <v>304.88850000000002</v>
      </c>
      <c r="M1189">
        <v>-7.7118599999999995E-2</v>
      </c>
      <c r="N1189">
        <v>-1.387244E-2</v>
      </c>
      <c r="O1189">
        <v>-0.99692550000000002</v>
      </c>
      <c r="P1189">
        <v>-0.2123024</v>
      </c>
      <c r="Q1189">
        <v>0.3625292</v>
      </c>
      <c r="R1189">
        <v>-0.90746919999999998</v>
      </c>
      <c r="S1189">
        <v>-1.1334379999999999</v>
      </c>
      <c r="T1189">
        <v>-0.50258179999999997</v>
      </c>
      <c r="U1189">
        <v>-3.2415769999999999</v>
      </c>
      <c r="V1189">
        <v>0.14423440000000001</v>
      </c>
      <c r="W1189">
        <v>0.37429889999999999</v>
      </c>
      <c r="X1189">
        <v>0.91602220000000001</v>
      </c>
      <c r="Y1189">
        <v>0.25310339999999998</v>
      </c>
      <c r="Z1189">
        <v>0.1322681</v>
      </c>
      <c r="AA1189">
        <v>0.9583547</v>
      </c>
      <c r="AB1189">
        <v>23</v>
      </c>
      <c r="AC1189">
        <v>-2.45599999999998</v>
      </c>
      <c r="AD1189">
        <v>-1.1084467538399001</v>
      </c>
      <c r="AE1189">
        <v>-6.6699000000000401</v>
      </c>
      <c r="AF1189">
        <v>1.8883365467680899</v>
      </c>
      <c r="AG1189">
        <v>-1.1084467538399001</v>
      </c>
      <c r="AH1189">
        <v>6.6770653513484897</v>
      </c>
      <c r="AI1189">
        <v>99.075904264610998</v>
      </c>
      <c r="AJ1189">
        <v>74.208600624583596</v>
      </c>
      <c r="AK1189">
        <v>7.0269247061667599</v>
      </c>
      <c r="AL1189">
        <v>68.019011629633098</v>
      </c>
      <c r="AM1189">
        <v>81.0518275918744</v>
      </c>
      <c r="AN1189">
        <v>0.99999994978870299</v>
      </c>
    </row>
    <row r="1190" spans="1:40" x14ac:dyDescent="0.25">
      <c r="A1190" t="str">
        <f>"20190304164619323"</f>
        <v>20190304164619323</v>
      </c>
      <c r="B1190" t="str">
        <f>"1551689179319285"</f>
        <v>1551689179319285</v>
      </c>
      <c r="C1190" t="s">
        <v>40</v>
      </c>
      <c r="D1190">
        <v>4.7587289999999998</v>
      </c>
      <c r="E1190">
        <v>0.56219949999999996</v>
      </c>
      <c r="F1190" t="s">
        <v>45</v>
      </c>
      <c r="G1190">
        <v>-194.68940000000001</v>
      </c>
      <c r="H1190" s="1">
        <v>3.5609930000000002E-7</v>
      </c>
      <c r="I1190">
        <v>297.59440000000001</v>
      </c>
      <c r="J1190">
        <v>-192.0789</v>
      </c>
      <c r="K1190">
        <v>1.1083480000000001</v>
      </c>
      <c r="L1190">
        <v>304.63240000000002</v>
      </c>
      <c r="M1190">
        <v>-8.2137619999999995E-2</v>
      </c>
      <c r="N1190">
        <v>-1.3880450000000001E-2</v>
      </c>
      <c r="O1190">
        <v>-0.99652439999999998</v>
      </c>
      <c r="P1190">
        <v>-0.21746389999999999</v>
      </c>
      <c r="Q1190">
        <v>0.36364790000000002</v>
      </c>
      <c r="R1190">
        <v>-0.90579770000000004</v>
      </c>
      <c r="S1190">
        <v>-1.166992</v>
      </c>
      <c r="T1190">
        <v>-0.49067899999999998</v>
      </c>
      <c r="U1190">
        <v>-3.2289119999999998</v>
      </c>
      <c r="V1190">
        <v>0.14498220000000001</v>
      </c>
      <c r="W1190">
        <v>0.3753745</v>
      </c>
      <c r="X1190">
        <v>0.9154639</v>
      </c>
      <c r="Y1190">
        <v>0.2583877</v>
      </c>
      <c r="Z1190">
        <v>0.1289835</v>
      </c>
      <c r="AA1190">
        <v>0.95739180000000002</v>
      </c>
      <c r="AB1190">
        <v>23</v>
      </c>
      <c r="AC1190">
        <v>-2.6105</v>
      </c>
      <c r="AD1190">
        <v>-1.1083476439006901</v>
      </c>
      <c r="AE1190">
        <v>-7.03800000000001</v>
      </c>
      <c r="AF1190">
        <v>1.9803636828506801</v>
      </c>
      <c r="AG1190">
        <v>-1.1083476439006901</v>
      </c>
      <c r="AH1190">
        <v>7.07442676964732</v>
      </c>
      <c r="AI1190">
        <v>98.579500098691199</v>
      </c>
      <c r="AJ1190">
        <v>74.361327053320295</v>
      </c>
      <c r="AK1190">
        <v>7.4295214472533004</v>
      </c>
      <c r="AL1190">
        <v>67.952538956741606</v>
      </c>
      <c r="AM1190">
        <v>81.000796002629301</v>
      </c>
      <c r="AN1190">
        <v>1.0000000028851499</v>
      </c>
    </row>
    <row r="1191" spans="1:40" x14ac:dyDescent="0.25">
      <c r="A1191" t="str">
        <f>"20190304164619344"</f>
        <v>20190304164619344</v>
      </c>
      <c r="B1191" t="str">
        <f>"1551689179338805"</f>
        <v>1551689179338805</v>
      </c>
      <c r="C1191" t="s">
        <v>40</v>
      </c>
      <c r="D1191">
        <v>4.9543599999999897</v>
      </c>
      <c r="E1191">
        <v>0.55894549999999998</v>
      </c>
      <c r="F1191" t="s">
        <v>45</v>
      </c>
      <c r="G1191">
        <v>-196.16480000000001</v>
      </c>
      <c r="H1191" s="1">
        <v>1.4514810000000001E-6</v>
      </c>
      <c r="I1191">
        <v>293.28480000000002</v>
      </c>
      <c r="J1191">
        <v>-192.10480000000001</v>
      </c>
      <c r="K1191">
        <v>1.10826</v>
      </c>
      <c r="L1191">
        <v>304.38810000000001</v>
      </c>
      <c r="M1191">
        <v>-8.7084800000000004E-2</v>
      </c>
      <c r="N1191">
        <v>-1.388727E-2</v>
      </c>
      <c r="O1191">
        <v>-0.99610410000000005</v>
      </c>
      <c r="P1191">
        <v>-0.2224653</v>
      </c>
      <c r="Q1191">
        <v>0.36488890000000002</v>
      </c>
      <c r="R1191">
        <v>-0.90408279999999996</v>
      </c>
      <c r="S1191">
        <v>-1.1387480000000001</v>
      </c>
      <c r="T1191">
        <v>-0.30889620000000001</v>
      </c>
      <c r="U1191">
        <v>-3.1625670000000001</v>
      </c>
      <c r="V1191">
        <v>0.14563019999999999</v>
      </c>
      <c r="W1191">
        <v>0.37657810000000003</v>
      </c>
      <c r="X1191">
        <v>0.91486659999999997</v>
      </c>
      <c r="Y1191">
        <v>0.25432070000000001</v>
      </c>
      <c r="Z1191">
        <v>7.8569020000000003E-2</v>
      </c>
      <c r="AA1191">
        <v>0.96392319999999998</v>
      </c>
      <c r="AB1191">
        <v>23</v>
      </c>
      <c r="AC1191">
        <v>-4.0599999999999996</v>
      </c>
      <c r="AD1191">
        <v>-1.108258548519</v>
      </c>
      <c r="AE1191">
        <v>-11.1032999999999</v>
      </c>
      <c r="AF1191">
        <v>3.0507415984740001</v>
      </c>
      <c r="AG1191">
        <v>-1.108258548519</v>
      </c>
      <c r="AH1191">
        <v>11.3152718760819</v>
      </c>
      <c r="AI1191">
        <v>95.402213923001398</v>
      </c>
      <c r="AJ1191">
        <v>74.911106949898198</v>
      </c>
      <c r="AK1191">
        <v>11.771603074376699</v>
      </c>
      <c r="AL1191">
        <v>67.878118672910205</v>
      </c>
      <c r="AM1191">
        <v>80.955432788756795</v>
      </c>
      <c r="AN1191">
        <v>1.0000000581735999</v>
      </c>
    </row>
    <row r="1192" spans="1:40" x14ac:dyDescent="0.25">
      <c r="A1192" t="str">
        <f>"20190304164619385"</f>
        <v>20190304164619385</v>
      </c>
      <c r="B1192" t="str">
        <f>"1551689179378821"</f>
        <v>1551689179378821</v>
      </c>
      <c r="C1192" t="s">
        <v>40</v>
      </c>
      <c r="D1192">
        <v>4.9404830000000004</v>
      </c>
      <c r="E1192">
        <v>0.55709350000000002</v>
      </c>
      <c r="F1192" t="s">
        <v>45</v>
      </c>
      <c r="G1192">
        <v>-195.22800000000001</v>
      </c>
      <c r="H1192" s="1">
        <v>9.6459170000000001E-7</v>
      </c>
      <c r="I1192">
        <v>295.56529999999998</v>
      </c>
      <c r="J1192">
        <v>-192.1523</v>
      </c>
      <c r="K1192">
        <v>1.1080840000000001</v>
      </c>
      <c r="L1192">
        <v>303.97149999999999</v>
      </c>
      <c r="M1192">
        <v>-9.6051339999999999E-2</v>
      </c>
      <c r="N1192">
        <v>-1.3902400000000001E-2</v>
      </c>
      <c r="O1192">
        <v>-0.99527929999999998</v>
      </c>
      <c r="P1192">
        <v>-0.23145379999999999</v>
      </c>
      <c r="Q1192">
        <v>0.3674982</v>
      </c>
      <c r="R1192">
        <v>-0.90076330000000004</v>
      </c>
      <c r="S1192">
        <v>-1.133392</v>
      </c>
      <c r="T1192">
        <v>-0.40217639999999999</v>
      </c>
      <c r="U1192">
        <v>-3.2016909999999998</v>
      </c>
      <c r="V1192">
        <v>0.14679919999999999</v>
      </c>
      <c r="W1192">
        <v>0.37911</v>
      </c>
      <c r="X1192">
        <v>0.91363320000000003</v>
      </c>
      <c r="Y1192">
        <v>0.23955509999999999</v>
      </c>
      <c r="Z1192">
        <v>0.1048384</v>
      </c>
      <c r="AA1192">
        <v>0.9652058</v>
      </c>
      <c r="AB1192">
        <v>23</v>
      </c>
      <c r="AC1192">
        <v>-3.0756999999999799</v>
      </c>
      <c r="AD1192">
        <v>-1.1080830354083</v>
      </c>
      <c r="AE1192">
        <v>-8.4062000000000108</v>
      </c>
      <c r="AF1192">
        <v>2.2199523092293698</v>
      </c>
      <c r="AG1192">
        <v>-1.1080830354083</v>
      </c>
      <c r="AH1192">
        <v>8.5320314576180305</v>
      </c>
      <c r="AI1192">
        <v>97.163852542257402</v>
      </c>
      <c r="AJ1192">
        <v>75.415568238250401</v>
      </c>
      <c r="AK1192">
        <v>8.8854711221406895</v>
      </c>
      <c r="AL1192">
        <v>67.721435346647795</v>
      </c>
      <c r="AM1192">
        <v>80.871945282327999</v>
      </c>
      <c r="AN1192">
        <v>1.00000001068144</v>
      </c>
    </row>
    <row r="1193" spans="1:40" x14ac:dyDescent="0.25">
      <c r="A1193" t="str">
        <f>"20190304164619406"</f>
        <v>20190304164619406</v>
      </c>
      <c r="B1193" t="str">
        <f>"1551689179399318"</f>
        <v>1551689179399318</v>
      </c>
      <c r="C1193" t="s">
        <v>40</v>
      </c>
      <c r="D1193">
        <v>4.8205090000000004</v>
      </c>
      <c r="E1193">
        <v>0.55732289999999995</v>
      </c>
      <c r="F1193" t="s">
        <v>45</v>
      </c>
      <c r="G1193">
        <v>-194.99369999999999</v>
      </c>
      <c r="H1193" s="1">
        <v>8.1667509999999899E-7</v>
      </c>
      <c r="I1193">
        <v>296.04259999999999</v>
      </c>
      <c r="J1193">
        <v>-192.179</v>
      </c>
      <c r="K1193">
        <v>1.1079639999999999</v>
      </c>
      <c r="L1193">
        <v>303.7527</v>
      </c>
      <c r="M1193">
        <v>-0.1010312</v>
      </c>
      <c r="N1193">
        <v>-1.391448E-2</v>
      </c>
      <c r="O1193">
        <v>-0.99478610000000001</v>
      </c>
      <c r="P1193">
        <v>-0.23504340000000001</v>
      </c>
      <c r="Q1193">
        <v>0.36870350000000002</v>
      </c>
      <c r="R1193">
        <v>-0.89934020000000003</v>
      </c>
      <c r="S1193">
        <v>-1.1530910000000001</v>
      </c>
      <c r="T1193">
        <v>-0.4496791</v>
      </c>
      <c r="U1193">
        <v>-3.2176819999999999</v>
      </c>
      <c r="V1193">
        <v>0.14603740000000001</v>
      </c>
      <c r="W1193">
        <v>0.38028430000000002</v>
      </c>
      <c r="X1193">
        <v>0.91326719999999895</v>
      </c>
      <c r="Y1193">
        <v>0.23792440000000001</v>
      </c>
      <c r="Z1193">
        <v>0.1178039</v>
      </c>
      <c r="AA1193">
        <v>0.9641132</v>
      </c>
      <c r="AB1193">
        <v>23</v>
      </c>
      <c r="AC1193">
        <v>-2.8146999999999802</v>
      </c>
      <c r="AD1193">
        <v>-1.1079631833249</v>
      </c>
      <c r="AE1193">
        <v>-7.7101000000000104</v>
      </c>
      <c r="AF1193">
        <v>1.9850869183547899</v>
      </c>
      <c r="AG1193">
        <v>-1.1079631833249</v>
      </c>
      <c r="AH1193">
        <v>7.8126791882279001</v>
      </c>
      <c r="AI1193">
        <v>97.826187565068395</v>
      </c>
      <c r="AJ1193">
        <v>75.743667694364007</v>
      </c>
      <c r="AK1193">
        <v>8.1367136232754405</v>
      </c>
      <c r="AL1193">
        <v>67.648706621954503</v>
      </c>
      <c r="AM1193">
        <v>80.914944236662805</v>
      </c>
      <c r="AN1193">
        <v>1.0000000248105401</v>
      </c>
    </row>
    <row r="1194" spans="1:40" x14ac:dyDescent="0.25">
      <c r="A1194" t="str">
        <f>"20190304164619449"</f>
        <v>20190304164619449</v>
      </c>
      <c r="B1194" t="str">
        <f>"1551689179438863"</f>
        <v>1551689179438863</v>
      </c>
      <c r="C1194" t="s">
        <v>40</v>
      </c>
      <c r="D1194">
        <v>4.9629709999999996</v>
      </c>
      <c r="E1194">
        <v>0.55709529999999996</v>
      </c>
      <c r="F1194" t="s">
        <v>45</v>
      </c>
      <c r="G1194">
        <v>-195.06280000000001</v>
      </c>
      <c r="H1194" s="1">
        <v>8.8416269999999899E-7</v>
      </c>
      <c r="I1194">
        <v>295.83429999999998</v>
      </c>
      <c r="J1194">
        <v>-192.2379</v>
      </c>
      <c r="K1194">
        <v>1.1077049999999999</v>
      </c>
      <c r="L1194">
        <v>303.30549999999999</v>
      </c>
      <c r="M1194">
        <v>-0.11174969999999999</v>
      </c>
      <c r="N1194">
        <v>-1.394024E-2</v>
      </c>
      <c r="O1194">
        <v>-0.99363869999999999</v>
      </c>
      <c r="P1194">
        <v>-0.24540600000000001</v>
      </c>
      <c r="Q1194">
        <v>0.36979990000000001</v>
      </c>
      <c r="R1194">
        <v>-0.89611629999999998</v>
      </c>
      <c r="S1194">
        <v>-1.1705779999999999</v>
      </c>
      <c r="T1194">
        <v>-0.4497485</v>
      </c>
      <c r="U1194">
        <v>-3.214264</v>
      </c>
      <c r="V1194">
        <v>0.14703260000000001</v>
      </c>
      <c r="W1194">
        <v>0.38129829999999998</v>
      </c>
      <c r="X1194">
        <v>0.91268450000000001</v>
      </c>
      <c r="Y1194">
        <v>0.23242750000000001</v>
      </c>
      <c r="Z1194">
        <v>0.11770369999999999</v>
      </c>
      <c r="AA1194">
        <v>0.96546529999999997</v>
      </c>
      <c r="AB1194">
        <v>23</v>
      </c>
      <c r="AC1194">
        <v>-2.8249000000000102</v>
      </c>
      <c r="AD1194">
        <v>-1.1077041158373</v>
      </c>
      <c r="AE1194">
        <v>-7.4711999999999996</v>
      </c>
      <c r="AF1194">
        <v>1.93500223849841</v>
      </c>
      <c r="AG1194">
        <v>-1.1077041158373</v>
      </c>
      <c r="AH1194">
        <v>7.5940543397037201</v>
      </c>
      <c r="AI1194">
        <v>98.045360613674305</v>
      </c>
      <c r="AJ1194">
        <v>75.704944682019999</v>
      </c>
      <c r="AK1194">
        <v>7.9146006459965896</v>
      </c>
      <c r="AL1194">
        <v>67.585874155439896</v>
      </c>
      <c r="AM1194">
        <v>80.848334879995406</v>
      </c>
      <c r="AN1194">
        <v>0.99999998779294996</v>
      </c>
    </row>
    <row r="1195" spans="1:40" x14ac:dyDescent="0.25">
      <c r="A1195" t="str">
        <f>"20190304164619471"</f>
        <v>20190304164619471</v>
      </c>
      <c r="B1195" t="str">
        <f>"1551689179459359"</f>
        <v>1551689179459359</v>
      </c>
      <c r="C1195" t="s">
        <v>40</v>
      </c>
      <c r="D1195">
        <v>4.9674870000000002</v>
      </c>
      <c r="E1195">
        <v>0.55789080000000002</v>
      </c>
      <c r="F1195" t="s">
        <v>41</v>
      </c>
      <c r="G1195">
        <v>-192.51759999999999</v>
      </c>
      <c r="H1195">
        <v>1.0042489999999999</v>
      </c>
      <c r="I1195">
        <v>302.56240000000003</v>
      </c>
      <c r="J1195">
        <v>-192.2688</v>
      </c>
      <c r="K1195">
        <v>1.1075980000000001</v>
      </c>
      <c r="L1195">
        <v>303.08710000000002</v>
      </c>
      <c r="M1195">
        <v>-0.1172483</v>
      </c>
      <c r="N1195">
        <v>-1.395221E-2</v>
      </c>
      <c r="O1195">
        <v>-0.99300469999999996</v>
      </c>
      <c r="P1195">
        <v>-0.25074039999999997</v>
      </c>
      <c r="Q1195">
        <v>0.36969740000000001</v>
      </c>
      <c r="R1195">
        <v>-0.894680699999999</v>
      </c>
      <c r="S1195">
        <v>-1.2040709999999999</v>
      </c>
      <c r="T1195">
        <v>-0.44545560000000001</v>
      </c>
      <c r="U1195">
        <v>-3.2018740000000001</v>
      </c>
      <c r="V1195">
        <v>0.14751359999999999</v>
      </c>
      <c r="W1195">
        <v>0.38116480000000003</v>
      </c>
      <c r="X1195">
        <v>0.91266270000000005</v>
      </c>
      <c r="Y1195">
        <v>0.23716909999999999</v>
      </c>
      <c r="Z1195">
        <v>0.11651980000000001</v>
      </c>
      <c r="AA1195">
        <v>0.96445519999999996</v>
      </c>
      <c r="AB1195">
        <v>23</v>
      </c>
      <c r="AC1195">
        <v>-0.248799999999988</v>
      </c>
      <c r="AD1195">
        <v>-0.103348999999999</v>
      </c>
      <c r="AE1195">
        <v>-0.52469999999999495</v>
      </c>
      <c r="AF1195">
        <v>0.179860438503263</v>
      </c>
      <c r="AG1195">
        <v>-0.103348999999999</v>
      </c>
      <c r="AH1195">
        <v>0.53336051629274805</v>
      </c>
      <c r="AI1195">
        <v>100.404227353785</v>
      </c>
      <c r="AJ1195">
        <v>71.3648063985015</v>
      </c>
      <c r="AK1195">
        <v>0.57227985590937303</v>
      </c>
      <c r="AL1195">
        <v>67.594149111126498</v>
      </c>
      <c r="AM1195">
        <v>80.818689763067397</v>
      </c>
      <c r="AN1195">
        <v>1.0000000354576399</v>
      </c>
    </row>
    <row r="1196" spans="1:40" x14ac:dyDescent="0.25">
      <c r="A1196" t="str">
        <f>"20190304164619498"</f>
        <v>20190304164619498</v>
      </c>
      <c r="B1196" t="str">
        <f>"1551689179488638"</f>
        <v>1551689179488638</v>
      </c>
      <c r="C1196" t="s">
        <v>40</v>
      </c>
      <c r="D1196">
        <v>4.9038279999999999</v>
      </c>
      <c r="E1196">
        <v>0.56032649999999995</v>
      </c>
      <c r="F1196" t="s">
        <v>41</v>
      </c>
      <c r="G1196">
        <v>-192.547</v>
      </c>
      <c r="H1196">
        <v>1.004284</v>
      </c>
      <c r="I1196">
        <v>302.36040000000003</v>
      </c>
      <c r="J1196">
        <v>-192.31010000000001</v>
      </c>
      <c r="K1196">
        <v>1.1074949999999999</v>
      </c>
      <c r="L1196">
        <v>302.80950000000001</v>
      </c>
      <c r="M1196">
        <v>-0.1244493</v>
      </c>
      <c r="N1196">
        <v>-1.396653E-2</v>
      </c>
      <c r="O1196">
        <v>-0.9921278</v>
      </c>
      <c r="P1196">
        <v>-0.25712079999999998</v>
      </c>
      <c r="Q1196">
        <v>0.36959609999999998</v>
      </c>
      <c r="R1196">
        <v>-0.89290990000000003</v>
      </c>
      <c r="S1196">
        <v>-1.224335</v>
      </c>
      <c r="T1196">
        <v>-0.45474589999999998</v>
      </c>
      <c r="U1196">
        <v>-3.1979980000000001</v>
      </c>
      <c r="V1196">
        <v>0.14749689999999999</v>
      </c>
      <c r="W1196">
        <v>0.38104139999999997</v>
      </c>
      <c r="X1196">
        <v>0.91271690000000005</v>
      </c>
      <c r="Y1196">
        <v>0.23573949999999999</v>
      </c>
      <c r="Z1196">
        <v>0.1190517</v>
      </c>
      <c r="AA1196">
        <v>0.96449660000000004</v>
      </c>
      <c r="AB1196">
        <v>23</v>
      </c>
      <c r="AC1196">
        <v>-0.23689999999999101</v>
      </c>
      <c r="AD1196">
        <v>-0.103211</v>
      </c>
      <c r="AE1196">
        <v>-0.44909999999998701</v>
      </c>
      <c r="AF1196">
        <v>0.172053303299947</v>
      </c>
      <c r="AG1196">
        <v>-0.103211</v>
      </c>
      <c r="AH1196">
        <v>0.45624153867373002</v>
      </c>
      <c r="AI1196">
        <v>101.95135029343901</v>
      </c>
      <c r="AJ1196">
        <v>69.338032802853405</v>
      </c>
      <c r="AK1196">
        <v>0.49840865894243502</v>
      </c>
      <c r="AL1196">
        <v>67.601795983187102</v>
      </c>
      <c r="AM1196">
        <v>80.820247351571993</v>
      </c>
      <c r="AN1196">
        <v>1.00000001178459</v>
      </c>
    </row>
    <row r="1197" spans="1:40" x14ac:dyDescent="0.25">
      <c r="A1197" t="str">
        <f>"20190304164619521"</f>
        <v>20190304164619521</v>
      </c>
      <c r="B1197" t="str">
        <f>"1551689179509135"</f>
        <v>1551689179509135</v>
      </c>
      <c r="C1197" t="s">
        <v>40</v>
      </c>
      <c r="D1197">
        <v>4.8781639999999999</v>
      </c>
      <c r="E1197">
        <v>0.5621604</v>
      </c>
      <c r="F1197" t="s">
        <v>45</v>
      </c>
      <c r="G1197">
        <v>-195.36199999999999</v>
      </c>
      <c r="H1197" s="1">
        <v>1.111407E-6</v>
      </c>
      <c r="I1197">
        <v>295.1164</v>
      </c>
      <c r="J1197">
        <v>-192.3466</v>
      </c>
      <c r="K1197">
        <v>1.107442</v>
      </c>
      <c r="L1197">
        <v>302.57619999999997</v>
      </c>
      <c r="M1197">
        <v>-0.13064200000000001</v>
      </c>
      <c r="N1197">
        <v>-1.397695E-2</v>
      </c>
      <c r="O1197">
        <v>-0.99133130000000003</v>
      </c>
      <c r="P1197">
        <v>-0.26262419999999997</v>
      </c>
      <c r="Q1197">
        <v>0.36909160000000002</v>
      </c>
      <c r="R1197">
        <v>-0.89151579999999997</v>
      </c>
      <c r="S1197">
        <v>-1.263763</v>
      </c>
      <c r="T1197">
        <v>-0.45860820000000002</v>
      </c>
      <c r="U1197">
        <v>-3.1856689999999999</v>
      </c>
      <c r="V1197">
        <v>0.14744779999999999</v>
      </c>
      <c r="W1197">
        <v>0.38053039999999999</v>
      </c>
      <c r="X1197">
        <v>0.91293800000000003</v>
      </c>
      <c r="Y1197">
        <v>0.24121980000000001</v>
      </c>
      <c r="Z1197">
        <v>0.1201118</v>
      </c>
      <c r="AA1197">
        <v>0.96300889999999995</v>
      </c>
      <c r="AB1197">
        <v>23</v>
      </c>
      <c r="AC1197">
        <v>-3.0154000000000001</v>
      </c>
      <c r="AD1197">
        <v>-1.1074408885930001</v>
      </c>
      <c r="AE1197">
        <v>-7.4597999999999702</v>
      </c>
      <c r="AF1197">
        <v>1.9774340889223201</v>
      </c>
      <c r="AG1197">
        <v>-1.1074408885930001</v>
      </c>
      <c r="AH1197">
        <v>7.6450072354199197</v>
      </c>
      <c r="AI1197">
        <v>97.9832453794847</v>
      </c>
      <c r="AJ1197">
        <v>75.497887092907405</v>
      </c>
      <c r="AK1197">
        <v>7.9738827761249897</v>
      </c>
      <c r="AL1197">
        <v>67.633459644300501</v>
      </c>
      <c r="AM1197">
        <v>80.825435854981095</v>
      </c>
      <c r="AN1197">
        <v>1.0000000154464901</v>
      </c>
    </row>
    <row r="1198" spans="1:40" x14ac:dyDescent="0.25">
      <c r="A1198" t="str">
        <f>"20190304164619544"</f>
        <v>20190304164619544</v>
      </c>
      <c r="B1198" t="str">
        <f>"1551689179538922"</f>
        <v>1551689179538922</v>
      </c>
      <c r="C1198" t="s">
        <v>40</v>
      </c>
      <c r="D1198">
        <v>4.8940130000000002</v>
      </c>
      <c r="E1198">
        <v>0.56426319999999996</v>
      </c>
      <c r="F1198" t="s">
        <v>45</v>
      </c>
      <c r="G1198">
        <v>-195.50450000000001</v>
      </c>
      <c r="H1198" s="1">
        <v>1.1951809999999999E-6</v>
      </c>
      <c r="I1198">
        <v>294.84370000000001</v>
      </c>
      <c r="J1198">
        <v>-192.3835</v>
      </c>
      <c r="K1198">
        <v>1.1074120000000001</v>
      </c>
      <c r="L1198">
        <v>302.3503</v>
      </c>
      <c r="M1198">
        <v>-0.13671079999999999</v>
      </c>
      <c r="N1198">
        <v>-1.398489E-2</v>
      </c>
      <c r="O1198">
        <v>-0.99051239999999996</v>
      </c>
      <c r="P1198">
        <v>-0.26892949999999999</v>
      </c>
      <c r="Q1198">
        <v>0.36879000000000001</v>
      </c>
      <c r="R1198">
        <v>-0.88975910000000002</v>
      </c>
      <c r="S1198">
        <v>-1.295212</v>
      </c>
      <c r="T1198">
        <v>-0.4542254</v>
      </c>
      <c r="U1198">
        <v>-3.17157</v>
      </c>
      <c r="V1198">
        <v>0.1483302</v>
      </c>
      <c r="W1198">
        <v>0.3802181</v>
      </c>
      <c r="X1198">
        <v>0.91292510000000004</v>
      </c>
      <c r="Y1198">
        <v>0.2450078</v>
      </c>
      <c r="Z1198">
        <v>0.1189501</v>
      </c>
      <c r="AA1198">
        <v>0.96219650000000001</v>
      </c>
      <c r="AB1198">
        <v>23</v>
      </c>
      <c r="AC1198">
        <v>-3.121</v>
      </c>
      <c r="AD1198">
        <v>-1.1074108048189999</v>
      </c>
      <c r="AE1198">
        <v>-7.5065999999999899</v>
      </c>
      <c r="AF1198">
        <v>2.02773111252599</v>
      </c>
      <c r="AG1198">
        <v>-1.1074108048189999</v>
      </c>
      <c r="AH1198">
        <v>7.7195784748776797</v>
      </c>
      <c r="AI1198">
        <v>97.8992445465597</v>
      </c>
      <c r="AJ1198">
        <v>75.282379731819105</v>
      </c>
      <c r="AK1198">
        <v>8.0579118874017599</v>
      </c>
      <c r="AL1198">
        <v>67.652805779296003</v>
      </c>
      <c r="AM1198">
        <v>80.771344553526305</v>
      </c>
      <c r="AN1198">
        <v>0.99999994500482803</v>
      </c>
    </row>
    <row r="1199" spans="1:40" x14ac:dyDescent="0.25">
      <c r="A1199" t="str">
        <f>"20190304164619585"</f>
        <v>20190304164619585</v>
      </c>
      <c r="B1199" t="str">
        <f>"1551689179578940"</f>
        <v>1551689179578940</v>
      </c>
      <c r="C1199" t="s">
        <v>40</v>
      </c>
      <c r="D1199">
        <v>4.834994</v>
      </c>
      <c r="E1199">
        <v>0.56564190000000003</v>
      </c>
      <c r="F1199" t="s">
        <v>45</v>
      </c>
      <c r="G1199">
        <v>-195.6627</v>
      </c>
      <c r="H1199" s="1">
        <v>1.270109E-6</v>
      </c>
      <c r="I1199">
        <v>294.5675</v>
      </c>
      <c r="J1199">
        <v>-192.45660000000001</v>
      </c>
      <c r="K1199">
        <v>1.107429</v>
      </c>
      <c r="L1199">
        <v>301.92630000000003</v>
      </c>
      <c r="M1199">
        <v>-0.14816589999999999</v>
      </c>
      <c r="N1199">
        <v>-1.399312E-2</v>
      </c>
      <c r="O1199">
        <v>-0.98886370000000001</v>
      </c>
      <c r="P1199">
        <v>-0.28270519999999999</v>
      </c>
      <c r="Q1199">
        <v>0.36747429999999998</v>
      </c>
      <c r="R1199">
        <v>-0.88602539999999996</v>
      </c>
      <c r="S1199">
        <v>-1.3297270000000001</v>
      </c>
      <c r="T1199">
        <v>-0.44905390000000001</v>
      </c>
      <c r="U1199">
        <v>-3.1559140000000001</v>
      </c>
      <c r="V1199">
        <v>0.1518486</v>
      </c>
      <c r="W1199">
        <v>0.37888060000000001</v>
      </c>
      <c r="X1199">
        <v>0.91290280000000001</v>
      </c>
      <c r="Y1199">
        <v>0.2445021</v>
      </c>
      <c r="Z1199">
        <v>0.1175136</v>
      </c>
      <c r="AA1199">
        <v>0.96250159999999996</v>
      </c>
      <c r="AB1199">
        <v>23</v>
      </c>
      <c r="AC1199">
        <v>-3.20609999999999</v>
      </c>
      <c r="AD1199">
        <v>-1.107427729891</v>
      </c>
      <c r="AE1199">
        <v>-7.3588000000000298</v>
      </c>
      <c r="AF1199">
        <v>2.0414191015572798</v>
      </c>
      <c r="AG1199">
        <v>-1.107427729891</v>
      </c>
      <c r="AH1199">
        <v>7.6078331333832798</v>
      </c>
      <c r="AI1199">
        <v>98.002803482905804</v>
      </c>
      <c r="AJ1199">
        <v>74.979579953672499</v>
      </c>
      <c r="AK1199">
        <v>7.9544272647714198</v>
      </c>
      <c r="AL1199">
        <v>67.735638664642806</v>
      </c>
      <c r="AM1199">
        <v>80.556112544095498</v>
      </c>
      <c r="AN1199">
        <v>1.0000000143130801</v>
      </c>
    </row>
    <row r="1200" spans="1:40" x14ac:dyDescent="0.25">
      <c r="A1200" t="str">
        <f>"20190304164619607"</f>
        <v>20190304164619607</v>
      </c>
      <c r="B1200" t="str">
        <f>"1551689179599434"</f>
        <v>1551689179599434</v>
      </c>
      <c r="C1200" t="s">
        <v>40</v>
      </c>
      <c r="D1200">
        <v>4.8259439999999998</v>
      </c>
      <c r="E1200">
        <v>0.56604779999999999</v>
      </c>
      <c r="F1200" t="s">
        <v>45</v>
      </c>
      <c r="G1200">
        <v>-195.7715</v>
      </c>
      <c r="H1200" s="1">
        <v>1.2888170000000001E-6</v>
      </c>
      <c r="I1200">
        <v>294.40649999999999</v>
      </c>
      <c r="J1200">
        <v>-192.4941</v>
      </c>
      <c r="K1200">
        <v>1.107453</v>
      </c>
      <c r="L1200">
        <v>301.71949999999998</v>
      </c>
      <c r="M1200">
        <v>-0.15374749999999901</v>
      </c>
      <c r="N1200">
        <v>-1.3994700000000001E-2</v>
      </c>
      <c r="O1200">
        <v>-0.98801119999999998</v>
      </c>
      <c r="P1200">
        <v>-0.28899609999999998</v>
      </c>
      <c r="Q1200">
        <v>0.36674630000000003</v>
      </c>
      <c r="R1200">
        <v>-0.88429590000000002</v>
      </c>
      <c r="S1200">
        <v>-1.3825529999999999</v>
      </c>
      <c r="T1200">
        <v>-0.4618853</v>
      </c>
      <c r="U1200">
        <v>-3.1363530000000002</v>
      </c>
      <c r="V1200">
        <v>0.15311529999999901</v>
      </c>
      <c r="W1200">
        <v>0.37815140000000003</v>
      </c>
      <c r="X1200">
        <v>0.91299359999999996</v>
      </c>
      <c r="Y1200">
        <v>0.25462380000000001</v>
      </c>
      <c r="Z1200">
        <v>0.1212054</v>
      </c>
      <c r="AA1200">
        <v>0.9594144</v>
      </c>
      <c r="AB1200">
        <v>23</v>
      </c>
      <c r="AC1200">
        <v>-3.2774000000000001</v>
      </c>
      <c r="AD1200">
        <v>-1.107451711183</v>
      </c>
      <c r="AE1200">
        <v>-7.3129999999999802</v>
      </c>
      <c r="AF1200">
        <v>2.0743449267218899</v>
      </c>
      <c r="AG1200">
        <v>-1.107451711183</v>
      </c>
      <c r="AH1200">
        <v>7.5851191315065298</v>
      </c>
      <c r="AI1200">
        <v>98.0163489132416</v>
      </c>
      <c r="AJ1200">
        <v>74.704981780546802</v>
      </c>
      <c r="AK1200">
        <v>7.9412460235636502</v>
      </c>
      <c r="AL1200">
        <v>67.7807780183593</v>
      </c>
      <c r="AM1200">
        <v>80.479699059809604</v>
      </c>
      <c r="AN1200">
        <v>1.0000000450285</v>
      </c>
    </row>
    <row r="1201" spans="1:40" x14ac:dyDescent="0.25">
      <c r="A1201" t="str">
        <f>"20190304164619629"</f>
        <v>20190304164619629</v>
      </c>
      <c r="B1201" t="str">
        <f>"1551689179619402"</f>
        <v>1551689179619402</v>
      </c>
      <c r="C1201" t="s">
        <v>40</v>
      </c>
      <c r="D1201">
        <v>4.8335160000000004</v>
      </c>
      <c r="E1201">
        <v>0.56637789999999999</v>
      </c>
      <c r="F1201" t="s">
        <v>45</v>
      </c>
      <c r="G1201">
        <v>-195.8142</v>
      </c>
      <c r="H1201" s="1">
        <v>1.2936019999999901E-6</v>
      </c>
      <c r="I1201">
        <v>294.3578</v>
      </c>
      <c r="J1201">
        <v>-192.5384</v>
      </c>
      <c r="K1201">
        <v>1.107486</v>
      </c>
      <c r="L1201">
        <v>301.48360000000002</v>
      </c>
      <c r="M1201">
        <v>-0.1600974</v>
      </c>
      <c r="N1201">
        <v>-1.399533E-2</v>
      </c>
      <c r="O1201">
        <v>-0.98700200000000005</v>
      </c>
      <c r="P1201">
        <v>-0.29539900000000002</v>
      </c>
      <c r="Q1201">
        <v>0.36580649999999998</v>
      </c>
      <c r="R1201">
        <v>-0.88256730000000005</v>
      </c>
      <c r="S1201">
        <v>-1.410126</v>
      </c>
      <c r="T1201">
        <v>-0.47037230000000002</v>
      </c>
      <c r="U1201">
        <v>-3.12677</v>
      </c>
      <c r="V1201">
        <v>0.15376699999999999</v>
      </c>
      <c r="W1201">
        <v>0.37722159999999999</v>
      </c>
      <c r="X1201">
        <v>0.91326859999999999</v>
      </c>
      <c r="Y1201">
        <v>0.2564205</v>
      </c>
      <c r="Z1201">
        <v>0.12356590000000001</v>
      </c>
      <c r="AA1201">
        <v>0.9586344</v>
      </c>
      <c r="AB1201">
        <v>23</v>
      </c>
      <c r="AC1201">
        <v>-3.2757999999999998</v>
      </c>
      <c r="AD1201">
        <v>-1.107484706398</v>
      </c>
      <c r="AE1201">
        <v>-7.1258000000000203</v>
      </c>
      <c r="AF1201">
        <v>2.05169148895243</v>
      </c>
      <c r="AG1201">
        <v>-1.107484706398</v>
      </c>
      <c r="AH1201">
        <v>7.4105923555831499</v>
      </c>
      <c r="AI1201">
        <v>98.195842349525293</v>
      </c>
      <c r="AJ1201">
        <v>74.524755222556493</v>
      </c>
      <c r="AK1201">
        <v>7.7687089919350596</v>
      </c>
      <c r="AL1201">
        <v>67.838311551720906</v>
      </c>
      <c r="AM1201">
        <v>80.442750044849504</v>
      </c>
      <c r="AN1201">
        <v>0.99999998077075902</v>
      </c>
    </row>
    <row r="1202" spans="1:40" x14ac:dyDescent="0.25">
      <c r="A1202" t="str">
        <f>"20190304164619650"</f>
        <v>20190304164619650</v>
      </c>
      <c r="B1202" t="str">
        <f>"1551689179638922"</f>
        <v>1551689179638922</v>
      </c>
      <c r="C1202" t="s">
        <v>40</v>
      </c>
      <c r="D1202">
        <v>4.8308059999999999</v>
      </c>
      <c r="E1202">
        <v>0.56663680000000005</v>
      </c>
      <c r="F1202" t="s">
        <v>45</v>
      </c>
      <c r="G1202">
        <v>-195.85669999999999</v>
      </c>
      <c r="H1202" s="1">
        <v>1.302966E-6</v>
      </c>
      <c r="I1202">
        <v>294.28320000000002</v>
      </c>
      <c r="J1202">
        <v>-192.57849999999999</v>
      </c>
      <c r="K1202">
        <v>1.1075010000000001</v>
      </c>
      <c r="L1202">
        <v>301.27679999999998</v>
      </c>
      <c r="M1202">
        <v>-0.16564119999999999</v>
      </c>
      <c r="N1202">
        <v>-1.399504E-2</v>
      </c>
      <c r="O1202">
        <v>-0.98608700000000005</v>
      </c>
      <c r="P1202">
        <v>-0.30162040000000001</v>
      </c>
      <c r="Q1202">
        <v>0.36505349999999998</v>
      </c>
      <c r="R1202">
        <v>-0.88077309999999998</v>
      </c>
      <c r="S1202">
        <v>-1.436493</v>
      </c>
      <c r="T1202">
        <v>-0.47943150000000001</v>
      </c>
      <c r="U1202">
        <v>-3.117035</v>
      </c>
      <c r="V1202">
        <v>0.1550031</v>
      </c>
      <c r="W1202">
        <v>0.37646849999999998</v>
      </c>
      <c r="X1202">
        <v>0.91337040000000003</v>
      </c>
      <c r="Y1202">
        <v>0.25868160000000001</v>
      </c>
      <c r="Z1202">
        <v>0.12610469999999999</v>
      </c>
      <c r="AA1202">
        <v>0.95769590000000004</v>
      </c>
      <c r="AB1202">
        <v>23</v>
      </c>
      <c r="AC1202">
        <v>-3.2781999999999898</v>
      </c>
      <c r="AD1202">
        <v>-1.1074996970340001</v>
      </c>
      <c r="AE1202">
        <v>-6.9935999999999501</v>
      </c>
      <c r="AF1202">
        <v>2.0325748304075399</v>
      </c>
      <c r="AG1202">
        <v>-1.1074996970340001</v>
      </c>
      <c r="AH1202">
        <v>7.2901438286123597</v>
      </c>
      <c r="AI1202">
        <v>98.325347481760105</v>
      </c>
      <c r="AJ1202">
        <v>74.420926504150501</v>
      </c>
      <c r="AK1202">
        <v>7.6487981449369897</v>
      </c>
      <c r="AL1202">
        <v>67.884895550236294</v>
      </c>
      <c r="AM1202">
        <v>80.3684088210358</v>
      </c>
      <c r="AN1202">
        <v>0.99999999004900997</v>
      </c>
    </row>
    <row r="1203" spans="1:40" x14ac:dyDescent="0.25">
      <c r="A1203" t="str">
        <f>"20190304164619673"</f>
        <v>20190304164619673</v>
      </c>
      <c r="B1203" t="str">
        <f>"1551689179669178"</f>
        <v>1551689179669178</v>
      </c>
      <c r="C1203" t="s">
        <v>40</v>
      </c>
      <c r="D1203">
        <v>4.8639830000000002</v>
      </c>
      <c r="E1203">
        <v>0.56673699999999905</v>
      </c>
      <c r="F1203" t="s">
        <v>45</v>
      </c>
      <c r="G1203">
        <v>-195.89599999999999</v>
      </c>
      <c r="H1203" s="1">
        <v>1.3109389999999901E-6</v>
      </c>
      <c r="I1203">
        <v>294.21820000000002</v>
      </c>
      <c r="J1203">
        <v>-192.6234</v>
      </c>
      <c r="K1203">
        <v>1.1075219999999999</v>
      </c>
      <c r="L1203">
        <v>301.05169999999998</v>
      </c>
      <c r="M1203">
        <v>-0.17165329999999901</v>
      </c>
      <c r="N1203">
        <v>-1.399416E-2</v>
      </c>
      <c r="O1203">
        <v>-0.98505799999999999</v>
      </c>
      <c r="P1203">
        <v>-0.30758809999999998</v>
      </c>
      <c r="Q1203">
        <v>0.36366349999999997</v>
      </c>
      <c r="R1203">
        <v>-0.87928300000000004</v>
      </c>
      <c r="S1203">
        <v>-1.4607239999999999</v>
      </c>
      <c r="T1203">
        <v>-0.48763630000000002</v>
      </c>
      <c r="U1203">
        <v>-3.1079409999999998</v>
      </c>
      <c r="V1203">
        <v>0.1554933</v>
      </c>
      <c r="W1203">
        <v>0.37509029999999999</v>
      </c>
      <c r="X1203">
        <v>0.91385400000000006</v>
      </c>
      <c r="Y1203">
        <v>0.25986049999999999</v>
      </c>
      <c r="Z1203">
        <v>0.1283812</v>
      </c>
      <c r="AA1203">
        <v>0.95707399999999998</v>
      </c>
      <c r="AB1203">
        <v>23</v>
      </c>
      <c r="AC1203">
        <v>-3.2725999999999802</v>
      </c>
      <c r="AD1203">
        <v>-1.1075206890610001</v>
      </c>
      <c r="AE1203">
        <v>-6.8334999999999502</v>
      </c>
      <c r="AF1203">
        <v>2.0080040309020402</v>
      </c>
      <c r="AG1203">
        <v>-1.1075206890610001</v>
      </c>
      <c r="AH1203">
        <v>7.1412739112117798</v>
      </c>
      <c r="AI1203">
        <v>98.491398056435003</v>
      </c>
      <c r="AJ1203">
        <v>74.294925536246197</v>
      </c>
      <c r="AK1203">
        <v>7.5004316768950696</v>
      </c>
      <c r="AL1203">
        <v>67.9701063433873</v>
      </c>
      <c r="AM1203">
        <v>80.343538438901007</v>
      </c>
      <c r="AN1203">
        <v>1.00000001640748</v>
      </c>
    </row>
    <row r="1204" spans="1:40" x14ac:dyDescent="0.25">
      <c r="A1204" t="str">
        <f>"20190304164619697"</f>
        <v>20190304164619697</v>
      </c>
      <c r="B1204" t="str">
        <f>"1551689179689675"</f>
        <v>1551689179689675</v>
      </c>
      <c r="C1204" t="s">
        <v>40</v>
      </c>
      <c r="D1204">
        <v>4.840624</v>
      </c>
      <c r="E1204">
        <v>0.56674009999999997</v>
      </c>
      <c r="F1204" t="s">
        <v>45</v>
      </c>
      <c r="G1204">
        <v>-195.87989999999999</v>
      </c>
      <c r="H1204" s="1">
        <v>1.3104580000000001E-6</v>
      </c>
      <c r="I1204">
        <v>294.22899999999998</v>
      </c>
      <c r="J1204">
        <v>-192.67259999999999</v>
      </c>
      <c r="K1204">
        <v>1.1075469999999901</v>
      </c>
      <c r="L1204">
        <v>300.81349999999998</v>
      </c>
      <c r="M1204">
        <v>-0.1779963</v>
      </c>
      <c r="N1204">
        <v>-1.3992370000000001E-2</v>
      </c>
      <c r="O1204">
        <v>-0.98393160000000002</v>
      </c>
      <c r="P1204">
        <v>-0.31389349999999999</v>
      </c>
      <c r="Q1204">
        <v>0.36273119999999998</v>
      </c>
      <c r="R1204">
        <v>-0.87743789999999999</v>
      </c>
      <c r="S1204">
        <v>-1.4806520000000001</v>
      </c>
      <c r="T1204">
        <v>-0.50357479999999999</v>
      </c>
      <c r="U1204">
        <v>-3.1021730000000001</v>
      </c>
      <c r="V1204">
        <v>0.15606989999999901</v>
      </c>
      <c r="W1204">
        <v>0.37416460000000001</v>
      </c>
      <c r="X1204">
        <v>0.91413520000000004</v>
      </c>
      <c r="Y1204">
        <v>0.25908880000000001</v>
      </c>
      <c r="Z1204">
        <v>0.13276789999999999</v>
      </c>
      <c r="AA1204">
        <v>0.95668470000000005</v>
      </c>
      <c r="AB1204">
        <v>23</v>
      </c>
      <c r="AC1204">
        <v>-3.2073</v>
      </c>
      <c r="AD1204">
        <v>-1.1075456895419999</v>
      </c>
      <c r="AE1204">
        <v>-6.5844999999999301</v>
      </c>
      <c r="AF1204">
        <v>1.93958838346868</v>
      </c>
      <c r="AG1204">
        <v>-1.1075456895419999</v>
      </c>
      <c r="AH1204">
        <v>6.8926592996834497</v>
      </c>
      <c r="AI1204">
        <v>98.792680744527004</v>
      </c>
      <c r="AJ1204">
        <v>74.283443890134706</v>
      </c>
      <c r="AK1204">
        <v>7.2455098352857403</v>
      </c>
      <c r="AL1204">
        <v>68.027312020571898</v>
      </c>
      <c r="AM1204">
        <v>80.3113330161748</v>
      </c>
      <c r="AN1204">
        <v>1.0000000627290999</v>
      </c>
    </row>
    <row r="1205" spans="1:40" x14ac:dyDescent="0.25">
      <c r="A1205" t="str">
        <f>"20190304164619721"</f>
        <v>20190304164619721</v>
      </c>
      <c r="B1205" t="str">
        <f>"1551689179709193"</f>
        <v>1551689179709193</v>
      </c>
      <c r="C1205" t="s">
        <v>40</v>
      </c>
      <c r="D1205">
        <v>4.8298430000000003</v>
      </c>
      <c r="E1205">
        <v>0.56674329999999995</v>
      </c>
      <c r="F1205" t="s">
        <v>45</v>
      </c>
      <c r="G1205">
        <v>-195.91069999999999</v>
      </c>
      <c r="H1205" s="1">
        <v>1.323134E-6</v>
      </c>
      <c r="I1205">
        <v>294.14150000000001</v>
      </c>
      <c r="J1205">
        <v>-192.7227</v>
      </c>
      <c r="K1205">
        <v>1.107561</v>
      </c>
      <c r="L1205">
        <v>300.5788</v>
      </c>
      <c r="M1205">
        <v>-0.18423600000000001</v>
      </c>
      <c r="N1205">
        <v>-1.399048E-2</v>
      </c>
      <c r="O1205">
        <v>-0.98278259999999995</v>
      </c>
      <c r="P1205">
        <v>-0.31942229999999999</v>
      </c>
      <c r="Q1205">
        <v>0.36273329999999998</v>
      </c>
      <c r="R1205">
        <v>-0.87543930000000003</v>
      </c>
      <c r="S1205">
        <v>-1.5016780000000001</v>
      </c>
      <c r="T1205">
        <v>-0.51362659999999905</v>
      </c>
      <c r="U1205">
        <v>-3.094147</v>
      </c>
      <c r="V1205">
        <v>0.15601579999999901</v>
      </c>
      <c r="W1205">
        <v>0.37417329999999999</v>
      </c>
      <c r="X1205">
        <v>0.91414079999999998</v>
      </c>
      <c r="Y1205">
        <v>0.25903389999999998</v>
      </c>
      <c r="Z1205">
        <v>0.13552999999999901</v>
      </c>
      <c r="AA1205">
        <v>0.95631219999999995</v>
      </c>
      <c r="AB1205">
        <v>22</v>
      </c>
      <c r="AC1205">
        <v>-3.1879999999999802</v>
      </c>
      <c r="AD1205">
        <v>-1.1075596768660001</v>
      </c>
      <c r="AE1205">
        <v>-6.4372999999999898</v>
      </c>
      <c r="AF1205">
        <v>1.90210201880825</v>
      </c>
      <c r="AG1205">
        <v>-1.1075596768660001</v>
      </c>
      <c r="AH1205">
        <v>6.7539319068032704</v>
      </c>
      <c r="AI1205">
        <v>98.969959202342096</v>
      </c>
      <c r="AJ1205">
        <v>74.271249256071897</v>
      </c>
      <c r="AK1205">
        <v>7.1035397323805602</v>
      </c>
      <c r="AL1205">
        <v>68.026772942407206</v>
      </c>
      <c r="AM1205">
        <v>80.314686074655697</v>
      </c>
      <c r="AN1205">
        <v>0.99999999525358496</v>
      </c>
    </row>
    <row r="1206" spans="1:40" x14ac:dyDescent="0.25">
      <c r="A1206" t="str">
        <f>"20190304164619746"</f>
        <v>20190304164619746</v>
      </c>
      <c r="B1206" t="str">
        <f>"1551689179738982"</f>
        <v>1551689179738982</v>
      </c>
      <c r="C1206" t="s">
        <v>40</v>
      </c>
      <c r="D1206">
        <v>4.8854759999999997</v>
      </c>
      <c r="E1206">
        <v>0.56686719999999902</v>
      </c>
      <c r="F1206" t="s">
        <v>45</v>
      </c>
      <c r="G1206">
        <v>-195.96510000000001</v>
      </c>
      <c r="H1206" s="1">
        <v>1.3437360000000001E-6</v>
      </c>
      <c r="I1206">
        <v>293.99709999999999</v>
      </c>
      <c r="J1206">
        <v>-192.77930000000001</v>
      </c>
      <c r="K1206">
        <v>1.1075839999999999</v>
      </c>
      <c r="L1206">
        <v>300.32159999999999</v>
      </c>
      <c r="M1206">
        <v>-0.1910742</v>
      </c>
      <c r="N1206">
        <v>-1.398806E-2</v>
      </c>
      <c r="O1206">
        <v>-0.98147600000000002</v>
      </c>
      <c r="P1206">
        <v>-0.32447759999999998</v>
      </c>
      <c r="Q1206">
        <v>0.36251709999999998</v>
      </c>
      <c r="R1206">
        <v>-0.87366809999999995</v>
      </c>
      <c r="S1206">
        <v>-1.520905</v>
      </c>
      <c r="T1206">
        <v>-0.5195149</v>
      </c>
      <c r="U1206">
        <v>-3.0872190000000002</v>
      </c>
      <c r="V1206">
        <v>0.15489069999999999</v>
      </c>
      <c r="W1206">
        <v>0.373977</v>
      </c>
      <c r="X1206">
        <v>0.91441240000000001</v>
      </c>
      <c r="Y1206">
        <v>0.25786350000000002</v>
      </c>
      <c r="Z1206">
        <v>0.13706299999999999</v>
      </c>
      <c r="AA1206">
        <v>0.95641010000000004</v>
      </c>
      <c r="AB1206">
        <v>22</v>
      </c>
      <c r="AC1206">
        <v>-3.1858</v>
      </c>
      <c r="AD1206">
        <v>-1.1075826562639901</v>
      </c>
      <c r="AE1206">
        <v>-6.3244999999999996</v>
      </c>
      <c r="AF1206">
        <v>1.87271453585743</v>
      </c>
      <c r="AG1206">
        <v>-1.1075826562639901</v>
      </c>
      <c r="AH1206">
        <v>6.6539657481570798</v>
      </c>
      <c r="AI1206">
        <v>99.103098717448304</v>
      </c>
      <c r="AJ1206">
        <v>74.281095615483096</v>
      </c>
      <c r="AK1206">
        <v>7.0006470594450096</v>
      </c>
      <c r="AL1206">
        <v>68.038900270103994</v>
      </c>
      <c r="AM1206">
        <v>80.386025291649304</v>
      </c>
      <c r="AN1206">
        <v>0.99999998137462398</v>
      </c>
    </row>
    <row r="1207" spans="1:40" x14ac:dyDescent="0.25">
      <c r="A1207" t="str">
        <f>"20190304164619765"</f>
        <v>20190304164619765</v>
      </c>
      <c r="B1207" t="str">
        <f>"1551689179759478"</f>
        <v>1551689179759478</v>
      </c>
      <c r="C1207" t="s">
        <v>40</v>
      </c>
      <c r="D1207">
        <v>5.1408250000000004</v>
      </c>
      <c r="E1207">
        <v>0.56699429999999995</v>
      </c>
      <c r="F1207" t="s">
        <v>45</v>
      </c>
      <c r="G1207">
        <v>-196.01830000000001</v>
      </c>
      <c r="H1207" s="1">
        <v>1.366019E-6</v>
      </c>
      <c r="I1207">
        <v>293.84379999999999</v>
      </c>
      <c r="J1207">
        <v>-192.8212</v>
      </c>
      <c r="K1207">
        <v>1.10761</v>
      </c>
      <c r="L1207">
        <v>300.13600000000002</v>
      </c>
      <c r="M1207">
        <v>-0.19600860000000001</v>
      </c>
      <c r="N1207">
        <v>-1.3986220000000001E-2</v>
      </c>
      <c r="O1207">
        <v>-0.9805026</v>
      </c>
      <c r="P1207">
        <v>-0.3279899</v>
      </c>
      <c r="Q1207">
        <v>0.36193239999999999</v>
      </c>
      <c r="R1207">
        <v>-0.87259850000000005</v>
      </c>
      <c r="S1207">
        <v>-1.5402070000000001</v>
      </c>
      <c r="T1207">
        <v>-0.52667299999999995</v>
      </c>
      <c r="U1207">
        <v>-3.0802610000000001</v>
      </c>
      <c r="V1207">
        <v>0.15389990000000001</v>
      </c>
      <c r="W1207">
        <v>0.37340990000000002</v>
      </c>
      <c r="X1207">
        <v>0.91481140000000005</v>
      </c>
      <c r="Y1207">
        <v>0.258544</v>
      </c>
      <c r="Z1207">
        <v>0.13897909999999999</v>
      </c>
      <c r="AA1207">
        <v>0.95594970000000001</v>
      </c>
      <c r="AB1207">
        <v>22</v>
      </c>
      <c r="AC1207">
        <v>-3.1970999999999998</v>
      </c>
      <c r="AD1207">
        <v>-1.1076086339810001</v>
      </c>
      <c r="AE1207">
        <v>-6.2921999999999798</v>
      </c>
      <c r="AF1207">
        <v>1.85591781334009</v>
      </c>
      <c r="AG1207">
        <v>-1.1076086339810001</v>
      </c>
      <c r="AH1207">
        <v>6.6334725127546799</v>
      </c>
      <c r="AI1207">
        <v>99.1348424655895</v>
      </c>
      <c r="AJ1207">
        <v>74.369403849197298</v>
      </c>
      <c r="AK1207">
        <v>6.9766887126640702</v>
      </c>
      <c r="AL1207">
        <v>68.073931352197405</v>
      </c>
      <c r="AM1207">
        <v>80.450476661540193</v>
      </c>
      <c r="AN1207">
        <v>1.0000000151039801</v>
      </c>
    </row>
    <row r="1208" spans="1:40" x14ac:dyDescent="0.25">
      <c r="A1208" t="str">
        <f>"20190304164619783"</f>
        <v>20190304164619783</v>
      </c>
      <c r="B1208" t="str">
        <f>"1551689179778998"</f>
        <v>1551689179778998</v>
      </c>
      <c r="C1208" t="s">
        <v>40</v>
      </c>
      <c r="D1208">
        <v>5.129219</v>
      </c>
      <c r="E1208">
        <v>0.5672085</v>
      </c>
      <c r="F1208" t="s">
        <v>45</v>
      </c>
      <c r="G1208">
        <v>-196.0334</v>
      </c>
      <c r="H1208" s="1">
        <v>1.3762799999999999E-6</v>
      </c>
      <c r="I1208">
        <v>293.77800000000002</v>
      </c>
      <c r="J1208">
        <v>-192.8631</v>
      </c>
      <c r="K1208">
        <v>1.1076349999999999</v>
      </c>
      <c r="L1208">
        <v>299.95519999999999</v>
      </c>
      <c r="M1208">
        <v>-0.2008229</v>
      </c>
      <c r="N1208">
        <v>-1.3984440000000001E-2</v>
      </c>
      <c r="O1208">
        <v>-0.97952790000000001</v>
      </c>
      <c r="P1208">
        <v>-0.33079560000000002</v>
      </c>
      <c r="Q1208">
        <v>0.36250060000000001</v>
      </c>
      <c r="R1208">
        <v>-0.87130239999999903</v>
      </c>
      <c r="S1208">
        <v>-1.554092</v>
      </c>
      <c r="T1208">
        <v>-0.53586880000000003</v>
      </c>
      <c r="U1208">
        <v>-3.0760800000000001</v>
      </c>
      <c r="V1208">
        <v>0.15238289999999999</v>
      </c>
      <c r="W1208">
        <v>0.3739942</v>
      </c>
      <c r="X1208">
        <v>0.91482660000000005</v>
      </c>
      <c r="Y1208">
        <v>0.25760250000000001</v>
      </c>
      <c r="Z1208">
        <v>0.1414282</v>
      </c>
      <c r="AA1208">
        <v>0.95584460000000004</v>
      </c>
      <c r="AB1208">
        <v>22</v>
      </c>
      <c r="AC1208">
        <v>-3.1702999999999899</v>
      </c>
      <c r="AD1208">
        <v>-1.10763362372</v>
      </c>
      <c r="AE1208">
        <v>-6.1771999999999698</v>
      </c>
      <c r="AF1208">
        <v>1.81877060043494</v>
      </c>
      <c r="AG1208">
        <v>-1.10763362372</v>
      </c>
      <c r="AH1208">
        <v>6.5220822322001899</v>
      </c>
      <c r="AI1208">
        <v>99.290534374716998</v>
      </c>
      <c r="AJ1208">
        <v>74.418154633893494</v>
      </c>
      <c r="AK1208">
        <v>6.8609281722652504</v>
      </c>
      <c r="AL1208">
        <v>68.037837156972699</v>
      </c>
      <c r="AM1208">
        <v>80.543052563392493</v>
      </c>
      <c r="AN1208">
        <v>0.99999995895680405</v>
      </c>
    </row>
    <row r="1209" spans="1:40" x14ac:dyDescent="0.25">
      <c r="A1209" t="str">
        <f>"20190304164619807"</f>
        <v>20190304164619807</v>
      </c>
      <c r="B1209" t="str">
        <f>"1551689179799494"</f>
        <v>1551689179799494</v>
      </c>
      <c r="C1209" t="s">
        <v>40</v>
      </c>
      <c r="D1209">
        <v>5.1245209999999997</v>
      </c>
      <c r="E1209">
        <v>0.56743069999999995</v>
      </c>
      <c r="F1209" t="s">
        <v>45</v>
      </c>
      <c r="G1209">
        <v>-196.0933</v>
      </c>
      <c r="H1209" s="1">
        <v>1.3949350000000001E-6</v>
      </c>
      <c r="I1209">
        <v>293.64190000000002</v>
      </c>
      <c r="J1209">
        <v>-192.91839999999999</v>
      </c>
      <c r="K1209">
        <v>1.1076539999999999</v>
      </c>
      <c r="L1209">
        <v>299.72230000000002</v>
      </c>
      <c r="M1209">
        <v>-0.2070398</v>
      </c>
      <c r="N1209">
        <v>-1.3982430000000001E-2</v>
      </c>
      <c r="O1209">
        <v>-0.97823280000000001</v>
      </c>
      <c r="P1209">
        <v>-0.33532050000000002</v>
      </c>
      <c r="Q1209">
        <v>0.36373539999999999</v>
      </c>
      <c r="R1209">
        <v>-0.86905540000000003</v>
      </c>
      <c r="S1209">
        <v>-1.5711520000000001</v>
      </c>
      <c r="T1209">
        <v>-0.5387459</v>
      </c>
      <c r="U1209">
        <v>-3.07077</v>
      </c>
      <c r="V1209">
        <v>0.15143299999999901</v>
      </c>
      <c r="W1209">
        <v>0.37523390000000001</v>
      </c>
      <c r="X1209">
        <v>0.91447659999999997</v>
      </c>
      <c r="Y1209">
        <v>0.25631100000000001</v>
      </c>
      <c r="Z1209">
        <v>0.14204459999999999</v>
      </c>
      <c r="AA1209">
        <v>0.95610039999999996</v>
      </c>
      <c r="AB1209">
        <v>22</v>
      </c>
      <c r="AC1209">
        <v>-3.1749000000000001</v>
      </c>
      <c r="AD1209">
        <v>-1.107652605065</v>
      </c>
      <c r="AE1209">
        <v>-6.0803999999999903</v>
      </c>
      <c r="AF1209">
        <v>1.8001466382717599</v>
      </c>
      <c r="AG1209">
        <v>-1.107652605065</v>
      </c>
      <c r="AH1209">
        <v>6.4381427937008304</v>
      </c>
      <c r="AI1209">
        <v>99.407889992949706</v>
      </c>
      <c r="AJ1209">
        <v>74.378661936152994</v>
      </c>
      <c r="AK1209">
        <v>6.7762161155670304</v>
      </c>
      <c r="AL1209">
        <v>67.961228648399199</v>
      </c>
      <c r="AM1209">
        <v>80.597415530203506</v>
      </c>
      <c r="AN1209">
        <v>0.99999994257288305</v>
      </c>
    </row>
    <row r="1210" spans="1:40" x14ac:dyDescent="0.25">
      <c r="A1210" t="str">
        <f>"20190304164619831"</f>
        <v>20190304164619831</v>
      </c>
      <c r="B1210" t="str">
        <f>"1551689179819399"</f>
        <v>1551689179819399</v>
      </c>
      <c r="C1210" t="s">
        <v>40</v>
      </c>
      <c r="D1210">
        <v>5.1333500000000001</v>
      </c>
      <c r="E1210">
        <v>0.56762279999999998</v>
      </c>
      <c r="F1210" t="s">
        <v>41</v>
      </c>
      <c r="G1210">
        <v>-193.2912</v>
      </c>
      <c r="H1210">
        <v>0.9814891</v>
      </c>
      <c r="I1210">
        <v>299.00599999999997</v>
      </c>
      <c r="J1210">
        <v>-192.97300000000001</v>
      </c>
      <c r="K1210">
        <v>1.1076589999999999</v>
      </c>
      <c r="L1210">
        <v>299.49849999999998</v>
      </c>
      <c r="M1210">
        <v>-0.21304580000000001</v>
      </c>
      <c r="N1210">
        <v>-1.3981E-2</v>
      </c>
      <c r="O1210">
        <v>-0.97694230000000004</v>
      </c>
      <c r="P1210">
        <v>-0.340248299999999</v>
      </c>
      <c r="Q1210">
        <v>0.3655311</v>
      </c>
      <c r="R1210">
        <v>-0.86638219999999999</v>
      </c>
      <c r="S1210">
        <v>-1.59259</v>
      </c>
      <c r="T1210">
        <v>-0.53911949999999997</v>
      </c>
      <c r="U1210">
        <v>-3.0631710000000001</v>
      </c>
      <c r="V1210">
        <v>0.15118309999999999</v>
      </c>
      <c r="W1210">
        <v>0.37701980000000002</v>
      </c>
      <c r="X1210">
        <v>0.91378320000000002</v>
      </c>
      <c r="Y1210">
        <v>0.25662410000000002</v>
      </c>
      <c r="Z1210">
        <v>0.14197509999999999</v>
      </c>
      <c r="AA1210">
        <v>0.95602670000000001</v>
      </c>
      <c r="AB1210">
        <v>22</v>
      </c>
      <c r="AC1210">
        <v>-0.31820000000001802</v>
      </c>
      <c r="AD1210">
        <v>-0.126169899999999</v>
      </c>
      <c r="AE1210">
        <v>-0.49250000000000599</v>
      </c>
      <c r="AF1210">
        <v>0.19684389760122301</v>
      </c>
      <c r="AG1210">
        <v>-0.126169899999999</v>
      </c>
      <c r="AH1210">
        <v>0.52469463680184703</v>
      </c>
      <c r="AI1210">
        <v>102.68808396275701</v>
      </c>
      <c r="AJ1210">
        <v>69.4359700125042</v>
      </c>
      <c r="AK1210">
        <v>0.57443087101710699</v>
      </c>
      <c r="AL1210">
        <v>67.850796012784102</v>
      </c>
      <c r="AM1210">
        <v>80.605659188746998</v>
      </c>
      <c r="AN1210">
        <v>0.99999999795994499</v>
      </c>
    </row>
    <row r="1211" spans="1:40" x14ac:dyDescent="0.25">
      <c r="A1211" t="str">
        <f>"20190304164619852"</f>
        <v>20190304164619852</v>
      </c>
      <c r="B1211" t="str">
        <f>"1551689179839894"</f>
        <v>1551689179839894</v>
      </c>
      <c r="C1211" t="s">
        <v>40</v>
      </c>
      <c r="D1211">
        <v>5.1282920000000001</v>
      </c>
      <c r="E1211">
        <v>0.56779930000000001</v>
      </c>
      <c r="F1211" t="s">
        <v>41</v>
      </c>
      <c r="G1211">
        <v>-193.3372</v>
      </c>
      <c r="H1211">
        <v>0.98654509999999995</v>
      </c>
      <c r="I1211">
        <v>298.80970000000002</v>
      </c>
      <c r="J1211">
        <v>-193.02590000000001</v>
      </c>
      <c r="K1211">
        <v>1.107653</v>
      </c>
      <c r="L1211">
        <v>299.28750000000002</v>
      </c>
      <c r="M1211">
        <v>-0.21875549999999999</v>
      </c>
      <c r="N1211">
        <v>-1.3980680000000001E-2</v>
      </c>
      <c r="O1211">
        <v>-0.97567950000000003</v>
      </c>
      <c r="P1211">
        <v>-0.34572720000000001</v>
      </c>
      <c r="Q1211">
        <v>0.36751060000000002</v>
      </c>
      <c r="R1211">
        <v>-0.86337059999999999</v>
      </c>
      <c r="S1211">
        <v>-1.6153869999999999</v>
      </c>
      <c r="T1211">
        <v>-0.53714359999999906</v>
      </c>
      <c r="U1211">
        <v>-3.0549010000000001</v>
      </c>
      <c r="V1211">
        <v>0.1518456</v>
      </c>
      <c r="W1211">
        <v>0.37897409999999998</v>
      </c>
      <c r="X1211">
        <v>0.91286449999999997</v>
      </c>
      <c r="Y1211">
        <v>0.25767519999999999</v>
      </c>
      <c r="Z1211">
        <v>0.1412474</v>
      </c>
      <c r="AA1211">
        <v>0.95585180000000003</v>
      </c>
      <c r="AB1211">
        <v>22</v>
      </c>
      <c r="AC1211">
        <v>-0.31129999999998798</v>
      </c>
      <c r="AD1211">
        <v>-0.1211079</v>
      </c>
      <c r="AE1211">
        <v>-0.477800000000002</v>
      </c>
      <c r="AF1211">
        <v>0.19062940442701401</v>
      </c>
      <c r="AG1211">
        <v>-0.1211079</v>
      </c>
      <c r="AH1211">
        <v>0.51127125285930197</v>
      </c>
      <c r="AI1211">
        <v>102.513951750274</v>
      </c>
      <c r="AJ1211">
        <v>69.551840977372507</v>
      </c>
      <c r="AK1211">
        <v>0.55893200594967596</v>
      </c>
      <c r="AL1211">
        <v>67.729850065628099</v>
      </c>
      <c r="AM1211">
        <v>80.555906680552397</v>
      </c>
      <c r="AN1211">
        <v>1.0000000250351999</v>
      </c>
    </row>
    <row r="1212" spans="1:40" x14ac:dyDescent="0.25">
      <c r="A1212" t="str">
        <f>"20190304164619874"</f>
        <v>20190304164619874</v>
      </c>
      <c r="B1212" t="str">
        <f>"1551689179869174"</f>
        <v>1551689179869174</v>
      </c>
      <c r="C1212" t="s">
        <v>40</v>
      </c>
      <c r="D1212">
        <v>5.1640220000000001</v>
      </c>
      <c r="E1212">
        <v>0.56819889999999995</v>
      </c>
      <c r="F1212" t="s">
        <v>41</v>
      </c>
      <c r="G1212">
        <v>-193.38849999999999</v>
      </c>
      <c r="H1212">
        <v>0.98963829999999997</v>
      </c>
      <c r="I1212">
        <v>298.6148</v>
      </c>
      <c r="J1212">
        <v>-193.0805</v>
      </c>
      <c r="K1212">
        <v>1.1076220000000001</v>
      </c>
      <c r="L1212">
        <v>299.07499999999999</v>
      </c>
      <c r="M1212">
        <v>-0.2245751</v>
      </c>
      <c r="N1212">
        <v>-1.398202E-2</v>
      </c>
      <c r="O1212">
        <v>-0.97435669999999996</v>
      </c>
      <c r="P1212">
        <v>-0.35269020000000001</v>
      </c>
      <c r="Q1212">
        <v>0.36894959999999999</v>
      </c>
      <c r="R1212">
        <v>-0.85993399999999998</v>
      </c>
      <c r="S1212">
        <v>-1.6403350000000001</v>
      </c>
      <c r="T1212">
        <v>-0.53390490000000002</v>
      </c>
      <c r="U1212">
        <v>-3.045166</v>
      </c>
      <c r="V1212">
        <v>0.15396799999999999</v>
      </c>
      <c r="W1212">
        <v>0.38036809999999899</v>
      </c>
      <c r="X1212">
        <v>0.91192870000000004</v>
      </c>
      <c r="Y1212">
        <v>0.25933689999999998</v>
      </c>
      <c r="Z1212">
        <v>0.14017660000000001</v>
      </c>
      <c r="AA1212">
        <v>0.95555999999999996</v>
      </c>
      <c r="AB1212">
        <v>22</v>
      </c>
      <c r="AC1212">
        <v>-0.307999999999992</v>
      </c>
      <c r="AD1212">
        <v>-0.117983699999999</v>
      </c>
      <c r="AE1212">
        <v>-0.46019999999998601</v>
      </c>
      <c r="AF1212">
        <v>0.188227106191837</v>
      </c>
      <c r="AG1212">
        <v>-0.117983699999999</v>
      </c>
      <c r="AH1212">
        <v>0.49514182016310399</v>
      </c>
      <c r="AI1212">
        <v>102.55662529735299</v>
      </c>
      <c r="AJ1212">
        <v>69.185806270628504</v>
      </c>
      <c r="AK1212">
        <v>0.54269237975622497</v>
      </c>
      <c r="AL1212">
        <v>67.643514408146004</v>
      </c>
      <c r="AM1212">
        <v>80.416688034957403</v>
      </c>
      <c r="AN1212">
        <v>0.99999999520265004</v>
      </c>
    </row>
    <row r="1213" spans="1:40" x14ac:dyDescent="0.25">
      <c r="A1213" t="str">
        <f>"20190304164619897"</f>
        <v>20190304164619897</v>
      </c>
      <c r="B1213" t="str">
        <f>"1551689179889670"</f>
        <v>1551689179889670</v>
      </c>
      <c r="C1213" t="s">
        <v>40</v>
      </c>
      <c r="D1213">
        <v>5.4858349999999998</v>
      </c>
      <c r="E1213">
        <v>0.56831909999999997</v>
      </c>
      <c r="F1213" t="s">
        <v>41</v>
      </c>
      <c r="G1213">
        <v>-193.44210000000001</v>
      </c>
      <c r="H1213">
        <v>0.99246319999999999</v>
      </c>
      <c r="I1213">
        <v>298.4196</v>
      </c>
      <c r="J1213">
        <v>-193.1403</v>
      </c>
      <c r="K1213">
        <v>1.1075619999999999</v>
      </c>
      <c r="L1213">
        <v>298.84930000000003</v>
      </c>
      <c r="M1213">
        <v>-0.23088</v>
      </c>
      <c r="N1213">
        <v>-1.398629E-2</v>
      </c>
      <c r="O1213">
        <v>-0.97288180000000002</v>
      </c>
      <c r="P1213">
        <v>-0.35995509999999997</v>
      </c>
      <c r="Q1213">
        <v>0.36953849999999999</v>
      </c>
      <c r="R1213">
        <v>-0.85666419999999999</v>
      </c>
      <c r="S1213">
        <v>-1.6726380000000001</v>
      </c>
      <c r="T1213">
        <v>-0.53267790000000004</v>
      </c>
      <c r="U1213">
        <v>-3.0311889999999999</v>
      </c>
      <c r="V1213">
        <v>0.15591559999999999</v>
      </c>
      <c r="W1213">
        <v>0.38091130000000001</v>
      </c>
      <c r="X1213">
        <v>0.91137089999999998</v>
      </c>
      <c r="Y1213">
        <v>0.26279449999999999</v>
      </c>
      <c r="Z1213">
        <v>0.13969709999999999</v>
      </c>
      <c r="AA1213">
        <v>0.95468520000000001</v>
      </c>
      <c r="AB1213">
        <v>22</v>
      </c>
      <c r="AC1213">
        <v>-0.301800000000014</v>
      </c>
      <c r="AD1213">
        <v>-0.1150988</v>
      </c>
      <c r="AE1213">
        <v>-0.42970000000002501</v>
      </c>
      <c r="AF1213">
        <v>0.18551230817910999</v>
      </c>
      <c r="AG1213">
        <v>-0.1150988</v>
      </c>
      <c r="AH1213">
        <v>0.46541293270810002</v>
      </c>
      <c r="AI1213">
        <v>102.93793997813501</v>
      </c>
      <c r="AJ1213">
        <v>68.267910653693207</v>
      </c>
      <c r="AK1213">
        <v>0.51407367971851703</v>
      </c>
      <c r="AL1213">
        <v>67.609858017751193</v>
      </c>
      <c r="AM1213">
        <v>80.291929965768304</v>
      </c>
      <c r="AN1213">
        <v>1.0000000050789299</v>
      </c>
    </row>
    <row r="1214" spans="1:40" x14ac:dyDescent="0.25">
      <c r="A1214" t="str">
        <f>"20190304164619941"</f>
        <v>20190304164619941</v>
      </c>
      <c r="B1214" t="str">
        <f>"1551689179929687"</f>
        <v>1551689179929687</v>
      </c>
      <c r="C1214" t="s">
        <v>40</v>
      </c>
      <c r="D1214">
        <v>5.4400709999999997</v>
      </c>
      <c r="E1214">
        <v>0.56851399999999996</v>
      </c>
      <c r="F1214" t="s">
        <v>45</v>
      </c>
      <c r="G1214">
        <v>-196.67590000000001</v>
      </c>
      <c r="H1214" s="1">
        <v>1.5281700000000001E-6</v>
      </c>
      <c r="I1214">
        <v>292.59190000000001</v>
      </c>
      <c r="J1214">
        <v>-193.25559999999999</v>
      </c>
      <c r="K1214">
        <v>1.107386</v>
      </c>
      <c r="L1214">
        <v>298.43099999999998</v>
      </c>
      <c r="M1214">
        <v>-0.242946</v>
      </c>
      <c r="N1214">
        <v>-1.400003E-2</v>
      </c>
      <c r="O1214">
        <v>-0.969939</v>
      </c>
      <c r="P1214">
        <v>-0.37453429999999999</v>
      </c>
      <c r="Q1214">
        <v>0.36986829999999998</v>
      </c>
      <c r="R1214">
        <v>-0.85024789999999995</v>
      </c>
      <c r="S1214">
        <v>-1.7042539999999999</v>
      </c>
      <c r="T1214">
        <v>-0.53386549999999999</v>
      </c>
      <c r="U1214">
        <v>-3.0161739999999999</v>
      </c>
      <c r="V1214">
        <v>0.16037479999999901</v>
      </c>
      <c r="W1214">
        <v>0.38113839999999999</v>
      </c>
      <c r="X1214">
        <v>0.91050180000000003</v>
      </c>
      <c r="Y1214">
        <v>0.26044020000000001</v>
      </c>
      <c r="Z1214">
        <v>0.13973450000000001</v>
      </c>
      <c r="AA1214">
        <v>0.95532459999999997</v>
      </c>
      <c r="AB1214">
        <v>22</v>
      </c>
      <c r="AC1214">
        <v>-3.4203000000000201</v>
      </c>
      <c r="AD1214">
        <v>-1.1073844718300001</v>
      </c>
      <c r="AE1214">
        <v>-5.83909999999997</v>
      </c>
      <c r="AF1214">
        <v>1.8495531047467699</v>
      </c>
      <c r="AG1214">
        <v>-1.1073844718300001</v>
      </c>
      <c r="AH1214">
        <v>6.3257574162740902</v>
      </c>
      <c r="AI1214">
        <v>99.538014713154993</v>
      </c>
      <c r="AJ1214">
        <v>73.701900913220797</v>
      </c>
      <c r="AK1214">
        <v>6.6829898956436598</v>
      </c>
      <c r="AL1214">
        <v>67.595785383046305</v>
      </c>
      <c r="AM1214">
        <v>80.010450738737504</v>
      </c>
      <c r="AN1214">
        <v>1.0000000421164099</v>
      </c>
    </row>
    <row r="1215" spans="1:40" x14ac:dyDescent="0.25">
      <c r="A1215" t="str">
        <f>"20190304164619963"</f>
        <v>20190304164619963</v>
      </c>
      <c r="B1215" t="str">
        <f>"1551689179958965"</f>
        <v>1551689179958965</v>
      </c>
      <c r="C1215" t="s">
        <v>40</v>
      </c>
      <c r="D1215">
        <v>5.1797950000000004</v>
      </c>
      <c r="E1215">
        <v>0.56861779999999995</v>
      </c>
      <c r="F1215" t="s">
        <v>45</v>
      </c>
      <c r="G1215">
        <v>-196.8725</v>
      </c>
      <c r="H1215" s="1">
        <v>1.5612040000000001E-6</v>
      </c>
      <c r="I1215">
        <v>292.30540000000002</v>
      </c>
      <c r="J1215">
        <v>-193.31960000000001</v>
      </c>
      <c r="K1215">
        <v>1.1073059999999999</v>
      </c>
      <c r="L1215">
        <v>298.20819999999998</v>
      </c>
      <c r="M1215">
        <v>-0.24958730000000001</v>
      </c>
      <c r="N1215">
        <v>-1.40088E-2</v>
      </c>
      <c r="O1215">
        <v>-0.96825090000000003</v>
      </c>
      <c r="P1215">
        <v>-0.38214019999999999</v>
      </c>
      <c r="Q1215">
        <v>0.36995709999999998</v>
      </c>
      <c r="R1215">
        <v>-0.84681810000000002</v>
      </c>
      <c r="S1215">
        <v>-1.763336</v>
      </c>
      <c r="T1215">
        <v>-0.53988539999999996</v>
      </c>
      <c r="U1215">
        <v>-2.98645</v>
      </c>
      <c r="V1215">
        <v>0.16239870000000001</v>
      </c>
      <c r="W1215">
        <v>0.38117679999999998</v>
      </c>
      <c r="X1215">
        <v>0.91012689999999996</v>
      </c>
      <c r="Y1215">
        <v>0.27186909999999997</v>
      </c>
      <c r="Z1215">
        <v>0.1414165</v>
      </c>
      <c r="AA1215">
        <v>0.95188689999999998</v>
      </c>
      <c r="AB1215">
        <v>22</v>
      </c>
      <c r="AC1215">
        <v>-3.55289999999999</v>
      </c>
      <c r="AD1215">
        <v>-1.1073044387959901</v>
      </c>
      <c r="AE1215">
        <v>-5.9027999999999503</v>
      </c>
      <c r="AF1215">
        <v>1.9174960015021301</v>
      </c>
      <c r="AG1215">
        <v>-1.1073044387959901</v>
      </c>
      <c r="AH1215">
        <v>6.4365329858824696</v>
      </c>
      <c r="AI1215">
        <v>99.362334210125397</v>
      </c>
      <c r="AJ1215">
        <v>73.410773931497204</v>
      </c>
      <c r="AK1215">
        <v>6.8067518622546501</v>
      </c>
      <c r="AL1215">
        <v>67.593405343153194</v>
      </c>
      <c r="AM1215">
        <v>79.882891143057194</v>
      </c>
      <c r="AN1215">
        <v>1.0000000323617599</v>
      </c>
    </row>
    <row r="1216" spans="1:40" x14ac:dyDescent="0.25">
      <c r="A1216" t="str">
        <f>"20190304164619984"</f>
        <v>20190304164619984</v>
      </c>
      <c r="B1216" t="str">
        <f>"1551689179979462"</f>
        <v>1551689179979462</v>
      </c>
      <c r="C1216" t="s">
        <v>40</v>
      </c>
      <c r="D1216">
        <v>4.8826960000000001</v>
      </c>
      <c r="E1216">
        <v>0.56880330000000001</v>
      </c>
      <c r="F1216" t="s">
        <v>45</v>
      </c>
      <c r="G1216">
        <v>-196.95590000000001</v>
      </c>
      <c r="H1216" s="1">
        <v>1.5767439999999901E-6</v>
      </c>
      <c r="I1216">
        <v>292.17520000000002</v>
      </c>
      <c r="J1216">
        <v>-193.37739999999999</v>
      </c>
      <c r="K1216">
        <v>1.10724</v>
      </c>
      <c r="L1216">
        <v>298.01240000000001</v>
      </c>
      <c r="M1216">
        <v>-0.2555634</v>
      </c>
      <c r="N1216">
        <v>-1.401721E-2</v>
      </c>
      <c r="O1216">
        <v>-0.96669070000000001</v>
      </c>
      <c r="P1216">
        <v>-0.38951439999999998</v>
      </c>
      <c r="Q1216">
        <v>0.37024410000000002</v>
      </c>
      <c r="R1216">
        <v>-0.84332589999999996</v>
      </c>
      <c r="S1216">
        <v>-1.791595</v>
      </c>
      <c r="T1216">
        <v>-0.54557690000000003</v>
      </c>
      <c r="U1216">
        <v>-2.972534</v>
      </c>
      <c r="V1216">
        <v>0.16483699999999901</v>
      </c>
      <c r="W1216">
        <v>0.38140940000000001</v>
      </c>
      <c r="X1216">
        <v>0.90959089999999998</v>
      </c>
      <c r="Y1216">
        <v>0.27442519999999998</v>
      </c>
      <c r="Z1216">
        <v>0.14287259999999999</v>
      </c>
      <c r="AA1216">
        <v>0.95093539999999999</v>
      </c>
      <c r="AB1216">
        <v>22</v>
      </c>
      <c r="AC1216">
        <v>-3.57850000000002</v>
      </c>
      <c r="AD1216">
        <v>-1.107238423256</v>
      </c>
      <c r="AE1216">
        <v>-5.8371999999999904</v>
      </c>
      <c r="AF1216">
        <v>1.9175725576800799</v>
      </c>
      <c r="AG1216">
        <v>-1.107238423256</v>
      </c>
      <c r="AH1216">
        <v>6.3908110588432301</v>
      </c>
      <c r="AI1216">
        <v>99.422120483550799</v>
      </c>
      <c r="AJ1216">
        <v>73.298047778682999</v>
      </c>
      <c r="AK1216">
        <v>6.7635439992458899</v>
      </c>
      <c r="AL1216">
        <v>67.578988179687201</v>
      </c>
      <c r="AM1216">
        <v>79.728276417080906</v>
      </c>
      <c r="AN1216">
        <v>0.99999998617008401</v>
      </c>
    </row>
    <row r="1217" spans="1:40" x14ac:dyDescent="0.25">
      <c r="A1217" t="str">
        <f>"20190304164620007"</f>
        <v>20190304164620007</v>
      </c>
      <c r="B1217" t="str">
        <f>"1551689179998983"</f>
        <v>1551689179998983</v>
      </c>
      <c r="C1217" t="s">
        <v>40</v>
      </c>
      <c r="D1217">
        <v>5.2250959999999997</v>
      </c>
      <c r="E1217">
        <v>0.56875189999999998</v>
      </c>
      <c r="F1217" t="s">
        <v>45</v>
      </c>
      <c r="G1217">
        <v>-197.06649999999999</v>
      </c>
      <c r="H1217" s="1">
        <v>1.594931E-6</v>
      </c>
      <c r="I1217">
        <v>292.01609999999999</v>
      </c>
      <c r="J1217">
        <v>-193.44579999999999</v>
      </c>
      <c r="K1217">
        <v>1.107138</v>
      </c>
      <c r="L1217">
        <v>297.7867</v>
      </c>
      <c r="M1217">
        <v>-0.26265899999999998</v>
      </c>
      <c r="N1217">
        <v>-1.4029430000000001E-2</v>
      </c>
      <c r="O1217">
        <v>-0.96478680000000006</v>
      </c>
      <c r="P1217">
        <v>-0.39709050000000001</v>
      </c>
      <c r="Q1217">
        <v>0.3709769</v>
      </c>
      <c r="R1217">
        <v>-0.83946160000000003</v>
      </c>
      <c r="S1217">
        <v>-1.819153</v>
      </c>
      <c r="T1217">
        <v>-0.54599310000000001</v>
      </c>
      <c r="U1217">
        <v>-2.9568180000000002</v>
      </c>
      <c r="V1217">
        <v>0.16654260000000001</v>
      </c>
      <c r="W1217">
        <v>0.38208599999999998</v>
      </c>
      <c r="X1217">
        <v>0.90899600000000003</v>
      </c>
      <c r="Y1217">
        <v>0.27604790000000001</v>
      </c>
      <c r="Z1217">
        <v>0.14287910000000001</v>
      </c>
      <c r="AA1217">
        <v>0.95046470000000005</v>
      </c>
      <c r="AB1217">
        <v>22</v>
      </c>
      <c r="AC1217">
        <v>-3.6206999999999998</v>
      </c>
      <c r="AD1217">
        <v>-1.107136405069</v>
      </c>
      <c r="AE1217">
        <v>-5.7706</v>
      </c>
      <c r="AF1217">
        <v>1.9268076600600199</v>
      </c>
      <c r="AG1217">
        <v>-1.107136405069</v>
      </c>
      <c r="AH1217">
        <v>6.3513002586004497</v>
      </c>
      <c r="AI1217">
        <v>99.470273753345197</v>
      </c>
      <c r="AJ1217">
        <v>73.123663471073598</v>
      </c>
      <c r="AK1217">
        <v>6.7288449048252801</v>
      </c>
      <c r="AL1217">
        <v>67.537044252424195</v>
      </c>
      <c r="AM1217">
        <v>79.617647093931097</v>
      </c>
      <c r="AN1217">
        <v>0.99999993851337798</v>
      </c>
    </row>
    <row r="1218" spans="1:40" x14ac:dyDescent="0.25">
      <c r="A1218" t="str">
        <f>"20190304164620030"</f>
        <v>20190304164620030</v>
      </c>
      <c r="B1218" t="str">
        <f>"1551689180019478"</f>
        <v>1551689180019478</v>
      </c>
      <c r="C1218" t="s">
        <v>40</v>
      </c>
      <c r="D1218">
        <v>5.2003570000000003</v>
      </c>
      <c r="E1218">
        <v>0.56872709999999904</v>
      </c>
      <c r="F1218" t="s">
        <v>45</v>
      </c>
      <c r="G1218">
        <v>-197.17920000000001</v>
      </c>
      <c r="H1218" s="1">
        <v>1.61549E-6</v>
      </c>
      <c r="I1218">
        <v>291.84269999999998</v>
      </c>
      <c r="J1218">
        <v>-193.51259999999999</v>
      </c>
      <c r="K1218">
        <v>1.1070249999999999</v>
      </c>
      <c r="L1218">
        <v>297.5727</v>
      </c>
      <c r="M1218">
        <v>-0.26960089999999998</v>
      </c>
      <c r="N1218">
        <v>-1.4045409999999999E-2</v>
      </c>
      <c r="O1218">
        <v>-0.9628698</v>
      </c>
      <c r="P1218">
        <v>-0.40400530000000001</v>
      </c>
      <c r="Q1218">
        <v>0.3710833</v>
      </c>
      <c r="R1218">
        <v>-0.83610830000000003</v>
      </c>
      <c r="S1218">
        <v>-1.8477479999999999</v>
      </c>
      <c r="T1218">
        <v>-0.54795070000000001</v>
      </c>
      <c r="U1218">
        <v>-2.9418329999999999</v>
      </c>
      <c r="V1218">
        <v>0.16763259999999999</v>
      </c>
      <c r="W1218">
        <v>0.38214369999999998</v>
      </c>
      <c r="X1218">
        <v>0.90877149999999995</v>
      </c>
      <c r="Y1218">
        <v>0.27790740000000003</v>
      </c>
      <c r="Z1218">
        <v>0.14325019999999999</v>
      </c>
      <c r="AA1218">
        <v>0.94986680000000001</v>
      </c>
      <c r="AB1218">
        <v>22</v>
      </c>
      <c r="AC1218">
        <v>-3.6666000000000101</v>
      </c>
      <c r="AD1218">
        <v>-1.1070233845099999</v>
      </c>
      <c r="AE1218">
        <v>-5.7300000000000102</v>
      </c>
      <c r="AF1218">
        <v>1.9346087810246799</v>
      </c>
      <c r="AG1218">
        <v>-1.1070233845099999</v>
      </c>
      <c r="AH1218">
        <v>6.3385468625584798</v>
      </c>
      <c r="AI1218">
        <v>99.483255547126603</v>
      </c>
      <c r="AJ1218">
        <v>73.027113907686001</v>
      </c>
      <c r="AK1218">
        <v>6.7190317932213803</v>
      </c>
      <c r="AL1218">
        <v>67.533469870041998</v>
      </c>
      <c r="AM1218">
        <v>79.548663454876603</v>
      </c>
      <c r="AN1218">
        <v>1.0000000676223399</v>
      </c>
    </row>
    <row r="1219" spans="1:40" x14ac:dyDescent="0.25">
      <c r="A1219" t="str">
        <f>"20190304164620052"</f>
        <v>20190304164620052</v>
      </c>
      <c r="B1219" t="str">
        <f>"1551689180048758"</f>
        <v>1551689180048758</v>
      </c>
      <c r="C1219" t="s">
        <v>40</v>
      </c>
      <c r="D1219">
        <v>5.187602</v>
      </c>
      <c r="E1219">
        <v>0.56869419999999904</v>
      </c>
      <c r="F1219" t="s">
        <v>45</v>
      </c>
      <c r="G1219">
        <v>-197.2732</v>
      </c>
      <c r="H1219" s="1">
        <v>1.632752E-6</v>
      </c>
      <c r="I1219">
        <v>291.69729999999998</v>
      </c>
      <c r="J1219">
        <v>-193.58029999999999</v>
      </c>
      <c r="K1219">
        <v>1.1068929999999999</v>
      </c>
      <c r="L1219">
        <v>297.36169999999998</v>
      </c>
      <c r="M1219">
        <v>-0.2766612</v>
      </c>
      <c r="N1219">
        <v>-1.40646E-2</v>
      </c>
      <c r="O1219">
        <v>-0.96086459999999996</v>
      </c>
      <c r="P1219">
        <v>-0.41157379999999999</v>
      </c>
      <c r="Q1219">
        <v>0.37168410000000002</v>
      </c>
      <c r="R1219">
        <v>-0.83214059999999901</v>
      </c>
      <c r="S1219">
        <v>-1.873764</v>
      </c>
      <c r="T1219">
        <v>-0.55158379999999996</v>
      </c>
      <c r="U1219">
        <v>-2.92746</v>
      </c>
      <c r="V1219">
        <v>0.16942579999999999</v>
      </c>
      <c r="W1219">
        <v>0.38267950000000001</v>
      </c>
      <c r="X1219">
        <v>0.9082133</v>
      </c>
      <c r="Y1219">
        <v>0.27889899999999901</v>
      </c>
      <c r="Z1219">
        <v>0.14408029999999999</v>
      </c>
      <c r="AA1219">
        <v>0.94945049999999998</v>
      </c>
      <c r="AB1219">
        <v>22</v>
      </c>
      <c r="AC1219">
        <v>-3.6928999999999998</v>
      </c>
      <c r="AD1219">
        <v>-1.1068913672480001</v>
      </c>
      <c r="AE1219">
        <v>-5.6643999999999997</v>
      </c>
      <c r="AF1219">
        <v>1.9297430582819499</v>
      </c>
      <c r="AG1219">
        <v>-1.1068913672480001</v>
      </c>
      <c r="AH1219">
        <v>6.2963244100891202</v>
      </c>
      <c r="AI1219">
        <v>99.541227678263198</v>
      </c>
      <c r="AJ1219">
        <v>72.960366453943195</v>
      </c>
      <c r="AK1219">
        <v>6.6777853998881698</v>
      </c>
      <c r="AL1219">
        <v>67.500245054654201</v>
      </c>
      <c r="AM1219">
        <v>79.4330209584719</v>
      </c>
      <c r="AN1219">
        <v>1.0000000498613799</v>
      </c>
    </row>
    <row r="1220" spans="1:40" x14ac:dyDescent="0.25">
      <c r="A1220" t="str">
        <f>"20190304164620075"</f>
        <v>20190304164620075</v>
      </c>
      <c r="B1220" t="str">
        <f>"1551689180069254"</f>
        <v>1551689180069254</v>
      </c>
      <c r="C1220" t="s">
        <v>40</v>
      </c>
      <c r="D1220">
        <v>5.1968079999999999</v>
      </c>
      <c r="E1220">
        <v>0.56865299999999996</v>
      </c>
      <c r="F1220" t="s">
        <v>45</v>
      </c>
      <c r="G1220">
        <v>-197.36879999999999</v>
      </c>
      <c r="H1220" s="1">
        <v>1.649215E-6</v>
      </c>
      <c r="I1220">
        <v>291.5557</v>
      </c>
      <c r="J1220">
        <v>-193.64840000000001</v>
      </c>
      <c r="K1220">
        <v>1.1067560000000001</v>
      </c>
      <c r="L1220">
        <v>297.15589999999997</v>
      </c>
      <c r="M1220">
        <v>-0.28376449999999998</v>
      </c>
      <c r="N1220">
        <v>-1.4085250000000001E-2</v>
      </c>
      <c r="O1220">
        <v>-0.95879080000000005</v>
      </c>
      <c r="P1220">
        <v>-0.4193865</v>
      </c>
      <c r="Q1220">
        <v>0.37246469999999998</v>
      </c>
      <c r="R1220">
        <v>-0.82788009999999901</v>
      </c>
      <c r="S1220">
        <v>-1.9008179999999999</v>
      </c>
      <c r="T1220">
        <v>-0.55537019999999904</v>
      </c>
      <c r="U1220">
        <v>-2.9130859999999998</v>
      </c>
      <c r="V1220">
        <v>0.1715034</v>
      </c>
      <c r="W1220">
        <v>0.38338860000000002</v>
      </c>
      <c r="X1220">
        <v>0.907524</v>
      </c>
      <c r="Y1220">
        <v>0.28005770000000002</v>
      </c>
      <c r="Z1220">
        <v>0.1449095</v>
      </c>
      <c r="AA1220">
        <v>0.94898309999999997</v>
      </c>
      <c r="AB1220">
        <v>22</v>
      </c>
      <c r="AC1220">
        <v>-3.7203999999999802</v>
      </c>
      <c r="AD1220">
        <v>-1.106754350785</v>
      </c>
      <c r="AE1220">
        <v>-5.6001999999999699</v>
      </c>
      <c r="AF1220">
        <v>1.9259545349667899</v>
      </c>
      <c r="AG1220">
        <v>-1.106754350785</v>
      </c>
      <c r="AH1220">
        <v>6.2562449533350097</v>
      </c>
      <c r="AI1220">
        <v>99.596460844566806</v>
      </c>
      <c r="AJ1220">
        <v>72.889272633570599</v>
      </c>
      <c r="AK1220">
        <v>6.63888597430853</v>
      </c>
      <c r="AL1220">
        <v>67.456261588305907</v>
      </c>
      <c r="AM1220">
        <v>79.298478499858405</v>
      </c>
      <c r="AN1220">
        <v>1.00000002269875</v>
      </c>
    </row>
    <row r="1221" spans="1:40" x14ac:dyDescent="0.25">
      <c r="A1221" t="str">
        <f>"20190304164620097"</f>
        <v>20190304164620097</v>
      </c>
      <c r="B1221" t="str">
        <f>"1551689180089750"</f>
        <v>1551689180089750</v>
      </c>
      <c r="C1221" t="s">
        <v>40</v>
      </c>
      <c r="D1221">
        <v>5.200736</v>
      </c>
      <c r="E1221">
        <v>0.56853849999999995</v>
      </c>
      <c r="F1221" t="s">
        <v>45</v>
      </c>
      <c r="G1221">
        <v>-197.48089999999999</v>
      </c>
      <c r="H1221" s="1">
        <v>1.667749E-6</v>
      </c>
      <c r="I1221">
        <v>291.39400000000001</v>
      </c>
      <c r="J1221">
        <v>-193.72200000000001</v>
      </c>
      <c r="K1221">
        <v>1.106616</v>
      </c>
      <c r="L1221">
        <v>296.94009999999997</v>
      </c>
      <c r="M1221">
        <v>-0.29146470000000002</v>
      </c>
      <c r="N1221">
        <v>-1.410777E-2</v>
      </c>
      <c r="O1221">
        <v>-0.95647780000000004</v>
      </c>
      <c r="P1221">
        <v>-0.42798069999999999</v>
      </c>
      <c r="Q1221">
        <v>0.37250729999999999</v>
      </c>
      <c r="R1221">
        <v>-0.82345100000000004</v>
      </c>
      <c r="S1221">
        <v>-1.927414</v>
      </c>
      <c r="T1221">
        <v>-0.55659809999999998</v>
      </c>
      <c r="U1221">
        <v>-2.8977050000000002</v>
      </c>
      <c r="V1221">
        <v>0.17380619999999999</v>
      </c>
      <c r="W1221">
        <v>0.38335960000000002</v>
      </c>
      <c r="X1221">
        <v>0.90709810000000002</v>
      </c>
      <c r="Y1221">
        <v>0.28069509999999998</v>
      </c>
      <c r="Z1221">
        <v>0.1450292</v>
      </c>
      <c r="AA1221">
        <v>0.94877650000000002</v>
      </c>
      <c r="AB1221">
        <v>22</v>
      </c>
      <c r="AC1221">
        <v>-3.7588999999999801</v>
      </c>
      <c r="AD1221">
        <v>-1.106614332251</v>
      </c>
      <c r="AE1221">
        <v>-5.5460999999999601</v>
      </c>
      <c r="AF1221">
        <v>1.9264533312821199</v>
      </c>
      <c r="AG1221">
        <v>-1.106614332251</v>
      </c>
      <c r="AH1221">
        <v>6.2309581928435902</v>
      </c>
      <c r="AI1221">
        <v>99.629941690514897</v>
      </c>
      <c r="AJ1221">
        <v>72.819725185772498</v>
      </c>
      <c r="AK1221">
        <v>6.6151838764252</v>
      </c>
      <c r="AL1221">
        <v>67.458061762490104</v>
      </c>
      <c r="AM1221">
        <v>79.153201790855903</v>
      </c>
      <c r="AN1221">
        <v>1.0000000705470999</v>
      </c>
    </row>
    <row r="1222" spans="1:40" x14ac:dyDescent="0.25">
      <c r="A1222" t="str">
        <f>"20190304164620121"</f>
        <v>20190304164620121</v>
      </c>
      <c r="B1222" t="str">
        <f>"1551689180109270"</f>
        <v>1551689180109270</v>
      </c>
      <c r="C1222" t="s">
        <v>40</v>
      </c>
      <c r="D1222">
        <v>5.2065429999999999</v>
      </c>
      <c r="E1222">
        <v>0.56846759999999996</v>
      </c>
      <c r="F1222" t="s">
        <v>45</v>
      </c>
      <c r="G1222">
        <v>-197.58019999999999</v>
      </c>
      <c r="H1222" s="1">
        <v>1.6821740000000001E-6</v>
      </c>
      <c r="I1222">
        <v>291.26209999999998</v>
      </c>
      <c r="J1222">
        <v>-193.79859999999999</v>
      </c>
      <c r="K1222">
        <v>1.1064929999999999</v>
      </c>
      <c r="L1222">
        <v>296.72199999999998</v>
      </c>
      <c r="M1222">
        <v>-0.29945310000000003</v>
      </c>
      <c r="N1222">
        <v>-1.4129940000000001E-2</v>
      </c>
      <c r="O1222">
        <v>-0.95400660000000004</v>
      </c>
      <c r="P1222">
        <v>-0.43647170000000002</v>
      </c>
      <c r="Q1222">
        <v>0.37277339999999998</v>
      </c>
      <c r="R1222">
        <v>-0.81886099999999995</v>
      </c>
      <c r="S1222">
        <v>-1.957001</v>
      </c>
      <c r="T1222">
        <v>-0.56130599999999997</v>
      </c>
      <c r="U1222">
        <v>-2.8800349999999999</v>
      </c>
      <c r="V1222">
        <v>0.1757618</v>
      </c>
      <c r="W1222">
        <v>0.38356649999999998</v>
      </c>
      <c r="X1222">
        <v>0.90663360000000004</v>
      </c>
      <c r="Y1222">
        <v>0.28195290000000001</v>
      </c>
      <c r="Z1222">
        <v>0.146112299999999</v>
      </c>
      <c r="AA1222">
        <v>0.9482372</v>
      </c>
      <c r="AB1222">
        <v>22</v>
      </c>
      <c r="AC1222">
        <v>-3.7815999999999899</v>
      </c>
      <c r="AD1222">
        <v>-1.1064913178260001</v>
      </c>
      <c r="AE1222">
        <v>-5.4599000000000002</v>
      </c>
      <c r="AF1222">
        <v>1.9196043558864599</v>
      </c>
      <c r="AG1222">
        <v>-1.1064913178260001</v>
      </c>
      <c r="AH1222">
        <v>6.17055740276622</v>
      </c>
      <c r="AI1222">
        <v>99.716185068989006</v>
      </c>
      <c r="AJ1222">
        <v>72.719556606544202</v>
      </c>
      <c r="AK1222">
        <v>6.5562933567981503</v>
      </c>
      <c r="AL1222">
        <v>67.445223841475396</v>
      </c>
      <c r="AM1222">
        <v>79.0286186746429</v>
      </c>
      <c r="AN1222">
        <v>0.99999997745522395</v>
      </c>
    </row>
    <row r="1223" spans="1:40" x14ac:dyDescent="0.25">
      <c r="A1223" t="str">
        <f>"20190304164620146"</f>
        <v>20190304164620146</v>
      </c>
      <c r="B1223" t="str">
        <f>"1551689180139526"</f>
        <v>1551689180139526</v>
      </c>
      <c r="C1223" t="s">
        <v>40</v>
      </c>
      <c r="D1223">
        <v>5.1996279999999997</v>
      </c>
      <c r="E1223">
        <v>0.56831869999999995</v>
      </c>
      <c r="F1223" t="s">
        <v>45</v>
      </c>
      <c r="G1223">
        <v>-197.6961</v>
      </c>
      <c r="H1223" s="1">
        <v>1.69847999999999E-6</v>
      </c>
      <c r="I1223">
        <v>291.11110000000002</v>
      </c>
      <c r="J1223">
        <v>-193.88310000000001</v>
      </c>
      <c r="K1223">
        <v>1.10639</v>
      </c>
      <c r="L1223">
        <v>296.48860000000002</v>
      </c>
      <c r="M1223">
        <v>-0.30822070000000001</v>
      </c>
      <c r="N1223">
        <v>-1.4152410000000001E-2</v>
      </c>
      <c r="O1223">
        <v>-0.95120970000000005</v>
      </c>
      <c r="P1223">
        <v>-0.4458278</v>
      </c>
      <c r="Q1223">
        <v>0.37286639999999999</v>
      </c>
      <c r="R1223">
        <v>-0.81376210000000004</v>
      </c>
      <c r="S1223">
        <v>-1.9873959999999999</v>
      </c>
      <c r="T1223">
        <v>-0.56422589999999995</v>
      </c>
      <c r="U1223">
        <v>-2.861084</v>
      </c>
      <c r="V1223">
        <v>0.17793210000000001</v>
      </c>
      <c r="W1223">
        <v>0.383604</v>
      </c>
      <c r="X1223">
        <v>0.90619430000000001</v>
      </c>
      <c r="Y1223">
        <v>0.28281529999999999</v>
      </c>
      <c r="Z1223">
        <v>0.14667140000000001</v>
      </c>
      <c r="AA1223">
        <v>0.94789400000000001</v>
      </c>
      <c r="AB1223">
        <v>22</v>
      </c>
      <c r="AC1223">
        <v>-3.8129999999999802</v>
      </c>
      <c r="AD1223">
        <v>-1.10638830152</v>
      </c>
      <c r="AE1223">
        <v>-5.3774999999999897</v>
      </c>
      <c r="AF1223">
        <v>1.9157397239799501</v>
      </c>
      <c r="AG1223">
        <v>-1.10638830152</v>
      </c>
      <c r="AH1223">
        <v>6.1186530966089601</v>
      </c>
      <c r="AI1223">
        <v>99.790639405827207</v>
      </c>
      <c r="AJ1223">
        <v>72.614751803222902</v>
      </c>
      <c r="AK1223">
        <v>6.5063099742033099</v>
      </c>
      <c r="AL1223">
        <v>67.442897464573605</v>
      </c>
      <c r="AM1223">
        <v>78.891242395302498</v>
      </c>
      <c r="AN1223">
        <v>0.99999998518944899</v>
      </c>
    </row>
    <row r="1224" spans="1:40" x14ac:dyDescent="0.25">
      <c r="A1224" t="str">
        <f>"20190304164620187"</f>
        <v>20190304164620187</v>
      </c>
      <c r="B1224" t="str">
        <f>"1551689180179543"</f>
        <v>1551689180179543</v>
      </c>
      <c r="C1224" t="s">
        <v>40</v>
      </c>
      <c r="D1224">
        <v>5.210947</v>
      </c>
      <c r="E1224">
        <v>0.56836830000000005</v>
      </c>
      <c r="F1224" t="s">
        <v>45</v>
      </c>
      <c r="G1224">
        <v>-197.79599999999999</v>
      </c>
      <c r="H1224" s="1">
        <v>1.7131500000000001E-6</v>
      </c>
      <c r="I1224">
        <v>290.97750000000002</v>
      </c>
      <c r="J1224">
        <v>-194.0264</v>
      </c>
      <c r="K1224">
        <v>1.1062299999999901</v>
      </c>
      <c r="L1224">
        <v>296.10930000000002</v>
      </c>
      <c r="M1224">
        <v>-0.32296150000000001</v>
      </c>
      <c r="N1224">
        <v>-1.418961E-2</v>
      </c>
      <c r="O1224">
        <v>-0.94630599999999998</v>
      </c>
      <c r="P1224">
        <v>-0.4626883</v>
      </c>
      <c r="Q1224">
        <v>0.37202780000000002</v>
      </c>
      <c r="R1224">
        <v>-0.8046837</v>
      </c>
      <c r="S1224">
        <v>-2.018097</v>
      </c>
      <c r="T1224">
        <v>-0.57062889999999999</v>
      </c>
      <c r="U1224">
        <v>-2.8424070000000001</v>
      </c>
      <c r="V1224">
        <v>0.18276999999999999</v>
      </c>
      <c r="W1224">
        <v>0.38266630000000001</v>
      </c>
      <c r="X1224">
        <v>0.90562779999999998</v>
      </c>
      <c r="Y1224">
        <v>0.27756120000000001</v>
      </c>
      <c r="Z1224">
        <v>0.14780119999999999</v>
      </c>
      <c r="AA1224">
        <v>0.94927050000000002</v>
      </c>
      <c r="AB1224">
        <v>22</v>
      </c>
      <c r="AC1224">
        <v>-3.7695999999999898</v>
      </c>
      <c r="AD1224">
        <v>-1.10622828684999</v>
      </c>
      <c r="AE1224">
        <v>-5.1317999999999904</v>
      </c>
      <c r="AF1224">
        <v>1.85405382841127</v>
      </c>
      <c r="AG1224">
        <v>-1.10622828684999</v>
      </c>
      <c r="AH1224">
        <v>5.8963349817758104</v>
      </c>
      <c r="AI1224">
        <v>100.146995387019</v>
      </c>
      <c r="AJ1224">
        <v>72.544675985923206</v>
      </c>
      <c r="AK1224">
        <v>6.2791737385253796</v>
      </c>
      <c r="AL1224">
        <v>67.501063460548394</v>
      </c>
      <c r="AM1224">
        <v>78.590066256595904</v>
      </c>
      <c r="AN1224">
        <v>1.00000004109426</v>
      </c>
    </row>
    <row r="1225" spans="1:40" x14ac:dyDescent="0.25">
      <c r="A1225" t="str">
        <f>"20190304164620209"</f>
        <v>20190304164620209</v>
      </c>
      <c r="B1225" t="str">
        <f>"1551689180199062"</f>
        <v>1551689180199062</v>
      </c>
      <c r="C1225" t="s">
        <v>40</v>
      </c>
      <c r="D1225">
        <v>4.9987629999999896</v>
      </c>
      <c r="E1225">
        <v>0.56845029999999996</v>
      </c>
      <c r="F1225" t="s">
        <v>45</v>
      </c>
      <c r="G1225">
        <v>-197.99039999999999</v>
      </c>
      <c r="H1225" s="1">
        <v>1.7376300000000001E-6</v>
      </c>
      <c r="I1225">
        <v>290.74059999999997</v>
      </c>
      <c r="J1225">
        <v>-194.10720000000001</v>
      </c>
      <c r="K1225">
        <v>1.106152</v>
      </c>
      <c r="L1225">
        <v>295.9033</v>
      </c>
      <c r="M1225">
        <v>-0.33118229999999999</v>
      </c>
      <c r="N1225">
        <v>-1.421092E-2</v>
      </c>
      <c r="O1225">
        <v>-0.94345999999999997</v>
      </c>
      <c r="P1225">
        <v>-0.47145049999999999</v>
      </c>
      <c r="Q1225">
        <v>0.3715717</v>
      </c>
      <c r="R1225">
        <v>-0.79979350000000005</v>
      </c>
      <c r="S1225">
        <v>-2.0708920000000002</v>
      </c>
      <c r="T1225">
        <v>-0.577908599999999</v>
      </c>
      <c r="U1225">
        <v>-2.8046880000000001</v>
      </c>
      <c r="V1225">
        <v>0.1847925</v>
      </c>
      <c r="W1225">
        <v>0.38216670000000003</v>
      </c>
      <c r="X1225">
        <v>0.90542829999999996</v>
      </c>
      <c r="Y1225">
        <v>0.2866572</v>
      </c>
      <c r="Z1225">
        <v>0.14983929999999901</v>
      </c>
      <c r="AA1225">
        <v>0.94624299999999995</v>
      </c>
      <c r="AB1225">
        <v>22</v>
      </c>
      <c r="AC1225">
        <v>-3.88319999999998</v>
      </c>
      <c r="AD1225">
        <v>-1.1061502623699999</v>
      </c>
      <c r="AE1225">
        <v>-5.1627000000000196</v>
      </c>
      <c r="AF1225">
        <v>1.8983867846871401</v>
      </c>
      <c r="AG1225">
        <v>-1.1061502623699999</v>
      </c>
      <c r="AH1225">
        <v>5.9820789128040497</v>
      </c>
      <c r="AI1225">
        <v>99.995648953035399</v>
      </c>
      <c r="AJ1225">
        <v>72.393390254094797</v>
      </c>
      <c r="AK1225">
        <v>6.3728101263281696</v>
      </c>
      <c r="AL1225">
        <v>67.532042949397095</v>
      </c>
      <c r="AM1225">
        <v>78.464698078968794</v>
      </c>
      <c r="AN1225">
        <v>1.0000000305430099</v>
      </c>
    </row>
    <row r="1226" spans="1:40" x14ac:dyDescent="0.25">
      <c r="A1226" t="str">
        <f>"20190304164620231"</f>
        <v>20190304164620231</v>
      </c>
      <c r="B1226" t="str">
        <f>"1551689180219558"</f>
        <v>1551689180219558</v>
      </c>
      <c r="C1226" t="s">
        <v>40</v>
      </c>
      <c r="D1226">
        <v>4.8262159999999996</v>
      </c>
      <c r="E1226">
        <v>0.56837469999999901</v>
      </c>
      <c r="F1226" t="s">
        <v>45</v>
      </c>
      <c r="G1226">
        <v>-198.10380000000001</v>
      </c>
      <c r="H1226" s="1">
        <v>1.751858E-6</v>
      </c>
      <c r="I1226">
        <v>290.60270000000003</v>
      </c>
      <c r="J1226">
        <v>-194.18549999999999</v>
      </c>
      <c r="K1226">
        <v>1.106077</v>
      </c>
      <c r="L1226">
        <v>295.70920000000001</v>
      </c>
      <c r="M1226">
        <v>-0.3390589</v>
      </c>
      <c r="N1226">
        <v>-1.4230349999999999E-2</v>
      </c>
      <c r="O1226">
        <v>-0.94065759999999998</v>
      </c>
      <c r="P1226">
        <v>-0.47963689999999998</v>
      </c>
      <c r="Q1226">
        <v>0.37160609999999999</v>
      </c>
      <c r="R1226">
        <v>-0.79489469999999995</v>
      </c>
      <c r="S1226">
        <v>-2.098846</v>
      </c>
      <c r="T1226">
        <v>-0.58090220000000004</v>
      </c>
      <c r="U1226">
        <v>-2.78363</v>
      </c>
      <c r="V1226">
        <v>0.1866013</v>
      </c>
      <c r="W1226">
        <v>0.38215870000000002</v>
      </c>
      <c r="X1226">
        <v>0.90506059999999999</v>
      </c>
      <c r="Y1226">
        <v>0.28808020000000001</v>
      </c>
      <c r="Z1226">
        <v>0.15048900000000001</v>
      </c>
      <c r="AA1226">
        <v>0.94570759999999998</v>
      </c>
      <c r="AB1226">
        <v>22</v>
      </c>
      <c r="AC1226">
        <v>-3.9183000000000101</v>
      </c>
      <c r="AD1226">
        <v>-1.106075248142</v>
      </c>
      <c r="AE1226">
        <v>-5.1064999999999801</v>
      </c>
      <c r="AF1226">
        <v>1.8985095475167399</v>
      </c>
      <c r="AG1226">
        <v>-1.106075248142</v>
      </c>
      <c r="AH1226">
        <v>5.9567221749319996</v>
      </c>
      <c r="AI1226">
        <v>100.032774297117</v>
      </c>
      <c r="AJ1226">
        <v>72.322027327017693</v>
      </c>
      <c r="AK1226">
        <v>6.3490377244029101</v>
      </c>
      <c r="AL1226">
        <v>67.532538322799198</v>
      </c>
      <c r="AM1226">
        <v>78.350255159494694</v>
      </c>
      <c r="AN1226">
        <v>1.0000000034098699</v>
      </c>
    </row>
    <row r="1227" spans="1:40" x14ac:dyDescent="0.25">
      <c r="A1227" t="str">
        <f>"20190304164620255"</f>
        <v>20190304164620255</v>
      </c>
      <c r="B1227" t="str">
        <f>"1551689180248838"</f>
        <v>1551689180248838</v>
      </c>
      <c r="C1227" t="s">
        <v>40</v>
      </c>
      <c r="D1227">
        <v>4.8114990000000004</v>
      </c>
      <c r="E1227">
        <v>0.56828579999999995</v>
      </c>
      <c r="F1227" t="s">
        <v>45</v>
      </c>
      <c r="G1227">
        <v>-198.22069999999999</v>
      </c>
      <c r="H1227" s="1">
        <v>1.7724709999999901E-6</v>
      </c>
      <c r="I1227">
        <v>290.45600000000002</v>
      </c>
      <c r="J1227">
        <v>-194.2773</v>
      </c>
      <c r="K1227">
        <v>1.105993</v>
      </c>
      <c r="L1227">
        <v>295.48770000000002</v>
      </c>
      <c r="M1227">
        <v>-0.34820790000000001</v>
      </c>
      <c r="N1227">
        <v>-1.425131E-2</v>
      </c>
      <c r="O1227">
        <v>-0.93730910000000001</v>
      </c>
      <c r="P1227">
        <v>-0.48933120000000002</v>
      </c>
      <c r="Q1227">
        <v>0.37111240000000001</v>
      </c>
      <c r="R1227">
        <v>-0.78919640000000002</v>
      </c>
      <c r="S1227">
        <v>-2.1237180000000002</v>
      </c>
      <c r="T1227">
        <v>-0.5821288</v>
      </c>
      <c r="U1227">
        <v>-2.7648009999999998</v>
      </c>
      <c r="V1227">
        <v>0.18886430000000001</v>
      </c>
      <c r="W1227">
        <v>0.38161440000000002</v>
      </c>
      <c r="X1227">
        <v>0.90482079999999998</v>
      </c>
      <c r="Y1227">
        <v>0.28720780000000001</v>
      </c>
      <c r="Z1227">
        <v>0.15051829999999999</v>
      </c>
      <c r="AA1227">
        <v>0.94596829999999998</v>
      </c>
      <c r="AB1227">
        <v>22</v>
      </c>
      <c r="AC1227">
        <v>-3.9433999999999898</v>
      </c>
      <c r="AD1227">
        <v>-1.105991227529</v>
      </c>
      <c r="AE1227">
        <v>-5.0317000000000496</v>
      </c>
      <c r="AF1227">
        <v>1.8878012316642201</v>
      </c>
      <c r="AG1227">
        <v>-1.105991227529</v>
      </c>
      <c r="AH1227">
        <v>5.9130188321836696</v>
      </c>
      <c r="AI1227">
        <v>100.103091711939</v>
      </c>
      <c r="AJ1227">
        <v>72.293701836961802</v>
      </c>
      <c r="AK1227">
        <v>6.3048236926501602</v>
      </c>
      <c r="AL1227">
        <v>67.566281243764607</v>
      </c>
      <c r="AM1227">
        <v>78.2098668834157</v>
      </c>
      <c r="AN1227">
        <v>0.99999997710724398</v>
      </c>
    </row>
    <row r="1228" spans="1:40" x14ac:dyDescent="0.25">
      <c r="A1228" t="str">
        <f>"20190304164620276"</f>
        <v>20190304164620276</v>
      </c>
      <c r="B1228" t="str">
        <f>"1551689180269334"</f>
        <v>1551689180269334</v>
      </c>
      <c r="C1228" t="s">
        <v>40</v>
      </c>
      <c r="D1228">
        <v>4.919308</v>
      </c>
      <c r="E1228">
        <v>0.5681349</v>
      </c>
      <c r="F1228" t="s">
        <v>45</v>
      </c>
      <c r="G1228">
        <v>-198.35470000000001</v>
      </c>
      <c r="H1228" s="1">
        <v>1.805418E-6</v>
      </c>
      <c r="I1228">
        <v>290.2955</v>
      </c>
      <c r="J1228">
        <v>-194.35640000000001</v>
      </c>
      <c r="K1228">
        <v>1.1059289999999999</v>
      </c>
      <c r="L1228">
        <v>295.3023</v>
      </c>
      <c r="M1228">
        <v>-0.35600500000000002</v>
      </c>
      <c r="N1228">
        <v>-1.426933E-2</v>
      </c>
      <c r="O1228">
        <v>-0.93437519999999996</v>
      </c>
      <c r="P1228">
        <v>-0.4975617</v>
      </c>
      <c r="Q1228">
        <v>0.37165670000000001</v>
      </c>
      <c r="R1228">
        <v>-0.78377540000000001</v>
      </c>
      <c r="S1228">
        <v>-2.1526640000000001</v>
      </c>
      <c r="T1228">
        <v>-0.58390769999999903</v>
      </c>
      <c r="U1228">
        <v>-2.741241</v>
      </c>
      <c r="V1228">
        <v>0.19096369999999999</v>
      </c>
      <c r="W1228">
        <v>0.38210929999999999</v>
      </c>
      <c r="X1228">
        <v>0.90417110000000001</v>
      </c>
      <c r="Y1228">
        <v>0.2893133</v>
      </c>
      <c r="Z1228">
        <v>0.15086930000000001</v>
      </c>
      <c r="AA1228">
        <v>0.94527050000000001</v>
      </c>
      <c r="AB1228">
        <v>22</v>
      </c>
      <c r="AC1228">
        <v>-3.9983</v>
      </c>
      <c r="AD1228">
        <v>-1.105927194582</v>
      </c>
      <c r="AE1228">
        <v>-5.0067999999999904</v>
      </c>
      <c r="AF1228">
        <v>1.89714635358601</v>
      </c>
      <c r="AG1228">
        <v>-1.105927194582</v>
      </c>
      <c r="AH1228">
        <v>5.9257287127761398</v>
      </c>
      <c r="AI1228">
        <v>100.078739901839</v>
      </c>
      <c r="AJ1228">
        <v>72.247319496029505</v>
      </c>
      <c r="AK1228">
        <v>6.3195332125134298</v>
      </c>
      <c r="AL1228">
        <v>67.535601458140505</v>
      </c>
      <c r="AM1228">
        <v>78.074218236031101</v>
      </c>
      <c r="AN1228">
        <v>1.0000000149696899</v>
      </c>
    </row>
    <row r="1229" spans="1:40" x14ac:dyDescent="0.25">
      <c r="A1229" t="str">
        <f>"20190304164620298"</f>
        <v>20190304164620298</v>
      </c>
      <c r="B1229" t="str">
        <f>"1551689180288854"</f>
        <v>1551689180288854</v>
      </c>
      <c r="C1229" t="s">
        <v>40</v>
      </c>
      <c r="D1229">
        <v>4.9107789999999998</v>
      </c>
      <c r="E1229">
        <v>0.56797419999999899</v>
      </c>
      <c r="F1229" t="s">
        <v>45</v>
      </c>
      <c r="G1229">
        <v>-198.49270000000001</v>
      </c>
      <c r="H1229" s="1">
        <v>1.837661E-6</v>
      </c>
      <c r="I1229">
        <v>290.13499999999999</v>
      </c>
      <c r="J1229">
        <v>-194.44579999999999</v>
      </c>
      <c r="K1229">
        <v>1.10588</v>
      </c>
      <c r="L1229">
        <v>295.09840000000003</v>
      </c>
      <c r="M1229">
        <v>-0.36469669999999998</v>
      </c>
      <c r="N1229">
        <v>-1.4288469999999999E-2</v>
      </c>
      <c r="O1229">
        <v>-0.93101679999999998</v>
      </c>
      <c r="P1229">
        <v>-0.5056697</v>
      </c>
      <c r="Q1229">
        <v>0.37134800000000001</v>
      </c>
      <c r="R1229">
        <v>-0.77871650000000003</v>
      </c>
      <c r="S1229">
        <v>-2.1781160000000002</v>
      </c>
      <c r="T1229">
        <v>-0.58236429999999995</v>
      </c>
      <c r="U1229">
        <v>-2.7210079999999999</v>
      </c>
      <c r="V1229">
        <v>0.1919235</v>
      </c>
      <c r="W1229">
        <v>0.3817779</v>
      </c>
      <c r="X1229">
        <v>0.90410780000000002</v>
      </c>
      <c r="Y1229">
        <v>0.28928090000000001</v>
      </c>
      <c r="Z1229">
        <v>0.15016309999999999</v>
      </c>
      <c r="AA1229">
        <v>0.94539280000000003</v>
      </c>
      <c r="AB1229">
        <v>22</v>
      </c>
      <c r="AC1229">
        <v>-4.0469000000000204</v>
      </c>
      <c r="AD1229">
        <v>-1.1058781623389999</v>
      </c>
      <c r="AE1229">
        <v>-4.9634000000000302</v>
      </c>
      <c r="AF1229">
        <v>1.90110657575294</v>
      </c>
      <c r="AG1229">
        <v>-1.1058781623389999</v>
      </c>
      <c r="AH1229">
        <v>5.9209636288964198</v>
      </c>
      <c r="AI1229">
        <v>100.08358583598699</v>
      </c>
      <c r="AJ1229">
        <v>72.199183064626993</v>
      </c>
      <c r="AK1229">
        <v>6.3162475424118396</v>
      </c>
      <c r="AL1229">
        <v>67.556145487009402</v>
      </c>
      <c r="AM1229">
        <v>78.015192246984697</v>
      </c>
      <c r="AN1229">
        <v>0.99999995440074896</v>
      </c>
    </row>
    <row r="1230" spans="1:40" x14ac:dyDescent="0.25">
      <c r="A1230" t="str">
        <f>"20190304164620323"</f>
        <v>20190304164620323</v>
      </c>
      <c r="B1230" t="str">
        <f>"1551689180319110"</f>
        <v>1551689180319110</v>
      </c>
      <c r="C1230" t="s">
        <v>40</v>
      </c>
      <c r="D1230">
        <v>5.0058850000000001</v>
      </c>
      <c r="E1230">
        <v>0.56763940000000002</v>
      </c>
      <c r="F1230" t="s">
        <v>45</v>
      </c>
      <c r="G1230">
        <v>-198.619</v>
      </c>
      <c r="H1230" s="1">
        <v>1.8686180000000001E-6</v>
      </c>
      <c r="I1230">
        <v>289.98410000000001</v>
      </c>
      <c r="J1230">
        <v>-194.541</v>
      </c>
      <c r="K1230">
        <v>1.105839</v>
      </c>
      <c r="L1230">
        <v>294.88679999999999</v>
      </c>
      <c r="M1230">
        <v>-0.37383749999999999</v>
      </c>
      <c r="N1230">
        <v>-1.4305699999999999E-2</v>
      </c>
      <c r="O1230">
        <v>-0.92738399999999999</v>
      </c>
      <c r="P1230">
        <v>-0.51368049999999998</v>
      </c>
      <c r="Q1230">
        <v>0.37227080000000001</v>
      </c>
      <c r="R1230">
        <v>-0.77301180000000003</v>
      </c>
      <c r="S1230">
        <v>-2.2033079999999998</v>
      </c>
      <c r="T1230">
        <v>-0.58385969999999998</v>
      </c>
      <c r="U1230">
        <v>-2.7001650000000001</v>
      </c>
      <c r="V1230">
        <v>0.1925858</v>
      </c>
      <c r="W1230">
        <v>0.38267899999999999</v>
      </c>
      <c r="X1230">
        <v>0.90358590000000005</v>
      </c>
      <c r="Y1230">
        <v>0.28871960000000002</v>
      </c>
      <c r="Z1230">
        <v>0.15025450000000001</v>
      </c>
      <c r="AA1230">
        <v>0.9455498</v>
      </c>
      <c r="AB1230">
        <v>22</v>
      </c>
      <c r="AC1230">
        <v>-4.0780000000000296</v>
      </c>
      <c r="AD1230">
        <v>-1.1058371313819999</v>
      </c>
      <c r="AE1230">
        <v>-4.9026999999999799</v>
      </c>
      <c r="AF1230">
        <v>1.8923535186203799</v>
      </c>
      <c r="AG1230">
        <v>-1.1058371313819999</v>
      </c>
      <c r="AH1230">
        <v>5.8945613743175098</v>
      </c>
      <c r="AI1230">
        <v>100.127585244927</v>
      </c>
      <c r="AJ1230">
        <v>72.201613407918998</v>
      </c>
      <c r="AK1230">
        <v>6.2888577179145999</v>
      </c>
      <c r="AL1230">
        <v>67.5002747143579</v>
      </c>
      <c r="AM1230">
        <v>77.968293134647595</v>
      </c>
      <c r="AN1230">
        <v>0.99999999304072495</v>
      </c>
    </row>
    <row r="1231" spans="1:40" x14ac:dyDescent="0.25">
      <c r="A1231" t="str">
        <f>"20190304164620347"</f>
        <v>20190304164620347</v>
      </c>
      <c r="B1231" t="str">
        <f>"1551689180339606"</f>
        <v>1551689180339606</v>
      </c>
      <c r="C1231" t="s">
        <v>40</v>
      </c>
      <c r="D1231">
        <v>4.9431479999999999</v>
      </c>
      <c r="E1231">
        <v>0.56747040000000004</v>
      </c>
      <c r="F1231" t="s">
        <v>45</v>
      </c>
      <c r="G1231">
        <v>-198.79470000000001</v>
      </c>
      <c r="H1231" s="1">
        <v>1.9083969999999999E-6</v>
      </c>
      <c r="I1231">
        <v>289.78339999999997</v>
      </c>
      <c r="J1231">
        <v>-194.6422</v>
      </c>
      <c r="K1231">
        <v>1.105799</v>
      </c>
      <c r="L1231">
        <v>294.66829999999999</v>
      </c>
      <c r="M1231">
        <v>-0.38340550000000001</v>
      </c>
      <c r="N1231">
        <v>-1.4316540000000001E-2</v>
      </c>
      <c r="O1231">
        <v>-0.92346919999999999</v>
      </c>
      <c r="P1231">
        <v>-0.52224129999999902</v>
      </c>
      <c r="Q1231">
        <v>0.37390770000000001</v>
      </c>
      <c r="R1231">
        <v>-0.76645769999999902</v>
      </c>
      <c r="S1231">
        <v>-2.2315369999999999</v>
      </c>
      <c r="T1231">
        <v>-0.58013579999999998</v>
      </c>
      <c r="U1231">
        <v>-2.6773380000000002</v>
      </c>
      <c r="V1231">
        <v>0.19365769999999999</v>
      </c>
      <c r="W1231">
        <v>0.3842798</v>
      </c>
      <c r="X1231">
        <v>0.90267699999999995</v>
      </c>
      <c r="Y1231">
        <v>0.28880869999999997</v>
      </c>
      <c r="Z1231">
        <v>0.14889179999999999</v>
      </c>
      <c r="AA1231">
        <v>0.94573819999999997</v>
      </c>
      <c r="AB1231">
        <v>21</v>
      </c>
      <c r="AC1231">
        <v>-4.1524999999999999</v>
      </c>
      <c r="AD1231">
        <v>-1.105797091603</v>
      </c>
      <c r="AE1231">
        <v>-4.8849000000000098</v>
      </c>
      <c r="AF1231">
        <v>1.90533043066482</v>
      </c>
      <c r="AG1231">
        <v>-1.105797091603</v>
      </c>
      <c r="AH1231">
        <v>5.9274444432912903</v>
      </c>
      <c r="AI1231">
        <v>100.071024809216</v>
      </c>
      <c r="AJ1231">
        <v>72.180406429664799</v>
      </c>
      <c r="AK1231">
        <v>6.3235803850445196</v>
      </c>
      <c r="AL1231">
        <v>67.400963782383201</v>
      </c>
      <c r="AM1231">
        <v>77.891472986746805</v>
      </c>
      <c r="AN1231">
        <v>1.0000000178931601</v>
      </c>
    </row>
    <row r="1232" spans="1:40" x14ac:dyDescent="0.25">
      <c r="A1232" t="str">
        <f>"20190304164620367"</f>
        <v>20190304164620367</v>
      </c>
      <c r="B1232" t="str">
        <f>"1551689180359126"</f>
        <v>1551689180359126</v>
      </c>
      <c r="C1232" t="s">
        <v>40</v>
      </c>
      <c r="D1232">
        <v>4.9637449999999896</v>
      </c>
      <c r="E1232">
        <v>0.56728319999999999</v>
      </c>
      <c r="F1232" t="s">
        <v>45</v>
      </c>
      <c r="G1232">
        <v>-199.00569999999999</v>
      </c>
      <c r="H1232" s="1">
        <v>1.9354659999999998E-6</v>
      </c>
      <c r="I1232">
        <v>289.55410000000001</v>
      </c>
      <c r="J1232">
        <v>-194.7312</v>
      </c>
      <c r="K1232">
        <v>1.1057549999999901</v>
      </c>
      <c r="L1232">
        <v>294.48090000000002</v>
      </c>
      <c r="M1232">
        <v>-0.39171810000000001</v>
      </c>
      <c r="N1232">
        <v>-1.4316010000000001E-2</v>
      </c>
      <c r="O1232">
        <v>-0.91997390000000001</v>
      </c>
      <c r="P1232">
        <v>-0.53069290000000002</v>
      </c>
      <c r="Q1232">
        <v>0.37507370000000001</v>
      </c>
      <c r="R1232">
        <v>-0.76005599999999995</v>
      </c>
      <c r="S1232">
        <v>-2.2627869999999999</v>
      </c>
      <c r="T1232">
        <v>-0.57343219999999995</v>
      </c>
      <c r="U1232">
        <v>-2.652069</v>
      </c>
      <c r="V1232">
        <v>0.19579379999999999</v>
      </c>
      <c r="W1232">
        <v>0.38538630000000001</v>
      </c>
      <c r="X1232">
        <v>0.90174399999999999</v>
      </c>
      <c r="Y1232">
        <v>0.29128809999999999</v>
      </c>
      <c r="Z1232">
        <v>0.14683209999999999</v>
      </c>
      <c r="AA1232">
        <v>0.94529969999999996</v>
      </c>
      <c r="AB1232">
        <v>21</v>
      </c>
      <c r="AC1232">
        <v>-4.2744999999999802</v>
      </c>
      <c r="AD1232">
        <v>-1.1057530645339999</v>
      </c>
      <c r="AE1232">
        <v>-4.9268000000000098</v>
      </c>
      <c r="AF1232">
        <v>1.9467688684650799</v>
      </c>
      <c r="AG1232">
        <v>-1.1057530645339999</v>
      </c>
      <c r="AH1232">
        <v>6.0341475847237396</v>
      </c>
      <c r="AI1232">
        <v>99.892753852762198</v>
      </c>
      <c r="AJ1232">
        <v>72.118984378387495</v>
      </c>
      <c r="AK1232">
        <v>6.4361118651852598</v>
      </c>
      <c r="AL1232">
        <v>67.332276314786299</v>
      </c>
      <c r="AM1232">
        <v>77.749636822837999</v>
      </c>
      <c r="AN1232">
        <v>1.00000002694106</v>
      </c>
    </row>
    <row r="1233" spans="1:40" x14ac:dyDescent="0.25">
      <c r="A1233" t="str">
        <f>"20190304164620388"</f>
        <v>20190304164620388</v>
      </c>
      <c r="B1233" t="str">
        <f>"1551689180379622"</f>
        <v>1551689180379622</v>
      </c>
      <c r="C1233" t="s">
        <v>40</v>
      </c>
      <c r="D1233">
        <v>4.9756549999999997</v>
      </c>
      <c r="E1233">
        <v>0.56713029999999998</v>
      </c>
      <c r="F1233" t="s">
        <v>45</v>
      </c>
      <c r="G1233">
        <v>-199.16650000000001</v>
      </c>
      <c r="H1233" s="1">
        <v>1.922301E-6</v>
      </c>
      <c r="I1233">
        <v>289.37830000000002</v>
      </c>
      <c r="J1233">
        <v>-194.81870000000001</v>
      </c>
      <c r="K1233">
        <v>1.1057159999999999</v>
      </c>
      <c r="L1233">
        <v>294.30130000000003</v>
      </c>
      <c r="M1233">
        <v>-0.39977649999999998</v>
      </c>
      <c r="N1233">
        <v>-1.430229E-2</v>
      </c>
      <c r="O1233">
        <v>-0.91650109999999996</v>
      </c>
      <c r="P1233">
        <v>-0.53830659999999997</v>
      </c>
      <c r="Q1233">
        <v>0.37548160000000003</v>
      </c>
      <c r="R1233">
        <v>-0.75447980000000003</v>
      </c>
      <c r="S1233">
        <v>-2.2873079999999999</v>
      </c>
      <c r="T1233">
        <v>-0.57023789999999996</v>
      </c>
      <c r="U1233">
        <v>-2.6314090000000001</v>
      </c>
      <c r="V1233">
        <v>0.197075</v>
      </c>
      <c r="W1233">
        <v>0.38574000000000003</v>
      </c>
      <c r="X1233">
        <v>0.90131349999999999</v>
      </c>
      <c r="Y1233">
        <v>0.29170380000000001</v>
      </c>
      <c r="Z1233">
        <v>0.14568339999999999</v>
      </c>
      <c r="AA1233">
        <v>0.94534929999999995</v>
      </c>
      <c r="AB1233">
        <v>21</v>
      </c>
      <c r="AC1233">
        <v>-4.3478000000000003</v>
      </c>
      <c r="AD1233">
        <v>-1.105714077699</v>
      </c>
      <c r="AE1233">
        <v>-4.923</v>
      </c>
      <c r="AF1233">
        <v>1.96128552222956</v>
      </c>
      <c r="AG1233">
        <v>-1.105714077699</v>
      </c>
      <c r="AH1233">
        <v>6.0784538410512603</v>
      </c>
      <c r="AI1233">
        <v>99.821611847935998</v>
      </c>
      <c r="AJ1233">
        <v>72.117086249676206</v>
      </c>
      <c r="AK1233">
        <v>6.4820402358454903</v>
      </c>
      <c r="AL1233">
        <v>67.310311093360696</v>
      </c>
      <c r="AM1233">
        <v>77.666210696738105</v>
      </c>
      <c r="AN1233">
        <v>0.99999996425362403</v>
      </c>
    </row>
    <row r="1234" spans="1:40" x14ac:dyDescent="0.25">
      <c r="A1234" t="str">
        <f>"20190304164620410"</f>
        <v>20190304164620410</v>
      </c>
      <c r="B1234" t="str">
        <f>"1551689180399142"</f>
        <v>1551689180399142</v>
      </c>
      <c r="C1234" t="s">
        <v>40</v>
      </c>
      <c r="D1234">
        <v>5.257009</v>
      </c>
      <c r="E1234">
        <v>0.56686449999999999</v>
      </c>
      <c r="F1234" t="s">
        <v>45</v>
      </c>
      <c r="G1234">
        <v>-199.31739999999999</v>
      </c>
      <c r="H1234" s="1">
        <v>1.9092969999999998E-6</v>
      </c>
      <c r="I1234">
        <v>289.22109999999998</v>
      </c>
      <c r="J1234">
        <v>-194.91579999999999</v>
      </c>
      <c r="K1234">
        <v>1.1056629999999901</v>
      </c>
      <c r="L1234">
        <v>294.10640000000001</v>
      </c>
      <c r="M1234">
        <v>-0.40860829999999998</v>
      </c>
      <c r="N1234">
        <v>-1.4267989999999999E-2</v>
      </c>
      <c r="O1234">
        <v>-0.91259860000000004</v>
      </c>
      <c r="P1234">
        <v>-0.54510859999999906</v>
      </c>
      <c r="Q1234">
        <v>0.37563350000000001</v>
      </c>
      <c r="R1234">
        <v>-0.74950430000000001</v>
      </c>
      <c r="S1234">
        <v>-2.311188</v>
      </c>
      <c r="T1234">
        <v>-0.56805779999999995</v>
      </c>
      <c r="U1234">
        <v>-2.6099239999999999</v>
      </c>
      <c r="V1234">
        <v>0.1965962</v>
      </c>
      <c r="W1234">
        <v>0.38584689999999999</v>
      </c>
      <c r="X1234">
        <v>0.90137239999999996</v>
      </c>
      <c r="Y1234">
        <v>0.2912671</v>
      </c>
      <c r="Z1234">
        <v>0.14478820000000001</v>
      </c>
      <c r="AA1234">
        <v>0.94562139999999995</v>
      </c>
      <c r="AB1234">
        <v>21</v>
      </c>
      <c r="AC1234">
        <v>-4.4016000000000002</v>
      </c>
      <c r="AD1234">
        <v>-1.10566109070299</v>
      </c>
      <c r="AE1234">
        <v>-4.8853000000000204</v>
      </c>
      <c r="AF1234">
        <v>1.9653604580059101</v>
      </c>
      <c r="AG1234">
        <v>-1.10566109070299</v>
      </c>
      <c r="AH1234">
        <v>6.0854363311488298</v>
      </c>
      <c r="AI1234">
        <v>99.809258603463405</v>
      </c>
      <c r="AJ1234">
        <v>72.101551035082906</v>
      </c>
      <c r="AK1234">
        <v>6.4898122867964201</v>
      </c>
      <c r="AL1234">
        <v>67.303674277335006</v>
      </c>
      <c r="AM1234">
        <v>77.6960416369444</v>
      </c>
      <c r="AN1234">
        <v>1.0000000497879</v>
      </c>
    </row>
    <row r="1235" spans="1:40" x14ac:dyDescent="0.25">
      <c r="A1235" t="str">
        <f>"20190304164620433"</f>
        <v>20190304164620433</v>
      </c>
      <c r="B1235" t="str">
        <f>"1551689180429399"</f>
        <v>1551689180429399</v>
      </c>
      <c r="C1235" t="s">
        <v>40</v>
      </c>
      <c r="D1235">
        <v>5.1798500000000001</v>
      </c>
      <c r="E1235">
        <v>0.56658399999999998</v>
      </c>
      <c r="F1235" t="s">
        <v>45</v>
      </c>
      <c r="G1235">
        <v>-199.48050000000001</v>
      </c>
      <c r="H1235" s="1">
        <v>1.895097E-6</v>
      </c>
      <c r="I1235">
        <v>289.05250000000001</v>
      </c>
      <c r="J1235">
        <v>-195.0121</v>
      </c>
      <c r="K1235">
        <v>1.1056049999999999</v>
      </c>
      <c r="L1235">
        <v>293.91800000000001</v>
      </c>
      <c r="M1235">
        <v>-0.41723969999999999</v>
      </c>
      <c r="N1235">
        <v>-1.421302E-2</v>
      </c>
      <c r="O1235">
        <v>-0.90868539999999998</v>
      </c>
      <c r="P1235">
        <v>-0.55152979999999996</v>
      </c>
      <c r="Q1235">
        <v>0.3759229</v>
      </c>
      <c r="R1235">
        <v>-0.74464569999999997</v>
      </c>
      <c r="S1235">
        <v>-2.3365170000000002</v>
      </c>
      <c r="T1235">
        <v>-0.56594460000000002</v>
      </c>
      <c r="U1235">
        <v>-2.5869450000000001</v>
      </c>
      <c r="V1235">
        <v>0.1959004</v>
      </c>
      <c r="W1235">
        <v>0.38607649999999999</v>
      </c>
      <c r="X1235">
        <v>0.90142549999999999</v>
      </c>
      <c r="Y1235">
        <v>0.2915624</v>
      </c>
      <c r="Z1235">
        <v>0.14394509999999999</v>
      </c>
      <c r="AA1235">
        <v>0.94565909999999997</v>
      </c>
      <c r="AB1235">
        <v>21</v>
      </c>
      <c r="AC1235">
        <v>-4.4683999999999999</v>
      </c>
      <c r="AD1235">
        <v>-1.105603104903</v>
      </c>
      <c r="AE1235">
        <v>-4.8654999999999902</v>
      </c>
      <c r="AF1235">
        <v>1.9751700556445599</v>
      </c>
      <c r="AG1235">
        <v>-1.105603104903</v>
      </c>
      <c r="AH1235">
        <v>6.1149558525997199</v>
      </c>
      <c r="AI1235">
        <v>99.762189985466094</v>
      </c>
      <c r="AJ1235">
        <v>72.099209822290106</v>
      </c>
      <c r="AK1235">
        <v>6.5204555096656902</v>
      </c>
      <c r="AL1235">
        <v>67.289412582021001</v>
      </c>
      <c r="AM1235">
        <v>77.738968973111497</v>
      </c>
      <c r="AN1235">
        <v>0.99999998131132894</v>
      </c>
    </row>
    <row r="1236" spans="1:40" x14ac:dyDescent="0.25">
      <c r="A1236" t="str">
        <f>"20190304164620455"</f>
        <v>20190304164620455</v>
      </c>
      <c r="B1236" t="str">
        <f>"1551689180448919"</f>
        <v>1551689180448919</v>
      </c>
      <c r="C1236" t="s">
        <v>40</v>
      </c>
      <c r="D1236">
        <v>5.0399479999999999</v>
      </c>
      <c r="E1236">
        <v>0.56636209999999998</v>
      </c>
      <c r="F1236" t="s">
        <v>45</v>
      </c>
      <c r="G1236">
        <v>-199.66820000000001</v>
      </c>
      <c r="H1236" s="1">
        <v>1.8780409999999999E-6</v>
      </c>
      <c r="I1236">
        <v>288.86669999999998</v>
      </c>
      <c r="J1236">
        <v>-195.11420000000001</v>
      </c>
      <c r="K1236">
        <v>1.105545</v>
      </c>
      <c r="L1236">
        <v>293.72320000000002</v>
      </c>
      <c r="M1236">
        <v>-0.42625360000000001</v>
      </c>
      <c r="N1236">
        <v>-1.4129259999999999E-2</v>
      </c>
      <c r="O1236">
        <v>-0.90449360000000001</v>
      </c>
      <c r="P1236">
        <v>-0.55803559999999996</v>
      </c>
      <c r="Q1236">
        <v>0.37692160000000002</v>
      </c>
      <c r="R1236">
        <v>-0.73927469999999995</v>
      </c>
      <c r="S1236">
        <v>-2.3619539999999999</v>
      </c>
      <c r="T1236">
        <v>-0.56085339999999995</v>
      </c>
      <c r="U1236">
        <v>-2.5624389999999999</v>
      </c>
      <c r="V1236">
        <v>0.19510040000000001</v>
      </c>
      <c r="W1236">
        <v>0.38698909999999997</v>
      </c>
      <c r="X1236">
        <v>0.90120769999999994</v>
      </c>
      <c r="Y1236">
        <v>0.29180200000000001</v>
      </c>
      <c r="Z1236">
        <v>0.14232539999999999</v>
      </c>
      <c r="AA1236">
        <v>0.94583030000000001</v>
      </c>
      <c r="AB1236">
        <v>21</v>
      </c>
      <c r="AC1236">
        <v>-4.5540000000000003</v>
      </c>
      <c r="AD1236">
        <v>-1.105543121959</v>
      </c>
      <c r="AE1236">
        <v>-4.8565000000000396</v>
      </c>
      <c r="AF1236">
        <v>1.99417888853454</v>
      </c>
      <c r="AG1236">
        <v>-1.105543121959</v>
      </c>
      <c r="AH1236">
        <v>6.1644806015027598</v>
      </c>
      <c r="AI1236">
        <v>99.683378872643701</v>
      </c>
      <c r="AJ1236">
        <v>72.073863095912401</v>
      </c>
      <c r="AK1236">
        <v>6.5726551803887796</v>
      </c>
      <c r="AL1236">
        <v>67.232718920079293</v>
      </c>
      <c r="AM1236">
        <v>77.784670854739602</v>
      </c>
      <c r="AN1236">
        <v>1.00000002406912</v>
      </c>
    </row>
    <row r="1237" spans="1:40" x14ac:dyDescent="0.25">
      <c r="A1237" t="str">
        <f>"20190304164620477"</f>
        <v>20190304164620477</v>
      </c>
      <c r="B1237" t="str">
        <f>"1551689180469414"</f>
        <v>1551689180469414</v>
      </c>
      <c r="C1237" t="s">
        <v>40</v>
      </c>
      <c r="D1237">
        <v>5.1596890000000002</v>
      </c>
      <c r="E1237">
        <v>0.56611650000000002</v>
      </c>
      <c r="F1237" t="s">
        <v>45</v>
      </c>
      <c r="G1237">
        <v>-199.8596</v>
      </c>
      <c r="H1237" s="1">
        <v>1.8610639999999999E-6</v>
      </c>
      <c r="I1237">
        <v>288.67250000000001</v>
      </c>
      <c r="J1237">
        <v>-195.2166</v>
      </c>
      <c r="K1237">
        <v>1.105488</v>
      </c>
      <c r="L1237">
        <v>293.53280000000001</v>
      </c>
      <c r="M1237">
        <v>-0.43514399999999998</v>
      </c>
      <c r="N1237">
        <v>-1.4023300000000001E-2</v>
      </c>
      <c r="O1237">
        <v>-0.90025180000000005</v>
      </c>
      <c r="P1237">
        <v>-0.56558260000000005</v>
      </c>
      <c r="Q1237">
        <v>0.37838729999999998</v>
      </c>
      <c r="R1237">
        <v>-0.73276169999999996</v>
      </c>
      <c r="S1237">
        <v>-2.3865050000000001</v>
      </c>
      <c r="T1237">
        <v>-0.55598749999999997</v>
      </c>
      <c r="U1237">
        <v>-2.5400390000000002</v>
      </c>
      <c r="V1237">
        <v>0.19583639999999999</v>
      </c>
      <c r="W1237">
        <v>0.38832440000000001</v>
      </c>
      <c r="X1237">
        <v>0.90047339999999998</v>
      </c>
      <c r="Y1237">
        <v>0.29156890000000002</v>
      </c>
      <c r="Z1237">
        <v>0.14070550000000001</v>
      </c>
      <c r="AA1237">
        <v>0.9461446</v>
      </c>
      <c r="AB1237">
        <v>21</v>
      </c>
      <c r="AC1237">
        <v>-4.6429999999999998</v>
      </c>
      <c r="AD1237">
        <v>-1.105486138936</v>
      </c>
      <c r="AE1237">
        <v>-4.8602999999999899</v>
      </c>
      <c r="AF1237">
        <v>2.0107515194086001</v>
      </c>
      <c r="AG1237">
        <v>-1.105486138936</v>
      </c>
      <c r="AH1237">
        <v>6.2280299037519402</v>
      </c>
      <c r="AI1237">
        <v>99.587691692521204</v>
      </c>
      <c r="AJ1237">
        <v>72.107059028448305</v>
      </c>
      <c r="AK1237">
        <v>6.6372869275188</v>
      </c>
      <c r="AL1237">
        <v>67.149722174279901</v>
      </c>
      <c r="AM1237">
        <v>77.730286013012403</v>
      </c>
      <c r="AN1237">
        <v>1.0000000396539299</v>
      </c>
    </row>
    <row r="1238" spans="1:40" x14ac:dyDescent="0.25">
      <c r="A1238" t="str">
        <f>"20190304164620498"</f>
        <v>20190304164620498</v>
      </c>
      <c r="B1238" t="str">
        <f>"1551689180488935"</f>
        <v>1551689180488935</v>
      </c>
      <c r="C1238" t="s">
        <v>40</v>
      </c>
      <c r="D1238">
        <v>5.2567820000000003</v>
      </c>
      <c r="E1238">
        <v>0.56595229999999996</v>
      </c>
      <c r="F1238" t="s">
        <v>45</v>
      </c>
      <c r="G1238">
        <v>-200.06049999999999</v>
      </c>
      <c r="H1238" s="1">
        <v>1.906666E-6</v>
      </c>
      <c r="I1238">
        <v>288.47289999999998</v>
      </c>
      <c r="J1238">
        <v>-195.3167</v>
      </c>
      <c r="K1238">
        <v>1.105448</v>
      </c>
      <c r="L1238">
        <v>293.35109999999997</v>
      </c>
      <c r="M1238">
        <v>-0.44368340000000001</v>
      </c>
      <c r="N1238">
        <v>-1.3914559999999999E-2</v>
      </c>
      <c r="O1238">
        <v>-0.89607569999999903</v>
      </c>
      <c r="P1238">
        <v>-0.57263790000000003</v>
      </c>
      <c r="Q1238">
        <v>0.37890449999999998</v>
      </c>
      <c r="R1238">
        <v>-0.72699179999999997</v>
      </c>
      <c r="S1238">
        <v>-2.410263</v>
      </c>
      <c r="T1238">
        <v>-0.55008169999999901</v>
      </c>
      <c r="U1238">
        <v>-2.517792</v>
      </c>
      <c r="V1238">
        <v>0.19612019999999999</v>
      </c>
      <c r="W1238">
        <v>0.38872820000000002</v>
      </c>
      <c r="X1238">
        <v>0.90023729999999902</v>
      </c>
      <c r="Y1238">
        <v>0.29150910000000002</v>
      </c>
      <c r="Z1238">
        <v>0.13882739999999999</v>
      </c>
      <c r="AA1238">
        <v>0.94644039999999996</v>
      </c>
      <c r="AB1238">
        <v>21</v>
      </c>
      <c r="AC1238">
        <v>-4.7437999999999896</v>
      </c>
      <c r="AD1238">
        <v>-1.105446093334</v>
      </c>
      <c r="AE1238">
        <v>-4.8781999999999899</v>
      </c>
      <c r="AF1238">
        <v>2.03297293846413</v>
      </c>
      <c r="AG1238">
        <v>-1.105446093334</v>
      </c>
      <c r="AH1238">
        <v>6.3100661097543798</v>
      </c>
      <c r="AI1238">
        <v>99.466811831352302</v>
      </c>
      <c r="AJ1238">
        <v>72.142131790468596</v>
      </c>
      <c r="AK1238">
        <v>6.7210062002103301</v>
      </c>
      <c r="AL1238">
        <v>67.124611894133906</v>
      </c>
      <c r="AM1238">
        <v>77.709920398292496</v>
      </c>
      <c r="AN1238">
        <v>0.99999997131728402</v>
      </c>
    </row>
    <row r="1239" spans="1:40" x14ac:dyDescent="0.25">
      <c r="A1239" t="str">
        <f>"20190304164620526"</f>
        <v>20190304164620526</v>
      </c>
      <c r="B1239" t="str">
        <f>"1551689180519190"</f>
        <v>1551689180519190</v>
      </c>
      <c r="C1239" t="s">
        <v>40</v>
      </c>
      <c r="D1239">
        <v>5.0211129999999997</v>
      </c>
      <c r="E1239">
        <v>0.54930029999999996</v>
      </c>
      <c r="F1239" t="s">
        <v>45</v>
      </c>
      <c r="G1239">
        <v>-200.21469999999999</v>
      </c>
      <c r="H1239" s="1">
        <v>1.9881589999999998E-6</v>
      </c>
      <c r="I1239">
        <v>288.32299999999998</v>
      </c>
      <c r="J1239">
        <v>-195.4486</v>
      </c>
      <c r="K1239">
        <v>1.105421</v>
      </c>
      <c r="L1239">
        <v>293.11759999999998</v>
      </c>
      <c r="M1239">
        <v>-0.45471790000000001</v>
      </c>
      <c r="N1239">
        <v>-1.3760669999999999E-2</v>
      </c>
      <c r="O1239">
        <v>-0.89052929999999997</v>
      </c>
      <c r="P1239">
        <v>-0.58077480000000004</v>
      </c>
      <c r="Q1239">
        <v>0.3784805</v>
      </c>
      <c r="R1239">
        <v>-0.72073120000000002</v>
      </c>
      <c r="S1239">
        <v>-2.4322970000000002</v>
      </c>
      <c r="T1239">
        <v>-0.54894880000000001</v>
      </c>
      <c r="U1239">
        <v>-2.4968569999999999</v>
      </c>
      <c r="V1239">
        <v>0.19501399999999999</v>
      </c>
      <c r="W1239">
        <v>0.38818380000000002</v>
      </c>
      <c r="X1239">
        <v>0.90071239999999997</v>
      </c>
      <c r="Y1239">
        <v>0.28802630000000001</v>
      </c>
      <c r="Z1239">
        <v>0.13799529999999999</v>
      </c>
      <c r="AA1239">
        <v>0.94762769999999996</v>
      </c>
      <c r="AB1239">
        <v>21</v>
      </c>
      <c r="AC1239">
        <v>-4.76609999999999</v>
      </c>
      <c r="AD1239">
        <v>-1.1054190118410001</v>
      </c>
      <c r="AE1239">
        <v>-4.7946</v>
      </c>
      <c r="AF1239">
        <v>2.0106006123961402</v>
      </c>
      <c r="AG1239">
        <v>-1.1054190118410001</v>
      </c>
      <c r="AH1239">
        <v>6.2699371262612296</v>
      </c>
      <c r="AI1239">
        <v>99.530169553347307</v>
      </c>
      <c r="AJ1239">
        <v>72.220348108806306</v>
      </c>
      <c r="AK1239">
        <v>6.6765692972945399</v>
      </c>
      <c r="AL1239">
        <v>67.158462156819894</v>
      </c>
      <c r="AM1239">
        <v>77.783405371313407</v>
      </c>
      <c r="AN1239">
        <v>0.99999997514609895</v>
      </c>
    </row>
    <row r="1240" spans="1:40" x14ac:dyDescent="0.25">
      <c r="A1240" t="str">
        <f>"20190304164620550"</f>
        <v>20190304164620550</v>
      </c>
      <c r="B1240" t="str">
        <f>"1551689180539687"</f>
        <v>1551689180539687</v>
      </c>
      <c r="C1240" t="s">
        <v>40</v>
      </c>
      <c r="D1240">
        <v>5.0914029999999997</v>
      </c>
      <c r="E1240">
        <v>0.54910049999999999</v>
      </c>
      <c r="F1240" t="s">
        <v>41</v>
      </c>
      <c r="G1240">
        <v>-195.99359999999999</v>
      </c>
      <c r="H1240">
        <v>0.96805560000000002</v>
      </c>
      <c r="I1240">
        <v>292.52550000000002</v>
      </c>
      <c r="J1240">
        <v>-195.56540000000001</v>
      </c>
      <c r="K1240">
        <v>1.1053900000000001</v>
      </c>
      <c r="L1240">
        <v>292.91609999999997</v>
      </c>
      <c r="M1240">
        <v>-0.46427990000000002</v>
      </c>
      <c r="N1240">
        <v>-1.360595E-2</v>
      </c>
      <c r="O1240">
        <v>-0.88558409999999999</v>
      </c>
      <c r="P1240">
        <v>-0.58673019999999998</v>
      </c>
      <c r="Q1240">
        <v>0.37754910000000003</v>
      </c>
      <c r="R1240">
        <v>-0.71638299999999999</v>
      </c>
      <c r="S1240">
        <v>-2.3642729999999998</v>
      </c>
      <c r="T1240">
        <v>-0.59562159999999997</v>
      </c>
      <c r="U1240">
        <v>-2.5700069999999999</v>
      </c>
      <c r="V1240">
        <v>0.19253120000000001</v>
      </c>
      <c r="W1240">
        <v>0.38715830000000001</v>
      </c>
      <c r="X1240">
        <v>0.90168740000000003</v>
      </c>
      <c r="Y1240">
        <v>0.24930749999999999</v>
      </c>
      <c r="Z1240">
        <v>0.1479982</v>
      </c>
      <c r="AA1240">
        <v>0.95704869999999997</v>
      </c>
      <c r="AB1240">
        <v>21</v>
      </c>
      <c r="AC1240">
        <v>-0.42819999999997499</v>
      </c>
      <c r="AD1240">
        <v>-0.137334399999999</v>
      </c>
      <c r="AE1240">
        <v>-0.39059999999994899</v>
      </c>
      <c r="AF1240">
        <v>0.187358282900875</v>
      </c>
      <c r="AG1240">
        <v>-0.137334399999999</v>
      </c>
      <c r="AH1240">
        <v>0.51580390756642802</v>
      </c>
      <c r="AI1240">
        <v>104.050000970732</v>
      </c>
      <c r="AJ1240">
        <v>70.037182236430098</v>
      </c>
      <c r="AK1240">
        <v>0.56570092332938704</v>
      </c>
      <c r="AL1240">
        <v>67.222204068143796</v>
      </c>
      <c r="AM1240">
        <v>77.947018972123303</v>
      </c>
      <c r="AN1240">
        <v>0.99999998977554505</v>
      </c>
    </row>
    <row r="1241" spans="1:40" x14ac:dyDescent="0.25">
      <c r="A1241" t="str">
        <f>"20190304164620590"</f>
        <v>20190304164620590</v>
      </c>
      <c r="B1241" t="str">
        <f>"1551689180579703"</f>
        <v>1551689180579703</v>
      </c>
      <c r="C1241" t="s">
        <v>40</v>
      </c>
      <c r="D1241">
        <v>5.0390430000000004</v>
      </c>
      <c r="E1241">
        <v>0.56883700000000004</v>
      </c>
      <c r="F1241" t="s">
        <v>41</v>
      </c>
      <c r="G1241">
        <v>-196.09</v>
      </c>
      <c r="H1241">
        <v>0.97269649999999996</v>
      </c>
      <c r="I1241">
        <v>292.35640000000001</v>
      </c>
      <c r="J1241">
        <v>-195.76300000000001</v>
      </c>
      <c r="K1241">
        <v>1.105345</v>
      </c>
      <c r="L1241">
        <v>292.58670000000001</v>
      </c>
      <c r="M1241">
        <v>-0.47995100000000002</v>
      </c>
      <c r="N1241">
        <v>-1.332442E-2</v>
      </c>
      <c r="O1241">
        <v>-0.87719429999999998</v>
      </c>
      <c r="P1241">
        <v>-0.59719489999999997</v>
      </c>
      <c r="Q1241">
        <v>0.37797259999999999</v>
      </c>
      <c r="R1241">
        <v>-0.7074568</v>
      </c>
      <c r="S1241">
        <v>-2.3888850000000001</v>
      </c>
      <c r="T1241">
        <v>-0.60410269999999899</v>
      </c>
      <c r="U1241">
        <v>-2.5495610000000002</v>
      </c>
      <c r="V1241">
        <v>0.1898502</v>
      </c>
      <c r="W1241">
        <v>0.3873702</v>
      </c>
      <c r="X1241">
        <v>0.90216479999999999</v>
      </c>
      <c r="Y1241">
        <v>0.24068580000000001</v>
      </c>
      <c r="Z1241">
        <v>0.1490214</v>
      </c>
      <c r="AA1241">
        <v>0.95909489999999997</v>
      </c>
      <c r="AB1241">
        <v>21</v>
      </c>
      <c r="AC1241">
        <v>-0.32699999999999801</v>
      </c>
      <c r="AD1241">
        <v>-0.1326485</v>
      </c>
      <c r="AE1241">
        <v>-0.23029999999999901</v>
      </c>
      <c r="AF1241">
        <v>0.15885242684987899</v>
      </c>
      <c r="AG1241">
        <v>-0.1326485</v>
      </c>
      <c r="AH1241">
        <v>0.32341906239931301</v>
      </c>
      <c r="AI1241">
        <v>110.210471848437</v>
      </c>
      <c r="AJ1241">
        <v>63.8413015494531</v>
      </c>
      <c r="AK1241">
        <v>0.38396563386792398</v>
      </c>
      <c r="AL1241">
        <v>67.209036944884602</v>
      </c>
      <c r="AM1241">
        <v>78.116160424218506</v>
      </c>
      <c r="AN1241">
        <v>1.0000000483235501</v>
      </c>
    </row>
    <row r="1242" spans="1:40" x14ac:dyDescent="0.25">
      <c r="A1242" t="str">
        <f>"20190304164620612"</f>
        <v>20190304164620612</v>
      </c>
      <c r="B1242" t="str">
        <f>"1551689180608983"</f>
        <v>1551689180608983</v>
      </c>
      <c r="C1242" t="s">
        <v>40</v>
      </c>
      <c r="D1242">
        <v>5.1349470000000004</v>
      </c>
      <c r="E1242">
        <v>0.56987690000000002</v>
      </c>
      <c r="F1242" t="s">
        <v>45</v>
      </c>
      <c r="G1242">
        <v>-200.0558</v>
      </c>
      <c r="H1242" s="1">
        <v>1.900728E-6</v>
      </c>
      <c r="I1242">
        <v>288.517</v>
      </c>
      <c r="J1242">
        <v>-195.88059999999999</v>
      </c>
      <c r="K1242">
        <v>1.1053219999999999</v>
      </c>
      <c r="L1242">
        <v>292.39640000000003</v>
      </c>
      <c r="M1242">
        <v>-0.48900159999999998</v>
      </c>
      <c r="N1242">
        <v>-1.316257E-2</v>
      </c>
      <c r="O1242">
        <v>-0.87218370000000001</v>
      </c>
      <c r="P1242">
        <v>-0.60386010000000001</v>
      </c>
      <c r="Q1242">
        <v>0.37907150000000001</v>
      </c>
      <c r="R1242">
        <v>-0.70118340000000001</v>
      </c>
      <c r="S1242">
        <v>-2.562897</v>
      </c>
      <c r="T1242">
        <v>-0.6599102</v>
      </c>
      <c r="U1242">
        <v>-2.4296880000000001</v>
      </c>
      <c r="V1242">
        <v>0.18934799999999999</v>
      </c>
      <c r="W1242">
        <v>0.38832620000000001</v>
      </c>
      <c r="X1242">
        <v>0.90185930000000003</v>
      </c>
      <c r="Y1242">
        <v>0.28521160000000001</v>
      </c>
      <c r="Z1242">
        <v>0.16338059999999999</v>
      </c>
      <c r="AA1242">
        <v>0.94443699999999997</v>
      </c>
      <c r="AB1242">
        <v>21</v>
      </c>
      <c r="AC1242">
        <v>-4.17520000000001</v>
      </c>
      <c r="AD1242">
        <v>-1.10532009927199</v>
      </c>
      <c r="AE1242">
        <v>-3.8794000000000302</v>
      </c>
      <c r="AF1242">
        <v>1.6814171261656401</v>
      </c>
      <c r="AG1242">
        <v>-1.10532009927199</v>
      </c>
      <c r="AH1242">
        <v>5.2290214842939404</v>
      </c>
      <c r="AI1242">
        <v>101.377907139919</v>
      </c>
      <c r="AJ1242">
        <v>72.174554538308499</v>
      </c>
      <c r="AK1242">
        <v>5.6028173053585704</v>
      </c>
      <c r="AL1242">
        <v>67.149610505297403</v>
      </c>
      <c r="AM1242">
        <v>78.142804056531304</v>
      </c>
      <c r="AN1242">
        <v>1.00000004985346</v>
      </c>
    </row>
    <row r="1243" spans="1:40" x14ac:dyDescent="0.25">
      <c r="A1243" t="str">
        <f>"20190304164620636"</f>
        <v>20190304164620636</v>
      </c>
      <c r="B1243" t="str">
        <f>"1551689180629481"</f>
        <v>1551689180629481</v>
      </c>
      <c r="C1243" t="s">
        <v>40</v>
      </c>
      <c r="D1243">
        <v>5.1309399999999998</v>
      </c>
      <c r="E1243">
        <v>0.57033269999999903</v>
      </c>
      <c r="F1243" t="s">
        <v>45</v>
      </c>
      <c r="G1243">
        <v>-200.24350000000001</v>
      </c>
      <c r="H1243" s="1">
        <v>1.9974269999999998E-6</v>
      </c>
      <c r="I1243">
        <v>288.36290000000002</v>
      </c>
      <c r="J1243">
        <v>-196.00120000000001</v>
      </c>
      <c r="K1243">
        <v>1.1053090000000001</v>
      </c>
      <c r="L1243">
        <v>292.20600000000002</v>
      </c>
      <c r="M1243">
        <v>-0.49806319999999998</v>
      </c>
      <c r="N1243">
        <v>-1.300744E-2</v>
      </c>
      <c r="O1243">
        <v>-0.86704319999999901</v>
      </c>
      <c r="P1243">
        <v>-0.61072269999999995</v>
      </c>
      <c r="Q1243">
        <v>0.379216</v>
      </c>
      <c r="R1243">
        <v>-0.69513510000000001</v>
      </c>
      <c r="S1243">
        <v>-2.5949249999999999</v>
      </c>
      <c r="T1243">
        <v>-0.65741850000000002</v>
      </c>
      <c r="U1243">
        <v>-2.3990779999999998</v>
      </c>
      <c r="V1243">
        <v>0.18884970000000001</v>
      </c>
      <c r="W1243">
        <v>0.3883394</v>
      </c>
      <c r="X1243">
        <v>0.90195800000000004</v>
      </c>
      <c r="Y1243">
        <v>0.28718769999999999</v>
      </c>
      <c r="Z1243">
        <v>0.16224769999999999</v>
      </c>
      <c r="AA1243">
        <v>0.94403329999999996</v>
      </c>
      <c r="AB1243">
        <v>21</v>
      </c>
      <c r="AC1243">
        <v>-4.2423000000000002</v>
      </c>
      <c r="AD1243">
        <v>-1.1053070025730001</v>
      </c>
      <c r="AE1243">
        <v>-3.84309999999993</v>
      </c>
      <c r="AF1243">
        <v>1.70088231038381</v>
      </c>
      <c r="AG1243">
        <v>-1.1053070025730001</v>
      </c>
      <c r="AH1243">
        <v>5.2497888226184299</v>
      </c>
      <c r="AI1243">
        <v>101.326075797397</v>
      </c>
      <c r="AJ1243">
        <v>72.048162316691403</v>
      </c>
      <c r="AK1243">
        <v>5.6280535610282598</v>
      </c>
      <c r="AL1243">
        <v>67.148787772652895</v>
      </c>
      <c r="AM1243">
        <v>78.174385990453999</v>
      </c>
      <c r="AN1243">
        <v>0.99999996627322396</v>
      </c>
    </row>
    <row r="1244" spans="1:40" x14ac:dyDescent="0.25">
      <c r="A1244" t="str">
        <f>"20190304164620679"</f>
        <v>20190304164620679</v>
      </c>
      <c r="B1244" t="str">
        <f>"1551689180669495"</f>
        <v>1551689180669495</v>
      </c>
      <c r="C1244" t="s">
        <v>40</v>
      </c>
      <c r="D1244">
        <v>5.1031170000000001</v>
      </c>
      <c r="E1244">
        <v>0.57007200000000002</v>
      </c>
      <c r="F1244" t="s">
        <v>45</v>
      </c>
      <c r="G1244">
        <v>-200.4374</v>
      </c>
      <c r="H1244" s="1">
        <v>2.0976149999999998E-6</v>
      </c>
      <c r="I1244">
        <v>288.2004</v>
      </c>
      <c r="J1244">
        <v>-196.23310000000001</v>
      </c>
      <c r="K1244">
        <v>1.105283</v>
      </c>
      <c r="L1244">
        <v>291.85169999999999</v>
      </c>
      <c r="M1244">
        <v>-0.5149165</v>
      </c>
      <c r="N1244">
        <v>-1.27452E-2</v>
      </c>
      <c r="O1244">
        <v>-0.85714559999999995</v>
      </c>
      <c r="P1244">
        <v>-0.62129519999999905</v>
      </c>
      <c r="Q1244">
        <v>0.37980120000000001</v>
      </c>
      <c r="R1244">
        <v>-0.6853785</v>
      </c>
      <c r="S1244">
        <v>-2.6226349999999998</v>
      </c>
      <c r="T1244">
        <v>-0.6534451</v>
      </c>
      <c r="U1244">
        <v>-2.3680110000000001</v>
      </c>
      <c r="V1244">
        <v>0.1851786</v>
      </c>
      <c r="W1244">
        <v>0.38874710000000001</v>
      </c>
      <c r="X1244">
        <v>0.9025434</v>
      </c>
      <c r="Y1244">
        <v>0.27985890000000002</v>
      </c>
      <c r="Z1244">
        <v>0.15989339999999999</v>
      </c>
      <c r="AA1244">
        <v>0.94663249999999999</v>
      </c>
      <c r="AB1244">
        <v>21</v>
      </c>
      <c r="AC1244">
        <v>-4.2042999999999804</v>
      </c>
      <c r="AD1244">
        <v>-1.1052809023850001</v>
      </c>
      <c r="AE1244">
        <v>-3.6512999999999902</v>
      </c>
      <c r="AF1244">
        <v>1.6583861839016401</v>
      </c>
      <c r="AG1244">
        <v>-1.1052809023850001</v>
      </c>
      <c r="AH1244">
        <v>5.0942865324907904</v>
      </c>
      <c r="AI1244">
        <v>101.65704160766001</v>
      </c>
      <c r="AJ1244">
        <v>71.967938787144703</v>
      </c>
      <c r="AK1244">
        <v>5.47025098905433</v>
      </c>
      <c r="AL1244">
        <v>67.123437383044006</v>
      </c>
      <c r="AM1244">
        <v>78.405296932684294</v>
      </c>
      <c r="AN1244">
        <v>1.00000000526996</v>
      </c>
    </row>
    <row r="1245" spans="1:40" x14ac:dyDescent="0.25">
      <c r="A1245" t="str">
        <f>"20190304164620701"</f>
        <v>20190304164620701</v>
      </c>
      <c r="B1245" t="str">
        <f>"1551689180689015"</f>
        <v>1551689180689015</v>
      </c>
      <c r="C1245" t="s">
        <v>40</v>
      </c>
      <c r="D1245">
        <v>5.0889160000000002</v>
      </c>
      <c r="E1245">
        <v>0.57007980000000003</v>
      </c>
      <c r="F1245" t="s">
        <v>45</v>
      </c>
      <c r="G1245">
        <v>-200.74100000000001</v>
      </c>
      <c r="H1245" s="1">
        <v>2.256504E-6</v>
      </c>
      <c r="I1245">
        <v>287.923</v>
      </c>
      <c r="J1245">
        <v>-196.3518</v>
      </c>
      <c r="K1245">
        <v>1.105278</v>
      </c>
      <c r="L1245">
        <v>291.67590000000001</v>
      </c>
      <c r="M1245">
        <v>-0.52327520000000005</v>
      </c>
      <c r="N1245">
        <v>-1.263213E-2</v>
      </c>
      <c r="O1245">
        <v>-0.85207009999999905</v>
      </c>
      <c r="P1245">
        <v>-0.62748329999999997</v>
      </c>
      <c r="Q1245">
        <v>0.37931740000000003</v>
      </c>
      <c r="R1245">
        <v>-0.67998769999999997</v>
      </c>
      <c r="S1245">
        <v>-2.6655120000000001</v>
      </c>
      <c r="T1245">
        <v>-0.65354719999999999</v>
      </c>
      <c r="U1245">
        <v>-2.3229980000000001</v>
      </c>
      <c r="V1245">
        <v>0.18438350000000001</v>
      </c>
      <c r="W1245">
        <v>0.38817590000000002</v>
      </c>
      <c r="X1245">
        <v>0.90295199999999998</v>
      </c>
      <c r="Y1245">
        <v>0.28710799999999997</v>
      </c>
      <c r="Z1245">
        <v>0.1596852</v>
      </c>
      <c r="AA1245">
        <v>0.94449439999999996</v>
      </c>
      <c r="AB1245">
        <v>21</v>
      </c>
      <c r="AC1245">
        <v>-4.3891999999999802</v>
      </c>
      <c r="AD1245">
        <v>-1.1052757434960001</v>
      </c>
      <c r="AE1245">
        <v>-3.7529000000000101</v>
      </c>
      <c r="AF1245">
        <v>1.713481049923</v>
      </c>
      <c r="AG1245">
        <v>-1.1052757434960001</v>
      </c>
      <c r="AH1245">
        <v>5.3007574975627003</v>
      </c>
      <c r="AI1245">
        <v>101.222003901506</v>
      </c>
      <c r="AJ1245">
        <v>72.0864641233767</v>
      </c>
      <c r="AK1245">
        <v>5.6794085806158598</v>
      </c>
      <c r="AL1245">
        <v>67.158955340079501</v>
      </c>
      <c r="AM1245">
        <v>78.458825980292303</v>
      </c>
      <c r="AN1245">
        <v>1.0000000593585201</v>
      </c>
    </row>
    <row r="1246" spans="1:40" x14ac:dyDescent="0.25">
      <c r="A1246" t="str">
        <f>"20190304164620727"</f>
        <v>20190304164620727</v>
      </c>
      <c r="B1246" t="str">
        <f>"1551689180719270"</f>
        <v>1551689180719270</v>
      </c>
      <c r="C1246" t="s">
        <v>40</v>
      </c>
      <c r="D1246">
        <v>5.1404239999999897</v>
      </c>
      <c r="E1246">
        <v>0.56981649999999995</v>
      </c>
      <c r="F1246" t="s">
        <v>45</v>
      </c>
      <c r="G1246">
        <v>-200.87610000000001</v>
      </c>
      <c r="H1246" s="1">
        <v>2.327027E-6</v>
      </c>
      <c r="I1246">
        <v>287.80149999999998</v>
      </c>
      <c r="J1246">
        <v>-196.4915</v>
      </c>
      <c r="K1246">
        <v>1.105262</v>
      </c>
      <c r="L1246">
        <v>291.4735</v>
      </c>
      <c r="M1246">
        <v>-0.53289439999999999</v>
      </c>
      <c r="N1246">
        <v>-1.251347E-2</v>
      </c>
      <c r="O1246">
        <v>-0.84608939999999999</v>
      </c>
      <c r="P1246">
        <v>-0.6348068</v>
      </c>
      <c r="Q1246">
        <v>0.37898900000000002</v>
      </c>
      <c r="R1246">
        <v>-0.67334079999999996</v>
      </c>
      <c r="S1246">
        <v>-2.6854399999999998</v>
      </c>
      <c r="T1246">
        <v>-0.65604810000000002</v>
      </c>
      <c r="U1246">
        <v>-2.299652</v>
      </c>
      <c r="V1246">
        <v>0.18382670000000001</v>
      </c>
      <c r="W1246">
        <v>0.38774910000000001</v>
      </c>
      <c r="X1246">
        <v>0.90324879999999996</v>
      </c>
      <c r="Y1246">
        <v>0.28444360000000002</v>
      </c>
      <c r="Z1246">
        <v>0.15953709999999999</v>
      </c>
      <c r="AA1246">
        <v>0.94532519999999998</v>
      </c>
      <c r="AB1246">
        <v>21</v>
      </c>
      <c r="AC1246">
        <v>-4.3845999999999998</v>
      </c>
      <c r="AD1246">
        <v>-1.105259672973</v>
      </c>
      <c r="AE1246">
        <v>-3.6720000000000201</v>
      </c>
      <c r="AF1246">
        <v>1.68999396900617</v>
      </c>
      <c r="AG1246">
        <v>-1.105259672973</v>
      </c>
      <c r="AH1246">
        <v>5.2477982113636799</v>
      </c>
      <c r="AI1246">
        <v>101.336091238606</v>
      </c>
      <c r="AJ1246">
        <v>72.149433864482006</v>
      </c>
      <c r="AK1246">
        <v>5.6229053546337999</v>
      </c>
      <c r="AL1246">
        <v>67.185486036727298</v>
      </c>
      <c r="AM1246">
        <v>78.496427289111693</v>
      </c>
      <c r="AN1246">
        <v>1.0000000074425699</v>
      </c>
    </row>
    <row r="1247" spans="1:40" x14ac:dyDescent="0.25">
      <c r="A1247" t="str">
        <f>"20190304164620768"</f>
        <v>20190304164620768</v>
      </c>
      <c r="B1247" t="str">
        <f>"1551689180759287"</f>
        <v>1551689180759287</v>
      </c>
      <c r="C1247" t="s">
        <v>40</v>
      </c>
      <c r="D1247">
        <v>5.1273359999999997</v>
      </c>
      <c r="E1247">
        <v>0.56945190000000001</v>
      </c>
      <c r="F1247" t="s">
        <v>45</v>
      </c>
      <c r="G1247">
        <v>-201.02709999999999</v>
      </c>
      <c r="H1247" s="1">
        <v>2.4057340000000002E-6</v>
      </c>
      <c r="I1247">
        <v>287.66739999999999</v>
      </c>
      <c r="J1247">
        <v>-196.72659999999999</v>
      </c>
      <c r="K1247">
        <v>1.105232</v>
      </c>
      <c r="L1247">
        <v>291.14370000000002</v>
      </c>
      <c r="M1247">
        <v>-0.54856719999999903</v>
      </c>
      <c r="N1247">
        <v>-1.2336379999999999E-2</v>
      </c>
      <c r="O1247">
        <v>-0.83601559999999897</v>
      </c>
      <c r="P1247">
        <v>-0.64583369999999996</v>
      </c>
      <c r="Q1247">
        <v>0.37798910000000002</v>
      </c>
      <c r="R1247">
        <v>-0.66334269999999995</v>
      </c>
      <c r="S1247">
        <v>-2.7088169999999998</v>
      </c>
      <c r="T1247">
        <v>-0.66010190000000002</v>
      </c>
      <c r="U1247">
        <v>-2.2731319999999999</v>
      </c>
      <c r="V1247">
        <v>0.18157390000000001</v>
      </c>
      <c r="W1247">
        <v>0.38662800000000003</v>
      </c>
      <c r="X1247">
        <v>0.90418449999999995</v>
      </c>
      <c r="Y1247">
        <v>0.27604649999999997</v>
      </c>
      <c r="Z1247">
        <v>0.1589121</v>
      </c>
      <c r="AA1247">
        <v>0.94791630000000004</v>
      </c>
      <c r="AB1247">
        <v>21</v>
      </c>
      <c r="AC1247">
        <v>-4.3005000000000004</v>
      </c>
      <c r="AD1247">
        <v>-1.105229594266</v>
      </c>
      <c r="AE1247">
        <v>-3.4763000000000299</v>
      </c>
      <c r="AF1247">
        <v>1.62357263562081</v>
      </c>
      <c r="AG1247">
        <v>-1.105229594266</v>
      </c>
      <c r="AH1247">
        <v>5.0634842176464803</v>
      </c>
      <c r="AI1247">
        <v>101.74180426742799</v>
      </c>
      <c r="AJ1247">
        <v>72.221896399656401</v>
      </c>
      <c r="AK1247">
        <v>5.4310581824846196</v>
      </c>
      <c r="AL1247">
        <v>67.255153076329805</v>
      </c>
      <c r="AM1247">
        <v>78.645169053694204</v>
      </c>
      <c r="AN1247">
        <v>0.99999995079272797</v>
      </c>
    </row>
    <row r="1248" spans="1:40" x14ac:dyDescent="0.25">
      <c r="A1248" t="str">
        <f>"20190304164620790"</f>
        <v>20190304164620790</v>
      </c>
      <c r="B1248" t="str">
        <f>"1551689180778807"</f>
        <v>1551689180778807</v>
      </c>
      <c r="C1248" t="s">
        <v>40</v>
      </c>
      <c r="D1248">
        <v>5.140841</v>
      </c>
      <c r="E1248">
        <v>0.56925959999999998</v>
      </c>
      <c r="F1248" t="s">
        <v>45</v>
      </c>
      <c r="G1248">
        <v>-201.28649999999999</v>
      </c>
      <c r="H1248" s="1">
        <v>2.540121E-6</v>
      </c>
      <c r="I1248">
        <v>287.4461</v>
      </c>
      <c r="J1248">
        <v>-196.8597</v>
      </c>
      <c r="K1248">
        <v>1.105226</v>
      </c>
      <c r="L1248">
        <v>290.9624</v>
      </c>
      <c r="M1248">
        <v>-0.55717340000000004</v>
      </c>
      <c r="N1248">
        <v>-1.2252300000000001E-2</v>
      </c>
      <c r="O1248">
        <v>-0.83030569999999904</v>
      </c>
      <c r="P1248">
        <v>-0.65281579999999995</v>
      </c>
      <c r="Q1248">
        <v>0.3776292</v>
      </c>
      <c r="R1248">
        <v>-0.65667949999999997</v>
      </c>
      <c r="S1248">
        <v>-2.7469790000000001</v>
      </c>
      <c r="T1248">
        <v>-0.66581480000000004</v>
      </c>
      <c r="U1248">
        <v>-2.2274780000000001</v>
      </c>
      <c r="V1248">
        <v>0.18168290000000001</v>
      </c>
      <c r="W1248">
        <v>0.3861909</v>
      </c>
      <c r="X1248">
        <v>0.90434939999999997</v>
      </c>
      <c r="Y1248">
        <v>0.28186850000000002</v>
      </c>
      <c r="Z1248">
        <v>0.15998289999999901</v>
      </c>
      <c r="AA1248">
        <v>0.946021</v>
      </c>
      <c r="AB1248">
        <v>21</v>
      </c>
      <c r="AC1248">
        <v>-4.4267999999999796</v>
      </c>
      <c r="AD1248">
        <v>-1.1052234598790001</v>
      </c>
      <c r="AE1248">
        <v>-3.5163000000000002</v>
      </c>
      <c r="AF1248">
        <v>1.6533478761531899</v>
      </c>
      <c r="AG1248">
        <v>-1.1052234598790001</v>
      </c>
      <c r="AH1248">
        <v>5.1882147241282102</v>
      </c>
      <c r="AI1248">
        <v>101.47340067977299</v>
      </c>
      <c r="AJ1248">
        <v>72.324284632185595</v>
      </c>
      <c r="AK1248">
        <v>5.5563162364562997</v>
      </c>
      <c r="AL1248">
        <v>67.282306388565601</v>
      </c>
      <c r="AM1248">
        <v>78.640547703157594</v>
      </c>
      <c r="AN1248">
        <v>0.99999996233778898</v>
      </c>
    </row>
    <row r="1249" spans="1:40" x14ac:dyDescent="0.25">
      <c r="A1249" t="str">
        <f>"20190304164620812"</f>
        <v>20190304164620812</v>
      </c>
      <c r="B1249" t="str">
        <f>"1551689180809062"</f>
        <v>1551689180809062</v>
      </c>
      <c r="C1249" t="s">
        <v>40</v>
      </c>
      <c r="D1249">
        <v>5.1274389999999999</v>
      </c>
      <c r="E1249">
        <v>0.56897089999999995</v>
      </c>
      <c r="F1249" t="s">
        <v>45</v>
      </c>
      <c r="G1249">
        <v>-201.4307</v>
      </c>
      <c r="H1249" s="1">
        <v>2.6146290000000001E-6</v>
      </c>
      <c r="I1249">
        <v>287.3252</v>
      </c>
      <c r="J1249">
        <v>-196.99100000000001</v>
      </c>
      <c r="K1249">
        <v>1.1052200000000001</v>
      </c>
      <c r="L1249">
        <v>290.78739999999999</v>
      </c>
      <c r="M1249">
        <v>-0.56547769999999897</v>
      </c>
      <c r="N1249">
        <v>-1.2180710000000001E-2</v>
      </c>
      <c r="O1249">
        <v>-0.82467380000000001</v>
      </c>
      <c r="P1249">
        <v>-0.6598929</v>
      </c>
      <c r="Q1249">
        <v>0.3766236</v>
      </c>
      <c r="R1249">
        <v>-0.65015129999999999</v>
      </c>
      <c r="S1249">
        <v>-2.767395</v>
      </c>
      <c r="T1249">
        <v>-0.66913469999999997</v>
      </c>
      <c r="U1249">
        <v>-2.2020870000000001</v>
      </c>
      <c r="V1249">
        <v>0.18206349999999999</v>
      </c>
      <c r="W1249">
        <v>0.38512010000000002</v>
      </c>
      <c r="X1249">
        <v>0.90472949999999996</v>
      </c>
      <c r="Y1249">
        <v>0.28090369999999998</v>
      </c>
      <c r="Z1249">
        <v>0.16006689999999901</v>
      </c>
      <c r="AA1249">
        <v>0.94629370000000002</v>
      </c>
      <c r="AB1249">
        <v>22</v>
      </c>
      <c r="AC1249">
        <v>-4.43970000000001</v>
      </c>
      <c r="AD1249">
        <v>-1.1052173853709999</v>
      </c>
      <c r="AE1249">
        <v>-3.46219999999999</v>
      </c>
      <c r="AF1249">
        <v>1.64041834871517</v>
      </c>
      <c r="AG1249">
        <v>-1.1052173853709999</v>
      </c>
      <c r="AH1249">
        <v>5.1670180637349699</v>
      </c>
      <c r="AI1249">
        <v>101.52302132445</v>
      </c>
      <c r="AJ1249">
        <v>72.386463626665503</v>
      </c>
      <c r="AK1249">
        <v>5.5326804985188902</v>
      </c>
      <c r="AL1249">
        <v>67.348804509160203</v>
      </c>
      <c r="AM1249">
        <v>78.622029207131703</v>
      </c>
      <c r="AN1249">
        <v>1.0000000388132499</v>
      </c>
    </row>
    <row r="1250" spans="1:40" x14ac:dyDescent="0.25">
      <c r="A1250" t="str">
        <f>"20190304164620838"</f>
        <v>20190304164620838</v>
      </c>
      <c r="B1250" t="str">
        <f>"1551689180829559"</f>
        <v>1551689180829559</v>
      </c>
      <c r="C1250" t="s">
        <v>40</v>
      </c>
      <c r="D1250">
        <v>5.1341850000000004</v>
      </c>
      <c r="E1250">
        <v>0.56879380000000002</v>
      </c>
      <c r="F1250" t="s">
        <v>41</v>
      </c>
      <c r="G1250">
        <v>-197.58539999999999</v>
      </c>
      <c r="H1250">
        <v>0.96119739999999998</v>
      </c>
      <c r="I1250">
        <v>290.32369999999997</v>
      </c>
      <c r="J1250">
        <v>-197.14429999999999</v>
      </c>
      <c r="K1250">
        <v>1.1052120000000001</v>
      </c>
      <c r="L1250">
        <v>290.58780000000002</v>
      </c>
      <c r="M1250">
        <v>-0.574932</v>
      </c>
      <c r="N1250">
        <v>-1.210136E-2</v>
      </c>
      <c r="O1250">
        <v>-0.81811179999999994</v>
      </c>
      <c r="P1250">
        <v>-0.66717169999999903</v>
      </c>
      <c r="Q1250">
        <v>0.37450369999999999</v>
      </c>
      <c r="R1250">
        <v>-0.64391709999999902</v>
      </c>
      <c r="S1250">
        <v>-2.7879939999999999</v>
      </c>
      <c r="T1250">
        <v>-0.67532099999999995</v>
      </c>
      <c r="U1250">
        <v>-2.1757200000000001</v>
      </c>
      <c r="V1250">
        <v>0.18108650000000001</v>
      </c>
      <c r="W1250">
        <v>0.3829592</v>
      </c>
      <c r="X1250">
        <v>0.90584209999999998</v>
      </c>
      <c r="Y1250">
        <v>0.27867039999999998</v>
      </c>
      <c r="Z1250">
        <v>0.1606466</v>
      </c>
      <c r="AA1250">
        <v>0.94685549999999996</v>
      </c>
      <c r="AB1250">
        <v>22</v>
      </c>
      <c r="AC1250">
        <v>-0.44110000000000499</v>
      </c>
      <c r="AD1250">
        <v>-0.14401459999999999</v>
      </c>
      <c r="AE1250">
        <v>-0.26410000000004102</v>
      </c>
      <c r="AF1250">
        <v>0.19383522245805199</v>
      </c>
      <c r="AG1250">
        <v>-0.14401459999999999</v>
      </c>
      <c r="AH1250">
        <v>0.43552584114765802</v>
      </c>
      <c r="AI1250">
        <v>106.809538036421</v>
      </c>
      <c r="AJ1250">
        <v>66.008056484861399</v>
      </c>
      <c r="AK1250">
        <v>0.497991020788425</v>
      </c>
      <c r="AL1250">
        <v>67.482896553796493</v>
      </c>
      <c r="AM1250">
        <v>78.695049876610597</v>
      </c>
      <c r="AN1250">
        <v>0.99999998973964999</v>
      </c>
    </row>
    <row r="1251" spans="1:40" x14ac:dyDescent="0.25">
      <c r="A1251" t="str">
        <f>"20190304164620857"</f>
        <v>20190304164620857</v>
      </c>
      <c r="B1251" t="str">
        <f>"1551689180849079"</f>
        <v>1551689180849079</v>
      </c>
      <c r="C1251" t="s">
        <v>40</v>
      </c>
      <c r="D1251">
        <v>5.0871420000000001</v>
      </c>
      <c r="E1251">
        <v>0.5686601</v>
      </c>
      <c r="F1251" t="s">
        <v>45</v>
      </c>
      <c r="G1251">
        <v>-201.6908</v>
      </c>
      <c r="H1251" s="1">
        <v>2.7479680000000002E-6</v>
      </c>
      <c r="I1251">
        <v>287.11930000000001</v>
      </c>
      <c r="J1251">
        <v>-197.26689999999999</v>
      </c>
      <c r="K1251">
        <v>1.105205</v>
      </c>
      <c r="L1251">
        <v>290.43130000000002</v>
      </c>
      <c r="M1251">
        <v>-0.58232609999999996</v>
      </c>
      <c r="N1251">
        <v>-1.2035499999999999E-2</v>
      </c>
      <c r="O1251">
        <v>-0.81286630000000004</v>
      </c>
      <c r="P1251">
        <v>-0.67298049999999998</v>
      </c>
      <c r="Q1251">
        <v>0.37342150000000002</v>
      </c>
      <c r="R1251">
        <v>-0.63847799999999999</v>
      </c>
      <c r="S1251">
        <v>-2.8106840000000002</v>
      </c>
      <c r="T1251">
        <v>-0.68324319999999905</v>
      </c>
      <c r="U1251">
        <v>-2.144196</v>
      </c>
      <c r="V1251">
        <v>0.18068980000000001</v>
      </c>
      <c r="W1251">
        <v>0.38183299999999998</v>
      </c>
      <c r="X1251">
        <v>0.9063966</v>
      </c>
      <c r="Y1251">
        <v>0.28009279999999998</v>
      </c>
      <c r="Z1251">
        <v>0.1620702</v>
      </c>
      <c r="AA1251">
        <v>0.94619299999999995</v>
      </c>
      <c r="AB1251">
        <v>22</v>
      </c>
      <c r="AC1251">
        <v>-4.4238999999999997</v>
      </c>
      <c r="AD1251">
        <v>-1.105202252032</v>
      </c>
      <c r="AE1251">
        <v>-3.31200000000001</v>
      </c>
      <c r="AF1251">
        <v>1.6033683029494601</v>
      </c>
      <c r="AG1251">
        <v>-1.105202252032</v>
      </c>
      <c r="AH1251">
        <v>5.06612461122163</v>
      </c>
      <c r="AI1251">
        <v>101.749291770331</v>
      </c>
      <c r="AJ1251">
        <v>72.438038820329993</v>
      </c>
      <c r="AK1251">
        <v>5.4275114471758696</v>
      </c>
      <c r="AL1251">
        <v>67.552731275388197</v>
      </c>
      <c r="AM1251">
        <v>78.725903881448801</v>
      </c>
      <c r="AN1251">
        <v>1.0000000201022901</v>
      </c>
    </row>
    <row r="1252" spans="1:40" x14ac:dyDescent="0.25">
      <c r="A1252" t="str">
        <f>"20190304164620879"</f>
        <v>20190304164620879</v>
      </c>
      <c r="B1252" t="str">
        <f>"1551689180869575"</f>
        <v>1551689180869575</v>
      </c>
      <c r="C1252" t="s">
        <v>40</v>
      </c>
      <c r="D1252">
        <v>4.7275650000000002</v>
      </c>
      <c r="E1252">
        <v>0.568636699999999</v>
      </c>
      <c r="F1252" t="s">
        <v>45</v>
      </c>
      <c r="G1252">
        <v>-201.8107</v>
      </c>
      <c r="H1252" s="1">
        <v>2.8093529999999999E-6</v>
      </c>
      <c r="I1252">
        <v>287.02550000000002</v>
      </c>
      <c r="J1252">
        <v>-197.3982</v>
      </c>
      <c r="K1252">
        <v>1.1052</v>
      </c>
      <c r="L1252">
        <v>290.26679999999999</v>
      </c>
      <c r="M1252">
        <v>-0.59007889999999996</v>
      </c>
      <c r="N1252">
        <v>-1.196732E-2</v>
      </c>
      <c r="O1252">
        <v>-0.807257</v>
      </c>
      <c r="P1252">
        <v>-0.67920700000000001</v>
      </c>
      <c r="Q1252">
        <v>0.37319639999999998</v>
      </c>
      <c r="R1252">
        <v>-0.63198299999999996</v>
      </c>
      <c r="S1252">
        <v>-2.8282319999999999</v>
      </c>
      <c r="T1252">
        <v>-0.68791059999999904</v>
      </c>
      <c r="U1252">
        <v>-2.1198730000000001</v>
      </c>
      <c r="V1252">
        <v>0.18080969999999999</v>
      </c>
      <c r="W1252">
        <v>0.38154969999999999</v>
      </c>
      <c r="X1252">
        <v>0.90649199999999996</v>
      </c>
      <c r="Y1252">
        <v>0.27882600000000002</v>
      </c>
      <c r="Z1252">
        <v>0.16243529999999901</v>
      </c>
      <c r="AA1252">
        <v>0.94650449999999997</v>
      </c>
      <c r="AB1252">
        <v>22</v>
      </c>
      <c r="AC1252">
        <v>-4.4124999999999899</v>
      </c>
      <c r="AD1252">
        <v>-1.1051971906469999</v>
      </c>
      <c r="AE1252">
        <v>-3.2412999999999599</v>
      </c>
      <c r="AF1252">
        <v>1.5849342951757199</v>
      </c>
      <c r="AG1252">
        <v>-1.1051971906469999</v>
      </c>
      <c r="AH1252">
        <v>5.0162576027718497</v>
      </c>
      <c r="AI1252">
        <v>101.864497474269</v>
      </c>
      <c r="AJ1252">
        <v>72.465573124025198</v>
      </c>
      <c r="AK1252">
        <v>5.3755295448545901</v>
      </c>
      <c r="AL1252">
        <v>67.570293071357099</v>
      </c>
      <c r="AM1252">
        <v>78.719771369300503</v>
      </c>
      <c r="AN1252">
        <v>1.00000003362408</v>
      </c>
    </row>
    <row r="1253" spans="1:40" x14ac:dyDescent="0.25">
      <c r="A1253" t="str">
        <f>"20190304164620902"</f>
        <v>20190304164620902</v>
      </c>
      <c r="B1253" t="str">
        <f>"1551689180890071"</f>
        <v>1551689180890071</v>
      </c>
      <c r="C1253" t="s">
        <v>40</v>
      </c>
      <c r="D1253">
        <v>4.9895350000000001</v>
      </c>
      <c r="E1253">
        <v>0.56861930000000005</v>
      </c>
      <c r="F1253" t="s">
        <v>45</v>
      </c>
      <c r="G1253">
        <v>-201.96639999999999</v>
      </c>
      <c r="H1253" s="1">
        <v>2.8886059999999999E-6</v>
      </c>
      <c r="I1253">
        <v>286.90839999999997</v>
      </c>
      <c r="J1253">
        <v>-197.53540000000001</v>
      </c>
      <c r="K1253">
        <v>1.1052010000000001</v>
      </c>
      <c r="L1253">
        <v>290.09840000000003</v>
      </c>
      <c r="M1253">
        <v>-0.59799619999999998</v>
      </c>
      <c r="N1253">
        <v>-1.1904110000000001E-2</v>
      </c>
      <c r="O1253">
        <v>-0.80141059999999997</v>
      </c>
      <c r="P1253">
        <v>-0.68512859999999998</v>
      </c>
      <c r="Q1253">
        <v>0.37305300000000002</v>
      </c>
      <c r="R1253">
        <v>-0.62564379999999997</v>
      </c>
      <c r="S1253">
        <v>-2.847534</v>
      </c>
      <c r="T1253">
        <v>-0.68891789999999997</v>
      </c>
      <c r="U1253">
        <v>-2.0934750000000002</v>
      </c>
      <c r="V1253">
        <v>0.18035770000000001</v>
      </c>
      <c r="W1253">
        <v>0.38136189999999998</v>
      </c>
      <c r="X1253">
        <v>0.90666100000000005</v>
      </c>
      <c r="Y1253">
        <v>0.27817150000000002</v>
      </c>
      <c r="Z1253">
        <v>0.1618831</v>
      </c>
      <c r="AA1253">
        <v>0.94679159999999996</v>
      </c>
      <c r="AB1253">
        <v>22</v>
      </c>
      <c r="AC1253">
        <v>-4.4309999999999796</v>
      </c>
      <c r="AD1253">
        <v>-1.1051981113939999</v>
      </c>
      <c r="AE1253">
        <v>-3.1900000000000501</v>
      </c>
      <c r="AF1253">
        <v>1.57886467276001</v>
      </c>
      <c r="AG1253">
        <v>-1.1051981113939999</v>
      </c>
      <c r="AH1253">
        <v>5.0016464980795403</v>
      </c>
      <c r="AI1253">
        <v>101.899144302049</v>
      </c>
      <c r="AJ1253">
        <v>72.480709333521901</v>
      </c>
      <c r="AK1253">
        <v>5.3601067351378102</v>
      </c>
      <c r="AL1253">
        <v>67.581932198582194</v>
      </c>
      <c r="AM1253">
        <v>78.7492939925325</v>
      </c>
      <c r="AN1253">
        <v>0.99999998382094901</v>
      </c>
    </row>
    <row r="1254" spans="1:40" x14ac:dyDescent="0.25">
      <c r="A1254" t="str">
        <f>"20190304164620926"</f>
        <v>20190304164620926</v>
      </c>
      <c r="B1254" t="str">
        <f>"1551689180919351"</f>
        <v>1551689180919351</v>
      </c>
      <c r="C1254" t="s">
        <v>40</v>
      </c>
      <c r="D1254">
        <v>4.9951210000000001</v>
      </c>
      <c r="E1254">
        <v>0.56867119999999904</v>
      </c>
      <c r="F1254" t="s">
        <v>45</v>
      </c>
      <c r="G1254">
        <v>-202.1412</v>
      </c>
      <c r="H1254" s="1">
        <v>2.9772480000000001E-6</v>
      </c>
      <c r="I1254">
        <v>286.78149999999999</v>
      </c>
      <c r="J1254">
        <v>-197.6891</v>
      </c>
      <c r="K1254">
        <v>1.1052040000000001</v>
      </c>
      <c r="L1254">
        <v>289.91340000000002</v>
      </c>
      <c r="M1254">
        <v>-0.60666180000000003</v>
      </c>
      <c r="N1254">
        <v>-1.184262E-2</v>
      </c>
      <c r="O1254">
        <v>-0.79487200000000002</v>
      </c>
      <c r="P1254">
        <v>-0.69159219999999999</v>
      </c>
      <c r="Q1254">
        <v>0.37239470000000002</v>
      </c>
      <c r="R1254">
        <v>-0.61888849999999995</v>
      </c>
      <c r="S1254">
        <v>-2.8675839999999999</v>
      </c>
      <c r="T1254">
        <v>-0.68809129999999996</v>
      </c>
      <c r="U1254">
        <v>-2.0650940000000002</v>
      </c>
      <c r="V1254">
        <v>0.179669</v>
      </c>
      <c r="W1254">
        <v>0.38066800000000001</v>
      </c>
      <c r="X1254">
        <v>0.90708929999999999</v>
      </c>
      <c r="Y1254">
        <v>0.27717750000000002</v>
      </c>
      <c r="Z1254">
        <v>0.16077369999999999</v>
      </c>
      <c r="AA1254">
        <v>0.94727209999999995</v>
      </c>
      <c r="AB1254">
        <v>22</v>
      </c>
      <c r="AC1254">
        <v>-4.4520999999999997</v>
      </c>
      <c r="AD1254">
        <v>-1.1052010227519999</v>
      </c>
      <c r="AE1254">
        <v>-3.1319000000000199</v>
      </c>
      <c r="AF1254">
        <v>1.5740706209380999</v>
      </c>
      <c r="AG1254">
        <v>-1.1052010227519999</v>
      </c>
      <c r="AH1254">
        <v>4.9852303304927803</v>
      </c>
      <c r="AI1254">
        <v>101.936976842314</v>
      </c>
      <c r="AJ1254">
        <v>72.476653948777098</v>
      </c>
      <c r="AK1254">
        <v>5.3433780577886996</v>
      </c>
      <c r="AL1254">
        <v>67.624934622537893</v>
      </c>
      <c r="AM1254">
        <v>78.7963238648599</v>
      </c>
      <c r="AN1254">
        <v>1.0000000369797399</v>
      </c>
    </row>
    <row r="1255" spans="1:40" x14ac:dyDescent="0.25">
      <c r="A1255" t="str">
        <f>"20190304164620949"</f>
        <v>20190304164620949</v>
      </c>
      <c r="B1255" t="str">
        <f>"1551689180938871"</f>
        <v>1551689180938871</v>
      </c>
      <c r="C1255" t="s">
        <v>40</v>
      </c>
      <c r="D1255">
        <v>5.2788750000000002</v>
      </c>
      <c r="E1255">
        <v>0.56870419999999999</v>
      </c>
      <c r="F1255" t="s">
        <v>45</v>
      </c>
      <c r="G1255">
        <v>-202.32769999999999</v>
      </c>
      <c r="H1255" s="1">
        <v>3.0715370000000001E-6</v>
      </c>
      <c r="I1255">
        <v>286.64890000000003</v>
      </c>
      <c r="J1255">
        <v>-197.83349999999999</v>
      </c>
      <c r="K1255">
        <v>1.1052109999999999</v>
      </c>
      <c r="L1255">
        <v>289.7432</v>
      </c>
      <c r="M1255">
        <v>-0.61460509999999902</v>
      </c>
      <c r="N1255">
        <v>-1.1788109999999999E-2</v>
      </c>
      <c r="O1255">
        <v>-0.78874679999999997</v>
      </c>
      <c r="P1255">
        <v>-0.69766530000000004</v>
      </c>
      <c r="Q1255">
        <v>0.37206679999999998</v>
      </c>
      <c r="R1255">
        <v>-0.61223300000000003</v>
      </c>
      <c r="S1255">
        <v>-2.8890229999999999</v>
      </c>
      <c r="T1255">
        <v>-0.68834770000000001</v>
      </c>
      <c r="U1255">
        <v>-2.0332029999999999</v>
      </c>
      <c r="V1255">
        <v>0.17938109999999999</v>
      </c>
      <c r="W1255">
        <v>0.38030239999999998</v>
      </c>
      <c r="X1255">
        <v>0.90729959999999998</v>
      </c>
      <c r="Y1255">
        <v>0.27789429999999998</v>
      </c>
      <c r="Z1255">
        <v>0.160109</v>
      </c>
      <c r="AA1255">
        <v>0.94717470000000004</v>
      </c>
      <c r="AB1255">
        <v>22</v>
      </c>
      <c r="AC1255">
        <v>-4.4942000000000002</v>
      </c>
      <c r="AD1255">
        <v>-1.1052079284630001</v>
      </c>
      <c r="AE1255">
        <v>-3.0942999999999699</v>
      </c>
      <c r="AF1255">
        <v>1.5783713363168499</v>
      </c>
      <c r="AG1255">
        <v>-1.1052079284630001</v>
      </c>
      <c r="AH1255">
        <v>4.9980817439157503</v>
      </c>
      <c r="AI1255">
        <v>101.90707171725001</v>
      </c>
      <c r="AJ1255">
        <v>72.474121689154202</v>
      </c>
      <c r="AK1255">
        <v>5.3566371689062597</v>
      </c>
      <c r="AL1255">
        <v>67.647585426693993</v>
      </c>
      <c r="AM1255">
        <v>78.816350894330995</v>
      </c>
      <c r="AN1255">
        <v>1.0000000293215601</v>
      </c>
    </row>
    <row r="1256" spans="1:40" x14ac:dyDescent="0.25">
      <c r="A1256" t="str">
        <f>"20190304164620973"</f>
        <v>20190304164620973</v>
      </c>
      <c r="B1256" t="str">
        <f>"1551689180969128"</f>
        <v>1551689180969128</v>
      </c>
      <c r="C1256" t="s">
        <v>40</v>
      </c>
      <c r="D1256">
        <v>5.2956260000000004</v>
      </c>
      <c r="E1256">
        <v>0.56885059999999998</v>
      </c>
      <c r="F1256" t="s">
        <v>41</v>
      </c>
      <c r="G1256">
        <v>-198.4888</v>
      </c>
      <c r="H1256">
        <v>0.95007649999999999</v>
      </c>
      <c r="I1256">
        <v>289.29180000000002</v>
      </c>
      <c r="J1256">
        <v>-197.989</v>
      </c>
      <c r="K1256">
        <v>1.105216</v>
      </c>
      <c r="L1256">
        <v>289.56349999999998</v>
      </c>
      <c r="M1256">
        <v>-0.62297259999999999</v>
      </c>
      <c r="N1256">
        <v>-1.172933E-2</v>
      </c>
      <c r="O1256">
        <v>-0.78215590000000002</v>
      </c>
      <c r="P1256">
        <v>-0.7040208</v>
      </c>
      <c r="Q1256">
        <v>0.37212820000000002</v>
      </c>
      <c r="R1256">
        <v>-0.60487679999999999</v>
      </c>
      <c r="S1256">
        <v>-2.909348</v>
      </c>
      <c r="T1256">
        <v>-0.68876269999999995</v>
      </c>
      <c r="U1256">
        <v>-2.0033569999999998</v>
      </c>
      <c r="V1256">
        <v>0.17920559999999999</v>
      </c>
      <c r="W1256">
        <v>0.3803165</v>
      </c>
      <c r="X1256">
        <v>0.90732829999999998</v>
      </c>
      <c r="Y1256">
        <v>0.27741739999999998</v>
      </c>
      <c r="Z1256">
        <v>0.1593011</v>
      </c>
      <c r="AA1256">
        <v>0.94745060000000003</v>
      </c>
      <c r="AB1256">
        <v>22</v>
      </c>
      <c r="AC1256">
        <v>-0.49979999999999303</v>
      </c>
      <c r="AD1256">
        <v>-0.15513950000000001</v>
      </c>
      <c r="AE1256">
        <v>-0.27169999999995298</v>
      </c>
      <c r="AF1256">
        <v>0.20632995465805201</v>
      </c>
      <c r="AG1256">
        <v>-0.15513950000000001</v>
      </c>
      <c r="AH1256">
        <v>0.48764258136123501</v>
      </c>
      <c r="AI1256">
        <v>106.330266197539</v>
      </c>
      <c r="AJ1256">
        <v>67.065943139828093</v>
      </c>
      <c r="AK1256">
        <v>0.55175683213358795</v>
      </c>
      <c r="AL1256">
        <v>67.646710419296895</v>
      </c>
      <c r="AM1256">
        <v>78.827361684224599</v>
      </c>
      <c r="AN1256">
        <v>0.99999996561224902</v>
      </c>
    </row>
    <row r="1257" spans="1:40" x14ac:dyDescent="0.25">
      <c r="A1257" t="str">
        <f>"20190304164621014"</f>
        <v>20190304164621014</v>
      </c>
      <c r="B1257" t="str">
        <f>"1551689181009143"</f>
        <v>1551689181009143</v>
      </c>
      <c r="C1257" t="s">
        <v>40</v>
      </c>
      <c r="D1257">
        <v>5.2702260000000001</v>
      </c>
      <c r="E1257">
        <v>0.57210660000000002</v>
      </c>
      <c r="F1257" t="s">
        <v>41</v>
      </c>
      <c r="G1257">
        <v>-198.61089999999999</v>
      </c>
      <c r="H1257">
        <v>0.95913610000000005</v>
      </c>
      <c r="I1257">
        <v>289.14510000000001</v>
      </c>
      <c r="J1257">
        <v>-198.25579999999999</v>
      </c>
      <c r="K1257">
        <v>1.1052200000000001</v>
      </c>
      <c r="L1257">
        <v>289.26389999999998</v>
      </c>
      <c r="M1257">
        <v>-0.63688140000000004</v>
      </c>
      <c r="N1257">
        <v>-1.16387E-2</v>
      </c>
      <c r="O1257">
        <v>-0.77087399999999995</v>
      </c>
      <c r="P1257">
        <v>-0.71342680000000003</v>
      </c>
      <c r="Q1257">
        <v>0.37395499999999998</v>
      </c>
      <c r="R1257">
        <v>-0.59260449999999998</v>
      </c>
      <c r="S1257">
        <v>-2.9303439999999998</v>
      </c>
      <c r="T1257">
        <v>-0.68782940000000004</v>
      </c>
      <c r="U1257">
        <v>-1.9721979999999999</v>
      </c>
      <c r="V1257">
        <v>0.17794199999999999</v>
      </c>
      <c r="W1257">
        <v>0.38207279999999999</v>
      </c>
      <c r="X1257">
        <v>0.90683910000000001</v>
      </c>
      <c r="Y1257">
        <v>0.2705438</v>
      </c>
      <c r="Z1257">
        <v>0.15706500000000001</v>
      </c>
      <c r="AA1257">
        <v>0.94980880000000001</v>
      </c>
      <c r="AB1257">
        <v>22</v>
      </c>
      <c r="AC1257">
        <v>-0.35509999999999298</v>
      </c>
      <c r="AD1257">
        <v>-0.14608389999999999</v>
      </c>
      <c r="AE1257">
        <v>-0.118799999999964</v>
      </c>
      <c r="AF1257">
        <v>0.17192196196293399</v>
      </c>
      <c r="AG1257">
        <v>-0.14608389999999999</v>
      </c>
      <c r="AH1257">
        <v>0.27578257970125902</v>
      </c>
      <c r="AI1257">
        <v>114.204586902909</v>
      </c>
      <c r="AJ1257">
        <v>58.060720923005903</v>
      </c>
      <c r="AK1257">
        <v>0.35630562458523701</v>
      </c>
      <c r="AL1257">
        <v>67.5378656825185</v>
      </c>
      <c r="AM1257">
        <v>78.898342605824595</v>
      </c>
      <c r="AN1257">
        <v>1.00000006657632</v>
      </c>
    </row>
    <row r="1258" spans="1:40" x14ac:dyDescent="0.25">
      <c r="A1258" t="str">
        <f>"20190304164621037"</f>
        <v>20190304164621037</v>
      </c>
      <c r="B1258" t="str">
        <f>"1551689181029639"</f>
        <v>1551689181029639</v>
      </c>
      <c r="C1258" t="s">
        <v>40</v>
      </c>
      <c r="D1258">
        <v>5.3772830000000003</v>
      </c>
      <c r="E1258">
        <v>0.57328299999999999</v>
      </c>
      <c r="F1258" t="s">
        <v>45</v>
      </c>
      <c r="G1258">
        <v>-203.31450000000001</v>
      </c>
      <c r="H1258" s="1">
        <v>3.5619940000000002E-6</v>
      </c>
      <c r="I1258">
        <v>286.04430000000002</v>
      </c>
      <c r="J1258">
        <v>-198.41730000000001</v>
      </c>
      <c r="K1258">
        <v>1.10521</v>
      </c>
      <c r="L1258">
        <v>289.08789999999999</v>
      </c>
      <c r="M1258">
        <v>-0.64505210000000002</v>
      </c>
      <c r="N1258">
        <v>-1.1587470000000001E-2</v>
      </c>
      <c r="O1258">
        <v>-0.76405100000000004</v>
      </c>
      <c r="P1258">
        <v>-0.71871580000000002</v>
      </c>
      <c r="Q1258">
        <v>0.37525360000000002</v>
      </c>
      <c r="R1258">
        <v>-0.58534830000000004</v>
      </c>
      <c r="S1258">
        <v>-2.9735870000000002</v>
      </c>
      <c r="T1258">
        <v>-0.64966699999999999</v>
      </c>
      <c r="U1258">
        <v>-1.892517</v>
      </c>
      <c r="V1258">
        <v>0.17698150000000001</v>
      </c>
      <c r="W1258">
        <v>0.38332959999999999</v>
      </c>
      <c r="X1258">
        <v>0.90649650000000004</v>
      </c>
      <c r="Y1258">
        <v>0.28597420000000001</v>
      </c>
      <c r="Z1258">
        <v>0.148592899999999</v>
      </c>
      <c r="AA1258">
        <v>0.94664619999999999</v>
      </c>
      <c r="AB1258">
        <v>22</v>
      </c>
      <c r="AC1258">
        <v>-4.89719999999999</v>
      </c>
      <c r="AD1258">
        <v>-1.105206438006</v>
      </c>
      <c r="AE1258">
        <v>-3.0435999999999601</v>
      </c>
      <c r="AF1258">
        <v>1.71551976152884</v>
      </c>
      <c r="AG1258">
        <v>-1.105206438006</v>
      </c>
      <c r="AH1258">
        <v>5.29040895082428</v>
      </c>
      <c r="AI1258">
        <v>101.239442506549</v>
      </c>
      <c r="AJ1258">
        <v>72.033687880796904</v>
      </c>
      <c r="AK1258">
        <v>5.6703541502949797</v>
      </c>
      <c r="AL1258">
        <v>67.459920396031407</v>
      </c>
      <c r="AM1258">
        <v>78.952719479422498</v>
      </c>
      <c r="AN1258">
        <v>0.99999996904532895</v>
      </c>
    </row>
    <row r="1259" spans="1:40" x14ac:dyDescent="0.25">
      <c r="A1259" t="str">
        <f>"20190304164621058"</f>
        <v>20190304164621058</v>
      </c>
      <c r="B1259" t="str">
        <f>"1551689181049159"</f>
        <v>1551689181049159</v>
      </c>
      <c r="C1259" t="s">
        <v>40</v>
      </c>
      <c r="D1259">
        <v>5.3904439999999996</v>
      </c>
      <c r="E1259">
        <v>0.57309750000000004</v>
      </c>
      <c r="F1259" t="s">
        <v>45</v>
      </c>
      <c r="G1259">
        <v>-203.6388</v>
      </c>
      <c r="H1259" s="1">
        <v>3.722394E-6</v>
      </c>
      <c r="I1259">
        <v>285.8544</v>
      </c>
      <c r="J1259">
        <v>-198.56469999999999</v>
      </c>
      <c r="K1259">
        <v>1.105194</v>
      </c>
      <c r="L1259">
        <v>288.93040000000002</v>
      </c>
      <c r="M1259">
        <v>-0.65236340000000004</v>
      </c>
      <c r="N1259">
        <v>-1.154517E-2</v>
      </c>
      <c r="O1259">
        <v>-0.75781849999999995</v>
      </c>
      <c r="P1259">
        <v>-0.72355530000000001</v>
      </c>
      <c r="Q1259">
        <v>0.37576520000000002</v>
      </c>
      <c r="R1259">
        <v>-0.57902369999999903</v>
      </c>
      <c r="S1259">
        <v>-2.9946899999999999</v>
      </c>
      <c r="T1259">
        <v>-0.63387059999999995</v>
      </c>
      <c r="U1259">
        <v>-1.8545229999999999</v>
      </c>
      <c r="V1259">
        <v>0.17603540000000001</v>
      </c>
      <c r="W1259">
        <v>0.38381009999999999</v>
      </c>
      <c r="X1259">
        <v>0.90647750000000005</v>
      </c>
      <c r="Y1259">
        <v>0.28906659999999901</v>
      </c>
      <c r="Z1259">
        <v>0.14438709999999999</v>
      </c>
      <c r="AA1259">
        <v>0.94635769999999997</v>
      </c>
      <c r="AB1259">
        <v>22</v>
      </c>
      <c r="AC1259">
        <v>-5.0741000000000103</v>
      </c>
      <c r="AD1259">
        <v>-1.1051902776060001</v>
      </c>
      <c r="AE1259">
        <v>-3.0760000000000201</v>
      </c>
      <c r="AF1259">
        <v>1.7770499801673501</v>
      </c>
      <c r="AG1259">
        <v>-1.1051902776060001</v>
      </c>
      <c r="AH1259">
        <v>5.4524266949069098</v>
      </c>
      <c r="AI1259">
        <v>100.908282798474</v>
      </c>
      <c r="AJ1259">
        <v>71.948221802361999</v>
      </c>
      <c r="AK1259">
        <v>5.84023193418387</v>
      </c>
      <c r="AL1259">
        <v>67.430111682196696</v>
      </c>
      <c r="AM1259">
        <v>79.010109291286398</v>
      </c>
      <c r="AN1259">
        <v>1.0000000564606999</v>
      </c>
    </row>
    <row r="1260" spans="1:40" x14ac:dyDescent="0.25">
      <c r="A1260" t="str">
        <f>"20190304164621081"</f>
        <v>20190304164621081</v>
      </c>
      <c r="B1260" t="str">
        <f>"1551689181069655"</f>
        <v>1551689181069655</v>
      </c>
      <c r="C1260" t="s">
        <v>40</v>
      </c>
      <c r="D1260">
        <v>5.3521099999999997</v>
      </c>
      <c r="E1260">
        <v>0.57290920000000001</v>
      </c>
      <c r="F1260" t="s">
        <v>45</v>
      </c>
      <c r="G1260">
        <v>-203.81059999999999</v>
      </c>
      <c r="H1260" s="1">
        <v>3.808436E-6</v>
      </c>
      <c r="I1260">
        <v>285.74189999999999</v>
      </c>
      <c r="J1260">
        <v>-198.71639999999999</v>
      </c>
      <c r="K1260">
        <v>1.105175</v>
      </c>
      <c r="L1260">
        <v>288.77140000000003</v>
      </c>
      <c r="M1260">
        <v>-0.65975260000000002</v>
      </c>
      <c r="N1260">
        <v>-1.15073E-2</v>
      </c>
      <c r="O1260">
        <v>-0.75139500000000004</v>
      </c>
      <c r="P1260">
        <v>-0.72834519999999903</v>
      </c>
      <c r="Q1260">
        <v>0.37678990000000001</v>
      </c>
      <c r="R1260">
        <v>-0.57231359999999998</v>
      </c>
      <c r="S1260">
        <v>-3.011047</v>
      </c>
      <c r="T1260">
        <v>-0.63435259999999905</v>
      </c>
      <c r="U1260">
        <v>-1.8301700000000001</v>
      </c>
      <c r="V1260">
        <v>0.17516379999999901</v>
      </c>
      <c r="W1260">
        <v>0.38480320000000001</v>
      </c>
      <c r="X1260">
        <v>0.90622519999999995</v>
      </c>
      <c r="Y1260">
        <v>0.28764889999999999</v>
      </c>
      <c r="Z1260">
        <v>0.1435274</v>
      </c>
      <c r="AA1260">
        <v>0.94692030000000005</v>
      </c>
      <c r="AB1260">
        <v>22</v>
      </c>
      <c r="AC1260">
        <v>-5.0941999999999998</v>
      </c>
      <c r="AD1260">
        <v>-1.1051711915639999</v>
      </c>
      <c r="AE1260">
        <v>-3.02950000000004</v>
      </c>
      <c r="AF1260">
        <v>1.76769509332246</v>
      </c>
      <c r="AG1260">
        <v>-1.1051711915639999</v>
      </c>
      <c r="AH1260">
        <v>5.4482046171874901</v>
      </c>
      <c r="AI1260">
        <v>100.920938644652</v>
      </c>
      <c r="AJ1260">
        <v>72.024106268210801</v>
      </c>
      <c r="AK1260">
        <v>5.8334451961394498</v>
      </c>
      <c r="AL1260">
        <v>67.368476450058694</v>
      </c>
      <c r="AM1260">
        <v>79.060236547818704</v>
      </c>
      <c r="AN1260">
        <v>0.99999998633785903</v>
      </c>
    </row>
    <row r="1261" spans="1:40" x14ac:dyDescent="0.25">
      <c r="A1261" t="str">
        <f>"20190304164621104"</f>
        <v>20190304164621104</v>
      </c>
      <c r="B1261" t="str">
        <f>"1551689181098935"</f>
        <v>1551689181098935</v>
      </c>
      <c r="C1261" t="s">
        <v>40</v>
      </c>
      <c r="D1261">
        <v>5.3258409999999996</v>
      </c>
      <c r="E1261">
        <v>0.5726599</v>
      </c>
      <c r="F1261" t="s">
        <v>45</v>
      </c>
      <c r="G1261">
        <v>-204.0044</v>
      </c>
      <c r="H1261" s="1">
        <v>3.9051150000000003E-6</v>
      </c>
      <c r="I1261">
        <v>285.61900000000003</v>
      </c>
      <c r="J1261">
        <v>-198.87950000000001</v>
      </c>
      <c r="K1261">
        <v>1.1051519999999999</v>
      </c>
      <c r="L1261">
        <v>288.60379999999998</v>
      </c>
      <c r="M1261">
        <v>-0.66754690000000005</v>
      </c>
      <c r="N1261">
        <v>-1.14723E-2</v>
      </c>
      <c r="O1261">
        <v>-0.74447959999999902</v>
      </c>
      <c r="P1261">
        <v>-0.73356829999999995</v>
      </c>
      <c r="Q1261">
        <v>0.37727699999999997</v>
      </c>
      <c r="R1261">
        <v>-0.56527890000000003</v>
      </c>
      <c r="S1261">
        <v>-3.0279389999999999</v>
      </c>
      <c r="T1261">
        <v>-0.63282819999999995</v>
      </c>
      <c r="U1261">
        <v>-1.8050839999999999</v>
      </c>
      <c r="V1261">
        <v>0.1742736</v>
      </c>
      <c r="W1261">
        <v>0.385264</v>
      </c>
      <c r="X1261">
        <v>0.90620109999999998</v>
      </c>
      <c r="Y1261">
        <v>0.28595409999999999</v>
      </c>
      <c r="Z1261">
        <v>0.14209620000000001</v>
      </c>
      <c r="AA1261">
        <v>0.94764910000000002</v>
      </c>
      <c r="AB1261">
        <v>22</v>
      </c>
      <c r="AC1261">
        <v>-5.1248999999999896</v>
      </c>
      <c r="AD1261">
        <v>-1.1051480948850001</v>
      </c>
      <c r="AE1261">
        <v>-2.9847999999999399</v>
      </c>
      <c r="AF1261">
        <v>1.7618321489092801</v>
      </c>
      <c r="AG1261">
        <v>-1.1051480948850001</v>
      </c>
      <c r="AH1261">
        <v>5.45421468651476</v>
      </c>
      <c r="AI1261">
        <v>100.913441136486</v>
      </c>
      <c r="AJ1261">
        <v>72.098394251027003</v>
      </c>
      <c r="AK1261">
        <v>5.8372821311935503</v>
      </c>
      <c r="AL1261">
        <v>67.339870168029705</v>
      </c>
      <c r="AM1261">
        <v>79.114219444910304</v>
      </c>
      <c r="AN1261">
        <v>1.0000000354970799</v>
      </c>
    </row>
    <row r="1262" spans="1:40" x14ac:dyDescent="0.25">
      <c r="A1262" t="str">
        <f>"20190304164621126"</f>
        <v>20190304164621126</v>
      </c>
      <c r="B1262" t="str">
        <f>"1551689181119431"</f>
        <v>1551689181119431</v>
      </c>
      <c r="C1262" t="s">
        <v>40</v>
      </c>
      <c r="D1262">
        <v>5.3500290000000001</v>
      </c>
      <c r="E1262">
        <v>0.57247619999999999</v>
      </c>
      <c r="F1262" t="s">
        <v>45</v>
      </c>
      <c r="G1262">
        <v>-204.18209999999999</v>
      </c>
      <c r="H1262" s="1">
        <v>3.9939900000000004E-6</v>
      </c>
      <c r="I1262">
        <v>285.50409999999999</v>
      </c>
      <c r="J1262">
        <v>-199.0342</v>
      </c>
      <c r="K1262">
        <v>1.1051299999999999</v>
      </c>
      <c r="L1262">
        <v>288.44799999999998</v>
      </c>
      <c r="M1262">
        <v>-0.67480299999999904</v>
      </c>
      <c r="N1262">
        <v>-1.1440769999999999E-2</v>
      </c>
      <c r="O1262">
        <v>-0.73790940000000005</v>
      </c>
      <c r="P1262">
        <v>-0.73906119999999897</v>
      </c>
      <c r="Q1262">
        <v>0.37671979999999999</v>
      </c>
      <c r="R1262">
        <v>-0.55845409999999995</v>
      </c>
      <c r="S1262">
        <v>-3.0445099999999998</v>
      </c>
      <c r="T1262">
        <v>-0.63451759999999902</v>
      </c>
      <c r="U1262">
        <v>-1.7796940000000001</v>
      </c>
      <c r="V1262">
        <v>0.17401849999999999</v>
      </c>
      <c r="W1262">
        <v>0.38467820000000003</v>
      </c>
      <c r="X1262">
        <v>0.9064989</v>
      </c>
      <c r="Y1262">
        <v>0.28475299999999998</v>
      </c>
      <c r="Z1262">
        <v>0.1414859</v>
      </c>
      <c r="AA1262">
        <v>0.94810209999999995</v>
      </c>
      <c r="AB1262">
        <v>22</v>
      </c>
      <c r="AC1262">
        <v>-5.1478999999999902</v>
      </c>
      <c r="AD1262">
        <v>-1.1051260060100001</v>
      </c>
      <c r="AE1262">
        <v>-2.9438999999999802</v>
      </c>
      <c r="AF1262">
        <v>1.7514256466426501</v>
      </c>
      <c r="AG1262">
        <v>-1.1051260060100001</v>
      </c>
      <c r="AH1262">
        <v>5.4570063032467404</v>
      </c>
      <c r="AI1262">
        <v>100.914217352367</v>
      </c>
      <c r="AJ1262">
        <v>72.205972018358494</v>
      </c>
      <c r="AK1262">
        <v>5.8367553553795597</v>
      </c>
      <c r="AL1262">
        <v>67.376236157358804</v>
      </c>
      <c r="AM1262">
        <v>79.133260068880503</v>
      </c>
      <c r="AN1262">
        <v>1.0000000057993499</v>
      </c>
    </row>
    <row r="1263" spans="1:40" x14ac:dyDescent="0.25">
      <c r="A1263" t="str">
        <f>"20190304164621150"</f>
        <v>20190304164621150</v>
      </c>
      <c r="B1263" t="str">
        <f>"1551689181138951"</f>
        <v>1551689181138951</v>
      </c>
      <c r="C1263" t="s">
        <v>40</v>
      </c>
      <c r="D1263">
        <v>5.3395780000000004</v>
      </c>
      <c r="E1263">
        <v>0.57231860000000001</v>
      </c>
      <c r="F1263" t="s">
        <v>45</v>
      </c>
      <c r="G1263">
        <v>-204.33109999999999</v>
      </c>
      <c r="H1263" s="1">
        <v>4.0676620000000003E-6</v>
      </c>
      <c r="I1263">
        <v>285.41699999999997</v>
      </c>
      <c r="J1263">
        <v>-199.20079999999999</v>
      </c>
      <c r="K1263">
        <v>1.1051029999999999</v>
      </c>
      <c r="L1263">
        <v>288.2835</v>
      </c>
      <c r="M1263">
        <v>-0.68247349999999996</v>
      </c>
      <c r="N1263">
        <v>-1.140536E-2</v>
      </c>
      <c r="O1263">
        <v>-0.73082119999999995</v>
      </c>
      <c r="P1263">
        <v>-0.74495100000000003</v>
      </c>
      <c r="Q1263">
        <v>0.37611610000000001</v>
      </c>
      <c r="R1263">
        <v>-0.55098530000000001</v>
      </c>
      <c r="S1263">
        <v>-3.061172</v>
      </c>
      <c r="T1263">
        <v>-0.63866659999999997</v>
      </c>
      <c r="U1263">
        <v>-1.75161699999999</v>
      </c>
      <c r="V1263">
        <v>0.1739069</v>
      </c>
      <c r="W1263">
        <v>0.38403860000000001</v>
      </c>
      <c r="X1263">
        <v>0.90679140000000003</v>
      </c>
      <c r="Y1263">
        <v>0.28346310000000002</v>
      </c>
      <c r="Z1263">
        <v>0.14139079999999901</v>
      </c>
      <c r="AA1263">
        <v>0.94850270000000003</v>
      </c>
      <c r="AB1263">
        <v>22</v>
      </c>
      <c r="AC1263">
        <v>-5.1303000000000001</v>
      </c>
      <c r="AD1263">
        <v>-1.1050989323380001</v>
      </c>
      <c r="AE1263">
        <v>-2.8664999999999701</v>
      </c>
      <c r="AF1263">
        <v>1.73189751825643</v>
      </c>
      <c r="AG1263">
        <v>-1.1050989323380001</v>
      </c>
      <c r="AH1263">
        <v>5.4054182866938199</v>
      </c>
      <c r="AI1263">
        <v>101.017297878566</v>
      </c>
      <c r="AJ1263">
        <v>72.234526907760497</v>
      </c>
      <c r="AK1263">
        <v>5.7826688923127296</v>
      </c>
      <c r="AL1263">
        <v>67.415930462582693</v>
      </c>
      <c r="AM1263">
        <v>79.143483047716998</v>
      </c>
      <c r="AN1263">
        <v>0.999999949635763</v>
      </c>
    </row>
    <row r="1264" spans="1:40" x14ac:dyDescent="0.25">
      <c r="A1264" t="str">
        <f>"20190304164621172"</f>
        <v>20190304164621172</v>
      </c>
      <c r="B1264" t="str">
        <f>"1551689181169207"</f>
        <v>1551689181169207</v>
      </c>
      <c r="C1264" t="s">
        <v>40</v>
      </c>
      <c r="D1264">
        <v>5.3231479999999998</v>
      </c>
      <c r="E1264">
        <v>0.57210459999999996</v>
      </c>
      <c r="F1264" t="s">
        <v>45</v>
      </c>
      <c r="G1264">
        <v>-204.49189999999999</v>
      </c>
      <c r="H1264" s="1">
        <v>4.1470689999999999E-6</v>
      </c>
      <c r="I1264">
        <v>285.32420000000002</v>
      </c>
      <c r="J1264">
        <v>-199.358</v>
      </c>
      <c r="K1264">
        <v>1.105084</v>
      </c>
      <c r="L1264">
        <v>288.13130000000001</v>
      </c>
      <c r="M1264">
        <v>-0.68957999999999997</v>
      </c>
      <c r="N1264">
        <v>-1.1369809999999999E-2</v>
      </c>
      <c r="O1264">
        <v>-0.72412049999999994</v>
      </c>
      <c r="P1264">
        <v>-0.74977079999999996</v>
      </c>
      <c r="Q1264">
        <v>0.37572159999999999</v>
      </c>
      <c r="R1264">
        <v>-0.54468079999999996</v>
      </c>
      <c r="S1264">
        <v>-3.0783230000000001</v>
      </c>
      <c r="T1264">
        <v>-0.64293559999999905</v>
      </c>
      <c r="U1264">
        <v>-1.7216800000000001</v>
      </c>
      <c r="V1264">
        <v>0.172849</v>
      </c>
      <c r="W1264">
        <v>0.38362370000000001</v>
      </c>
      <c r="X1264">
        <v>0.90716920000000001</v>
      </c>
      <c r="Y1264">
        <v>0.28329890000000002</v>
      </c>
      <c r="Z1264">
        <v>0.14144200000000001</v>
      </c>
      <c r="AA1264">
        <v>0.9485441</v>
      </c>
      <c r="AB1264">
        <v>22</v>
      </c>
      <c r="AC1264">
        <v>-5.1338999999999801</v>
      </c>
      <c r="AD1264">
        <v>-1.105079852931</v>
      </c>
      <c r="AE1264">
        <v>-2.8070999999999899</v>
      </c>
      <c r="AF1264">
        <v>1.72058498079441</v>
      </c>
      <c r="AG1264">
        <v>-1.105079852931</v>
      </c>
      <c r="AH1264">
        <v>5.3813244709833201</v>
      </c>
      <c r="AI1264">
        <v>101.06731658652301</v>
      </c>
      <c r="AJ1264">
        <v>72.269226091366306</v>
      </c>
      <c r="AK1264">
        <v>5.7567583950946899</v>
      </c>
      <c r="AL1264">
        <v>67.441674122706004</v>
      </c>
      <c r="AM1264">
        <v>79.212358177065397</v>
      </c>
      <c r="AN1264">
        <v>0.99999993871566295</v>
      </c>
    </row>
    <row r="1265" spans="1:40" x14ac:dyDescent="0.25">
      <c r="A1265" t="str">
        <f>"20190304164621195"</f>
        <v>20190304164621195</v>
      </c>
      <c r="B1265" t="str">
        <f>"1551689181189703"</f>
        <v>1551689181189703</v>
      </c>
      <c r="C1265" t="s">
        <v>40</v>
      </c>
      <c r="D1265">
        <v>5.3234389999999996</v>
      </c>
      <c r="E1265">
        <v>0.57198280000000001</v>
      </c>
      <c r="F1265" t="s">
        <v>45</v>
      </c>
      <c r="G1265">
        <v>-204.6455</v>
      </c>
      <c r="H1265" s="1">
        <v>4.2231619999999999E-6</v>
      </c>
      <c r="I1265">
        <v>285.2328</v>
      </c>
      <c r="J1265">
        <v>-199.52189999999999</v>
      </c>
      <c r="K1265">
        <v>1.105059</v>
      </c>
      <c r="L1265">
        <v>287.97570000000002</v>
      </c>
      <c r="M1265">
        <v>-0.69685719999999995</v>
      </c>
      <c r="N1265">
        <v>-1.1332480000000001E-2</v>
      </c>
      <c r="O1265">
        <v>-0.71712049999999905</v>
      </c>
      <c r="P1265">
        <v>-0.75434979999999996</v>
      </c>
      <c r="Q1265">
        <v>0.37554310000000002</v>
      </c>
      <c r="R1265">
        <v>-0.53844579999999997</v>
      </c>
      <c r="S1265">
        <v>-3.0933380000000001</v>
      </c>
      <c r="T1265">
        <v>-0.64650419999999997</v>
      </c>
      <c r="U1265">
        <v>-1.6956789999999999</v>
      </c>
      <c r="V1265">
        <v>0.17128350000000001</v>
      </c>
      <c r="W1265">
        <v>0.38342870000000001</v>
      </c>
      <c r="X1265">
        <v>0.90754849999999998</v>
      </c>
      <c r="Y1265">
        <v>0.28166170000000001</v>
      </c>
      <c r="Z1265">
        <v>0.14115649999999999</v>
      </c>
      <c r="AA1265">
        <v>0.94907399999999997</v>
      </c>
      <c r="AB1265">
        <v>22</v>
      </c>
      <c r="AC1265">
        <v>-5.1235999999999997</v>
      </c>
      <c r="AD1265">
        <v>-1.1050547768379999</v>
      </c>
      <c r="AE1265">
        <v>-2.7429000000000201</v>
      </c>
      <c r="AF1265">
        <v>1.7014260022634</v>
      </c>
      <c r="AG1265">
        <v>-1.1050547768379999</v>
      </c>
      <c r="AH1265">
        <v>5.3445280232451999</v>
      </c>
      <c r="AI1265">
        <v>101.14571955348799</v>
      </c>
      <c r="AJ1265">
        <v>72.341169711845694</v>
      </c>
      <c r="AK1265">
        <v>5.7166402976087101</v>
      </c>
      <c r="AL1265">
        <v>67.453772011573406</v>
      </c>
      <c r="AM1265">
        <v>79.312165467143004</v>
      </c>
      <c r="AN1265">
        <v>0.99999994260409297</v>
      </c>
    </row>
    <row r="1266" spans="1:40" x14ac:dyDescent="0.25">
      <c r="A1266" t="str">
        <f>"20190304164621216"</f>
        <v>20190304164621216</v>
      </c>
      <c r="B1266" t="str">
        <f>"1551689181209222"</f>
        <v>1551689181209222</v>
      </c>
      <c r="C1266" t="s">
        <v>40</v>
      </c>
      <c r="D1266">
        <v>5.3210410000000001</v>
      </c>
      <c r="E1266">
        <v>0.57184709999999905</v>
      </c>
      <c r="F1266" t="s">
        <v>45</v>
      </c>
      <c r="G1266">
        <v>-204.82470000000001</v>
      </c>
      <c r="H1266" s="1">
        <v>4.3116420000000002E-6</v>
      </c>
      <c r="I1266">
        <v>285.1302</v>
      </c>
      <c r="J1266">
        <v>-199.68119999999999</v>
      </c>
      <c r="K1266">
        <v>1.1050329999999999</v>
      </c>
      <c r="L1266">
        <v>287.82780000000002</v>
      </c>
      <c r="M1266">
        <v>-0.70380640000000005</v>
      </c>
      <c r="N1266">
        <v>-1.129518E-2</v>
      </c>
      <c r="O1266">
        <v>-0.71030219999999999</v>
      </c>
      <c r="P1266">
        <v>-0.75876299999999997</v>
      </c>
      <c r="Q1266">
        <v>0.37630089999999999</v>
      </c>
      <c r="R1266">
        <v>-0.53167339999999996</v>
      </c>
      <c r="S1266">
        <v>-3.1087340000000001</v>
      </c>
      <c r="T1266">
        <v>-0.64782550000000005</v>
      </c>
      <c r="U1266">
        <v>-1.6681820000000001</v>
      </c>
      <c r="V1266">
        <v>0.17033589999999901</v>
      </c>
      <c r="W1266">
        <v>0.38415349999999998</v>
      </c>
      <c r="X1266">
        <v>0.90742040000000002</v>
      </c>
      <c r="Y1266">
        <v>0.28084769999999998</v>
      </c>
      <c r="Z1266">
        <v>0.14044200000000001</v>
      </c>
      <c r="AA1266">
        <v>0.94942119999999997</v>
      </c>
      <c r="AB1266">
        <v>22</v>
      </c>
      <c r="AC1266">
        <v>-5.1435000000000102</v>
      </c>
      <c r="AD1266">
        <v>-1.1050286883579901</v>
      </c>
      <c r="AE1266">
        <v>-2.69760000000002</v>
      </c>
      <c r="AF1266">
        <v>1.6936543342758701</v>
      </c>
      <c r="AG1266">
        <v>-1.1050286883579901</v>
      </c>
      <c r="AH1266">
        <v>5.3430777683795103</v>
      </c>
      <c r="AI1266">
        <v>101.152703993095</v>
      </c>
      <c r="AJ1266">
        <v>72.412372182643097</v>
      </c>
      <c r="AK1266">
        <v>5.7129706322592897</v>
      </c>
      <c r="AL1266">
        <v>67.408801592524995</v>
      </c>
      <c r="AM1266">
        <v>79.368476701626804</v>
      </c>
      <c r="AN1266">
        <v>1.0000000063636101</v>
      </c>
    </row>
    <row r="1267" spans="1:40" x14ac:dyDescent="0.25">
      <c r="A1267" t="str">
        <f>"20190304164621237"</f>
        <v>20190304164621237</v>
      </c>
      <c r="B1267" t="str">
        <f>"1551689181229720"</f>
        <v>1551689181229720</v>
      </c>
      <c r="C1267" t="s">
        <v>40</v>
      </c>
      <c r="D1267">
        <v>5.314152</v>
      </c>
      <c r="E1267">
        <v>0.57168189999999997</v>
      </c>
      <c r="F1267" t="s">
        <v>45</v>
      </c>
      <c r="G1267">
        <v>-205.0257</v>
      </c>
      <c r="H1267" s="1">
        <v>4.4103699999999998E-6</v>
      </c>
      <c r="I1267">
        <v>285.02030000000002</v>
      </c>
      <c r="J1267">
        <v>-199.83629999999999</v>
      </c>
      <c r="K1267">
        <v>1.1050059999999999</v>
      </c>
      <c r="L1267">
        <v>287.68630000000002</v>
      </c>
      <c r="M1267">
        <v>-0.71047130000000003</v>
      </c>
      <c r="N1267">
        <v>-1.125959E-2</v>
      </c>
      <c r="O1267">
        <v>-0.70363629999999999</v>
      </c>
      <c r="P1267">
        <v>-0.76274439999999999</v>
      </c>
      <c r="Q1267">
        <v>0.37787749999999998</v>
      </c>
      <c r="R1267">
        <v>-0.524814</v>
      </c>
      <c r="S1267">
        <v>-3.1241759999999998</v>
      </c>
      <c r="T1267">
        <v>-0.64594719999999906</v>
      </c>
      <c r="U1267">
        <v>-1.6411439999999999</v>
      </c>
      <c r="V1267">
        <v>0.16946140000000001</v>
      </c>
      <c r="W1267">
        <v>0.38569249999999999</v>
      </c>
      <c r="X1267">
        <v>0.90693120000000005</v>
      </c>
      <c r="Y1267">
        <v>0.2803486</v>
      </c>
      <c r="Z1267">
        <v>0.1390332</v>
      </c>
      <c r="AA1267">
        <v>0.94977599999999995</v>
      </c>
      <c r="AB1267">
        <v>22</v>
      </c>
      <c r="AC1267">
        <v>-5.1894</v>
      </c>
      <c r="AD1267">
        <v>-1.1050015896299901</v>
      </c>
      <c r="AE1267">
        <v>-2.6659999999999902</v>
      </c>
      <c r="AF1267">
        <v>1.69658316236981</v>
      </c>
      <c r="AG1267">
        <v>-1.1050015896299901</v>
      </c>
      <c r="AH1267">
        <v>5.3705091112463403</v>
      </c>
      <c r="AI1267">
        <v>101.100233199481</v>
      </c>
      <c r="AJ1267">
        <v>72.4682918049173</v>
      </c>
      <c r="AK1267">
        <v>5.7394939719370397</v>
      </c>
      <c r="AL1267">
        <v>67.313262627689298</v>
      </c>
      <c r="AM1267">
        <v>79.416246701004496</v>
      </c>
      <c r="AN1267">
        <v>1.00000003608982</v>
      </c>
    </row>
    <row r="1268" spans="1:40" x14ac:dyDescent="0.25">
      <c r="A1268" t="str">
        <f>"20190304164621259"</f>
        <v>20190304164621259</v>
      </c>
      <c r="B1268" t="str">
        <f>"1551689181249239"</f>
        <v>1551689181249239</v>
      </c>
      <c r="C1268" t="s">
        <v>40</v>
      </c>
      <c r="D1268">
        <v>5.2976789999999996</v>
      </c>
      <c r="E1268">
        <v>0.57152590000000003</v>
      </c>
      <c r="F1268" t="s">
        <v>45</v>
      </c>
      <c r="G1268">
        <v>-205.244</v>
      </c>
      <c r="H1268" s="1">
        <v>4.517442E-6</v>
      </c>
      <c r="I1268">
        <v>284.90289999999999</v>
      </c>
      <c r="J1268">
        <v>-200.00720000000001</v>
      </c>
      <c r="K1268">
        <v>1.1049629999999999</v>
      </c>
      <c r="L1268">
        <v>287.53379999999999</v>
      </c>
      <c r="M1268">
        <v>-0.71769729999999998</v>
      </c>
      <c r="N1268">
        <v>-1.1223810000000001E-2</v>
      </c>
      <c r="O1268">
        <v>-0.69626499999999902</v>
      </c>
      <c r="P1268">
        <v>-0.76668809999999998</v>
      </c>
      <c r="Q1268">
        <v>0.38037480000000001</v>
      </c>
      <c r="R1268">
        <v>-0.51720829999999995</v>
      </c>
      <c r="S1268">
        <v>-3.139221</v>
      </c>
      <c r="T1268">
        <v>-0.64146449999999999</v>
      </c>
      <c r="U1268">
        <v>-1.6157840000000001</v>
      </c>
      <c r="V1268">
        <v>0.16832710000000001</v>
      </c>
      <c r="W1268">
        <v>0.38814779999999999</v>
      </c>
      <c r="X1268">
        <v>0.90609459999999997</v>
      </c>
      <c r="Y1268">
        <v>0.27866200000000002</v>
      </c>
      <c r="Z1268">
        <v>0.1368415</v>
      </c>
      <c r="AA1268">
        <v>0.9505903</v>
      </c>
      <c r="AB1268">
        <v>22</v>
      </c>
      <c r="AC1268">
        <v>-5.2368000000000103</v>
      </c>
      <c r="AD1268">
        <v>-1.1049584825580001</v>
      </c>
      <c r="AE1268">
        <v>-2.6308999999999898</v>
      </c>
      <c r="AF1268">
        <v>1.6977683097715099</v>
      </c>
      <c r="AG1268">
        <v>-1.1049584825580001</v>
      </c>
      <c r="AH1268">
        <v>5.3986779218470602</v>
      </c>
      <c r="AI1268">
        <v>101.047736006977</v>
      </c>
      <c r="AJ1268">
        <v>72.542757607759597</v>
      </c>
      <c r="AK1268">
        <v>5.7662009838090302</v>
      </c>
      <c r="AL1268">
        <v>67.160702724978606</v>
      </c>
      <c r="AM1268">
        <v>79.476013438393593</v>
      </c>
      <c r="AN1268">
        <v>1.0000000756942</v>
      </c>
    </row>
    <row r="1269" spans="1:40" x14ac:dyDescent="0.25">
      <c r="A1269" t="str">
        <f>"20190304164621282"</f>
        <v>20190304164621282</v>
      </c>
      <c r="B1269" t="str">
        <f>"1551689181269735"</f>
        <v>1551689181269735</v>
      </c>
      <c r="C1269" t="s">
        <v>40</v>
      </c>
      <c r="D1269">
        <v>5.3013199999999996</v>
      </c>
      <c r="E1269">
        <v>0.57135340000000001</v>
      </c>
      <c r="F1269" t="s">
        <v>45</v>
      </c>
      <c r="G1269">
        <v>-205.51419999999999</v>
      </c>
      <c r="H1269" s="1">
        <v>4.649482E-6</v>
      </c>
      <c r="I1269">
        <v>284.76310000000001</v>
      </c>
      <c r="J1269">
        <v>-200.17420000000001</v>
      </c>
      <c r="K1269">
        <v>1.1049</v>
      </c>
      <c r="L1269">
        <v>287.38760000000002</v>
      </c>
      <c r="M1269">
        <v>-0.72466649999999999</v>
      </c>
      <c r="N1269">
        <v>-1.1190169999999999E-2</v>
      </c>
      <c r="O1269">
        <v>-0.68900919999999999</v>
      </c>
      <c r="P1269">
        <v>-0.77068009999999998</v>
      </c>
      <c r="Q1269">
        <v>0.38330330000000001</v>
      </c>
      <c r="R1269">
        <v>-0.50904939999999999</v>
      </c>
      <c r="S1269">
        <v>-3.1559599999999999</v>
      </c>
      <c r="T1269">
        <v>-0.63323219999999902</v>
      </c>
      <c r="U1269">
        <v>-1.5878300000000001</v>
      </c>
      <c r="V1269">
        <v>0.16791800000000001</v>
      </c>
      <c r="W1269">
        <v>0.3910168</v>
      </c>
      <c r="X1269">
        <v>0.90493610000000002</v>
      </c>
      <c r="Y1269">
        <v>0.27817730000000002</v>
      </c>
      <c r="Z1269">
        <v>0.13392660000000001</v>
      </c>
      <c r="AA1269">
        <v>0.95114719999999997</v>
      </c>
      <c r="AB1269">
        <v>22</v>
      </c>
      <c r="AC1269">
        <v>-5.3399999999999697</v>
      </c>
      <c r="AD1269">
        <v>-1.1048953505179999</v>
      </c>
      <c r="AE1269">
        <v>-2.62450000000001</v>
      </c>
      <c r="AF1269">
        <v>1.7182826557295501</v>
      </c>
      <c r="AG1269">
        <v>-1.1048953505179999</v>
      </c>
      <c r="AH1269">
        <v>5.4891017965884803</v>
      </c>
      <c r="AI1269">
        <v>100.873882119215</v>
      </c>
      <c r="AJ1269">
        <v>72.618037611653193</v>
      </c>
      <c r="AK1269">
        <v>5.8569213375192399</v>
      </c>
      <c r="AL1269">
        <v>66.9822167711541</v>
      </c>
      <c r="AM1269">
        <v>79.487880029144407</v>
      </c>
      <c r="AN1269">
        <v>0.99999996884472397</v>
      </c>
    </row>
    <row r="1270" spans="1:40" x14ac:dyDescent="0.25">
      <c r="A1270" t="str">
        <f>"20190304164621304"</f>
        <v>20190304164621304</v>
      </c>
      <c r="B1270" t="str">
        <f>"1551689181299016"</f>
        <v>1551689181299016</v>
      </c>
      <c r="C1270" t="s">
        <v>40</v>
      </c>
      <c r="D1270">
        <v>5.3008300000000004</v>
      </c>
      <c r="E1270">
        <v>0.57106539999999995</v>
      </c>
      <c r="F1270" t="s">
        <v>45</v>
      </c>
      <c r="G1270">
        <v>-205.79900000000001</v>
      </c>
      <c r="H1270" s="1">
        <v>4.787732E-6</v>
      </c>
      <c r="I1270">
        <v>284.62639999999999</v>
      </c>
      <c r="J1270">
        <v>-200.34979999999999</v>
      </c>
      <c r="K1270">
        <v>1.1048199999999999</v>
      </c>
      <c r="L1270">
        <v>287.2373</v>
      </c>
      <c r="M1270">
        <v>-0.7319118</v>
      </c>
      <c r="N1270">
        <v>-1.115887E-2</v>
      </c>
      <c r="O1270">
        <v>-0.68130829999999998</v>
      </c>
      <c r="P1270">
        <v>-0.77513669999999901</v>
      </c>
      <c r="Q1270">
        <v>0.38638699999999998</v>
      </c>
      <c r="R1270">
        <v>-0.49986849999999999</v>
      </c>
      <c r="S1270">
        <v>-3.173645</v>
      </c>
      <c r="T1270">
        <v>-0.6234111</v>
      </c>
      <c r="U1270">
        <v>-1.5579829999999999</v>
      </c>
      <c r="V1270">
        <v>0.16817119999999999</v>
      </c>
      <c r="W1270">
        <v>0.39402280000000001</v>
      </c>
      <c r="X1270">
        <v>0.90358419999999895</v>
      </c>
      <c r="Y1270">
        <v>0.27781939999999999</v>
      </c>
      <c r="Z1270">
        <v>0.1306293</v>
      </c>
      <c r="AA1270">
        <v>0.95171019999999995</v>
      </c>
      <c r="AB1270">
        <v>22</v>
      </c>
      <c r="AC1270">
        <v>-5.44920000000001</v>
      </c>
      <c r="AD1270">
        <v>-1.1048152122679999</v>
      </c>
      <c r="AE1270">
        <v>-2.6109000000000102</v>
      </c>
      <c r="AF1270">
        <v>1.74346132882722</v>
      </c>
      <c r="AG1270">
        <v>-1.1048152122679999</v>
      </c>
      <c r="AH1270">
        <v>5.58093839465056</v>
      </c>
      <c r="AI1270">
        <v>100.700258141967</v>
      </c>
      <c r="AJ1270">
        <v>72.651418194762599</v>
      </c>
      <c r="AK1270">
        <v>5.9503905269536403</v>
      </c>
      <c r="AL1270">
        <v>66.794956561329201</v>
      </c>
      <c r="AM1270">
        <v>79.456985102012695</v>
      </c>
      <c r="AN1270">
        <v>0.99999996295945903</v>
      </c>
    </row>
    <row r="1271" spans="1:40" x14ac:dyDescent="0.25">
      <c r="A1271" t="str">
        <f>"20190304164621327"</f>
        <v>20190304164621327</v>
      </c>
      <c r="B1271" t="str">
        <f>"1551689181319512"</f>
        <v>1551689181319512</v>
      </c>
      <c r="C1271" t="s">
        <v>40</v>
      </c>
      <c r="D1271">
        <v>5.2984249999999999</v>
      </c>
      <c r="E1271">
        <v>0.57082840000000001</v>
      </c>
      <c r="F1271" t="s">
        <v>45</v>
      </c>
      <c r="G1271">
        <v>-206.0916</v>
      </c>
      <c r="H1271" s="1">
        <v>4.9291190000000003E-6</v>
      </c>
      <c r="I1271">
        <v>284.49329999999998</v>
      </c>
      <c r="J1271">
        <v>-200.5231</v>
      </c>
      <c r="K1271">
        <v>1.1047209999999901</v>
      </c>
      <c r="L1271">
        <v>287.09219999999999</v>
      </c>
      <c r="M1271">
        <v>-0.7390023</v>
      </c>
      <c r="N1271">
        <v>-1.113629E-2</v>
      </c>
      <c r="O1271">
        <v>-0.67361099999999996</v>
      </c>
      <c r="P1271">
        <v>-0.77965969999999996</v>
      </c>
      <c r="Q1271">
        <v>0.38855260000000003</v>
      </c>
      <c r="R1271">
        <v>-0.49107830000000002</v>
      </c>
      <c r="S1271">
        <v>-3.192596</v>
      </c>
      <c r="T1271">
        <v>-0.61430309999999999</v>
      </c>
      <c r="U1271">
        <v>-1.5257259999999999</v>
      </c>
      <c r="V1271">
        <v>0.16833239999999999</v>
      </c>
      <c r="W1271">
        <v>0.39611570000000002</v>
      </c>
      <c r="X1271">
        <v>0.90263870000000002</v>
      </c>
      <c r="Y1271">
        <v>0.27824650000000001</v>
      </c>
      <c r="Z1271">
        <v>0.12755359999999999</v>
      </c>
      <c r="AA1271">
        <v>0.95200260000000003</v>
      </c>
      <c r="AB1271">
        <v>22</v>
      </c>
      <c r="AC1271">
        <v>-5.5685000000000002</v>
      </c>
      <c r="AD1271">
        <v>-1.10471607088099</v>
      </c>
      <c r="AE1271">
        <v>-2.5989000000000102</v>
      </c>
      <c r="AF1271">
        <v>1.77321675966209</v>
      </c>
      <c r="AG1271">
        <v>-1.10471607088099</v>
      </c>
      <c r="AH1271">
        <v>5.6824996089251201</v>
      </c>
      <c r="AI1271">
        <v>100.51340992188</v>
      </c>
      <c r="AJ1271">
        <v>72.669534155287195</v>
      </c>
      <c r="AK1271">
        <v>6.0543783396351598</v>
      </c>
      <c r="AL1271">
        <v>66.664425237178904</v>
      </c>
      <c r="AM1271">
        <v>79.436300716740504</v>
      </c>
      <c r="AN1271">
        <v>1.0000000337069599</v>
      </c>
    </row>
    <row r="1272" spans="1:40" x14ac:dyDescent="0.25">
      <c r="A1272" t="str">
        <f>"20190304164621348"</f>
        <v>20190304164621348</v>
      </c>
      <c r="B1272" t="str">
        <f>"1551689181339033"</f>
        <v>1551689181339033</v>
      </c>
      <c r="C1272" t="s">
        <v>40</v>
      </c>
      <c r="D1272">
        <v>5.2996889999999999</v>
      </c>
      <c r="E1272">
        <v>0.57050469999999998</v>
      </c>
      <c r="F1272" t="s">
        <v>45</v>
      </c>
      <c r="G1272">
        <v>-206.35040000000001</v>
      </c>
      <c r="H1272" s="1">
        <v>5.0538090000000003E-6</v>
      </c>
      <c r="I1272">
        <v>284.37959999999998</v>
      </c>
      <c r="J1272">
        <v>-200.69059999999999</v>
      </c>
      <c r="K1272">
        <v>1.104608</v>
      </c>
      <c r="L1272">
        <v>286.95490000000001</v>
      </c>
      <c r="M1272">
        <v>-0.74581569999999997</v>
      </c>
      <c r="N1272">
        <v>-1.1123289999999999E-2</v>
      </c>
      <c r="O1272">
        <v>-0.66605959999999997</v>
      </c>
      <c r="P1272">
        <v>-0.78456400000000004</v>
      </c>
      <c r="Q1272">
        <v>0.38980939999999997</v>
      </c>
      <c r="R1272">
        <v>-0.48219109999999998</v>
      </c>
      <c r="S1272">
        <v>-3.2099609999999998</v>
      </c>
      <c r="T1272">
        <v>-0.60853119999999905</v>
      </c>
      <c r="U1272">
        <v>-1.494202</v>
      </c>
      <c r="V1272">
        <v>0.169126</v>
      </c>
      <c r="W1272">
        <v>0.39729449999999999</v>
      </c>
      <c r="X1272">
        <v>0.901972</v>
      </c>
      <c r="Y1272">
        <v>0.27845249999999999</v>
      </c>
      <c r="Z1272">
        <v>0.12524160000000001</v>
      </c>
      <c r="AA1272">
        <v>0.95224929999999997</v>
      </c>
      <c r="AB1272">
        <v>22</v>
      </c>
      <c r="AC1272">
        <v>-5.6598000000000104</v>
      </c>
      <c r="AD1272">
        <v>-1.1046029461910001</v>
      </c>
      <c r="AE1272">
        <v>-2.5753000000000199</v>
      </c>
      <c r="AF1272">
        <v>1.7926106875046599</v>
      </c>
      <c r="AG1272">
        <v>-1.1046029461910001</v>
      </c>
      <c r="AH1272">
        <v>5.7552231067542001</v>
      </c>
      <c r="AI1272">
        <v>100.38408351989101</v>
      </c>
      <c r="AJ1272">
        <v>72.699470887506905</v>
      </c>
      <c r="AK1272">
        <v>6.1283108402076998</v>
      </c>
      <c r="AL1272">
        <v>66.5908469573465</v>
      </c>
      <c r="AM1272">
        <v>79.379961190489297</v>
      </c>
      <c r="AN1272">
        <v>1.00000000619512</v>
      </c>
    </row>
    <row r="1273" spans="1:40" x14ac:dyDescent="0.25">
      <c r="A1273" t="str">
        <f>"20190304164621395"</f>
        <v>20190304164621395</v>
      </c>
      <c r="B1273" t="str">
        <f>"1551689181388808"</f>
        <v>1551689181388808</v>
      </c>
      <c r="C1273" t="s">
        <v>40</v>
      </c>
      <c r="D1273">
        <v>5.2822199999999997</v>
      </c>
      <c r="E1273">
        <v>0.56986740000000002</v>
      </c>
      <c r="F1273" t="s">
        <v>45</v>
      </c>
      <c r="G1273">
        <v>-206.5556</v>
      </c>
      <c r="H1273" s="1">
        <v>5.1521709999999901E-6</v>
      </c>
      <c r="I1273">
        <v>284.29559999999998</v>
      </c>
      <c r="J1273">
        <v>-201.05539999999999</v>
      </c>
      <c r="K1273">
        <v>1.1042970000000001</v>
      </c>
      <c r="L1273">
        <v>286.66629999999998</v>
      </c>
      <c r="M1273">
        <v>-0.760553699999999</v>
      </c>
      <c r="N1273">
        <v>-1.1114550000000001E-2</v>
      </c>
      <c r="O1273">
        <v>-0.64918009999999904</v>
      </c>
      <c r="P1273">
        <v>-0.79668899999999998</v>
      </c>
      <c r="Q1273">
        <v>0.38794289999999998</v>
      </c>
      <c r="R1273">
        <v>-0.46345140000000001</v>
      </c>
      <c r="S1273">
        <v>-3.2265779999999999</v>
      </c>
      <c r="T1273">
        <v>-0.60768690000000003</v>
      </c>
      <c r="U1273">
        <v>-1.462952</v>
      </c>
      <c r="V1273">
        <v>0.1711626</v>
      </c>
      <c r="W1273">
        <v>0.39527230000000002</v>
      </c>
      <c r="X1273">
        <v>0.9024761</v>
      </c>
      <c r="Y1273">
        <v>0.26678580000000002</v>
      </c>
      <c r="Z1273">
        <v>0.12185360000000001</v>
      </c>
      <c r="AA1273">
        <v>0.95602149999999997</v>
      </c>
      <c r="AB1273">
        <v>22</v>
      </c>
      <c r="AC1273">
        <v>-5.5002000000000004</v>
      </c>
      <c r="AD1273">
        <v>-1.10429184782899</v>
      </c>
      <c r="AE1273">
        <v>-2.3706999999999998</v>
      </c>
      <c r="AF1273">
        <v>1.70956895171983</v>
      </c>
      <c r="AG1273">
        <v>-1.10429184782899</v>
      </c>
      <c r="AH1273">
        <v>5.5344222069854601</v>
      </c>
      <c r="AI1273">
        <v>100.793541083675</v>
      </c>
      <c r="AJ1273">
        <v>72.834214279859296</v>
      </c>
      <c r="AK1273">
        <v>5.8967716295477999</v>
      </c>
      <c r="AL1273">
        <v>66.717041438930593</v>
      </c>
      <c r="AM1273">
        <v>79.260898235093194</v>
      </c>
      <c r="AN1273">
        <v>0.99999996892862897</v>
      </c>
    </row>
    <row r="1274" spans="1:40" x14ac:dyDescent="0.25">
      <c r="A1274" t="str">
        <f>"20190304164621415"</f>
        <v>20190304164621415</v>
      </c>
      <c r="B1274" t="str">
        <f>"1551689181409304"</f>
        <v>1551689181409304</v>
      </c>
      <c r="C1274" t="s">
        <v>40</v>
      </c>
      <c r="D1274">
        <v>5.2733720000000002</v>
      </c>
      <c r="E1274">
        <v>0.56969639999999999</v>
      </c>
      <c r="F1274" t="s">
        <v>45</v>
      </c>
      <c r="G1274">
        <v>-206.82980000000001</v>
      </c>
      <c r="H1274" s="1">
        <v>5.2827630000000001E-6</v>
      </c>
      <c r="I1274">
        <v>284.19240000000002</v>
      </c>
      <c r="J1274">
        <v>-201.2243</v>
      </c>
      <c r="K1274">
        <v>1.1041529999999999</v>
      </c>
      <c r="L1274">
        <v>286.5376</v>
      </c>
      <c r="M1274">
        <v>-0.76732539999999905</v>
      </c>
      <c r="N1274">
        <v>-1.1111660000000001E-2</v>
      </c>
      <c r="O1274">
        <v>-0.64116149999999905</v>
      </c>
      <c r="P1274">
        <v>-0.80197799999999997</v>
      </c>
      <c r="Q1274">
        <v>0.38704480000000002</v>
      </c>
      <c r="R1274">
        <v>-0.45500309999999999</v>
      </c>
      <c r="S1274">
        <v>-3.2571560000000002</v>
      </c>
      <c r="T1274">
        <v>-0.6229036</v>
      </c>
      <c r="U1274">
        <v>-1.395416</v>
      </c>
      <c r="V1274">
        <v>0.1716261</v>
      </c>
      <c r="W1274">
        <v>0.39431290000000002</v>
      </c>
      <c r="X1274">
        <v>0.90280780000000005</v>
      </c>
      <c r="Y1274">
        <v>0.27611039999999998</v>
      </c>
      <c r="Z1274">
        <v>0.1245511</v>
      </c>
      <c r="AA1274">
        <v>0.95302160000000002</v>
      </c>
      <c r="AB1274">
        <v>22</v>
      </c>
      <c r="AC1274">
        <v>-5.6055000000000001</v>
      </c>
      <c r="AD1274">
        <v>-1.104147717237</v>
      </c>
      <c r="AE1274">
        <v>-2.34519999999997</v>
      </c>
      <c r="AF1274">
        <v>1.73724675326642</v>
      </c>
      <c r="AG1274">
        <v>-1.104147717237</v>
      </c>
      <c r="AH1274">
        <v>5.6196925300543699</v>
      </c>
      <c r="AI1274">
        <v>100.631474025024</v>
      </c>
      <c r="AJ1274">
        <v>72.821761614207702</v>
      </c>
      <c r="AK1274">
        <v>5.9848235225078499</v>
      </c>
      <c r="AL1274">
        <v>66.776873006155</v>
      </c>
      <c r="AM1274">
        <v>79.236359910310199</v>
      </c>
      <c r="AN1274">
        <v>1.0000000525242201</v>
      </c>
    </row>
    <row r="1275" spans="1:40" x14ac:dyDescent="0.25">
      <c r="A1275" t="str">
        <f>"20190304164621438"</f>
        <v>20190304164621438</v>
      </c>
      <c r="B1275" t="str">
        <f>"1551689181429324"</f>
        <v>1551689181429324</v>
      </c>
      <c r="C1275" t="s">
        <v>40</v>
      </c>
      <c r="D1275">
        <v>5.1078729999999997</v>
      </c>
      <c r="E1275">
        <v>0.56961200000000001</v>
      </c>
      <c r="F1275" t="s">
        <v>45</v>
      </c>
      <c r="G1275">
        <v>-206.98429999999999</v>
      </c>
      <c r="H1275" s="1">
        <v>5.355483E-6</v>
      </c>
      <c r="I1275">
        <v>284.14429999999999</v>
      </c>
      <c r="J1275">
        <v>-201.4111</v>
      </c>
      <c r="K1275">
        <v>1.1040270000000001</v>
      </c>
      <c r="L1275">
        <v>286.39890000000003</v>
      </c>
      <c r="M1275">
        <v>-0.77474409999999905</v>
      </c>
      <c r="N1275">
        <v>-1.110744E-2</v>
      </c>
      <c r="O1275">
        <v>-0.63217749999999995</v>
      </c>
      <c r="P1275">
        <v>-0.80759360000000002</v>
      </c>
      <c r="Q1275">
        <v>0.38704240000000001</v>
      </c>
      <c r="R1275">
        <v>-0.44496200000000002</v>
      </c>
      <c r="S1275">
        <v>-3.2720790000000002</v>
      </c>
      <c r="T1275">
        <v>-0.62723980000000001</v>
      </c>
      <c r="U1275">
        <v>-1.3596189999999999</v>
      </c>
      <c r="V1275">
        <v>0.17249310000000001</v>
      </c>
      <c r="W1275">
        <v>0.3942406</v>
      </c>
      <c r="X1275">
        <v>0.90267410000000003</v>
      </c>
      <c r="Y1275">
        <v>0.27531080000000002</v>
      </c>
      <c r="Z1275">
        <v>0.12411899999999999</v>
      </c>
      <c r="AA1275">
        <v>0.95330919999999997</v>
      </c>
      <c r="AB1275">
        <v>22</v>
      </c>
      <c r="AC1275">
        <v>-5.5731999999999804</v>
      </c>
      <c r="AD1275">
        <v>-1.1040216445169999</v>
      </c>
      <c r="AE1275">
        <v>-2.2546000000000301</v>
      </c>
      <c r="AF1275">
        <v>1.71866509727025</v>
      </c>
      <c r="AG1275">
        <v>-1.1040216445169999</v>
      </c>
      <c r="AH1275">
        <v>5.5560986489033004</v>
      </c>
      <c r="AI1275">
        <v>100.74856560191</v>
      </c>
      <c r="AJ1275">
        <v>72.8116202244329</v>
      </c>
      <c r="AK1275">
        <v>5.9197048663326202</v>
      </c>
      <c r="AL1275">
        <v>66.781379983165706</v>
      </c>
      <c r="AM1275">
        <v>79.181700816290302</v>
      </c>
      <c r="AN1275">
        <v>1.0000000255233801</v>
      </c>
    </row>
    <row r="1276" spans="1:40" x14ac:dyDescent="0.25">
      <c r="A1276" t="str">
        <f>"20190304164621460"</f>
        <v>20190304164621460</v>
      </c>
      <c r="B1276" t="str">
        <f>"1551689181449821"</f>
        <v>1551689181449821</v>
      </c>
      <c r="C1276" t="s">
        <v>40</v>
      </c>
      <c r="D1276">
        <v>5.0181040000000001</v>
      </c>
      <c r="E1276">
        <v>0.56957429999999998</v>
      </c>
      <c r="F1276" t="s">
        <v>45</v>
      </c>
      <c r="G1276">
        <v>-207.19880000000001</v>
      </c>
      <c r="H1276" s="1">
        <v>5.4564430000000001E-6</v>
      </c>
      <c r="I1276">
        <v>284.07749999999999</v>
      </c>
      <c r="J1276">
        <v>-201.5932</v>
      </c>
      <c r="K1276">
        <v>1.103899</v>
      </c>
      <c r="L1276">
        <v>286.267</v>
      </c>
      <c r="M1276">
        <v>-0.78193040000000003</v>
      </c>
      <c r="N1276">
        <v>-1.110091E-2</v>
      </c>
      <c r="O1276">
        <v>-0.62326709999999996</v>
      </c>
      <c r="P1276">
        <v>-0.81307769999999902</v>
      </c>
      <c r="Q1276">
        <v>0.38756620000000003</v>
      </c>
      <c r="R1276">
        <v>-0.43439309999999998</v>
      </c>
      <c r="S1276">
        <v>-3.2886199999999999</v>
      </c>
      <c r="T1276">
        <v>-0.62731499999999996</v>
      </c>
      <c r="U1276">
        <v>-1.3190309999999901</v>
      </c>
      <c r="V1276">
        <v>0.17390320000000001</v>
      </c>
      <c r="W1276">
        <v>0.39468219999999998</v>
      </c>
      <c r="X1276">
        <v>0.90221039999999997</v>
      </c>
      <c r="Y1276">
        <v>0.27620299999999998</v>
      </c>
      <c r="Z1276">
        <v>0.12294339999999999</v>
      </c>
      <c r="AA1276">
        <v>0.95320340000000003</v>
      </c>
      <c r="AB1276">
        <v>22</v>
      </c>
      <c r="AC1276">
        <v>-5.6056000000000097</v>
      </c>
      <c r="AD1276">
        <v>-1.1038935435570001</v>
      </c>
      <c r="AE1276">
        <v>-2.1894999999999998</v>
      </c>
      <c r="AF1276">
        <v>1.7238564594208901</v>
      </c>
      <c r="AG1276">
        <v>-1.1038935435570001</v>
      </c>
      <c r="AH1276">
        <v>5.5610725623016402</v>
      </c>
      <c r="AI1276">
        <v>100.73601201577399</v>
      </c>
      <c r="AJ1276">
        <v>72.777278516647399</v>
      </c>
      <c r="AK1276">
        <v>5.9258577515308399</v>
      </c>
      <c r="AL1276">
        <v>66.753844438179499</v>
      </c>
      <c r="AM1276">
        <v>79.089905015355995</v>
      </c>
      <c r="AN1276">
        <v>0.99999998391761902</v>
      </c>
    </row>
    <row r="1277" spans="1:40" x14ac:dyDescent="0.25">
      <c r="A1277" t="str">
        <f>"20190304164621483"</f>
        <v>20190304164621483</v>
      </c>
      <c r="B1277" t="str">
        <f>"1551689181479100"</f>
        <v>1551689181479100</v>
      </c>
      <c r="C1277" t="s">
        <v>40</v>
      </c>
      <c r="D1277">
        <v>5.0286299999999997</v>
      </c>
      <c r="E1277">
        <v>0.56956609999999996</v>
      </c>
      <c r="F1277" t="s">
        <v>45</v>
      </c>
      <c r="G1277">
        <v>-207.42410000000001</v>
      </c>
      <c r="H1277" s="1">
        <v>5.5624509999999998E-6</v>
      </c>
      <c r="I1277">
        <v>284.00810000000001</v>
      </c>
      <c r="J1277">
        <v>-201.78919999999999</v>
      </c>
      <c r="K1277">
        <v>1.1037539999999999</v>
      </c>
      <c r="L1277">
        <v>286.12869999999998</v>
      </c>
      <c r="M1277">
        <v>-0.78961519999999996</v>
      </c>
      <c r="N1277">
        <v>-1.109077E-2</v>
      </c>
      <c r="O1277">
        <v>-0.61350229999999994</v>
      </c>
      <c r="P1277">
        <v>-0.8180153</v>
      </c>
      <c r="Q1277">
        <v>0.38850170000000001</v>
      </c>
      <c r="R1277">
        <v>-0.42416730000000002</v>
      </c>
      <c r="S1277">
        <v>-3.304001</v>
      </c>
      <c r="T1277">
        <v>-0.62550499999999998</v>
      </c>
      <c r="U1277">
        <v>-1.279938</v>
      </c>
      <c r="V1277">
        <v>0.17387639999999999</v>
      </c>
      <c r="W1277">
        <v>0.39554919999999999</v>
      </c>
      <c r="X1277">
        <v>0.90183590000000002</v>
      </c>
      <c r="Y1277">
        <v>0.27576390000000001</v>
      </c>
      <c r="Z1277">
        <v>0.12116399999999999</v>
      </c>
      <c r="AA1277">
        <v>0.95355840000000003</v>
      </c>
      <c r="AB1277">
        <v>22</v>
      </c>
      <c r="AC1277">
        <v>-5.6349000000000098</v>
      </c>
      <c r="AD1277">
        <v>-1.1037484375489901</v>
      </c>
      <c r="AE1277">
        <v>-2.1205999999999601</v>
      </c>
      <c r="AF1277">
        <v>1.7247113136138501</v>
      </c>
      <c r="AG1277">
        <v>-1.1037484375489901</v>
      </c>
      <c r="AH1277">
        <v>5.5637613498290497</v>
      </c>
      <c r="AI1277">
        <v>100.72955494741301</v>
      </c>
      <c r="AJ1277">
        <v>72.777077770698696</v>
      </c>
      <c r="AK1277">
        <v>5.9286027094544798</v>
      </c>
      <c r="AL1277">
        <v>66.699771347683907</v>
      </c>
      <c r="AM1277">
        <v>79.087124868820297</v>
      </c>
      <c r="AN1277">
        <v>1.0000000813132</v>
      </c>
    </row>
    <row r="1278" spans="1:40" x14ac:dyDescent="0.25">
      <c r="A1278" t="str">
        <f>"20190304164621505"</f>
        <v>20190304164621505</v>
      </c>
      <c r="B1278" t="str">
        <f>"1551689181499597"</f>
        <v>1551689181499597</v>
      </c>
      <c r="C1278" t="s">
        <v>40</v>
      </c>
      <c r="D1278">
        <v>5.2065159999999997</v>
      </c>
      <c r="E1278">
        <v>0.56961660000000003</v>
      </c>
      <c r="F1278" t="s">
        <v>45</v>
      </c>
      <c r="G1278">
        <v>-207.7004</v>
      </c>
      <c r="H1278" s="1">
        <v>5.6921110000000002E-6</v>
      </c>
      <c r="I1278">
        <v>283.92660000000001</v>
      </c>
      <c r="J1278">
        <v>-201.9683</v>
      </c>
      <c r="K1278">
        <v>1.103607</v>
      </c>
      <c r="L1278">
        <v>286.00569999999999</v>
      </c>
      <c r="M1278">
        <v>-0.79658779999999996</v>
      </c>
      <c r="N1278">
        <v>-1.10788E-2</v>
      </c>
      <c r="O1278">
        <v>-0.60442149999999994</v>
      </c>
      <c r="P1278">
        <v>-0.82228310000000004</v>
      </c>
      <c r="Q1278">
        <v>0.38909949999999999</v>
      </c>
      <c r="R1278">
        <v>-0.41527380000000003</v>
      </c>
      <c r="S1278">
        <v>-3.320465</v>
      </c>
      <c r="T1278">
        <v>-0.61999510000000002</v>
      </c>
      <c r="U1278">
        <v>-1.236969</v>
      </c>
      <c r="V1278">
        <v>0.17329700000000001</v>
      </c>
      <c r="W1278">
        <v>0.39609</v>
      </c>
      <c r="X1278">
        <v>0.90171000000000001</v>
      </c>
      <c r="Y1278">
        <v>0.27744220000000003</v>
      </c>
      <c r="Z1278">
        <v>0.1189183</v>
      </c>
      <c r="AA1278">
        <v>0.95335420000000004</v>
      </c>
      <c r="AB1278">
        <v>22</v>
      </c>
      <c r="AC1278">
        <v>-5.7321</v>
      </c>
      <c r="AD1278">
        <v>-1.1036013078889999</v>
      </c>
      <c r="AE1278">
        <v>-2.07909999999998</v>
      </c>
      <c r="AF1278">
        <v>1.75116466878083</v>
      </c>
      <c r="AG1278">
        <v>-1.1036013078889999</v>
      </c>
      <c r="AH1278">
        <v>5.6384260145550602</v>
      </c>
      <c r="AI1278">
        <v>100.58760973336599</v>
      </c>
      <c r="AJ1278">
        <v>72.746414670354</v>
      </c>
      <c r="AK1278">
        <v>6.0063600845746699</v>
      </c>
      <c r="AL1278">
        <v>66.666028847310201</v>
      </c>
      <c r="AM1278">
        <v>79.121137945970901</v>
      </c>
      <c r="AN1278">
        <v>1.0000000312044901</v>
      </c>
    </row>
    <row r="1279" spans="1:40" x14ac:dyDescent="0.25">
      <c r="A1279" t="str">
        <f>"20190304164621551"</f>
        <v>20190304164621551</v>
      </c>
      <c r="B1279" t="str">
        <f>"1551689181539613"</f>
        <v>1551689181539613</v>
      </c>
      <c r="C1279" t="s">
        <v>40</v>
      </c>
      <c r="D1279">
        <v>5.1346339999999904</v>
      </c>
      <c r="E1279">
        <v>0.56970010000000004</v>
      </c>
      <c r="F1279" t="s">
        <v>45</v>
      </c>
      <c r="G1279">
        <v>-207.9614</v>
      </c>
      <c r="H1279" s="1">
        <v>5.8138670000000001E-6</v>
      </c>
      <c r="I1279">
        <v>283.85770000000002</v>
      </c>
      <c r="J1279">
        <v>-202.3631</v>
      </c>
      <c r="K1279">
        <v>1.103261</v>
      </c>
      <c r="L1279">
        <v>285.74560000000002</v>
      </c>
      <c r="M1279">
        <v>-0.81175079999999999</v>
      </c>
      <c r="N1279">
        <v>-1.1048570000000001E-2</v>
      </c>
      <c r="O1279">
        <v>-0.58389979999999997</v>
      </c>
      <c r="P1279">
        <v>-0.83326180000000005</v>
      </c>
      <c r="Q1279">
        <v>0.39048100000000002</v>
      </c>
      <c r="R1279">
        <v>-0.39140750000000002</v>
      </c>
      <c r="S1279">
        <v>-3.3352970000000002</v>
      </c>
      <c r="T1279">
        <v>-0.61417460000000001</v>
      </c>
      <c r="U1279">
        <v>-1.1954039999999999</v>
      </c>
      <c r="V1279">
        <v>0.17625339999999901</v>
      </c>
      <c r="W1279">
        <v>0.39724330000000002</v>
      </c>
      <c r="X1279">
        <v>0.90062900000000001</v>
      </c>
      <c r="Y1279">
        <v>0.2654012</v>
      </c>
      <c r="Z1279">
        <v>0.1139587</v>
      </c>
      <c r="AA1279">
        <v>0.9573796</v>
      </c>
      <c r="AB1279">
        <v>22</v>
      </c>
      <c r="AC1279">
        <v>-5.5982999999999903</v>
      </c>
      <c r="AD1279">
        <v>-1.103255186133</v>
      </c>
      <c r="AE1279">
        <v>-1.8878999999999999</v>
      </c>
      <c r="AF1279">
        <v>1.6779364549076801</v>
      </c>
      <c r="AG1279">
        <v>-1.103255186133</v>
      </c>
      <c r="AH1279">
        <v>5.4568281559604204</v>
      </c>
      <c r="AI1279">
        <v>100.937533797385</v>
      </c>
      <c r="AJ1279">
        <v>72.907703523727506</v>
      </c>
      <c r="AK1279">
        <v>5.8146037075728501</v>
      </c>
      <c r="AL1279">
        <v>66.594044613133207</v>
      </c>
      <c r="AM1279">
        <v>78.927139571822707</v>
      </c>
      <c r="AN1279">
        <v>1.0000000480237199</v>
      </c>
    </row>
    <row r="1280" spans="1:40" x14ac:dyDescent="0.25">
      <c r="A1280" t="str">
        <f>"20190304164621575"</f>
        <v>20190304164621575</v>
      </c>
      <c r="B1280" t="str">
        <f>"1551689181568893"</f>
        <v>1551689181568893</v>
      </c>
      <c r="C1280" t="s">
        <v>40</v>
      </c>
      <c r="D1280">
        <v>4.9148719999999999</v>
      </c>
      <c r="E1280">
        <v>0.56958059999999999</v>
      </c>
      <c r="F1280" t="s">
        <v>45</v>
      </c>
      <c r="G1280">
        <v>-208.50640000000001</v>
      </c>
      <c r="H1280" s="1">
        <v>6.0664790000000003E-6</v>
      </c>
      <c r="I1280">
        <v>283.73289999999997</v>
      </c>
      <c r="J1280">
        <v>-202.57759999999999</v>
      </c>
      <c r="K1280">
        <v>1.1030799999999901</v>
      </c>
      <c r="L1280">
        <v>285.61070000000001</v>
      </c>
      <c r="M1280">
        <v>-0.81984259999999998</v>
      </c>
      <c r="N1280">
        <v>-1.103024E-2</v>
      </c>
      <c r="O1280">
        <v>-0.57248250000000001</v>
      </c>
      <c r="P1280">
        <v>-0.83936789999999994</v>
      </c>
      <c r="Q1280">
        <v>0.38942349999999998</v>
      </c>
      <c r="R1280">
        <v>-0.37922420000000001</v>
      </c>
      <c r="S1280">
        <v>-3.3656160000000002</v>
      </c>
      <c r="T1280">
        <v>-0.604419699999999</v>
      </c>
      <c r="U1280">
        <v>-1.1026609999999999</v>
      </c>
      <c r="V1280">
        <v>0.17719989999999999</v>
      </c>
      <c r="W1280">
        <v>0.39608510000000002</v>
      </c>
      <c r="X1280">
        <v>0.90095329999999996</v>
      </c>
      <c r="Y1280">
        <v>0.27856829999999999</v>
      </c>
      <c r="Z1280">
        <v>0.1115908</v>
      </c>
      <c r="AA1280">
        <v>0.95391150000000002</v>
      </c>
      <c r="AB1280">
        <v>22</v>
      </c>
      <c r="AC1280">
        <v>-5.9288000000000203</v>
      </c>
      <c r="AD1280">
        <v>-1.10307393352099</v>
      </c>
      <c r="AE1280">
        <v>-1.8778000000000299</v>
      </c>
      <c r="AF1280">
        <v>1.79817624049986</v>
      </c>
      <c r="AG1280">
        <v>-1.10307393352099</v>
      </c>
      <c r="AH1280">
        <v>5.7549999694796599</v>
      </c>
      <c r="AI1280">
        <v>100.367591262311</v>
      </c>
      <c r="AJ1280">
        <v>72.648344951518894</v>
      </c>
      <c r="AK1280">
        <v>6.1294563008004701</v>
      </c>
      <c r="AL1280">
        <v>66.666334571132097</v>
      </c>
      <c r="AM1280">
        <v>78.873064720129804</v>
      </c>
      <c r="AN1280">
        <v>1.00000002989145</v>
      </c>
    </row>
    <row r="1281" spans="1:40" x14ac:dyDescent="0.25">
      <c r="A1281" t="str">
        <f>"20190304164621618"</f>
        <v>20190304164621618</v>
      </c>
      <c r="B1281" t="str">
        <f>"1551689181608909"</f>
        <v>1551689181608909</v>
      </c>
      <c r="C1281" t="s">
        <v>40</v>
      </c>
      <c r="D1281">
        <v>5.4259659999999998</v>
      </c>
      <c r="E1281">
        <v>0.56918760000000002</v>
      </c>
      <c r="F1281" t="s">
        <v>45</v>
      </c>
      <c r="G1281">
        <v>-208.71950000000001</v>
      </c>
      <c r="H1281" s="1">
        <v>6.163778E-6</v>
      </c>
      <c r="I1281">
        <v>283.7004</v>
      </c>
      <c r="J1281">
        <v>-202.95419999999999</v>
      </c>
      <c r="K1281">
        <v>1.102776</v>
      </c>
      <c r="L1281">
        <v>285.38479999999998</v>
      </c>
      <c r="M1281">
        <v>-0.83382269999999903</v>
      </c>
      <c r="N1281">
        <v>-1.099848E-2</v>
      </c>
      <c r="O1281">
        <v>-0.55192269999999999</v>
      </c>
      <c r="P1281">
        <v>-0.84854580000000002</v>
      </c>
      <c r="Q1281">
        <v>0.38796039999999998</v>
      </c>
      <c r="R1281">
        <v>-0.35980079999999998</v>
      </c>
      <c r="S1281">
        <v>-3.3807369999999999</v>
      </c>
      <c r="T1281">
        <v>-0.60717390000000004</v>
      </c>
      <c r="U1281">
        <v>-1.0514829999999999</v>
      </c>
      <c r="V1281">
        <v>0.17614440000000001</v>
      </c>
      <c r="W1281">
        <v>0.394507</v>
      </c>
      <c r="X1281">
        <v>0.90185219999999999</v>
      </c>
      <c r="Y1281">
        <v>0.26932699999999998</v>
      </c>
      <c r="Z1281">
        <v>0.1085286</v>
      </c>
      <c r="AA1281">
        <v>0.95691409999999999</v>
      </c>
      <c r="AB1281">
        <v>23</v>
      </c>
      <c r="AC1281">
        <v>-5.7653000000000203</v>
      </c>
      <c r="AD1281">
        <v>-1.102769836222</v>
      </c>
      <c r="AE1281">
        <v>-1.6843999999999799</v>
      </c>
      <c r="AF1281">
        <v>1.7196480374880101</v>
      </c>
      <c r="AG1281">
        <v>-1.102769836222</v>
      </c>
      <c r="AH1281">
        <v>5.5501508396643899</v>
      </c>
      <c r="AI1281">
        <v>100.746391511231</v>
      </c>
      <c r="AJ1281">
        <v>72.785028542927606</v>
      </c>
      <c r="AK1281">
        <v>5.9141749236512098</v>
      </c>
      <c r="AL1281">
        <v>66.764769700160301</v>
      </c>
      <c r="AM1281">
        <v>78.948457775996502</v>
      </c>
      <c r="AN1281">
        <v>1.0000000066726</v>
      </c>
    </row>
    <row r="1282" spans="1:40" x14ac:dyDescent="0.25">
      <c r="A1282" t="str">
        <f>"20190304164621639"</f>
        <v>20190304164621639</v>
      </c>
      <c r="B1282" t="str">
        <f>"1551689181629404"</f>
        <v>1551689181629404</v>
      </c>
      <c r="C1282" t="s">
        <v>40</v>
      </c>
      <c r="D1282">
        <v>5.0965280000000002</v>
      </c>
      <c r="E1282">
        <v>0.56898800000000005</v>
      </c>
      <c r="F1282" t="s">
        <v>45</v>
      </c>
      <c r="G1282">
        <v>-209.0872</v>
      </c>
      <c r="H1282" s="1">
        <v>6.3317499999999898E-6</v>
      </c>
      <c r="I1282">
        <v>283.64460000000003</v>
      </c>
      <c r="J1282">
        <v>-203.1499</v>
      </c>
      <c r="K1282">
        <v>1.102635</v>
      </c>
      <c r="L1282">
        <v>285.27269999999999</v>
      </c>
      <c r="M1282">
        <v>-0.84094570000000002</v>
      </c>
      <c r="N1282">
        <v>-1.0988380000000001E-2</v>
      </c>
      <c r="O1282">
        <v>-0.54100809999999999</v>
      </c>
      <c r="P1282">
        <v>-0.85268699999999997</v>
      </c>
      <c r="Q1282">
        <v>0.38866139999999999</v>
      </c>
      <c r="R1282">
        <v>-0.34909580000000001</v>
      </c>
      <c r="S1282">
        <v>-3.4056700000000002</v>
      </c>
      <c r="T1282">
        <v>-0.61236930000000001</v>
      </c>
      <c r="U1282">
        <v>-0.96633910000000001</v>
      </c>
      <c r="V1282">
        <v>0.17570769999999999</v>
      </c>
      <c r="W1282">
        <v>0.3951501</v>
      </c>
      <c r="X1282">
        <v>0.90165580000000001</v>
      </c>
      <c r="Y1282">
        <v>0.28055229999999998</v>
      </c>
      <c r="Z1282">
        <v>0.10885309999999999</v>
      </c>
      <c r="AA1282">
        <v>0.95364640000000001</v>
      </c>
      <c r="AB1282">
        <v>23</v>
      </c>
      <c r="AC1282">
        <v>-5.9372999999999898</v>
      </c>
      <c r="AD1282">
        <v>-1.1026286682499999</v>
      </c>
      <c r="AE1282">
        <v>-1.6280999999999599</v>
      </c>
      <c r="AF1282">
        <v>1.78581134693646</v>
      </c>
      <c r="AG1282">
        <v>-1.1026286682499999</v>
      </c>
      <c r="AH1282">
        <v>5.6915485382119302</v>
      </c>
      <c r="AI1282">
        <v>100.472659863039</v>
      </c>
      <c r="AJ1282">
        <v>72.579944317968796</v>
      </c>
      <c r="AK1282">
        <v>6.06618800481127</v>
      </c>
      <c r="AL1282">
        <v>66.7246640002313</v>
      </c>
      <c r="AM1282">
        <v>78.972842233605107</v>
      </c>
      <c r="AN1282">
        <v>0.99999998952146996</v>
      </c>
    </row>
    <row r="1283" spans="1:40" x14ac:dyDescent="0.25">
      <c r="A1283" t="str">
        <f>"20190304164621661"</f>
        <v>20190304164621661</v>
      </c>
      <c r="B1283" t="str">
        <f>"1551689181648924"</f>
        <v>1551689181648924</v>
      </c>
      <c r="C1283" t="s">
        <v>40</v>
      </c>
      <c r="D1283">
        <v>4.9828729999999997</v>
      </c>
      <c r="E1283">
        <v>0.56893169999999904</v>
      </c>
      <c r="F1283" t="s">
        <v>45</v>
      </c>
      <c r="G1283">
        <v>-209.33680000000001</v>
      </c>
      <c r="H1283" s="1">
        <v>6.4458430000000003E-6</v>
      </c>
      <c r="I1283">
        <v>283.60559999999998</v>
      </c>
      <c r="J1283">
        <v>-203.34819999999999</v>
      </c>
      <c r="K1283">
        <v>1.1024989999999999</v>
      </c>
      <c r="L1283">
        <v>285.1628</v>
      </c>
      <c r="M1283">
        <v>-0.8480453</v>
      </c>
      <c r="N1283">
        <v>-1.098204E-2</v>
      </c>
      <c r="O1283">
        <v>-0.5298098</v>
      </c>
      <c r="P1283">
        <v>-0.85740400000000005</v>
      </c>
      <c r="Q1283">
        <v>0.38818999999999998</v>
      </c>
      <c r="R1283">
        <v>-0.33788610000000002</v>
      </c>
      <c r="S1283">
        <v>-3.4188390000000002</v>
      </c>
      <c r="T1283">
        <v>-0.60930680000000004</v>
      </c>
      <c r="U1283">
        <v>-0.92123409999999994</v>
      </c>
      <c r="V1283">
        <v>0.1758024</v>
      </c>
      <c r="W1283">
        <v>0.39461960000000001</v>
      </c>
      <c r="X1283">
        <v>0.9018697</v>
      </c>
      <c r="Y1283">
        <v>0.28073749999999997</v>
      </c>
      <c r="Z1283">
        <v>0.10669729999999999</v>
      </c>
      <c r="AA1283">
        <v>0.95383549999999995</v>
      </c>
      <c r="AB1283">
        <v>23</v>
      </c>
      <c r="AC1283">
        <v>-5.9886000000000204</v>
      </c>
      <c r="AD1283">
        <v>-1.1024925541570001</v>
      </c>
      <c r="AE1283">
        <v>-1.5572000000000199</v>
      </c>
      <c r="AF1283">
        <v>1.7953595262707001</v>
      </c>
      <c r="AG1283">
        <v>-1.1024925541570001</v>
      </c>
      <c r="AH1283">
        <v>5.7223206701777896</v>
      </c>
      <c r="AI1283">
        <v>100.41637531352499</v>
      </c>
      <c r="AJ1283">
        <v>72.580920140980496</v>
      </c>
      <c r="AK1283">
        <v>6.0978487610703</v>
      </c>
      <c r="AL1283">
        <v>66.757749238266996</v>
      </c>
      <c r="AM1283">
        <v>78.969597337635804</v>
      </c>
      <c r="AN1283">
        <v>1.0000000341640001</v>
      </c>
    </row>
    <row r="1284" spans="1:40" x14ac:dyDescent="0.25">
      <c r="A1284" t="str">
        <f>"20190304164621684"</f>
        <v>20190304164621684</v>
      </c>
      <c r="B1284" t="str">
        <f>"1551689181679180"</f>
        <v>1551689181679180</v>
      </c>
      <c r="C1284" t="s">
        <v>40</v>
      </c>
      <c r="D1284">
        <v>5.1741640000000002</v>
      </c>
      <c r="E1284">
        <v>0.56875929999999997</v>
      </c>
      <c r="F1284" t="s">
        <v>45</v>
      </c>
      <c r="G1284">
        <v>-209.5472</v>
      </c>
      <c r="H1284" s="1">
        <v>6.5416869999999998E-6</v>
      </c>
      <c r="I1284">
        <v>283.57659999999998</v>
      </c>
      <c r="J1284">
        <v>-203.55940000000001</v>
      </c>
      <c r="K1284">
        <v>1.102344</v>
      </c>
      <c r="L1284">
        <v>285.04969999999997</v>
      </c>
      <c r="M1284">
        <v>-0.85550000000000004</v>
      </c>
      <c r="N1284">
        <v>-1.0976049999999999E-2</v>
      </c>
      <c r="O1284">
        <v>-0.51768670000000006</v>
      </c>
      <c r="P1284">
        <v>-0.86303149999999995</v>
      </c>
      <c r="Q1284">
        <v>0.38689079999999998</v>
      </c>
      <c r="R1284">
        <v>-0.32479639999999999</v>
      </c>
      <c r="S1284">
        <v>-3.4292600000000002</v>
      </c>
      <c r="T1284">
        <v>-0.60988589999999998</v>
      </c>
      <c r="U1284">
        <v>-0.87747189999999997</v>
      </c>
      <c r="V1284">
        <v>0.17711879999999999</v>
      </c>
      <c r="W1284">
        <v>0.39322940000000001</v>
      </c>
      <c r="X1284">
        <v>0.9022192</v>
      </c>
      <c r="Y1284">
        <v>0.27934940000000003</v>
      </c>
      <c r="Z1284">
        <v>0.1049852</v>
      </c>
      <c r="AA1284">
        <v>0.95443279999999997</v>
      </c>
      <c r="AB1284">
        <v>23</v>
      </c>
      <c r="AC1284">
        <v>-5.9877999999999902</v>
      </c>
      <c r="AD1284">
        <v>-1.1023374583129999</v>
      </c>
      <c r="AE1284">
        <v>-1.4730999999999801</v>
      </c>
      <c r="AF1284">
        <v>1.78270696233062</v>
      </c>
      <c r="AG1284">
        <v>-1.1023374583129999</v>
      </c>
      <c r="AH1284">
        <v>5.7032586359698501</v>
      </c>
      <c r="AI1284">
        <v>100.45239633580201</v>
      </c>
      <c r="AJ1284">
        <v>72.641960872282496</v>
      </c>
      <c r="AK1284">
        <v>6.0762119000497998</v>
      </c>
      <c r="AL1284">
        <v>66.844407020444194</v>
      </c>
      <c r="AM1284">
        <v>78.893247167130994</v>
      </c>
      <c r="AN1284">
        <v>0.99999995759321902</v>
      </c>
    </row>
    <row r="1285" spans="1:40" x14ac:dyDescent="0.25">
      <c r="A1285" t="str">
        <f>"20190304164621705"</f>
        <v>20190304164621705</v>
      </c>
      <c r="B1285" t="str">
        <f>"1551689181699677"</f>
        <v>1551689181699677</v>
      </c>
      <c r="C1285" t="s">
        <v>40</v>
      </c>
      <c r="D1285">
        <v>5.0689890000000002</v>
      </c>
      <c r="E1285">
        <v>0.5686542</v>
      </c>
      <c r="F1285" t="s">
        <v>45</v>
      </c>
      <c r="G1285">
        <v>-209.71379999999999</v>
      </c>
      <c r="H1285" s="1">
        <v>6.6164440000000002E-6</v>
      </c>
      <c r="I1285">
        <v>283.56650000000002</v>
      </c>
      <c r="J1285">
        <v>-203.7533</v>
      </c>
      <c r="K1285">
        <v>1.102182</v>
      </c>
      <c r="L1285">
        <v>284.94940000000003</v>
      </c>
      <c r="M1285">
        <v>-0.86224069999999997</v>
      </c>
      <c r="N1285">
        <v>-1.097163E-2</v>
      </c>
      <c r="O1285">
        <v>-0.50637989999999999</v>
      </c>
      <c r="P1285">
        <v>-0.86747260000000004</v>
      </c>
      <c r="Q1285">
        <v>0.38651429999999998</v>
      </c>
      <c r="R1285">
        <v>-0.3132064</v>
      </c>
      <c r="S1285">
        <v>-3.4403229999999998</v>
      </c>
      <c r="T1285">
        <v>-0.61620469999999905</v>
      </c>
      <c r="U1285">
        <v>-0.829070999999999</v>
      </c>
      <c r="V1285">
        <v>0.17755170000000001</v>
      </c>
      <c r="W1285">
        <v>0.39277820000000002</v>
      </c>
      <c r="X1285">
        <v>0.90233070000000004</v>
      </c>
      <c r="Y1285">
        <v>0.28001930000000003</v>
      </c>
      <c r="Z1285">
        <v>0.10454289999999899</v>
      </c>
      <c r="AA1285">
        <v>0.9542851</v>
      </c>
      <c r="AB1285">
        <v>23</v>
      </c>
      <c r="AC1285">
        <v>-5.9604999999999899</v>
      </c>
      <c r="AD1285">
        <v>-1.102175383556</v>
      </c>
      <c r="AE1285">
        <v>-1.3829</v>
      </c>
      <c r="AF1285">
        <v>1.7686096977696499</v>
      </c>
      <c r="AG1285">
        <v>-1.102175383556</v>
      </c>
      <c r="AH1285">
        <v>5.6564778749767299</v>
      </c>
      <c r="AI1285">
        <v>100.535125564157</v>
      </c>
      <c r="AJ1285">
        <v>72.637113520062897</v>
      </c>
      <c r="AK1285">
        <v>6.0281433948822896</v>
      </c>
      <c r="AL1285">
        <v>66.872522212319097</v>
      </c>
      <c r="AM1285">
        <v>78.868119633947103</v>
      </c>
      <c r="AN1285">
        <v>1.0000000063653001</v>
      </c>
    </row>
    <row r="1286" spans="1:40" x14ac:dyDescent="0.25">
      <c r="A1286" t="str">
        <f>"20190304164621727"</f>
        <v>20190304164621727</v>
      </c>
      <c r="B1286" t="str">
        <f>"1551689181719197"</f>
        <v>1551689181719197</v>
      </c>
      <c r="C1286" t="s">
        <v>40</v>
      </c>
      <c r="D1286">
        <v>5.1830660000000002</v>
      </c>
      <c r="E1286">
        <v>0.56858339999999996</v>
      </c>
      <c r="F1286" t="s">
        <v>45</v>
      </c>
      <c r="G1286">
        <v>-209.91470000000001</v>
      </c>
      <c r="H1286" s="1">
        <v>6.706588E-6</v>
      </c>
      <c r="I1286">
        <v>283.55419999999998</v>
      </c>
      <c r="J1286">
        <v>-203.965</v>
      </c>
      <c r="K1286">
        <v>1.1019920000000001</v>
      </c>
      <c r="L1286">
        <v>284.84370000000001</v>
      </c>
      <c r="M1286">
        <v>-0.86947999999999903</v>
      </c>
      <c r="N1286">
        <v>-1.097213E-2</v>
      </c>
      <c r="O1286">
        <v>-0.49384670000000003</v>
      </c>
      <c r="P1286">
        <v>-0.87196659999999904</v>
      </c>
      <c r="Q1286">
        <v>0.3865673</v>
      </c>
      <c r="R1286">
        <v>-0.30040029999999901</v>
      </c>
      <c r="S1286">
        <v>-3.4512480000000001</v>
      </c>
      <c r="T1286">
        <v>-0.61736990000000003</v>
      </c>
      <c r="U1286">
        <v>-0.78146359999999904</v>
      </c>
      <c r="V1286">
        <v>0.1779345</v>
      </c>
      <c r="W1286">
        <v>0.39275009999999999</v>
      </c>
      <c r="X1286">
        <v>0.9022675</v>
      </c>
      <c r="Y1286">
        <v>0.2794372</v>
      </c>
      <c r="Z1286">
        <v>0.1028694</v>
      </c>
      <c r="AA1286">
        <v>0.95463750000000003</v>
      </c>
      <c r="AB1286">
        <v>23</v>
      </c>
      <c r="AC1286">
        <v>-5.9497</v>
      </c>
      <c r="AD1286">
        <v>-1.101985293412</v>
      </c>
      <c r="AE1286">
        <v>-1.2895000000000301</v>
      </c>
      <c r="AF1286">
        <v>1.75950209399181</v>
      </c>
      <c r="AG1286">
        <v>-1.101985293412</v>
      </c>
      <c r="AH1286">
        <v>5.6259675521819403</v>
      </c>
      <c r="AI1286">
        <v>100.588957953936</v>
      </c>
      <c r="AJ1286">
        <v>72.633105372085296</v>
      </c>
      <c r="AK1286">
        <v>5.9968099939769601</v>
      </c>
      <c r="AL1286">
        <v>66.874272374922597</v>
      </c>
      <c r="AM1286">
        <v>78.843958920557199</v>
      </c>
      <c r="AN1286">
        <v>0.999999984448254</v>
      </c>
    </row>
    <row r="1287" spans="1:40" x14ac:dyDescent="0.25">
      <c r="A1287" t="str">
        <f>"20190304164621749"</f>
        <v>20190304164621749</v>
      </c>
      <c r="B1287" t="str">
        <f>"1551689181739693"</f>
        <v>1551689181739693</v>
      </c>
      <c r="C1287" t="s">
        <v>40</v>
      </c>
      <c r="D1287">
        <v>5.3438509999999999</v>
      </c>
      <c r="E1287">
        <v>0.56859079999999995</v>
      </c>
      <c r="F1287" t="s">
        <v>49</v>
      </c>
      <c r="G1287">
        <v>-210.13749999999999</v>
      </c>
      <c r="H1287" s="1">
        <v>-1.463638E-6</v>
      </c>
      <c r="I1287">
        <v>283.54289999999997</v>
      </c>
      <c r="J1287">
        <v>-204.17269999999999</v>
      </c>
      <c r="K1287">
        <v>1.1018110000000001</v>
      </c>
      <c r="L1287">
        <v>284.74380000000002</v>
      </c>
      <c r="M1287">
        <v>-0.87645219999999902</v>
      </c>
      <c r="N1287">
        <v>-1.097831E-2</v>
      </c>
      <c r="O1287">
        <v>-0.4813636</v>
      </c>
      <c r="P1287">
        <v>-0.87664189999999997</v>
      </c>
      <c r="Q1287">
        <v>0.3870422</v>
      </c>
      <c r="R1287">
        <v>-0.28582800000000003</v>
      </c>
      <c r="S1287">
        <v>-3.4631959999999999</v>
      </c>
      <c r="T1287">
        <v>-0.61829230000000002</v>
      </c>
      <c r="U1287">
        <v>-0.72982789999999997</v>
      </c>
      <c r="V1287">
        <v>0.1801499</v>
      </c>
      <c r="W1287">
        <v>0.3931057</v>
      </c>
      <c r="X1287">
        <v>0.90167280000000005</v>
      </c>
      <c r="Y1287">
        <v>0.28014129999999998</v>
      </c>
      <c r="Z1287">
        <v>0.1012318</v>
      </c>
      <c r="AA1287">
        <v>0.95460619999999996</v>
      </c>
      <c r="AB1287">
        <v>23</v>
      </c>
      <c r="AC1287">
        <v>-5.9647999999999897</v>
      </c>
      <c r="AD1287">
        <v>-1.101812463638</v>
      </c>
      <c r="AE1287">
        <v>-1.20090000000004</v>
      </c>
      <c r="AF1287">
        <v>1.76106703674732</v>
      </c>
      <c r="AG1287">
        <v>-1.101812463638</v>
      </c>
      <c r="AH1287">
        <v>5.6219278670583499</v>
      </c>
      <c r="AI1287">
        <v>100.59328526641499</v>
      </c>
      <c r="AJ1287">
        <v>72.606852342427501</v>
      </c>
      <c r="AK1287">
        <v>5.9934481523871801</v>
      </c>
      <c r="AL1287">
        <v>66.852115290349005</v>
      </c>
      <c r="AM1287">
        <v>78.701350673191996</v>
      </c>
      <c r="AN1287">
        <v>0.99999995805116904</v>
      </c>
    </row>
    <row r="1288" spans="1:40" x14ac:dyDescent="0.25">
      <c r="A1288" t="str">
        <f>"20190304164621775"</f>
        <v>20190304164621775</v>
      </c>
      <c r="B1288" t="str">
        <f>"1551689181768973"</f>
        <v>1551689181768973</v>
      </c>
      <c r="C1288" t="s">
        <v>40</v>
      </c>
      <c r="D1288">
        <v>5.0820019999999904</v>
      </c>
      <c r="E1288">
        <v>0.56895850000000003</v>
      </c>
      <c r="F1288" t="s">
        <v>49</v>
      </c>
      <c r="G1288">
        <v>-210.3665</v>
      </c>
      <c r="H1288" s="1">
        <v>-1.3417340000000001E-6</v>
      </c>
      <c r="I1288">
        <v>283.53559999999999</v>
      </c>
      <c r="J1288">
        <v>-204.41550000000001</v>
      </c>
      <c r="K1288">
        <v>1.1016159999999999</v>
      </c>
      <c r="L1288">
        <v>284.63189999999997</v>
      </c>
      <c r="M1288">
        <v>-0.88441360000000002</v>
      </c>
      <c r="N1288">
        <v>-1.098857E-2</v>
      </c>
      <c r="O1288">
        <v>-0.46657409999999999</v>
      </c>
      <c r="P1288">
        <v>-0.88194079999999997</v>
      </c>
      <c r="Q1288">
        <v>0.3869862</v>
      </c>
      <c r="R1288">
        <v>-0.2691132</v>
      </c>
      <c r="S1288">
        <v>-3.4740600000000001</v>
      </c>
      <c r="T1288">
        <v>-0.61799749999999998</v>
      </c>
      <c r="U1288">
        <v>-0.67764279999999999</v>
      </c>
      <c r="V1288">
        <v>0.182337</v>
      </c>
      <c r="W1288">
        <v>0.39293030000000001</v>
      </c>
      <c r="X1288">
        <v>0.90130960000000004</v>
      </c>
      <c r="Y1288">
        <v>0.27863470000000001</v>
      </c>
      <c r="Z1288">
        <v>9.8860149999999994E-2</v>
      </c>
      <c r="AA1288">
        <v>0.95529540000000002</v>
      </c>
      <c r="AB1288">
        <v>23</v>
      </c>
      <c r="AC1288">
        <v>-5.9509999999999899</v>
      </c>
      <c r="AD1288">
        <v>-1.1016173417339901</v>
      </c>
      <c r="AE1288">
        <v>-1.0962999999999801</v>
      </c>
      <c r="AF1288">
        <v>1.7491382519738401</v>
      </c>
      <c r="AG1288">
        <v>-1.1016173417339901</v>
      </c>
      <c r="AH1288">
        <v>5.5897415677455902</v>
      </c>
      <c r="AI1288">
        <v>100.652027179974</v>
      </c>
      <c r="AJ1288">
        <v>72.624089054944406</v>
      </c>
      <c r="AK1288">
        <v>5.9597194721152897</v>
      </c>
      <c r="AL1288">
        <v>66.863045423662697</v>
      </c>
      <c r="AM1288">
        <v>78.563285644886804</v>
      </c>
      <c r="AN1288">
        <v>0.99999999863962497</v>
      </c>
    </row>
    <row r="1289" spans="1:40" x14ac:dyDescent="0.25">
      <c r="A1289" t="str">
        <f>"20190304164621796"</f>
        <v>20190304164621796</v>
      </c>
      <c r="B1289" t="str">
        <f>"1551689181789469"</f>
        <v>1551689181789469</v>
      </c>
      <c r="C1289" t="s">
        <v>40</v>
      </c>
      <c r="D1289">
        <v>5.0947310000000003</v>
      </c>
      <c r="E1289">
        <v>0.56925619999999999</v>
      </c>
      <c r="F1289" t="s">
        <v>49</v>
      </c>
      <c r="G1289">
        <v>-210.65010000000001</v>
      </c>
      <c r="H1289" s="1">
        <v>-1.1908469999999999E-6</v>
      </c>
      <c r="I1289">
        <v>283.53359999999998</v>
      </c>
      <c r="J1289">
        <v>-204.6225</v>
      </c>
      <c r="K1289">
        <v>1.1014870000000001</v>
      </c>
      <c r="L1289">
        <v>284.54079999999999</v>
      </c>
      <c r="M1289">
        <v>-0.89103299999999996</v>
      </c>
      <c r="N1289">
        <v>-1.0998300000000001E-2</v>
      </c>
      <c r="O1289">
        <v>-0.45380520000000002</v>
      </c>
      <c r="P1289">
        <v>-0.88606180000000001</v>
      </c>
      <c r="Q1289">
        <v>0.38642219999999999</v>
      </c>
      <c r="R1289">
        <v>-0.25607089999999999</v>
      </c>
      <c r="S1289">
        <v>-3.484451</v>
      </c>
      <c r="T1289">
        <v>-0.61568610000000001</v>
      </c>
      <c r="U1289">
        <v>-0.61380000000000001</v>
      </c>
      <c r="V1289">
        <v>0.18289730000000001</v>
      </c>
      <c r="W1289">
        <v>0.39230930000000003</v>
      </c>
      <c r="X1289">
        <v>0.90146649999999995</v>
      </c>
      <c r="Y1289">
        <v>0.28246769999999999</v>
      </c>
      <c r="Z1289">
        <v>9.6971870000000002E-2</v>
      </c>
      <c r="AA1289">
        <v>0.95436290000000001</v>
      </c>
      <c r="AB1289">
        <v>23</v>
      </c>
      <c r="AC1289">
        <v>-6.0275999999999996</v>
      </c>
      <c r="AD1289">
        <v>-1.101488190847</v>
      </c>
      <c r="AE1289">
        <v>-1.0072000000000101</v>
      </c>
      <c r="AF1289">
        <v>1.78018596165443</v>
      </c>
      <c r="AG1289">
        <v>-1.101488190847</v>
      </c>
      <c r="AH1289">
        <v>5.6448316782876304</v>
      </c>
      <c r="AI1289">
        <v>100.54199515112499</v>
      </c>
      <c r="AJ1289">
        <v>72.496516067288397</v>
      </c>
      <c r="AK1289">
        <v>6.0205035477812396</v>
      </c>
      <c r="AL1289">
        <v>66.901730975467501</v>
      </c>
      <c r="AM1289">
        <v>78.5310158025341</v>
      </c>
      <c r="AN1289">
        <v>0.99999992991801201</v>
      </c>
    </row>
    <row r="1290" spans="1:40" x14ac:dyDescent="0.25">
      <c r="A1290" t="str">
        <f>"20190304164621816"</f>
        <v>20190304164621816</v>
      </c>
      <c r="B1290" t="str">
        <f>"1551689181808988"</f>
        <v>1551689181808988</v>
      </c>
      <c r="C1290" t="s">
        <v>40</v>
      </c>
      <c r="D1290">
        <v>5.0669740000000001</v>
      </c>
      <c r="E1290">
        <v>0.56925819999999905</v>
      </c>
      <c r="F1290" t="s">
        <v>49</v>
      </c>
      <c r="G1290">
        <v>-210.88050000000001</v>
      </c>
      <c r="H1290" s="1">
        <v>-1.0682199999999999E-6</v>
      </c>
      <c r="I1290">
        <v>283.53719999999998</v>
      </c>
      <c r="J1290">
        <v>-204.82490000000001</v>
      </c>
      <c r="K1290">
        <v>1.1013869999999999</v>
      </c>
      <c r="L1290">
        <v>284.45519999999999</v>
      </c>
      <c r="M1290">
        <v>-0.89733479999999999</v>
      </c>
      <c r="N1290">
        <v>-1.1006699999999999E-2</v>
      </c>
      <c r="O1290">
        <v>-0.44121320000000003</v>
      </c>
      <c r="P1290">
        <v>-0.88884240000000003</v>
      </c>
      <c r="Q1290">
        <v>0.38772440000000002</v>
      </c>
      <c r="R1290">
        <v>-0.24419070000000001</v>
      </c>
      <c r="S1290">
        <v>-3.491959</v>
      </c>
      <c r="T1290">
        <v>-0.61462819999999996</v>
      </c>
      <c r="U1290">
        <v>-0.55999759999999998</v>
      </c>
      <c r="V1290">
        <v>0.18214040000000001</v>
      </c>
      <c r="W1290">
        <v>0.39358969999999999</v>
      </c>
      <c r="X1290">
        <v>0.90106169999999997</v>
      </c>
      <c r="Y1290">
        <v>0.28379389999999999</v>
      </c>
      <c r="Z1290">
        <v>9.5099740000000002E-2</v>
      </c>
      <c r="AA1290">
        <v>0.95415779999999994</v>
      </c>
      <c r="AB1290">
        <v>23</v>
      </c>
      <c r="AC1290">
        <v>-6.0555999999999903</v>
      </c>
      <c r="AD1290">
        <v>-1.1013880682199999</v>
      </c>
      <c r="AE1290">
        <v>-0.91800000000000603</v>
      </c>
      <c r="AF1290">
        <v>1.7902772157607201</v>
      </c>
      <c r="AG1290">
        <v>-1.1013880682199999</v>
      </c>
      <c r="AH1290">
        <v>5.6563782179405599</v>
      </c>
      <c r="AI1290">
        <v>100.516652928677</v>
      </c>
      <c r="AJ1290">
        <v>72.437112097141807</v>
      </c>
      <c r="AK1290">
        <v>6.0342988598909901</v>
      </c>
      <c r="AL1290">
        <v>66.821955766380995</v>
      </c>
      <c r="AM1290">
        <v>78.572232060191794</v>
      </c>
      <c r="AN1290">
        <v>1.0000000822325601</v>
      </c>
    </row>
    <row r="1291" spans="1:40" x14ac:dyDescent="0.25">
      <c r="A1291" t="str">
        <f>"20190304164621840"</f>
        <v>20190304164621840</v>
      </c>
      <c r="B1291" t="str">
        <f>"1551689181829485"</f>
        <v>1551689181829485</v>
      </c>
      <c r="C1291" t="s">
        <v>40</v>
      </c>
      <c r="D1291">
        <v>5.0956960000000002</v>
      </c>
      <c r="E1291">
        <v>0.56932499999999997</v>
      </c>
      <c r="F1291" t="s">
        <v>49</v>
      </c>
      <c r="G1291">
        <v>-211.1514</v>
      </c>
      <c r="H1291" s="1">
        <v>-9.2405729999999998E-7</v>
      </c>
      <c r="I1291">
        <v>283.53030000000001</v>
      </c>
      <c r="J1291">
        <v>-205.04839999999999</v>
      </c>
      <c r="K1291">
        <v>1.10131</v>
      </c>
      <c r="L1291">
        <v>284.36470000000003</v>
      </c>
      <c r="M1291">
        <v>-0.90408270000000002</v>
      </c>
      <c r="N1291">
        <v>-1.1014360000000001E-2</v>
      </c>
      <c r="O1291">
        <v>-0.42721569999999998</v>
      </c>
      <c r="P1291">
        <v>-0.89161469999999898</v>
      </c>
      <c r="Q1291">
        <v>0.389791</v>
      </c>
      <c r="R1291">
        <v>-0.23040430000000001</v>
      </c>
      <c r="S1291">
        <v>-3.5004270000000002</v>
      </c>
      <c r="T1291">
        <v>-0.60939149999999997</v>
      </c>
      <c r="U1291">
        <v>-0.51171880000000003</v>
      </c>
      <c r="V1291">
        <v>0.1818253</v>
      </c>
      <c r="W1291">
        <v>0.39562750000000002</v>
      </c>
      <c r="X1291">
        <v>0.90023240000000004</v>
      </c>
      <c r="Y1291">
        <v>0.2825009</v>
      </c>
      <c r="Z1291">
        <v>9.2074660000000003E-2</v>
      </c>
      <c r="AA1291">
        <v>0.95483799999999996</v>
      </c>
      <c r="AB1291">
        <v>23</v>
      </c>
      <c r="AC1291">
        <v>-6.1029999999999998</v>
      </c>
      <c r="AD1291">
        <v>-1.1013109240573</v>
      </c>
      <c r="AE1291">
        <v>-0.83440000000001602</v>
      </c>
      <c r="AF1291">
        <v>1.7956433460302501</v>
      </c>
      <c r="AG1291">
        <v>-1.1013109240573</v>
      </c>
      <c r="AH1291">
        <v>5.6924751152378601</v>
      </c>
      <c r="AI1291">
        <v>100.45384888013101</v>
      </c>
      <c r="AJ1291">
        <v>72.492558750092599</v>
      </c>
      <c r="AK1291">
        <v>6.0697194099227501</v>
      </c>
      <c r="AL1291">
        <v>66.694883792105202</v>
      </c>
      <c r="AM1291">
        <v>78.581249426078102</v>
      </c>
      <c r="AN1291">
        <v>0.99999996624304899</v>
      </c>
    </row>
    <row r="1292" spans="1:40" x14ac:dyDescent="0.25">
      <c r="A1292" t="str">
        <f>"20190304164621861"</f>
        <v>20190304164621861</v>
      </c>
      <c r="B1292" t="str">
        <f>"1551689181849008"</f>
        <v>1551689181849008</v>
      </c>
      <c r="C1292" t="s">
        <v>40</v>
      </c>
      <c r="D1292">
        <v>4.9703839999999904</v>
      </c>
      <c r="E1292">
        <v>0.56938880000000003</v>
      </c>
      <c r="F1292" t="s">
        <v>49</v>
      </c>
      <c r="G1292">
        <v>-211.48050000000001</v>
      </c>
      <c r="H1292" s="1">
        <v>-7.4892560000000005E-7</v>
      </c>
      <c r="I1292">
        <v>283.52429999999998</v>
      </c>
      <c r="J1292">
        <v>-205.26060000000001</v>
      </c>
      <c r="K1292">
        <v>1.101259</v>
      </c>
      <c r="L1292">
        <v>284.28250000000003</v>
      </c>
      <c r="M1292">
        <v>-0.91027380000000002</v>
      </c>
      <c r="N1292">
        <v>-1.1019950000000001E-2</v>
      </c>
      <c r="O1292">
        <v>-0.41386020000000001</v>
      </c>
      <c r="P1292">
        <v>-0.89445909999999995</v>
      </c>
      <c r="Q1292">
        <v>0.3904416</v>
      </c>
      <c r="R1292">
        <v>-0.2179413</v>
      </c>
      <c r="S1292">
        <v>-3.5088650000000001</v>
      </c>
      <c r="T1292">
        <v>-0.60078450000000005</v>
      </c>
      <c r="U1292">
        <v>-0.45846559999999997</v>
      </c>
      <c r="V1292">
        <v>0.18108009999999999</v>
      </c>
      <c r="W1292">
        <v>0.39627639999999997</v>
      </c>
      <c r="X1292">
        <v>0.90009729999999999</v>
      </c>
      <c r="Y1292">
        <v>0.2833717</v>
      </c>
      <c r="Z1292">
        <v>8.8857469999999994E-2</v>
      </c>
      <c r="AA1292">
        <v>0.95488470000000003</v>
      </c>
      <c r="AB1292">
        <v>23</v>
      </c>
      <c r="AC1292">
        <v>-6.2198999999999902</v>
      </c>
      <c r="AD1292">
        <v>-1.1012597489256</v>
      </c>
      <c r="AE1292">
        <v>-0.75820000000004395</v>
      </c>
      <c r="AF1292">
        <v>1.8276588344482001</v>
      </c>
      <c r="AG1292">
        <v>-1.1012597489256</v>
      </c>
      <c r="AH1292">
        <v>5.7969016611691897</v>
      </c>
      <c r="AI1292">
        <v>100.26956707073001</v>
      </c>
      <c r="AJ1292">
        <v>72.500874191039699</v>
      </c>
      <c r="AK1292">
        <v>6.1771497245093796</v>
      </c>
      <c r="AL1292">
        <v>66.654398032019699</v>
      </c>
      <c r="AM1292">
        <v>78.625163857206402</v>
      </c>
      <c r="AN1292">
        <v>1.00000006864012</v>
      </c>
    </row>
    <row r="1293" spans="1:40" x14ac:dyDescent="0.25">
      <c r="A1293" t="str">
        <f>"20190304164621884"</f>
        <v>20190304164621884</v>
      </c>
      <c r="B1293" t="str">
        <f>"1551689181879261"</f>
        <v>1551689181879261</v>
      </c>
      <c r="C1293" t="s">
        <v>40</v>
      </c>
      <c r="D1293">
        <v>4.9095170000000001</v>
      </c>
      <c r="E1293">
        <v>0.5694785</v>
      </c>
      <c r="F1293" t="s">
        <v>49</v>
      </c>
      <c r="G1293">
        <v>-211.73910000000001</v>
      </c>
      <c r="H1293" s="1">
        <v>-6.113369E-7</v>
      </c>
      <c r="I1293">
        <v>283.52010000000001</v>
      </c>
      <c r="J1293">
        <v>-205.48509999999999</v>
      </c>
      <c r="K1293">
        <v>1.1012230000000001</v>
      </c>
      <c r="L1293">
        <v>284.19940000000003</v>
      </c>
      <c r="M1293">
        <v>-0.91658379999999995</v>
      </c>
      <c r="N1293">
        <v>-1.1024300000000001E-2</v>
      </c>
      <c r="O1293">
        <v>-0.39969100000000002</v>
      </c>
      <c r="P1293">
        <v>-0.89731280000000002</v>
      </c>
      <c r="Q1293">
        <v>0.39052799999999999</v>
      </c>
      <c r="R1293">
        <v>-0.20571339999999999</v>
      </c>
      <c r="S1293">
        <v>-3.5139619999999998</v>
      </c>
      <c r="T1293">
        <v>-0.59732909999999995</v>
      </c>
      <c r="U1293">
        <v>-0.4135742</v>
      </c>
      <c r="V1293">
        <v>0.17941840000000001</v>
      </c>
      <c r="W1293">
        <v>0.3963933</v>
      </c>
      <c r="X1293">
        <v>0.90037849999999997</v>
      </c>
      <c r="Y1293">
        <v>0.28101359999999997</v>
      </c>
      <c r="Z1293">
        <v>8.6090940000000005E-2</v>
      </c>
      <c r="AA1293">
        <v>0.95583459999999998</v>
      </c>
      <c r="AB1293">
        <v>23</v>
      </c>
      <c r="AC1293">
        <v>-6.2540000000000102</v>
      </c>
      <c r="AD1293">
        <v>-1.1012236113368901</v>
      </c>
      <c r="AE1293">
        <v>-0.67930000000001201</v>
      </c>
      <c r="AF1293">
        <v>1.8213335047855801</v>
      </c>
      <c r="AG1293">
        <v>-1.1012236113368901</v>
      </c>
      <c r="AH1293">
        <v>5.8256690094543497</v>
      </c>
      <c r="AI1293">
        <v>100.22715694059001</v>
      </c>
      <c r="AJ1293">
        <v>72.638700634784101</v>
      </c>
      <c r="AK1293">
        <v>6.20228736721681</v>
      </c>
      <c r="AL1293">
        <v>66.647101680836499</v>
      </c>
      <c r="AM1293">
        <v>78.730291846144794</v>
      </c>
      <c r="AN1293">
        <v>1.00000002690284</v>
      </c>
    </row>
    <row r="1294" spans="1:40" x14ac:dyDescent="0.25">
      <c r="A1294" t="str">
        <f>"20190304164621905"</f>
        <v>20190304164621905</v>
      </c>
      <c r="B1294" t="str">
        <f>"1551689181899757"</f>
        <v>1551689181899757</v>
      </c>
      <c r="C1294" t="s">
        <v>40</v>
      </c>
      <c r="D1294">
        <v>4.8999610000000002</v>
      </c>
      <c r="E1294">
        <v>0.56954130000000003</v>
      </c>
      <c r="F1294" t="s">
        <v>49</v>
      </c>
      <c r="G1294">
        <v>-212.00579999999999</v>
      </c>
      <c r="H1294" s="1">
        <v>-4.6942570000000001E-7</v>
      </c>
      <c r="I1294">
        <v>283.524</v>
      </c>
      <c r="J1294">
        <v>-205.7012</v>
      </c>
      <c r="K1294">
        <v>1.101197</v>
      </c>
      <c r="L1294">
        <v>284.12310000000002</v>
      </c>
      <c r="M1294">
        <v>-0.92241779999999995</v>
      </c>
      <c r="N1294">
        <v>-1.102675E-2</v>
      </c>
      <c r="O1294">
        <v>-0.3860365</v>
      </c>
      <c r="P1294">
        <v>-0.8996613</v>
      </c>
      <c r="Q1294">
        <v>0.39090930000000002</v>
      </c>
      <c r="R1294">
        <v>-0.19442139999999999</v>
      </c>
      <c r="S1294">
        <v>-3.5183719999999998</v>
      </c>
      <c r="T1294">
        <v>-0.59418850000000001</v>
      </c>
      <c r="U1294">
        <v>-0.36444090000000001</v>
      </c>
      <c r="V1294">
        <v>0.177319</v>
      </c>
      <c r="W1294">
        <v>0.3968197</v>
      </c>
      <c r="X1294">
        <v>0.90060649999999998</v>
      </c>
      <c r="Y1294">
        <v>0.28036699999999998</v>
      </c>
      <c r="Z1294">
        <v>8.3624299999999999E-2</v>
      </c>
      <c r="AA1294">
        <v>0.95624330000000002</v>
      </c>
      <c r="AB1294">
        <v>23</v>
      </c>
      <c r="AC1294">
        <v>-6.30459999999999</v>
      </c>
      <c r="AD1294">
        <v>-1.1011974694257001</v>
      </c>
      <c r="AE1294">
        <v>-0.59910000000002095</v>
      </c>
      <c r="AF1294">
        <v>1.82608732750664</v>
      </c>
      <c r="AG1294">
        <v>-1.1011974694257001</v>
      </c>
      <c r="AH1294">
        <v>5.8696469497424104</v>
      </c>
      <c r="AI1294">
        <v>100.156225203178</v>
      </c>
      <c r="AJ1294">
        <v>72.718724633005095</v>
      </c>
      <c r="AK1294">
        <v>6.24499688622583</v>
      </c>
      <c r="AL1294">
        <v>66.620487112148496</v>
      </c>
      <c r="AM1294">
        <v>78.861592552762204</v>
      </c>
      <c r="AN1294">
        <v>0.999999984955669</v>
      </c>
    </row>
    <row r="1295" spans="1:40" x14ac:dyDescent="0.25">
      <c r="A1295" t="str">
        <f>"20190304164621927"</f>
        <v>20190304164621927</v>
      </c>
      <c r="B1295" t="str">
        <f>"1551689181919277"</f>
        <v>1551689181919277</v>
      </c>
      <c r="C1295" t="s">
        <v>40</v>
      </c>
      <c r="D1295">
        <v>4.9195609999999999</v>
      </c>
      <c r="E1295">
        <v>0.56949320000000003</v>
      </c>
      <c r="F1295" t="s">
        <v>49</v>
      </c>
      <c r="G1295">
        <v>-212.27799999999999</v>
      </c>
      <c r="H1295" s="1">
        <v>-3.245518E-7</v>
      </c>
      <c r="I1295">
        <v>283.5324</v>
      </c>
      <c r="J1295">
        <v>-205.92689999999999</v>
      </c>
      <c r="K1295">
        <v>1.1011820000000001</v>
      </c>
      <c r="L1295">
        <v>284.0471</v>
      </c>
      <c r="M1295">
        <v>-0.92825489999999999</v>
      </c>
      <c r="N1295">
        <v>-1.102702E-2</v>
      </c>
      <c r="O1295">
        <v>-0.37178129999999998</v>
      </c>
      <c r="P1295">
        <v>-0.90201030000000004</v>
      </c>
      <c r="Q1295">
        <v>0.39159110000000003</v>
      </c>
      <c r="R1295">
        <v>-0.1817529</v>
      </c>
      <c r="S1295">
        <v>-3.5225070000000001</v>
      </c>
      <c r="T1295">
        <v>-0.58979419999999905</v>
      </c>
      <c r="U1295">
        <v>-0.31637569999999998</v>
      </c>
      <c r="V1295">
        <v>0.17601829999999999</v>
      </c>
      <c r="W1295">
        <v>0.39752769999999998</v>
      </c>
      <c r="X1295">
        <v>0.90054940000000006</v>
      </c>
      <c r="Y1295">
        <v>0.2789546</v>
      </c>
      <c r="Z1295">
        <v>8.083129E-2</v>
      </c>
      <c r="AA1295">
        <v>0.95689639999999998</v>
      </c>
      <c r="AB1295">
        <v>23</v>
      </c>
      <c r="AC1295">
        <v>-6.3510999999999997</v>
      </c>
      <c r="AD1295">
        <v>-1.1011823245518</v>
      </c>
      <c r="AE1295">
        <v>-0.51470000000000404</v>
      </c>
      <c r="AF1295">
        <v>1.8289387026222399</v>
      </c>
      <c r="AG1295">
        <v>-1.1011823245518</v>
      </c>
      <c r="AH1295">
        <v>5.9106380235702201</v>
      </c>
      <c r="AI1295">
        <v>100.091791066683</v>
      </c>
      <c r="AJ1295">
        <v>72.806275598753203</v>
      </c>
      <c r="AK1295">
        <v>6.2843664068487399</v>
      </c>
      <c r="AL1295">
        <v>66.576285435007406</v>
      </c>
      <c r="AM1295">
        <v>78.940591709734406</v>
      </c>
      <c r="AN1295">
        <v>0.999999968021269</v>
      </c>
    </row>
    <row r="1296" spans="1:40" x14ac:dyDescent="0.25">
      <c r="A1296" t="str">
        <f>"20190304164621951"</f>
        <v>20190304164621951</v>
      </c>
      <c r="B1296" t="str">
        <f>"1551689181939773"</f>
        <v>1551689181939773</v>
      </c>
      <c r="C1296" t="s">
        <v>40</v>
      </c>
      <c r="D1296">
        <v>4.7583859999999998</v>
      </c>
      <c r="E1296">
        <v>0.56949839999999996</v>
      </c>
      <c r="F1296" t="s">
        <v>49</v>
      </c>
      <c r="G1296">
        <v>-212.5609</v>
      </c>
      <c r="H1296" s="1">
        <v>-1.7402720000000001E-7</v>
      </c>
      <c r="I1296">
        <v>283.54340000000002</v>
      </c>
      <c r="J1296">
        <v>-206.16589999999999</v>
      </c>
      <c r="K1296">
        <v>1.1011820000000001</v>
      </c>
      <c r="L1296">
        <v>283.97059999999999</v>
      </c>
      <c r="M1296">
        <v>-0.93414109999999995</v>
      </c>
      <c r="N1296">
        <v>-1.1023399999999999E-2</v>
      </c>
      <c r="O1296">
        <v>-0.3567342</v>
      </c>
      <c r="P1296">
        <v>-0.90441229999999995</v>
      </c>
      <c r="Q1296">
        <v>0.39226159999999999</v>
      </c>
      <c r="R1296">
        <v>-0.16783919999999999</v>
      </c>
      <c r="S1296">
        <v>-3.526062</v>
      </c>
      <c r="T1296">
        <v>-0.58530039999999905</v>
      </c>
      <c r="U1296">
        <v>-0.26773069999999999</v>
      </c>
      <c r="V1296">
        <v>0.17524049999999999</v>
      </c>
      <c r="W1296">
        <v>0.3982136</v>
      </c>
      <c r="X1296">
        <v>0.90039809999999998</v>
      </c>
      <c r="Y1296">
        <v>0.27698139999999999</v>
      </c>
      <c r="Z1296">
        <v>7.788697E-2</v>
      </c>
      <c r="AA1296">
        <v>0.95771340000000005</v>
      </c>
      <c r="AB1296">
        <v>23</v>
      </c>
      <c r="AC1296">
        <v>-6.3949999999999996</v>
      </c>
      <c r="AD1296">
        <v>-1.1011821740272001</v>
      </c>
      <c r="AE1296">
        <v>-0.42719999999996999</v>
      </c>
      <c r="AF1296">
        <v>1.8283916031540901</v>
      </c>
      <c r="AG1296">
        <v>-1.1011821740272001</v>
      </c>
      <c r="AH1296">
        <v>5.95093383999341</v>
      </c>
      <c r="AI1296">
        <v>100.030895732616</v>
      </c>
      <c r="AJ1296">
        <v>72.920713228190195</v>
      </c>
      <c r="AK1296">
        <v>6.3221223970165497</v>
      </c>
      <c r="AL1296">
        <v>66.533451137734303</v>
      </c>
      <c r="AM1296">
        <v>78.986459428984006</v>
      </c>
      <c r="AN1296">
        <v>1.0000000212744</v>
      </c>
    </row>
    <row r="1297" spans="1:40" x14ac:dyDescent="0.25">
      <c r="A1297" t="str">
        <f>"20190304164621977"</f>
        <v>20190304164621977</v>
      </c>
      <c r="B1297" t="str">
        <f>"1551689181969053"</f>
        <v>1551689181969053</v>
      </c>
      <c r="C1297" t="s">
        <v>40</v>
      </c>
      <c r="D1297">
        <v>4.9693699999999996</v>
      </c>
      <c r="E1297">
        <v>0.56945809999999997</v>
      </c>
      <c r="F1297" t="s">
        <v>49</v>
      </c>
      <c r="G1297">
        <v>-212.85650000000001</v>
      </c>
      <c r="H1297" s="1">
        <v>-1.670224E-8</v>
      </c>
      <c r="I1297">
        <v>283.56040000000002</v>
      </c>
      <c r="J1297">
        <v>-206.43199999999999</v>
      </c>
      <c r="K1297">
        <v>1.1012040000000001</v>
      </c>
      <c r="L1297">
        <v>283.8904</v>
      </c>
      <c r="M1297">
        <v>-0.94032890000000002</v>
      </c>
      <c r="N1297">
        <v>-1.1012310000000001E-2</v>
      </c>
      <c r="O1297">
        <v>-0.34008880000000002</v>
      </c>
      <c r="P1297">
        <v>-0.90715409999999996</v>
      </c>
      <c r="Q1297">
        <v>0.39179419999999998</v>
      </c>
      <c r="R1297">
        <v>-0.15352189999999999</v>
      </c>
      <c r="S1297">
        <v>-3.5288089999999999</v>
      </c>
      <c r="T1297">
        <v>-0.58079740000000002</v>
      </c>
      <c r="U1297">
        <v>-0.21633910000000001</v>
      </c>
      <c r="V1297">
        <v>0.1734996</v>
      </c>
      <c r="W1297">
        <v>0.39779639999999999</v>
      </c>
      <c r="X1297">
        <v>0.90091949999999998</v>
      </c>
      <c r="Y1297">
        <v>0.27422459999999999</v>
      </c>
      <c r="Z1297">
        <v>7.4679780000000001E-2</v>
      </c>
      <c r="AA1297">
        <v>0.95876159999999999</v>
      </c>
      <c r="AB1297">
        <v>23</v>
      </c>
      <c r="AC1297">
        <v>-6.4244999999999903</v>
      </c>
      <c r="AD1297">
        <v>-1.1012040167022299</v>
      </c>
      <c r="AE1297">
        <v>-0.32999999999998397</v>
      </c>
      <c r="AF1297">
        <v>1.8213349052116601</v>
      </c>
      <c r="AG1297">
        <v>-1.1012040167022299</v>
      </c>
      <c r="AH1297">
        <v>5.97855535627225</v>
      </c>
      <c r="AI1297">
        <v>99.992799997253002</v>
      </c>
      <c r="AJ1297">
        <v>73.056923204418794</v>
      </c>
      <c r="AK1297">
        <v>6.3461039442602303</v>
      </c>
      <c r="AL1297">
        <v>66.559507515928502</v>
      </c>
      <c r="AM1297">
        <v>79.099395993482204</v>
      </c>
      <c r="AN1297">
        <v>1.00000001626668</v>
      </c>
    </row>
    <row r="1298" spans="1:40" x14ac:dyDescent="0.25">
      <c r="A1298" t="str">
        <f>"20190304164622001"</f>
        <v>20190304164622001</v>
      </c>
      <c r="B1298" t="str">
        <f>"1551689181989550"</f>
        <v>1551689181989550</v>
      </c>
      <c r="C1298" t="s">
        <v>40</v>
      </c>
      <c r="D1298">
        <v>5.037604</v>
      </c>
      <c r="E1298">
        <v>0.56940869999999999</v>
      </c>
      <c r="F1298" t="s">
        <v>49</v>
      </c>
      <c r="G1298">
        <v>-213.13810000000001</v>
      </c>
      <c r="H1298" s="1">
        <v>1.3313400000000001E-7</v>
      </c>
      <c r="I1298">
        <v>283.5822</v>
      </c>
      <c r="J1298">
        <v>-206.67609999999999</v>
      </c>
      <c r="K1298">
        <v>1.1012630000000001</v>
      </c>
      <c r="L1298">
        <v>283.82139999999998</v>
      </c>
      <c r="M1298">
        <v>-0.94566309999999998</v>
      </c>
      <c r="N1298">
        <v>-1.0994449999999999E-2</v>
      </c>
      <c r="O1298">
        <v>-0.32496249999999999</v>
      </c>
      <c r="P1298">
        <v>-0.90928180000000003</v>
      </c>
      <c r="Q1298">
        <v>0.39102520000000002</v>
      </c>
      <c r="R1298">
        <v>-0.14249979999999901</v>
      </c>
      <c r="S1298">
        <v>-3.529938</v>
      </c>
      <c r="T1298">
        <v>-0.57965219999999995</v>
      </c>
      <c r="U1298">
        <v>-0.16226199999999999</v>
      </c>
      <c r="V1298">
        <v>0.16999779999999901</v>
      </c>
      <c r="W1298">
        <v>0.3971269</v>
      </c>
      <c r="X1298">
        <v>0.90188190000000001</v>
      </c>
      <c r="Y1298">
        <v>0.27368409999999999</v>
      </c>
      <c r="Z1298">
        <v>7.2358969999999995E-2</v>
      </c>
      <c r="AA1298">
        <v>0.95909390000000005</v>
      </c>
      <c r="AB1298">
        <v>23</v>
      </c>
      <c r="AC1298">
        <v>-6.4620000000000104</v>
      </c>
      <c r="AD1298">
        <v>-1.1012628668659901</v>
      </c>
      <c r="AE1298">
        <v>-0.23919999999998201</v>
      </c>
      <c r="AF1298">
        <v>1.8210023200329899</v>
      </c>
      <c r="AG1298">
        <v>-1.1012628668659901</v>
      </c>
      <c r="AH1298">
        <v>6.0145356294520802</v>
      </c>
      <c r="AI1298">
        <v>99.939820607182298</v>
      </c>
      <c r="AJ1298">
        <v>73.155424722883595</v>
      </c>
      <c r="AK1298">
        <v>6.3799269736770503</v>
      </c>
      <c r="AL1298">
        <v>66.601310301456706</v>
      </c>
      <c r="AM1298">
        <v>79.325430530730998</v>
      </c>
      <c r="AN1298">
        <v>0.99999999412802998</v>
      </c>
    </row>
    <row r="1299" spans="1:40" x14ac:dyDescent="0.25">
      <c r="A1299" t="str">
        <f>"20190304164622021"</f>
        <v>20190304164622021</v>
      </c>
      <c r="B1299" t="str">
        <f>"1551689182010045"</f>
        <v>1551689182010045</v>
      </c>
      <c r="C1299" t="s">
        <v>40</v>
      </c>
      <c r="D1299">
        <v>4.9590120000000004</v>
      </c>
      <c r="E1299">
        <v>0.56934530000000005</v>
      </c>
      <c r="F1299" t="s">
        <v>49</v>
      </c>
      <c r="G1299">
        <v>-213.38030000000001</v>
      </c>
      <c r="H1299" s="1">
        <v>2.6201909999999998E-7</v>
      </c>
      <c r="I1299">
        <v>283.60289999999998</v>
      </c>
      <c r="J1299">
        <v>-206.8973</v>
      </c>
      <c r="K1299">
        <v>1.1013269999999999</v>
      </c>
      <c r="L1299">
        <v>283.76209999999998</v>
      </c>
      <c r="M1299">
        <v>-0.95022479999999998</v>
      </c>
      <c r="N1299">
        <v>-1.0973190000000001E-2</v>
      </c>
      <c r="O1299">
        <v>-0.3113725</v>
      </c>
      <c r="P1299">
        <v>-0.91073409999999999</v>
      </c>
      <c r="Q1299">
        <v>0.39092929999999998</v>
      </c>
      <c r="R1299">
        <v>-0.133185</v>
      </c>
      <c r="S1299">
        <v>-3.5306850000000001</v>
      </c>
      <c r="T1299">
        <v>-0.57996979999999998</v>
      </c>
      <c r="U1299">
        <v>-0.11502080000000001</v>
      </c>
      <c r="V1299">
        <v>0.16622719999999999</v>
      </c>
      <c r="W1299">
        <v>0.39713219999999999</v>
      </c>
      <c r="X1299">
        <v>0.9025822</v>
      </c>
      <c r="Y1299">
        <v>0.27288669999999998</v>
      </c>
      <c r="Z1299">
        <v>7.0402469999999995E-2</v>
      </c>
      <c r="AA1299">
        <v>0.95946670000000001</v>
      </c>
      <c r="AB1299">
        <v>23</v>
      </c>
      <c r="AC1299">
        <v>-6.4829999999999997</v>
      </c>
      <c r="AD1299">
        <v>-1.1013267379809</v>
      </c>
      <c r="AE1299">
        <v>-0.15919999999999801</v>
      </c>
      <c r="AF1299">
        <v>1.81511349992699</v>
      </c>
      <c r="AG1299">
        <v>-1.1013267379809</v>
      </c>
      <c r="AH1299">
        <v>6.0361583637660896</v>
      </c>
      <c r="AI1299">
        <v>99.911017040297196</v>
      </c>
      <c r="AJ1299">
        <v>73.263613286383702</v>
      </c>
      <c r="AK1299">
        <v>6.3986534047307302</v>
      </c>
      <c r="AL1299">
        <v>66.600980734761606</v>
      </c>
      <c r="AM1299">
        <v>79.564854176858205</v>
      </c>
      <c r="AN1299">
        <v>1.00000004702675</v>
      </c>
    </row>
    <row r="1300" spans="1:40" x14ac:dyDescent="0.25">
      <c r="A1300" t="str">
        <f>"20190304164622041"</f>
        <v>20190304164622041</v>
      </c>
      <c r="B1300" t="str">
        <f>"1551689182029565"</f>
        <v>1551689182029565</v>
      </c>
      <c r="C1300" t="s">
        <v>40</v>
      </c>
      <c r="D1300">
        <v>5.0783459999999998</v>
      </c>
      <c r="E1300">
        <v>0.56926279999999996</v>
      </c>
      <c r="F1300" t="s">
        <v>49</v>
      </c>
      <c r="G1300">
        <v>-213.63489999999999</v>
      </c>
      <c r="H1300" s="1">
        <v>3.975217E-7</v>
      </c>
      <c r="I1300">
        <v>283.62150000000003</v>
      </c>
      <c r="J1300">
        <v>-207.10550000000001</v>
      </c>
      <c r="K1300">
        <v>1.101394</v>
      </c>
      <c r="L1300">
        <v>283.70920000000001</v>
      </c>
      <c r="M1300">
        <v>-0.95428190000000002</v>
      </c>
      <c r="N1300">
        <v>-1.0944270000000001E-2</v>
      </c>
      <c r="O1300">
        <v>-0.29870839999999999</v>
      </c>
      <c r="P1300">
        <v>-0.91178820000000005</v>
      </c>
      <c r="Q1300">
        <v>0.39139760000000001</v>
      </c>
      <c r="R1300">
        <v>-0.1243003</v>
      </c>
      <c r="S1300">
        <v>-3.5310359999999998</v>
      </c>
      <c r="T1300">
        <v>-0.5771809</v>
      </c>
      <c r="U1300">
        <v>-7.3669429999999994E-2</v>
      </c>
      <c r="V1300">
        <v>0.1628809</v>
      </c>
      <c r="W1300">
        <v>0.39768569999999998</v>
      </c>
      <c r="X1300">
        <v>0.90294839999999998</v>
      </c>
      <c r="Y1300">
        <v>0.2715688</v>
      </c>
      <c r="Z1300">
        <v>6.8145839999999999E-2</v>
      </c>
      <c r="AA1300">
        <v>0.96000339999999995</v>
      </c>
      <c r="AB1300">
        <v>23</v>
      </c>
      <c r="AC1300">
        <v>-6.5293999999999803</v>
      </c>
      <c r="AD1300">
        <v>-1.1013936024783</v>
      </c>
      <c r="AE1300">
        <v>-8.7699999999983902E-2</v>
      </c>
      <c r="AF1300">
        <v>1.8151685840188201</v>
      </c>
      <c r="AG1300">
        <v>-1.1013936024783</v>
      </c>
      <c r="AH1300">
        <v>6.0843669351557201</v>
      </c>
      <c r="AI1300">
        <v>99.840905811561498</v>
      </c>
      <c r="AJ1300">
        <v>73.388411781449093</v>
      </c>
      <c r="AK1300">
        <v>6.4441776711699399</v>
      </c>
      <c r="AL1300">
        <v>66.566419056040999</v>
      </c>
      <c r="AM1300">
        <v>79.774504231139801</v>
      </c>
      <c r="AN1300">
        <v>0.99999995831592903</v>
      </c>
    </row>
    <row r="1301" spans="1:40" x14ac:dyDescent="0.25">
      <c r="A1301" t="str">
        <f>"20190304164622066"</f>
        <v>20190304164622066</v>
      </c>
      <c r="B1301" t="str">
        <f>"1551689182059822"</f>
        <v>1551689182059822</v>
      </c>
      <c r="C1301" t="s">
        <v>40</v>
      </c>
      <c r="D1301">
        <v>4.9240370000000002</v>
      </c>
      <c r="E1301">
        <v>0.56909080000000001</v>
      </c>
      <c r="F1301" t="s">
        <v>49</v>
      </c>
      <c r="G1301">
        <v>-213.88650000000001</v>
      </c>
      <c r="H1301" s="1">
        <v>5.3143279999999998E-7</v>
      </c>
      <c r="I1301">
        <v>283.63040000000001</v>
      </c>
      <c r="J1301">
        <v>-207.37029999999999</v>
      </c>
      <c r="K1301">
        <v>1.1015079999999999</v>
      </c>
      <c r="L1301">
        <v>283.64589999999998</v>
      </c>
      <c r="M1301">
        <v>-0.95910359999999995</v>
      </c>
      <c r="N1301">
        <v>-1.088772E-2</v>
      </c>
      <c r="O1301">
        <v>-0.28284619999999999</v>
      </c>
      <c r="P1301">
        <v>-0.91311819999999999</v>
      </c>
      <c r="Q1301">
        <v>0.39181739999999998</v>
      </c>
      <c r="R1301">
        <v>-0.1126703</v>
      </c>
      <c r="S1301">
        <v>-3.5308229999999998</v>
      </c>
      <c r="T1301">
        <v>-0.57348369999999904</v>
      </c>
      <c r="U1301">
        <v>-4.1046140000000002E-2</v>
      </c>
      <c r="V1301">
        <v>0.15923109999999999</v>
      </c>
      <c r="W1301">
        <v>0.39819009999999999</v>
      </c>
      <c r="X1301">
        <v>0.90337710000000004</v>
      </c>
      <c r="Y1301">
        <v>0.264851</v>
      </c>
      <c r="Z1301">
        <v>6.4868490000000001E-2</v>
      </c>
      <c r="AA1301">
        <v>0.96210499999999999</v>
      </c>
      <c r="AB1301">
        <v>23</v>
      </c>
      <c r="AC1301">
        <v>-6.51620000000002</v>
      </c>
      <c r="AD1301">
        <v>-1.1015074685671999</v>
      </c>
      <c r="AE1301">
        <v>-1.5499999999974499E-2</v>
      </c>
      <c r="AF1301">
        <v>1.77753179660935</v>
      </c>
      <c r="AG1301">
        <v>-1.1015074685671999</v>
      </c>
      <c r="AH1301">
        <v>6.0807097582182701</v>
      </c>
      <c r="AI1301">
        <v>99.863481018632399</v>
      </c>
      <c r="AJ1301">
        <v>73.705140372286706</v>
      </c>
      <c r="AK1301">
        <v>6.4302386545879902</v>
      </c>
      <c r="AL1301">
        <v>66.534919494843606</v>
      </c>
      <c r="AM1301">
        <v>80.003608089674898</v>
      </c>
      <c r="AN1301">
        <v>1.0000000418748101</v>
      </c>
    </row>
    <row r="1302" spans="1:40" x14ac:dyDescent="0.25">
      <c r="A1302" t="str">
        <f>"20190304164622087"</f>
        <v>20190304164622087</v>
      </c>
      <c r="B1302" t="str">
        <f>"1551689182079341"</f>
        <v>1551689182079341</v>
      </c>
      <c r="C1302" t="s">
        <v>40</v>
      </c>
      <c r="D1302">
        <v>4.9829749999999997</v>
      </c>
      <c r="E1302">
        <v>0.56892480000000001</v>
      </c>
      <c r="F1302" t="s">
        <v>41</v>
      </c>
      <c r="G1302">
        <v>-208.19069999999999</v>
      </c>
      <c r="H1302">
        <v>0.9691381</v>
      </c>
      <c r="I1302">
        <v>283.64620000000002</v>
      </c>
      <c r="J1302">
        <v>-207.5804</v>
      </c>
      <c r="K1302">
        <v>1.1016269999999999</v>
      </c>
      <c r="L1302">
        <v>283.59859999999998</v>
      </c>
      <c r="M1302">
        <v>-0.96266180000000001</v>
      </c>
      <c r="N1302">
        <v>-1.0825130000000001E-2</v>
      </c>
      <c r="O1302">
        <v>-0.27049050000000002</v>
      </c>
      <c r="P1302">
        <v>-0.91394929999999996</v>
      </c>
      <c r="Q1302">
        <v>0.39183200000000001</v>
      </c>
      <c r="R1302">
        <v>-0.1056626</v>
      </c>
      <c r="S1302">
        <v>-3.5300449999999999</v>
      </c>
      <c r="T1302">
        <v>-0.56955440000000002</v>
      </c>
      <c r="U1302">
        <v>1.617432E-3</v>
      </c>
      <c r="V1302">
        <v>0.1543918</v>
      </c>
      <c r="W1302">
        <v>0.3983121</v>
      </c>
      <c r="X1302">
        <v>0.90416300000000005</v>
      </c>
      <c r="Y1302">
        <v>0.26432339999999999</v>
      </c>
      <c r="Z1302">
        <v>6.2636869999999997E-2</v>
      </c>
      <c r="AA1302">
        <v>0.96239790000000003</v>
      </c>
      <c r="AB1302">
        <v>24</v>
      </c>
      <c r="AC1302">
        <v>-0.61029999999999496</v>
      </c>
      <c r="AD1302">
        <v>-0.13248889999999999</v>
      </c>
      <c r="AE1302">
        <v>4.7600000000045301E-2</v>
      </c>
      <c r="AF1302">
        <v>0.20147772465158201</v>
      </c>
      <c r="AG1302">
        <v>-0.13248889999999999</v>
      </c>
      <c r="AH1302">
        <v>0.54895641919772198</v>
      </c>
      <c r="AI1302">
        <v>102.765919267188</v>
      </c>
      <c r="AJ1302">
        <v>69.845877248557102</v>
      </c>
      <c r="AK1302">
        <v>0.59958296534539202</v>
      </c>
      <c r="AL1302">
        <v>66.527299063441404</v>
      </c>
      <c r="AM1302">
        <v>80.309827579354206</v>
      </c>
      <c r="AN1302">
        <v>1.0000000437413199</v>
      </c>
    </row>
    <row r="1303" spans="1:40" x14ac:dyDescent="0.25">
      <c r="A1303" t="str">
        <f>"20190304164622110"</f>
        <v>20190304164622110</v>
      </c>
      <c r="B1303" t="str">
        <f>"1551689182098861"</f>
        <v>1551689182098861</v>
      </c>
      <c r="C1303" t="s">
        <v>40</v>
      </c>
      <c r="D1303">
        <v>4.9737770000000001</v>
      </c>
      <c r="E1303">
        <v>0.56874619999999998</v>
      </c>
      <c r="F1303" t="s">
        <v>41</v>
      </c>
      <c r="G1303">
        <v>-208.40100000000001</v>
      </c>
      <c r="H1303">
        <v>0.96965610000000002</v>
      </c>
      <c r="I1303">
        <v>283.6062</v>
      </c>
      <c r="J1303">
        <v>-207.83170000000001</v>
      </c>
      <c r="K1303">
        <v>1.101804</v>
      </c>
      <c r="L1303">
        <v>283.5453</v>
      </c>
      <c r="M1303">
        <v>-0.96661280000000005</v>
      </c>
      <c r="N1303">
        <v>-1.0731920000000001E-2</v>
      </c>
      <c r="O1303">
        <v>-0.2560173</v>
      </c>
      <c r="P1303">
        <v>-0.91494439999999999</v>
      </c>
      <c r="Q1303">
        <v>0.39132850000000002</v>
      </c>
      <c r="R1303">
        <v>-9.8687789999999997E-2</v>
      </c>
      <c r="S1303">
        <v>-3.5293879999999902</v>
      </c>
      <c r="T1303">
        <v>-0.5672642</v>
      </c>
      <c r="U1303">
        <v>3.22876E-2</v>
      </c>
      <c r="V1303">
        <v>0.1475465</v>
      </c>
      <c r="W1303">
        <v>0.39795429999999998</v>
      </c>
      <c r="X1303">
        <v>0.90546260000000001</v>
      </c>
      <c r="Y1303">
        <v>0.258517</v>
      </c>
      <c r="Z1303">
        <v>5.9833959999999999E-2</v>
      </c>
      <c r="AA1303">
        <v>0.96415189999999995</v>
      </c>
      <c r="AB1303">
        <v>24</v>
      </c>
      <c r="AC1303">
        <v>-0.56929999999996905</v>
      </c>
      <c r="AD1303">
        <v>-0.13214789999999901</v>
      </c>
      <c r="AE1303">
        <v>6.0900000000003701E-2</v>
      </c>
      <c r="AF1303">
        <v>0.194279516778009</v>
      </c>
      <c r="AG1303">
        <v>-0.13214789999999901</v>
      </c>
      <c r="AH1303">
        <v>0.50768658682684098</v>
      </c>
      <c r="AI1303">
        <v>103.663672141935</v>
      </c>
      <c r="AJ1303">
        <v>69.059346596405305</v>
      </c>
      <c r="AK1303">
        <v>0.55942226319462296</v>
      </c>
      <c r="AL1303">
        <v>66.549647390517805</v>
      </c>
      <c r="AM1303">
        <v>80.744911358749704</v>
      </c>
      <c r="AN1303">
        <v>1.0000000572747401</v>
      </c>
    </row>
    <row r="1304" spans="1:40" x14ac:dyDescent="0.25">
      <c r="A1304" t="str">
        <f>"20190304164622131"</f>
        <v>20190304164622131</v>
      </c>
      <c r="B1304" t="str">
        <f>"1551689182119358"</f>
        <v>1551689182119358</v>
      </c>
      <c r="C1304" t="s">
        <v>40</v>
      </c>
      <c r="D1304">
        <v>4.973611</v>
      </c>
      <c r="E1304">
        <v>0.56855449999999996</v>
      </c>
      <c r="F1304" t="s">
        <v>41</v>
      </c>
      <c r="G1304">
        <v>-208.61160000000001</v>
      </c>
      <c r="H1304">
        <v>0.9766994</v>
      </c>
      <c r="I1304">
        <v>283.56049999999999</v>
      </c>
      <c r="J1304">
        <v>-208.0523</v>
      </c>
      <c r="K1304">
        <v>1.1019859999999999</v>
      </c>
      <c r="L1304">
        <v>283.50139999999999</v>
      </c>
      <c r="M1304">
        <v>-0.96980940000000004</v>
      </c>
      <c r="N1304">
        <v>-1.063473E-2</v>
      </c>
      <c r="O1304">
        <v>-0.2436323</v>
      </c>
      <c r="P1304">
        <v>-0.91569560000000005</v>
      </c>
      <c r="Q1304">
        <v>0.39119660000000001</v>
      </c>
      <c r="R1304">
        <v>-9.2015139999999995E-2</v>
      </c>
      <c r="S1304">
        <v>-3.5283199999999999</v>
      </c>
      <c r="T1304">
        <v>-0.56586829999999999</v>
      </c>
      <c r="U1304">
        <v>6.8817139999999999E-2</v>
      </c>
      <c r="V1304">
        <v>0.14235880000000001</v>
      </c>
      <c r="W1304">
        <v>0.3979202</v>
      </c>
      <c r="X1304">
        <v>0.90630759999999999</v>
      </c>
      <c r="Y1304">
        <v>0.25634859999999998</v>
      </c>
      <c r="Z1304">
        <v>5.774874E-2</v>
      </c>
      <c r="AA1304">
        <v>0.96485779999999999</v>
      </c>
      <c r="AB1304">
        <v>24</v>
      </c>
      <c r="AC1304">
        <v>-0.55930000000000701</v>
      </c>
      <c r="AD1304">
        <v>-0.1252866</v>
      </c>
      <c r="AE1304">
        <v>5.9100000000000798E-2</v>
      </c>
      <c r="AF1304">
        <v>0.18443757546259201</v>
      </c>
      <c r="AG1304">
        <v>-0.1252866</v>
      </c>
      <c r="AH1304">
        <v>0.50308039321638898</v>
      </c>
      <c r="AI1304">
        <v>103.16049291777099</v>
      </c>
      <c r="AJ1304">
        <v>69.8662300603647</v>
      </c>
      <c r="AK1304">
        <v>0.55027614287813298</v>
      </c>
      <c r="AL1304">
        <v>66.551775379998602</v>
      </c>
      <c r="AM1304">
        <v>81.073171243241902</v>
      </c>
      <c r="AN1304">
        <v>0.99999998966161996</v>
      </c>
    </row>
    <row r="1305" spans="1:40" x14ac:dyDescent="0.25">
      <c r="A1305" t="str">
        <f>"20190304164622153"</f>
        <v>20190304164622153</v>
      </c>
      <c r="B1305" t="str">
        <f>"1551689182149613"</f>
        <v>1551689182149613</v>
      </c>
      <c r="C1305" t="s">
        <v>40</v>
      </c>
      <c r="D1305">
        <v>4.9322749999999997</v>
      </c>
      <c r="E1305">
        <v>0.56827249999999996</v>
      </c>
      <c r="F1305" t="s">
        <v>41</v>
      </c>
      <c r="G1305">
        <v>-208.82339999999999</v>
      </c>
      <c r="H1305">
        <v>0.9785585</v>
      </c>
      <c r="I1305">
        <v>283.5224</v>
      </c>
      <c r="J1305">
        <v>-208.29470000000001</v>
      </c>
      <c r="K1305">
        <v>1.1022130000000001</v>
      </c>
      <c r="L1305">
        <v>283.45600000000002</v>
      </c>
      <c r="M1305">
        <v>-0.97303720000000005</v>
      </c>
      <c r="N1305">
        <v>-1.0518110000000001E-2</v>
      </c>
      <c r="O1305">
        <v>-0.23040849999999999</v>
      </c>
      <c r="P1305">
        <v>-0.91647900000000004</v>
      </c>
      <c r="Q1305">
        <v>0.391426</v>
      </c>
      <c r="R1305">
        <v>-8.2775799999999997E-2</v>
      </c>
      <c r="S1305">
        <v>-3.5270389999999998</v>
      </c>
      <c r="T1305">
        <v>-0.56456139999999999</v>
      </c>
      <c r="U1305">
        <v>9.6038819999999997E-2</v>
      </c>
      <c r="V1305">
        <v>0.13888689999999901</v>
      </c>
      <c r="W1305">
        <v>0.3982001</v>
      </c>
      <c r="X1305">
        <v>0.90672330000000001</v>
      </c>
      <c r="Y1305">
        <v>0.25089400000000001</v>
      </c>
      <c r="Z1305">
        <v>5.5272469999999997E-2</v>
      </c>
      <c r="AA1305">
        <v>0.9664353</v>
      </c>
      <c r="AB1305">
        <v>24</v>
      </c>
      <c r="AC1305">
        <v>-0.52869999999998596</v>
      </c>
      <c r="AD1305">
        <v>-0.1236545</v>
      </c>
      <c r="AE1305">
        <v>6.6400000000044201E-2</v>
      </c>
      <c r="AF1305">
        <v>0.17690993521515</v>
      </c>
      <c r="AG1305">
        <v>-0.1236545</v>
      </c>
      <c r="AH1305">
        <v>0.473665252453292</v>
      </c>
      <c r="AI1305">
        <v>103.74241195486699</v>
      </c>
      <c r="AJ1305">
        <v>69.519768286997305</v>
      </c>
      <c r="AK1305">
        <v>0.52052505408454597</v>
      </c>
      <c r="AL1305">
        <v>66.534294255847698</v>
      </c>
      <c r="AM1305">
        <v>81.291433945358094</v>
      </c>
      <c r="AN1305">
        <v>1.00000001669725</v>
      </c>
    </row>
    <row r="1306" spans="1:40" x14ac:dyDescent="0.25">
      <c r="A1306" t="str">
        <f>"20190304164622177"</f>
        <v>20190304164622177</v>
      </c>
      <c r="B1306" t="str">
        <f>"1551689182169133"</f>
        <v>1551689182169133</v>
      </c>
      <c r="C1306" t="s">
        <v>40</v>
      </c>
      <c r="D1306">
        <v>5.0795949999999896</v>
      </c>
      <c r="E1306">
        <v>0.56808319999999901</v>
      </c>
      <c r="F1306" t="s">
        <v>41</v>
      </c>
      <c r="G1306">
        <v>-209.03729999999999</v>
      </c>
      <c r="H1306">
        <v>0.98348619999999998</v>
      </c>
      <c r="I1306">
        <v>283.48160000000001</v>
      </c>
      <c r="J1306">
        <v>-208.54640000000001</v>
      </c>
      <c r="K1306">
        <v>1.102481</v>
      </c>
      <c r="L1306">
        <v>283.41199999999998</v>
      </c>
      <c r="M1306">
        <v>-0.97607429999999995</v>
      </c>
      <c r="N1306">
        <v>-1.038582E-2</v>
      </c>
      <c r="O1306">
        <v>-0.21718899999999999</v>
      </c>
      <c r="P1306">
        <v>-0.91719490000000004</v>
      </c>
      <c r="Q1306">
        <v>0.39130490000000001</v>
      </c>
      <c r="R1306">
        <v>-7.5061649999999994E-2</v>
      </c>
      <c r="S1306">
        <v>-3.5250400000000002</v>
      </c>
      <c r="T1306">
        <v>-0.56348799999999999</v>
      </c>
      <c r="U1306">
        <v>0.121582</v>
      </c>
      <c r="V1306">
        <v>0.13391919999999999</v>
      </c>
      <c r="W1306">
        <v>0.39815810000000001</v>
      </c>
      <c r="X1306">
        <v>0.90748870000000004</v>
      </c>
      <c r="Y1306">
        <v>0.24502460000000001</v>
      </c>
      <c r="Z1306">
        <v>5.2794540000000001E-2</v>
      </c>
      <c r="AA1306">
        <v>0.96807840000000001</v>
      </c>
      <c r="AB1306">
        <v>24</v>
      </c>
      <c r="AC1306">
        <v>-0.49089999999998202</v>
      </c>
      <c r="AD1306">
        <v>-0.1189948</v>
      </c>
      <c r="AE1306">
        <v>6.95999999999799E-2</v>
      </c>
      <c r="AF1306">
        <v>0.16505501381526899</v>
      </c>
      <c r="AG1306">
        <v>-0.1189948</v>
      </c>
      <c r="AH1306">
        <v>0.43878907526527</v>
      </c>
      <c r="AI1306">
        <v>104.242337078113</v>
      </c>
      <c r="AJ1306">
        <v>69.385694806050793</v>
      </c>
      <c r="AK1306">
        <v>0.483672174705915</v>
      </c>
      <c r="AL1306">
        <v>66.536916763646502</v>
      </c>
      <c r="AM1306">
        <v>81.605380212557606</v>
      </c>
      <c r="AN1306">
        <v>0.99999998267596901</v>
      </c>
    </row>
    <row r="1307" spans="1:40" x14ac:dyDescent="0.25">
      <c r="A1307" t="str">
        <f>"20190304164622200"</f>
        <v>20190304164622200</v>
      </c>
      <c r="B1307" t="str">
        <f>"1551689182189629"</f>
        <v>1551689182189629</v>
      </c>
      <c r="C1307" t="s">
        <v>40</v>
      </c>
      <c r="D1307">
        <v>4.9418629999999997</v>
      </c>
      <c r="E1307">
        <v>0.55111869999999996</v>
      </c>
      <c r="F1307" t="s">
        <v>41</v>
      </c>
      <c r="G1307">
        <v>-209.46190000000001</v>
      </c>
      <c r="H1307">
        <v>0.95616540000000005</v>
      </c>
      <c r="I1307">
        <v>283.45049999999998</v>
      </c>
      <c r="J1307">
        <v>-208.79339999999999</v>
      </c>
      <c r="K1307">
        <v>1.102773</v>
      </c>
      <c r="L1307">
        <v>283.37169999999998</v>
      </c>
      <c r="M1307">
        <v>-0.97876169999999996</v>
      </c>
      <c r="N1307">
        <v>-1.025037E-2</v>
      </c>
      <c r="O1307">
        <v>-0.2047448</v>
      </c>
      <c r="P1307">
        <v>-0.9176474</v>
      </c>
      <c r="Q1307">
        <v>0.39088270000000003</v>
      </c>
      <c r="R1307">
        <v>-7.1650240000000004E-2</v>
      </c>
      <c r="S1307">
        <v>-3.5230410000000001</v>
      </c>
      <c r="T1307">
        <v>-0.56285240000000003</v>
      </c>
      <c r="U1307">
        <v>0.14782709999999999</v>
      </c>
      <c r="V1307">
        <v>0.12542590000000001</v>
      </c>
      <c r="W1307">
        <v>0.39788430000000002</v>
      </c>
      <c r="X1307">
        <v>0.90882149999999995</v>
      </c>
      <c r="Y1307">
        <v>0.2401209</v>
      </c>
      <c r="Z1307">
        <v>5.0547420000000003E-2</v>
      </c>
      <c r="AA1307">
        <v>0.96942609999999996</v>
      </c>
      <c r="AB1307">
        <v>24</v>
      </c>
      <c r="AC1307">
        <v>-0.66850000000002296</v>
      </c>
      <c r="AD1307">
        <v>-0.14660759999999901</v>
      </c>
      <c r="AE1307">
        <v>7.8800000000000994E-2</v>
      </c>
      <c r="AF1307">
        <v>0.20431736308235199</v>
      </c>
      <c r="AG1307">
        <v>-0.14660759999999901</v>
      </c>
      <c r="AH1307">
        <v>0.60929854526190896</v>
      </c>
      <c r="AI1307">
        <v>102.851081956255</v>
      </c>
      <c r="AJ1307">
        <v>71.462044048789494</v>
      </c>
      <c r="AK1307">
        <v>0.65915407189288</v>
      </c>
      <c r="AL1307">
        <v>66.554018822396799</v>
      </c>
      <c r="AM1307">
        <v>82.142281172762495</v>
      </c>
      <c r="AN1307">
        <v>1.00000004571977</v>
      </c>
    </row>
    <row r="1308" spans="1:40" x14ac:dyDescent="0.25">
      <c r="A1308" t="str">
        <f>"20190304164622243"</f>
        <v>20190304164622243</v>
      </c>
      <c r="B1308" t="str">
        <f>"1551689182239405"</f>
        <v>1551689182239405</v>
      </c>
      <c r="C1308" t="s">
        <v>40</v>
      </c>
      <c r="D1308">
        <v>5.0714090000000001</v>
      </c>
      <c r="E1308">
        <v>0.54895709999999998</v>
      </c>
      <c r="F1308" t="s">
        <v>41</v>
      </c>
      <c r="G1308">
        <v>-209.68870000000001</v>
      </c>
      <c r="H1308">
        <v>0.99921119999999997</v>
      </c>
      <c r="I1308">
        <v>283.38499999999999</v>
      </c>
      <c r="J1308">
        <v>-209.25720000000001</v>
      </c>
      <c r="K1308">
        <v>1.103278</v>
      </c>
      <c r="L1308">
        <v>283.30279999999999</v>
      </c>
      <c r="M1308">
        <v>-0.98312860000000002</v>
      </c>
      <c r="N1308">
        <v>-1.0009830000000001E-2</v>
      </c>
      <c r="O1308">
        <v>-0.18264179999999999</v>
      </c>
      <c r="P1308">
        <v>-0.91828920000000003</v>
      </c>
      <c r="Q1308">
        <v>0.39096649999999999</v>
      </c>
      <c r="R1308">
        <v>-6.2371650000000001E-2</v>
      </c>
      <c r="S1308">
        <v>-3.4427029999999998</v>
      </c>
      <c r="T1308">
        <v>-0.39791130000000002</v>
      </c>
      <c r="U1308">
        <v>5.1055910000000003E-2</v>
      </c>
      <c r="V1308">
        <v>0.11354839999999999</v>
      </c>
      <c r="W1308">
        <v>0.39812969999999998</v>
      </c>
      <c r="X1308">
        <v>0.91027440000000004</v>
      </c>
      <c r="Y1308">
        <v>0.19479579999999999</v>
      </c>
      <c r="Z1308">
        <v>3.132451E-2</v>
      </c>
      <c r="AA1308">
        <v>0.98034350000000003</v>
      </c>
      <c r="AB1308">
        <v>24</v>
      </c>
      <c r="AC1308">
        <v>-0.431499999999999</v>
      </c>
      <c r="AD1308">
        <v>-0.1040668</v>
      </c>
      <c r="AE1308">
        <v>8.2200000000000203E-2</v>
      </c>
      <c r="AF1308">
        <v>0.151147454335016</v>
      </c>
      <c r="AG1308">
        <v>-0.1040668</v>
      </c>
      <c r="AH1308">
        <v>0.38747880754778802</v>
      </c>
      <c r="AI1308">
        <v>104.04765542908299</v>
      </c>
      <c r="AJ1308">
        <v>68.690273757343107</v>
      </c>
      <c r="AK1308">
        <v>0.42873684016288099</v>
      </c>
      <c r="AL1308">
        <v>66.538690808924599</v>
      </c>
      <c r="AM1308">
        <v>82.889604032576798</v>
      </c>
      <c r="AN1308">
        <v>0.99999999023000496</v>
      </c>
    </row>
    <row r="1309" spans="1:40" x14ac:dyDescent="0.25">
      <c r="A1309" t="str">
        <f>"20190304164622263"</f>
        <v>20190304164622263</v>
      </c>
      <c r="B1309" t="str">
        <f>"1551689182258925"</f>
        <v>1551689182258925</v>
      </c>
      <c r="C1309" t="s">
        <v>40</v>
      </c>
      <c r="D1309">
        <v>4.905545</v>
      </c>
      <c r="E1309">
        <v>0.54839300000000002</v>
      </c>
      <c r="F1309" t="s">
        <v>41</v>
      </c>
      <c r="G1309">
        <v>-210.12020000000001</v>
      </c>
      <c r="H1309">
        <v>1.0006090000000001</v>
      </c>
      <c r="I1309">
        <v>283.3186</v>
      </c>
      <c r="J1309">
        <v>-209.48699999999999</v>
      </c>
      <c r="K1309">
        <v>1.103523</v>
      </c>
      <c r="L1309">
        <v>283.27190000000002</v>
      </c>
      <c r="M1309">
        <v>-0.98498669999999999</v>
      </c>
      <c r="N1309">
        <v>-9.8927519999999994E-3</v>
      </c>
      <c r="O1309">
        <v>-0.1723462</v>
      </c>
      <c r="P1309">
        <v>-0.91921759999999997</v>
      </c>
      <c r="Q1309">
        <v>0.38938970000000001</v>
      </c>
      <c r="R1309">
        <v>-5.8432940000000003E-2</v>
      </c>
      <c r="S1309">
        <v>-3.4456790000000002</v>
      </c>
      <c r="T1309">
        <v>-0.40976430000000003</v>
      </c>
      <c r="U1309">
        <v>6.283569E-2</v>
      </c>
      <c r="V1309">
        <v>0.1077394</v>
      </c>
      <c r="W1309">
        <v>0.39662609999999998</v>
      </c>
      <c r="X1309">
        <v>0.91163590000000005</v>
      </c>
      <c r="Y1309">
        <v>0.1878398</v>
      </c>
      <c r="Z1309">
        <v>3.0709279999999999E-2</v>
      </c>
      <c r="AA1309">
        <v>0.98171949999999997</v>
      </c>
      <c r="AB1309">
        <v>24</v>
      </c>
      <c r="AC1309">
        <v>-0.63320000000001597</v>
      </c>
      <c r="AD1309">
        <v>-0.10291399999999901</v>
      </c>
      <c r="AE1309">
        <v>4.6699999999987002E-2</v>
      </c>
      <c r="AF1309">
        <v>0.15116453384440701</v>
      </c>
      <c r="AG1309">
        <v>-0.10291399999999901</v>
      </c>
      <c r="AH1309">
        <v>0.59991359065364602</v>
      </c>
      <c r="AI1309">
        <v>99.444576972209106</v>
      </c>
      <c r="AJ1309">
        <v>75.857186020430404</v>
      </c>
      <c r="AK1309">
        <v>0.62716690277736098</v>
      </c>
      <c r="AL1309">
        <v>66.632572277608801</v>
      </c>
      <c r="AM1309">
        <v>83.2599059793083</v>
      </c>
      <c r="AN1309">
        <v>1.00000002784118</v>
      </c>
    </row>
    <row r="1310" spans="1:40" x14ac:dyDescent="0.25">
      <c r="A1310" t="str">
        <f>"20190304164622284"</f>
        <v>20190304164622284</v>
      </c>
      <c r="B1310" t="str">
        <f>"1551689182279421"</f>
        <v>1551689182279421</v>
      </c>
      <c r="C1310" t="s">
        <v>40</v>
      </c>
      <c r="D1310">
        <v>4.8953089999999904</v>
      </c>
      <c r="E1310">
        <v>0.54824519999999899</v>
      </c>
      <c r="F1310" t="s">
        <v>41</v>
      </c>
      <c r="G1310">
        <v>-210.33510000000001</v>
      </c>
      <c r="H1310">
        <v>0.99647030000000003</v>
      </c>
      <c r="I1310">
        <v>283.28859999999997</v>
      </c>
      <c r="J1310">
        <v>-209.7201</v>
      </c>
      <c r="K1310">
        <v>1.1037870000000001</v>
      </c>
      <c r="L1310">
        <v>283.24250000000001</v>
      </c>
      <c r="M1310">
        <v>-0.98668020000000001</v>
      </c>
      <c r="N1310">
        <v>-9.7706649999999996E-3</v>
      </c>
      <c r="O1310">
        <v>-0.16237960000000001</v>
      </c>
      <c r="P1310">
        <v>-0.92042139999999995</v>
      </c>
      <c r="Q1310">
        <v>0.38657399999999997</v>
      </c>
      <c r="R1310">
        <v>-5.8183789999999999E-2</v>
      </c>
      <c r="S1310">
        <v>-3.4525450000000002</v>
      </c>
      <c r="T1310">
        <v>-0.43577359999999998</v>
      </c>
      <c r="U1310">
        <v>6.8023680000000003E-2</v>
      </c>
      <c r="V1310">
        <v>9.8610089999999997E-2</v>
      </c>
      <c r="W1310">
        <v>0.39393820000000002</v>
      </c>
      <c r="X1310">
        <v>0.91383190000000003</v>
      </c>
      <c r="Y1310">
        <v>0.1791721</v>
      </c>
      <c r="Z1310">
        <v>3.0907420000000001E-2</v>
      </c>
      <c r="AA1310">
        <v>0.98333219999999999</v>
      </c>
      <c r="AB1310">
        <v>24</v>
      </c>
      <c r="AC1310">
        <v>-0.61500000000000898</v>
      </c>
      <c r="AD1310">
        <v>-0.107316699999999</v>
      </c>
      <c r="AE1310">
        <v>4.6099999999967098E-2</v>
      </c>
      <c r="AF1310">
        <v>0.14108433401297499</v>
      </c>
      <c r="AG1310">
        <v>-0.107316699999999</v>
      </c>
      <c r="AH1310">
        <v>0.58173633093689903</v>
      </c>
      <c r="AI1310">
        <v>100.16398200312599</v>
      </c>
      <c r="AJ1310">
        <v>76.367670827530105</v>
      </c>
      <c r="AK1310">
        <v>0.60814375120912001</v>
      </c>
      <c r="AL1310">
        <v>66.800231202926298</v>
      </c>
      <c r="AM1310">
        <v>83.841138378139703</v>
      </c>
      <c r="AN1310">
        <v>0.99999999836332898</v>
      </c>
    </row>
    <row r="1311" spans="1:40" x14ac:dyDescent="0.25">
      <c r="A1311" t="str">
        <f>"20190304164622306"</f>
        <v>20190304164622306</v>
      </c>
      <c r="B1311" t="str">
        <f>"1551689182298941"</f>
        <v>1551689182298941</v>
      </c>
      <c r="C1311" t="s">
        <v>40</v>
      </c>
      <c r="D1311">
        <v>4.7898310000000004</v>
      </c>
      <c r="E1311">
        <v>0.54647019999999902</v>
      </c>
      <c r="F1311" t="s">
        <v>41</v>
      </c>
      <c r="G1311">
        <v>-210.55170000000001</v>
      </c>
      <c r="H1311">
        <v>0.99393010000000004</v>
      </c>
      <c r="I1311">
        <v>283.2611</v>
      </c>
      <c r="J1311">
        <v>-209.96780000000001</v>
      </c>
      <c r="K1311">
        <v>1.1041299999999901</v>
      </c>
      <c r="L1311">
        <v>283.21319999999997</v>
      </c>
      <c r="M1311">
        <v>-0.98826800000000004</v>
      </c>
      <c r="N1311">
        <v>-9.6303900000000008E-3</v>
      </c>
      <c r="O1311">
        <v>-0.15242530000000001</v>
      </c>
      <c r="P1311">
        <v>-0.92110400000000003</v>
      </c>
      <c r="Q1311">
        <v>0.3854033</v>
      </c>
      <c r="R1311">
        <v>-5.5060739999999997E-2</v>
      </c>
      <c r="S1311">
        <v>-3.4558870000000002</v>
      </c>
      <c r="T1311">
        <v>-0.45631959999999999</v>
      </c>
      <c r="U1311">
        <v>7.7087399999999903E-2</v>
      </c>
      <c r="V1311">
        <v>9.2178019999999999E-2</v>
      </c>
      <c r="W1311">
        <v>0.39283210000000002</v>
      </c>
      <c r="X1311">
        <v>0.91497879999999998</v>
      </c>
      <c r="Y1311">
        <v>0.17170469999999999</v>
      </c>
      <c r="Z1311">
        <v>3.0637190000000002E-2</v>
      </c>
      <c r="AA1311">
        <v>0.98467199999999999</v>
      </c>
      <c r="AB1311">
        <v>24</v>
      </c>
      <c r="AC1311">
        <v>-0.58389999999999898</v>
      </c>
      <c r="AD1311">
        <v>-0.110199899999999</v>
      </c>
      <c r="AE1311">
        <v>4.79000000000269E-2</v>
      </c>
      <c r="AF1311">
        <v>0.13168628348899999</v>
      </c>
      <c r="AG1311">
        <v>-0.110199899999999</v>
      </c>
      <c r="AH1311">
        <v>0.55030454061980405</v>
      </c>
      <c r="AI1311">
        <v>101.020634377424</v>
      </c>
      <c r="AJ1311">
        <v>76.5423523192527</v>
      </c>
      <c r="AK1311">
        <v>0.57647236069557495</v>
      </c>
      <c r="AL1311">
        <v>66.8691645097866</v>
      </c>
      <c r="AM1311">
        <v>84.2472414354054</v>
      </c>
      <c r="AN1311">
        <v>1.0000000253054799</v>
      </c>
    </row>
    <row r="1312" spans="1:40" x14ac:dyDescent="0.25">
      <c r="A1312" t="str">
        <f>"20190304164622330"</f>
        <v>20190304164622330</v>
      </c>
      <c r="B1312" t="str">
        <f>"1551689182319437"</f>
        <v>1551689182319437</v>
      </c>
      <c r="C1312" t="s">
        <v>40</v>
      </c>
      <c r="D1312">
        <v>4.7644129999999896</v>
      </c>
      <c r="E1312">
        <v>0.5212175</v>
      </c>
      <c r="F1312" t="s">
        <v>41</v>
      </c>
      <c r="G1312">
        <v>-210.77090000000001</v>
      </c>
      <c r="H1312">
        <v>0.99666580000000005</v>
      </c>
      <c r="I1312">
        <v>283.23070000000001</v>
      </c>
      <c r="J1312">
        <v>-210.2193</v>
      </c>
      <c r="K1312">
        <v>1.104562</v>
      </c>
      <c r="L1312">
        <v>283.18520000000001</v>
      </c>
      <c r="M1312">
        <v>-0.98967000000000005</v>
      </c>
      <c r="N1312">
        <v>-9.4788149999999998E-3</v>
      </c>
      <c r="O1312">
        <v>-0.1430505</v>
      </c>
      <c r="P1312">
        <v>-0.92155370000000003</v>
      </c>
      <c r="Q1312">
        <v>0.38510909999999998</v>
      </c>
      <c r="R1312">
        <v>-4.9296239999999998E-2</v>
      </c>
      <c r="S1312">
        <v>-3.4548339999999902</v>
      </c>
      <c r="T1312">
        <v>-0.4621806</v>
      </c>
      <c r="U1312">
        <v>7.5103760000000006E-2</v>
      </c>
      <c r="V1312">
        <v>8.8795499999999999E-2</v>
      </c>
      <c r="W1312">
        <v>0.39254749999999999</v>
      </c>
      <c r="X1312">
        <v>0.91543529999999995</v>
      </c>
      <c r="Y1312">
        <v>0.16189389999999901</v>
      </c>
      <c r="Z1312">
        <v>2.92053E-2</v>
      </c>
      <c r="AA1312">
        <v>0.98637589999999997</v>
      </c>
      <c r="AB1312">
        <v>24</v>
      </c>
      <c r="AC1312">
        <v>-0.55160000000000697</v>
      </c>
      <c r="AD1312">
        <v>-0.107896199999999</v>
      </c>
      <c r="AE1312">
        <v>4.5500000000004003E-2</v>
      </c>
      <c r="AF1312">
        <v>0.11940447120261601</v>
      </c>
      <c r="AG1312">
        <v>-0.107896199999999</v>
      </c>
      <c r="AH1312">
        <v>0.51966840738852704</v>
      </c>
      <c r="AI1312">
        <v>101.43946394168699</v>
      </c>
      <c r="AJ1312">
        <v>77.0597246933539</v>
      </c>
      <c r="AK1312">
        <v>0.544016793265929</v>
      </c>
      <c r="AL1312">
        <v>66.886894178027106</v>
      </c>
      <c r="AM1312">
        <v>84.459749313534303</v>
      </c>
      <c r="AN1312">
        <v>0.99999998453129402</v>
      </c>
    </row>
    <row r="1313" spans="1:40" x14ac:dyDescent="0.25">
      <c r="A1313" t="str">
        <f>"20190304164622351"</f>
        <v>20190304164622351</v>
      </c>
      <c r="B1313" t="str">
        <f>"1551689182338957"</f>
        <v>1551689182338957</v>
      </c>
      <c r="C1313" t="s">
        <v>40</v>
      </c>
      <c r="D1313">
        <v>4.7541390000000003</v>
      </c>
      <c r="E1313">
        <v>0.5206615</v>
      </c>
      <c r="F1313" t="s">
        <v>41</v>
      </c>
      <c r="G1313">
        <v>-210.9948</v>
      </c>
      <c r="H1313">
        <v>1.020349</v>
      </c>
      <c r="I1313">
        <v>283.16079999999999</v>
      </c>
      <c r="J1313">
        <v>-210.4623</v>
      </c>
      <c r="K1313">
        <v>1.105043</v>
      </c>
      <c r="L1313">
        <v>283.15969999999999</v>
      </c>
      <c r="M1313">
        <v>-0.9908399</v>
      </c>
      <c r="N1313">
        <v>-9.3310149999999998E-3</v>
      </c>
      <c r="O1313">
        <v>-0.13471820000000001</v>
      </c>
      <c r="P1313">
        <v>-0.92239249999999995</v>
      </c>
      <c r="Q1313">
        <v>0.38335049999999998</v>
      </c>
      <c r="R1313">
        <v>-4.7268839999999999E-2</v>
      </c>
      <c r="S1313">
        <v>-3.4039459999999999</v>
      </c>
      <c r="T1313">
        <v>-0.36932599999999999</v>
      </c>
      <c r="U1313">
        <v>-0.1079407</v>
      </c>
      <c r="V1313">
        <v>8.2681439999999995E-2</v>
      </c>
      <c r="W1313">
        <v>0.39084780000000002</v>
      </c>
      <c r="X1313">
        <v>0.9167343</v>
      </c>
      <c r="Y1313">
        <v>0.10194689999999999</v>
      </c>
      <c r="Z1313">
        <v>1.926259E-2</v>
      </c>
      <c r="AA1313">
        <v>0.99460329999999997</v>
      </c>
      <c r="AB1313">
        <v>24</v>
      </c>
      <c r="AC1313">
        <v>-0.53249999999999797</v>
      </c>
      <c r="AD1313">
        <v>-8.4694000000000005E-2</v>
      </c>
      <c r="AE1313">
        <v>1.1000000000080899E-3</v>
      </c>
      <c r="AF1313">
        <v>7.1033626724517004E-2</v>
      </c>
      <c r="AG1313">
        <v>-8.4694000000000005E-2</v>
      </c>
      <c r="AH1313">
        <v>0.51448236596193198</v>
      </c>
      <c r="AI1313">
        <v>99.261861083797299</v>
      </c>
      <c r="AJ1313">
        <v>82.138977564510597</v>
      </c>
      <c r="AK1313">
        <v>0.52622329352416997</v>
      </c>
      <c r="AL1313">
        <v>66.992737719888396</v>
      </c>
      <c r="AM1313">
        <v>84.8463641462466</v>
      </c>
      <c r="AN1313">
        <v>1.0000000000409</v>
      </c>
    </row>
    <row r="1314" spans="1:40" x14ac:dyDescent="0.25">
      <c r="A1314" t="str">
        <f>"20190304164622375"</f>
        <v>20190304164622375</v>
      </c>
      <c r="B1314" t="str">
        <f>"1551689182369213"</f>
        <v>1551689182369213</v>
      </c>
      <c r="C1314" t="s">
        <v>40</v>
      </c>
      <c r="D1314">
        <v>4.7266089999999998</v>
      </c>
      <c r="E1314">
        <v>0.52032719999999999</v>
      </c>
      <c r="F1314" t="s">
        <v>41</v>
      </c>
      <c r="G1314">
        <v>-211.2165</v>
      </c>
      <c r="H1314">
        <v>1.0228870000000001</v>
      </c>
      <c r="I1314">
        <v>283.13670000000002</v>
      </c>
      <c r="J1314">
        <v>-210.7115</v>
      </c>
      <c r="K1314">
        <v>1.105558</v>
      </c>
      <c r="L1314">
        <v>283.13479999999998</v>
      </c>
      <c r="M1314">
        <v>-0.99186980000000002</v>
      </c>
      <c r="N1314">
        <v>-9.1810480000000007E-3</v>
      </c>
      <c r="O1314">
        <v>-0.12692600000000001</v>
      </c>
      <c r="P1314">
        <v>-0.92328790000000005</v>
      </c>
      <c r="Q1314">
        <v>0.38113580000000002</v>
      </c>
      <c r="R1314">
        <v>-4.7699499999999999E-2</v>
      </c>
      <c r="S1314">
        <v>-3.401062</v>
      </c>
      <c r="T1314">
        <v>-0.3704826</v>
      </c>
      <c r="U1314">
        <v>-0.10397339999999999</v>
      </c>
      <c r="V1314">
        <v>7.4597090000000005E-2</v>
      </c>
      <c r="W1314">
        <v>0.388708</v>
      </c>
      <c r="X1314">
        <v>0.91833620000000005</v>
      </c>
      <c r="Y1314">
        <v>9.5326960000000002E-2</v>
      </c>
      <c r="Z1314">
        <v>1.8197350000000001E-2</v>
      </c>
      <c r="AA1314">
        <v>0.99527969999999999</v>
      </c>
      <c r="AB1314">
        <v>24</v>
      </c>
      <c r="AC1314">
        <v>-0.50499999999999501</v>
      </c>
      <c r="AD1314">
        <v>-8.2670999999999897E-2</v>
      </c>
      <c r="AE1314">
        <v>1.90000000003465E-3</v>
      </c>
      <c r="AF1314">
        <v>6.4262783107892796E-2</v>
      </c>
      <c r="AG1314">
        <v>-8.2670999999999897E-2</v>
      </c>
      <c r="AH1314">
        <v>0.48760679977100402</v>
      </c>
      <c r="AI1314">
        <v>99.541699713148006</v>
      </c>
      <c r="AJ1314">
        <v>82.492130972941396</v>
      </c>
      <c r="AK1314">
        <v>0.49872295988523802</v>
      </c>
      <c r="AL1314">
        <v>67.125868887992297</v>
      </c>
      <c r="AM1314">
        <v>85.356020278535993</v>
      </c>
      <c r="AN1314">
        <v>1.0000000056654501</v>
      </c>
    </row>
    <row r="1315" spans="1:40" x14ac:dyDescent="0.25">
      <c r="A1315" t="str">
        <f>"20190304164622398"</f>
        <v>20190304164622398</v>
      </c>
      <c r="B1315" t="str">
        <f>"1551689182389709"</f>
        <v>1551689182389709</v>
      </c>
      <c r="C1315" t="s">
        <v>40</v>
      </c>
      <c r="D1315">
        <v>4.7013290000000003</v>
      </c>
      <c r="E1315">
        <v>0.52053640000000001</v>
      </c>
      <c r="F1315" t="s">
        <v>41</v>
      </c>
      <c r="G1315">
        <v>-211.4391</v>
      </c>
      <c r="H1315">
        <v>1.0261929999999999</v>
      </c>
      <c r="I1315">
        <v>283.1139</v>
      </c>
      <c r="J1315">
        <v>-210.97929999999999</v>
      </c>
      <c r="K1315">
        <v>1.1060909999999999</v>
      </c>
      <c r="L1315">
        <v>283.10930000000002</v>
      </c>
      <c r="M1315">
        <v>-0.99279309999999998</v>
      </c>
      <c r="N1315">
        <v>-9.0185930000000001E-3</v>
      </c>
      <c r="O1315">
        <v>-0.1195008</v>
      </c>
      <c r="P1315">
        <v>-0.92366950000000003</v>
      </c>
      <c r="Q1315">
        <v>0.38054539999999998</v>
      </c>
      <c r="R1315">
        <v>-4.4944320000000003E-2</v>
      </c>
      <c r="S1315">
        <v>-3.3970639999999999</v>
      </c>
      <c r="T1315">
        <v>-0.37027569999999999</v>
      </c>
      <c r="U1315">
        <v>-9.8083500000000004E-2</v>
      </c>
      <c r="V1315">
        <v>6.9954840000000004E-2</v>
      </c>
      <c r="W1315">
        <v>0.38811659999999998</v>
      </c>
      <c r="X1315">
        <v>0.91895150000000003</v>
      </c>
      <c r="Y1315">
        <v>8.9635859999999998E-2</v>
      </c>
      <c r="Z1315">
        <v>1.7153539999999998E-2</v>
      </c>
      <c r="AA1315">
        <v>0.99582689999999996</v>
      </c>
      <c r="AB1315">
        <v>25</v>
      </c>
      <c r="AC1315">
        <v>-0.45980000000000099</v>
      </c>
      <c r="AD1315">
        <v>-7.9897999999999803E-2</v>
      </c>
      <c r="AE1315">
        <v>4.5999999999821696E-3</v>
      </c>
      <c r="AF1315">
        <v>5.7771507546095099E-2</v>
      </c>
      <c r="AG1315">
        <v>-7.9897999999999803E-2</v>
      </c>
      <c r="AH1315">
        <v>0.44259242059514797</v>
      </c>
      <c r="AI1315">
        <v>100.14870227327</v>
      </c>
      <c r="AJ1315">
        <v>82.563238128338199</v>
      </c>
      <c r="AK1315">
        <v>0.45344160402021</v>
      </c>
      <c r="AL1315">
        <v>67.162641003902195</v>
      </c>
      <c r="AM1315">
        <v>85.646776128883602</v>
      </c>
      <c r="AN1315">
        <v>1.0000000170936101</v>
      </c>
    </row>
    <row r="1316" spans="1:40" x14ac:dyDescent="0.25">
      <c r="A1316" t="str">
        <f>"20190304164622420"</f>
        <v>20190304164622420</v>
      </c>
      <c r="B1316" t="str">
        <f>"1551689182409229"</f>
        <v>1551689182409229</v>
      </c>
      <c r="C1316" t="s">
        <v>40</v>
      </c>
      <c r="D1316">
        <v>4.7225080000000004</v>
      </c>
      <c r="E1316">
        <v>0.52068159999999997</v>
      </c>
      <c r="F1316" t="s">
        <v>41</v>
      </c>
      <c r="G1316">
        <v>-211.8759</v>
      </c>
      <c r="H1316">
        <v>1.008165</v>
      </c>
      <c r="I1316">
        <v>283.08569999999997</v>
      </c>
      <c r="J1316">
        <v>-211.22380000000001</v>
      </c>
      <c r="K1316">
        <v>1.1065199999999999</v>
      </c>
      <c r="L1316">
        <v>283.08679999999998</v>
      </c>
      <c r="M1316">
        <v>-0.99350830000000001</v>
      </c>
      <c r="N1316">
        <v>-8.8717009999999992E-3</v>
      </c>
      <c r="O1316">
        <v>-0.1134134</v>
      </c>
      <c r="P1316">
        <v>-0.92326889999999995</v>
      </c>
      <c r="Q1316">
        <v>0.38175029999999999</v>
      </c>
      <c r="R1316">
        <v>-4.2912980000000003E-2</v>
      </c>
      <c r="S1316">
        <v>-3.3963169999999998</v>
      </c>
      <c r="T1316">
        <v>-0.37081530000000001</v>
      </c>
      <c r="U1316">
        <v>-8.9935299999999996E-2</v>
      </c>
      <c r="V1316">
        <v>6.5872260000000002E-2</v>
      </c>
      <c r="W1316">
        <v>0.38929360000000002</v>
      </c>
      <c r="X1316">
        <v>0.9187554</v>
      </c>
      <c r="Y1316">
        <v>8.5960469999999997E-2</v>
      </c>
      <c r="Z1316">
        <v>1.6374440000000001E-2</v>
      </c>
      <c r="AA1316">
        <v>0.99616400000000005</v>
      </c>
      <c r="AB1316">
        <v>25</v>
      </c>
      <c r="AC1316">
        <v>-0.65209999999999002</v>
      </c>
      <c r="AD1316">
        <v>-9.8355000000000206E-2</v>
      </c>
      <c r="AE1316">
        <v>-1.1000000000080899E-3</v>
      </c>
      <c r="AF1316">
        <v>7.1246103750574996E-2</v>
      </c>
      <c r="AG1316">
        <v>-9.8355000000000206E-2</v>
      </c>
      <c r="AH1316">
        <v>0.63360313484019404</v>
      </c>
      <c r="AI1316">
        <v>98.769272171830494</v>
      </c>
      <c r="AJ1316">
        <v>83.5842716589014</v>
      </c>
      <c r="AK1316">
        <v>0.64513769522789399</v>
      </c>
      <c r="AL1316">
        <v>67.089449503600093</v>
      </c>
      <c r="AM1316">
        <v>85.899065993826596</v>
      </c>
      <c r="AN1316">
        <v>1.0000000733338099</v>
      </c>
    </row>
    <row r="1317" spans="1:40" x14ac:dyDescent="0.25">
      <c r="A1317" t="str">
        <f>"20190304164622442"</f>
        <v>20190304164622442</v>
      </c>
      <c r="B1317" t="str">
        <f>"1551689182429725"</f>
        <v>1551689182429725</v>
      </c>
      <c r="C1317" t="s">
        <v>40</v>
      </c>
      <c r="D1317">
        <v>4.7285510000000004</v>
      </c>
      <c r="E1317">
        <v>0.52079350000000002</v>
      </c>
      <c r="F1317" t="s">
        <v>41</v>
      </c>
      <c r="G1317">
        <v>-212.10050000000001</v>
      </c>
      <c r="H1317">
        <v>1.0118720000000001</v>
      </c>
      <c r="I1317">
        <v>283.06509999999997</v>
      </c>
      <c r="J1317">
        <v>-211.47049999999999</v>
      </c>
      <c r="K1317">
        <v>1.106849</v>
      </c>
      <c r="L1317">
        <v>283.06509999999997</v>
      </c>
      <c r="M1317">
        <v>-0.99413149999999995</v>
      </c>
      <c r="N1317">
        <v>-8.7300729999999997E-3</v>
      </c>
      <c r="O1317">
        <v>-0.107825</v>
      </c>
      <c r="P1317">
        <v>-0.92284889999999997</v>
      </c>
      <c r="Q1317">
        <v>0.38262279999999999</v>
      </c>
      <c r="R1317">
        <v>-4.4157750000000003E-2</v>
      </c>
      <c r="S1317">
        <v>-3.3970950000000002</v>
      </c>
      <c r="T1317">
        <v>-0.36676429999999999</v>
      </c>
      <c r="U1317">
        <v>-8.3709720000000001E-2</v>
      </c>
      <c r="V1317">
        <v>5.9089349999999999E-2</v>
      </c>
      <c r="W1317">
        <v>0.3901481</v>
      </c>
      <c r="X1317">
        <v>0.91885410000000001</v>
      </c>
      <c r="Y1317">
        <v>8.2262959999999996E-2</v>
      </c>
      <c r="Z1317">
        <v>1.543199E-2</v>
      </c>
      <c r="AA1317">
        <v>0.99649120000000002</v>
      </c>
      <c r="AB1317">
        <v>25</v>
      </c>
      <c r="AC1317">
        <v>-0.63000000000002299</v>
      </c>
      <c r="AD1317">
        <v>-9.4977000000000006E-2</v>
      </c>
      <c r="AE1317">
        <v>0</v>
      </c>
      <c r="AF1317">
        <v>6.6422706277781907E-2</v>
      </c>
      <c r="AG1317">
        <v>-9.4977000000000006E-2</v>
      </c>
      <c r="AH1317">
        <v>0.61240811153248997</v>
      </c>
      <c r="AI1317">
        <v>98.765043383799593</v>
      </c>
      <c r="AJ1317">
        <v>83.809811348369195</v>
      </c>
      <c r="AK1317">
        <v>0.62327867082794897</v>
      </c>
      <c r="AL1317">
        <v>67.0362844442393</v>
      </c>
      <c r="AM1317">
        <v>86.320509495903906</v>
      </c>
      <c r="AN1317">
        <v>0.99999997415191999</v>
      </c>
    </row>
    <row r="1318" spans="1:40" x14ac:dyDescent="0.25">
      <c r="A1318" t="str">
        <f>"20190304164622463"</f>
        <v>20190304164622463</v>
      </c>
      <c r="B1318" t="str">
        <f>"1551689182459005"</f>
        <v>1551689182459005</v>
      </c>
      <c r="C1318" t="s">
        <v>40</v>
      </c>
      <c r="D1318">
        <v>4.720961</v>
      </c>
      <c r="E1318">
        <v>0.5208043</v>
      </c>
      <c r="F1318" t="s">
        <v>41</v>
      </c>
      <c r="G1318">
        <v>-212.32570000000001</v>
      </c>
      <c r="H1318">
        <v>1.0157309999999999</v>
      </c>
      <c r="I1318">
        <v>283.04480000000001</v>
      </c>
      <c r="J1318">
        <v>-211.70590000000001</v>
      </c>
      <c r="K1318">
        <v>1.1070979999999999</v>
      </c>
      <c r="L1318">
        <v>283.04520000000002</v>
      </c>
      <c r="M1318">
        <v>-0.99465049999999999</v>
      </c>
      <c r="N1318">
        <v>-8.6002709999999996E-3</v>
      </c>
      <c r="O1318">
        <v>-0.1029384</v>
      </c>
      <c r="P1318">
        <v>-0.92231569999999996</v>
      </c>
      <c r="Q1318">
        <v>0.38383</v>
      </c>
      <c r="R1318">
        <v>-4.4818219999999999E-2</v>
      </c>
      <c r="S1318">
        <v>-3.3969119999999999</v>
      </c>
      <c r="T1318">
        <v>-0.3618053</v>
      </c>
      <c r="U1318">
        <v>-8.1268309999999996E-2</v>
      </c>
      <c r="V1318">
        <v>5.3614740000000001E-2</v>
      </c>
      <c r="W1318">
        <v>0.39131389999999999</v>
      </c>
      <c r="X1318">
        <v>0.91869409999999896</v>
      </c>
      <c r="Y1318">
        <v>7.815532E-2</v>
      </c>
      <c r="Z1318">
        <v>1.45162E-2</v>
      </c>
      <c r="AA1318">
        <v>0.99683549999999999</v>
      </c>
      <c r="AB1318">
        <v>25</v>
      </c>
      <c r="AC1318">
        <v>-0.61979999999999702</v>
      </c>
      <c r="AD1318">
        <v>-9.1366999999999907E-2</v>
      </c>
      <c r="AE1318">
        <v>-4.0000000001327803E-4</v>
      </c>
      <c r="AF1318">
        <v>6.2057157629593199E-2</v>
      </c>
      <c r="AG1318">
        <v>-9.1366999999999907E-2</v>
      </c>
      <c r="AH1318">
        <v>0.60343526735867203</v>
      </c>
      <c r="AI1318">
        <v>98.565339732264206</v>
      </c>
      <c r="AJ1318">
        <v>84.128355420771001</v>
      </c>
      <c r="AK1318">
        <v>0.61345997538086905</v>
      </c>
      <c r="AL1318">
        <v>66.963720660203805</v>
      </c>
      <c r="AM1318">
        <v>86.660022146839296</v>
      </c>
      <c r="AN1318">
        <v>0.99999997902664295</v>
      </c>
    </row>
    <row r="1319" spans="1:40" x14ac:dyDescent="0.25">
      <c r="A1319" t="str">
        <f>"20190304164622485"</f>
        <v>20190304164622485</v>
      </c>
      <c r="B1319" t="str">
        <f>"1551689182479501"</f>
        <v>1551689182479501</v>
      </c>
      <c r="C1319" t="s">
        <v>40</v>
      </c>
      <c r="D1319">
        <v>4.6967689999999997</v>
      </c>
      <c r="E1319">
        <v>0.52072050000000003</v>
      </c>
      <c r="F1319" t="s">
        <v>41</v>
      </c>
      <c r="G1319">
        <v>-212.55090000000001</v>
      </c>
      <c r="H1319">
        <v>1.0182340000000001</v>
      </c>
      <c r="I1319">
        <v>283.02319999999997</v>
      </c>
      <c r="J1319">
        <v>-211.9495</v>
      </c>
      <c r="K1319">
        <v>1.107315</v>
      </c>
      <c r="L1319">
        <v>283.02530000000002</v>
      </c>
      <c r="M1319">
        <v>-0.99512140000000004</v>
      </c>
      <c r="N1319">
        <v>-8.4682779999999992E-3</v>
      </c>
      <c r="O1319">
        <v>-9.8294850000000003E-2</v>
      </c>
      <c r="P1319">
        <v>-0.92170850000000004</v>
      </c>
      <c r="Q1319">
        <v>0.38515890000000003</v>
      </c>
      <c r="R1319">
        <v>-4.5893940000000001E-2</v>
      </c>
      <c r="S1319">
        <v>-3.3970790000000002</v>
      </c>
      <c r="T1319">
        <v>-0.3573499</v>
      </c>
      <c r="U1319">
        <v>-8.8623049999999995E-2</v>
      </c>
      <c r="V1319">
        <v>4.7980950000000001E-2</v>
      </c>
      <c r="W1319">
        <v>0.39258999999999999</v>
      </c>
      <c r="X1319">
        <v>0.91846110000000003</v>
      </c>
      <c r="Y1319">
        <v>7.1430110000000005E-2</v>
      </c>
      <c r="Z1319">
        <v>1.351191E-2</v>
      </c>
      <c r="AA1319">
        <v>0.99735410000000002</v>
      </c>
      <c r="AB1319">
        <v>25</v>
      </c>
      <c r="AC1319">
        <v>-0.60140000000001204</v>
      </c>
      <c r="AD1319">
        <v>-8.9080999999999896E-2</v>
      </c>
      <c r="AE1319">
        <v>-2.1000000000412902E-3</v>
      </c>
      <c r="AF1319">
        <v>5.5802496491068297E-2</v>
      </c>
      <c r="AG1319">
        <v>-8.9080999999999896E-2</v>
      </c>
      <c r="AH1319">
        <v>0.585840458212185</v>
      </c>
      <c r="AI1319">
        <v>98.6076084623772</v>
      </c>
      <c r="AJ1319">
        <v>84.558876395675298</v>
      </c>
      <c r="AK1319">
        <v>0.595196090086199</v>
      </c>
      <c r="AL1319">
        <v>66.884245375482905</v>
      </c>
      <c r="AM1319">
        <v>87.009553070467405</v>
      </c>
      <c r="AN1319">
        <v>0.99999993593805403</v>
      </c>
    </row>
    <row r="1320" spans="1:40" x14ac:dyDescent="0.25">
      <c r="A1320" t="str">
        <f>"20190304164622508"</f>
        <v>20190304164622508</v>
      </c>
      <c r="B1320" t="str">
        <f>"1551689182499021"</f>
        <v>1551689182499021</v>
      </c>
      <c r="C1320" t="s">
        <v>40</v>
      </c>
      <c r="D1320">
        <v>4.6857499999999996</v>
      </c>
      <c r="E1320">
        <v>0.52062229999999998</v>
      </c>
      <c r="F1320" t="s">
        <v>41</v>
      </c>
      <c r="G1320">
        <v>-212.77719999999999</v>
      </c>
      <c r="H1320">
        <v>1.0216050000000001</v>
      </c>
      <c r="I1320">
        <v>283.00240000000002</v>
      </c>
      <c r="J1320">
        <v>-212.2176</v>
      </c>
      <c r="K1320">
        <v>1.107534</v>
      </c>
      <c r="L1320">
        <v>283.00439999999998</v>
      </c>
      <c r="M1320">
        <v>-0.99557640000000003</v>
      </c>
      <c r="N1320">
        <v>-8.3237999999999993E-3</v>
      </c>
      <c r="O1320">
        <v>-9.3586840000000004E-2</v>
      </c>
      <c r="P1320">
        <v>-0.92080399999999996</v>
      </c>
      <c r="Q1320">
        <v>0.38678659999999998</v>
      </c>
      <c r="R1320">
        <v>-5.0163609999999997E-2</v>
      </c>
      <c r="S1320">
        <v>-3.3970950000000002</v>
      </c>
      <c r="T1320">
        <v>-0.35176160000000001</v>
      </c>
      <c r="U1320">
        <v>-9.47876E-2</v>
      </c>
      <c r="V1320">
        <v>3.9081579999999998E-2</v>
      </c>
      <c r="W1320">
        <v>0.3941713</v>
      </c>
      <c r="X1320">
        <v>0.91820559999999996</v>
      </c>
      <c r="Y1320">
        <v>6.4987989999999995E-2</v>
      </c>
      <c r="Z1320">
        <v>1.249752E-2</v>
      </c>
      <c r="AA1320">
        <v>0.99780780000000002</v>
      </c>
      <c r="AB1320">
        <v>25</v>
      </c>
      <c r="AC1320">
        <v>-0.559599999999989</v>
      </c>
      <c r="AD1320">
        <v>-8.5929000000000103E-2</v>
      </c>
      <c r="AE1320">
        <v>-1.9999999999527002E-3</v>
      </c>
      <c r="AF1320">
        <v>4.9221215667216198E-2</v>
      </c>
      <c r="AG1320">
        <v>-8.5929000000000103E-2</v>
      </c>
      <c r="AH1320">
        <v>0.544492603717457</v>
      </c>
      <c r="AI1320">
        <v>98.932327040278096</v>
      </c>
      <c r="AJ1320">
        <v>84.834597667071094</v>
      </c>
      <c r="AK1320">
        <v>0.55342453561056903</v>
      </c>
      <c r="AL1320">
        <v>66.785698678521101</v>
      </c>
      <c r="AM1320">
        <v>87.562791091446002</v>
      </c>
      <c r="AN1320">
        <v>0.99999995375517203</v>
      </c>
    </row>
    <row r="1321" spans="1:40" x14ac:dyDescent="0.25">
      <c r="A1321" t="str">
        <f>"20190304164622530"</f>
        <v>20190304164622530</v>
      </c>
      <c r="B1321" t="str">
        <f>"1551689182519517"</f>
        <v>1551689182519517</v>
      </c>
      <c r="C1321" t="s">
        <v>40</v>
      </c>
      <c r="D1321">
        <v>4.7195689999999999</v>
      </c>
      <c r="E1321">
        <v>0.52054369999999905</v>
      </c>
      <c r="F1321" t="s">
        <v>41</v>
      </c>
      <c r="G1321">
        <v>-213.0051</v>
      </c>
      <c r="H1321">
        <v>1.0274570000000001</v>
      </c>
      <c r="I1321">
        <v>282.97980000000001</v>
      </c>
      <c r="J1321">
        <v>-212.46299999999999</v>
      </c>
      <c r="K1321">
        <v>1.1077360000000001</v>
      </c>
      <c r="L1321">
        <v>282.98599999999999</v>
      </c>
      <c r="M1321">
        <v>-0.995946</v>
      </c>
      <c r="N1321">
        <v>-8.19311E-3</v>
      </c>
      <c r="O1321">
        <v>-8.958033E-2</v>
      </c>
      <c r="P1321">
        <v>-0.91951590000000005</v>
      </c>
      <c r="Q1321">
        <v>0.38924310000000001</v>
      </c>
      <c r="R1321">
        <v>-5.4596249999999999E-2</v>
      </c>
      <c r="S1321">
        <v>-3.3973239999999998</v>
      </c>
      <c r="T1321">
        <v>-0.34542270000000003</v>
      </c>
      <c r="U1321">
        <v>-0.10632320000000001</v>
      </c>
      <c r="V1321">
        <v>3.0669160000000001E-2</v>
      </c>
      <c r="W1321">
        <v>0.39657589999999998</v>
      </c>
      <c r="X1321">
        <v>0.91748949999999996</v>
      </c>
      <c r="Y1321">
        <v>5.7674749999999997E-2</v>
      </c>
      <c r="Z1321">
        <v>1.149785E-2</v>
      </c>
      <c r="AA1321">
        <v>0.99826919999999997</v>
      </c>
      <c r="AB1321">
        <v>25</v>
      </c>
      <c r="AC1321">
        <v>-0.54210000000000402</v>
      </c>
      <c r="AD1321">
        <v>-8.0278999999999906E-2</v>
      </c>
      <c r="AE1321">
        <v>-6.1999999999784398E-3</v>
      </c>
      <c r="AF1321">
        <v>4.1478531463892097E-2</v>
      </c>
      <c r="AG1321">
        <v>-8.0278999999999906E-2</v>
      </c>
      <c r="AH1321">
        <v>0.52887884319251799</v>
      </c>
      <c r="AI1321">
        <v>98.605066407592105</v>
      </c>
      <c r="AJ1321">
        <v>85.515626790450597</v>
      </c>
      <c r="AK1321">
        <v>0.536542651790197</v>
      </c>
      <c r="AL1321">
        <v>66.635705089230498</v>
      </c>
      <c r="AM1321">
        <v>88.085471959146005</v>
      </c>
      <c r="AN1321">
        <v>1.0000000122230801</v>
      </c>
    </row>
    <row r="1322" spans="1:40" x14ac:dyDescent="0.25">
      <c r="A1322" t="str">
        <f>"20190304164622554"</f>
        <v>20190304164622554</v>
      </c>
      <c r="B1322" t="str">
        <f>"1551689182549773"</f>
        <v>1551689182549773</v>
      </c>
      <c r="C1322" t="s">
        <v>40</v>
      </c>
      <c r="D1322">
        <v>4.6941309999999996</v>
      </c>
      <c r="E1322">
        <v>0.52043430000000002</v>
      </c>
      <c r="F1322" t="s">
        <v>41</v>
      </c>
      <c r="G1322">
        <v>-213.23310000000001</v>
      </c>
      <c r="H1322">
        <v>1.0314589999999999</v>
      </c>
      <c r="I1322">
        <v>282.9588</v>
      </c>
      <c r="J1322">
        <v>-212.7277</v>
      </c>
      <c r="K1322">
        <v>1.1079270000000001</v>
      </c>
      <c r="L1322">
        <v>282.96679999999998</v>
      </c>
      <c r="M1322">
        <v>-0.99630390000000002</v>
      </c>
      <c r="N1322">
        <v>-8.0550589999999998E-3</v>
      </c>
      <c r="O1322">
        <v>-8.5520150000000003E-2</v>
      </c>
      <c r="P1322">
        <v>-0.9181819</v>
      </c>
      <c r="Q1322">
        <v>0.39176109999999997</v>
      </c>
      <c r="R1322">
        <v>-5.8865140000000003E-2</v>
      </c>
      <c r="S1322">
        <v>-3.3979029999999999</v>
      </c>
      <c r="T1322">
        <v>-0.33655269999999998</v>
      </c>
      <c r="U1322">
        <v>-0.1204224</v>
      </c>
      <c r="V1322">
        <v>2.2369920000000001E-2</v>
      </c>
      <c r="W1322">
        <v>0.3990262</v>
      </c>
      <c r="X1322">
        <v>0.9166666</v>
      </c>
      <c r="Y1322">
        <v>4.9567600000000003E-2</v>
      </c>
      <c r="Z1322">
        <v>1.039649E-2</v>
      </c>
      <c r="AA1322">
        <v>0.99871670000000001</v>
      </c>
      <c r="AB1322">
        <v>25</v>
      </c>
      <c r="AC1322">
        <v>-0.50540000000000795</v>
      </c>
      <c r="AD1322">
        <v>-7.6468000000000202E-2</v>
      </c>
      <c r="AE1322">
        <v>-7.9999999999813502E-3</v>
      </c>
      <c r="AF1322">
        <v>3.4463837490906403E-2</v>
      </c>
      <c r="AG1322">
        <v>-7.6468000000000202E-2</v>
      </c>
      <c r="AH1322">
        <v>0.49295056643538099</v>
      </c>
      <c r="AI1322">
        <v>98.796483375515294</v>
      </c>
      <c r="AJ1322">
        <v>86.000766171295794</v>
      </c>
      <c r="AK1322">
        <v>0.50003537081646798</v>
      </c>
      <c r="AL1322">
        <v>66.482684072647999</v>
      </c>
      <c r="AM1322">
        <v>88.602056993406507</v>
      </c>
      <c r="AN1322">
        <v>0.99999998858140304</v>
      </c>
    </row>
    <row r="1323" spans="1:40" x14ac:dyDescent="0.25">
      <c r="A1323" t="str">
        <f>"20190304164622578"</f>
        <v>20190304164622578</v>
      </c>
      <c r="B1323" t="str">
        <f>"1551689182569293"</f>
        <v>1551689182569293</v>
      </c>
      <c r="C1323" t="s">
        <v>40</v>
      </c>
      <c r="D1323">
        <v>4.6821289999999998</v>
      </c>
      <c r="E1323">
        <v>0.5204512</v>
      </c>
      <c r="F1323" t="s">
        <v>41</v>
      </c>
      <c r="G1323">
        <v>-213.46260000000001</v>
      </c>
      <c r="H1323">
        <v>1.0370969999999999</v>
      </c>
      <c r="I1323">
        <v>282.93799999999999</v>
      </c>
      <c r="J1323">
        <v>-212.99449999999999</v>
      </c>
      <c r="K1323">
        <v>1.108085</v>
      </c>
      <c r="L1323">
        <v>282.94830000000002</v>
      </c>
      <c r="M1323">
        <v>-0.99662609999999996</v>
      </c>
      <c r="N1323">
        <v>-7.9189429999999995E-3</v>
      </c>
      <c r="O1323">
        <v>-8.1693749999999996E-2</v>
      </c>
      <c r="P1323">
        <v>-0.91776259999999998</v>
      </c>
      <c r="Q1323">
        <v>0.39168419999999998</v>
      </c>
      <c r="R1323">
        <v>-6.553747E-2</v>
      </c>
      <c r="S1323">
        <v>-3.398514</v>
      </c>
      <c r="T1323">
        <v>-0.32751599999999997</v>
      </c>
      <c r="U1323">
        <v>-0.133300799999999</v>
      </c>
      <c r="V1323">
        <v>1.198519E-2</v>
      </c>
      <c r="W1323">
        <v>0.39889449999999999</v>
      </c>
      <c r="X1323">
        <v>0.91691849999999997</v>
      </c>
      <c r="Y1323">
        <v>4.2043650000000002E-2</v>
      </c>
      <c r="Z1323">
        <v>9.3832029999999997E-3</v>
      </c>
      <c r="AA1323">
        <v>0.99907170000000001</v>
      </c>
      <c r="AB1323">
        <v>25</v>
      </c>
      <c r="AC1323">
        <v>-0.468100000000021</v>
      </c>
      <c r="AD1323">
        <v>-7.0987999999999996E-2</v>
      </c>
      <c r="AE1323">
        <v>-1.0300000000029201E-2</v>
      </c>
      <c r="AF1323">
        <v>2.7347825902143099E-2</v>
      </c>
      <c r="AG1323">
        <v>-7.0987999999999996E-2</v>
      </c>
      <c r="AH1323">
        <v>0.45687456245465802</v>
      </c>
      <c r="AI1323">
        <v>98.816318219852704</v>
      </c>
      <c r="AJ1323">
        <v>86.574447988675303</v>
      </c>
      <c r="AK1323">
        <v>0.46316472830269501</v>
      </c>
      <c r="AL1323">
        <v>66.490913523332097</v>
      </c>
      <c r="AM1323">
        <v>89.251120248032606</v>
      </c>
      <c r="AN1323">
        <v>1.00000000127591</v>
      </c>
    </row>
    <row r="1324" spans="1:40" x14ac:dyDescent="0.25">
      <c r="A1324" t="str">
        <f>"20190304164622602"</f>
        <v>20190304164622602</v>
      </c>
      <c r="B1324" t="str">
        <f>"1551689182589791"</f>
        <v>1551689182589791</v>
      </c>
      <c r="C1324" t="s">
        <v>40</v>
      </c>
      <c r="D1324">
        <v>4.675726</v>
      </c>
      <c r="E1324">
        <v>0.52052339999999997</v>
      </c>
      <c r="F1324" t="s">
        <v>41</v>
      </c>
      <c r="G1324">
        <v>-213.91069999999999</v>
      </c>
      <c r="H1324">
        <v>1.019523</v>
      </c>
      <c r="I1324">
        <v>282.90789999999998</v>
      </c>
      <c r="J1324">
        <v>-213.2824</v>
      </c>
      <c r="K1324">
        <v>1.108209</v>
      </c>
      <c r="L1324">
        <v>282.92919999999998</v>
      </c>
      <c r="M1324">
        <v>-0.99693880000000001</v>
      </c>
      <c r="N1324">
        <v>-7.7765519999999999E-3</v>
      </c>
      <c r="O1324">
        <v>-7.7799389999999996E-2</v>
      </c>
      <c r="P1324">
        <v>-0.91775770000000001</v>
      </c>
      <c r="Q1324">
        <v>0.39047989999999999</v>
      </c>
      <c r="R1324">
        <v>-7.2432319999999994E-2</v>
      </c>
      <c r="S1324">
        <v>-3.398285</v>
      </c>
      <c r="T1324">
        <v>-0.32848549999999999</v>
      </c>
      <c r="U1324">
        <v>-0.150177</v>
      </c>
      <c r="V1324">
        <v>1.3740720000000001E-3</v>
      </c>
      <c r="W1324">
        <v>0.39762570000000003</v>
      </c>
      <c r="X1324">
        <v>0.91754669999999905</v>
      </c>
      <c r="Y1324">
        <v>3.3238650000000002E-2</v>
      </c>
      <c r="Z1324">
        <v>8.6176480000000003E-3</v>
      </c>
      <c r="AA1324">
        <v>0.99941029999999997</v>
      </c>
      <c r="AB1324">
        <v>25</v>
      </c>
      <c r="AC1324">
        <v>-0.62829999999999497</v>
      </c>
      <c r="AD1324">
        <v>-8.8686000000000001E-2</v>
      </c>
      <c r="AE1324">
        <v>-2.1299999999996499E-2</v>
      </c>
      <c r="AF1324">
        <v>2.7107916188201599E-2</v>
      </c>
      <c r="AG1324">
        <v>-8.8686000000000001E-2</v>
      </c>
      <c r="AH1324">
        <v>0.61579765274377796</v>
      </c>
      <c r="AI1324">
        <v>98.187457129478403</v>
      </c>
      <c r="AJ1324">
        <v>87.479420250432298</v>
      </c>
      <c r="AK1324">
        <v>0.62274135468974101</v>
      </c>
      <c r="AL1324">
        <v>66.570167210404094</v>
      </c>
      <c r="AM1324">
        <v>89.914196773315695</v>
      </c>
      <c r="AN1324">
        <v>1.0000000160276199</v>
      </c>
    </row>
    <row r="1325" spans="1:40" x14ac:dyDescent="0.25">
      <c r="A1325" t="str">
        <f>"20190304164622622"</f>
        <v>20190304164622622</v>
      </c>
      <c r="B1325" t="str">
        <f>"1551689182619069"</f>
        <v>1551689182619069</v>
      </c>
      <c r="C1325" t="s">
        <v>40</v>
      </c>
      <c r="D1325">
        <v>4.6567749999999997</v>
      </c>
      <c r="E1325">
        <v>0.52297190000000005</v>
      </c>
      <c r="F1325" t="s">
        <v>41</v>
      </c>
      <c r="G1325">
        <v>-214.14179999999999</v>
      </c>
      <c r="H1325">
        <v>1.023722</v>
      </c>
      <c r="I1325">
        <v>282.887</v>
      </c>
      <c r="J1325">
        <v>-213.51220000000001</v>
      </c>
      <c r="K1325">
        <v>1.1082639999999999</v>
      </c>
      <c r="L1325">
        <v>282.91449999999998</v>
      </c>
      <c r="M1325">
        <v>-0.99716760000000004</v>
      </c>
      <c r="N1325">
        <v>-7.669131E-3</v>
      </c>
      <c r="O1325">
        <v>-7.48196E-2</v>
      </c>
      <c r="P1325">
        <v>-0.91768530000000004</v>
      </c>
      <c r="Q1325">
        <v>0.38950469999999998</v>
      </c>
      <c r="R1325">
        <v>-7.8356770000000006E-2</v>
      </c>
      <c r="S1325">
        <v>-3.3977360000000001</v>
      </c>
      <c r="T1325">
        <v>-0.334065</v>
      </c>
      <c r="U1325">
        <v>-0.16751099999999999</v>
      </c>
      <c r="V1325">
        <v>-7.3659190000000003E-3</v>
      </c>
      <c r="W1325">
        <v>0.39660119999999999</v>
      </c>
      <c r="X1325">
        <v>0.91796140000000004</v>
      </c>
      <c r="Y1325">
        <v>2.519242E-2</v>
      </c>
      <c r="Z1325">
        <v>8.0844009999999997E-3</v>
      </c>
      <c r="AA1325">
        <v>0.99964989999999998</v>
      </c>
      <c r="AB1325">
        <v>26</v>
      </c>
      <c r="AC1325">
        <v>-0.62959999999998195</v>
      </c>
      <c r="AD1325">
        <v>-8.4541999999999895E-2</v>
      </c>
      <c r="AE1325">
        <v>-2.7499999999974899E-2</v>
      </c>
      <c r="AF1325">
        <v>1.9336893719778599E-2</v>
      </c>
      <c r="AG1325">
        <v>-8.4541999999999895E-2</v>
      </c>
      <c r="AH1325">
        <v>0.61875732011420603</v>
      </c>
      <c r="AI1325">
        <v>97.776506325346105</v>
      </c>
      <c r="AJ1325">
        <v>88.210022095454505</v>
      </c>
      <c r="AK1325">
        <v>0.62480547886333704</v>
      </c>
      <c r="AL1325">
        <v>66.634124482364598</v>
      </c>
      <c r="AM1325">
        <v>90.459743746592693</v>
      </c>
      <c r="AN1325">
        <v>0.99999995024705601</v>
      </c>
    </row>
    <row r="1326" spans="1:40" x14ac:dyDescent="0.25">
      <c r="A1326" t="str">
        <f>"20190304164622664"</f>
        <v>20190304164622664</v>
      </c>
      <c r="B1326" t="str">
        <f>"1551689182659085"</f>
        <v>1551689182659085</v>
      </c>
      <c r="C1326" t="s">
        <v>40</v>
      </c>
      <c r="D1326">
        <v>4.6218890000000004</v>
      </c>
      <c r="E1326">
        <v>0.52475099999999997</v>
      </c>
      <c r="F1326" t="s">
        <v>41</v>
      </c>
      <c r="G1326">
        <v>-214.36840000000001</v>
      </c>
      <c r="H1326">
        <v>1.0161089999999999</v>
      </c>
      <c r="I1326">
        <v>282.87209999999999</v>
      </c>
      <c r="J1326">
        <v>-213.99879999999999</v>
      </c>
      <c r="K1326">
        <v>1.1083160000000001</v>
      </c>
      <c r="L1326">
        <v>282.8852</v>
      </c>
      <c r="M1326">
        <v>-0.99760059999999995</v>
      </c>
      <c r="N1326">
        <v>-7.4625830000000001E-3</v>
      </c>
      <c r="O1326">
        <v>-6.8829269999999998E-2</v>
      </c>
      <c r="P1326">
        <v>-0.91727440000000005</v>
      </c>
      <c r="Q1326">
        <v>0.38859779999999999</v>
      </c>
      <c r="R1326">
        <v>-8.7174489999999993E-2</v>
      </c>
      <c r="S1326">
        <v>-3.4104920000000001</v>
      </c>
      <c r="T1326">
        <v>-0.36709760000000002</v>
      </c>
      <c r="U1326">
        <v>-0.1687012</v>
      </c>
      <c r="V1326">
        <v>-2.1809970000000001E-2</v>
      </c>
      <c r="W1326">
        <v>0.39557759999999997</v>
      </c>
      <c r="X1326">
        <v>0.91817360000000003</v>
      </c>
      <c r="Y1326">
        <v>1.8999619999999998E-2</v>
      </c>
      <c r="Z1326">
        <v>7.9529379999999997E-3</v>
      </c>
      <c r="AA1326">
        <v>0.99978789999999995</v>
      </c>
      <c r="AB1326">
        <v>26</v>
      </c>
      <c r="AC1326">
        <v>-0.36960000000001902</v>
      </c>
      <c r="AD1326">
        <v>-9.2207000000000094E-2</v>
      </c>
      <c r="AE1326">
        <v>-1.3100000000008501E-2</v>
      </c>
      <c r="AF1326">
        <v>1.1647078978590001E-2</v>
      </c>
      <c r="AG1326">
        <v>-9.2207000000000094E-2</v>
      </c>
      <c r="AH1326">
        <v>0.34799346345265703</v>
      </c>
      <c r="AI1326">
        <v>104.83255467267399</v>
      </c>
      <c r="AJ1326">
        <v>88.083068999269699</v>
      </c>
      <c r="AK1326">
        <v>0.36019055498931302</v>
      </c>
      <c r="AL1326">
        <v>66.697998528926703</v>
      </c>
      <c r="AM1326">
        <v>91.360727737393006</v>
      </c>
      <c r="AN1326">
        <v>1.0000000360750501</v>
      </c>
    </row>
    <row r="1327" spans="1:40" x14ac:dyDescent="0.25">
      <c r="A1327" t="str">
        <f>"20190304164622687"</f>
        <v>20190304164622687</v>
      </c>
      <c r="B1327" t="str">
        <f>"1551689182679582"</f>
        <v>1551689182679582</v>
      </c>
      <c r="C1327" t="s">
        <v>40</v>
      </c>
      <c r="D1327">
        <v>4.6137489999999897</v>
      </c>
      <c r="E1327">
        <v>0.52552980000000005</v>
      </c>
      <c r="F1327" t="s">
        <v>41</v>
      </c>
      <c r="G1327">
        <v>-214.83150000000001</v>
      </c>
      <c r="H1327">
        <v>1.0165200000000001</v>
      </c>
      <c r="I1327">
        <v>282.84050000000002</v>
      </c>
      <c r="J1327">
        <v>-214.27019999999999</v>
      </c>
      <c r="K1327">
        <v>1.108339</v>
      </c>
      <c r="L1327">
        <v>282.87</v>
      </c>
      <c r="M1327">
        <v>-0.99781660000000005</v>
      </c>
      <c r="N1327">
        <v>-7.3629749999999999E-3</v>
      </c>
      <c r="O1327">
        <v>-6.5634819999999996E-2</v>
      </c>
      <c r="P1327">
        <v>-0.91715690000000005</v>
      </c>
      <c r="Q1327">
        <v>0.3881561</v>
      </c>
      <c r="R1327">
        <v>-9.0323020000000004E-2</v>
      </c>
      <c r="S1327">
        <v>-3.4125209999999999</v>
      </c>
      <c r="T1327">
        <v>-0.37622689999999998</v>
      </c>
      <c r="U1327">
        <v>-0.1832886</v>
      </c>
      <c r="V1327">
        <v>-2.7941569999999999E-2</v>
      </c>
      <c r="W1327">
        <v>0.39507340000000002</v>
      </c>
      <c r="X1327">
        <v>0.9182245</v>
      </c>
      <c r="Y1327">
        <v>1.160514E-2</v>
      </c>
      <c r="Z1327">
        <v>7.4002919999999897E-3</v>
      </c>
      <c r="AA1327">
        <v>0.9999053</v>
      </c>
      <c r="AB1327">
        <v>26</v>
      </c>
      <c r="AC1327">
        <v>-0.56130000000001701</v>
      </c>
      <c r="AD1327">
        <v>-9.1818999999999804E-2</v>
      </c>
      <c r="AE1327">
        <v>-2.94999999999845E-2</v>
      </c>
      <c r="AF1327">
        <v>7.21295306854628E-3</v>
      </c>
      <c r="AG1327">
        <v>-9.1818999999999804E-2</v>
      </c>
      <c r="AH1327">
        <v>0.54741771481315304</v>
      </c>
      <c r="AI1327">
        <v>99.520842353992194</v>
      </c>
      <c r="AJ1327">
        <v>89.245095941972494</v>
      </c>
      <c r="AK1327">
        <v>0.55511161935616404</v>
      </c>
      <c r="AL1327">
        <v>66.729447537626697</v>
      </c>
      <c r="AM1327">
        <v>91.742972618865906</v>
      </c>
      <c r="AN1327">
        <v>0.99999997756093695</v>
      </c>
    </row>
    <row r="1328" spans="1:40" x14ac:dyDescent="0.25">
      <c r="A1328" t="str">
        <f>"20190304164622708"</f>
        <v>20190304164622708</v>
      </c>
      <c r="B1328" t="str">
        <f>"1551689182699101"</f>
        <v>1551689182699101</v>
      </c>
      <c r="C1328" t="s">
        <v>40</v>
      </c>
      <c r="D1328">
        <v>4.8291009999999996</v>
      </c>
      <c r="E1328">
        <v>0.52587150000000005</v>
      </c>
      <c r="F1328" t="s">
        <v>41</v>
      </c>
      <c r="G1328">
        <v>-215.0659</v>
      </c>
      <c r="H1328">
        <v>1.0199510000000001</v>
      </c>
      <c r="I1328">
        <v>282.82679999999999</v>
      </c>
      <c r="J1328">
        <v>-214.5145</v>
      </c>
      <c r="K1328">
        <v>1.108352</v>
      </c>
      <c r="L1328">
        <v>282.85700000000003</v>
      </c>
      <c r="M1328">
        <v>-0.99799749999999998</v>
      </c>
      <c r="N1328">
        <v>-7.2807169999999999E-3</v>
      </c>
      <c r="O1328">
        <v>-6.283329E-2</v>
      </c>
      <c r="P1328">
        <v>-0.91735949999999999</v>
      </c>
      <c r="Q1328">
        <v>0.38710169999999999</v>
      </c>
      <c r="R1328">
        <v>-9.2756290000000005E-2</v>
      </c>
      <c r="S1328">
        <v>-3.4131469999999999</v>
      </c>
      <c r="T1328">
        <v>-0.37922499999999998</v>
      </c>
      <c r="U1328">
        <v>-0.18603520000000001</v>
      </c>
      <c r="V1328">
        <v>-3.2976720000000001E-2</v>
      </c>
      <c r="W1328">
        <v>0.39396799999999998</v>
      </c>
      <c r="X1328">
        <v>0.91853240000000003</v>
      </c>
      <c r="Y1328">
        <v>8.0362679999999992E-3</v>
      </c>
      <c r="Z1328">
        <v>6.9661559999999898E-3</v>
      </c>
      <c r="AA1328">
        <v>0.99994340000000004</v>
      </c>
      <c r="AB1328">
        <v>26</v>
      </c>
      <c r="AC1328">
        <v>-0.551400000000001</v>
      </c>
      <c r="AD1328">
        <v>-8.8400999999999896E-2</v>
      </c>
      <c r="AE1328">
        <v>-3.0200000000036201E-2</v>
      </c>
      <c r="AF1328">
        <v>4.3942637709007701E-3</v>
      </c>
      <c r="AG1328">
        <v>-8.8400999999999896E-2</v>
      </c>
      <c r="AH1328">
        <v>0.53841072385486499</v>
      </c>
      <c r="AI1328">
        <v>99.323826529569402</v>
      </c>
      <c r="AJ1328">
        <v>89.532388255017693</v>
      </c>
      <c r="AK1328">
        <v>0.54563738317403399</v>
      </c>
      <c r="AL1328">
        <v>66.7983738350203</v>
      </c>
      <c r="AM1328">
        <v>92.056123150415999</v>
      </c>
      <c r="AN1328">
        <v>1.0000000094678501</v>
      </c>
    </row>
    <row r="1329" spans="1:40" x14ac:dyDescent="0.25">
      <c r="A1329" t="str">
        <f>"20190304164622734"</f>
        <v>20190304164622734</v>
      </c>
      <c r="B1329" t="str">
        <f>"1551689182729358"</f>
        <v>1551689182729358</v>
      </c>
      <c r="C1329" t="s">
        <v>40</v>
      </c>
      <c r="D1329">
        <v>4.588514</v>
      </c>
      <c r="E1329">
        <v>0.52929879999999996</v>
      </c>
      <c r="F1329" t="s">
        <v>41</v>
      </c>
      <c r="G1329">
        <v>-215.29939999999999</v>
      </c>
      <c r="H1329">
        <v>1.0200309999999999</v>
      </c>
      <c r="I1329">
        <v>282.81240000000003</v>
      </c>
      <c r="J1329">
        <v>-214.81049999999999</v>
      </c>
      <c r="K1329">
        <v>1.1083829999999999</v>
      </c>
      <c r="L1329">
        <v>282.84190000000001</v>
      </c>
      <c r="M1329">
        <v>-0.99820019999999998</v>
      </c>
      <c r="N1329">
        <v>-7.1830119999999999E-3</v>
      </c>
      <c r="O1329">
        <v>-5.9538389999999997E-2</v>
      </c>
      <c r="P1329">
        <v>-0.91785170000000005</v>
      </c>
      <c r="Q1329">
        <v>0.3855209</v>
      </c>
      <c r="R1329">
        <v>-9.4456200000000004E-2</v>
      </c>
      <c r="S1329">
        <v>-3.412766</v>
      </c>
      <c r="T1329">
        <v>-0.38406940000000001</v>
      </c>
      <c r="U1329">
        <v>-0.19326779999999999</v>
      </c>
      <c r="V1329">
        <v>-3.773808E-2</v>
      </c>
      <c r="W1329">
        <v>0.39232030000000001</v>
      </c>
      <c r="X1329">
        <v>0.91905420000000004</v>
      </c>
      <c r="Y1329">
        <v>2.6592310000000002E-3</v>
      </c>
      <c r="Z1329">
        <v>6.4004379999999996E-3</v>
      </c>
      <c r="AA1329">
        <v>0.99997599999999998</v>
      </c>
      <c r="AB1329">
        <v>26</v>
      </c>
      <c r="AC1329">
        <v>-0.488900000000001</v>
      </c>
      <c r="AD1329">
        <v>-8.8351999999999903E-2</v>
      </c>
      <c r="AE1329">
        <v>-2.94999999999845E-2</v>
      </c>
      <c r="AF1329">
        <v>-3.2792514881426198E-4</v>
      </c>
      <c r="AG1329">
        <v>-8.8351999999999903E-2</v>
      </c>
      <c r="AH1329">
        <v>0.47435372555879002</v>
      </c>
      <c r="AI1329">
        <v>100.550872247757</v>
      </c>
      <c r="AJ1329">
        <v>90.039609099745107</v>
      </c>
      <c r="AK1329">
        <v>0.48251180336900301</v>
      </c>
      <c r="AL1329">
        <v>66.901047540752003</v>
      </c>
      <c r="AM1329">
        <v>92.351350669734501</v>
      </c>
      <c r="AN1329">
        <v>1.0000000015059001</v>
      </c>
    </row>
    <row r="1330" spans="1:40" x14ac:dyDescent="0.25">
      <c r="A1330" t="str">
        <f>"20190304164622754"</f>
        <v>20190304164622754</v>
      </c>
      <c r="B1330" t="str">
        <f>"1551689182749386"</f>
        <v>1551689182749386</v>
      </c>
      <c r="C1330" t="s">
        <v>40</v>
      </c>
      <c r="D1330">
        <v>4.6125769999999999</v>
      </c>
      <c r="E1330">
        <v>0.52964630000000001</v>
      </c>
      <c r="F1330" t="s">
        <v>41</v>
      </c>
      <c r="G1330">
        <v>-215.5453</v>
      </c>
      <c r="H1330">
        <v>1.040429</v>
      </c>
      <c r="I1330">
        <v>282.80599999999998</v>
      </c>
      <c r="J1330">
        <v>-215.0462</v>
      </c>
      <c r="K1330">
        <v>1.108406</v>
      </c>
      <c r="L1330">
        <v>282.8306</v>
      </c>
      <c r="M1330">
        <v>-0.99834869999999998</v>
      </c>
      <c r="N1330">
        <v>-7.1038000000000004E-3</v>
      </c>
      <c r="O1330">
        <v>-5.7005599999999997E-2</v>
      </c>
      <c r="P1330">
        <v>-0.91848810000000003</v>
      </c>
      <c r="Q1330">
        <v>0.3834593</v>
      </c>
      <c r="R1330">
        <v>-9.6637920000000002E-2</v>
      </c>
      <c r="S1330">
        <v>-3.3827970000000001</v>
      </c>
      <c r="T1330">
        <v>-0.312897599999999</v>
      </c>
      <c r="U1330">
        <v>-0.1663818</v>
      </c>
      <c r="V1330">
        <v>-4.2270799999999997E-2</v>
      </c>
      <c r="W1330">
        <v>0.39020779999999999</v>
      </c>
      <c r="X1330">
        <v>0.91975589999999996</v>
      </c>
      <c r="Y1330">
        <v>7.6511729999999998E-3</v>
      </c>
      <c r="Z1330">
        <v>5.2303749999999998E-3</v>
      </c>
      <c r="AA1330">
        <v>0.99995699999999998</v>
      </c>
      <c r="AB1330">
        <v>26</v>
      </c>
      <c r="AC1330">
        <v>-0.49909999999999799</v>
      </c>
      <c r="AD1330">
        <v>-6.7976999999999899E-2</v>
      </c>
      <c r="AE1330">
        <v>-2.46000000000208E-2</v>
      </c>
      <c r="AF1330">
        <v>3.8214969301513099E-3</v>
      </c>
      <c r="AG1330">
        <v>-6.7976999999999899E-2</v>
      </c>
      <c r="AH1330">
        <v>0.49061182826314298</v>
      </c>
      <c r="AI1330">
        <v>97.888189058412905</v>
      </c>
      <c r="AJ1330">
        <v>89.553718021292298</v>
      </c>
      <c r="AK1330">
        <v>0.49531347891965499</v>
      </c>
      <c r="AL1330">
        <v>67.032568400210494</v>
      </c>
      <c r="AM1330">
        <v>92.631388812447199</v>
      </c>
      <c r="AN1330">
        <v>0.99999993164914203</v>
      </c>
    </row>
    <row r="1331" spans="1:40" x14ac:dyDescent="0.25">
      <c r="A1331" t="str">
        <f>"20190304164622775"</f>
        <v>20190304164622775</v>
      </c>
      <c r="B1331" t="str">
        <f>"1551689182768905"</f>
        <v>1551689182768905</v>
      </c>
      <c r="C1331" t="s">
        <v>40</v>
      </c>
      <c r="D1331">
        <v>4.5920730000000001</v>
      </c>
      <c r="E1331">
        <v>0.53408520000000004</v>
      </c>
      <c r="F1331" t="s">
        <v>41</v>
      </c>
      <c r="G1331">
        <v>-215.77979999999999</v>
      </c>
      <c r="H1331">
        <v>1.039104</v>
      </c>
      <c r="I1331">
        <v>282.79309999999998</v>
      </c>
      <c r="J1331">
        <v>-215.30009999999999</v>
      </c>
      <c r="K1331">
        <v>1.10843</v>
      </c>
      <c r="L1331">
        <v>282.81889999999999</v>
      </c>
      <c r="M1331">
        <v>-0.99849679999999996</v>
      </c>
      <c r="N1331">
        <v>-7.0173700000000002E-3</v>
      </c>
      <c r="O1331">
        <v>-5.4359789999999998E-2</v>
      </c>
      <c r="P1331">
        <v>-0.91906690000000002</v>
      </c>
      <c r="Q1331">
        <v>0.3816293</v>
      </c>
      <c r="R1331">
        <v>-9.8362210000000005E-2</v>
      </c>
      <c r="S1331">
        <v>-3.3814389999999999</v>
      </c>
      <c r="T1331">
        <v>-0.31953619999999999</v>
      </c>
      <c r="U1331">
        <v>-0.17285159999999999</v>
      </c>
      <c r="V1331">
        <v>-4.6459130000000001E-2</v>
      </c>
      <c r="W1331">
        <v>0.38831650000000001</v>
      </c>
      <c r="X1331">
        <v>0.92035420000000001</v>
      </c>
      <c r="Y1331">
        <v>3.0932260000000001E-3</v>
      </c>
      <c r="Z1331">
        <v>4.8943420000000003E-3</v>
      </c>
      <c r="AA1331">
        <v>0.99998330000000002</v>
      </c>
      <c r="AB1331">
        <v>26</v>
      </c>
      <c r="AC1331">
        <v>-0.47970000000000801</v>
      </c>
      <c r="AD1331">
        <v>-6.9325999999999999E-2</v>
      </c>
      <c r="AE1331">
        <v>-2.5800000000003799E-2</v>
      </c>
      <c r="AF1331">
        <v>3.0875161871904698E-4</v>
      </c>
      <c r="AG1331">
        <v>-6.9325999999999999E-2</v>
      </c>
      <c r="AH1331">
        <v>0.470592807116472</v>
      </c>
      <c r="AI1331">
        <v>98.380324895686499</v>
      </c>
      <c r="AJ1331">
        <v>89.962408770672496</v>
      </c>
      <c r="AK1331">
        <v>0.47567192445352902</v>
      </c>
      <c r="AL1331">
        <v>67.150212500652998</v>
      </c>
      <c r="AM1331">
        <v>92.889816223430699</v>
      </c>
      <c r="AN1331">
        <v>1.00000000419512</v>
      </c>
    </row>
    <row r="1332" spans="1:40" x14ac:dyDescent="0.25">
      <c r="A1332" t="str">
        <f>"20190304164622800"</f>
        <v>20190304164622800</v>
      </c>
      <c r="B1332" t="str">
        <f>"1551689182789401"</f>
        <v>1551689182789401</v>
      </c>
      <c r="C1332" t="s">
        <v>40</v>
      </c>
      <c r="D1332">
        <v>4.5787809999999904</v>
      </c>
      <c r="E1332">
        <v>0.53464089999999997</v>
      </c>
      <c r="F1332" t="s">
        <v>41</v>
      </c>
      <c r="G1332">
        <v>-216.23230000000001</v>
      </c>
      <c r="H1332">
        <v>0.99851469999999998</v>
      </c>
      <c r="I1332">
        <v>282.77760000000001</v>
      </c>
      <c r="J1332">
        <v>-215.58680000000001</v>
      </c>
      <c r="K1332">
        <v>1.1084560000000001</v>
      </c>
      <c r="L1332">
        <v>282.80650000000003</v>
      </c>
      <c r="M1332">
        <v>-0.99865130000000002</v>
      </c>
      <c r="N1332">
        <v>-6.919906E-3</v>
      </c>
      <c r="O1332">
        <v>-5.145719E-2</v>
      </c>
      <c r="P1332">
        <v>-0.91974940000000005</v>
      </c>
      <c r="Q1332">
        <v>0.37958019999999998</v>
      </c>
      <c r="R1332">
        <v>-9.9900379999999997E-2</v>
      </c>
      <c r="S1332">
        <v>-3.4151919999999998</v>
      </c>
      <c r="T1332">
        <v>-0.40269100000000002</v>
      </c>
      <c r="U1332">
        <v>-0.15133669999999999</v>
      </c>
      <c r="V1332">
        <v>-5.0690770000000003E-2</v>
      </c>
      <c r="W1332">
        <v>0.38619619999999999</v>
      </c>
      <c r="X1332">
        <v>0.92102280000000003</v>
      </c>
      <c r="Y1332">
        <v>6.8324639999999999E-3</v>
      </c>
      <c r="Z1332">
        <v>6.1097950000000003E-3</v>
      </c>
      <c r="AA1332">
        <v>0.99995800000000001</v>
      </c>
      <c r="AB1332">
        <v>26</v>
      </c>
      <c r="AC1332">
        <v>-0.64549999999999796</v>
      </c>
      <c r="AD1332">
        <v>-0.10994130000000001</v>
      </c>
      <c r="AE1332">
        <v>-2.8900000000021402E-2</v>
      </c>
      <c r="AF1332">
        <v>4.2321730055984996E-3</v>
      </c>
      <c r="AG1332">
        <v>-0.10994130000000001</v>
      </c>
      <c r="AH1332">
        <v>0.62795227079355398</v>
      </c>
      <c r="AI1332">
        <v>99.930420201097505</v>
      </c>
      <c r="AJ1332">
        <v>89.613852849472906</v>
      </c>
      <c r="AK1332">
        <v>0.637517886124633</v>
      </c>
      <c r="AL1332">
        <v>67.281978769464004</v>
      </c>
      <c r="AM1332">
        <v>93.150236820521101</v>
      </c>
      <c r="AN1332">
        <v>1.00000002858873</v>
      </c>
    </row>
    <row r="1333" spans="1:40" x14ac:dyDescent="0.25">
      <c r="A1333" t="str">
        <f>"20190304164622824"</f>
        <v>20190304164622824</v>
      </c>
      <c r="B1333" t="str">
        <f>"1551689182819657"</f>
        <v>1551689182819657</v>
      </c>
      <c r="C1333" t="s">
        <v>40</v>
      </c>
      <c r="D1333">
        <v>4.5836290000000002</v>
      </c>
      <c r="E1333">
        <v>0.53503599999999996</v>
      </c>
      <c r="F1333" t="s">
        <v>41</v>
      </c>
      <c r="G1333">
        <v>-216.47190000000001</v>
      </c>
      <c r="H1333">
        <v>1.0020709999999999</v>
      </c>
      <c r="I1333">
        <v>282.7672</v>
      </c>
      <c r="J1333">
        <v>-215.8819</v>
      </c>
      <c r="K1333">
        <v>1.1084499999999999</v>
      </c>
      <c r="L1333">
        <v>282.7944</v>
      </c>
      <c r="M1333">
        <v>-0.99879819999999997</v>
      </c>
      <c r="N1333">
        <v>-6.8239759999999998E-3</v>
      </c>
      <c r="O1333">
        <v>-4.8534040000000001E-2</v>
      </c>
      <c r="P1333">
        <v>-0.92010080000000005</v>
      </c>
      <c r="Q1333">
        <v>0.37835639999999998</v>
      </c>
      <c r="R1333">
        <v>-0.1012969</v>
      </c>
      <c r="S1333">
        <v>-3.4146269999999999</v>
      </c>
      <c r="T1333">
        <v>-0.41043970000000002</v>
      </c>
      <c r="U1333">
        <v>-0.1520386</v>
      </c>
      <c r="V1333">
        <v>-5.4797949999999998E-2</v>
      </c>
      <c r="W1333">
        <v>0.38490180000000002</v>
      </c>
      <c r="X1333">
        <v>0.92132939999999997</v>
      </c>
      <c r="Y1333">
        <v>3.7199080000000001E-3</v>
      </c>
      <c r="Z1333">
        <v>5.7120629999999999E-3</v>
      </c>
      <c r="AA1333">
        <v>0.9999768</v>
      </c>
      <c r="AB1333">
        <v>26</v>
      </c>
      <c r="AC1333">
        <v>-0.59000000000000297</v>
      </c>
      <c r="AD1333">
        <v>-0.106379</v>
      </c>
      <c r="AE1333">
        <v>-2.71999999999934E-2</v>
      </c>
      <c r="AF1333">
        <v>1.42168672630943E-3</v>
      </c>
      <c r="AG1333">
        <v>-0.106379</v>
      </c>
      <c r="AH1333">
        <v>0.57206677166469699</v>
      </c>
      <c r="AI1333">
        <v>100.53411534239</v>
      </c>
      <c r="AJ1333">
        <v>89.857610185475195</v>
      </c>
      <c r="AK1333">
        <v>0.58187533379325895</v>
      </c>
      <c r="AL1333">
        <v>67.362356864194496</v>
      </c>
      <c r="AM1333">
        <v>93.403773786223397</v>
      </c>
      <c r="AN1333">
        <v>1.0000000371358999</v>
      </c>
    </row>
    <row r="1334" spans="1:40" x14ac:dyDescent="0.25">
      <c r="A1334" t="str">
        <f>"20190304164622846"</f>
        <v>20190304164622846</v>
      </c>
      <c r="B1334" t="str">
        <f>"1551689182839177"</f>
        <v>1551689182839177</v>
      </c>
      <c r="C1334" t="s">
        <v>40</v>
      </c>
      <c r="D1334">
        <v>4.6193970000000002</v>
      </c>
      <c r="E1334">
        <v>0.5353021</v>
      </c>
      <c r="F1334" t="s">
        <v>41</v>
      </c>
      <c r="G1334">
        <v>-216.71350000000001</v>
      </c>
      <c r="H1334">
        <v>1.0079769999999999</v>
      </c>
      <c r="I1334">
        <v>282.75740000000002</v>
      </c>
      <c r="J1334">
        <v>-216.1473</v>
      </c>
      <c r="K1334">
        <v>1.10843799999999</v>
      </c>
      <c r="L1334">
        <v>282.78429999999997</v>
      </c>
      <c r="M1334">
        <v>-0.99892159999999997</v>
      </c>
      <c r="N1334">
        <v>-6.7369429999999996E-3</v>
      </c>
      <c r="O1334">
        <v>-4.5941639999999999E-2</v>
      </c>
      <c r="P1334">
        <v>-0.92057679999999997</v>
      </c>
      <c r="Q1334">
        <v>0.37687599999999999</v>
      </c>
      <c r="R1334">
        <v>-0.1024844</v>
      </c>
      <c r="S1334">
        <v>-3.4133909999999998</v>
      </c>
      <c r="T1334">
        <v>-0.4124409</v>
      </c>
      <c r="U1334">
        <v>-0.15188599999999999</v>
      </c>
      <c r="V1334">
        <v>-5.8368490000000002E-2</v>
      </c>
      <c r="W1334">
        <v>0.38335960000000002</v>
      </c>
      <c r="X1334">
        <v>0.92175300000000004</v>
      </c>
      <c r="Y1334">
        <v>1.1850160000000001E-3</v>
      </c>
      <c r="Z1334">
        <v>5.2922949999999998E-3</v>
      </c>
      <c r="AA1334">
        <v>0.99998529999999997</v>
      </c>
      <c r="AB1334">
        <v>27</v>
      </c>
      <c r="AC1334">
        <v>-0.56620000000000903</v>
      </c>
      <c r="AD1334">
        <v>-0.100460999999999</v>
      </c>
      <c r="AE1334">
        <v>-2.6899999999955002E-2</v>
      </c>
      <c r="AF1334">
        <v>-8.3269825431842698E-4</v>
      </c>
      <c r="AG1334">
        <v>-0.100460999999999</v>
      </c>
      <c r="AH1334">
        <v>0.54957550412171297</v>
      </c>
      <c r="AI1334">
        <v>100.359137865571</v>
      </c>
      <c r="AJ1334">
        <v>90.086812564811893</v>
      </c>
      <c r="AK1334">
        <v>0.55868268331676196</v>
      </c>
      <c r="AL1334">
        <v>67.458060757134703</v>
      </c>
      <c r="AM1334">
        <v>93.623323011835595</v>
      </c>
      <c r="AN1334">
        <v>1.0000000282730099</v>
      </c>
    </row>
    <row r="1335" spans="1:40" x14ac:dyDescent="0.25">
      <c r="A1335" t="str">
        <f>"20190304164622866"</f>
        <v>20190304164622866</v>
      </c>
      <c r="B1335" t="str">
        <f>"1551689182859673"</f>
        <v>1551689182859673</v>
      </c>
      <c r="C1335" t="s">
        <v>40</v>
      </c>
      <c r="D1335">
        <v>5.2973129999999999</v>
      </c>
      <c r="E1335">
        <v>0.537157199999999</v>
      </c>
      <c r="F1335" t="s">
        <v>41</v>
      </c>
      <c r="G1335">
        <v>-216.95410000000001</v>
      </c>
      <c r="H1335">
        <v>1.0097739999999999</v>
      </c>
      <c r="I1335">
        <v>282.74799999999999</v>
      </c>
      <c r="J1335">
        <v>-216.38319999999999</v>
      </c>
      <c r="K1335">
        <v>1.108412</v>
      </c>
      <c r="L1335">
        <v>282.7758</v>
      </c>
      <c r="M1335">
        <v>-0.99902460000000004</v>
      </c>
      <c r="N1335">
        <v>-6.6522810000000003E-3</v>
      </c>
      <c r="O1335">
        <v>-4.3652499999999997E-2</v>
      </c>
      <c r="P1335">
        <v>-0.92094109999999996</v>
      </c>
      <c r="Q1335">
        <v>0.37582209999999999</v>
      </c>
      <c r="R1335">
        <v>-0.10307910000000001</v>
      </c>
      <c r="S1335">
        <v>-3.412598</v>
      </c>
      <c r="T1335">
        <v>-0.41737869999999999</v>
      </c>
      <c r="U1335">
        <v>-0.15371699999999999</v>
      </c>
      <c r="V1335">
        <v>-6.10606E-2</v>
      </c>
      <c r="W1335">
        <v>0.38224239999999998</v>
      </c>
      <c r="X1335">
        <v>0.92204249999999999</v>
      </c>
      <c r="Y1335">
        <v>-1.623446E-3</v>
      </c>
      <c r="Z1335">
        <v>4.9202229999999996E-3</v>
      </c>
      <c r="AA1335">
        <v>0.99998659999999995</v>
      </c>
      <c r="AB1335">
        <v>27</v>
      </c>
      <c r="AC1335">
        <v>-0.57090000000002294</v>
      </c>
      <c r="AD1335">
        <v>-9.8638000000000198E-2</v>
      </c>
      <c r="AE1335">
        <v>-2.78000000000133E-2</v>
      </c>
      <c r="AF1335">
        <v>-2.7692632701445999E-3</v>
      </c>
      <c r="AG1335">
        <v>-9.8638000000000198E-2</v>
      </c>
      <c r="AH1335">
        <v>0.555039687652647</v>
      </c>
      <c r="AI1335">
        <v>100.07690052466501</v>
      </c>
      <c r="AJ1335">
        <v>90.285863848501094</v>
      </c>
      <c r="AK1335">
        <v>0.56374300770174302</v>
      </c>
      <c r="AL1335">
        <v>67.527348832543794</v>
      </c>
      <c r="AM1335">
        <v>93.7887774488823</v>
      </c>
      <c r="AN1335">
        <v>1.0000000105181801</v>
      </c>
    </row>
    <row r="1336" spans="1:40" x14ac:dyDescent="0.25">
      <c r="A1336" t="str">
        <f>"20190304164622887"</f>
        <v>20190304164622887</v>
      </c>
      <c r="B1336" t="str">
        <f>"1551689182879194"</f>
        <v>1551689182879194</v>
      </c>
      <c r="C1336" t="s">
        <v>40</v>
      </c>
      <c r="D1336">
        <v>4.6254439999999999</v>
      </c>
      <c r="E1336">
        <v>0.538439</v>
      </c>
      <c r="F1336" t="s">
        <v>41</v>
      </c>
      <c r="G1336">
        <v>-217.19560000000001</v>
      </c>
      <c r="H1336">
        <v>1.0112639999999999</v>
      </c>
      <c r="I1336">
        <v>282.74149999999997</v>
      </c>
      <c r="J1336">
        <v>-216.64859999999999</v>
      </c>
      <c r="K1336">
        <v>1.1083670000000001</v>
      </c>
      <c r="L1336">
        <v>282.76690000000002</v>
      </c>
      <c r="M1336">
        <v>-0.99913450000000004</v>
      </c>
      <c r="N1336">
        <v>-6.5461819999999898E-3</v>
      </c>
      <c r="O1336">
        <v>-4.10827E-2</v>
      </c>
      <c r="P1336">
        <v>-0.92138070000000005</v>
      </c>
      <c r="Q1336">
        <v>0.37474190000000002</v>
      </c>
      <c r="R1336">
        <v>-0.1030847</v>
      </c>
      <c r="S1336">
        <v>-3.407791</v>
      </c>
      <c r="T1336">
        <v>-0.40752529999999998</v>
      </c>
      <c r="U1336">
        <v>-0.1434021</v>
      </c>
      <c r="V1336">
        <v>-6.3416089999999994E-2</v>
      </c>
      <c r="W1336">
        <v>0.38107980000000002</v>
      </c>
      <c r="X1336">
        <v>0.92236470000000004</v>
      </c>
      <c r="Y1336">
        <v>-1.2124449999999999E-3</v>
      </c>
      <c r="Z1336">
        <v>4.5470329999999998E-3</v>
      </c>
      <c r="AA1336">
        <v>0.99998889999999996</v>
      </c>
      <c r="AB1336">
        <v>27</v>
      </c>
      <c r="AC1336">
        <v>-0.54700000000002502</v>
      </c>
      <c r="AD1336">
        <v>-9.7103000000000106E-2</v>
      </c>
      <c r="AE1336">
        <v>-2.5400000000047301E-2</v>
      </c>
      <c r="AF1336">
        <v>-2.8172518724693301E-3</v>
      </c>
      <c r="AG1336">
        <v>-9.7103000000000106E-2</v>
      </c>
      <c r="AH1336">
        <v>0.530887792394372</v>
      </c>
      <c r="AI1336">
        <v>100.36507071425</v>
      </c>
      <c r="AJ1336">
        <v>90.304047539321004</v>
      </c>
      <c r="AK1336">
        <v>0.53970248992429404</v>
      </c>
      <c r="AL1336">
        <v>67.599416638794594</v>
      </c>
      <c r="AM1336">
        <v>93.933113706950707</v>
      </c>
      <c r="AN1336">
        <v>1.0000000271225</v>
      </c>
    </row>
    <row r="1337" spans="1:40" x14ac:dyDescent="0.25">
      <c r="A1337" t="str">
        <f>"20190304164622911"</f>
        <v>20190304164622911</v>
      </c>
      <c r="B1337" t="str">
        <f>"1551689182899690"</f>
        <v>1551689182899690</v>
      </c>
      <c r="C1337" t="s">
        <v>40</v>
      </c>
      <c r="D1337">
        <v>4.6077269999999997</v>
      </c>
      <c r="E1337">
        <v>0.5394854</v>
      </c>
      <c r="F1337" t="s">
        <v>41</v>
      </c>
      <c r="G1337">
        <v>-217.43989999999999</v>
      </c>
      <c r="H1337">
        <v>1.0167679999999999</v>
      </c>
      <c r="I1337">
        <v>282.73509999999999</v>
      </c>
      <c r="J1337">
        <v>-216.9265</v>
      </c>
      <c r="K1337">
        <v>1.1083099999999999</v>
      </c>
      <c r="L1337">
        <v>282.75830000000002</v>
      </c>
      <c r="M1337">
        <v>-0.99924230000000003</v>
      </c>
      <c r="N1337">
        <v>-6.4199309999999898E-3</v>
      </c>
      <c r="O1337">
        <v>-3.838867E-2</v>
      </c>
      <c r="P1337">
        <v>-0.92212859999999996</v>
      </c>
      <c r="Q1337">
        <v>0.373004</v>
      </c>
      <c r="R1337">
        <v>-0.1026972</v>
      </c>
      <c r="S1337">
        <v>-3.400833</v>
      </c>
      <c r="T1337">
        <v>-0.39370630000000001</v>
      </c>
      <c r="U1337">
        <v>-0.13677979999999901</v>
      </c>
      <c r="V1337">
        <v>-6.5484199999999895E-2</v>
      </c>
      <c r="W1337">
        <v>0.37924150000000001</v>
      </c>
      <c r="X1337">
        <v>0.92297759999999995</v>
      </c>
      <c r="Y1337">
        <v>-2.012939E-3</v>
      </c>
      <c r="Z1337">
        <v>4.0576880000000003E-3</v>
      </c>
      <c r="AA1337">
        <v>0.99998969999999998</v>
      </c>
      <c r="AB1337">
        <v>27</v>
      </c>
      <c r="AC1337">
        <v>-0.51339999999998998</v>
      </c>
      <c r="AD1337">
        <v>-9.1541999999999998E-2</v>
      </c>
      <c r="AE1337">
        <v>-2.3200000000031199E-2</v>
      </c>
      <c r="AF1337">
        <v>-3.3669237687477902E-3</v>
      </c>
      <c r="AG1337">
        <v>-9.1541999999999998E-2</v>
      </c>
      <c r="AH1337">
        <v>0.49810819200334899</v>
      </c>
      <c r="AI1337">
        <v>100.41334707616301</v>
      </c>
      <c r="AJ1337">
        <v>90.387280488566503</v>
      </c>
      <c r="AK1337">
        <v>0.50646129652769101</v>
      </c>
      <c r="AL1337">
        <v>67.713292026454397</v>
      </c>
      <c r="AM1337">
        <v>94.058269402935295</v>
      </c>
      <c r="AN1337">
        <v>0.99999997293682397</v>
      </c>
    </row>
    <row r="1338" spans="1:40" x14ac:dyDescent="0.25">
      <c r="A1338" t="str">
        <f>"20190304164622931"</f>
        <v>20190304164622931</v>
      </c>
      <c r="B1338" t="str">
        <f>"1551689182928970"</f>
        <v>1551689182928970</v>
      </c>
      <c r="C1338" t="s">
        <v>40</v>
      </c>
      <c r="D1338">
        <v>4.6237640000000004</v>
      </c>
      <c r="E1338">
        <v>0.54087039999999997</v>
      </c>
      <c r="F1338" t="s">
        <v>41</v>
      </c>
      <c r="G1338">
        <v>-217.68520000000001</v>
      </c>
      <c r="H1338">
        <v>1.0220180000000001</v>
      </c>
      <c r="I1338">
        <v>282.7287</v>
      </c>
      <c r="J1338">
        <v>-217.1782</v>
      </c>
      <c r="K1338">
        <v>1.108263</v>
      </c>
      <c r="L1338">
        <v>282.75119999999998</v>
      </c>
      <c r="M1338">
        <v>-0.9993341</v>
      </c>
      <c r="N1338">
        <v>-6.2915200000000001E-3</v>
      </c>
      <c r="O1338">
        <v>-3.5941069999999999E-2</v>
      </c>
      <c r="P1338">
        <v>-0.92277350000000002</v>
      </c>
      <c r="Q1338">
        <v>0.37136190000000002</v>
      </c>
      <c r="R1338">
        <v>-0.10285619999999999</v>
      </c>
      <c r="S1338">
        <v>-3.3947910000000001</v>
      </c>
      <c r="T1338">
        <v>-0.38610220000000001</v>
      </c>
      <c r="U1338">
        <v>-0.13235469999999999</v>
      </c>
      <c r="V1338">
        <v>-6.7878969999999997E-2</v>
      </c>
      <c r="W1338">
        <v>0.37749759999999999</v>
      </c>
      <c r="X1338">
        <v>0.92351939999999999</v>
      </c>
      <c r="Y1338">
        <v>-3.202884E-3</v>
      </c>
      <c r="Z1338">
        <v>3.6546460000000001E-3</v>
      </c>
      <c r="AA1338">
        <v>0.99998819999999999</v>
      </c>
      <c r="AB1338">
        <v>27</v>
      </c>
      <c r="AC1338">
        <v>-0.507000000000005</v>
      </c>
      <c r="AD1338">
        <v>-8.6244999999999905E-2</v>
      </c>
      <c r="AE1338">
        <v>-2.2499999999979502E-2</v>
      </c>
      <c r="AF1338">
        <v>-4.1433200067548101E-3</v>
      </c>
      <c r="AG1338">
        <v>-8.6244999999999905E-2</v>
      </c>
      <c r="AH1338">
        <v>0.493236433370214</v>
      </c>
      <c r="AI1338">
        <v>99.917857487285005</v>
      </c>
      <c r="AJ1338">
        <v>90.481288789410598</v>
      </c>
      <c r="AK1338">
        <v>0.50073700315579595</v>
      </c>
      <c r="AL1338">
        <v>67.821236745579398</v>
      </c>
      <c r="AM1338">
        <v>94.203699038245901</v>
      </c>
      <c r="AN1338">
        <v>1.0000000373751801</v>
      </c>
    </row>
    <row r="1339" spans="1:40" x14ac:dyDescent="0.25">
      <c r="A1339" t="str">
        <f>"20190304164622955"</f>
        <v>20190304164622955</v>
      </c>
      <c r="B1339" t="str">
        <f>"1551689182949465"</f>
        <v>1551689182949465</v>
      </c>
      <c r="C1339" t="s">
        <v>40</v>
      </c>
      <c r="D1339">
        <v>4.6034670000000002</v>
      </c>
      <c r="E1339">
        <v>0.54175419999999996</v>
      </c>
      <c r="F1339" t="s">
        <v>41</v>
      </c>
      <c r="G1339">
        <v>-217.9299</v>
      </c>
      <c r="H1339">
        <v>1.0236149999999999</v>
      </c>
      <c r="I1339">
        <v>282.7226</v>
      </c>
      <c r="J1339">
        <v>-217.45820000000001</v>
      </c>
      <c r="K1339">
        <v>1.1082099999999999</v>
      </c>
      <c r="L1339">
        <v>282.7439</v>
      </c>
      <c r="M1339">
        <v>-0.99942949999999997</v>
      </c>
      <c r="N1339">
        <v>-6.1370130000000002E-3</v>
      </c>
      <c r="O1339">
        <v>-3.3210099999999999E-2</v>
      </c>
      <c r="P1339">
        <v>-0.92351589999999995</v>
      </c>
      <c r="Q1339">
        <v>0.3693555</v>
      </c>
      <c r="R1339">
        <v>-0.1034168</v>
      </c>
      <c r="S1339">
        <v>-3.3903660000000002</v>
      </c>
      <c r="T1339">
        <v>-0.38188529999999998</v>
      </c>
      <c r="U1339">
        <v>-0.12927249999999901</v>
      </c>
      <c r="V1339">
        <v>-7.0938390000000004E-2</v>
      </c>
      <c r="W1339">
        <v>0.37536960000000003</v>
      </c>
      <c r="X1339">
        <v>0.92415659999999999</v>
      </c>
      <c r="Y1339">
        <v>-5.047775E-3</v>
      </c>
      <c r="Z1339">
        <v>3.2244690000000002E-3</v>
      </c>
      <c r="AA1339">
        <v>0.99998209999999998</v>
      </c>
      <c r="AB1339">
        <v>27</v>
      </c>
      <c r="AC1339">
        <v>-0.47169999999999801</v>
      </c>
      <c r="AD1339">
        <v>-8.4595000000000198E-2</v>
      </c>
      <c r="AE1339">
        <v>-2.1299999999996499E-2</v>
      </c>
      <c r="AF1339">
        <v>-5.4478861066386899E-3</v>
      </c>
      <c r="AG1339">
        <v>-8.4595000000000198E-2</v>
      </c>
      <c r="AH1339">
        <v>0.45746368447458602</v>
      </c>
      <c r="AI1339">
        <v>100.476158460848</v>
      </c>
      <c r="AJ1339">
        <v>90.6822970585566</v>
      </c>
      <c r="AK1339">
        <v>0.46525156216942898</v>
      </c>
      <c r="AL1339">
        <v>67.952841940868097</v>
      </c>
      <c r="AM1339">
        <v>94.389424556830306</v>
      </c>
      <c r="AN1339">
        <v>1.00000000655175</v>
      </c>
    </row>
    <row r="1340" spans="1:40" x14ac:dyDescent="0.25">
      <c r="A1340" t="str">
        <f>"20190304164622977"</f>
        <v>20190304164622977</v>
      </c>
      <c r="B1340" t="str">
        <f>"1551689182968986"</f>
        <v>1551689182968986</v>
      </c>
      <c r="C1340" t="s">
        <v>40</v>
      </c>
      <c r="D1340">
        <v>4.6145949999999996</v>
      </c>
      <c r="E1340">
        <v>0.54247860000000003</v>
      </c>
      <c r="F1340" t="s">
        <v>41</v>
      </c>
      <c r="G1340">
        <v>-218.4092</v>
      </c>
      <c r="H1340">
        <v>0.99901459999999997</v>
      </c>
      <c r="I1340">
        <v>282.70749999999998</v>
      </c>
      <c r="J1340">
        <v>-217.74809999999999</v>
      </c>
      <c r="K1340">
        <v>1.1081570000000001</v>
      </c>
      <c r="L1340">
        <v>282.73719999999997</v>
      </c>
      <c r="M1340">
        <v>-0.99952059999999998</v>
      </c>
      <c r="N1340">
        <v>-5.9678719999999999E-3</v>
      </c>
      <c r="O1340">
        <v>-3.03784E-2</v>
      </c>
      <c r="P1340">
        <v>-0.92402530000000005</v>
      </c>
      <c r="Q1340">
        <v>0.36770619999999998</v>
      </c>
      <c r="R1340">
        <v>-0.1047341</v>
      </c>
      <c r="S1340">
        <v>-3.389481</v>
      </c>
      <c r="T1340">
        <v>-0.3892119</v>
      </c>
      <c r="U1340">
        <v>-0.13061519999999999</v>
      </c>
      <c r="V1340">
        <v>-7.4856580000000006E-2</v>
      </c>
      <c r="W1340">
        <v>0.37358730000000001</v>
      </c>
      <c r="X1340">
        <v>0.92456959999999999</v>
      </c>
      <c r="Y1340">
        <v>-8.2547660000000002E-3</v>
      </c>
      <c r="Z1340">
        <v>2.7970640000000001E-3</v>
      </c>
      <c r="AA1340">
        <v>0.99996200000000002</v>
      </c>
      <c r="AB1340">
        <v>27</v>
      </c>
      <c r="AC1340">
        <v>-0.66110000000000402</v>
      </c>
      <c r="AD1340">
        <v>-0.109142399999999</v>
      </c>
      <c r="AE1340">
        <v>-2.9699999999991102E-2</v>
      </c>
      <c r="AF1340">
        <v>-9.3484894220179394E-3</v>
      </c>
      <c r="AG1340">
        <v>-0.109142399999999</v>
      </c>
      <c r="AH1340">
        <v>0.64417523136566401</v>
      </c>
      <c r="AI1340">
        <v>99.615289379232294</v>
      </c>
      <c r="AJ1340">
        <v>90.831437417639705</v>
      </c>
      <c r="AK1340">
        <v>0.65342267058714798</v>
      </c>
      <c r="AL1340">
        <v>68.0629728830896</v>
      </c>
      <c r="AM1340">
        <v>94.6287821117334</v>
      </c>
      <c r="AN1340">
        <v>0.99999996176737205</v>
      </c>
    </row>
    <row r="1341" spans="1:40" x14ac:dyDescent="0.25">
      <c r="A1341" t="str">
        <f>"20190304164623001"</f>
        <v>20190304164623001</v>
      </c>
      <c r="B1341" t="str">
        <f>"1551689182989481"</f>
        <v>1551689182989481</v>
      </c>
      <c r="C1341" t="s">
        <v>40</v>
      </c>
      <c r="D1341">
        <v>4.6366350000000001</v>
      </c>
      <c r="E1341">
        <v>0.54316790000000004</v>
      </c>
      <c r="F1341" t="s">
        <v>41</v>
      </c>
      <c r="G1341">
        <v>-218.65799999999999</v>
      </c>
      <c r="H1341">
        <v>1.0023010000000001</v>
      </c>
      <c r="I1341">
        <v>282.7022</v>
      </c>
      <c r="J1341">
        <v>-218.03270000000001</v>
      </c>
      <c r="K1341">
        <v>1.1081099999999999</v>
      </c>
      <c r="L1341">
        <v>282.73140000000001</v>
      </c>
      <c r="M1341">
        <v>-0.99960230000000005</v>
      </c>
      <c r="N1341">
        <v>-5.805401E-3</v>
      </c>
      <c r="O1341">
        <v>-2.760193E-2</v>
      </c>
      <c r="P1341">
        <v>-0.92447559999999995</v>
      </c>
      <c r="Q1341">
        <v>0.36612450000000002</v>
      </c>
      <c r="R1341">
        <v>-0.1062915</v>
      </c>
      <c r="S1341">
        <v>-3.3887480000000001</v>
      </c>
      <c r="T1341">
        <v>-0.3942233</v>
      </c>
      <c r="U1341">
        <v>-0.1307373</v>
      </c>
      <c r="V1341">
        <v>-7.8967109999999993E-2</v>
      </c>
      <c r="W1341">
        <v>0.37187979999999998</v>
      </c>
      <c r="X1341">
        <v>0.92491599999999996</v>
      </c>
      <c r="Y1341">
        <v>-1.1044190000000001E-2</v>
      </c>
      <c r="Z1341">
        <v>2.3664179999999999E-3</v>
      </c>
      <c r="AA1341">
        <v>0.99993620000000005</v>
      </c>
      <c r="AB1341">
        <v>27</v>
      </c>
      <c r="AC1341">
        <v>-0.62529999999998098</v>
      </c>
      <c r="AD1341">
        <v>-0.105808999999999</v>
      </c>
      <c r="AE1341">
        <v>-2.9200000000002901E-2</v>
      </c>
      <c r="AF1341">
        <v>-1.1597742659606501E-2</v>
      </c>
      <c r="AG1341">
        <v>-0.105808999999999</v>
      </c>
      <c r="AH1341">
        <v>0.60848289803518296</v>
      </c>
      <c r="AI1341">
        <v>99.862760916854398</v>
      </c>
      <c r="AJ1341">
        <v>91.091930862177904</v>
      </c>
      <c r="AK1341">
        <v>0.61772282564034597</v>
      </c>
      <c r="AL1341">
        <v>68.168403751112805</v>
      </c>
      <c r="AM1341">
        <v>94.879942034806106</v>
      </c>
      <c r="AN1341">
        <v>0.99999999858289601</v>
      </c>
    </row>
    <row r="1342" spans="1:40" x14ac:dyDescent="0.25">
      <c r="A1342" t="str">
        <f>"20190304164623026"</f>
        <v>20190304164623026</v>
      </c>
      <c r="B1342" t="str">
        <f>"1551689183019739"</f>
        <v>1551689183019739</v>
      </c>
      <c r="C1342" t="s">
        <v>40</v>
      </c>
      <c r="D1342">
        <v>4.6896879999999896</v>
      </c>
      <c r="E1342">
        <v>0.54384449999999995</v>
      </c>
      <c r="F1342" t="s">
        <v>41</v>
      </c>
      <c r="G1342">
        <v>-218.90799999999999</v>
      </c>
      <c r="H1342">
        <v>1.0055639999999999</v>
      </c>
      <c r="I1342">
        <v>282.69889999999998</v>
      </c>
      <c r="J1342">
        <v>-218.34039999999999</v>
      </c>
      <c r="K1342">
        <v>1.10807099999999</v>
      </c>
      <c r="L1342">
        <v>282.726</v>
      </c>
      <c r="M1342">
        <v>-0.99968109999999999</v>
      </c>
      <c r="N1342">
        <v>-5.643019E-3</v>
      </c>
      <c r="O1342">
        <v>-2.461375E-2</v>
      </c>
      <c r="P1342">
        <v>-0.92443450000000005</v>
      </c>
      <c r="Q1342">
        <v>0.36614679999999999</v>
      </c>
      <c r="R1342">
        <v>-0.106572</v>
      </c>
      <c r="S1342">
        <v>-3.3877109999999999</v>
      </c>
      <c r="T1342">
        <v>-0.39688499999999999</v>
      </c>
      <c r="U1342">
        <v>-0.12661739999999999</v>
      </c>
      <c r="V1342">
        <v>-8.2005839999999997E-2</v>
      </c>
      <c r="W1342">
        <v>0.37176779999999998</v>
      </c>
      <c r="X1342">
        <v>0.92469659999999998</v>
      </c>
      <c r="Y1342">
        <v>-1.2801730000000001E-2</v>
      </c>
      <c r="Z1342">
        <v>1.9504780000000001E-3</v>
      </c>
      <c r="AA1342">
        <v>0.99991609999999997</v>
      </c>
      <c r="AB1342">
        <v>28</v>
      </c>
      <c r="AC1342">
        <v>-0.567599999999998</v>
      </c>
      <c r="AD1342">
        <v>-0.102506999999999</v>
      </c>
      <c r="AE1342">
        <v>-2.7100000000018502E-2</v>
      </c>
      <c r="AF1342">
        <v>-1.2707291969650701E-2</v>
      </c>
      <c r="AG1342">
        <v>-0.102506999999999</v>
      </c>
      <c r="AH1342">
        <v>0.55019120041244995</v>
      </c>
      <c r="AI1342">
        <v>100.551112486883</v>
      </c>
      <c r="AJ1342">
        <v>91.3230760152355</v>
      </c>
      <c r="AK1342">
        <v>0.55980310585909998</v>
      </c>
      <c r="AL1342">
        <v>68.175317185542795</v>
      </c>
      <c r="AM1342">
        <v>95.067963281296699</v>
      </c>
      <c r="AN1342">
        <v>1.00000002848125</v>
      </c>
    </row>
    <row r="1343" spans="1:40" x14ac:dyDescent="0.25">
      <c r="A1343" t="str">
        <f>"20190304164623048"</f>
        <v>20190304164623048</v>
      </c>
      <c r="B1343" t="str">
        <f>"1551689183039257"</f>
        <v>1551689183039257</v>
      </c>
      <c r="C1343" t="s">
        <v>40</v>
      </c>
      <c r="D1343">
        <v>4.6837070000000001</v>
      </c>
      <c r="E1343">
        <v>0.54442699999999999</v>
      </c>
      <c r="F1343" t="s">
        <v>41</v>
      </c>
      <c r="G1343">
        <v>-219.161</v>
      </c>
      <c r="H1343">
        <v>1.0127489999999999</v>
      </c>
      <c r="I1343">
        <v>282.69760000000002</v>
      </c>
      <c r="J1343">
        <v>-218.61869999999999</v>
      </c>
      <c r="K1343">
        <v>1.108042</v>
      </c>
      <c r="L1343">
        <v>282.72190000000001</v>
      </c>
      <c r="M1343">
        <v>-0.99974399999999997</v>
      </c>
      <c r="N1343">
        <v>-5.5079159999999999E-3</v>
      </c>
      <c r="O1343">
        <v>-2.1944849999999998E-2</v>
      </c>
      <c r="P1343">
        <v>-0.9247341</v>
      </c>
      <c r="Q1343">
        <v>0.36567359999999999</v>
      </c>
      <c r="R1343">
        <v>-0.1055931</v>
      </c>
      <c r="S1343">
        <v>-3.3875269999999902</v>
      </c>
      <c r="T1343">
        <v>-0.3935804</v>
      </c>
      <c r="U1343">
        <v>-0.1178589</v>
      </c>
      <c r="V1343">
        <v>-8.3492590000000005E-2</v>
      </c>
      <c r="W1343">
        <v>0.37117820000000001</v>
      </c>
      <c r="X1343">
        <v>0.92480039999999997</v>
      </c>
      <c r="Y1343">
        <v>-1.2873819999999999E-2</v>
      </c>
      <c r="Z1343">
        <v>1.638762E-3</v>
      </c>
      <c r="AA1343">
        <v>0.99991580000000002</v>
      </c>
      <c r="AB1343">
        <v>28</v>
      </c>
      <c r="AC1343">
        <v>-0.54229999999998302</v>
      </c>
      <c r="AD1343">
        <v>-9.5293000000000003E-2</v>
      </c>
      <c r="AE1343">
        <v>-2.4299999999982402E-2</v>
      </c>
      <c r="AF1343">
        <v>-1.2022784950063699E-2</v>
      </c>
      <c r="AG1343">
        <v>-9.5293000000000003E-2</v>
      </c>
      <c r="AH1343">
        <v>0.52647886797605303</v>
      </c>
      <c r="AI1343">
        <v>100.256878613899</v>
      </c>
      <c r="AJ1343">
        <v>91.308191402756805</v>
      </c>
      <c r="AK1343">
        <v>0.53516847967000203</v>
      </c>
      <c r="AL1343">
        <v>68.211702267506794</v>
      </c>
      <c r="AM1343">
        <v>95.158777009062504</v>
      </c>
      <c r="AN1343">
        <v>1.0000000242901499</v>
      </c>
    </row>
    <row r="1344" spans="1:40" x14ac:dyDescent="0.25">
      <c r="A1344" t="str">
        <f>"20190304164623068"</f>
        <v>20190304164623068</v>
      </c>
      <c r="B1344" t="str">
        <f>"1551689183059754"</f>
        <v>1551689183059754</v>
      </c>
      <c r="C1344" t="s">
        <v>40</v>
      </c>
      <c r="D1344">
        <v>4.6084389999999997</v>
      </c>
      <c r="E1344">
        <v>0.54454429999999998</v>
      </c>
      <c r="F1344" t="s">
        <v>41</v>
      </c>
      <c r="G1344">
        <v>-219.41319999999999</v>
      </c>
      <c r="H1344">
        <v>1.0160100000000001</v>
      </c>
      <c r="I1344">
        <v>282.69709999999998</v>
      </c>
      <c r="J1344">
        <v>-218.87020000000001</v>
      </c>
      <c r="K1344">
        <v>1.1080270000000001</v>
      </c>
      <c r="L1344">
        <v>282.71879999999999</v>
      </c>
      <c r="M1344">
        <v>-0.99979390000000001</v>
      </c>
      <c r="N1344">
        <v>-5.393793E-3</v>
      </c>
      <c r="O1344">
        <v>-1.9577689999999998E-2</v>
      </c>
      <c r="P1344">
        <v>-0.92509929999999996</v>
      </c>
      <c r="Q1344">
        <v>0.365199</v>
      </c>
      <c r="R1344">
        <v>-0.1040253</v>
      </c>
      <c r="S1344">
        <v>-3.3871310000000001</v>
      </c>
      <c r="T1344">
        <v>-0.39236090000000001</v>
      </c>
      <c r="U1344">
        <v>-0.1066589</v>
      </c>
      <c r="V1344">
        <v>-8.4123359999999994E-2</v>
      </c>
      <c r="W1344">
        <v>0.37060029999999999</v>
      </c>
      <c r="X1344">
        <v>0.92497499999999999</v>
      </c>
      <c r="Y1344">
        <v>-1.193496E-2</v>
      </c>
      <c r="Z1344">
        <v>1.43311E-3</v>
      </c>
      <c r="AA1344">
        <v>0.99992780000000003</v>
      </c>
      <c r="AB1344">
        <v>28</v>
      </c>
      <c r="AC1344">
        <v>-0.54299999999997794</v>
      </c>
      <c r="AD1344">
        <v>-9.2017000000000002E-2</v>
      </c>
      <c r="AE1344">
        <v>-2.1700000000009802E-2</v>
      </c>
      <c r="AF1344">
        <v>-1.07565988213931E-2</v>
      </c>
      <c r="AG1344">
        <v>-9.2017000000000002E-2</v>
      </c>
      <c r="AH1344">
        <v>0.52817737248073104</v>
      </c>
      <c r="AI1344">
        <v>99.880651555474401</v>
      </c>
      <c r="AJ1344">
        <v>91.166696194054794</v>
      </c>
      <c r="AK1344">
        <v>0.53624077568556205</v>
      </c>
      <c r="AL1344">
        <v>68.247356733998103</v>
      </c>
      <c r="AM1344">
        <v>95.196562158482294</v>
      </c>
      <c r="AN1344">
        <v>1.0000000363413799</v>
      </c>
    </row>
    <row r="1345" spans="1:40" x14ac:dyDescent="0.25">
      <c r="A1345" t="str">
        <f>"20190304164623090"</f>
        <v>20190304164623090</v>
      </c>
      <c r="B1345" t="str">
        <f>"1551689183079274"</f>
        <v>1551689183079274</v>
      </c>
      <c r="C1345" t="s">
        <v>40</v>
      </c>
      <c r="D1345">
        <v>4.6811099999999897</v>
      </c>
      <c r="E1345">
        <v>0.54499690000000001</v>
      </c>
      <c r="F1345" t="s">
        <v>41</v>
      </c>
      <c r="G1345">
        <v>-219.66480000000001</v>
      </c>
      <c r="H1345">
        <v>1.015504</v>
      </c>
      <c r="I1345">
        <v>282.69549999999998</v>
      </c>
      <c r="J1345">
        <v>-219.14449999999999</v>
      </c>
      <c r="K1345">
        <v>1.1080319999999999</v>
      </c>
      <c r="L1345">
        <v>282.71589999999998</v>
      </c>
      <c r="M1345">
        <v>-0.99984039999999996</v>
      </c>
      <c r="N1345">
        <v>-5.2794799999999996E-3</v>
      </c>
      <c r="O1345">
        <v>-1.70657E-2</v>
      </c>
      <c r="P1345">
        <v>-0.92525939999999995</v>
      </c>
      <c r="Q1345">
        <v>0.36541030000000002</v>
      </c>
      <c r="R1345">
        <v>-0.1018353</v>
      </c>
      <c r="S1345">
        <v>-3.387451</v>
      </c>
      <c r="T1345">
        <v>-0.39446249999999999</v>
      </c>
      <c r="U1345">
        <v>-9.9334720000000001E-2</v>
      </c>
      <c r="V1345">
        <v>-8.4283810000000001E-2</v>
      </c>
      <c r="W1345">
        <v>0.37069990000000003</v>
      </c>
      <c r="X1345">
        <v>0.92492039999999998</v>
      </c>
      <c r="Y1345">
        <v>-1.226724E-2</v>
      </c>
      <c r="Z1345">
        <v>1.145966E-3</v>
      </c>
      <c r="AA1345">
        <v>0.99992409999999998</v>
      </c>
      <c r="AB1345">
        <v>28</v>
      </c>
      <c r="AC1345">
        <v>-0.52030000000001997</v>
      </c>
      <c r="AD1345">
        <v>-9.2527999999999694E-2</v>
      </c>
      <c r="AE1345">
        <v>-2.0399999999994999E-2</v>
      </c>
      <c r="AF1345">
        <v>-1.1165061603459699E-2</v>
      </c>
      <c r="AG1345">
        <v>-9.2527999999999694E-2</v>
      </c>
      <c r="AH1345">
        <v>0.50463741028779296</v>
      </c>
      <c r="AI1345">
        <v>100.387594902903</v>
      </c>
      <c r="AJ1345">
        <v>91.267457670457404</v>
      </c>
      <c r="AK1345">
        <v>0.51317151640224501</v>
      </c>
      <c r="AL1345">
        <v>68.241210718246407</v>
      </c>
      <c r="AM1345">
        <v>95.206724892359006</v>
      </c>
      <c r="AN1345">
        <v>0.99999996141214198</v>
      </c>
    </row>
    <row r="1346" spans="1:40" x14ac:dyDescent="0.25">
      <c r="A1346" t="str">
        <f>"20190304164623113"</f>
        <v>20190304164623113</v>
      </c>
      <c r="B1346" t="str">
        <f>"1551689183109530"</f>
        <v>1551689183109530</v>
      </c>
      <c r="C1346" t="s">
        <v>40</v>
      </c>
      <c r="D1346">
        <v>4.6613089999999904</v>
      </c>
      <c r="E1346">
        <v>0.54510509999999901</v>
      </c>
      <c r="F1346" t="s">
        <v>41</v>
      </c>
      <c r="G1346">
        <v>-219.91919999999999</v>
      </c>
      <c r="H1346">
        <v>1.0186649999999999</v>
      </c>
      <c r="I1346">
        <v>282.69630000000001</v>
      </c>
      <c r="J1346">
        <v>-219.44229999999999</v>
      </c>
      <c r="K1346">
        <v>1.108074</v>
      </c>
      <c r="L1346">
        <v>282.71350000000001</v>
      </c>
      <c r="M1346">
        <v>-0.9998823</v>
      </c>
      <c r="N1346">
        <v>-5.1690310000000001E-3</v>
      </c>
      <c r="O1346">
        <v>-1.443989E-2</v>
      </c>
      <c r="P1346">
        <v>-0.92535299999999998</v>
      </c>
      <c r="Q1346">
        <v>0.36576320000000001</v>
      </c>
      <c r="R1346">
        <v>-9.9694450000000004E-2</v>
      </c>
      <c r="S1346">
        <v>-3.387146</v>
      </c>
      <c r="T1346">
        <v>-0.39075739999999998</v>
      </c>
      <c r="U1346">
        <v>-8.6425779999999994E-2</v>
      </c>
      <c r="V1346">
        <v>-8.4619050000000001E-2</v>
      </c>
      <c r="W1346">
        <v>0.37094129999999997</v>
      </c>
      <c r="X1346">
        <v>0.92479310000000003</v>
      </c>
      <c r="Y1346">
        <v>-1.1080029999999999E-2</v>
      </c>
      <c r="Z1346">
        <v>9.1991489999999996E-4</v>
      </c>
      <c r="AA1346">
        <v>0.9999382</v>
      </c>
      <c r="AB1346">
        <v>28</v>
      </c>
      <c r="AC1346">
        <v>-0.47689999999999999</v>
      </c>
      <c r="AD1346">
        <v>-8.9409000000000002E-2</v>
      </c>
      <c r="AE1346">
        <v>-1.7200000000002501E-2</v>
      </c>
      <c r="AF1346">
        <v>-9.9620340754099992E-3</v>
      </c>
      <c r="AG1346">
        <v>-8.9409000000000002E-2</v>
      </c>
      <c r="AH1346">
        <v>0.46091904074615497</v>
      </c>
      <c r="AI1346">
        <v>100.975387374075</v>
      </c>
      <c r="AJ1346">
        <v>91.238164631866496</v>
      </c>
      <c r="AK1346">
        <v>0.46961641104871499</v>
      </c>
      <c r="AL1346">
        <v>68.226319848242198</v>
      </c>
      <c r="AM1346">
        <v>95.22803577338</v>
      </c>
      <c r="AN1346">
        <v>1.0000000547380901</v>
      </c>
    </row>
    <row r="1347" spans="1:40" x14ac:dyDescent="0.25">
      <c r="A1347" t="str">
        <f>"20190304164623140"</f>
        <v>20190304164623140</v>
      </c>
      <c r="B1347" t="str">
        <f>"1551689183129049"</f>
        <v>1551689183129049</v>
      </c>
      <c r="C1347" t="s">
        <v>40</v>
      </c>
      <c r="D1347">
        <v>4.726426</v>
      </c>
      <c r="E1347">
        <v>0.54547950000000001</v>
      </c>
      <c r="F1347" t="s">
        <v>41</v>
      </c>
      <c r="G1347">
        <v>-220.17660000000001</v>
      </c>
      <c r="H1347">
        <v>1.0259940000000001</v>
      </c>
      <c r="I1347">
        <v>282.69690000000003</v>
      </c>
      <c r="J1347">
        <v>-219.78559999999999</v>
      </c>
      <c r="K1347">
        <v>1.1081460000000001</v>
      </c>
      <c r="L1347">
        <v>282.71159999999998</v>
      </c>
      <c r="M1347">
        <v>-0.99992000000000003</v>
      </c>
      <c r="N1347">
        <v>-5.0611850000000002E-3</v>
      </c>
      <c r="O1347">
        <v>-1.1597970000000001E-2</v>
      </c>
      <c r="P1347">
        <v>-0.92586599999999997</v>
      </c>
      <c r="Q1347">
        <v>0.36518719999999999</v>
      </c>
      <c r="R1347">
        <v>-9.7009369999999998E-2</v>
      </c>
      <c r="S1347">
        <v>-3.3832399999999998</v>
      </c>
      <c r="T1347">
        <v>-0.37812829999999997</v>
      </c>
      <c r="U1347">
        <v>-7.6385499999999995E-2</v>
      </c>
      <c r="V1347">
        <v>-8.4640259999999995E-2</v>
      </c>
      <c r="W1347">
        <v>0.37024859999999998</v>
      </c>
      <c r="X1347">
        <v>0.92506869999999997</v>
      </c>
      <c r="Y1347">
        <v>-1.0969599999999999E-2</v>
      </c>
      <c r="Z1347">
        <v>5.9459409999999997E-4</v>
      </c>
      <c r="AA1347">
        <v>0.99993969999999999</v>
      </c>
      <c r="AB1347">
        <v>28</v>
      </c>
      <c r="AC1347">
        <v>-0.391000000000019</v>
      </c>
      <c r="AD1347">
        <v>-8.2151999999999697E-2</v>
      </c>
      <c r="AE1347">
        <v>-1.4699999999947901E-2</v>
      </c>
      <c r="AF1347">
        <v>-9.7350009534921192E-3</v>
      </c>
      <c r="AG1347">
        <v>-8.2151999999999697E-2</v>
      </c>
      <c r="AH1347">
        <v>0.374629470846641</v>
      </c>
      <c r="AI1347">
        <v>102.364492845296</v>
      </c>
      <c r="AJ1347">
        <v>91.488534714089397</v>
      </c>
      <c r="AK1347">
        <v>0.38365474293223401</v>
      </c>
      <c r="AL1347">
        <v>68.269051229572696</v>
      </c>
      <c r="AM1347">
        <v>95.227789619815297</v>
      </c>
      <c r="AN1347">
        <v>1.0000000495672501</v>
      </c>
    </row>
    <row r="1348" spans="1:40" x14ac:dyDescent="0.25">
      <c r="A1348" t="str">
        <f>"20190304164623160"</f>
        <v>20190304164623160</v>
      </c>
      <c r="B1348" t="str">
        <f>"1551689183149545"</f>
        <v>1551689183149545</v>
      </c>
      <c r="C1348" t="s">
        <v>40</v>
      </c>
      <c r="D1348">
        <v>4.7643380000000004</v>
      </c>
      <c r="E1348">
        <v>0.54580550000000005</v>
      </c>
      <c r="F1348" t="s">
        <v>41</v>
      </c>
      <c r="G1348">
        <v>-220.67930000000001</v>
      </c>
      <c r="H1348">
        <v>1.007833</v>
      </c>
      <c r="I1348">
        <v>282.6952</v>
      </c>
      <c r="J1348">
        <v>-220.0412</v>
      </c>
      <c r="K1348">
        <v>1.108209</v>
      </c>
      <c r="L1348">
        <v>282.71069999999997</v>
      </c>
      <c r="M1348">
        <v>-0.99994150000000004</v>
      </c>
      <c r="N1348">
        <v>-4.9915979999999999E-3</v>
      </c>
      <c r="O1348">
        <v>-9.6062579999999995E-3</v>
      </c>
      <c r="P1348">
        <v>-0.92643399999999998</v>
      </c>
      <c r="Q1348">
        <v>0.36433589999999999</v>
      </c>
      <c r="R1348">
        <v>-9.475981E-2</v>
      </c>
      <c r="S1348">
        <v>-3.3834689999999998</v>
      </c>
      <c r="T1348">
        <v>-0.3798455</v>
      </c>
      <c r="U1348">
        <v>-6.2622070000000002E-2</v>
      </c>
      <c r="V1348">
        <v>-8.4300669999999994E-2</v>
      </c>
      <c r="W1348">
        <v>0.36931819999999999</v>
      </c>
      <c r="X1348">
        <v>0.9254715</v>
      </c>
      <c r="Y1348">
        <v>-8.8962019999999902E-3</v>
      </c>
      <c r="Z1348">
        <v>5.0709979999999995E-4</v>
      </c>
      <c r="AA1348">
        <v>0.99996030000000002</v>
      </c>
      <c r="AB1348">
        <v>28</v>
      </c>
      <c r="AC1348">
        <v>-0.63810000000000799</v>
      </c>
      <c r="AD1348">
        <v>-0.10037600000000001</v>
      </c>
      <c r="AE1348">
        <v>-1.5499999999974499E-2</v>
      </c>
      <c r="AF1348">
        <v>-9.1433399786465495E-3</v>
      </c>
      <c r="AG1348">
        <v>-0.10037600000000001</v>
      </c>
      <c r="AH1348">
        <v>0.622817117676009</v>
      </c>
      <c r="AI1348">
        <v>99.154350033499796</v>
      </c>
      <c r="AJ1348">
        <v>90.841077013091507</v>
      </c>
      <c r="AK1348">
        <v>0.63092004573655502</v>
      </c>
      <c r="AL1348">
        <v>68.326425315408102</v>
      </c>
      <c r="AM1348">
        <v>95.204676628821204</v>
      </c>
      <c r="AN1348">
        <v>1.0000000165629599</v>
      </c>
    </row>
    <row r="1349" spans="1:40" x14ac:dyDescent="0.25">
      <c r="A1349" t="str">
        <f>"20190304164623180"</f>
        <v>20190304164623180</v>
      </c>
      <c r="B1349" t="str">
        <f>"1551689183169066"</f>
        <v>1551689183169066</v>
      </c>
      <c r="C1349" t="s">
        <v>40</v>
      </c>
      <c r="D1349">
        <v>4.7850380000000001</v>
      </c>
      <c r="E1349">
        <v>0.54596959999999894</v>
      </c>
      <c r="F1349" t="s">
        <v>41</v>
      </c>
      <c r="G1349">
        <v>-220.93610000000001</v>
      </c>
      <c r="H1349">
        <v>1.00678</v>
      </c>
      <c r="I1349">
        <v>282.69709999999998</v>
      </c>
      <c r="J1349">
        <v>-220.2996</v>
      </c>
      <c r="K1349">
        <v>1.1082689999999999</v>
      </c>
      <c r="L1349">
        <v>282.71010000000001</v>
      </c>
      <c r="M1349">
        <v>-0.99995829999999997</v>
      </c>
      <c r="N1349">
        <v>-4.9303910000000001E-3</v>
      </c>
      <c r="O1349">
        <v>-7.6953819999999997E-3</v>
      </c>
      <c r="P1349">
        <v>-0.92720780000000003</v>
      </c>
      <c r="Q1349">
        <v>0.36299369999999997</v>
      </c>
      <c r="R1349">
        <v>-9.2313069999999997E-2</v>
      </c>
      <c r="S1349">
        <v>-3.3837739999999998</v>
      </c>
      <c r="T1349">
        <v>-0.3836659</v>
      </c>
      <c r="U1349">
        <v>-5.2154539999999999E-2</v>
      </c>
      <c r="V1349">
        <v>-8.3690020000000004E-2</v>
      </c>
      <c r="W1349">
        <v>0.36790460000000003</v>
      </c>
      <c r="X1349">
        <v>0.92608970000000002</v>
      </c>
      <c r="Y1349">
        <v>-7.7098309999999899E-3</v>
      </c>
      <c r="Z1349">
        <v>3.7711720000000002E-4</v>
      </c>
      <c r="AA1349">
        <v>0.99997020000000003</v>
      </c>
      <c r="AB1349">
        <v>29</v>
      </c>
      <c r="AC1349">
        <v>-0.63650000000001195</v>
      </c>
      <c r="AD1349">
        <v>-0.101488999999999</v>
      </c>
      <c r="AE1349">
        <v>-1.3000000000033599E-2</v>
      </c>
      <c r="AF1349">
        <v>-7.9006637533080692E-3</v>
      </c>
      <c r="AG1349">
        <v>-0.101488999999999</v>
      </c>
      <c r="AH1349">
        <v>0.62080454049603995</v>
      </c>
      <c r="AI1349">
        <v>99.283832991783001</v>
      </c>
      <c r="AJ1349">
        <v>90.729134892426202</v>
      </c>
      <c r="AK1349">
        <v>0.62909515584626896</v>
      </c>
      <c r="AL1349">
        <v>68.413552942972501</v>
      </c>
      <c r="AM1349">
        <v>95.163749628073603</v>
      </c>
      <c r="AN1349">
        <v>0.99999997329742396</v>
      </c>
    </row>
    <row r="1350" spans="1:40" x14ac:dyDescent="0.25">
      <c r="A1350" t="str">
        <f>"20190304164623204"</f>
        <v>20190304164623204</v>
      </c>
      <c r="B1350" t="str">
        <f>"1551689183199322"</f>
        <v>1551689183199322</v>
      </c>
      <c r="C1350" t="s">
        <v>40</v>
      </c>
      <c r="D1350">
        <v>4.8007970000000002</v>
      </c>
      <c r="E1350">
        <v>0.54608639999999997</v>
      </c>
      <c r="F1350" t="s">
        <v>41</v>
      </c>
      <c r="G1350">
        <v>-221.19370000000001</v>
      </c>
      <c r="H1350">
        <v>1.005333</v>
      </c>
      <c r="I1350">
        <v>282.69839999999999</v>
      </c>
      <c r="J1350">
        <v>-220.602</v>
      </c>
      <c r="K1350">
        <v>1.108341</v>
      </c>
      <c r="L1350">
        <v>282.70999999999998</v>
      </c>
      <c r="M1350">
        <v>-0.99997259999999999</v>
      </c>
      <c r="N1350">
        <v>-4.8696260000000002E-3</v>
      </c>
      <c r="O1350">
        <v>-5.595699E-3</v>
      </c>
      <c r="P1350">
        <v>-0.92785669999999998</v>
      </c>
      <c r="Q1350">
        <v>0.3621973</v>
      </c>
      <c r="R1350">
        <v>-8.8856089999999999E-2</v>
      </c>
      <c r="S1350">
        <v>-3.3836360000000001</v>
      </c>
      <c r="T1350">
        <v>-0.38955830000000002</v>
      </c>
      <c r="U1350">
        <v>-4.4128420000000002E-2</v>
      </c>
      <c r="V1350">
        <v>-8.2254770000000005E-2</v>
      </c>
      <c r="W1350">
        <v>0.36703190000000002</v>
      </c>
      <c r="X1350">
        <v>0.92656450000000001</v>
      </c>
      <c r="Y1350">
        <v>-7.4278629999999998E-3</v>
      </c>
      <c r="Z1350">
        <v>1.70606699999999E-4</v>
      </c>
      <c r="AA1350">
        <v>0.99997239999999998</v>
      </c>
      <c r="AB1350">
        <v>29</v>
      </c>
      <c r="AC1350">
        <v>-0.591700000000002</v>
      </c>
      <c r="AD1350">
        <v>-0.103008</v>
      </c>
      <c r="AE1350">
        <v>-1.15999999999871E-2</v>
      </c>
      <c r="AF1350">
        <v>-8.0450782358631196E-3</v>
      </c>
      <c r="AG1350">
        <v>-0.103008</v>
      </c>
      <c r="AH1350">
        <v>0.57435550950899095</v>
      </c>
      <c r="AI1350">
        <v>100.16666252216</v>
      </c>
      <c r="AJ1350">
        <v>90.802497544850297</v>
      </c>
      <c r="AK1350">
        <v>0.58357486464990405</v>
      </c>
      <c r="AL1350">
        <v>68.467317487260104</v>
      </c>
      <c r="AM1350">
        <v>95.073072642795296</v>
      </c>
      <c r="AN1350">
        <v>1.0000000177327999</v>
      </c>
    </row>
    <row r="1351" spans="1:40" x14ac:dyDescent="0.25">
      <c r="A1351" t="str">
        <f>"20190304164623228"</f>
        <v>20190304164623228</v>
      </c>
      <c r="B1351" t="str">
        <f>"1551689183219819"</f>
        <v>1551689183219819</v>
      </c>
      <c r="C1351" t="s">
        <v>40</v>
      </c>
      <c r="D1351">
        <v>4.7346059999999897</v>
      </c>
      <c r="E1351">
        <v>0.54602410000000001</v>
      </c>
      <c r="F1351" t="s">
        <v>41</v>
      </c>
      <c r="G1351">
        <v>-221.45480000000001</v>
      </c>
      <c r="H1351">
        <v>1.0089189999999999</v>
      </c>
      <c r="I1351">
        <v>282.7013</v>
      </c>
      <c r="J1351">
        <v>-220.9187</v>
      </c>
      <c r="K1351">
        <v>1.1084149999999999</v>
      </c>
      <c r="L1351">
        <v>282.71039999999999</v>
      </c>
      <c r="M1351">
        <v>-0.99998209999999998</v>
      </c>
      <c r="N1351">
        <v>-4.8166040000000004E-3</v>
      </c>
      <c r="O1351">
        <v>-3.5422819999999999E-3</v>
      </c>
      <c r="P1351">
        <v>-0.92857829999999997</v>
      </c>
      <c r="Q1351">
        <v>0.36128349999999998</v>
      </c>
      <c r="R1351">
        <v>-8.4952310000000003E-2</v>
      </c>
      <c r="S1351">
        <v>-3.3839570000000001</v>
      </c>
      <c r="T1351">
        <v>-0.39455810000000002</v>
      </c>
      <c r="U1351">
        <v>-3.4790040000000001E-2</v>
      </c>
      <c r="V1351">
        <v>-8.0329429999999993E-2</v>
      </c>
      <c r="W1351">
        <v>0.36604819999999999</v>
      </c>
      <c r="X1351">
        <v>0.92712240000000001</v>
      </c>
      <c r="Y1351">
        <v>-6.7128219999999898E-3</v>
      </c>
      <c r="Z1351" s="1">
        <v>-1.163443E-5</v>
      </c>
      <c r="AA1351">
        <v>0.99997749999999996</v>
      </c>
      <c r="AB1351">
        <v>29</v>
      </c>
      <c r="AC1351">
        <v>-0.53610000000000402</v>
      </c>
      <c r="AD1351">
        <v>-9.9495999999999807E-2</v>
      </c>
      <c r="AE1351">
        <v>-9.0999999999894499E-3</v>
      </c>
      <c r="AF1351">
        <v>-6.9611976826665202E-3</v>
      </c>
      <c r="AG1351">
        <v>-9.9495999999999807E-2</v>
      </c>
      <c r="AH1351">
        <v>0.51828205806103</v>
      </c>
      <c r="AI1351">
        <v>100.86605938691299</v>
      </c>
      <c r="AJ1351">
        <v>90.769510076614793</v>
      </c>
      <c r="AK1351">
        <v>0.52779181880468096</v>
      </c>
      <c r="AL1351">
        <v>68.527895561505701</v>
      </c>
      <c r="AM1351">
        <v>94.951958440871607</v>
      </c>
      <c r="AN1351">
        <v>1.0000000233145601</v>
      </c>
    </row>
    <row r="1352" spans="1:40" x14ac:dyDescent="0.25">
      <c r="A1352" t="str">
        <f>"20190304164623249"</f>
        <v>20190304164623249</v>
      </c>
      <c r="B1352" t="str">
        <f>"1551689183239337"</f>
        <v>1551689183239337</v>
      </c>
      <c r="C1352" t="s">
        <v>40</v>
      </c>
      <c r="D1352">
        <v>4.9204569999999999</v>
      </c>
      <c r="E1352">
        <v>0.5462264</v>
      </c>
      <c r="F1352" t="s">
        <v>41</v>
      </c>
      <c r="G1352">
        <v>-221.71799999999999</v>
      </c>
      <c r="H1352">
        <v>1.01479599999999</v>
      </c>
      <c r="I1352">
        <v>282.70490000000001</v>
      </c>
      <c r="J1352">
        <v>-221.1918</v>
      </c>
      <c r="K1352">
        <v>1.108465</v>
      </c>
      <c r="L1352">
        <v>282.71109999999999</v>
      </c>
      <c r="M1352">
        <v>-0.99998690000000001</v>
      </c>
      <c r="N1352">
        <v>-4.776097E-3</v>
      </c>
      <c r="O1352">
        <v>-1.8828460000000001E-3</v>
      </c>
      <c r="P1352">
        <v>-0.9290754</v>
      </c>
      <c r="Q1352">
        <v>0.36067660000000001</v>
      </c>
      <c r="R1352">
        <v>-8.2046480000000005E-2</v>
      </c>
      <c r="S1352">
        <v>-3.382736</v>
      </c>
      <c r="T1352">
        <v>-0.39622659999999998</v>
      </c>
      <c r="U1352">
        <v>-2.3712159999999999E-2</v>
      </c>
      <c r="V1352">
        <v>-7.9024230000000001E-2</v>
      </c>
      <c r="W1352">
        <v>0.3653884</v>
      </c>
      <c r="X1352">
        <v>0.92749479999999995</v>
      </c>
      <c r="Y1352">
        <v>-5.1022810000000002E-3</v>
      </c>
      <c r="Z1352" s="1">
        <v>-9.9202679999999997E-5</v>
      </c>
      <c r="AA1352">
        <v>0.99998699999999996</v>
      </c>
      <c r="AB1352">
        <v>29</v>
      </c>
      <c r="AC1352">
        <v>-0.52619999999998801</v>
      </c>
      <c r="AD1352">
        <v>-9.3669000000000197E-2</v>
      </c>
      <c r="AE1352">
        <v>-6.1999999999784398E-3</v>
      </c>
      <c r="AF1352">
        <v>-5.0492476223988102E-3</v>
      </c>
      <c r="AG1352">
        <v>-9.3669000000000197E-2</v>
      </c>
      <c r="AH1352">
        <v>0.510050675474643</v>
      </c>
      <c r="AI1352">
        <v>100.405715449536</v>
      </c>
      <c r="AJ1352">
        <v>90.567181149730899</v>
      </c>
      <c r="AK1352">
        <v>0.51860492478831299</v>
      </c>
      <c r="AL1352">
        <v>68.568513848880599</v>
      </c>
      <c r="AM1352">
        <v>94.869942291073798</v>
      </c>
      <c r="AN1352">
        <v>1.00000005790434</v>
      </c>
    </row>
    <row r="1353" spans="1:40" x14ac:dyDescent="0.25">
      <c r="A1353" t="str">
        <f>"20190304164623270"</f>
        <v>20190304164623270</v>
      </c>
      <c r="B1353" t="str">
        <f>"1551689183259834"</f>
        <v>1551689183259834</v>
      </c>
      <c r="C1353" t="s">
        <v>40</v>
      </c>
      <c r="D1353">
        <v>4.84396</v>
      </c>
      <c r="E1353">
        <v>0.54650430000000005</v>
      </c>
      <c r="F1353" t="s">
        <v>41</v>
      </c>
      <c r="G1353">
        <v>-221.98009999999999</v>
      </c>
      <c r="H1353">
        <v>1.0158119999999999</v>
      </c>
      <c r="I1353">
        <v>282.70859999999999</v>
      </c>
      <c r="J1353">
        <v>-221.46889999999999</v>
      </c>
      <c r="K1353">
        <v>1.108514</v>
      </c>
      <c r="L1353">
        <v>282.7122</v>
      </c>
      <c r="M1353">
        <v>-0.99998880000000001</v>
      </c>
      <c r="N1353">
        <v>-4.7377349999999999E-3</v>
      </c>
      <c r="O1353">
        <v>-2.8981089999999997E-4</v>
      </c>
      <c r="P1353">
        <v>-0.92928089999999997</v>
      </c>
      <c r="Q1353">
        <v>0.36073450000000001</v>
      </c>
      <c r="R1353">
        <v>-7.9418870000000003E-2</v>
      </c>
      <c r="S1353">
        <v>-3.3824160000000001</v>
      </c>
      <c r="T1353">
        <v>-0.39768799999999999</v>
      </c>
      <c r="U1353">
        <v>-1.141357E-2</v>
      </c>
      <c r="V1353">
        <v>-7.7931109999999998E-2</v>
      </c>
      <c r="W1353">
        <v>0.36539549999999998</v>
      </c>
      <c r="X1353">
        <v>0.92758450000000003</v>
      </c>
      <c r="Y1353">
        <v>-3.0644280000000001E-3</v>
      </c>
      <c r="Z1353">
        <v>-1.5422769999999999E-4</v>
      </c>
      <c r="AA1353">
        <v>0.99999530000000003</v>
      </c>
      <c r="AB1353">
        <v>29</v>
      </c>
      <c r="AC1353">
        <v>-0.51120000000000199</v>
      </c>
      <c r="AD1353">
        <v>-9.2701999999999798E-2</v>
      </c>
      <c r="AE1353">
        <v>-3.6000000000058199E-3</v>
      </c>
      <c r="AF1353">
        <v>-3.3419525405907501E-3</v>
      </c>
      <c r="AG1353">
        <v>-9.2701999999999798E-2</v>
      </c>
      <c r="AH1353">
        <v>0.49492622971121603</v>
      </c>
      <c r="AI1353">
        <v>100.608607698692</v>
      </c>
      <c r="AJ1353">
        <v>90.386879608119997</v>
      </c>
      <c r="AK1353">
        <v>0.50354424066505199</v>
      </c>
      <c r="AL1353">
        <v>68.5680770348999</v>
      </c>
      <c r="AM1353">
        <v>94.802432788976901</v>
      </c>
      <c r="AN1353">
        <v>1.0000000669831599</v>
      </c>
    </row>
    <row r="1354" spans="1:40" x14ac:dyDescent="0.25">
      <c r="A1354" t="str">
        <f>"20190304164623291"</f>
        <v>20190304164623291</v>
      </c>
      <c r="B1354" t="str">
        <f>"1551689183280330"</f>
        <v>1551689183280330</v>
      </c>
      <c r="C1354" t="s">
        <v>40</v>
      </c>
      <c r="D1354">
        <v>4.8346070000000001</v>
      </c>
      <c r="E1354">
        <v>0.56561810000000001</v>
      </c>
      <c r="F1354" t="s">
        <v>41</v>
      </c>
      <c r="G1354">
        <v>-222.24340000000001</v>
      </c>
      <c r="H1354">
        <v>1.0172000000000001</v>
      </c>
      <c r="I1354">
        <v>282.71190000000001</v>
      </c>
      <c r="J1354">
        <v>-221.74250000000001</v>
      </c>
      <c r="K1354">
        <v>1.10856</v>
      </c>
      <c r="L1354">
        <v>282.71370000000002</v>
      </c>
      <c r="M1354">
        <v>-0.99998830000000005</v>
      </c>
      <c r="N1354">
        <v>-4.7038790000000002E-3</v>
      </c>
      <c r="O1354">
        <v>1.210425E-3</v>
      </c>
      <c r="P1354">
        <v>-0.92950710000000003</v>
      </c>
      <c r="Q1354">
        <v>0.36083609999999999</v>
      </c>
      <c r="R1354">
        <v>-7.6250120000000005E-2</v>
      </c>
      <c r="S1354">
        <v>-3.3829959999999999</v>
      </c>
      <c r="T1354">
        <v>-0.39887119999999998</v>
      </c>
      <c r="U1354">
        <v>-1.739502E-3</v>
      </c>
      <c r="V1354">
        <v>-7.6202880000000001E-2</v>
      </c>
      <c r="W1354">
        <v>0.36545050000000001</v>
      </c>
      <c r="X1354">
        <v>0.92770640000000004</v>
      </c>
      <c r="Y1354">
        <v>-1.7046170000000001E-3</v>
      </c>
      <c r="Z1354">
        <v>-2.4071530000000001E-4</v>
      </c>
      <c r="AA1354">
        <v>0.99999850000000001</v>
      </c>
      <c r="AB1354">
        <v>29</v>
      </c>
      <c r="AC1354">
        <v>-0.50090000000000101</v>
      </c>
      <c r="AD1354">
        <v>-9.1359999999999802E-2</v>
      </c>
      <c r="AE1354">
        <v>-1.8000000000029099E-3</v>
      </c>
      <c r="AF1354">
        <v>-2.3288354721646598E-3</v>
      </c>
      <c r="AG1354">
        <v>-9.1359999999999802E-2</v>
      </c>
      <c r="AH1354">
        <v>0.48477091904783398</v>
      </c>
      <c r="AI1354">
        <v>100.672669874652</v>
      </c>
      <c r="AJ1354">
        <v>90.275246331907397</v>
      </c>
      <c r="AK1354">
        <v>0.49331016311154402</v>
      </c>
      <c r="AL1354">
        <v>68.564691385572701</v>
      </c>
      <c r="AM1354">
        <v>94.695799617912201</v>
      </c>
      <c r="AN1354">
        <v>1.00000005573575</v>
      </c>
    </row>
    <row r="1355" spans="1:40" x14ac:dyDescent="0.25">
      <c r="A1355" t="str">
        <f>"20190304164623313"</f>
        <v>20190304164623313</v>
      </c>
      <c r="B1355" t="str">
        <f>"1551689183309610"</f>
        <v>1551689183309610</v>
      </c>
      <c r="C1355" t="s">
        <v>40</v>
      </c>
      <c r="D1355">
        <v>4.8642589999999997</v>
      </c>
      <c r="E1355">
        <v>0.56305899999999998</v>
      </c>
      <c r="F1355" t="s">
        <v>41</v>
      </c>
      <c r="G1355">
        <v>-222.51009999999999</v>
      </c>
      <c r="H1355">
        <v>1.0245850000000001</v>
      </c>
      <c r="I1355">
        <v>282.75020000000001</v>
      </c>
      <c r="J1355">
        <v>-222.0351</v>
      </c>
      <c r="K1355">
        <v>1.108592</v>
      </c>
      <c r="L1355">
        <v>282.71559999999999</v>
      </c>
      <c r="M1355">
        <v>-0.99998540000000002</v>
      </c>
      <c r="N1355">
        <v>-4.6730510000000001E-3</v>
      </c>
      <c r="O1355">
        <v>2.7483339999999998E-3</v>
      </c>
      <c r="P1355">
        <v>-0.9295698</v>
      </c>
      <c r="Q1355">
        <v>0.36108390000000001</v>
      </c>
      <c r="R1355">
        <v>-7.4287030000000004E-2</v>
      </c>
      <c r="S1355">
        <v>-3.3844449999999999</v>
      </c>
      <c r="T1355">
        <v>-0.37041689999999999</v>
      </c>
      <c r="U1355">
        <v>0.15988160000000001</v>
      </c>
      <c r="V1355">
        <v>-7.5710479999999997E-2</v>
      </c>
      <c r="W1355">
        <v>0.36565910000000001</v>
      </c>
      <c r="X1355">
        <v>0.9276645</v>
      </c>
      <c r="Y1355">
        <v>4.4182449999999998E-2</v>
      </c>
      <c r="Z1355">
        <v>2.2259670000000001E-3</v>
      </c>
      <c r="AA1355">
        <v>0.99902100000000005</v>
      </c>
      <c r="AB1355">
        <v>29</v>
      </c>
      <c r="AC1355">
        <v>-0.47499999999999398</v>
      </c>
      <c r="AD1355">
        <v>-8.4006999999999901E-2</v>
      </c>
      <c r="AE1355">
        <v>3.4600000000011698E-2</v>
      </c>
      <c r="AF1355">
        <v>3.2289757050505997E-2</v>
      </c>
      <c r="AG1355">
        <v>-8.4006999999999901E-2</v>
      </c>
      <c r="AH1355">
        <v>0.46075762911595303</v>
      </c>
      <c r="AI1355">
        <v>100.30813936043801</v>
      </c>
      <c r="AJ1355">
        <v>85.991282799637801</v>
      </c>
      <c r="AK1355">
        <v>0.46946501173988903</v>
      </c>
      <c r="AL1355">
        <v>68.551850418303502</v>
      </c>
      <c r="AM1355">
        <v>94.665800966955402</v>
      </c>
      <c r="AN1355">
        <v>1.00000003937744</v>
      </c>
    </row>
    <row r="1356" spans="1:40" x14ac:dyDescent="0.25">
      <c r="A1356" t="str">
        <f>"20190304164623335"</f>
        <v>20190304164623335</v>
      </c>
      <c r="B1356" t="str">
        <f>"1551689183329130"</f>
        <v>1551689183329130</v>
      </c>
      <c r="C1356" t="s">
        <v>40</v>
      </c>
      <c r="D1356">
        <v>4.944293</v>
      </c>
      <c r="E1356">
        <v>0.56252279999999999</v>
      </c>
      <c r="F1356" t="s">
        <v>41</v>
      </c>
      <c r="G1356">
        <v>-222.77699999999999</v>
      </c>
      <c r="H1356">
        <v>1.0285409999999999</v>
      </c>
      <c r="I1356">
        <v>282.7473</v>
      </c>
      <c r="J1356">
        <v>-222.32599999999999</v>
      </c>
      <c r="K1356">
        <v>1.108609</v>
      </c>
      <c r="L1356">
        <v>282.71780000000001</v>
      </c>
      <c r="M1356">
        <v>-0.99998030000000004</v>
      </c>
      <c r="N1356">
        <v>-4.6478500000000002E-3</v>
      </c>
      <c r="O1356">
        <v>4.219319E-3</v>
      </c>
      <c r="P1356">
        <v>-0.92977520000000002</v>
      </c>
      <c r="Q1356">
        <v>0.36075790000000002</v>
      </c>
      <c r="R1356">
        <v>-7.3291469999999997E-2</v>
      </c>
      <c r="S1356">
        <v>-3.3805079999999998</v>
      </c>
      <c r="T1356">
        <v>-0.36492370000000002</v>
      </c>
      <c r="U1356">
        <v>0.14312739999999999</v>
      </c>
      <c r="V1356">
        <v>-7.6117340000000006E-2</v>
      </c>
      <c r="W1356">
        <v>0.36530400000000002</v>
      </c>
      <c r="X1356">
        <v>0.92777100000000001</v>
      </c>
      <c r="Y1356">
        <v>3.7878389999999998E-2</v>
      </c>
      <c r="Z1356">
        <v>1.691587E-3</v>
      </c>
      <c r="AA1356">
        <v>0.99928090000000003</v>
      </c>
      <c r="AB1356">
        <v>29</v>
      </c>
      <c r="AC1356">
        <v>-0.451000000000021</v>
      </c>
      <c r="AD1356">
        <v>-8.0068E-2</v>
      </c>
      <c r="AE1356">
        <v>2.94999999999845E-2</v>
      </c>
      <c r="AF1356">
        <v>2.6757055866695599E-2</v>
      </c>
      <c r="AG1356">
        <v>-8.0068E-2</v>
      </c>
      <c r="AH1356">
        <v>0.43739323101744498</v>
      </c>
      <c r="AI1356">
        <v>100.35461597233</v>
      </c>
      <c r="AJ1356">
        <v>86.499355326330203</v>
      </c>
      <c r="AK1356">
        <v>0.44546567006059301</v>
      </c>
      <c r="AL1356">
        <v>68.573706190092096</v>
      </c>
      <c r="AM1356">
        <v>94.690226833729696</v>
      </c>
      <c r="AN1356">
        <v>0.99999994515283597</v>
      </c>
    </row>
    <row r="1357" spans="1:40" x14ac:dyDescent="0.25">
      <c r="A1357" t="str">
        <f>"20190304164623358"</f>
        <v>20190304164623358</v>
      </c>
      <c r="B1357" t="str">
        <f>"1551689183349159"</f>
        <v>1551689183349159</v>
      </c>
      <c r="C1357" t="s">
        <v>40</v>
      </c>
      <c r="D1357">
        <v>4.8573069999999996</v>
      </c>
      <c r="E1357">
        <v>0.56132230000000005</v>
      </c>
      <c r="F1357" t="s">
        <v>41</v>
      </c>
      <c r="G1357">
        <v>-223.2979</v>
      </c>
      <c r="H1357">
        <v>1.00329</v>
      </c>
      <c r="I1357">
        <v>282.75810000000001</v>
      </c>
      <c r="J1357">
        <v>-222.64619999999999</v>
      </c>
      <c r="K1357">
        <v>1.1086290000000001</v>
      </c>
      <c r="L1357">
        <v>282.7208</v>
      </c>
      <c r="M1357">
        <v>-0.99997259999999999</v>
      </c>
      <c r="N1357">
        <v>-4.626191E-3</v>
      </c>
      <c r="O1357">
        <v>5.7892589999999997E-3</v>
      </c>
      <c r="P1357">
        <v>-0.92958059999999998</v>
      </c>
      <c r="Q1357">
        <v>0.36141970000000001</v>
      </c>
      <c r="R1357">
        <v>-7.2498729999999997E-2</v>
      </c>
      <c r="S1357">
        <v>-3.3797450000000002</v>
      </c>
      <c r="T1357">
        <v>-0.3663324</v>
      </c>
      <c r="U1357">
        <v>0.13955689999999901</v>
      </c>
      <c r="V1357">
        <v>-7.6806700000000006E-2</v>
      </c>
      <c r="W1357">
        <v>0.36594139999999997</v>
      </c>
      <c r="X1357">
        <v>0.92746300000000004</v>
      </c>
      <c r="Y1357">
        <v>3.5287720000000002E-2</v>
      </c>
      <c r="Z1357">
        <v>1.3892589999999999E-3</v>
      </c>
      <c r="AA1357">
        <v>0.99937619999999905</v>
      </c>
      <c r="AB1357">
        <v>30</v>
      </c>
      <c r="AC1357">
        <v>-0.65170000000000505</v>
      </c>
      <c r="AD1357">
        <v>-0.105339</v>
      </c>
      <c r="AE1357">
        <v>3.7300000000016098E-2</v>
      </c>
      <c r="AF1357">
        <v>3.2675560738716303E-2</v>
      </c>
      <c r="AG1357">
        <v>-0.105339</v>
      </c>
      <c r="AH1357">
        <v>0.63535943736234501</v>
      </c>
      <c r="AI1357">
        <v>99.401483187604597</v>
      </c>
      <c r="AJ1357">
        <v>87.055959718171906</v>
      </c>
      <c r="AK1357">
        <v>0.64486092441392695</v>
      </c>
      <c r="AL1357">
        <v>68.534470377592996</v>
      </c>
      <c r="AM1357">
        <v>94.734076473708299</v>
      </c>
      <c r="AN1357">
        <v>0.99999999688392505</v>
      </c>
    </row>
    <row r="1358" spans="1:40" x14ac:dyDescent="0.25">
      <c r="A1358" t="str">
        <f>"20190304164623379"</f>
        <v>20190304164623379</v>
      </c>
      <c r="B1358" t="str">
        <f>"1551689183369655"</f>
        <v>1551689183369655</v>
      </c>
      <c r="C1358" t="s">
        <v>40</v>
      </c>
      <c r="D1358">
        <v>4.9001720000000004</v>
      </c>
      <c r="E1358">
        <v>0.56111929999999999</v>
      </c>
      <c r="F1358" t="s">
        <v>41</v>
      </c>
      <c r="G1358">
        <v>-223.56909999999999</v>
      </c>
      <c r="H1358">
        <v>1.0093540000000001</v>
      </c>
      <c r="I1358">
        <v>282.75700000000001</v>
      </c>
      <c r="J1358">
        <v>-222.9256</v>
      </c>
      <c r="K1358">
        <v>1.1086450000000001</v>
      </c>
      <c r="L1358">
        <v>282.72379999999998</v>
      </c>
      <c r="M1358">
        <v>-0.99996390000000002</v>
      </c>
      <c r="N1358">
        <v>-4.6103589999999996E-3</v>
      </c>
      <c r="O1358">
        <v>7.1349279999999996E-3</v>
      </c>
      <c r="P1358">
        <v>-0.92946200000000001</v>
      </c>
      <c r="Q1358">
        <v>0.3618286</v>
      </c>
      <c r="R1358">
        <v>-7.1975559999999994E-2</v>
      </c>
      <c r="S1358">
        <v>-3.3788299999999998</v>
      </c>
      <c r="T1358">
        <v>-0.36345349999999998</v>
      </c>
      <c r="U1358">
        <v>0.1317749</v>
      </c>
      <c r="V1358">
        <v>-7.7546080000000003E-2</v>
      </c>
      <c r="W1358">
        <v>0.36633310000000002</v>
      </c>
      <c r="X1358">
        <v>0.92724680000000004</v>
      </c>
      <c r="Y1358">
        <v>3.168721E-2</v>
      </c>
      <c r="Z1358">
        <v>1.0398439999999901E-3</v>
      </c>
      <c r="AA1358">
        <v>0.99949730000000003</v>
      </c>
      <c r="AB1358">
        <v>30</v>
      </c>
      <c r="AC1358">
        <v>-0.64349999999998797</v>
      </c>
      <c r="AD1358">
        <v>-9.9291000000000004E-2</v>
      </c>
      <c r="AE1358">
        <v>3.3200000000022101E-2</v>
      </c>
      <c r="AF1358">
        <v>2.7944249744656199E-2</v>
      </c>
      <c r="AG1358">
        <v>-9.9291000000000004E-2</v>
      </c>
      <c r="AH1358">
        <v>0.62879002018729602</v>
      </c>
      <c r="AI1358">
        <v>98.964665856878497</v>
      </c>
      <c r="AJ1358">
        <v>87.455375080989796</v>
      </c>
      <c r="AK1358">
        <v>0.63719421941973997</v>
      </c>
      <c r="AL1358">
        <v>68.510352575887694</v>
      </c>
      <c r="AM1358">
        <v>94.780548190708799</v>
      </c>
      <c r="AN1358">
        <v>0.999999981394608</v>
      </c>
    </row>
    <row r="1359" spans="1:40" x14ac:dyDescent="0.25">
      <c r="A1359" t="str">
        <f>"20190304164623515"</f>
        <v>20190304164623515</v>
      </c>
      <c r="B1359" t="str">
        <f>"1551689183509731"</f>
        <v>1551689183509731</v>
      </c>
      <c r="C1359" t="s">
        <v>40</v>
      </c>
      <c r="D1359">
        <v>4.7673370000000004</v>
      </c>
      <c r="E1359">
        <v>0.52749009999999996</v>
      </c>
      <c r="F1359" t="s">
        <v>41</v>
      </c>
      <c r="G1359">
        <v>-225.21289999999999</v>
      </c>
      <c r="H1359">
        <v>1.0310280000000001</v>
      </c>
      <c r="I1359">
        <v>282.77980000000002</v>
      </c>
      <c r="J1359">
        <v>-224.7758</v>
      </c>
      <c r="K1359">
        <v>1.1086229999999999</v>
      </c>
      <c r="L1359">
        <v>282.75240000000002</v>
      </c>
      <c r="M1359">
        <v>-0.99986410000000003</v>
      </c>
      <c r="N1359">
        <v>-4.5211690000000002E-3</v>
      </c>
      <c r="O1359">
        <v>1.5858649999999998E-2</v>
      </c>
      <c r="P1359">
        <v>-0.92721730000000002</v>
      </c>
      <c r="Q1359">
        <v>0.36880540000000001</v>
      </c>
      <c r="R1359">
        <v>-6.5198590000000001E-2</v>
      </c>
      <c r="S1359">
        <v>-3.3844910000000001</v>
      </c>
      <c r="T1359">
        <v>-0.3546994</v>
      </c>
      <c r="U1359">
        <v>0.1505127</v>
      </c>
      <c r="V1359">
        <v>-7.8816949999999997E-2</v>
      </c>
      <c r="W1359">
        <v>0.37321759999999998</v>
      </c>
      <c r="X1359">
        <v>0.92438980000000004</v>
      </c>
      <c r="Y1359">
        <v>2.84955E-2</v>
      </c>
      <c r="Z1359" s="1">
        <v>-3.1965319999999998E-5</v>
      </c>
      <c r="AA1359">
        <v>0.99959390000000004</v>
      </c>
      <c r="AB1359">
        <v>31</v>
      </c>
      <c r="AC1359">
        <v>-0.437099999999986</v>
      </c>
      <c r="AD1359">
        <v>-7.7594999999999803E-2</v>
      </c>
      <c r="AE1359">
        <v>2.7400000000000001E-2</v>
      </c>
      <c r="AF1359">
        <v>1.9841817110448599E-2</v>
      </c>
      <c r="AG1359">
        <v>-7.7594999999999803E-2</v>
      </c>
      <c r="AH1359">
        <v>0.42416468564190202</v>
      </c>
      <c r="AI1359">
        <v>100.355753410886</v>
      </c>
      <c r="AJ1359">
        <v>87.321737828310802</v>
      </c>
      <c r="AK1359">
        <v>0.43166000773402502</v>
      </c>
      <c r="AL1359">
        <v>68.085807494091199</v>
      </c>
      <c r="AM1359">
        <v>94.873466512828301</v>
      </c>
      <c r="AN1359">
        <v>0.99999999545055096</v>
      </c>
    </row>
    <row r="1360" spans="1:40" x14ac:dyDescent="0.25">
      <c r="A1360" t="str">
        <f>"20190304164623536"</f>
        <v>20190304164623536</v>
      </c>
      <c r="B1360" t="str">
        <f>"1551689183529251"</f>
        <v>1551689183529251</v>
      </c>
      <c r="C1360" t="s">
        <v>40</v>
      </c>
      <c r="D1360">
        <v>4.7823789999999997</v>
      </c>
      <c r="E1360">
        <v>0.53052999999999995</v>
      </c>
      <c r="F1360" t="s">
        <v>41</v>
      </c>
      <c r="G1360">
        <v>-225.70060000000001</v>
      </c>
      <c r="H1360">
        <v>0.87453400000000003</v>
      </c>
      <c r="I1360">
        <v>282.71050000000002</v>
      </c>
      <c r="J1360">
        <v>-225.0762</v>
      </c>
      <c r="K1360">
        <v>1.108627</v>
      </c>
      <c r="L1360">
        <v>282.75850000000003</v>
      </c>
      <c r="M1360">
        <v>-0.99984139999999999</v>
      </c>
      <c r="N1360">
        <v>-4.5103299999999999E-3</v>
      </c>
      <c r="O1360">
        <v>1.7230260000000001E-2</v>
      </c>
      <c r="P1360">
        <v>-0.9270872</v>
      </c>
      <c r="Q1360">
        <v>0.36945539999999999</v>
      </c>
      <c r="R1360">
        <v>-6.3341380000000003E-2</v>
      </c>
      <c r="S1360">
        <v>-3.5849609999999998</v>
      </c>
      <c r="T1360">
        <v>-0.9073753</v>
      </c>
      <c r="U1360">
        <v>-0.16259770000000001</v>
      </c>
      <c r="V1360">
        <v>-7.8233319999999995E-2</v>
      </c>
      <c r="W1360">
        <v>0.37385400000000002</v>
      </c>
      <c r="X1360">
        <v>0.92418219999999995</v>
      </c>
      <c r="Y1360">
        <v>-6.0066290000000001E-2</v>
      </c>
      <c r="Z1360">
        <v>-1.183262E-2</v>
      </c>
      <c r="AA1360">
        <v>0.99812420000000002</v>
      </c>
      <c r="AB1360">
        <v>31</v>
      </c>
      <c r="AC1360">
        <v>-0.62440000000000795</v>
      </c>
      <c r="AD1360">
        <v>-0.234093</v>
      </c>
      <c r="AE1360">
        <v>-4.8000000000001798E-2</v>
      </c>
      <c r="AF1360">
        <v>-5.1548627160444199E-2</v>
      </c>
      <c r="AG1360">
        <v>-0.234093</v>
      </c>
      <c r="AH1360">
        <v>0.54704167697199901</v>
      </c>
      <c r="AI1360">
        <v>113.075847607028</v>
      </c>
      <c r="AJ1360">
        <v>95.383178577942701</v>
      </c>
      <c r="AK1360">
        <v>0.59725320422368799</v>
      </c>
      <c r="AL1360">
        <v>68.046499311343098</v>
      </c>
      <c r="AM1360">
        <v>94.838632479145204</v>
      </c>
      <c r="AN1360">
        <v>1.00000000223553</v>
      </c>
    </row>
    <row r="1361" spans="1:40" x14ac:dyDescent="0.25">
      <c r="A1361" t="str">
        <f>"20190304164623560"</f>
        <v>20190304164623560</v>
      </c>
      <c r="B1361" t="str">
        <f>"1551689183549279"</f>
        <v>1551689183549279</v>
      </c>
      <c r="C1361" t="s">
        <v>40</v>
      </c>
      <c r="D1361">
        <v>4.7117599999999999</v>
      </c>
      <c r="E1361">
        <v>0.53610979999999997</v>
      </c>
      <c r="F1361" t="s">
        <v>41</v>
      </c>
      <c r="G1361">
        <v>-225.99979999999999</v>
      </c>
      <c r="H1361">
        <v>0.92439320000000003</v>
      </c>
      <c r="I1361">
        <v>282.7276</v>
      </c>
      <c r="J1361">
        <v>-225.4023</v>
      </c>
      <c r="K1361">
        <v>1.1086339999999999</v>
      </c>
      <c r="L1361">
        <v>282.76560000000001</v>
      </c>
      <c r="M1361">
        <v>-0.99981540000000002</v>
      </c>
      <c r="N1361">
        <v>-4.5013919999999999E-3</v>
      </c>
      <c r="O1361">
        <v>1.8689420000000002E-2</v>
      </c>
      <c r="P1361">
        <v>-0.92713520000000005</v>
      </c>
      <c r="Q1361">
        <v>0.36981829999999999</v>
      </c>
      <c r="R1361">
        <v>-6.046058E-2</v>
      </c>
      <c r="S1361">
        <v>-3.5066220000000001</v>
      </c>
      <c r="T1361">
        <v>-0.69944810000000002</v>
      </c>
      <c r="U1361">
        <v>-0.1176147</v>
      </c>
      <c r="V1361">
        <v>-7.6715800000000001E-2</v>
      </c>
      <c r="W1361">
        <v>0.37420160000000002</v>
      </c>
      <c r="X1361">
        <v>0.92416869999999995</v>
      </c>
      <c r="Y1361">
        <v>-5.0820579999999997E-2</v>
      </c>
      <c r="Z1361">
        <v>-8.7405480000000008E-3</v>
      </c>
      <c r="AA1361">
        <v>0.99866960000000005</v>
      </c>
      <c r="AB1361">
        <v>31</v>
      </c>
      <c r="AC1361">
        <v>-0.59749999999999603</v>
      </c>
      <c r="AD1361">
        <v>-0.18424080000000001</v>
      </c>
      <c r="AE1361">
        <v>-3.80000000000109E-2</v>
      </c>
      <c r="AF1361">
        <v>-4.4907712655990799E-2</v>
      </c>
      <c r="AG1361">
        <v>-0.18424080000000001</v>
      </c>
      <c r="AH1361">
        <v>0.54506832301336905</v>
      </c>
      <c r="AI1361">
        <v>108.617267945896</v>
      </c>
      <c r="AJ1361">
        <v>94.709912544910097</v>
      </c>
      <c r="AK1361">
        <v>0.57711424500980701</v>
      </c>
      <c r="AL1361">
        <v>68.025023836123694</v>
      </c>
      <c r="AM1361">
        <v>94.745277574273103</v>
      </c>
      <c r="AN1361">
        <v>0.99999996873594399</v>
      </c>
    </row>
    <row r="1362" spans="1:40" x14ac:dyDescent="0.25">
      <c r="A1362" t="str">
        <f>"20190304164623585"</f>
        <v>20190304164623585</v>
      </c>
      <c r="B1362" t="str">
        <f>"1551689183579535"</f>
        <v>1551689183579535</v>
      </c>
      <c r="C1362" t="s">
        <v>40</v>
      </c>
      <c r="D1362">
        <v>4.7354560000000001</v>
      </c>
      <c r="E1362">
        <v>0.53519530000000004</v>
      </c>
      <c r="F1362" t="s">
        <v>49</v>
      </c>
      <c r="G1362">
        <v>-247.61070000000001</v>
      </c>
      <c r="H1362" s="1">
        <v>2.5132520000000001E-6</v>
      </c>
      <c r="I1362">
        <v>282.6567</v>
      </c>
      <c r="J1362">
        <v>-225.74340000000001</v>
      </c>
      <c r="K1362">
        <v>1.1086469999999999</v>
      </c>
      <c r="L1362">
        <v>282.77339999999998</v>
      </c>
      <c r="M1362">
        <v>-0.99978659999999997</v>
      </c>
      <c r="N1362">
        <v>-4.4951619999999996E-3</v>
      </c>
      <c r="O1362">
        <v>2.0166320000000001E-2</v>
      </c>
      <c r="P1362">
        <v>-0.92726699999999995</v>
      </c>
      <c r="Q1362">
        <v>0.37004429999999999</v>
      </c>
      <c r="R1362">
        <v>-5.694896E-2</v>
      </c>
      <c r="S1362">
        <v>-3.30043</v>
      </c>
      <c r="T1362">
        <v>-0.16475529999999999</v>
      </c>
      <c r="U1362">
        <v>-1.6174319999999999E-2</v>
      </c>
      <c r="V1362">
        <v>-7.459441E-2</v>
      </c>
      <c r="W1362">
        <v>0.37441210000000003</v>
      </c>
      <c r="X1362">
        <v>0.9242572</v>
      </c>
      <c r="Y1362">
        <v>-2.5011149999999999E-2</v>
      </c>
      <c r="Z1362">
        <v>-1.5955469999999999E-3</v>
      </c>
      <c r="AA1362">
        <v>0.99968590000000002</v>
      </c>
      <c r="AB1362">
        <v>31</v>
      </c>
      <c r="AC1362">
        <v>-21.8673</v>
      </c>
      <c r="AD1362">
        <v>-1.1086444867480001</v>
      </c>
      <c r="AE1362">
        <v>-0.11669999999998</v>
      </c>
      <c r="AF1362">
        <v>-0.55623398093399501</v>
      </c>
      <c r="AG1362">
        <v>-1.1086444867480001</v>
      </c>
      <c r="AH1362">
        <v>21.8044557771005</v>
      </c>
      <c r="AI1362">
        <v>92.909744339498403</v>
      </c>
      <c r="AJ1362">
        <v>91.461304482193199</v>
      </c>
      <c r="AK1362">
        <v>21.839706513025199</v>
      </c>
      <c r="AL1362">
        <v>68.012019675909798</v>
      </c>
      <c r="AM1362">
        <v>94.614193164534797</v>
      </c>
      <c r="AN1362">
        <v>1.0000000591907401</v>
      </c>
    </row>
    <row r="1363" spans="1:40" x14ac:dyDescent="0.25">
      <c r="A1363" t="str">
        <f>"20190304164623606"</f>
        <v>20190304164623606</v>
      </c>
      <c r="B1363" t="str">
        <f>"1551689183599054"</f>
        <v>1551689183599054</v>
      </c>
      <c r="C1363" t="s">
        <v>40</v>
      </c>
      <c r="D1363">
        <v>4.706969</v>
      </c>
      <c r="E1363">
        <v>0.53468419999999905</v>
      </c>
      <c r="F1363" t="s">
        <v>49</v>
      </c>
      <c r="G1363">
        <v>-248.0933</v>
      </c>
      <c r="H1363" s="1">
        <v>2.770086E-6</v>
      </c>
      <c r="I1363">
        <v>282.66840000000002</v>
      </c>
      <c r="J1363">
        <v>-226.0609</v>
      </c>
      <c r="K1363">
        <v>1.1086689999999999</v>
      </c>
      <c r="L1363">
        <v>282.78109999999998</v>
      </c>
      <c r="M1363">
        <v>-0.99975939999999996</v>
      </c>
      <c r="N1363">
        <v>-4.4919890000000001E-3</v>
      </c>
      <c r="O1363">
        <v>2.1474449999999999E-2</v>
      </c>
      <c r="P1363">
        <v>-0.92757520000000004</v>
      </c>
      <c r="Q1363">
        <v>0.3698497</v>
      </c>
      <c r="R1363">
        <v>-5.3063880000000001E-2</v>
      </c>
      <c r="S1363">
        <v>-3.2996829999999999</v>
      </c>
      <c r="T1363">
        <v>-0.16367709999999999</v>
      </c>
      <c r="U1363">
        <v>-1.550293E-2</v>
      </c>
      <c r="V1363">
        <v>-7.1958099999999997E-2</v>
      </c>
      <c r="W1363">
        <v>0.37420249999999999</v>
      </c>
      <c r="X1363">
        <v>0.92455100000000001</v>
      </c>
      <c r="Y1363">
        <v>-2.6114749999999999E-2</v>
      </c>
      <c r="Z1363">
        <v>-1.6740829999999901E-3</v>
      </c>
      <c r="AA1363">
        <v>0.99965760000000004</v>
      </c>
      <c r="AB1363">
        <v>31</v>
      </c>
      <c r="AC1363">
        <v>-22.032399999999999</v>
      </c>
      <c r="AD1363">
        <v>-1.108666229914</v>
      </c>
      <c r="AE1363">
        <v>-0.112699999999961</v>
      </c>
      <c r="AF1363">
        <v>-0.58433287090888197</v>
      </c>
      <c r="AG1363">
        <v>-1.108666229914</v>
      </c>
      <c r="AH1363">
        <v>21.969272398586199</v>
      </c>
      <c r="AI1363">
        <v>92.887927016451599</v>
      </c>
      <c r="AJ1363">
        <v>91.523578710160606</v>
      </c>
      <c r="AK1363">
        <v>22.0049884216434</v>
      </c>
      <c r="AL1363">
        <v>68.024969308419699</v>
      </c>
      <c r="AM1363">
        <v>94.450377172190699</v>
      </c>
      <c r="AN1363">
        <v>1.0000000153814299</v>
      </c>
    </row>
    <row r="1364" spans="1:40" x14ac:dyDescent="0.25">
      <c r="A1364" t="str">
        <f>"20190304164623627"</f>
        <v>20190304164623627</v>
      </c>
      <c r="B1364" t="str">
        <f>"1551689183619550"</f>
        <v>1551689183619550</v>
      </c>
      <c r="C1364" t="s">
        <v>40</v>
      </c>
      <c r="D1364">
        <v>4.6532309999999999</v>
      </c>
      <c r="E1364">
        <v>0.53387640000000003</v>
      </c>
      <c r="F1364" t="s">
        <v>49</v>
      </c>
      <c r="G1364">
        <v>-245.53829999999999</v>
      </c>
      <c r="H1364" s="1">
        <v>1.4104310000000001E-6</v>
      </c>
      <c r="I1364">
        <v>282.69779999999997</v>
      </c>
      <c r="J1364">
        <v>-226.34280000000001</v>
      </c>
      <c r="K1364">
        <v>1.108706</v>
      </c>
      <c r="L1364">
        <v>282.78829999999999</v>
      </c>
      <c r="M1364">
        <v>-0.99973540000000005</v>
      </c>
      <c r="N1364">
        <v>-4.4910669999999996E-3</v>
      </c>
      <c r="O1364">
        <v>2.2565060000000001E-2</v>
      </c>
      <c r="P1364">
        <v>-0.92811189999999999</v>
      </c>
      <c r="Q1364">
        <v>0.36916840000000001</v>
      </c>
      <c r="R1364">
        <v>-4.820033E-2</v>
      </c>
      <c r="S1364">
        <v>-3.3085330000000002</v>
      </c>
      <c r="T1364">
        <v>-0.18832389999999999</v>
      </c>
      <c r="U1364">
        <v>-1.416016E-2</v>
      </c>
      <c r="V1364">
        <v>-6.8157629999999997E-2</v>
      </c>
      <c r="W1364">
        <v>0.3735059</v>
      </c>
      <c r="X1364">
        <v>0.92512050000000001</v>
      </c>
      <c r="Y1364">
        <v>-2.6766100000000001E-2</v>
      </c>
      <c r="Z1364">
        <v>-2.003346E-3</v>
      </c>
      <c r="AA1364">
        <v>0.99963970000000002</v>
      </c>
      <c r="AB1364">
        <v>31</v>
      </c>
      <c r="AC1364">
        <v>-19.1954999999999</v>
      </c>
      <c r="AD1364">
        <v>-1.108704589569</v>
      </c>
      <c r="AE1364">
        <v>-9.0500000000019995E-2</v>
      </c>
      <c r="AF1364">
        <v>-0.52188787915577595</v>
      </c>
      <c r="AG1364">
        <v>-1.108704589569</v>
      </c>
      <c r="AH1364">
        <v>19.1247703078336</v>
      </c>
      <c r="AI1364">
        <v>93.316615713113194</v>
      </c>
      <c r="AJ1364">
        <v>91.563132699268394</v>
      </c>
      <c r="AK1364">
        <v>19.163987897948999</v>
      </c>
      <c r="AL1364">
        <v>68.068002284571094</v>
      </c>
      <c r="AM1364">
        <v>94.213615281687694</v>
      </c>
      <c r="AN1364">
        <v>1.00000002969113</v>
      </c>
    </row>
    <row r="1365" spans="1:40" x14ac:dyDescent="0.25">
      <c r="A1365" t="str">
        <f>"20190304164623674"</f>
        <v>20190304164623674</v>
      </c>
      <c r="B1365" t="str">
        <f>"1551689183669835"</f>
        <v>1551689183669835</v>
      </c>
      <c r="C1365" t="s">
        <v>40</v>
      </c>
      <c r="D1365">
        <v>4.6665049999999999</v>
      </c>
      <c r="E1365">
        <v>0.53326450000000003</v>
      </c>
      <c r="F1365" t="s">
        <v>49</v>
      </c>
      <c r="G1365">
        <v>-244.2439</v>
      </c>
      <c r="H1365" s="1">
        <v>7.2159680000000004E-7</v>
      </c>
      <c r="I1365">
        <v>282.7235</v>
      </c>
      <c r="J1365">
        <v>-227.01169999999999</v>
      </c>
      <c r="K1365">
        <v>1.1088249999999999</v>
      </c>
      <c r="L1365">
        <v>282.80599999999998</v>
      </c>
      <c r="M1365">
        <v>-0.9996815</v>
      </c>
      <c r="N1365">
        <v>-4.4956099999999997E-3</v>
      </c>
      <c r="O1365">
        <v>2.4835429999999999E-2</v>
      </c>
      <c r="P1365">
        <v>-0.92949459999999995</v>
      </c>
      <c r="Q1365">
        <v>0.36669659999999998</v>
      </c>
      <c r="R1365">
        <v>-3.967039E-2</v>
      </c>
      <c r="S1365">
        <v>-3.3133539999999999</v>
      </c>
      <c r="T1365">
        <v>-0.20521300000000001</v>
      </c>
      <c r="U1365">
        <v>-1.1993409999999999E-2</v>
      </c>
      <c r="V1365">
        <v>-6.1904580000000001E-2</v>
      </c>
      <c r="W1365">
        <v>0.37100680000000003</v>
      </c>
      <c r="X1365">
        <v>0.92656450000000001</v>
      </c>
      <c r="Y1365">
        <v>-2.8354890000000001E-2</v>
      </c>
      <c r="Z1365">
        <v>-2.3660880000000001E-3</v>
      </c>
      <c r="AA1365">
        <v>0.99959509999999996</v>
      </c>
      <c r="AB1365">
        <v>31</v>
      </c>
      <c r="AC1365">
        <v>-17.232199999999999</v>
      </c>
      <c r="AD1365">
        <v>-1.1088242784032001</v>
      </c>
      <c r="AE1365">
        <v>-8.2499999999981796E-2</v>
      </c>
      <c r="AF1365">
        <v>-0.50834324624192895</v>
      </c>
      <c r="AG1365">
        <v>-1.1088242784032001</v>
      </c>
      <c r="AH1365">
        <v>17.153813432272401</v>
      </c>
      <c r="AI1365">
        <v>93.696841288755195</v>
      </c>
      <c r="AJ1365">
        <v>91.697430197859205</v>
      </c>
      <c r="AK1365">
        <v>17.1971282313526</v>
      </c>
      <c r="AL1365">
        <v>68.222277298424402</v>
      </c>
      <c r="AM1365">
        <v>93.822300417380305</v>
      </c>
      <c r="AN1365">
        <v>0.999999997665733</v>
      </c>
    </row>
    <row r="1366" spans="1:40" x14ac:dyDescent="0.25">
      <c r="A1366" t="str">
        <f>"20190304164623697"</f>
        <v>20190304164623697</v>
      </c>
      <c r="B1366" t="str">
        <f>"1551689183689355"</f>
        <v>1551689183689355</v>
      </c>
      <c r="C1366" t="s">
        <v>40</v>
      </c>
      <c r="D1366">
        <v>4.6585850000000004</v>
      </c>
      <c r="E1366">
        <v>0.53301690000000002</v>
      </c>
      <c r="F1366" t="s">
        <v>49</v>
      </c>
      <c r="G1366">
        <v>-242.78559999999999</v>
      </c>
      <c r="H1366" s="1">
        <v>-5.4443940000000002E-8</v>
      </c>
      <c r="I1366">
        <v>282.81380000000001</v>
      </c>
      <c r="J1366">
        <v>-227.3261</v>
      </c>
      <c r="K1366">
        <v>1.108881</v>
      </c>
      <c r="L1366">
        <v>282.81470000000002</v>
      </c>
      <c r="M1366">
        <v>-0.99965859999999995</v>
      </c>
      <c r="N1366">
        <v>-4.500759E-3</v>
      </c>
      <c r="O1366">
        <v>2.5741989999999999E-2</v>
      </c>
      <c r="P1366">
        <v>-0.92987450000000005</v>
      </c>
      <c r="Q1366">
        <v>0.36611050000000001</v>
      </c>
      <c r="R1366">
        <v>-3.600805E-2</v>
      </c>
      <c r="S1366">
        <v>-3.3197019999999902</v>
      </c>
      <c r="T1366">
        <v>-0.2333587</v>
      </c>
      <c r="U1366">
        <v>1.6479489999999999E-3</v>
      </c>
      <c r="V1366">
        <v>-5.9160289999999997E-2</v>
      </c>
      <c r="W1366">
        <v>0.3704112</v>
      </c>
      <c r="X1366">
        <v>0.92698199999999997</v>
      </c>
      <c r="Y1366">
        <v>-2.512437E-2</v>
      </c>
      <c r="Z1366">
        <v>-2.6300020000000002E-3</v>
      </c>
      <c r="AA1366">
        <v>0.99968089999999998</v>
      </c>
      <c r="AB1366">
        <v>32</v>
      </c>
      <c r="AC1366">
        <v>-15.459499999999901</v>
      </c>
      <c r="AD1366">
        <v>-1.10888105444394</v>
      </c>
      <c r="AE1366">
        <v>-9.0000000000145497E-4</v>
      </c>
      <c r="AF1366">
        <v>-0.39682037144238502</v>
      </c>
      <c r="AG1366">
        <v>-1.10888105444394</v>
      </c>
      <c r="AH1366">
        <v>15.3752492588028</v>
      </c>
      <c r="AI1366">
        <v>94.123728245960194</v>
      </c>
      <c r="AJ1366">
        <v>91.478420669147894</v>
      </c>
      <c r="AK1366">
        <v>15.4202909625731</v>
      </c>
      <c r="AL1366">
        <v>68.259021007246105</v>
      </c>
      <c r="AM1366">
        <v>93.651682679318697</v>
      </c>
      <c r="AN1366">
        <v>1.0000000126611599</v>
      </c>
    </row>
    <row r="1367" spans="1:40" x14ac:dyDescent="0.25">
      <c r="A1367" t="str">
        <f>"20190304164623718"</f>
        <v>20190304164623718</v>
      </c>
      <c r="B1367" t="str">
        <f>"1551689183709852"</f>
        <v>1551689183709852</v>
      </c>
      <c r="C1367" t="s">
        <v>40</v>
      </c>
      <c r="D1367">
        <v>4.6697810000000004</v>
      </c>
      <c r="E1367">
        <v>0.53274889999999997</v>
      </c>
      <c r="F1367" t="s">
        <v>49</v>
      </c>
      <c r="G1367">
        <v>-242.6414</v>
      </c>
      <c r="H1367" s="1">
        <v>-1.3118720000000001E-7</v>
      </c>
      <c r="I1367">
        <v>282.85770000000002</v>
      </c>
      <c r="J1367">
        <v>-227.63749999999999</v>
      </c>
      <c r="K1367">
        <v>1.108948</v>
      </c>
      <c r="L1367">
        <v>282.82350000000002</v>
      </c>
      <c r="M1367">
        <v>-0.99963800000000003</v>
      </c>
      <c r="N1367">
        <v>-4.503534E-3</v>
      </c>
      <c r="O1367">
        <v>2.6530370000000001E-2</v>
      </c>
      <c r="P1367">
        <v>-0.93011779999999999</v>
      </c>
      <c r="Q1367">
        <v>0.36579270000000003</v>
      </c>
      <c r="R1367">
        <v>-3.2816280000000003E-2</v>
      </c>
      <c r="S1367">
        <v>-3.3212890000000002</v>
      </c>
      <c r="T1367">
        <v>-0.2404733</v>
      </c>
      <c r="U1367">
        <v>9.3383790000000008E-3</v>
      </c>
      <c r="V1367">
        <v>-5.6776359999999998E-2</v>
      </c>
      <c r="W1367">
        <v>0.37008160000000001</v>
      </c>
      <c r="X1367">
        <v>0.9272627</v>
      </c>
      <c r="Y1367">
        <v>-2.359319E-2</v>
      </c>
      <c r="Z1367">
        <v>-2.7050450000000001E-3</v>
      </c>
      <c r="AA1367">
        <v>0.999718</v>
      </c>
      <c r="AB1367">
        <v>32</v>
      </c>
      <c r="AC1367">
        <v>-15.0039</v>
      </c>
      <c r="AD1367">
        <v>-1.1089481311872</v>
      </c>
      <c r="AE1367">
        <v>3.4199999999998398E-2</v>
      </c>
      <c r="AF1367">
        <v>-0.36189807785786998</v>
      </c>
      <c r="AG1367">
        <v>-1.1089481311872</v>
      </c>
      <c r="AH1367">
        <v>14.918032398963501</v>
      </c>
      <c r="AI1367">
        <v>94.250078908387493</v>
      </c>
      <c r="AJ1367">
        <v>91.389671624710303</v>
      </c>
      <c r="AK1367">
        <v>14.9635699895762</v>
      </c>
      <c r="AL1367">
        <v>68.2793508374033</v>
      </c>
      <c r="AM1367">
        <v>93.5038501710264</v>
      </c>
      <c r="AN1367">
        <v>1.00000003026234</v>
      </c>
    </row>
    <row r="1368" spans="1:40" x14ac:dyDescent="0.25">
      <c r="A1368" t="str">
        <f>"20190304164623737"</f>
        <v>20190304164623737</v>
      </c>
      <c r="B1368" t="str">
        <f>"1551689183729371"</f>
        <v>1551689183729371</v>
      </c>
      <c r="C1368" t="s">
        <v>40</v>
      </c>
      <c r="D1368">
        <v>4.6923059999999897</v>
      </c>
      <c r="E1368">
        <v>0.53233569999999997</v>
      </c>
      <c r="F1368" t="s">
        <v>49</v>
      </c>
      <c r="G1368">
        <v>-242.62729999999999</v>
      </c>
      <c r="H1368" s="1">
        <v>-1.386498E-7</v>
      </c>
      <c r="I1368">
        <v>282.89190000000002</v>
      </c>
      <c r="J1368">
        <v>-227.9171</v>
      </c>
      <c r="K1368">
        <v>1.109005</v>
      </c>
      <c r="L1368">
        <v>282.83150000000001</v>
      </c>
      <c r="M1368">
        <v>-0.99962110000000004</v>
      </c>
      <c r="N1368">
        <v>-4.5047020000000002E-3</v>
      </c>
      <c r="O1368">
        <v>2.7158930000000001E-2</v>
      </c>
      <c r="P1368">
        <v>-0.93034620000000001</v>
      </c>
      <c r="Q1368">
        <v>0.36543710000000001</v>
      </c>
      <c r="R1368">
        <v>-3.0198989999999998E-2</v>
      </c>
      <c r="S1368">
        <v>-3.3226010000000001</v>
      </c>
      <c r="T1368">
        <v>-0.2458053</v>
      </c>
      <c r="U1368">
        <v>1.516724E-2</v>
      </c>
      <c r="V1368">
        <v>-5.4808839999999998E-2</v>
      </c>
      <c r="W1368">
        <v>0.36971520000000002</v>
      </c>
      <c r="X1368">
        <v>0.9275272</v>
      </c>
      <c r="Y1368">
        <v>-2.2465209999999999E-2</v>
      </c>
      <c r="Z1368">
        <v>-2.7645640000000002E-3</v>
      </c>
      <c r="AA1368">
        <v>0.99974379999999996</v>
      </c>
      <c r="AB1368">
        <v>32</v>
      </c>
      <c r="AC1368">
        <v>-14.710199999999899</v>
      </c>
      <c r="AD1368">
        <v>-1.1090051386498001</v>
      </c>
      <c r="AE1368">
        <v>6.0400000000015497E-2</v>
      </c>
      <c r="AF1368">
        <v>-0.337222940872202</v>
      </c>
      <c r="AG1368">
        <v>-1.1090051386498001</v>
      </c>
      <c r="AH1368">
        <v>14.623301299781501</v>
      </c>
      <c r="AI1368">
        <v>94.335759838549905</v>
      </c>
      <c r="AJ1368">
        <v>91.321044198794397</v>
      </c>
      <c r="AK1368">
        <v>14.6691701405905</v>
      </c>
      <c r="AL1368">
        <v>68.3019465045804</v>
      </c>
      <c r="AM1368">
        <v>93.381752842728204</v>
      </c>
      <c r="AN1368">
        <v>1.00000002239651</v>
      </c>
    </row>
    <row r="1369" spans="1:40" x14ac:dyDescent="0.25">
      <c r="A1369" t="str">
        <f>"20190304164623762"</f>
        <v>20190304164623762</v>
      </c>
      <c r="B1369" t="str">
        <f>"1551689183749398"</f>
        <v>1551689183749398</v>
      </c>
      <c r="C1369" t="s">
        <v>40</v>
      </c>
      <c r="D1369">
        <v>4.6836089999999997</v>
      </c>
      <c r="E1369">
        <v>0.53202720000000003</v>
      </c>
      <c r="F1369" t="s">
        <v>41</v>
      </c>
      <c r="G1369">
        <v>-228.8981</v>
      </c>
      <c r="H1369">
        <v>1.0351269999999999</v>
      </c>
      <c r="I1369">
        <v>282.83699999999999</v>
      </c>
      <c r="J1369">
        <v>-228.2741</v>
      </c>
      <c r="K1369">
        <v>1.1090719999999901</v>
      </c>
      <c r="L1369">
        <v>282.84190000000001</v>
      </c>
      <c r="M1369">
        <v>-0.99960179999999998</v>
      </c>
      <c r="N1369">
        <v>-4.5065359999999898E-3</v>
      </c>
      <c r="O1369">
        <v>2.7856740000000001E-2</v>
      </c>
      <c r="P1369">
        <v>-0.93034300000000003</v>
      </c>
      <c r="Q1369">
        <v>0.365645</v>
      </c>
      <c r="R1369">
        <v>-2.7678120000000001E-2</v>
      </c>
      <c r="S1369">
        <v>-3.323547</v>
      </c>
      <c r="T1369">
        <v>-0.25034840000000003</v>
      </c>
      <c r="U1369">
        <v>1.8463130000000001E-2</v>
      </c>
      <c r="V1369">
        <v>-5.3005070000000001E-2</v>
      </c>
      <c r="W1369">
        <v>0.36991239999999997</v>
      </c>
      <c r="X1369">
        <v>0.92755339999999997</v>
      </c>
      <c r="Y1369">
        <v>-2.2167289999999999E-2</v>
      </c>
      <c r="Z1369">
        <v>-2.8534350000000001E-3</v>
      </c>
      <c r="AA1369">
        <v>0.99975020000000003</v>
      </c>
      <c r="AB1369">
        <v>32</v>
      </c>
      <c r="AC1369">
        <v>-0.623999999999995</v>
      </c>
      <c r="AD1369">
        <v>-7.3944999999999705E-2</v>
      </c>
      <c r="AE1369">
        <v>-4.9000000000205502E-3</v>
      </c>
      <c r="AF1369">
        <v>-2.1972349556327601E-2</v>
      </c>
      <c r="AG1369">
        <v>-7.3944999999999705E-2</v>
      </c>
      <c r="AH1369">
        <v>0.61498585117818805</v>
      </c>
      <c r="AI1369">
        <v>96.851916014740397</v>
      </c>
      <c r="AJ1369">
        <v>92.046205825677504</v>
      </c>
      <c r="AK1369">
        <v>0.61980500507771497</v>
      </c>
      <c r="AL1369">
        <v>68.289785486045901</v>
      </c>
      <c r="AM1369">
        <v>93.270612206256999</v>
      </c>
      <c r="AN1369">
        <v>1.00000001548551</v>
      </c>
    </row>
    <row r="1370" spans="1:40" x14ac:dyDescent="0.25">
      <c r="A1370" t="str">
        <f>"20190304164623783"</f>
        <v>20190304164623783</v>
      </c>
      <c r="B1370" t="str">
        <f>"1551689183779654"</f>
        <v>1551689183779654</v>
      </c>
      <c r="C1370" t="s">
        <v>40</v>
      </c>
      <c r="D1370">
        <v>4.6915180000000003</v>
      </c>
      <c r="E1370">
        <v>0.53153050000000002</v>
      </c>
      <c r="F1370" t="s">
        <v>49</v>
      </c>
      <c r="G1370">
        <v>-242.98009999999999</v>
      </c>
      <c r="H1370" s="1">
        <v>4.9062630000000002E-8</v>
      </c>
      <c r="I1370">
        <v>282.94659999999999</v>
      </c>
      <c r="J1370">
        <v>-228.58019999999999</v>
      </c>
      <c r="K1370">
        <v>1.1091279999999999</v>
      </c>
      <c r="L1370">
        <v>282.851</v>
      </c>
      <c r="M1370">
        <v>-0.99958709999999995</v>
      </c>
      <c r="N1370">
        <v>-4.5093269999999996E-3</v>
      </c>
      <c r="O1370">
        <v>2.838355E-2</v>
      </c>
      <c r="P1370">
        <v>-0.93026399999999998</v>
      </c>
      <c r="Q1370">
        <v>0.36594739999999998</v>
      </c>
      <c r="R1370">
        <v>-2.6302389999999998E-2</v>
      </c>
      <c r="S1370">
        <v>-3.323868</v>
      </c>
      <c r="T1370">
        <v>-0.25067410000000001</v>
      </c>
      <c r="U1370">
        <v>2.3651120000000001E-2</v>
      </c>
      <c r="V1370">
        <v>-5.2169140000000003E-2</v>
      </c>
      <c r="W1370">
        <v>0.37020819999999999</v>
      </c>
      <c r="X1370">
        <v>0.92748269999999999</v>
      </c>
      <c r="Y1370">
        <v>-2.1135770000000002E-2</v>
      </c>
      <c r="Z1370">
        <v>-2.852996E-3</v>
      </c>
      <c r="AA1370">
        <v>0.99977249999999995</v>
      </c>
      <c r="AB1370">
        <v>32</v>
      </c>
      <c r="AC1370">
        <v>-14.399900000000001</v>
      </c>
      <c r="AD1370">
        <v>-1.1091279509373699</v>
      </c>
      <c r="AE1370">
        <v>9.5599999999990304E-2</v>
      </c>
      <c r="AF1370">
        <v>-0.31131605790908301</v>
      </c>
      <c r="AG1370">
        <v>-1.1091279509373699</v>
      </c>
      <c r="AH1370">
        <v>14.3119087961622</v>
      </c>
      <c r="AI1370">
        <v>94.430341884881003</v>
      </c>
      <c r="AJ1370">
        <v>91.246114966149605</v>
      </c>
      <c r="AK1370">
        <v>14.3581968188602</v>
      </c>
      <c r="AL1370">
        <v>68.271540649999395</v>
      </c>
      <c r="AM1370">
        <v>93.219386399288496</v>
      </c>
      <c r="AN1370">
        <v>0.99999994465743303</v>
      </c>
    </row>
    <row r="1371" spans="1:40" x14ac:dyDescent="0.25">
      <c r="A1371" t="str">
        <f>"20190304164623804"</f>
        <v>20190304164623804</v>
      </c>
      <c r="B1371" t="str">
        <f>"1551689183799598"</f>
        <v>1551689183799598</v>
      </c>
      <c r="C1371" t="s">
        <v>40</v>
      </c>
      <c r="D1371">
        <v>4.6973719999999997</v>
      </c>
      <c r="E1371">
        <v>0.53122159999999996</v>
      </c>
      <c r="F1371" t="s">
        <v>49</v>
      </c>
      <c r="G1371">
        <v>-243.3056</v>
      </c>
      <c r="H1371" s="1">
        <v>2.222719E-7</v>
      </c>
      <c r="I1371">
        <v>282.96069999999997</v>
      </c>
      <c r="J1371">
        <v>-228.88560000000001</v>
      </c>
      <c r="K1371">
        <v>1.109173</v>
      </c>
      <c r="L1371">
        <v>282.86009999999999</v>
      </c>
      <c r="M1371">
        <v>-0.9995733</v>
      </c>
      <c r="N1371">
        <v>-4.513314E-3</v>
      </c>
      <c r="O1371">
        <v>2.8857569999999999E-2</v>
      </c>
      <c r="P1371">
        <v>-0.93014300000000005</v>
      </c>
      <c r="Q1371">
        <v>0.36623250000000002</v>
      </c>
      <c r="R1371">
        <v>-2.6603060000000001E-2</v>
      </c>
      <c r="S1371">
        <v>-3.3240660000000002</v>
      </c>
      <c r="T1371">
        <v>-0.25037150000000002</v>
      </c>
      <c r="U1371">
        <v>2.4749759999999999E-2</v>
      </c>
      <c r="V1371">
        <v>-5.2949469999999998E-2</v>
      </c>
      <c r="W1371">
        <v>0.37049130000000002</v>
      </c>
      <c r="X1371">
        <v>0.92732550000000002</v>
      </c>
      <c r="Y1371">
        <v>-2.1278640000000001E-2</v>
      </c>
      <c r="Z1371">
        <v>-2.888411E-3</v>
      </c>
      <c r="AA1371">
        <v>0.99976940000000003</v>
      </c>
      <c r="AB1371">
        <v>32</v>
      </c>
      <c r="AC1371">
        <v>-14.4199999999999</v>
      </c>
      <c r="AD1371">
        <v>-1.1091727777281</v>
      </c>
      <c r="AE1371">
        <v>0.10059999999998499</v>
      </c>
      <c r="AF1371">
        <v>-0.31371628854498401</v>
      </c>
      <c r="AG1371">
        <v>-1.1091727777281</v>
      </c>
      <c r="AH1371">
        <v>14.332105170926599</v>
      </c>
      <c r="AI1371">
        <v>94.424288528958002</v>
      </c>
      <c r="AJ1371">
        <v>91.253950426476806</v>
      </c>
      <c r="AK1371">
        <v>14.3783838031627</v>
      </c>
      <c r="AL1371">
        <v>68.254080161967806</v>
      </c>
      <c r="AM1371">
        <v>93.267990119123695</v>
      </c>
      <c r="AN1371">
        <v>1.0000000163496101</v>
      </c>
    </row>
    <row r="1372" spans="1:40" x14ac:dyDescent="0.25">
      <c r="A1372" t="str">
        <f>"20190304164623828"</f>
        <v>20190304164623828</v>
      </c>
      <c r="B1372" t="str">
        <f>"1551689183819120"</f>
        <v>1551689183819120</v>
      </c>
      <c r="C1372" t="s">
        <v>40</v>
      </c>
      <c r="D1372">
        <v>4.6562449999999904</v>
      </c>
      <c r="E1372">
        <v>0.53090139999999997</v>
      </c>
      <c r="F1372" t="s">
        <v>49</v>
      </c>
      <c r="G1372">
        <v>-243.63059999999999</v>
      </c>
      <c r="H1372" s="1">
        <v>3.9526250000000002E-7</v>
      </c>
      <c r="I1372">
        <v>282.96620000000001</v>
      </c>
      <c r="J1372">
        <v>-229.2483</v>
      </c>
      <c r="K1372">
        <v>1.109219</v>
      </c>
      <c r="L1372">
        <v>282.87110000000001</v>
      </c>
      <c r="M1372">
        <v>-0.99955830000000001</v>
      </c>
      <c r="N1372">
        <v>-4.5196450000000001E-3</v>
      </c>
      <c r="O1372">
        <v>2.9373679999999999E-2</v>
      </c>
      <c r="P1372">
        <v>-0.93005170000000004</v>
      </c>
      <c r="Q1372">
        <v>0.36637839999999999</v>
      </c>
      <c r="R1372">
        <v>-2.7763289999999999E-2</v>
      </c>
      <c r="S1372">
        <v>-3.324478</v>
      </c>
      <c r="T1372">
        <v>-0.2500792</v>
      </c>
      <c r="U1372">
        <v>2.3925780000000001E-2</v>
      </c>
      <c r="V1372">
        <v>-5.4624440000000003E-2</v>
      </c>
      <c r="W1372">
        <v>0.37063879999999999</v>
      </c>
      <c r="X1372">
        <v>0.92716940000000003</v>
      </c>
      <c r="Y1372">
        <v>-2.204035E-2</v>
      </c>
      <c r="Z1372">
        <v>-2.9512309999999999E-3</v>
      </c>
      <c r="AA1372">
        <v>0.99975270000000005</v>
      </c>
      <c r="AB1372">
        <v>33</v>
      </c>
      <c r="AC1372">
        <v>-14.382299999999899</v>
      </c>
      <c r="AD1372">
        <v>-1.1092186047374999</v>
      </c>
      <c r="AE1372">
        <v>9.51000000000021E-2</v>
      </c>
      <c r="AF1372">
        <v>-0.32547057778546701</v>
      </c>
      <c r="AG1372">
        <v>-1.1092186047374999</v>
      </c>
      <c r="AH1372">
        <v>14.293869860268501</v>
      </c>
      <c r="AI1372">
        <v>94.436171763418002</v>
      </c>
      <c r="AJ1372">
        <v>91.304396137692805</v>
      </c>
      <c r="AK1372">
        <v>14.3405373885497</v>
      </c>
      <c r="AL1372">
        <v>68.244981401350302</v>
      </c>
      <c r="AM1372">
        <v>93.3716991332806</v>
      </c>
      <c r="AN1372">
        <v>1.0000000229035499</v>
      </c>
    </row>
    <row r="1373" spans="1:40" x14ac:dyDescent="0.25">
      <c r="A1373" t="str">
        <f>"20190304164623850"</f>
        <v>20190304164623850</v>
      </c>
      <c r="B1373" t="str">
        <f>"1551689183839614"</f>
        <v>1551689183839614</v>
      </c>
      <c r="C1373" t="s">
        <v>40</v>
      </c>
      <c r="D1373">
        <v>4.7011570000000003</v>
      </c>
      <c r="E1373">
        <v>0.53054849999999998</v>
      </c>
      <c r="F1373" t="s">
        <v>49</v>
      </c>
      <c r="G1373">
        <v>-243.97200000000001</v>
      </c>
      <c r="H1373" s="1">
        <v>5.7690510000000001E-7</v>
      </c>
      <c r="I1373">
        <v>282.959</v>
      </c>
      <c r="J1373">
        <v>-229.56639999999999</v>
      </c>
      <c r="K1373">
        <v>1.109248</v>
      </c>
      <c r="L1373">
        <v>282.8809</v>
      </c>
      <c r="M1373">
        <v>-0.99954560000000003</v>
      </c>
      <c r="N1373">
        <v>-4.527077E-3</v>
      </c>
      <c r="O1373">
        <v>2.979973E-2</v>
      </c>
      <c r="P1373">
        <v>-0.92954879999999995</v>
      </c>
      <c r="Q1373">
        <v>0.36755759999999998</v>
      </c>
      <c r="R1373">
        <v>-2.8994019999999999E-2</v>
      </c>
      <c r="S1373">
        <v>-3.3248899999999999</v>
      </c>
      <c r="T1373">
        <v>-0.2504826</v>
      </c>
      <c r="U1373">
        <v>1.9836429999999999E-2</v>
      </c>
      <c r="V1373">
        <v>-5.6258049999999997E-2</v>
      </c>
      <c r="W1373">
        <v>0.3718205</v>
      </c>
      <c r="X1373">
        <v>0.92659840000000004</v>
      </c>
      <c r="Y1373">
        <v>-2.3690470000000002E-2</v>
      </c>
      <c r="Z1373">
        <v>-3.0515439999999998E-3</v>
      </c>
      <c r="AA1373">
        <v>0.99971469999999996</v>
      </c>
      <c r="AB1373">
        <v>33</v>
      </c>
      <c r="AC1373">
        <v>-14.4056</v>
      </c>
      <c r="AD1373">
        <v>-1.1092474230948901</v>
      </c>
      <c r="AE1373">
        <v>7.8100000000006206E-2</v>
      </c>
      <c r="AF1373">
        <v>-0.34915196966235601</v>
      </c>
      <c r="AG1373">
        <v>-1.1092474230948901</v>
      </c>
      <c r="AH1373">
        <v>14.3166461887271</v>
      </c>
      <c r="AI1373">
        <v>94.429088786015598</v>
      </c>
      <c r="AJ1373">
        <v>91.397042948047499</v>
      </c>
      <c r="AK1373">
        <v>14.363798071427899</v>
      </c>
      <c r="AL1373">
        <v>68.172064421303105</v>
      </c>
      <c r="AM1373">
        <v>93.474425233687199</v>
      </c>
      <c r="AN1373">
        <v>1.0000000236463</v>
      </c>
    </row>
    <row r="1374" spans="1:40" x14ac:dyDescent="0.25">
      <c r="A1374" t="str">
        <f>"20190304164623873"</f>
        <v>20190304164623873</v>
      </c>
      <c r="B1374" t="str">
        <f>"1551689183869871"</f>
        <v>1551689183869871</v>
      </c>
      <c r="C1374" t="s">
        <v>40</v>
      </c>
      <c r="D1374">
        <v>4.6992260000000003</v>
      </c>
      <c r="E1374">
        <v>0.53012609999999905</v>
      </c>
      <c r="F1374" t="s">
        <v>49</v>
      </c>
      <c r="G1374">
        <v>-244.50360000000001</v>
      </c>
      <c r="H1374" s="1">
        <v>8.5978659999999905E-7</v>
      </c>
      <c r="I1374">
        <v>282.9425</v>
      </c>
      <c r="J1374">
        <v>-229.90989999999999</v>
      </c>
      <c r="K1374">
        <v>1.1092660000000001</v>
      </c>
      <c r="L1374">
        <v>282.89150000000001</v>
      </c>
      <c r="M1374">
        <v>-0.99953230000000004</v>
      </c>
      <c r="N1374">
        <v>-4.5367189999999998E-3</v>
      </c>
      <c r="O1374">
        <v>3.0243260000000001E-2</v>
      </c>
      <c r="P1374">
        <v>-0.92952860000000004</v>
      </c>
      <c r="Q1374">
        <v>0.3674328</v>
      </c>
      <c r="R1374">
        <v>-3.114217E-2</v>
      </c>
      <c r="S1374">
        <v>-3.3254549999999998</v>
      </c>
      <c r="T1374">
        <v>-0.2469517</v>
      </c>
      <c r="U1374">
        <v>1.3732909999999999E-2</v>
      </c>
      <c r="V1374">
        <v>-5.883447E-2</v>
      </c>
      <c r="W1374">
        <v>0.3717046</v>
      </c>
      <c r="X1374">
        <v>0.92648489999999994</v>
      </c>
      <c r="Y1374">
        <v>-2.5966340000000001E-2</v>
      </c>
      <c r="Z1374">
        <v>-3.127262E-3</v>
      </c>
      <c r="AA1374">
        <v>0.99965789999999999</v>
      </c>
      <c r="AB1374">
        <v>33</v>
      </c>
      <c r="AC1374">
        <v>-14.5937</v>
      </c>
      <c r="AD1374">
        <v>-1.1092651402133999</v>
      </c>
      <c r="AE1374">
        <v>5.0999999999987701E-2</v>
      </c>
      <c r="AF1374">
        <v>-0.38814643447133701</v>
      </c>
      <c r="AG1374">
        <v>-1.1092651402133999</v>
      </c>
      <c r="AH1374">
        <v>14.504766405180501</v>
      </c>
      <c r="AI1374">
        <v>94.371675230104998</v>
      </c>
      <c r="AJ1374">
        <v>91.532864835556595</v>
      </c>
      <c r="AK1374">
        <v>14.552297937945699</v>
      </c>
      <c r="AL1374">
        <v>68.179218003743301</v>
      </c>
      <c r="AM1374">
        <v>93.633568642288196</v>
      </c>
      <c r="AN1374">
        <v>1.00000003722467</v>
      </c>
    </row>
    <row r="1375" spans="1:40" x14ac:dyDescent="0.25">
      <c r="A1375" t="str">
        <f>"20190304164623896"</f>
        <v>20190304164623896</v>
      </c>
      <c r="B1375" t="str">
        <f>"1551689183889390"</f>
        <v>1551689183889390</v>
      </c>
      <c r="C1375" t="s">
        <v>40</v>
      </c>
      <c r="D1375">
        <v>4.7018659999999999</v>
      </c>
      <c r="E1375">
        <v>0.52981309999999904</v>
      </c>
      <c r="F1375" t="s">
        <v>49</v>
      </c>
      <c r="G1375">
        <v>-244.7329</v>
      </c>
      <c r="H1375" s="1">
        <v>9.8180929999999992E-7</v>
      </c>
      <c r="I1375">
        <v>282.90300000000002</v>
      </c>
      <c r="J1375">
        <v>-230.24250000000001</v>
      </c>
      <c r="K1375">
        <v>1.1092820000000001</v>
      </c>
      <c r="L1375">
        <v>282.90199999999999</v>
      </c>
      <c r="M1375">
        <v>-0.99951950000000001</v>
      </c>
      <c r="N1375">
        <v>-4.5475749999999999E-3</v>
      </c>
      <c r="O1375">
        <v>3.06653E-2</v>
      </c>
      <c r="P1375">
        <v>-0.92957020000000001</v>
      </c>
      <c r="Q1375">
        <v>0.36718729999999999</v>
      </c>
      <c r="R1375">
        <v>-3.2758089999999997E-2</v>
      </c>
      <c r="S1375">
        <v>-3.3259280000000002</v>
      </c>
      <c r="T1375">
        <v>-0.24889339999999999</v>
      </c>
      <c r="U1375">
        <v>2.5939940000000001E-3</v>
      </c>
      <c r="V1375">
        <v>-6.0855029999999997E-2</v>
      </c>
      <c r="W1375">
        <v>0.37146899999999999</v>
      </c>
      <c r="X1375">
        <v>0.92644879999999996</v>
      </c>
      <c r="Y1375">
        <v>-2.9722249999999999E-2</v>
      </c>
      <c r="Z1375">
        <v>-3.3302980000000002E-3</v>
      </c>
      <c r="AA1375">
        <v>0.99955269999999996</v>
      </c>
      <c r="AB1375">
        <v>33</v>
      </c>
      <c r="AC1375">
        <v>-14.4903999999999</v>
      </c>
      <c r="AD1375">
        <v>-1.10928101819069</v>
      </c>
      <c r="AE1375">
        <v>1.0000000000331901E-3</v>
      </c>
      <c r="AF1375">
        <v>-0.44077438241085898</v>
      </c>
      <c r="AG1375">
        <v>-1.10928101819069</v>
      </c>
      <c r="AH1375">
        <v>14.3992315087128</v>
      </c>
      <c r="AI1375">
        <v>94.403169212500998</v>
      </c>
      <c r="AJ1375">
        <v>91.753331638393902</v>
      </c>
      <c r="AK1375">
        <v>14.448621196329301</v>
      </c>
      <c r="AL1375">
        <v>68.193756340201304</v>
      </c>
      <c r="AM1375">
        <v>93.758151112784802</v>
      </c>
      <c r="AN1375">
        <v>0.99999996582936901</v>
      </c>
    </row>
    <row r="1376" spans="1:40" x14ac:dyDescent="0.25">
      <c r="A1376" t="str">
        <f>"20190304164623939"</f>
        <v>20190304164623939</v>
      </c>
      <c r="B1376" t="str">
        <f>"1551689183929407"</f>
        <v>1551689183929407</v>
      </c>
      <c r="C1376" t="s">
        <v>40</v>
      </c>
      <c r="D1376">
        <v>4.5950470000000001</v>
      </c>
      <c r="E1376">
        <v>0.52927780000000002</v>
      </c>
      <c r="F1376" t="s">
        <v>49</v>
      </c>
      <c r="G1376">
        <v>-244.9802</v>
      </c>
      <c r="H1376" s="1">
        <v>1.1134439999999999E-6</v>
      </c>
      <c r="I1376">
        <v>282.8836</v>
      </c>
      <c r="J1376">
        <v>-230.89449999999999</v>
      </c>
      <c r="K1376">
        <v>1.1092850000000001</v>
      </c>
      <c r="L1376">
        <v>282.92290000000003</v>
      </c>
      <c r="M1376">
        <v>-0.99949370000000004</v>
      </c>
      <c r="N1376">
        <v>-4.5724549999999996E-3</v>
      </c>
      <c r="O1376">
        <v>3.1488149999999999E-2</v>
      </c>
      <c r="P1376">
        <v>-0.92948819999999999</v>
      </c>
      <c r="Q1376">
        <v>0.36715920000000002</v>
      </c>
      <c r="R1376">
        <v>-3.5301890000000002E-2</v>
      </c>
      <c r="S1376">
        <v>-3.3260190000000001</v>
      </c>
      <c r="T1376">
        <v>-0.25034339999999999</v>
      </c>
      <c r="U1376">
        <v>-4.1503909999999998E-3</v>
      </c>
      <c r="V1376">
        <v>-6.4173770000000005E-2</v>
      </c>
      <c r="W1376">
        <v>0.37146370000000001</v>
      </c>
      <c r="X1376">
        <v>0.92622700000000002</v>
      </c>
      <c r="Y1376">
        <v>-3.2559419999999999E-2</v>
      </c>
      <c r="Z1376">
        <v>-3.520783E-3</v>
      </c>
      <c r="AA1376">
        <v>0.99946360000000001</v>
      </c>
      <c r="AB1376">
        <v>33</v>
      </c>
      <c r="AC1376">
        <v>-14.085699999999999</v>
      </c>
      <c r="AD1376">
        <v>-1.109283886556</v>
      </c>
      <c r="AE1376">
        <v>-3.9300000000025599E-2</v>
      </c>
      <c r="AF1376">
        <v>-0.479841834058091</v>
      </c>
      <c r="AG1376">
        <v>-1.109283886556</v>
      </c>
      <c r="AH1376">
        <v>13.990708559050599</v>
      </c>
      <c r="AI1376">
        <v>94.530684522079397</v>
      </c>
      <c r="AJ1376">
        <v>91.964313635203595</v>
      </c>
      <c r="AK1376">
        <v>14.0428161317798</v>
      </c>
      <c r="AL1376">
        <v>68.194084293987004</v>
      </c>
      <c r="AM1376">
        <v>93.963412336863698</v>
      </c>
      <c r="AN1376">
        <v>1.0000000043513499</v>
      </c>
    </row>
    <row r="1377" spans="1:40" x14ac:dyDescent="0.25">
      <c r="A1377" t="str">
        <f>"20190304164623961"</f>
        <v>20190304164623961</v>
      </c>
      <c r="B1377" t="str">
        <f>"1551689183950409"</f>
        <v>1551689183950409</v>
      </c>
      <c r="C1377" t="s">
        <v>40</v>
      </c>
      <c r="D1377">
        <v>4.6815790000000002</v>
      </c>
      <c r="E1377">
        <v>0.52900950000000002</v>
      </c>
      <c r="F1377" t="s">
        <v>49</v>
      </c>
      <c r="G1377">
        <v>-245.5128</v>
      </c>
      <c r="H1377" s="1">
        <v>1.3968220000000001E-6</v>
      </c>
      <c r="I1377">
        <v>282.86540000000002</v>
      </c>
      <c r="J1377">
        <v>-231.22020000000001</v>
      </c>
      <c r="K1377">
        <v>1.1092850000000001</v>
      </c>
      <c r="L1377">
        <v>282.93349999999998</v>
      </c>
      <c r="M1377">
        <v>-0.99948079999999995</v>
      </c>
      <c r="N1377">
        <v>-4.5863550000000003E-3</v>
      </c>
      <c r="O1377">
        <v>3.1896499999999897E-2</v>
      </c>
      <c r="P1377">
        <v>-0.92952349999999995</v>
      </c>
      <c r="Q1377">
        <v>0.36699789999999999</v>
      </c>
      <c r="R1377">
        <v>-3.6040709999999997E-2</v>
      </c>
      <c r="S1377">
        <v>-3.326797</v>
      </c>
      <c r="T1377">
        <v>-0.2524498</v>
      </c>
      <c r="U1377">
        <v>-1.3092039999999999E-2</v>
      </c>
      <c r="V1377">
        <v>-6.5298369999999994E-2</v>
      </c>
      <c r="W1377">
        <v>0.37131579999999997</v>
      </c>
      <c r="X1377">
        <v>0.92620769999999997</v>
      </c>
      <c r="Y1377">
        <v>-3.5640270000000002E-2</v>
      </c>
      <c r="Z1377">
        <v>-3.7027290000000001E-3</v>
      </c>
      <c r="AA1377">
        <v>0.99935779999999996</v>
      </c>
      <c r="AB1377">
        <v>33</v>
      </c>
      <c r="AC1377">
        <v>-14.292599999999901</v>
      </c>
      <c r="AD1377">
        <v>-1.109283603178</v>
      </c>
      <c r="AE1377">
        <v>-6.8099999999958499E-2</v>
      </c>
      <c r="AF1377">
        <v>-0.52081682422722198</v>
      </c>
      <c r="AG1377">
        <v>-1.109283603178</v>
      </c>
      <c r="AH1377">
        <v>14.197635044719</v>
      </c>
      <c r="AI1377">
        <v>94.464542824876702</v>
      </c>
      <c r="AJ1377">
        <v>92.100859153342697</v>
      </c>
      <c r="AK1377">
        <v>14.250424595067701</v>
      </c>
      <c r="AL1377">
        <v>68.203211062995393</v>
      </c>
      <c r="AM1377">
        <v>94.032724904527697</v>
      </c>
      <c r="AN1377">
        <v>1.0000000019967901</v>
      </c>
    </row>
    <row r="1378" spans="1:40" x14ac:dyDescent="0.25">
      <c r="A1378" t="str">
        <f>"20190304164623984"</f>
        <v>20190304164623984</v>
      </c>
      <c r="B1378" t="str">
        <f>"1551689183979689"</f>
        <v>1551689183979689</v>
      </c>
      <c r="C1378" t="s">
        <v>40</v>
      </c>
      <c r="D1378">
        <v>4.6824469999999998</v>
      </c>
      <c r="E1378">
        <v>0.52865649999999997</v>
      </c>
      <c r="F1378" t="s">
        <v>49</v>
      </c>
      <c r="G1378">
        <v>-245.75470000000001</v>
      </c>
      <c r="H1378" s="1">
        <v>1.5255770000000001E-6</v>
      </c>
      <c r="I1378">
        <v>282.86410000000001</v>
      </c>
      <c r="J1378">
        <v>-231.5651</v>
      </c>
      <c r="K1378">
        <v>1.1092869999999999</v>
      </c>
      <c r="L1378">
        <v>282.94490000000002</v>
      </c>
      <c r="M1378">
        <v>-0.99946679999999999</v>
      </c>
      <c r="N1378">
        <v>-4.601923E-3</v>
      </c>
      <c r="O1378">
        <v>3.2321540000000003E-2</v>
      </c>
      <c r="P1378">
        <v>-0.92961070000000001</v>
      </c>
      <c r="Q1378">
        <v>0.36669620000000003</v>
      </c>
      <c r="R1378">
        <v>-3.6845410000000002E-2</v>
      </c>
      <c r="S1378">
        <v>-3.3271030000000001</v>
      </c>
      <c r="T1378">
        <v>-0.25392680000000001</v>
      </c>
      <c r="U1378">
        <v>-1.5899659999999999E-2</v>
      </c>
      <c r="V1378">
        <v>-6.6507830000000004E-2</v>
      </c>
      <c r="W1378">
        <v>0.37102849999999998</v>
      </c>
      <c r="X1378">
        <v>0.92623679999999997</v>
      </c>
      <c r="Y1378">
        <v>-3.6901000000000003E-2</v>
      </c>
      <c r="Z1378">
        <v>-3.8055179999999999E-3</v>
      </c>
      <c r="AA1378">
        <v>0.99931170000000002</v>
      </c>
      <c r="AB1378">
        <v>34</v>
      </c>
      <c r="AC1378">
        <v>-14.1896</v>
      </c>
      <c r="AD1378">
        <v>-1.1092854744230001</v>
      </c>
      <c r="AE1378">
        <v>-8.0800000000010599E-2</v>
      </c>
      <c r="AF1378">
        <v>-0.53611606604392503</v>
      </c>
      <c r="AG1378">
        <v>-1.1092854744230001</v>
      </c>
      <c r="AH1378">
        <v>14.093445478603099</v>
      </c>
      <c r="AI1378">
        <v>94.497194076406799</v>
      </c>
      <c r="AJ1378">
        <v>92.178486757116801</v>
      </c>
      <c r="AK1378">
        <v>14.1471954873888</v>
      </c>
      <c r="AL1378">
        <v>68.220939032133302</v>
      </c>
      <c r="AM1378">
        <v>94.107037356783096</v>
      </c>
      <c r="AN1378">
        <v>1.00000002446889</v>
      </c>
    </row>
    <row r="1379" spans="1:40" x14ac:dyDescent="0.25">
      <c r="A1379" t="str">
        <f>"20190304164624007"</f>
        <v>20190304164624007</v>
      </c>
      <c r="B1379" t="str">
        <f>"1551689183999208"</f>
        <v>1551689183999208</v>
      </c>
      <c r="C1379" t="s">
        <v>40</v>
      </c>
      <c r="D1379">
        <v>4.7124499999999996</v>
      </c>
      <c r="E1379">
        <v>0.52845369999999903</v>
      </c>
      <c r="F1379" t="s">
        <v>49</v>
      </c>
      <c r="G1379">
        <v>-245.95859999999999</v>
      </c>
      <c r="H1379" s="1">
        <v>1.634109E-6</v>
      </c>
      <c r="I1379">
        <v>282.86070000000001</v>
      </c>
      <c r="J1379">
        <v>-231.90610000000001</v>
      </c>
      <c r="K1379">
        <v>1.109302</v>
      </c>
      <c r="L1379">
        <v>282.9563</v>
      </c>
      <c r="M1379">
        <v>-0.99945399999999995</v>
      </c>
      <c r="N1379">
        <v>-4.6219629999999998E-3</v>
      </c>
      <c r="O1379">
        <v>3.271744E-2</v>
      </c>
      <c r="P1379">
        <v>-0.92979679999999998</v>
      </c>
      <c r="Q1379">
        <v>0.36620520000000001</v>
      </c>
      <c r="R1379">
        <v>-3.703745E-2</v>
      </c>
      <c r="S1379">
        <v>-3.3275600000000001</v>
      </c>
      <c r="T1379">
        <v>-0.25644899999999998</v>
      </c>
      <c r="U1379">
        <v>-1.9470210000000002E-2</v>
      </c>
      <c r="V1379">
        <v>-6.7086800000000002E-2</v>
      </c>
      <c r="W1379">
        <v>0.37055510000000003</v>
      </c>
      <c r="X1379">
        <v>0.92638450000000006</v>
      </c>
      <c r="Y1379">
        <v>-3.835889E-2</v>
      </c>
      <c r="Z1379">
        <v>-3.9311270000000004E-3</v>
      </c>
      <c r="AA1379">
        <v>0.99925629999999999</v>
      </c>
      <c r="AB1379">
        <v>34</v>
      </c>
      <c r="AC1379">
        <v>-14.052499999999901</v>
      </c>
      <c r="AD1379">
        <v>-1.1093003658909999</v>
      </c>
      <c r="AE1379">
        <v>-9.5599999999990304E-2</v>
      </c>
      <c r="AF1379">
        <v>-0.551876685360013</v>
      </c>
      <c r="AG1379">
        <v>-1.1093003658909999</v>
      </c>
      <c r="AH1379">
        <v>13.9548932928385</v>
      </c>
      <c r="AI1379">
        <v>94.541455609305004</v>
      </c>
      <c r="AJ1379">
        <v>92.264706380799595</v>
      </c>
      <c r="AK1379">
        <v>14.009788078058801</v>
      </c>
      <c r="AL1379">
        <v>68.250143768471901</v>
      </c>
      <c r="AM1379">
        <v>94.142008175199393</v>
      </c>
      <c r="AN1379">
        <v>0.99999998135524903</v>
      </c>
    </row>
    <row r="1380" spans="1:40" x14ac:dyDescent="0.25">
      <c r="A1380" t="str">
        <f>"20190304164624028"</f>
        <v>20190304164624028</v>
      </c>
      <c r="B1380" t="str">
        <f>"1551689184019705"</f>
        <v>1551689184019705</v>
      </c>
      <c r="C1380" t="s">
        <v>40</v>
      </c>
      <c r="D1380">
        <v>4.693257</v>
      </c>
      <c r="E1380">
        <v>0.52828649999999999</v>
      </c>
      <c r="F1380" t="s">
        <v>49</v>
      </c>
      <c r="G1380">
        <v>-246.1525</v>
      </c>
      <c r="H1380" s="1">
        <v>1.7372770000000001E-6</v>
      </c>
      <c r="I1380">
        <v>282.86439999999999</v>
      </c>
      <c r="J1380">
        <v>-232.24260000000001</v>
      </c>
      <c r="K1380">
        <v>1.109334</v>
      </c>
      <c r="L1380">
        <v>282.96769999999998</v>
      </c>
      <c r="M1380">
        <v>-0.99944230000000001</v>
      </c>
      <c r="N1380">
        <v>-4.6500700000000001E-3</v>
      </c>
      <c r="O1380">
        <v>3.3069349999999997E-2</v>
      </c>
      <c r="P1380">
        <v>-0.92994730000000003</v>
      </c>
      <c r="Q1380">
        <v>0.3658285</v>
      </c>
      <c r="R1380">
        <v>-3.6979720000000001E-2</v>
      </c>
      <c r="S1380">
        <v>-3.3277130000000001</v>
      </c>
      <c r="T1380">
        <v>-0.25911210000000001</v>
      </c>
      <c r="U1380">
        <v>-2.1453860000000002E-2</v>
      </c>
      <c r="V1380">
        <v>-6.7384620000000006E-2</v>
      </c>
      <c r="W1380">
        <v>0.3702008</v>
      </c>
      <c r="X1380">
        <v>0.92650460000000001</v>
      </c>
      <c r="Y1380">
        <v>-3.9297850000000002E-2</v>
      </c>
      <c r="Z1380">
        <v>-4.0363200000000004E-3</v>
      </c>
      <c r="AA1380">
        <v>0.99921939999999998</v>
      </c>
      <c r="AB1380">
        <v>34</v>
      </c>
      <c r="AC1380">
        <v>-13.909899999999899</v>
      </c>
      <c r="AD1380">
        <v>-1.109332262723</v>
      </c>
      <c r="AE1380">
        <v>-0.10329999999999</v>
      </c>
      <c r="AF1380">
        <v>-0.55968027892511396</v>
      </c>
      <c r="AG1380">
        <v>-1.109332262723</v>
      </c>
      <c r="AH1380">
        <v>13.8110388128762</v>
      </c>
      <c r="AI1380">
        <v>94.588510973779606</v>
      </c>
      <c r="AJ1380">
        <v>92.320591656287206</v>
      </c>
      <c r="AK1380">
        <v>13.866818422929899</v>
      </c>
      <c r="AL1380">
        <v>68.271999394254905</v>
      </c>
      <c r="AM1380">
        <v>94.159794069007702</v>
      </c>
      <c r="AN1380">
        <v>1.0000000465771699</v>
      </c>
    </row>
    <row r="1381" spans="1:40" x14ac:dyDescent="0.25">
      <c r="A1381" t="str">
        <f>"20190304164624051"</f>
        <v>20190304164624051</v>
      </c>
      <c r="B1381" t="str">
        <f>"1551689184039732"</f>
        <v>1551689184039732</v>
      </c>
      <c r="C1381" t="s">
        <v>40</v>
      </c>
      <c r="D1381">
        <v>4.6951169999999998</v>
      </c>
      <c r="E1381">
        <v>0.52812159999999997</v>
      </c>
      <c r="F1381" t="s">
        <v>49</v>
      </c>
      <c r="G1381">
        <v>-246.37010000000001</v>
      </c>
      <c r="H1381" s="1">
        <v>1.853074E-6</v>
      </c>
      <c r="I1381">
        <v>282.86660000000001</v>
      </c>
      <c r="J1381">
        <v>-232.58949999999999</v>
      </c>
      <c r="K1381">
        <v>1.1093679999999999</v>
      </c>
      <c r="L1381">
        <v>282.9794</v>
      </c>
      <c r="M1381">
        <v>-0.99943199999999999</v>
      </c>
      <c r="N1381">
        <v>-4.6842480000000002E-3</v>
      </c>
      <c r="O1381">
        <v>3.3374630000000002E-2</v>
      </c>
      <c r="P1381">
        <v>-0.9300081</v>
      </c>
      <c r="Q1381">
        <v>0.36569239999999997</v>
      </c>
      <c r="R1381">
        <v>-3.679524E-2</v>
      </c>
      <c r="S1381">
        <v>-3.3278660000000002</v>
      </c>
      <c r="T1381">
        <v>-0.26131280000000001</v>
      </c>
      <c r="U1381">
        <v>-2.3803709999999999E-2</v>
      </c>
      <c r="V1381">
        <v>-6.7521680000000001E-2</v>
      </c>
      <c r="W1381">
        <v>0.37008999999999997</v>
      </c>
      <c r="X1381">
        <v>0.9265388</v>
      </c>
      <c r="Y1381">
        <v>-4.0300540000000003E-2</v>
      </c>
      <c r="Z1381">
        <v>-4.1345380000000001E-3</v>
      </c>
      <c r="AA1381">
        <v>0.99917909999999999</v>
      </c>
      <c r="AB1381">
        <v>34</v>
      </c>
      <c r="AC1381">
        <v>-13.7806</v>
      </c>
      <c r="AD1381">
        <v>-1.1093661469259899</v>
      </c>
      <c r="AE1381">
        <v>-0.112799999999992</v>
      </c>
      <c r="AF1381">
        <v>-0.56897754631403796</v>
      </c>
      <c r="AG1381">
        <v>-1.1093661469259899</v>
      </c>
      <c r="AH1381">
        <v>13.680506510986801</v>
      </c>
      <c r="AI1381">
        <v>94.632041849679197</v>
      </c>
      <c r="AJ1381">
        <v>92.381581030282007</v>
      </c>
      <c r="AK1381">
        <v>13.737200846362599</v>
      </c>
      <c r="AL1381">
        <v>68.278831316492798</v>
      </c>
      <c r="AM1381">
        <v>94.168071965788897</v>
      </c>
      <c r="AN1381">
        <v>0.99999996663773005</v>
      </c>
    </row>
    <row r="1382" spans="1:40" x14ac:dyDescent="0.25">
      <c r="A1382" t="str">
        <f>"20190304164624096"</f>
        <v>20190304164624096</v>
      </c>
      <c r="B1382" t="str">
        <f>"1551689184089508"</f>
        <v>1551689184089508</v>
      </c>
      <c r="C1382" t="s">
        <v>40</v>
      </c>
      <c r="D1382">
        <v>4.7435269999999896</v>
      </c>
      <c r="E1382">
        <v>0.52779109999999996</v>
      </c>
      <c r="F1382" t="s">
        <v>49</v>
      </c>
      <c r="G1382">
        <v>-246.6567</v>
      </c>
      <c r="H1382" s="1">
        <v>2.0055830000000001E-6</v>
      </c>
      <c r="I1382">
        <v>282.8741</v>
      </c>
      <c r="J1382">
        <v>-233.27799999999999</v>
      </c>
      <c r="K1382">
        <v>1.1094900000000001</v>
      </c>
      <c r="L1382">
        <v>283.00279999999998</v>
      </c>
      <c r="M1382">
        <v>-0.9994189</v>
      </c>
      <c r="N1382">
        <v>-4.7590480000000001E-3</v>
      </c>
      <c r="O1382">
        <v>3.3757120000000002E-2</v>
      </c>
      <c r="P1382">
        <v>-0.93011060000000001</v>
      </c>
      <c r="Q1382">
        <v>0.3654538</v>
      </c>
      <c r="R1382">
        <v>-3.6580460000000002E-2</v>
      </c>
      <c r="S1382">
        <v>-3.3280180000000001</v>
      </c>
      <c r="T1382">
        <v>-0.26245359999999901</v>
      </c>
      <c r="U1382">
        <v>-2.4932860000000001E-2</v>
      </c>
      <c r="V1382">
        <v>-6.7765249999999999E-2</v>
      </c>
      <c r="W1382">
        <v>0.36990309999999998</v>
      </c>
      <c r="X1382">
        <v>0.92659570000000002</v>
      </c>
      <c r="Y1382">
        <v>-4.101631E-2</v>
      </c>
      <c r="Z1382">
        <v>-4.2097970000000004E-3</v>
      </c>
      <c r="AA1382">
        <v>0.99914959999999997</v>
      </c>
      <c r="AB1382">
        <v>34</v>
      </c>
      <c r="AC1382">
        <v>-13.3787</v>
      </c>
      <c r="AD1382">
        <v>-1.109487994417</v>
      </c>
      <c r="AE1382">
        <v>-0.12869999999998</v>
      </c>
      <c r="AF1382">
        <v>-0.57629508712768396</v>
      </c>
      <c r="AG1382">
        <v>-1.109487994417</v>
      </c>
      <c r="AH1382">
        <v>13.2754396541453</v>
      </c>
      <c r="AI1382">
        <v>94.772888638593201</v>
      </c>
      <c r="AJ1382">
        <v>92.485684776963296</v>
      </c>
      <c r="AK1382">
        <v>13.334180801536199</v>
      </c>
      <c r="AL1382">
        <v>68.290358935997006</v>
      </c>
      <c r="AM1382">
        <v>94.182798157886197</v>
      </c>
      <c r="AN1382">
        <v>1.0000000118778301</v>
      </c>
    </row>
    <row r="1383" spans="1:40" x14ac:dyDescent="0.25">
      <c r="A1383" t="str">
        <f>"20190304164624116"</f>
        <v>20190304164624116</v>
      </c>
      <c r="B1383" t="str">
        <f>"1551689184110004"</f>
        <v>1551689184110004</v>
      </c>
      <c r="C1383" t="s">
        <v>40</v>
      </c>
      <c r="D1383">
        <v>4.709047</v>
      </c>
      <c r="E1383">
        <v>0.52772299999999905</v>
      </c>
      <c r="F1383" t="s">
        <v>49</v>
      </c>
      <c r="G1383">
        <v>-247.22550000000001</v>
      </c>
      <c r="H1383" s="1">
        <v>2.3082510000000001E-6</v>
      </c>
      <c r="I1383">
        <v>282.89260000000002</v>
      </c>
      <c r="J1383">
        <v>-233.59370000000001</v>
      </c>
      <c r="K1383">
        <v>1.1095410000000001</v>
      </c>
      <c r="L1383">
        <v>283.0136</v>
      </c>
      <c r="M1383">
        <v>-0.99941550000000001</v>
      </c>
      <c r="N1383">
        <v>-4.7977330000000002E-3</v>
      </c>
      <c r="O1383">
        <v>3.3848400000000001E-2</v>
      </c>
      <c r="P1383">
        <v>-0.92993720000000002</v>
      </c>
      <c r="Q1383">
        <v>0.36594520000000003</v>
      </c>
      <c r="R1383">
        <v>-3.6068309999999999E-2</v>
      </c>
      <c r="S1383">
        <v>-3.3284150000000001</v>
      </c>
      <c r="T1383">
        <v>-0.26476630000000001</v>
      </c>
      <c r="U1383">
        <v>-2.630615E-2</v>
      </c>
      <c r="V1383">
        <v>-6.7374249999999997E-2</v>
      </c>
      <c r="W1383">
        <v>0.37042180000000002</v>
      </c>
      <c r="X1383">
        <v>0.92641700000000005</v>
      </c>
      <c r="Y1383">
        <v>-4.1513000000000001E-2</v>
      </c>
      <c r="Z1383">
        <v>-4.2740399999999998E-3</v>
      </c>
      <c r="AA1383">
        <v>0.99912880000000004</v>
      </c>
      <c r="AB1383">
        <v>34</v>
      </c>
      <c r="AC1383">
        <v>-13.631799999999901</v>
      </c>
      <c r="AD1383">
        <v>-1.109538691749</v>
      </c>
      <c r="AE1383">
        <v>-0.12099999999998</v>
      </c>
      <c r="AF1383">
        <v>-0.57851825913753196</v>
      </c>
      <c r="AG1383">
        <v>-1.109538691749</v>
      </c>
      <c r="AH1383">
        <v>13.5302633982622</v>
      </c>
      <c r="AI1383">
        <v>94.683745630366502</v>
      </c>
      <c r="AJ1383">
        <v>92.448324640676006</v>
      </c>
      <c r="AK1383">
        <v>13.588001586362701</v>
      </c>
      <c r="AL1383">
        <v>68.258367527250897</v>
      </c>
      <c r="AM1383">
        <v>94.159548054348406</v>
      </c>
      <c r="AN1383">
        <v>1.0000000286836499</v>
      </c>
    </row>
    <row r="1384" spans="1:40" x14ac:dyDescent="0.25">
      <c r="A1384" t="str">
        <f>"20190304164624139"</f>
        <v>20190304164624139</v>
      </c>
      <c r="B1384" t="str">
        <f>"1551689184129524"</f>
        <v>1551689184129524</v>
      </c>
      <c r="C1384" t="s">
        <v>40</v>
      </c>
      <c r="D1384">
        <v>4.7493089999999896</v>
      </c>
      <c r="E1384">
        <v>0.52679770000000004</v>
      </c>
      <c r="F1384" t="s">
        <v>49</v>
      </c>
      <c r="G1384">
        <v>-247.6421</v>
      </c>
      <c r="H1384" s="1">
        <v>2.5299390000000001E-6</v>
      </c>
      <c r="I1384">
        <v>282.91419999999999</v>
      </c>
      <c r="J1384">
        <v>-233.96170000000001</v>
      </c>
      <c r="K1384">
        <v>1.109588</v>
      </c>
      <c r="L1384">
        <v>283.02609999999999</v>
      </c>
      <c r="M1384">
        <v>-0.99941349999999995</v>
      </c>
      <c r="N1384">
        <v>-4.8433699999999996E-3</v>
      </c>
      <c r="O1384">
        <v>3.3900920000000001E-2</v>
      </c>
      <c r="P1384">
        <v>-0.92994200000000005</v>
      </c>
      <c r="Q1384">
        <v>0.36596659999999998</v>
      </c>
      <c r="R1384">
        <v>-3.5732350000000003E-2</v>
      </c>
      <c r="S1384">
        <v>-3.3285830000000001</v>
      </c>
      <c r="T1384">
        <v>-0.2628915</v>
      </c>
      <c r="U1384">
        <v>-2.3559569999999998E-2</v>
      </c>
      <c r="V1384">
        <v>-6.7126999999999895E-2</v>
      </c>
      <c r="W1384">
        <v>0.37047799999999997</v>
      </c>
      <c r="X1384">
        <v>0.92641249999999997</v>
      </c>
      <c r="Y1384">
        <v>-4.074651E-2</v>
      </c>
      <c r="Z1384">
        <v>-4.2144210000000003E-3</v>
      </c>
      <c r="AA1384">
        <v>0.99916059999999995</v>
      </c>
      <c r="AB1384">
        <v>35</v>
      </c>
      <c r="AC1384">
        <v>-13.680399999999899</v>
      </c>
      <c r="AD1384">
        <v>-1.1095854700609999</v>
      </c>
      <c r="AE1384">
        <v>-0.11189999999999101</v>
      </c>
      <c r="AF1384">
        <v>-0.57185755896258195</v>
      </c>
      <c r="AG1384">
        <v>-1.1095854700609999</v>
      </c>
      <c r="AH1384">
        <v>13.5794171331702</v>
      </c>
      <c r="AI1384">
        <v>94.667189676330906</v>
      </c>
      <c r="AJ1384">
        <v>92.411419877111001</v>
      </c>
      <c r="AK1384">
        <v>13.6366700722629</v>
      </c>
      <c r="AL1384">
        <v>68.254901378422602</v>
      </c>
      <c r="AM1384">
        <v>94.144356691710797</v>
      </c>
      <c r="AN1384">
        <v>1.0000000513846199</v>
      </c>
    </row>
    <row r="1385" spans="1:40" x14ac:dyDescent="0.25">
      <c r="A1385" t="str">
        <f>"20190304164624163"</f>
        <v>20190304164624163</v>
      </c>
      <c r="B1385" t="str">
        <f>"1551689184159311"</f>
        <v>1551689184159311</v>
      </c>
      <c r="C1385" t="s">
        <v>40</v>
      </c>
      <c r="D1385">
        <v>4.7134349999999996</v>
      </c>
      <c r="E1385">
        <v>0.5257598</v>
      </c>
      <c r="F1385" t="s">
        <v>41</v>
      </c>
      <c r="G1385">
        <v>-234.90209999999999</v>
      </c>
      <c r="H1385">
        <v>1.0110539999999999</v>
      </c>
      <c r="I1385">
        <v>283.0154</v>
      </c>
      <c r="J1385">
        <v>-234.32509999999999</v>
      </c>
      <c r="K1385">
        <v>1.10964</v>
      </c>
      <c r="L1385">
        <v>283.0385</v>
      </c>
      <c r="M1385">
        <v>-0.99941400000000002</v>
      </c>
      <c r="N1385">
        <v>-4.8873140000000002E-3</v>
      </c>
      <c r="O1385">
        <v>3.3881300000000003E-2</v>
      </c>
      <c r="P1385">
        <v>-0.92972469999999996</v>
      </c>
      <c r="Q1385">
        <v>0.3665215</v>
      </c>
      <c r="R1385">
        <v>-3.5694110000000001E-2</v>
      </c>
      <c r="S1385">
        <v>-3.363235</v>
      </c>
      <c r="T1385">
        <v>-0.35239120000000002</v>
      </c>
      <c r="U1385">
        <v>-3.8391109999999999E-2</v>
      </c>
      <c r="V1385">
        <v>-6.7105209999999998E-2</v>
      </c>
      <c r="W1385">
        <v>0.37106519999999998</v>
      </c>
      <c r="X1385">
        <v>0.92617899999999997</v>
      </c>
      <c r="Y1385">
        <v>-4.4861539999999998E-2</v>
      </c>
      <c r="Z1385">
        <v>-5.8283759999999997E-3</v>
      </c>
      <c r="AA1385">
        <v>0.99897619999999998</v>
      </c>
      <c r="AB1385">
        <v>35</v>
      </c>
      <c r="AC1385">
        <v>-0.57699999999999796</v>
      </c>
      <c r="AD1385">
        <v>-9.8585999999999799E-2</v>
      </c>
      <c r="AE1385">
        <v>-2.3099999999999399E-2</v>
      </c>
      <c r="AF1385">
        <v>-4.1428977861523997E-2</v>
      </c>
      <c r="AG1385">
        <v>-9.8585999999999799E-2</v>
      </c>
      <c r="AH1385">
        <v>0.55957646786343795</v>
      </c>
      <c r="AI1385">
        <v>99.9650892836314</v>
      </c>
      <c r="AJ1385">
        <v>94.2342429821732</v>
      </c>
      <c r="AK1385">
        <v>0.56970289010077102</v>
      </c>
      <c r="AL1385">
        <v>68.218674435843496</v>
      </c>
      <c r="AM1385">
        <v>94.144056945074794</v>
      </c>
      <c r="AN1385">
        <v>1.00000001595059</v>
      </c>
    </row>
    <row r="1386" spans="1:40" x14ac:dyDescent="0.25">
      <c r="A1386" t="str">
        <f>"20190304164624183"</f>
        <v>20190304164624183</v>
      </c>
      <c r="B1386" t="str">
        <f>"1551689184179808"</f>
        <v>1551689184179808</v>
      </c>
      <c r="C1386" t="s">
        <v>40</v>
      </c>
      <c r="D1386">
        <v>4.7522449999999896</v>
      </c>
      <c r="E1386">
        <v>0.52540900000000001</v>
      </c>
      <c r="F1386" t="s">
        <v>41</v>
      </c>
      <c r="G1386">
        <v>-235.2199</v>
      </c>
      <c r="H1386">
        <v>1.018851</v>
      </c>
      <c r="I1386">
        <v>283.02629999999999</v>
      </c>
      <c r="J1386">
        <v>-234.6405</v>
      </c>
      <c r="K1386">
        <v>1.1096820000000001</v>
      </c>
      <c r="L1386">
        <v>283.04910000000001</v>
      </c>
      <c r="M1386">
        <v>-0.99941639999999998</v>
      </c>
      <c r="N1386">
        <v>-4.9242230000000001E-3</v>
      </c>
      <c r="O1386">
        <v>3.3805250000000002E-2</v>
      </c>
      <c r="P1386">
        <v>-0.92950739999999998</v>
      </c>
      <c r="Q1386">
        <v>0.36710009999999998</v>
      </c>
      <c r="R1386">
        <v>-3.5403619999999997E-2</v>
      </c>
      <c r="S1386">
        <v>-3.3594210000000002</v>
      </c>
      <c r="T1386">
        <v>-0.34098800000000001</v>
      </c>
      <c r="U1386">
        <v>-4.6234129999999998E-2</v>
      </c>
      <c r="V1386">
        <v>-6.6777799999999998E-2</v>
      </c>
      <c r="W1386">
        <v>0.37166959999999999</v>
      </c>
      <c r="X1386">
        <v>0.92596029999999996</v>
      </c>
      <c r="Y1386">
        <v>-4.7144600000000002E-2</v>
      </c>
      <c r="Z1386">
        <v>-5.7587749999999998E-3</v>
      </c>
      <c r="AA1386">
        <v>0.99887139999999996</v>
      </c>
      <c r="AB1386">
        <v>35</v>
      </c>
      <c r="AC1386">
        <v>-0.57939999999999203</v>
      </c>
      <c r="AD1386">
        <v>-9.0831000000000106E-2</v>
      </c>
      <c r="AE1386">
        <v>-2.28000000000179E-2</v>
      </c>
      <c r="AF1386">
        <v>-4.1359095989098198E-2</v>
      </c>
      <c r="AG1386">
        <v>-9.0831000000000106E-2</v>
      </c>
      <c r="AH1386">
        <v>0.564447642554745</v>
      </c>
      <c r="AI1386">
        <v>99.117642920882204</v>
      </c>
      <c r="AJ1386">
        <v>94.190777118964505</v>
      </c>
      <c r="AK1386">
        <v>0.57320326810621403</v>
      </c>
      <c r="AL1386">
        <v>68.181377753032294</v>
      </c>
      <c r="AM1386">
        <v>94.124878444558902</v>
      </c>
      <c r="AN1386">
        <v>1.0000000216565399</v>
      </c>
    </row>
    <row r="1387" spans="1:40" x14ac:dyDescent="0.25">
      <c r="A1387" t="str">
        <f>"20190304164624205"</f>
        <v>20190304164624205</v>
      </c>
      <c r="B1387" t="str">
        <f>"1551689184199328"</f>
        <v>1551689184199328</v>
      </c>
      <c r="C1387" t="s">
        <v>40</v>
      </c>
      <c r="D1387">
        <v>4.7613940000000001</v>
      </c>
      <c r="E1387">
        <v>0.52517040000000004</v>
      </c>
      <c r="F1387" t="s">
        <v>41</v>
      </c>
      <c r="G1387">
        <v>-235.5334</v>
      </c>
      <c r="H1387">
        <v>1.019584</v>
      </c>
      <c r="I1387">
        <v>283.03660000000002</v>
      </c>
      <c r="J1387">
        <v>-234.98179999999999</v>
      </c>
      <c r="K1387">
        <v>1.1097319999999999</v>
      </c>
      <c r="L1387">
        <v>283.06049999999999</v>
      </c>
      <c r="M1387">
        <v>-0.99942089999999995</v>
      </c>
      <c r="N1387">
        <v>-4.9626940000000001E-3</v>
      </c>
      <c r="O1387">
        <v>3.3665779999999999E-2</v>
      </c>
      <c r="P1387">
        <v>-0.9295641</v>
      </c>
      <c r="Q1387">
        <v>0.36692160000000001</v>
      </c>
      <c r="R1387">
        <v>-3.5770139999999999E-2</v>
      </c>
      <c r="S1387">
        <v>-3.3596339999999998</v>
      </c>
      <c r="T1387">
        <v>-0.33910669999999998</v>
      </c>
      <c r="U1387">
        <v>-4.769897E-2</v>
      </c>
      <c r="V1387">
        <v>-6.7064319999999997E-2</v>
      </c>
      <c r="W1387">
        <v>0.37151820000000002</v>
      </c>
      <c r="X1387">
        <v>0.92600039999999995</v>
      </c>
      <c r="Y1387">
        <v>-4.7443440000000003E-2</v>
      </c>
      <c r="Z1387">
        <v>-5.7285599999999997E-3</v>
      </c>
      <c r="AA1387">
        <v>0.99885749999999995</v>
      </c>
      <c r="AB1387">
        <v>35</v>
      </c>
      <c r="AC1387">
        <v>-0.55160000000000697</v>
      </c>
      <c r="AD1387">
        <v>-9.0147999999999895E-2</v>
      </c>
      <c r="AE1387">
        <v>-2.3899999999969099E-2</v>
      </c>
      <c r="AF1387">
        <v>-4.13542472001018E-2</v>
      </c>
      <c r="AG1387">
        <v>-9.0147999999999895E-2</v>
      </c>
      <c r="AH1387">
        <v>0.53618827778937195</v>
      </c>
      <c r="AI1387">
        <v>99.515999079262201</v>
      </c>
      <c r="AJ1387">
        <v>94.410283611540606</v>
      </c>
      <c r="AK1387">
        <v>0.545284058912619</v>
      </c>
      <c r="AL1387">
        <v>68.190722451920607</v>
      </c>
      <c r="AM1387">
        <v>94.142336596726196</v>
      </c>
      <c r="AN1387">
        <v>1.0000000683742201</v>
      </c>
    </row>
    <row r="1388" spans="1:40" x14ac:dyDescent="0.25">
      <c r="A1388" t="str">
        <f>"20190304164624228"</f>
        <v>20190304164624228</v>
      </c>
      <c r="B1388" t="str">
        <f>"1551689184219824"</f>
        <v>1551689184219824</v>
      </c>
      <c r="C1388" t="s">
        <v>40</v>
      </c>
      <c r="D1388">
        <v>4.7632490000000001</v>
      </c>
      <c r="E1388">
        <v>0.5250319</v>
      </c>
      <c r="F1388" t="s">
        <v>41</v>
      </c>
      <c r="G1388">
        <v>-235.8486</v>
      </c>
      <c r="H1388">
        <v>1.02166</v>
      </c>
      <c r="I1388">
        <v>283.04790000000003</v>
      </c>
      <c r="J1388">
        <v>-235.34989999999999</v>
      </c>
      <c r="K1388">
        <v>1.1097900000000001</v>
      </c>
      <c r="L1388">
        <v>283.07279999999997</v>
      </c>
      <c r="M1388">
        <v>-0.99942750000000002</v>
      </c>
      <c r="N1388">
        <v>-5.0023769999999997E-3</v>
      </c>
      <c r="O1388">
        <v>3.3464290000000001E-2</v>
      </c>
      <c r="P1388">
        <v>-0.92964970000000002</v>
      </c>
      <c r="Q1388">
        <v>0.36651899999999998</v>
      </c>
      <c r="R1388">
        <v>-3.7621630000000003E-2</v>
      </c>
      <c r="S1388">
        <v>-3.3602599999999998</v>
      </c>
      <c r="T1388">
        <v>-0.34164329999999998</v>
      </c>
      <c r="U1388">
        <v>-4.9835209999999998E-2</v>
      </c>
      <c r="V1388">
        <v>-6.8779679999999996E-2</v>
      </c>
      <c r="W1388">
        <v>0.3711431</v>
      </c>
      <c r="X1388">
        <v>0.92602490000000004</v>
      </c>
      <c r="Y1388">
        <v>-4.7867010000000002E-2</v>
      </c>
      <c r="Z1388">
        <v>-5.7732019999999998E-3</v>
      </c>
      <c r="AA1388">
        <v>0.99883710000000003</v>
      </c>
      <c r="AB1388">
        <v>35</v>
      </c>
      <c r="AC1388">
        <v>-0.49870000000001302</v>
      </c>
      <c r="AD1388">
        <v>-8.813E-2</v>
      </c>
      <c r="AE1388">
        <v>-2.48999999999455E-2</v>
      </c>
      <c r="AF1388">
        <v>-4.0318883706091102E-2</v>
      </c>
      <c r="AG1388">
        <v>-8.813E-2</v>
      </c>
      <c r="AH1388">
        <v>0.48255480673850298</v>
      </c>
      <c r="AI1388">
        <v>100.314815787329</v>
      </c>
      <c r="AJ1388">
        <v>94.776138506761001</v>
      </c>
      <c r="AK1388">
        <v>0.49219066507781201</v>
      </c>
      <c r="AL1388">
        <v>68.213867045557905</v>
      </c>
      <c r="AM1388">
        <v>94.247793591205095</v>
      </c>
      <c r="AN1388">
        <v>0.99999998023926095</v>
      </c>
    </row>
    <row r="1389" spans="1:40" x14ac:dyDescent="0.25">
      <c r="A1389" t="str">
        <f>"20190304164624252"</f>
        <v>20190304164624252</v>
      </c>
      <c r="B1389" t="str">
        <f>"1551689184239852"</f>
        <v>1551689184239852</v>
      </c>
      <c r="C1389" t="s">
        <v>40</v>
      </c>
      <c r="D1389">
        <v>4.7570790000000001</v>
      </c>
      <c r="E1389">
        <v>0.52511379999999996</v>
      </c>
      <c r="F1389" t="s">
        <v>41</v>
      </c>
      <c r="G1389">
        <v>-236.17529999999999</v>
      </c>
      <c r="H1389">
        <v>1.025264</v>
      </c>
      <c r="I1389">
        <v>283.0591</v>
      </c>
      <c r="J1389">
        <v>-235.7071</v>
      </c>
      <c r="K1389">
        <v>1.109828</v>
      </c>
      <c r="L1389">
        <v>283.08460000000002</v>
      </c>
      <c r="M1389">
        <v>-0.99943499999999996</v>
      </c>
      <c r="N1389">
        <v>-5.039005E-3</v>
      </c>
      <c r="O1389">
        <v>3.323139E-2</v>
      </c>
      <c r="P1389">
        <v>-0.92972339999999998</v>
      </c>
      <c r="Q1389">
        <v>0.366257</v>
      </c>
      <c r="R1389">
        <v>-3.8351360000000001E-2</v>
      </c>
      <c r="S1389">
        <v>-3.3604430000000001</v>
      </c>
      <c r="T1389">
        <v>-0.34414299999999998</v>
      </c>
      <c r="U1389">
        <v>-5.5877690000000001E-2</v>
      </c>
      <c r="V1389">
        <v>-6.9336449999999994E-2</v>
      </c>
      <c r="W1389">
        <v>0.3709075</v>
      </c>
      <c r="X1389">
        <v>0.92607779999999995</v>
      </c>
      <c r="Y1389">
        <v>-4.9415550000000003E-2</v>
      </c>
      <c r="Z1389">
        <v>-5.8752469999999897E-3</v>
      </c>
      <c r="AA1389">
        <v>0.99876100000000001</v>
      </c>
      <c r="AB1389">
        <v>35</v>
      </c>
      <c r="AC1389">
        <v>-0.46819999999999601</v>
      </c>
      <c r="AD1389">
        <v>-8.4564E-2</v>
      </c>
      <c r="AE1389">
        <v>-2.5500000000022199E-2</v>
      </c>
      <c r="AF1389">
        <v>-3.9752099053772902E-2</v>
      </c>
      <c r="AG1389">
        <v>-8.4564E-2</v>
      </c>
      <c r="AH1389">
        <v>0.45238016871164799</v>
      </c>
      <c r="AI1389">
        <v>100.548442738071</v>
      </c>
      <c r="AJ1389">
        <v>95.021864981466905</v>
      </c>
      <c r="AK1389">
        <v>0.46192977444494698</v>
      </c>
      <c r="AL1389">
        <v>68.228404053419993</v>
      </c>
      <c r="AM1389">
        <v>94.281808307942498</v>
      </c>
      <c r="AN1389">
        <v>1.0000000042538399</v>
      </c>
    </row>
    <row r="1390" spans="1:40" x14ac:dyDescent="0.25">
      <c r="A1390" t="str">
        <f>"20190304164624275"</f>
        <v>20190304164624275</v>
      </c>
      <c r="B1390" t="str">
        <f>"1551689184269131"</f>
        <v>1551689184269131</v>
      </c>
      <c r="C1390" t="s">
        <v>40</v>
      </c>
      <c r="D1390">
        <v>4.7875569999999996</v>
      </c>
      <c r="E1390">
        <v>0.52502479999999996</v>
      </c>
      <c r="F1390" t="s">
        <v>49</v>
      </c>
      <c r="G1390">
        <v>-246.4222</v>
      </c>
      <c r="H1390" s="1">
        <v>1.880807E-6</v>
      </c>
      <c r="I1390">
        <v>282.90410000000003</v>
      </c>
      <c r="J1390">
        <v>-236.08539999999999</v>
      </c>
      <c r="K1390">
        <v>1.1098680000000001</v>
      </c>
      <c r="L1390">
        <v>283.09699999999998</v>
      </c>
      <c r="M1390">
        <v>-0.99944390000000005</v>
      </c>
      <c r="N1390">
        <v>-5.075726E-3</v>
      </c>
      <c r="O1390">
        <v>3.2955369999999998E-2</v>
      </c>
      <c r="P1390">
        <v>-0.92976999999999999</v>
      </c>
      <c r="Q1390">
        <v>0.36605919999999997</v>
      </c>
      <c r="R1390">
        <v>-3.9092290000000002E-2</v>
      </c>
      <c r="S1390">
        <v>-3.3616030000000001</v>
      </c>
      <c r="T1390">
        <v>-0.34818070000000001</v>
      </c>
      <c r="U1390">
        <v>-5.6640629999999997E-2</v>
      </c>
      <c r="V1390">
        <v>-6.9855100000000003E-2</v>
      </c>
      <c r="W1390">
        <v>0.37073790000000001</v>
      </c>
      <c r="X1390">
        <v>0.92610669999999995</v>
      </c>
      <c r="Y1390">
        <v>-4.9352510000000002E-2</v>
      </c>
      <c r="Z1390">
        <v>-5.9114320000000003E-3</v>
      </c>
      <c r="AA1390">
        <v>0.99876390000000004</v>
      </c>
      <c r="AB1390">
        <v>35</v>
      </c>
      <c r="AC1390">
        <v>-10.3368</v>
      </c>
      <c r="AD1390">
        <v>-1.1098661191929999</v>
      </c>
      <c r="AE1390">
        <v>-0.192899999999951</v>
      </c>
      <c r="AF1390">
        <v>-0.527375015161762</v>
      </c>
      <c r="AG1390">
        <v>-1.1098661191929999</v>
      </c>
      <c r="AH1390">
        <v>10.2071963268197</v>
      </c>
      <c r="AI1390">
        <v>96.197399898445994</v>
      </c>
      <c r="AJ1390">
        <v>92.957669992030603</v>
      </c>
      <c r="AK1390">
        <v>10.280894127622901</v>
      </c>
      <c r="AL1390">
        <v>68.238866693819404</v>
      </c>
      <c r="AM1390">
        <v>94.313582502851403</v>
      </c>
      <c r="AN1390">
        <v>0.99999997263865403</v>
      </c>
    </row>
    <row r="1391" spans="1:40" x14ac:dyDescent="0.25">
      <c r="A1391" t="str">
        <f>"20190304164624298"</f>
        <v>20190304164624298</v>
      </c>
      <c r="B1391" t="str">
        <f>"1551689184289628"</f>
        <v>1551689184289628</v>
      </c>
      <c r="C1391" t="s">
        <v>40</v>
      </c>
      <c r="D1391">
        <v>4.7536680000000002</v>
      </c>
      <c r="E1391">
        <v>0.52498990000000001</v>
      </c>
      <c r="F1391" t="s">
        <v>41</v>
      </c>
      <c r="G1391">
        <v>-237.10409999999999</v>
      </c>
      <c r="H1391">
        <v>1.003727</v>
      </c>
      <c r="I1391">
        <v>283.07859999999999</v>
      </c>
      <c r="J1391">
        <v>-236.4418</v>
      </c>
      <c r="K1391">
        <v>1.1098969999999999</v>
      </c>
      <c r="L1391">
        <v>283.10849999999999</v>
      </c>
      <c r="M1391">
        <v>-0.99945309999999998</v>
      </c>
      <c r="N1391">
        <v>-5.1085779999999999E-3</v>
      </c>
      <c r="O1391">
        <v>3.2675759999999998E-2</v>
      </c>
      <c r="P1391">
        <v>-0.92957250000000002</v>
      </c>
      <c r="Q1391">
        <v>0.3665387</v>
      </c>
      <c r="R1391">
        <v>-3.929792E-2</v>
      </c>
      <c r="S1391">
        <v>-3.3620299999999999</v>
      </c>
      <c r="T1391">
        <v>-0.35047729999999999</v>
      </c>
      <c r="U1391">
        <v>-6.1065670000000002E-2</v>
      </c>
      <c r="V1391">
        <v>-6.9816080000000003E-2</v>
      </c>
      <c r="W1391">
        <v>0.3712433</v>
      </c>
      <c r="X1391">
        <v>0.92590720000000004</v>
      </c>
      <c r="Y1391">
        <v>-5.0375000000000003E-2</v>
      </c>
      <c r="Z1391">
        <v>-5.9775569999999997E-3</v>
      </c>
      <c r="AA1391">
        <v>0.9987125</v>
      </c>
      <c r="AB1391">
        <v>35</v>
      </c>
      <c r="AC1391">
        <v>-0.66229999999998701</v>
      </c>
      <c r="AD1391">
        <v>-0.106169999999999</v>
      </c>
      <c r="AE1391">
        <v>-2.98999999999978E-2</v>
      </c>
      <c r="AF1391">
        <v>-5.02371159939465E-2</v>
      </c>
      <c r="AG1391">
        <v>-0.106169999999999</v>
      </c>
      <c r="AH1391">
        <v>0.64444231201795199</v>
      </c>
      <c r="AI1391">
        <v>99.327479730597503</v>
      </c>
      <c r="AJ1391">
        <v>94.457443767368702</v>
      </c>
      <c r="AK1391">
        <v>0.65505857008547896</v>
      </c>
      <c r="AL1391">
        <v>68.207684919080293</v>
      </c>
      <c r="AM1391">
        <v>94.312107490668097</v>
      </c>
      <c r="AN1391">
        <v>1.00000000791664</v>
      </c>
    </row>
    <row r="1392" spans="1:40" x14ac:dyDescent="0.25">
      <c r="A1392" t="str">
        <f>"20190304164624318"</f>
        <v>20190304164624318</v>
      </c>
      <c r="B1392" t="str">
        <f>"1551689184309148"</f>
        <v>1551689184309148</v>
      </c>
      <c r="C1392" t="s">
        <v>40</v>
      </c>
      <c r="D1392">
        <v>4.9249580000000002</v>
      </c>
      <c r="E1392">
        <v>0.52577600000000002</v>
      </c>
      <c r="F1392" t="s">
        <v>41</v>
      </c>
      <c r="G1392">
        <v>-237.42570000000001</v>
      </c>
      <c r="H1392">
        <v>1.0075510000000001</v>
      </c>
      <c r="I1392">
        <v>283.08980000000003</v>
      </c>
      <c r="J1392">
        <v>-236.77269999999999</v>
      </c>
      <c r="K1392">
        <v>1.109909</v>
      </c>
      <c r="L1392">
        <v>283.1191</v>
      </c>
      <c r="M1392">
        <v>-0.99946170000000001</v>
      </c>
      <c r="N1392">
        <v>-5.1378960000000003E-3</v>
      </c>
      <c r="O1392">
        <v>3.2407400000000003E-2</v>
      </c>
      <c r="P1392">
        <v>-0.92950759999999999</v>
      </c>
      <c r="Q1392">
        <v>0.36671949999999998</v>
      </c>
      <c r="R1392">
        <v>-3.9152909999999999E-2</v>
      </c>
      <c r="S1392">
        <v>-3.3625180000000001</v>
      </c>
      <c r="T1392">
        <v>-0.34984310000000002</v>
      </c>
      <c r="U1392">
        <v>-6.4147949999999995E-2</v>
      </c>
      <c r="V1392">
        <v>-6.9434670000000004E-2</v>
      </c>
      <c r="W1392">
        <v>0.37144769999999999</v>
      </c>
      <c r="X1392">
        <v>0.92585390000000001</v>
      </c>
      <c r="Y1392">
        <v>-5.1018790000000001E-2</v>
      </c>
      <c r="Z1392">
        <v>-5.9742069999999996E-3</v>
      </c>
      <c r="AA1392">
        <v>0.99867980000000001</v>
      </c>
      <c r="AB1392">
        <v>36</v>
      </c>
      <c r="AC1392">
        <v>-0.65300000000002001</v>
      </c>
      <c r="AD1392">
        <v>-0.10235799999999901</v>
      </c>
      <c r="AE1392">
        <v>-2.9299999999977899E-2</v>
      </c>
      <c r="AF1392">
        <v>-4.9239500370514597E-2</v>
      </c>
      <c r="AG1392">
        <v>-0.10235799999999901</v>
      </c>
      <c r="AH1392">
        <v>0.63610921493779904</v>
      </c>
      <c r="AI1392">
        <v>99.114447763595706</v>
      </c>
      <c r="AJ1392">
        <v>94.426285387325606</v>
      </c>
      <c r="AK1392">
        <v>0.64617073741351105</v>
      </c>
      <c r="AL1392">
        <v>68.195071703401595</v>
      </c>
      <c r="AM1392">
        <v>94.288884253364898</v>
      </c>
      <c r="AN1392">
        <v>1.00000000568925</v>
      </c>
    </row>
    <row r="1393" spans="1:40" x14ac:dyDescent="0.25">
      <c r="A1393" t="str">
        <f>"20190304164624339"</f>
        <v>20190304164624339</v>
      </c>
      <c r="B1393" t="str">
        <f>"1551689184329644"</f>
        <v>1551689184329644</v>
      </c>
      <c r="C1393" t="s">
        <v>40</v>
      </c>
      <c r="D1393">
        <v>4.686172</v>
      </c>
      <c r="E1393">
        <v>0.53059140000000005</v>
      </c>
      <c r="F1393" t="s">
        <v>41</v>
      </c>
      <c r="G1393">
        <v>-237.74619999999999</v>
      </c>
      <c r="H1393">
        <v>1.0089589999999999</v>
      </c>
      <c r="I1393">
        <v>283.10180000000003</v>
      </c>
      <c r="J1393">
        <v>-237.12</v>
      </c>
      <c r="K1393">
        <v>1.1099220000000001</v>
      </c>
      <c r="L1393">
        <v>283.13010000000003</v>
      </c>
      <c r="M1393">
        <v>-0.99947070000000005</v>
      </c>
      <c r="N1393">
        <v>-5.1674970000000001E-3</v>
      </c>
      <c r="O1393">
        <v>3.2121660000000003E-2</v>
      </c>
      <c r="P1393">
        <v>-0.92936750000000001</v>
      </c>
      <c r="Q1393">
        <v>0.36709049999999999</v>
      </c>
      <c r="R1393">
        <v>-3.9000060000000003E-2</v>
      </c>
      <c r="S1393">
        <v>-3.3625790000000002</v>
      </c>
      <c r="T1393">
        <v>-0.34881289999999998</v>
      </c>
      <c r="U1393">
        <v>-6.0180659999999997E-2</v>
      </c>
      <c r="V1393">
        <v>-6.9024219999999997E-2</v>
      </c>
      <c r="W1393">
        <v>0.37184400000000001</v>
      </c>
      <c r="X1393">
        <v>0.92572549999999998</v>
      </c>
      <c r="Y1393">
        <v>-4.9567220000000002E-2</v>
      </c>
      <c r="Z1393">
        <v>-5.8494180000000003E-3</v>
      </c>
      <c r="AA1393">
        <v>0.99875369999999997</v>
      </c>
      <c r="AB1393">
        <v>36</v>
      </c>
      <c r="AC1393">
        <v>-0.62619999999998299</v>
      </c>
      <c r="AD1393">
        <v>-0.100962999999999</v>
      </c>
      <c r="AE1393">
        <v>-2.8300000000001501E-2</v>
      </c>
      <c r="AF1393">
        <v>-4.71763718245264E-2</v>
      </c>
      <c r="AG1393">
        <v>-0.100962999999999</v>
      </c>
      <c r="AH1393">
        <v>0.60916452963057799</v>
      </c>
      <c r="AI1393">
        <v>99.383067650255498</v>
      </c>
      <c r="AJ1393">
        <v>94.428397172604903</v>
      </c>
      <c r="AK1393">
        <v>0.61927422163979096</v>
      </c>
      <c r="AL1393">
        <v>68.170613483775796</v>
      </c>
      <c r="AM1393">
        <v>94.264214279616198</v>
      </c>
      <c r="AN1393">
        <v>1.0000000023164199</v>
      </c>
    </row>
    <row r="1394" spans="1:40" x14ac:dyDescent="0.25">
      <c r="A1394" t="str">
        <f>"20190304164624363"</f>
        <v>20190304164624363</v>
      </c>
      <c r="B1394" t="str">
        <f>"1551689184359432"</f>
        <v>1551689184359432</v>
      </c>
      <c r="C1394" t="s">
        <v>40</v>
      </c>
      <c r="D1394">
        <v>4.6410619999999998</v>
      </c>
      <c r="E1394">
        <v>0.52669719999999998</v>
      </c>
      <c r="F1394" t="s">
        <v>41</v>
      </c>
      <c r="G1394">
        <v>-237.97839999999999</v>
      </c>
      <c r="H1394">
        <v>0.8057164</v>
      </c>
      <c r="I1394">
        <v>283.10219999999998</v>
      </c>
      <c r="J1394">
        <v>-237.4854</v>
      </c>
      <c r="K1394">
        <v>1.109931</v>
      </c>
      <c r="L1394">
        <v>283.14159999999998</v>
      </c>
      <c r="M1394">
        <v>-0.99948020000000004</v>
      </c>
      <c r="N1394">
        <v>-5.1988679999999997E-3</v>
      </c>
      <c r="O1394">
        <v>3.1820429999999997E-2</v>
      </c>
      <c r="P1394">
        <v>-0.92941260000000003</v>
      </c>
      <c r="Q1394">
        <v>0.36697239999999998</v>
      </c>
      <c r="R1394">
        <v>-3.9034630000000001E-2</v>
      </c>
      <c r="S1394">
        <v>-3.7474370000000001</v>
      </c>
      <c r="T1394">
        <v>-1.3280430000000001</v>
      </c>
      <c r="U1394">
        <v>-0.1221619</v>
      </c>
      <c r="V1394">
        <v>-6.8791199999999997E-2</v>
      </c>
      <c r="W1394">
        <v>0.37175279999999999</v>
      </c>
      <c r="X1394">
        <v>0.92577949999999998</v>
      </c>
      <c r="Y1394">
        <v>-5.8849039999999998E-2</v>
      </c>
      <c r="Z1394">
        <v>-2.105452E-2</v>
      </c>
      <c r="AA1394">
        <v>0.99804479999999995</v>
      </c>
      <c r="AB1394">
        <v>36</v>
      </c>
      <c r="AC1394">
        <v>-0.492999999999995</v>
      </c>
      <c r="AD1394">
        <v>-0.304214599999999</v>
      </c>
      <c r="AE1394">
        <v>-3.9400000000000497E-2</v>
      </c>
      <c r="AF1394">
        <v>-3.9951731020422598E-2</v>
      </c>
      <c r="AG1394">
        <v>-0.304214599999999</v>
      </c>
      <c r="AH1394">
        <v>0.35658161374137798</v>
      </c>
      <c r="AI1394">
        <v>130.29250003807101</v>
      </c>
      <c r="AJ1394">
        <v>96.392810637101903</v>
      </c>
      <c r="AK1394">
        <v>0.47041801721776499</v>
      </c>
      <c r="AL1394">
        <v>68.176242965063196</v>
      </c>
      <c r="AM1394">
        <v>94.249624497095596</v>
      </c>
      <c r="AN1394">
        <v>1.0000000280627599</v>
      </c>
    </row>
    <row r="1395" spans="1:40" x14ac:dyDescent="0.25">
      <c r="A1395" t="str">
        <f>"20190304164624384"</f>
        <v>20190304164624384</v>
      </c>
      <c r="B1395" t="str">
        <f>"1551689184379928"</f>
        <v>1551689184379928</v>
      </c>
      <c r="C1395" t="s">
        <v>40</v>
      </c>
      <c r="D1395">
        <v>4.578201</v>
      </c>
      <c r="E1395">
        <v>0.52660799999999997</v>
      </c>
      <c r="F1395" t="s">
        <v>41</v>
      </c>
      <c r="G1395">
        <v>-238.3021</v>
      </c>
      <c r="H1395">
        <v>0.80865710000000002</v>
      </c>
      <c r="I1395">
        <v>283.10770000000002</v>
      </c>
      <c r="J1395">
        <v>-237.82900000000001</v>
      </c>
      <c r="K1395">
        <v>1.109939</v>
      </c>
      <c r="L1395">
        <v>283.1524</v>
      </c>
      <c r="M1395">
        <v>-0.99948879999999996</v>
      </c>
      <c r="N1395">
        <v>-5.2309699999999997E-3</v>
      </c>
      <c r="O1395">
        <v>3.1538389999999999E-2</v>
      </c>
      <c r="P1395">
        <v>-0.92937329999999996</v>
      </c>
      <c r="Q1395">
        <v>0.3671529</v>
      </c>
      <c r="R1395">
        <v>-3.8263579999999998E-2</v>
      </c>
      <c r="S1395">
        <v>-3.7703859999999998</v>
      </c>
      <c r="T1395">
        <v>-1.3907959999999999</v>
      </c>
      <c r="U1395">
        <v>-0.15750120000000001</v>
      </c>
      <c r="V1395">
        <v>-6.7767040000000001E-2</v>
      </c>
      <c r="W1395">
        <v>0.37196259999999998</v>
      </c>
      <c r="X1395">
        <v>0.9257708</v>
      </c>
      <c r="Y1395">
        <v>-6.6754610000000006E-2</v>
      </c>
      <c r="Z1395">
        <v>-2.3194010000000001E-2</v>
      </c>
      <c r="AA1395">
        <v>0.99749980000000005</v>
      </c>
      <c r="AB1395">
        <v>36</v>
      </c>
      <c r="AC1395">
        <v>-0.47309999999998797</v>
      </c>
      <c r="AD1395">
        <v>-0.30128189999999999</v>
      </c>
      <c r="AE1395">
        <v>-4.4699999999977501E-2</v>
      </c>
      <c r="AF1395">
        <v>-4.2511109957456501E-2</v>
      </c>
      <c r="AG1395">
        <v>-0.30128189999999999</v>
      </c>
      <c r="AH1395">
        <v>0.33628321478203399</v>
      </c>
      <c r="AI1395">
        <v>131.63207551042899</v>
      </c>
      <c r="AJ1395">
        <v>97.204806397075998</v>
      </c>
      <c r="AK1395">
        <v>0.45350234650061499</v>
      </c>
      <c r="AL1395">
        <v>68.163294469098105</v>
      </c>
      <c r="AM1395">
        <v>94.186622150286297</v>
      </c>
      <c r="AN1395">
        <v>1.0000000608208699</v>
      </c>
    </row>
    <row r="1396" spans="1:40" x14ac:dyDescent="0.25">
      <c r="A1396" t="str">
        <f>"20190304164624407"</f>
        <v>20190304164624407</v>
      </c>
      <c r="B1396" t="str">
        <f>"1551689184399448"</f>
        <v>1551689184399448</v>
      </c>
      <c r="C1396" t="s">
        <v>40</v>
      </c>
      <c r="D1396">
        <v>4.8031810000000004</v>
      </c>
      <c r="E1396">
        <v>0.52697700000000003</v>
      </c>
      <c r="F1396" t="s">
        <v>41</v>
      </c>
      <c r="G1396">
        <v>-238.6276</v>
      </c>
      <c r="H1396">
        <v>0.81499109999999997</v>
      </c>
      <c r="I1396">
        <v>283.11950000000002</v>
      </c>
      <c r="J1396">
        <v>-238.2003</v>
      </c>
      <c r="K1396">
        <v>1.1099479999999999</v>
      </c>
      <c r="L1396">
        <v>283.16390000000001</v>
      </c>
      <c r="M1396">
        <v>-0.9994982</v>
      </c>
      <c r="N1396">
        <v>-5.2673959999999997E-3</v>
      </c>
      <c r="O1396">
        <v>3.1235780000000001E-2</v>
      </c>
      <c r="P1396">
        <v>-0.92963929999999995</v>
      </c>
      <c r="Q1396">
        <v>0.36669410000000002</v>
      </c>
      <c r="R1396">
        <v>-3.6145379999999998E-2</v>
      </c>
      <c r="S1396">
        <v>-3.771957</v>
      </c>
      <c r="T1396">
        <v>-1.3931750000000001</v>
      </c>
      <c r="U1396">
        <v>-0.15573119999999999</v>
      </c>
      <c r="V1396">
        <v>-6.538571E-2</v>
      </c>
      <c r="W1396">
        <v>0.37153900000000001</v>
      </c>
      <c r="X1396">
        <v>0.92611209999999999</v>
      </c>
      <c r="Y1396">
        <v>-6.6020179999999998E-2</v>
      </c>
      <c r="Z1396">
        <v>-2.298263E-2</v>
      </c>
      <c r="AA1396">
        <v>0.99755360000000004</v>
      </c>
      <c r="AB1396">
        <v>36</v>
      </c>
      <c r="AC1396">
        <v>-0.42730000000000201</v>
      </c>
      <c r="AD1396">
        <v>-0.29495690000000002</v>
      </c>
      <c r="AE1396">
        <v>-4.4399999999995998E-2</v>
      </c>
      <c r="AF1396">
        <v>-3.92317924811404E-2</v>
      </c>
      <c r="AG1396">
        <v>-0.29495690000000002</v>
      </c>
      <c r="AH1396">
        <v>0.28931988578547901</v>
      </c>
      <c r="AI1396">
        <v>135.291805542627</v>
      </c>
      <c r="AJ1396">
        <v>97.722210338170001</v>
      </c>
      <c r="AK1396">
        <v>0.41502373752571697</v>
      </c>
      <c r="AL1396">
        <v>68.189438872181498</v>
      </c>
      <c r="AM1396">
        <v>94.038516516484293</v>
      </c>
      <c r="AN1396">
        <v>1.0000000706798</v>
      </c>
    </row>
    <row r="1397" spans="1:40" x14ac:dyDescent="0.25">
      <c r="A1397" t="str">
        <f>"20190304164624429"</f>
        <v>20190304164624429</v>
      </c>
      <c r="B1397" t="str">
        <f>"1551689184419944"</f>
        <v>1551689184419944</v>
      </c>
      <c r="C1397" t="s">
        <v>40</v>
      </c>
      <c r="D1397">
        <v>4.5397759999999998</v>
      </c>
      <c r="E1397">
        <v>0.52743269999999998</v>
      </c>
      <c r="F1397" t="s">
        <v>41</v>
      </c>
      <c r="G1397">
        <v>-238.95769999999999</v>
      </c>
      <c r="H1397">
        <v>0.8303528</v>
      </c>
      <c r="I1397">
        <v>283.13409999999999</v>
      </c>
      <c r="J1397">
        <v>-238.56200000000001</v>
      </c>
      <c r="K1397">
        <v>1.109955</v>
      </c>
      <c r="L1397">
        <v>283.17500000000001</v>
      </c>
      <c r="M1397">
        <v>-0.99950720000000004</v>
      </c>
      <c r="N1397">
        <v>-5.3028969999999896E-3</v>
      </c>
      <c r="O1397">
        <v>3.0942069999999999E-2</v>
      </c>
      <c r="P1397">
        <v>-0.93000879999999997</v>
      </c>
      <c r="Q1397">
        <v>0.3660755</v>
      </c>
      <c r="R1397">
        <v>-3.2749510000000003E-2</v>
      </c>
      <c r="S1397">
        <v>-3.7701570000000002</v>
      </c>
      <c r="T1397">
        <v>-1.391607</v>
      </c>
      <c r="U1397">
        <v>-0.14904790000000001</v>
      </c>
      <c r="V1397">
        <v>-6.1736699999999999E-2</v>
      </c>
      <c r="W1397">
        <v>0.37095669999999997</v>
      </c>
      <c r="X1397">
        <v>0.92659570000000002</v>
      </c>
      <c r="Y1397">
        <v>-6.4133609999999994E-2</v>
      </c>
      <c r="Z1397">
        <v>-2.2523930000000001E-2</v>
      </c>
      <c r="AA1397">
        <v>0.99768710000000005</v>
      </c>
      <c r="AB1397">
        <v>36</v>
      </c>
      <c r="AC1397">
        <v>-0.39569999999997602</v>
      </c>
      <c r="AD1397">
        <v>-0.27960219999999902</v>
      </c>
      <c r="AE1397">
        <v>-4.0900000000021898E-2</v>
      </c>
      <c r="AF1397">
        <v>-3.5558288786382598E-2</v>
      </c>
      <c r="AG1397">
        <v>-0.27960219999999902</v>
      </c>
      <c r="AH1397">
        <v>0.26388413385345</v>
      </c>
      <c r="AI1397">
        <v>136.399192649984</v>
      </c>
      <c r="AJ1397">
        <v>97.674358788205794</v>
      </c>
      <c r="AK1397">
        <v>0.38610441365755099</v>
      </c>
      <c r="AL1397">
        <v>68.225367130837995</v>
      </c>
      <c r="AM1397">
        <v>93.811837287377998</v>
      </c>
      <c r="AN1397">
        <v>0.99999994233013301</v>
      </c>
    </row>
    <row r="1398" spans="1:40" x14ac:dyDescent="0.25">
      <c r="A1398" t="str">
        <f>"20190304164624453"</f>
        <v>20190304164624453</v>
      </c>
      <c r="B1398" t="str">
        <f>"1551689184449730"</f>
        <v>1551689184449730</v>
      </c>
      <c r="C1398" t="s">
        <v>40</v>
      </c>
      <c r="D1398">
        <v>4.4923979999999997</v>
      </c>
      <c r="E1398">
        <v>0.52796949999999998</v>
      </c>
      <c r="F1398" t="s">
        <v>41</v>
      </c>
      <c r="G1398">
        <v>-239.28739999999999</v>
      </c>
      <c r="H1398">
        <v>0.84215699999999905</v>
      </c>
      <c r="I1398">
        <v>283.14819999999997</v>
      </c>
      <c r="J1398">
        <v>-238.94739999999999</v>
      </c>
      <c r="K1398">
        <v>1.1099589999999999</v>
      </c>
      <c r="L1398">
        <v>283.18669999999997</v>
      </c>
      <c r="M1398">
        <v>-0.99951650000000003</v>
      </c>
      <c r="N1398">
        <v>-5.3396290000000003E-3</v>
      </c>
      <c r="O1398">
        <v>3.0629699999999999E-2</v>
      </c>
      <c r="P1398">
        <v>-0.93037579999999998</v>
      </c>
      <c r="Q1398">
        <v>0.36545490000000003</v>
      </c>
      <c r="R1398">
        <v>-2.9051799999999999E-2</v>
      </c>
      <c r="S1398">
        <v>-3.7684329999999999</v>
      </c>
      <c r="T1398">
        <v>-1.3911209999999901</v>
      </c>
      <c r="U1398">
        <v>-0.14035029999999901</v>
      </c>
      <c r="V1398">
        <v>-5.7767890000000002E-2</v>
      </c>
      <c r="W1398">
        <v>0.37037439999999999</v>
      </c>
      <c r="X1398">
        <v>0.92708449999999998</v>
      </c>
      <c r="Y1398">
        <v>-6.1719959999999997E-2</v>
      </c>
      <c r="Z1398">
        <v>-2.1979350000000002E-2</v>
      </c>
      <c r="AA1398">
        <v>0.9978515</v>
      </c>
      <c r="AB1398">
        <v>36</v>
      </c>
      <c r="AC1398">
        <v>-0.34000000000000302</v>
      </c>
      <c r="AD1398">
        <v>-0.26780199999999998</v>
      </c>
      <c r="AE1398">
        <v>-3.8499999999999E-2</v>
      </c>
      <c r="AF1398">
        <v>-3.0322405385382101E-2</v>
      </c>
      <c r="AG1398">
        <v>-0.26780199999999998</v>
      </c>
      <c r="AH1398">
        <v>0.210016855347675</v>
      </c>
      <c r="AI1398">
        <v>141.60823955855199</v>
      </c>
      <c r="AJ1398">
        <v>98.215638200903499</v>
      </c>
      <c r="AK1398">
        <v>0.34167885360742101</v>
      </c>
      <c r="AL1398">
        <v>68.261290598951604</v>
      </c>
      <c r="AM1398">
        <v>93.565567657163001</v>
      </c>
      <c r="AN1398">
        <v>0.99999999771533099</v>
      </c>
    </row>
    <row r="1399" spans="1:40" x14ac:dyDescent="0.25">
      <c r="A1399" t="str">
        <f>"20190304164624477"</f>
        <v>20190304164624477</v>
      </c>
      <c r="B1399" t="str">
        <f>"1551689184469251"</f>
        <v>1551689184469251</v>
      </c>
      <c r="C1399" t="s">
        <v>40</v>
      </c>
      <c r="D1399">
        <v>4.4487759999999996</v>
      </c>
      <c r="E1399">
        <v>0.52910400000000002</v>
      </c>
      <c r="F1399" t="s">
        <v>41</v>
      </c>
      <c r="G1399">
        <v>-239.62110000000001</v>
      </c>
      <c r="H1399">
        <v>0.86130019999999996</v>
      </c>
      <c r="I1399">
        <v>283.16370000000001</v>
      </c>
      <c r="J1399">
        <v>-239.32579999999999</v>
      </c>
      <c r="K1399">
        <v>1.1099589999999999</v>
      </c>
      <c r="L1399">
        <v>283.19810000000001</v>
      </c>
      <c r="M1399">
        <v>-0.99952569999999996</v>
      </c>
      <c r="N1399">
        <v>-5.3745650000000004E-3</v>
      </c>
      <c r="O1399">
        <v>3.0322769999999999E-2</v>
      </c>
      <c r="P1399">
        <v>-0.93085070000000003</v>
      </c>
      <c r="Q1399">
        <v>0.3645021</v>
      </c>
      <c r="R1399">
        <v>-2.559991E-2</v>
      </c>
      <c r="S1399">
        <v>-3.7666019999999998</v>
      </c>
      <c r="T1399">
        <v>-1.390361</v>
      </c>
      <c r="U1399">
        <v>-0.129303</v>
      </c>
      <c r="V1399">
        <v>-5.4050510000000003E-2</v>
      </c>
      <c r="W1399">
        <v>0.36945909999999998</v>
      </c>
      <c r="X1399">
        <v>0.92767370000000005</v>
      </c>
      <c r="Y1399">
        <v>-5.8728250000000003E-2</v>
      </c>
      <c r="Z1399">
        <v>-2.1328360000000001E-2</v>
      </c>
      <c r="AA1399">
        <v>0.99804619999999999</v>
      </c>
      <c r="AB1399">
        <v>36</v>
      </c>
      <c r="AC1399">
        <v>-0.29530000000002499</v>
      </c>
      <c r="AD1399">
        <v>-0.24865879999999899</v>
      </c>
      <c r="AE1399">
        <v>-3.4400000000005003E-2</v>
      </c>
      <c r="AF1399">
        <v>-2.5499862039128199E-2</v>
      </c>
      <c r="AG1399">
        <v>-0.24865879999999899</v>
      </c>
      <c r="AH1399">
        <v>0.173056880219503</v>
      </c>
      <c r="AI1399">
        <v>144.87453480919899</v>
      </c>
      <c r="AJ1399">
        <v>98.382193020300704</v>
      </c>
      <c r="AK1399">
        <v>0.30402323196223302</v>
      </c>
      <c r="AL1399">
        <v>68.317737295188493</v>
      </c>
      <c r="AM1399">
        <v>93.334544087600904</v>
      </c>
      <c r="AN1399">
        <v>0.99999998893788</v>
      </c>
    </row>
    <row r="1400" spans="1:40" x14ac:dyDescent="0.25">
      <c r="A1400" t="str">
        <f>"20190304164624498"</f>
        <v>20190304164624498</v>
      </c>
      <c r="B1400" t="str">
        <f>"1551689184489747"</f>
        <v>1551689184489747</v>
      </c>
      <c r="C1400" t="s">
        <v>40</v>
      </c>
      <c r="D1400">
        <v>4.4283739999999998</v>
      </c>
      <c r="E1400">
        <v>0.52964960000000005</v>
      </c>
      <c r="F1400" t="s">
        <v>41</v>
      </c>
      <c r="G1400">
        <v>-240.24780000000001</v>
      </c>
      <c r="H1400">
        <v>0.77250369999999902</v>
      </c>
      <c r="I1400">
        <v>283.17200000000003</v>
      </c>
      <c r="J1400">
        <v>-239.6866</v>
      </c>
      <c r="K1400">
        <v>1.10995</v>
      </c>
      <c r="L1400">
        <v>283.2088</v>
      </c>
      <c r="M1400">
        <v>-0.99953440000000005</v>
      </c>
      <c r="N1400">
        <v>-5.4068909999999996E-3</v>
      </c>
      <c r="O1400">
        <v>3.0029449999999999E-2</v>
      </c>
      <c r="P1400">
        <v>-0.9309714</v>
      </c>
      <c r="Q1400">
        <v>0.36434569999999999</v>
      </c>
      <c r="R1400">
        <v>-2.3332740000000001E-2</v>
      </c>
      <c r="S1400">
        <v>-3.7585600000000001</v>
      </c>
      <c r="T1400">
        <v>-1.3756699999999999</v>
      </c>
      <c r="U1400">
        <v>-0.1078491</v>
      </c>
      <c r="V1400">
        <v>-5.151882E-2</v>
      </c>
      <c r="W1400">
        <v>0.36933460000000001</v>
      </c>
      <c r="X1400">
        <v>0.92786740000000001</v>
      </c>
      <c r="Y1400">
        <v>-5.3287960000000002E-2</v>
      </c>
      <c r="Z1400">
        <v>-2.0078789999999999E-2</v>
      </c>
      <c r="AA1400">
        <v>0.99837730000000002</v>
      </c>
      <c r="AB1400">
        <v>37</v>
      </c>
      <c r="AC1400">
        <v>-0.56120000000001302</v>
      </c>
      <c r="AD1400">
        <v>-0.33744629999999998</v>
      </c>
      <c r="AE1400">
        <v>-3.6799999999971002E-2</v>
      </c>
      <c r="AF1400">
        <v>-3.9438170851634702E-2</v>
      </c>
      <c r="AG1400">
        <v>-0.33744629999999998</v>
      </c>
      <c r="AH1400">
        <v>0.41164635275403799</v>
      </c>
      <c r="AI1400">
        <v>129.214844823692</v>
      </c>
      <c r="AJ1400">
        <v>95.472573657962002</v>
      </c>
      <c r="AK1400">
        <v>0.53373972537137804</v>
      </c>
      <c r="AL1400">
        <v>68.325415479728207</v>
      </c>
      <c r="AM1400">
        <v>93.178022168918901</v>
      </c>
      <c r="AN1400">
        <v>1.00000007377705</v>
      </c>
    </row>
    <row r="1401" spans="1:40" x14ac:dyDescent="0.25">
      <c r="A1401" t="str">
        <f>"20190304164624520"</f>
        <v>20190304164624520</v>
      </c>
      <c r="B1401" t="str">
        <f>"1551689184509269"</f>
        <v>1551689184509269</v>
      </c>
      <c r="C1401" t="s">
        <v>40</v>
      </c>
      <c r="D1401">
        <v>4.4603900000000003</v>
      </c>
      <c r="E1401">
        <v>0.53030790000000005</v>
      </c>
      <c r="F1401" t="s">
        <v>41</v>
      </c>
      <c r="G1401">
        <v>-240.5745</v>
      </c>
      <c r="H1401">
        <v>0.78641179999999999</v>
      </c>
      <c r="I1401">
        <v>283.18630000000002</v>
      </c>
      <c r="J1401">
        <v>-240.05600000000001</v>
      </c>
      <c r="K1401">
        <v>1.109955</v>
      </c>
      <c r="L1401">
        <v>283.21969999999999</v>
      </c>
      <c r="M1401">
        <v>-0.99954330000000002</v>
      </c>
      <c r="N1401">
        <v>-5.4389579999999998E-3</v>
      </c>
      <c r="O1401">
        <v>2.9729459999999999E-2</v>
      </c>
      <c r="P1401">
        <v>-0.93093709999999996</v>
      </c>
      <c r="Q1401">
        <v>0.36452620000000002</v>
      </c>
      <c r="R1401">
        <v>-2.1839109999999998E-2</v>
      </c>
      <c r="S1401">
        <v>-3.7555540000000001</v>
      </c>
      <c r="T1401">
        <v>-1.368377</v>
      </c>
      <c r="U1401">
        <v>-9.6191410000000005E-2</v>
      </c>
      <c r="V1401">
        <v>-4.9748889999999997E-2</v>
      </c>
      <c r="W1401">
        <v>0.36954599999999999</v>
      </c>
      <c r="X1401">
        <v>0.92787980000000003</v>
      </c>
      <c r="Y1401">
        <v>-5.0182350000000001E-2</v>
      </c>
      <c r="Z1401">
        <v>-1.933319E-2</v>
      </c>
      <c r="AA1401">
        <v>0.99855289999999997</v>
      </c>
      <c r="AB1401">
        <v>37</v>
      </c>
      <c r="AC1401">
        <v>-0.51850000000001695</v>
      </c>
      <c r="AD1401">
        <v>-0.32354319999999998</v>
      </c>
      <c r="AE1401">
        <v>-3.3399999999971897E-2</v>
      </c>
      <c r="AF1401">
        <v>-3.5164588976511597E-2</v>
      </c>
      <c r="AG1401">
        <v>-0.32354319999999998</v>
      </c>
      <c r="AH1401">
        <v>0.37274164695744799</v>
      </c>
      <c r="AI1401">
        <v>130.83266304778999</v>
      </c>
      <c r="AJ1401">
        <v>95.389354825580895</v>
      </c>
      <c r="AK1401">
        <v>0.494826318985437</v>
      </c>
      <c r="AL1401">
        <v>68.312380725627193</v>
      </c>
      <c r="AM1401">
        <v>93.069012647714004</v>
      </c>
      <c r="AN1401">
        <v>1.00000006071013</v>
      </c>
    </row>
    <row r="1402" spans="1:40" x14ac:dyDescent="0.25">
      <c r="A1402" t="str">
        <f>"20190304164624541"</f>
        <v>20190304164624541</v>
      </c>
      <c r="B1402" t="str">
        <f>"1551689184529763"</f>
        <v>1551689184529763</v>
      </c>
      <c r="C1402" t="s">
        <v>40</v>
      </c>
      <c r="D1402">
        <v>4.4318179999999998</v>
      </c>
      <c r="E1402">
        <v>0.53094519999999901</v>
      </c>
      <c r="F1402" t="s">
        <v>41</v>
      </c>
      <c r="G1402">
        <v>-240.90960000000001</v>
      </c>
      <c r="H1402">
        <v>0.80129910000000004</v>
      </c>
      <c r="I1402">
        <v>283.20010000000002</v>
      </c>
      <c r="J1402">
        <v>-240.39830000000001</v>
      </c>
      <c r="K1402">
        <v>1.1099570000000001</v>
      </c>
      <c r="L1402">
        <v>283.2296</v>
      </c>
      <c r="M1402">
        <v>-0.99955119999999997</v>
      </c>
      <c r="N1402">
        <v>-5.4677700000000003E-3</v>
      </c>
      <c r="O1402">
        <v>2.945153E-2</v>
      </c>
      <c r="P1402">
        <v>-0.93099449999999995</v>
      </c>
      <c r="Q1402">
        <v>0.36440060000000002</v>
      </c>
      <c r="R1402">
        <v>-2.1482290000000001E-2</v>
      </c>
      <c r="S1402">
        <v>-3.7516780000000001</v>
      </c>
      <c r="T1402">
        <v>-1.356482</v>
      </c>
      <c r="U1402">
        <v>-8.6700440000000004E-2</v>
      </c>
      <c r="V1402">
        <v>-4.9137260000000002E-2</v>
      </c>
      <c r="W1402">
        <v>0.36944759999999999</v>
      </c>
      <c r="X1402">
        <v>0.92795150000000004</v>
      </c>
      <c r="Y1402">
        <v>-4.7661479999999999E-2</v>
      </c>
      <c r="Z1402">
        <v>-1.864919E-2</v>
      </c>
      <c r="AA1402">
        <v>0.99868939999999995</v>
      </c>
      <c r="AB1402">
        <v>37</v>
      </c>
      <c r="AC1402">
        <v>-0.51130000000000497</v>
      </c>
      <c r="AD1402">
        <v>-0.30865789999999899</v>
      </c>
      <c r="AE1402">
        <v>-2.94999999999845E-2</v>
      </c>
      <c r="AF1402">
        <v>-3.2677238397476403E-2</v>
      </c>
      <c r="AG1402">
        <v>-0.30865789999999899</v>
      </c>
      <c r="AH1402">
        <v>0.37427006875799401</v>
      </c>
      <c r="AI1402">
        <v>129.405415492641</v>
      </c>
      <c r="AJ1402">
        <v>94.989798197118603</v>
      </c>
      <c r="AK1402">
        <v>0.48622585853675898</v>
      </c>
      <c r="AL1402">
        <v>68.318446454238597</v>
      </c>
      <c r="AM1402">
        <v>93.031118170076198</v>
      </c>
      <c r="AN1402">
        <v>0.99999999290915798</v>
      </c>
    </row>
    <row r="1403" spans="1:40" x14ac:dyDescent="0.25">
      <c r="A1403" t="str">
        <f>"20190304164624565"</f>
        <v>20190304164624565</v>
      </c>
      <c r="B1403" t="str">
        <f>"1551689184559550"</f>
        <v>1551689184559550</v>
      </c>
      <c r="C1403" t="s">
        <v>40</v>
      </c>
      <c r="D1403">
        <v>4.4507159999999999</v>
      </c>
      <c r="E1403">
        <v>0.53167200000000003</v>
      </c>
      <c r="F1403" t="s">
        <v>41</v>
      </c>
      <c r="G1403">
        <v>-241.24260000000001</v>
      </c>
      <c r="H1403">
        <v>0.80663169999999995</v>
      </c>
      <c r="I1403">
        <v>283.21109999999999</v>
      </c>
      <c r="J1403">
        <v>-240.78290000000001</v>
      </c>
      <c r="K1403">
        <v>1.109958</v>
      </c>
      <c r="L1403">
        <v>283.2407</v>
      </c>
      <c r="M1403">
        <v>-0.99956029999999996</v>
      </c>
      <c r="N1403">
        <v>-5.4990639999999997E-3</v>
      </c>
      <c r="O1403">
        <v>2.913897E-2</v>
      </c>
      <c r="P1403">
        <v>-0.93098190000000003</v>
      </c>
      <c r="Q1403">
        <v>0.36441050000000003</v>
      </c>
      <c r="R1403">
        <v>-2.186314E-2</v>
      </c>
      <c r="S1403">
        <v>-3.7473450000000001</v>
      </c>
      <c r="T1403">
        <v>-1.346152</v>
      </c>
      <c r="U1403">
        <v>-8.2794190000000004E-2</v>
      </c>
      <c r="V1403">
        <v>-4.9229380000000003E-2</v>
      </c>
      <c r="W1403">
        <v>0.36948609999999998</v>
      </c>
      <c r="X1403">
        <v>0.92793130000000001</v>
      </c>
      <c r="Y1403">
        <v>-4.6489799999999998E-2</v>
      </c>
      <c r="Z1403">
        <v>-1.822095E-2</v>
      </c>
      <c r="AA1403">
        <v>0.99875259999999999</v>
      </c>
      <c r="AB1403">
        <v>37</v>
      </c>
      <c r="AC1403">
        <v>-0.459699999999998</v>
      </c>
      <c r="AD1403">
        <v>-0.30332629999999999</v>
      </c>
      <c r="AE1403">
        <v>-2.96000000000162E-2</v>
      </c>
      <c r="AF1403">
        <v>-2.9982747466254199E-2</v>
      </c>
      <c r="AG1403">
        <v>-0.30332629999999999</v>
      </c>
      <c r="AH1403">
        <v>0.31992680372923799</v>
      </c>
      <c r="AI1403">
        <v>133.34920816513301</v>
      </c>
      <c r="AJ1403">
        <v>95.3539804330088</v>
      </c>
      <c r="AK1403">
        <v>0.44188117086126399</v>
      </c>
      <c r="AL1403">
        <v>68.316072848839497</v>
      </c>
      <c r="AM1403">
        <v>93.036856111255702</v>
      </c>
      <c r="AN1403">
        <v>1.00000000373404</v>
      </c>
    </row>
    <row r="1404" spans="1:40" x14ac:dyDescent="0.25">
      <c r="A1404" t="str">
        <f>"20190304164624587"</f>
        <v>20190304164624587</v>
      </c>
      <c r="B1404" t="str">
        <f>"1551689184579069"</f>
        <v>1551689184579069</v>
      </c>
      <c r="C1404" t="s">
        <v>40</v>
      </c>
      <c r="D1404">
        <v>4.4353049999999996</v>
      </c>
      <c r="E1404">
        <v>0.53206779999999998</v>
      </c>
      <c r="F1404" t="s">
        <v>41</v>
      </c>
      <c r="G1404">
        <v>-241.58199999999999</v>
      </c>
      <c r="H1404">
        <v>0.8251271</v>
      </c>
      <c r="I1404">
        <v>283.22410000000002</v>
      </c>
      <c r="J1404">
        <v>-241.1678</v>
      </c>
      <c r="K1404">
        <v>1.1099619999999999</v>
      </c>
      <c r="L1404">
        <v>283.25170000000003</v>
      </c>
      <c r="M1404">
        <v>-0.99956920000000005</v>
      </c>
      <c r="N1404">
        <v>-5.529295E-3</v>
      </c>
      <c r="O1404">
        <v>2.8826999999999998E-2</v>
      </c>
      <c r="P1404">
        <v>-0.93101739999999999</v>
      </c>
      <c r="Q1404">
        <v>0.3642763</v>
      </c>
      <c r="R1404">
        <v>-2.2568189999999998E-2</v>
      </c>
      <c r="S1404">
        <v>-3.7427060000000001</v>
      </c>
      <c r="T1404">
        <v>-1.3339920000000001</v>
      </c>
      <c r="U1404">
        <v>-7.9132079999999994E-2</v>
      </c>
      <c r="V1404">
        <v>-4.9647570000000002E-2</v>
      </c>
      <c r="W1404">
        <v>0.36937930000000002</v>
      </c>
      <c r="X1404">
        <v>0.92795150000000004</v>
      </c>
      <c r="Y1404">
        <v>-4.5387610000000002E-2</v>
      </c>
      <c r="Z1404">
        <v>-1.778687E-2</v>
      </c>
      <c r="AA1404">
        <v>0.99881109999999995</v>
      </c>
      <c r="AB1404">
        <v>37</v>
      </c>
      <c r="AC1404">
        <v>-0.41419999999999302</v>
      </c>
      <c r="AD1404">
        <v>-0.2848349</v>
      </c>
      <c r="AE1404">
        <v>-2.7600000000006699E-2</v>
      </c>
      <c r="AF1404">
        <v>-2.6875638195930099E-2</v>
      </c>
      <c r="AG1404">
        <v>-0.2848349</v>
      </c>
      <c r="AH1404">
        <v>0.28095627443751298</v>
      </c>
      <c r="AI1404">
        <v>135.262304129131</v>
      </c>
      <c r="AJ1404">
        <v>95.464158015408699</v>
      </c>
      <c r="AK1404">
        <v>0.40098584555100603</v>
      </c>
      <c r="AL1404">
        <v>68.322657052514302</v>
      </c>
      <c r="AM1404">
        <v>93.062537921114298</v>
      </c>
      <c r="AN1404">
        <v>0.99999996741382202</v>
      </c>
    </row>
    <row r="1405" spans="1:40" x14ac:dyDescent="0.25">
      <c r="A1405" t="str">
        <f>"20190304164624610"</f>
        <v>20190304164624610</v>
      </c>
      <c r="B1405" t="str">
        <f>"1551689184599566"</f>
        <v>1551689184599566</v>
      </c>
      <c r="C1405" t="s">
        <v>40</v>
      </c>
      <c r="D1405">
        <v>4.4117459999999999</v>
      </c>
      <c r="E1405">
        <v>0.53243419999999997</v>
      </c>
      <c r="F1405" t="s">
        <v>41</v>
      </c>
      <c r="G1405">
        <v>-241.92189999999999</v>
      </c>
      <c r="H1405">
        <v>0.84215450000000003</v>
      </c>
      <c r="I1405">
        <v>283.23570000000001</v>
      </c>
      <c r="J1405">
        <v>-241.53540000000001</v>
      </c>
      <c r="K1405">
        <v>1.109961</v>
      </c>
      <c r="L1405">
        <v>283.26209999999998</v>
      </c>
      <c r="M1405">
        <v>-0.99957750000000001</v>
      </c>
      <c r="N1405">
        <v>-5.5571910000000004E-3</v>
      </c>
      <c r="O1405">
        <v>2.852882E-2</v>
      </c>
      <c r="P1405">
        <v>-0.93097079999999999</v>
      </c>
      <c r="Q1405">
        <v>0.36433130000000002</v>
      </c>
      <c r="R1405">
        <v>-2.358538E-2</v>
      </c>
      <c r="S1405">
        <v>-3.7399900000000001</v>
      </c>
      <c r="T1405">
        <v>-1.328163</v>
      </c>
      <c r="U1405">
        <v>-8.0291749999999995E-2</v>
      </c>
      <c r="V1405">
        <v>-5.0387420000000002E-2</v>
      </c>
      <c r="W1405">
        <v>0.3694596</v>
      </c>
      <c r="X1405">
        <v>0.92787969999999997</v>
      </c>
      <c r="Y1405">
        <v>-4.5460109999999998E-2</v>
      </c>
      <c r="Z1405">
        <v>-1.7637030000000001E-2</v>
      </c>
      <c r="AA1405">
        <v>0.99881050000000005</v>
      </c>
      <c r="AB1405">
        <v>37</v>
      </c>
      <c r="AC1405">
        <v>-0.38649999999998302</v>
      </c>
      <c r="AD1405">
        <v>-0.267806499999999</v>
      </c>
      <c r="AE1405">
        <v>-2.6399999999966801E-2</v>
      </c>
      <c r="AF1405">
        <v>-2.5317166811613199E-2</v>
      </c>
      <c r="AG1405">
        <v>-0.267806499999999</v>
      </c>
      <c r="AH1405">
        <v>0.26090663051386898</v>
      </c>
      <c r="AI1405">
        <v>135.613481917255</v>
      </c>
      <c r="AJ1405">
        <v>95.542364240206496</v>
      </c>
      <c r="AK1405">
        <v>0.374744646691207</v>
      </c>
      <c r="AL1405">
        <v>68.317707011886498</v>
      </c>
      <c r="AM1405">
        <v>93.108327189408698</v>
      </c>
      <c r="AN1405">
        <v>1.0000000128992499</v>
      </c>
    </row>
    <row r="1406" spans="1:40" x14ac:dyDescent="0.25">
      <c r="A1406" t="str">
        <f>"20190304164624631"</f>
        <v>20190304164624631</v>
      </c>
      <c r="B1406" t="str">
        <f>"1551689184619086"</f>
        <v>1551689184619086</v>
      </c>
      <c r="C1406" t="s">
        <v>40</v>
      </c>
      <c r="D1406">
        <v>4.4210979999999998</v>
      </c>
      <c r="E1406">
        <v>0.53276889999999999</v>
      </c>
      <c r="F1406" t="s">
        <v>41</v>
      </c>
      <c r="G1406">
        <v>-242.2604</v>
      </c>
      <c r="H1406">
        <v>0.85351030000000006</v>
      </c>
      <c r="I1406">
        <v>283.24639999999999</v>
      </c>
      <c r="J1406">
        <v>-241.89949999999999</v>
      </c>
      <c r="K1406">
        <v>1.1099600000000001</v>
      </c>
      <c r="L1406">
        <v>283.2722</v>
      </c>
      <c r="M1406">
        <v>-0.99958590000000003</v>
      </c>
      <c r="N1406">
        <v>-5.5839449999999999E-3</v>
      </c>
      <c r="O1406">
        <v>2.8231280000000001E-2</v>
      </c>
      <c r="P1406">
        <v>-0.93097929999999995</v>
      </c>
      <c r="Q1406">
        <v>0.36420710000000001</v>
      </c>
      <c r="R1406">
        <v>-2.5121500000000001E-2</v>
      </c>
      <c r="S1406">
        <v>-3.737762</v>
      </c>
      <c r="T1406">
        <v>-1.3220799999999999</v>
      </c>
      <c r="U1406">
        <v>-8.2183839999999994E-2</v>
      </c>
      <c r="V1406">
        <v>-5.1649250000000001E-2</v>
      </c>
      <c r="W1406">
        <v>0.36935849999999998</v>
      </c>
      <c r="X1406">
        <v>0.92785050000000002</v>
      </c>
      <c r="Y1406">
        <v>-4.5717609999999999E-2</v>
      </c>
      <c r="Z1406">
        <v>-1.751484E-2</v>
      </c>
      <c r="AA1406">
        <v>0.99880089999999999</v>
      </c>
      <c r="AB1406">
        <v>37</v>
      </c>
      <c r="AC1406">
        <v>-0.36090000000001499</v>
      </c>
      <c r="AD1406">
        <v>-0.2564497</v>
      </c>
      <c r="AE1406">
        <v>-2.5800000000003799E-2</v>
      </c>
      <c r="AF1406">
        <v>-2.3947984964429299E-2</v>
      </c>
      <c r="AG1406">
        <v>-0.2564497</v>
      </c>
      <c r="AH1406">
        <v>0.239641153191964</v>
      </c>
      <c r="AI1406">
        <v>136.79851884449499</v>
      </c>
      <c r="AJ1406">
        <v>95.7067746913457</v>
      </c>
      <c r="AK1406">
        <v>0.35180653336332601</v>
      </c>
      <c r="AL1406">
        <v>68.3239390635989</v>
      </c>
      <c r="AM1406">
        <v>93.186109312422005</v>
      </c>
      <c r="AN1406">
        <v>0.99999994844902995</v>
      </c>
    </row>
    <row r="1407" spans="1:40" x14ac:dyDescent="0.25">
      <c r="A1407" t="str">
        <f>"20190304164624653"</f>
        <v>20190304164624653</v>
      </c>
      <c r="B1407" t="str">
        <f>"1551689184649851"</f>
        <v>1551689184649851</v>
      </c>
      <c r="C1407" t="s">
        <v>40</v>
      </c>
      <c r="D1407">
        <v>4.402997</v>
      </c>
      <c r="E1407">
        <v>0.53320179999999995</v>
      </c>
      <c r="F1407" t="s">
        <v>41</v>
      </c>
      <c r="G1407">
        <v>-242.5992</v>
      </c>
      <c r="H1407">
        <v>0.86321619999999999</v>
      </c>
      <c r="I1407">
        <v>283.25700000000001</v>
      </c>
      <c r="J1407">
        <v>-242.2637</v>
      </c>
      <c r="K1407">
        <v>1.1099669999999999</v>
      </c>
      <c r="L1407">
        <v>283.28230000000002</v>
      </c>
      <c r="M1407">
        <v>-0.99959430000000005</v>
      </c>
      <c r="N1407">
        <v>-5.6102139999999997E-3</v>
      </c>
      <c r="O1407">
        <v>2.7928669999999999E-2</v>
      </c>
      <c r="P1407">
        <v>-0.93101599999999995</v>
      </c>
      <c r="Q1407">
        <v>0.36398019999999998</v>
      </c>
      <c r="R1407">
        <v>-2.6980549999999999E-2</v>
      </c>
      <c r="S1407">
        <v>-3.7355499999999999</v>
      </c>
      <c r="T1407">
        <v>-1.3172950000000001</v>
      </c>
      <c r="U1407">
        <v>-8.2153320000000002E-2</v>
      </c>
      <c r="V1407">
        <v>-5.3231550000000002E-2</v>
      </c>
      <c r="W1407">
        <v>0.36915419999999999</v>
      </c>
      <c r="X1407">
        <v>0.92784239999999996</v>
      </c>
      <c r="Y1407">
        <v>-4.5478829999999998E-2</v>
      </c>
      <c r="Z1407">
        <v>-1.7321119999999999E-2</v>
      </c>
      <c r="AA1407">
        <v>0.99881509999999996</v>
      </c>
      <c r="AB1407">
        <v>37</v>
      </c>
      <c r="AC1407">
        <v>-0.33549999999999602</v>
      </c>
      <c r="AD1407">
        <v>-0.24675079999999899</v>
      </c>
      <c r="AE1407">
        <v>-2.5300000000015602E-2</v>
      </c>
      <c r="AF1407">
        <v>-2.2538034180602101E-2</v>
      </c>
      <c r="AG1407">
        <v>-0.24675079999999899</v>
      </c>
      <c r="AH1407">
        <v>0.21761569590786201</v>
      </c>
      <c r="AI1407">
        <v>138.43844711176899</v>
      </c>
      <c r="AJ1407">
        <v>95.912931156793903</v>
      </c>
      <c r="AK1407">
        <v>0.32977342432468598</v>
      </c>
      <c r="AL1407">
        <v>68.336535256994495</v>
      </c>
      <c r="AM1407">
        <v>93.283535523139903</v>
      </c>
      <c r="AN1407">
        <v>0.9999999702654</v>
      </c>
    </row>
    <row r="1408" spans="1:40" x14ac:dyDescent="0.25">
      <c r="A1408" t="str">
        <f>"20190304164624679"</f>
        <v>20190304164624679</v>
      </c>
      <c r="B1408" t="str">
        <f>"1551689184669370"</f>
        <v>1551689184669370</v>
      </c>
      <c r="C1408" t="s">
        <v>40</v>
      </c>
      <c r="D1408">
        <v>4.2365380000000004</v>
      </c>
      <c r="E1408">
        <v>0.53373740000000003</v>
      </c>
      <c r="F1408" t="s">
        <v>41</v>
      </c>
      <c r="G1408">
        <v>-242.93889999999999</v>
      </c>
      <c r="H1408">
        <v>0.872779999999999</v>
      </c>
      <c r="I1408">
        <v>283.26780000000002</v>
      </c>
      <c r="J1408">
        <v>-242.68369999999999</v>
      </c>
      <c r="K1408">
        <v>1.109977</v>
      </c>
      <c r="L1408">
        <v>283.2937</v>
      </c>
      <c r="M1408">
        <v>-0.99960420000000005</v>
      </c>
      <c r="N1408">
        <v>-5.6396839999999998E-3</v>
      </c>
      <c r="O1408">
        <v>2.7563109999999998E-2</v>
      </c>
      <c r="P1408">
        <v>-0.93112499999999998</v>
      </c>
      <c r="Q1408">
        <v>0.36359829999999999</v>
      </c>
      <c r="R1408">
        <v>-2.833517E-2</v>
      </c>
      <c r="S1408">
        <v>-3.732529</v>
      </c>
      <c r="T1408">
        <v>-1.3111969999999999</v>
      </c>
      <c r="U1408">
        <v>-8.1939699999999893E-2</v>
      </c>
      <c r="V1408">
        <v>-5.4257819999999998E-2</v>
      </c>
      <c r="W1408">
        <v>0.36879790000000001</v>
      </c>
      <c r="X1408">
        <v>0.92792470000000005</v>
      </c>
      <c r="Y1408">
        <v>-4.514841E-2</v>
      </c>
      <c r="Z1408">
        <v>-1.707846E-2</v>
      </c>
      <c r="AA1408">
        <v>0.99883429999999995</v>
      </c>
      <c r="AB1408">
        <v>37</v>
      </c>
      <c r="AC1408">
        <v>-0.25520000000000198</v>
      </c>
      <c r="AD1408">
        <v>-0.23719699999999999</v>
      </c>
      <c r="AE1408">
        <v>-2.58999999999787E-2</v>
      </c>
      <c r="AF1408">
        <v>-1.77482259386341E-2</v>
      </c>
      <c r="AG1408">
        <v>-0.23719699999999999</v>
      </c>
      <c r="AH1408">
        <v>0.13713109946496599</v>
      </c>
      <c r="AI1408">
        <v>149.759795426707</v>
      </c>
      <c r="AJ1408">
        <v>97.374525916999403</v>
      </c>
      <c r="AK1408">
        <v>0.27455847241241599</v>
      </c>
      <c r="AL1408">
        <v>68.358500825183299</v>
      </c>
      <c r="AM1408">
        <v>93.346401285514304</v>
      </c>
      <c r="AN1408">
        <v>1.0000000254728201</v>
      </c>
    </row>
    <row r="1409" spans="1:40" x14ac:dyDescent="0.25">
      <c r="A1409" t="str">
        <f>"20190304164624698"</f>
        <v>20190304164624698</v>
      </c>
      <c r="B1409" t="str">
        <f>"1551689184689866"</f>
        <v>1551689184689866</v>
      </c>
      <c r="C1409" t="s">
        <v>40</v>
      </c>
      <c r="D1409">
        <v>4.272132</v>
      </c>
      <c r="E1409">
        <v>0.53377790000000003</v>
      </c>
      <c r="F1409" t="s">
        <v>41</v>
      </c>
      <c r="G1409">
        <v>-243.58160000000001</v>
      </c>
      <c r="H1409">
        <v>0.79619010000000001</v>
      </c>
      <c r="I1409">
        <v>283.27499999999998</v>
      </c>
      <c r="J1409">
        <v>-243.0284</v>
      </c>
      <c r="K1409">
        <v>1.1099909999999999</v>
      </c>
      <c r="L1409">
        <v>283.30290000000002</v>
      </c>
      <c r="M1409">
        <v>-0.99961279999999997</v>
      </c>
      <c r="N1409">
        <v>-5.663436E-3</v>
      </c>
      <c r="O1409">
        <v>2.7246369999999999E-2</v>
      </c>
      <c r="P1409">
        <v>-0.93137879999999995</v>
      </c>
      <c r="Q1409">
        <v>0.3628941</v>
      </c>
      <c r="R1409">
        <v>-2.900925E-2</v>
      </c>
      <c r="S1409">
        <v>-3.7283330000000001</v>
      </c>
      <c r="T1409">
        <v>-1.3029299999999999</v>
      </c>
      <c r="U1409">
        <v>-7.8216549999999996E-2</v>
      </c>
      <c r="V1409">
        <v>-5.4656440000000001E-2</v>
      </c>
      <c r="W1409">
        <v>0.36811519999999998</v>
      </c>
      <c r="X1409">
        <v>0.92817229999999995</v>
      </c>
      <c r="Y1409">
        <v>-4.3991259999999997E-2</v>
      </c>
      <c r="Z1409">
        <v>-1.6689260000000001E-2</v>
      </c>
      <c r="AA1409">
        <v>0.99889249999999996</v>
      </c>
      <c r="AB1409">
        <v>38</v>
      </c>
      <c r="AC1409">
        <v>-0.55320000000000302</v>
      </c>
      <c r="AD1409">
        <v>-0.31380089999999899</v>
      </c>
      <c r="AE1409">
        <v>-2.7900000000045101E-2</v>
      </c>
      <c r="AF1409">
        <v>-3.2523935401991798E-2</v>
      </c>
      <c r="AG1409">
        <v>-0.31380089999999899</v>
      </c>
      <c r="AH1409">
        <v>0.41805774941342899</v>
      </c>
      <c r="AI1409">
        <v>126.80952414216701</v>
      </c>
      <c r="AJ1409">
        <v>94.448519993050795</v>
      </c>
      <c r="AK1409">
        <v>0.52373761852616996</v>
      </c>
      <c r="AL1409">
        <v>68.400575721605705</v>
      </c>
      <c r="AM1409">
        <v>93.370032895847004</v>
      </c>
      <c r="AN1409">
        <v>0.99999997269590102</v>
      </c>
    </row>
    <row r="1410" spans="1:40" x14ac:dyDescent="0.25">
      <c r="A1410" t="str">
        <f>"20190304164624722"</f>
        <v>20190304164624722</v>
      </c>
      <c r="B1410" t="str">
        <f>"1551689184709386"</f>
        <v>1551689184709386</v>
      </c>
      <c r="C1410" t="s">
        <v>40</v>
      </c>
      <c r="D1410">
        <v>4.8910939999999998</v>
      </c>
      <c r="E1410">
        <v>0.53363689999999997</v>
      </c>
      <c r="F1410" t="s">
        <v>41</v>
      </c>
      <c r="G1410">
        <v>-243.92070000000001</v>
      </c>
      <c r="H1410">
        <v>0.79767639999999995</v>
      </c>
      <c r="I1410">
        <v>283.2842</v>
      </c>
      <c r="J1410">
        <v>-243.4162</v>
      </c>
      <c r="K1410">
        <v>1.1100099999999999</v>
      </c>
      <c r="L1410">
        <v>283.31319999999999</v>
      </c>
      <c r="M1410">
        <v>-0.99962289999999998</v>
      </c>
      <c r="N1410">
        <v>-5.6895849999999996E-3</v>
      </c>
      <c r="O1410">
        <v>2.6868840000000001E-2</v>
      </c>
      <c r="P1410">
        <v>-0.9315928</v>
      </c>
      <c r="Q1410">
        <v>0.36229220000000001</v>
      </c>
      <c r="R1410">
        <v>-2.9656450000000001E-2</v>
      </c>
      <c r="S1410">
        <v>-3.726807</v>
      </c>
      <c r="T1410">
        <v>-1.304362</v>
      </c>
      <c r="U1410">
        <v>-7.86438E-2</v>
      </c>
      <c r="V1410">
        <v>-5.4974049999999997E-2</v>
      </c>
      <c r="W1410">
        <v>0.36753570000000002</v>
      </c>
      <c r="X1410">
        <v>0.92838319999999996</v>
      </c>
      <c r="Y1410">
        <v>-4.3760399999999998E-2</v>
      </c>
      <c r="Z1410">
        <v>-1.6546870000000002E-2</v>
      </c>
      <c r="AA1410">
        <v>0.99890500000000004</v>
      </c>
      <c r="AB1410">
        <v>38</v>
      </c>
      <c r="AC1410">
        <v>-0.50450000000000705</v>
      </c>
      <c r="AD1410">
        <v>-0.31233359999999899</v>
      </c>
      <c r="AE1410">
        <v>-2.89999999999963E-2</v>
      </c>
      <c r="AF1410">
        <v>-3.0784776581057601E-2</v>
      </c>
      <c r="AG1410">
        <v>-0.31233359999999899</v>
      </c>
      <c r="AH1410">
        <v>0.36435060593790097</v>
      </c>
      <c r="AI1410">
        <v>130.503623715397</v>
      </c>
      <c r="AJ1410">
        <v>94.829574388674203</v>
      </c>
      <c r="AK1410">
        <v>0.48088599917799701</v>
      </c>
      <c r="AL1410">
        <v>68.436282460201298</v>
      </c>
      <c r="AM1410">
        <v>93.388802505315397</v>
      </c>
      <c r="AN1410">
        <v>1.0000000014950601</v>
      </c>
    </row>
    <row r="1411" spans="1:40" x14ac:dyDescent="0.25">
      <c r="A1411" t="str">
        <f>"20190304164624899"</f>
        <v>20190304164624899</v>
      </c>
      <c r="B1411" t="str">
        <f>"1551689184889947"</f>
        <v>1551689184889947</v>
      </c>
      <c r="C1411" t="s">
        <v>40</v>
      </c>
      <c r="D1411">
        <v>4.2789549999999998</v>
      </c>
      <c r="E1411">
        <v>0.53283019999999903</v>
      </c>
      <c r="F1411" t="s">
        <v>41</v>
      </c>
      <c r="G1411">
        <v>-247.0067</v>
      </c>
      <c r="H1411">
        <v>0.7919427</v>
      </c>
      <c r="I1411">
        <v>283.36329999999998</v>
      </c>
      <c r="J1411">
        <v>-246.47309999999999</v>
      </c>
      <c r="K1411">
        <v>1.1103499999999999</v>
      </c>
      <c r="L1411">
        <v>283.38630000000001</v>
      </c>
      <c r="M1411">
        <v>-0.99973460000000003</v>
      </c>
      <c r="N1411">
        <v>-5.8861149999999999E-3</v>
      </c>
      <c r="O1411">
        <v>2.2277379999999999E-2</v>
      </c>
      <c r="P1411">
        <v>-0.93152900000000005</v>
      </c>
      <c r="Q1411">
        <v>0.3620794</v>
      </c>
      <c r="R1411">
        <v>-3.3942140000000003E-2</v>
      </c>
      <c r="S1411">
        <v>-3.7263030000000001</v>
      </c>
      <c r="T1411">
        <v>-1.3092649999999999</v>
      </c>
      <c r="U1411">
        <v>-6.2469480000000001E-2</v>
      </c>
      <c r="V1411">
        <v>-5.5282560000000001E-2</v>
      </c>
      <c r="W1411">
        <v>0.3674616</v>
      </c>
      <c r="X1411">
        <v>0.92839419999999995</v>
      </c>
      <c r="Y1411">
        <v>-3.5572890000000003E-2</v>
      </c>
      <c r="Z1411">
        <v>-1.36466E-2</v>
      </c>
      <c r="AA1411">
        <v>0.99927390000000005</v>
      </c>
      <c r="AB1411">
        <v>39</v>
      </c>
      <c r="AC1411">
        <v>-0.53360000000000696</v>
      </c>
      <c r="AD1411">
        <v>-0.31840729999999901</v>
      </c>
      <c r="AE1411">
        <v>-2.3000000000024501E-2</v>
      </c>
      <c r="AF1411">
        <v>-2.5735191346160102E-2</v>
      </c>
      <c r="AG1411">
        <v>-0.31840729999999901</v>
      </c>
      <c r="AH1411">
        <v>0.39320620885582602</v>
      </c>
      <c r="AI1411">
        <v>128.93970049728199</v>
      </c>
      <c r="AJ1411">
        <v>93.744645356339404</v>
      </c>
      <c r="AK1411">
        <v>0.50661290099017897</v>
      </c>
      <c r="AL1411">
        <v>68.440847256182906</v>
      </c>
      <c r="AM1411">
        <v>93.407735220323303</v>
      </c>
      <c r="AN1411">
        <v>0.99999998975417603</v>
      </c>
    </row>
    <row r="1412" spans="1:40" x14ac:dyDescent="0.25">
      <c r="A1412" t="str">
        <f>"20190304164624944"</f>
        <v>20190304164624944</v>
      </c>
      <c r="B1412" t="str">
        <f>"1551689184939722"</f>
        <v>1551689184939722</v>
      </c>
      <c r="C1412" t="s">
        <v>40</v>
      </c>
      <c r="D1412">
        <v>4.4132049999999996</v>
      </c>
      <c r="E1412">
        <v>0.53470740000000005</v>
      </c>
      <c r="F1412" t="s">
        <v>41</v>
      </c>
      <c r="G1412">
        <v>-247.4435</v>
      </c>
      <c r="H1412">
        <v>1.000532</v>
      </c>
      <c r="I1412">
        <v>283.39229999999998</v>
      </c>
      <c r="J1412">
        <v>-247.249</v>
      </c>
      <c r="K1412">
        <v>1.1104160000000001</v>
      </c>
      <c r="L1412">
        <v>283.40199999999999</v>
      </c>
      <c r="M1412">
        <v>-0.99976860000000001</v>
      </c>
      <c r="N1412">
        <v>-5.9335400000000002E-3</v>
      </c>
      <c r="O1412">
        <v>2.0685640000000002E-2</v>
      </c>
      <c r="P1412">
        <v>-0.93125469999999999</v>
      </c>
      <c r="Q1412">
        <v>0.3625005</v>
      </c>
      <c r="R1412">
        <v>-3.6851830000000002E-2</v>
      </c>
      <c r="S1412">
        <v>-3.3695219999999999</v>
      </c>
      <c r="T1412">
        <v>-0.38145099999999998</v>
      </c>
      <c r="U1412">
        <v>2.0446780000000001E-2</v>
      </c>
      <c r="V1412">
        <v>-5.6764340000000003E-2</v>
      </c>
      <c r="W1412">
        <v>0.36791400000000002</v>
      </c>
      <c r="X1412">
        <v>0.9281256</v>
      </c>
      <c r="Y1412">
        <v>-1.440341E-2</v>
      </c>
      <c r="Z1412">
        <v>-3.0672799999999999E-3</v>
      </c>
      <c r="AA1412">
        <v>0.99989159999999999</v>
      </c>
      <c r="AB1412">
        <v>39</v>
      </c>
      <c r="AC1412">
        <v>-0.194499999999976</v>
      </c>
      <c r="AD1412">
        <v>-0.109884</v>
      </c>
      <c r="AE1412">
        <v>-9.7000000000093695E-3</v>
      </c>
      <c r="AF1412">
        <v>-1.0407706813233599E-2</v>
      </c>
      <c r="AG1412">
        <v>-0.109884</v>
      </c>
      <c r="AH1412">
        <v>0.147345359451236</v>
      </c>
      <c r="AI1412">
        <v>126.645731433527</v>
      </c>
      <c r="AJ1412">
        <v>94.040364114281104</v>
      </c>
      <c r="AK1412">
        <v>0.18410178915188199</v>
      </c>
      <c r="AL1412">
        <v>68.412974695669803</v>
      </c>
      <c r="AM1412">
        <v>93.499861402093899</v>
      </c>
      <c r="AN1412">
        <v>1.00000001553349</v>
      </c>
    </row>
    <row r="1413" spans="1:40" x14ac:dyDescent="0.25">
      <c r="A1413" t="str">
        <f>"20190304164624965"</f>
        <v>20190304164624965</v>
      </c>
      <c r="B1413" t="str">
        <f>"1551689184959243"</f>
        <v>1551689184959243</v>
      </c>
      <c r="C1413" t="s">
        <v>40</v>
      </c>
      <c r="D1413">
        <v>4.4204509999999999</v>
      </c>
      <c r="E1413">
        <v>0.53478389999999998</v>
      </c>
      <c r="F1413" t="s">
        <v>41</v>
      </c>
      <c r="G1413">
        <v>-248.1542</v>
      </c>
      <c r="H1413">
        <v>1.0271939999999999</v>
      </c>
      <c r="I1413">
        <v>283.41210000000001</v>
      </c>
      <c r="J1413">
        <v>-247.60589999999999</v>
      </c>
      <c r="K1413">
        <v>1.110441</v>
      </c>
      <c r="L1413">
        <v>283.40879999999999</v>
      </c>
      <c r="M1413">
        <v>-0.99978359999999999</v>
      </c>
      <c r="N1413">
        <v>-5.9550080000000003E-3</v>
      </c>
      <c r="O1413">
        <v>1.9934629999999998E-2</v>
      </c>
      <c r="P1413">
        <v>-0.93081749999999996</v>
      </c>
      <c r="Q1413">
        <v>0.36355409999999999</v>
      </c>
      <c r="R1413">
        <v>-3.7516220000000003E-2</v>
      </c>
      <c r="S1413">
        <v>-3.34259</v>
      </c>
      <c r="T1413">
        <v>-0.30743399999999999</v>
      </c>
      <c r="U1413">
        <v>3.6926269999999997E-2</v>
      </c>
      <c r="V1413">
        <v>-5.6742929999999997E-2</v>
      </c>
      <c r="W1413">
        <v>0.36898140000000001</v>
      </c>
      <c r="X1413">
        <v>0.9277031</v>
      </c>
      <c r="Y1413">
        <v>-8.7764190000000006E-3</v>
      </c>
      <c r="Z1413">
        <v>-2.1398749999999999E-3</v>
      </c>
      <c r="AA1413">
        <v>0.99995919999999905</v>
      </c>
      <c r="AB1413">
        <v>39</v>
      </c>
      <c r="AC1413">
        <v>-0.548300000000011</v>
      </c>
      <c r="AD1413">
        <v>-8.3247000000000002E-2</v>
      </c>
      <c r="AE1413">
        <v>3.30000000002428E-3</v>
      </c>
      <c r="AF1413">
        <v>-7.4590695722991599E-3</v>
      </c>
      <c r="AG1413">
        <v>-8.3247000000000002E-2</v>
      </c>
      <c r="AH1413">
        <v>0.53590384376940303</v>
      </c>
      <c r="AI1413">
        <v>98.828882199089804</v>
      </c>
      <c r="AJ1413">
        <v>90.797429642479997</v>
      </c>
      <c r="AK1413">
        <v>0.54238236558234898</v>
      </c>
      <c r="AL1413">
        <v>68.347189561163106</v>
      </c>
      <c r="AM1413">
        <v>93.500133994345603</v>
      </c>
      <c r="AN1413">
        <v>1.00000003770027</v>
      </c>
    </row>
    <row r="1414" spans="1:40" x14ac:dyDescent="0.25">
      <c r="A1414" t="str">
        <f>"20190304164624987"</f>
        <v>20190304164624987</v>
      </c>
      <c r="B1414" t="str">
        <f>"1551689184979738"</f>
        <v>1551689184979738</v>
      </c>
      <c r="C1414" t="s">
        <v>40</v>
      </c>
      <c r="D1414">
        <v>4.4641989999999998</v>
      </c>
      <c r="E1414">
        <v>0.53457650000000001</v>
      </c>
      <c r="F1414" t="s">
        <v>41</v>
      </c>
      <c r="G1414">
        <v>-248.50739999999999</v>
      </c>
      <c r="H1414">
        <v>1.032357</v>
      </c>
      <c r="I1414">
        <v>283.41789999999997</v>
      </c>
      <c r="J1414">
        <v>-248.00970000000001</v>
      </c>
      <c r="K1414">
        <v>1.1104750000000001</v>
      </c>
      <c r="L1414">
        <v>283.41629999999998</v>
      </c>
      <c r="M1414">
        <v>-0.99980009999999997</v>
      </c>
      <c r="N1414">
        <v>-5.9792279999999996E-3</v>
      </c>
      <c r="O1414">
        <v>1.907913E-2</v>
      </c>
      <c r="P1414">
        <v>-0.93074970000000001</v>
      </c>
      <c r="Q1414">
        <v>0.36369279999999998</v>
      </c>
      <c r="R1414">
        <v>-3.7855E-2</v>
      </c>
      <c r="S1414">
        <v>-3.33725</v>
      </c>
      <c r="T1414">
        <v>-0.28922940000000003</v>
      </c>
      <c r="U1414">
        <v>3.311157E-2</v>
      </c>
      <c r="V1414">
        <v>-5.6304269999999997E-2</v>
      </c>
      <c r="W1414">
        <v>0.36914010000000003</v>
      </c>
      <c r="X1414">
        <v>0.92766669999999996</v>
      </c>
      <c r="Y1414">
        <v>-9.0607269999999993E-3</v>
      </c>
      <c r="Z1414">
        <v>-1.9554289999999998E-3</v>
      </c>
      <c r="AA1414">
        <v>0.99995699999999998</v>
      </c>
      <c r="AB1414">
        <v>39</v>
      </c>
      <c r="AC1414">
        <v>-0.49769999999997999</v>
      </c>
      <c r="AD1414">
        <v>-7.8118000000000104E-2</v>
      </c>
      <c r="AE1414">
        <v>1.59999999999627E-3</v>
      </c>
      <c r="AF1414">
        <v>-7.7062950687675803E-3</v>
      </c>
      <c r="AG1414">
        <v>-7.8118000000000104E-2</v>
      </c>
      <c r="AH1414">
        <v>0.485675053432228</v>
      </c>
      <c r="AI1414">
        <v>99.1363000416235</v>
      </c>
      <c r="AJ1414">
        <v>90.909046348192206</v>
      </c>
      <c r="AK1414">
        <v>0.491977709285781</v>
      </c>
      <c r="AL1414">
        <v>68.337406229812103</v>
      </c>
      <c r="AM1414">
        <v>93.473278105706697</v>
      </c>
      <c r="AN1414">
        <v>1.00000004526856</v>
      </c>
    </row>
    <row r="1415" spans="1:40" x14ac:dyDescent="0.25">
      <c r="A1415" t="str">
        <f>"20190304164625010"</f>
        <v>20190304164625010</v>
      </c>
      <c r="B1415" t="str">
        <f>"1551689185000235"</f>
        <v>1551689185000235</v>
      </c>
      <c r="C1415" t="s">
        <v>40</v>
      </c>
      <c r="D1415">
        <v>4.4191180000000001</v>
      </c>
      <c r="E1415">
        <v>0.53422340000000001</v>
      </c>
      <c r="F1415" t="s">
        <v>41</v>
      </c>
      <c r="G1415">
        <v>-248.86439999999999</v>
      </c>
      <c r="H1415">
        <v>1.0387789999999999</v>
      </c>
      <c r="I1415">
        <v>283.423</v>
      </c>
      <c r="J1415">
        <v>-248.4256</v>
      </c>
      <c r="K1415">
        <v>1.1105</v>
      </c>
      <c r="L1415">
        <v>283.42360000000002</v>
      </c>
      <c r="M1415">
        <v>-0.9998165</v>
      </c>
      <c r="N1415">
        <v>-6.0040780000000004E-3</v>
      </c>
      <c r="O1415">
        <v>1.8195570000000001E-2</v>
      </c>
      <c r="P1415">
        <v>-0.93019280000000004</v>
      </c>
      <c r="Q1415">
        <v>0.36505949999999998</v>
      </c>
      <c r="R1415">
        <v>-3.83842E-2</v>
      </c>
      <c r="S1415">
        <v>-3.333618</v>
      </c>
      <c r="T1415">
        <v>-0.27976390000000001</v>
      </c>
      <c r="U1415">
        <v>2.624512E-2</v>
      </c>
      <c r="V1415">
        <v>-5.602153E-2</v>
      </c>
      <c r="W1415">
        <v>0.37052489999999999</v>
      </c>
      <c r="X1415">
        <v>0.9271315</v>
      </c>
      <c r="Y1415">
        <v>-1.0230349999999999E-2</v>
      </c>
      <c r="Z1415">
        <v>-1.8744269999999999E-3</v>
      </c>
      <c r="AA1415">
        <v>0.99994590000000005</v>
      </c>
      <c r="AB1415">
        <v>39</v>
      </c>
      <c r="AC1415">
        <v>-0.43879999999998598</v>
      </c>
      <c r="AD1415">
        <v>-7.1720999999999896E-2</v>
      </c>
      <c r="AE1415">
        <v>-6.0000000001991696E-4</v>
      </c>
      <c r="AF1415">
        <v>-8.3608969188940004E-3</v>
      </c>
      <c r="AG1415">
        <v>-7.1720999999999896E-2</v>
      </c>
      <c r="AH1415">
        <v>0.42730099845534603</v>
      </c>
      <c r="AI1415">
        <v>99.526295043633596</v>
      </c>
      <c r="AJ1415">
        <v>91.120949838288993</v>
      </c>
      <c r="AK1415">
        <v>0.43335891558755801</v>
      </c>
      <c r="AL1415">
        <v>68.252006356736402</v>
      </c>
      <c r="AM1415">
        <v>93.457869034153106</v>
      </c>
      <c r="AN1415">
        <v>0.99999996581789896</v>
      </c>
    </row>
    <row r="1416" spans="1:40" x14ac:dyDescent="0.25">
      <c r="A1416" t="str">
        <f>"20190304164625033"</f>
        <v>20190304164625033</v>
      </c>
      <c r="B1416" t="str">
        <f>"1551689185019755"</f>
        <v>1551689185019755</v>
      </c>
      <c r="C1416" t="s">
        <v>40</v>
      </c>
      <c r="D1416">
        <v>4.4680770000000001</v>
      </c>
      <c r="E1416">
        <v>0.53389919999999902</v>
      </c>
      <c r="F1416" t="s">
        <v>49</v>
      </c>
      <c r="G1416">
        <v>-262.20400000000001</v>
      </c>
      <c r="H1416" s="1">
        <v>-3.6393969999999999E-7</v>
      </c>
      <c r="I1416">
        <v>283.50459999999998</v>
      </c>
      <c r="J1416">
        <v>-248.81809999999999</v>
      </c>
      <c r="K1416">
        <v>1.1105179999999999</v>
      </c>
      <c r="L1416">
        <v>283.43009999999998</v>
      </c>
      <c r="M1416">
        <v>-0.99983120000000003</v>
      </c>
      <c r="N1416">
        <v>-6.0274459999999997E-3</v>
      </c>
      <c r="O1416">
        <v>1.736176E-2</v>
      </c>
      <c r="P1416">
        <v>-0.9297723</v>
      </c>
      <c r="Q1416">
        <v>0.36610419999999999</v>
      </c>
      <c r="R1416">
        <v>-3.8617430000000001E-2</v>
      </c>
      <c r="S1416">
        <v>-3.3313139999999999</v>
      </c>
      <c r="T1416">
        <v>-0.26849440000000002</v>
      </c>
      <c r="U1416">
        <v>1.9592289999999998E-2</v>
      </c>
      <c r="V1416">
        <v>-5.5488620000000002E-2</v>
      </c>
      <c r="W1416">
        <v>0.37158770000000002</v>
      </c>
      <c r="X1416">
        <v>0.92673810000000001</v>
      </c>
      <c r="Y1416">
        <v>-1.139361E-2</v>
      </c>
      <c r="Z1416">
        <v>-1.785261E-3</v>
      </c>
      <c r="AA1416">
        <v>0.99993350000000003</v>
      </c>
      <c r="AB1416">
        <v>39</v>
      </c>
      <c r="AC1416">
        <v>-13.385899999999999</v>
      </c>
      <c r="AD1416">
        <v>-1.1105183639397</v>
      </c>
      <c r="AE1416">
        <v>7.4500000000000399E-2</v>
      </c>
      <c r="AF1416">
        <v>-0.15683877785690301</v>
      </c>
      <c r="AG1416">
        <v>-1.1105183639397</v>
      </c>
      <c r="AH1416">
        <v>13.2936827202443</v>
      </c>
      <c r="AI1416">
        <v>94.774916569760805</v>
      </c>
      <c r="AJ1416">
        <v>90.675943854044306</v>
      </c>
      <c r="AK1416">
        <v>13.3409088785363</v>
      </c>
      <c r="AL1416">
        <v>68.186430765958093</v>
      </c>
      <c r="AM1416">
        <v>93.4265048858706</v>
      </c>
      <c r="AN1416">
        <v>0.99999995586620105</v>
      </c>
    </row>
    <row r="1417" spans="1:40" x14ac:dyDescent="0.25">
      <c r="A1417" t="str">
        <f>"20190304164625054"</f>
        <v>20190304164625054</v>
      </c>
      <c r="B1417" t="str">
        <f>"1551689185050011"</f>
        <v>1551689185050011</v>
      </c>
      <c r="C1417" t="s">
        <v>40</v>
      </c>
      <c r="D1417">
        <v>4.5566180000000003</v>
      </c>
      <c r="E1417">
        <v>0.53329029999999999</v>
      </c>
      <c r="F1417" t="s">
        <v>49</v>
      </c>
      <c r="G1417">
        <v>-263.05450000000002</v>
      </c>
      <c r="H1417" s="1">
        <v>8.86719499999999E-8</v>
      </c>
      <c r="I1417">
        <v>283.50049999999999</v>
      </c>
      <c r="J1417">
        <v>-249.18979999999999</v>
      </c>
      <c r="K1417">
        <v>1.11054599999999</v>
      </c>
      <c r="L1417">
        <v>283.43599999999998</v>
      </c>
      <c r="M1417">
        <v>-0.99984450000000002</v>
      </c>
      <c r="N1417">
        <v>-6.0493969999999998E-3</v>
      </c>
      <c r="O1417">
        <v>1.657339E-2</v>
      </c>
      <c r="P1417">
        <v>-0.92912030000000001</v>
      </c>
      <c r="Q1417">
        <v>0.36777959999999998</v>
      </c>
      <c r="R1417">
        <v>-3.8393869999999997E-2</v>
      </c>
      <c r="S1417">
        <v>-3.3295439999999998</v>
      </c>
      <c r="T1417">
        <v>-0.25972279999999998</v>
      </c>
      <c r="U1417">
        <v>1.644897E-2</v>
      </c>
      <c r="V1417">
        <v>-5.4537460000000003E-2</v>
      </c>
      <c r="W1417">
        <v>0.37328030000000001</v>
      </c>
      <c r="X1417">
        <v>0.92611410000000005</v>
      </c>
      <c r="Y1417">
        <v>-1.1553259999999999E-2</v>
      </c>
      <c r="Z1417">
        <v>-1.6755920000000001E-3</v>
      </c>
      <c r="AA1417">
        <v>0.99993189999999998</v>
      </c>
      <c r="AB1417">
        <v>39</v>
      </c>
      <c r="AC1417">
        <v>-13.864699999999999</v>
      </c>
      <c r="AD1417">
        <v>-1.11054591132804</v>
      </c>
      <c r="AE1417">
        <v>6.4500000000009494E-2</v>
      </c>
      <c r="AF1417">
        <v>-0.16424437085567201</v>
      </c>
      <c r="AG1417">
        <v>-1.11054591132804</v>
      </c>
      <c r="AH1417">
        <v>13.775485539613801</v>
      </c>
      <c r="AI1417">
        <v>94.608751438268499</v>
      </c>
      <c r="AJ1417">
        <v>90.683102119896105</v>
      </c>
      <c r="AK1417">
        <v>13.8211537248753</v>
      </c>
      <c r="AL1417">
        <v>68.081933499612006</v>
      </c>
      <c r="AM1417">
        <v>93.370169725951897</v>
      </c>
      <c r="AN1417">
        <v>0.999999921565072</v>
      </c>
    </row>
    <row r="1418" spans="1:40" x14ac:dyDescent="0.25">
      <c r="A1418" t="str">
        <f>"20190304164625078"</f>
        <v>20190304164625078</v>
      </c>
      <c r="B1418" t="str">
        <f>"1551689185069531"</f>
        <v>1551689185069531</v>
      </c>
      <c r="C1418" t="s">
        <v>40</v>
      </c>
      <c r="D1418">
        <v>4.5355470000000002</v>
      </c>
      <c r="E1418">
        <v>0.53302249999999995</v>
      </c>
      <c r="F1418" t="s">
        <v>49</v>
      </c>
      <c r="G1418">
        <v>-264.17680000000001</v>
      </c>
      <c r="H1418" s="1">
        <v>6.8590930000000003E-7</v>
      </c>
      <c r="I1418">
        <v>283.48779999999999</v>
      </c>
      <c r="J1418">
        <v>-249.61160000000001</v>
      </c>
      <c r="K1418">
        <v>1.110563</v>
      </c>
      <c r="L1418">
        <v>283.44229999999999</v>
      </c>
      <c r="M1418">
        <v>-0.99985849999999998</v>
      </c>
      <c r="N1418">
        <v>-6.0780640000000002E-3</v>
      </c>
      <c r="O1418">
        <v>1.5691460000000001E-2</v>
      </c>
      <c r="P1418">
        <v>-0.92819260000000003</v>
      </c>
      <c r="Q1418">
        <v>0.37019550000000001</v>
      </c>
      <c r="R1418">
        <v>-3.7604430000000001E-2</v>
      </c>
      <c r="S1418">
        <v>-3.3269199999999999</v>
      </c>
      <c r="T1418">
        <v>-0.24652650000000001</v>
      </c>
      <c r="U1418">
        <v>1.1505130000000001E-2</v>
      </c>
      <c r="V1418">
        <v>-5.2927990000000001E-2</v>
      </c>
      <c r="W1418">
        <v>0.37571969999999999</v>
      </c>
      <c r="X1418">
        <v>0.92522070000000001</v>
      </c>
      <c r="Y1418">
        <v>-1.216158E-2</v>
      </c>
      <c r="Z1418">
        <v>-1.552835E-3</v>
      </c>
      <c r="AA1418">
        <v>0.99992479999999995</v>
      </c>
      <c r="AB1418">
        <v>40</v>
      </c>
      <c r="AC1418">
        <v>-14.565200000000001</v>
      </c>
      <c r="AD1418">
        <v>-1.1105623140906999</v>
      </c>
      <c r="AE1418">
        <v>4.5500000000004003E-2</v>
      </c>
      <c r="AF1418">
        <v>-0.18200096639568</v>
      </c>
      <c r="AG1418">
        <v>-1.1105623140906999</v>
      </c>
      <c r="AH1418">
        <v>14.4799393941224</v>
      </c>
      <c r="AI1418">
        <v>94.385461003140904</v>
      </c>
      <c r="AJ1418">
        <v>90.720123051799803</v>
      </c>
      <c r="AK1418">
        <v>14.5236055393523</v>
      </c>
      <c r="AL1418">
        <v>67.931198430287793</v>
      </c>
      <c r="AM1418">
        <v>93.274082513058303</v>
      </c>
      <c r="AN1418">
        <v>1.00000000440101</v>
      </c>
    </row>
    <row r="1419" spans="1:40" x14ac:dyDescent="0.25">
      <c r="A1419" t="str">
        <f>"20190304164625102"</f>
        <v>20190304164625102</v>
      </c>
      <c r="B1419" t="str">
        <f>"1551689185090026"</f>
        <v>1551689185090026</v>
      </c>
      <c r="C1419" t="s">
        <v>40</v>
      </c>
      <c r="D1419">
        <v>4.5260740000000004</v>
      </c>
      <c r="E1419">
        <v>0.53268130000000002</v>
      </c>
      <c r="F1419" t="s">
        <v>41</v>
      </c>
      <c r="G1419">
        <v>-250.63499999999999</v>
      </c>
      <c r="H1419">
        <v>1.0374989999999999</v>
      </c>
      <c r="I1419">
        <v>283.44580000000002</v>
      </c>
      <c r="J1419">
        <v>-250.036</v>
      </c>
      <c r="K1419">
        <v>1.1105689999999999</v>
      </c>
      <c r="L1419">
        <v>283.44830000000002</v>
      </c>
      <c r="M1419">
        <v>-0.99987139999999997</v>
      </c>
      <c r="N1419">
        <v>-6.1103279999999999E-3</v>
      </c>
      <c r="O1419">
        <v>1.482875E-2</v>
      </c>
      <c r="P1419">
        <v>-0.92753770000000002</v>
      </c>
      <c r="Q1419">
        <v>0.37189230000000001</v>
      </c>
      <c r="R1419">
        <v>-3.701405E-2</v>
      </c>
      <c r="S1419">
        <v>-3.3273009999999998</v>
      </c>
      <c r="T1419">
        <v>-0.23775209999999999</v>
      </c>
      <c r="U1419">
        <v>1.0345460000000001E-2</v>
      </c>
      <c r="V1419">
        <v>-5.1530060000000003E-2</v>
      </c>
      <c r="W1419">
        <v>0.37744549999999999</v>
      </c>
      <c r="X1419">
        <v>0.924597</v>
      </c>
      <c r="Y1419">
        <v>-1.165617E-2</v>
      </c>
      <c r="Z1419">
        <v>-1.4192689999999999E-3</v>
      </c>
      <c r="AA1419">
        <v>0.99993100000000001</v>
      </c>
      <c r="AB1419">
        <v>40</v>
      </c>
      <c r="AC1419">
        <v>-0.59900000000001796</v>
      </c>
      <c r="AD1419">
        <v>-7.3070000000000093E-2</v>
      </c>
      <c r="AE1419">
        <v>-2.4999999999977202E-3</v>
      </c>
      <c r="AF1419">
        <v>-1.1215421110197301E-2</v>
      </c>
      <c r="AG1419">
        <v>-7.3070000000000093E-2</v>
      </c>
      <c r="AH1419">
        <v>0.59011585526918198</v>
      </c>
      <c r="AI1419">
        <v>97.057353582372002</v>
      </c>
      <c r="AJ1419">
        <v>91.088801353039798</v>
      </c>
      <c r="AK1419">
        <v>0.59472828519480803</v>
      </c>
      <c r="AL1419">
        <v>67.8244602184445</v>
      </c>
      <c r="AM1419">
        <v>93.189934382917798</v>
      </c>
      <c r="AN1419">
        <v>1.00000003248142</v>
      </c>
    </row>
    <row r="1420" spans="1:40" x14ac:dyDescent="0.25">
      <c r="A1420" t="str">
        <f>"20190304164625127"</f>
        <v>20190304164625127</v>
      </c>
      <c r="B1420" t="str">
        <f>"1551689185119307"</f>
        <v>1551689185119307</v>
      </c>
      <c r="C1420" t="s">
        <v>40</v>
      </c>
      <c r="D1420">
        <v>4.583367</v>
      </c>
      <c r="E1420">
        <v>0.53230580000000005</v>
      </c>
      <c r="F1420" t="s">
        <v>49</v>
      </c>
      <c r="G1420">
        <v>-266.04059999999998</v>
      </c>
      <c r="H1420" s="1">
        <v>1.677751E-6</v>
      </c>
      <c r="I1420">
        <v>283.49209999999999</v>
      </c>
      <c r="J1420">
        <v>-250.47819999999999</v>
      </c>
      <c r="K1420">
        <v>1.1105609999999999</v>
      </c>
      <c r="L1420">
        <v>283.45429999999999</v>
      </c>
      <c r="M1420">
        <v>-0.99988379999999999</v>
      </c>
      <c r="N1420">
        <v>-6.1469389999999997E-3</v>
      </c>
      <c r="O1420">
        <v>1.39626E-2</v>
      </c>
      <c r="P1420">
        <v>-0.92749499999999996</v>
      </c>
      <c r="Q1420">
        <v>0.37200280000000002</v>
      </c>
      <c r="R1420">
        <v>-3.6973449999999998E-2</v>
      </c>
      <c r="S1420">
        <v>-3.327286</v>
      </c>
      <c r="T1420">
        <v>-0.2308817</v>
      </c>
      <c r="U1420">
        <v>9.0942379999999993E-3</v>
      </c>
      <c r="V1420">
        <v>-5.0676289999999999E-2</v>
      </c>
      <c r="W1420">
        <v>0.3775926</v>
      </c>
      <c r="X1420">
        <v>0.92458410000000002</v>
      </c>
      <c r="Y1420">
        <v>-1.1172720000000001E-2</v>
      </c>
      <c r="Z1420">
        <v>-1.3034979999999999E-3</v>
      </c>
      <c r="AA1420">
        <v>0.99993679999999996</v>
      </c>
      <c r="AB1420">
        <v>40</v>
      </c>
      <c r="AC1420">
        <v>-15.562399999999901</v>
      </c>
      <c r="AD1420">
        <v>-1.110559322249</v>
      </c>
      <c r="AE1420">
        <v>3.7800000000004198E-2</v>
      </c>
      <c r="AF1420">
        <v>-0.17858985607563099</v>
      </c>
      <c r="AG1420">
        <v>-1.110559322249</v>
      </c>
      <c r="AH1420">
        <v>15.482566304107699</v>
      </c>
      <c r="AI1420">
        <v>94.102508348968797</v>
      </c>
      <c r="AJ1420">
        <v>90.660871785072402</v>
      </c>
      <c r="AK1420">
        <v>15.5233725622371</v>
      </c>
      <c r="AL1420">
        <v>67.815357925913304</v>
      </c>
      <c r="AM1420">
        <v>93.137232455236202</v>
      </c>
      <c r="AN1420">
        <v>1.0000000079578599</v>
      </c>
    </row>
    <row r="1421" spans="1:40" x14ac:dyDescent="0.25">
      <c r="A1421" t="str">
        <f>"20190304164625148"</f>
        <v>20190304164625148</v>
      </c>
      <c r="B1421" t="str">
        <f>"1551689185139803"</f>
        <v>1551689185139803</v>
      </c>
      <c r="C1421" t="s">
        <v>40</v>
      </c>
      <c r="D1421">
        <v>4.6099129999999997</v>
      </c>
      <c r="E1421">
        <v>0.53209459999999997</v>
      </c>
      <c r="F1421" t="s">
        <v>49</v>
      </c>
      <c r="G1421">
        <v>-266.38709999999998</v>
      </c>
      <c r="H1421" s="1">
        <v>1.862127E-6</v>
      </c>
      <c r="I1421">
        <v>283.4778</v>
      </c>
      <c r="J1421">
        <v>-250.8732</v>
      </c>
      <c r="K1421">
        <v>1.1105339999999999</v>
      </c>
      <c r="L1421">
        <v>283.45920000000001</v>
      </c>
      <c r="M1421">
        <v>-0.99989329999999998</v>
      </c>
      <c r="N1421">
        <v>-6.1851240000000002E-3</v>
      </c>
      <c r="O1421">
        <v>1.323687E-2</v>
      </c>
      <c r="P1421">
        <v>-0.92811189999999999</v>
      </c>
      <c r="Q1421">
        <v>0.37040840000000003</v>
      </c>
      <c r="R1421">
        <v>-3.7498070000000001E-2</v>
      </c>
      <c r="S1421">
        <v>-3.327896</v>
      </c>
      <c r="T1421">
        <v>-0.23231199999999999</v>
      </c>
      <c r="U1421">
        <v>4.9133299999999996E-3</v>
      </c>
      <c r="V1421">
        <v>-5.0511430000000003E-2</v>
      </c>
      <c r="W1421">
        <v>0.37604080000000001</v>
      </c>
      <c r="X1421">
        <v>0.92522530000000003</v>
      </c>
      <c r="Y1421">
        <v>-1.1703069999999999E-2</v>
      </c>
      <c r="Z1421">
        <v>-1.2853280000000001E-3</v>
      </c>
      <c r="AA1421">
        <v>0.99993069999999895</v>
      </c>
      <c r="AB1421">
        <v>40</v>
      </c>
      <c r="AC1421">
        <v>-15.5138999999999</v>
      </c>
      <c r="AD1421">
        <v>-1.110532137873</v>
      </c>
      <c r="AE1421">
        <v>1.8599999999992099E-2</v>
      </c>
      <c r="AF1421">
        <v>-0.185808918834026</v>
      </c>
      <c r="AG1421">
        <v>-1.110532137873</v>
      </c>
      <c r="AH1421">
        <v>15.4337027546778</v>
      </c>
      <c r="AI1421">
        <v>94.115327684702805</v>
      </c>
      <c r="AJ1421">
        <v>90.689760111789298</v>
      </c>
      <c r="AK1421">
        <v>15.4747209119686</v>
      </c>
      <c r="AL1421">
        <v>67.911344099956395</v>
      </c>
      <c r="AM1421">
        <v>93.124883894342503</v>
      </c>
      <c r="AN1421">
        <v>0.99999997179268696</v>
      </c>
    </row>
    <row r="1422" spans="1:40" x14ac:dyDescent="0.25">
      <c r="A1422" t="str">
        <f>"20190304164625167"</f>
        <v>20190304164625167</v>
      </c>
      <c r="B1422" t="str">
        <f>"1551689185159323"</f>
        <v>1551689185159323</v>
      </c>
      <c r="C1422" t="s">
        <v>40</v>
      </c>
      <c r="D1422">
        <v>4.6106660000000002</v>
      </c>
      <c r="E1422">
        <v>0.53188740000000001</v>
      </c>
      <c r="F1422" t="s">
        <v>49</v>
      </c>
      <c r="G1422">
        <v>-266.33580000000001</v>
      </c>
      <c r="H1422" s="1">
        <v>1.8348270000000001E-6</v>
      </c>
      <c r="I1422">
        <v>283.46870000000001</v>
      </c>
      <c r="J1422">
        <v>-251.20410000000001</v>
      </c>
      <c r="K1422">
        <v>1.1105039999999999</v>
      </c>
      <c r="L1422">
        <v>283.46319999999997</v>
      </c>
      <c r="M1422">
        <v>-0.99990020000000002</v>
      </c>
      <c r="N1422">
        <v>-6.2285020000000003E-3</v>
      </c>
      <c r="O1422">
        <v>1.26833E-2</v>
      </c>
      <c r="P1422">
        <v>-0.92843889999999996</v>
      </c>
      <c r="Q1422">
        <v>0.36949870000000001</v>
      </c>
      <c r="R1422">
        <v>-3.8371130000000003E-2</v>
      </c>
      <c r="S1422">
        <v>-3.3278349999999999</v>
      </c>
      <c r="T1422">
        <v>-0.23900679999999999</v>
      </c>
      <c r="U1422">
        <v>2.0446779999999999E-3</v>
      </c>
      <c r="V1422">
        <v>-5.0842989999999998E-2</v>
      </c>
      <c r="W1422">
        <v>0.37517650000000002</v>
      </c>
      <c r="X1422">
        <v>0.92555799999999999</v>
      </c>
      <c r="Y1422">
        <v>-1.2008309999999999E-2</v>
      </c>
      <c r="Z1422">
        <v>-1.298939E-3</v>
      </c>
      <c r="AA1422">
        <v>0.99992700000000001</v>
      </c>
      <c r="AB1422">
        <v>40</v>
      </c>
      <c r="AC1422">
        <v>-15.131699999999899</v>
      </c>
      <c r="AD1422">
        <v>-1.110502165173</v>
      </c>
      <c r="AE1422">
        <v>5.5000000000404699E-3</v>
      </c>
      <c r="AF1422">
        <v>-0.18542535509167399</v>
      </c>
      <c r="AG1422">
        <v>-1.110502165173</v>
      </c>
      <c r="AH1422">
        <v>15.049496552099599</v>
      </c>
      <c r="AI1422">
        <v>94.219887196310097</v>
      </c>
      <c r="AJ1422">
        <v>90.705907514367894</v>
      </c>
      <c r="AK1422">
        <v>15.0915520770006</v>
      </c>
      <c r="AL1422">
        <v>67.964778282554903</v>
      </c>
      <c r="AM1422">
        <v>93.144226407656703</v>
      </c>
      <c r="AN1422">
        <v>1.00000001357419</v>
      </c>
    </row>
    <row r="1423" spans="1:40" x14ac:dyDescent="0.25">
      <c r="A1423" t="str">
        <f>"20190304164625188"</f>
        <v>20190304164625188</v>
      </c>
      <c r="B1423" t="str">
        <f>"1551689185179819"</f>
        <v>1551689185179819</v>
      </c>
      <c r="C1423" t="s">
        <v>40</v>
      </c>
      <c r="D1423">
        <v>4.5570029999999999</v>
      </c>
      <c r="E1423">
        <v>0.53167410000000004</v>
      </c>
      <c r="F1423" t="s">
        <v>49</v>
      </c>
      <c r="G1423">
        <v>-266.38780000000003</v>
      </c>
      <c r="H1423" s="1">
        <v>1.8624810000000001E-6</v>
      </c>
      <c r="I1423">
        <v>283.45569999999998</v>
      </c>
      <c r="J1423">
        <v>-251.5959</v>
      </c>
      <c r="K1423">
        <v>1.110455</v>
      </c>
      <c r="L1423">
        <v>283.46769999999998</v>
      </c>
      <c r="M1423">
        <v>-0.99990699999999999</v>
      </c>
      <c r="N1423">
        <v>-6.304395E-3</v>
      </c>
      <c r="O1423">
        <v>1.210556E-2</v>
      </c>
      <c r="P1423">
        <v>-0.9288014</v>
      </c>
      <c r="Q1423">
        <v>0.3685524</v>
      </c>
      <c r="R1423">
        <v>-3.8699949999999997E-2</v>
      </c>
      <c r="S1423">
        <v>-3.3280180000000001</v>
      </c>
      <c r="T1423">
        <v>-0.24340400000000001</v>
      </c>
      <c r="U1423">
        <v>-1.6479489999999999E-3</v>
      </c>
      <c r="V1423">
        <v>-5.0587140000000003E-2</v>
      </c>
      <c r="W1423">
        <v>0.37431039999999999</v>
      </c>
      <c r="X1423">
        <v>0.92592260000000004</v>
      </c>
      <c r="Y1423">
        <v>-1.253756E-2</v>
      </c>
      <c r="Z1423">
        <v>-1.305402E-3</v>
      </c>
      <c r="AA1423">
        <v>0.99992049999999999</v>
      </c>
      <c r="AB1423">
        <v>40</v>
      </c>
      <c r="AC1423">
        <v>-14.7919</v>
      </c>
      <c r="AD1423">
        <v>-1.1104531375190001</v>
      </c>
      <c r="AE1423">
        <v>-1.2000000000000399E-2</v>
      </c>
      <c r="AF1423">
        <v>-0.189996113555326</v>
      </c>
      <c r="AG1423">
        <v>-1.1104531375190001</v>
      </c>
      <c r="AH1423">
        <v>14.7077813296097</v>
      </c>
      <c r="AI1423">
        <v>94.317341666371604</v>
      </c>
      <c r="AJ1423">
        <v>90.740109586181902</v>
      </c>
      <c r="AK1423">
        <v>14.7508656130211</v>
      </c>
      <c r="AL1423">
        <v>68.018302183831494</v>
      </c>
      <c r="AM1423">
        <v>93.127206232261202</v>
      </c>
      <c r="AN1423">
        <v>0.999999997736149</v>
      </c>
    </row>
    <row r="1424" spans="1:40" x14ac:dyDescent="0.25">
      <c r="A1424" t="str">
        <f>"20190304164625213"</f>
        <v>20190304164625213</v>
      </c>
      <c r="B1424" t="str">
        <f>"1551689185199339"</f>
        <v>1551689185199339</v>
      </c>
      <c r="C1424" t="s">
        <v>40</v>
      </c>
      <c r="D1424">
        <v>4.6144910000000001</v>
      </c>
      <c r="E1424">
        <v>0.53150810000000004</v>
      </c>
      <c r="F1424" t="s">
        <v>49</v>
      </c>
      <c r="G1424">
        <v>-266.54309999999998</v>
      </c>
      <c r="H1424" s="1">
        <v>1.945113E-6</v>
      </c>
      <c r="I1424">
        <v>283.44170000000003</v>
      </c>
      <c r="J1424">
        <v>-252.03489999999999</v>
      </c>
      <c r="K1424">
        <v>1.110401</v>
      </c>
      <c r="L1424">
        <v>283.47269999999997</v>
      </c>
      <c r="M1424">
        <v>-0.99991229999999998</v>
      </c>
      <c r="N1424">
        <v>-6.4301030000000004E-3</v>
      </c>
      <c r="O1424">
        <v>1.15712E-2</v>
      </c>
      <c r="P1424">
        <v>-0.92893990000000004</v>
      </c>
      <c r="Q1424">
        <v>0.36824390000000001</v>
      </c>
      <c r="R1424">
        <v>-3.830136E-2</v>
      </c>
      <c r="S1424">
        <v>-3.3278500000000002</v>
      </c>
      <c r="T1424">
        <v>-0.2472318</v>
      </c>
      <c r="U1424">
        <v>-5.7983399999999999E-3</v>
      </c>
      <c r="V1424">
        <v>-4.9619209999999997E-2</v>
      </c>
      <c r="W1424">
        <v>0.37413089999999999</v>
      </c>
      <c r="X1424">
        <v>0.92604750000000002</v>
      </c>
      <c r="Y1424">
        <v>-1.324739E-2</v>
      </c>
      <c r="Z1424">
        <v>-1.3182000000000001E-3</v>
      </c>
      <c r="AA1424">
        <v>0.99991140000000001</v>
      </c>
      <c r="AB1424">
        <v>40</v>
      </c>
      <c r="AC1424">
        <v>-14.508199999999899</v>
      </c>
      <c r="AD1424">
        <v>-1.110399054887</v>
      </c>
      <c r="AE1424">
        <v>-3.0999999999948999E-2</v>
      </c>
      <c r="AF1424">
        <v>-0.19772049920250501</v>
      </c>
      <c r="AG1424">
        <v>-1.110399054887</v>
      </c>
      <c r="AH1424">
        <v>14.4223875349932</v>
      </c>
      <c r="AI1424">
        <v>94.402181921777199</v>
      </c>
      <c r="AJ1424">
        <v>90.785434482886799</v>
      </c>
      <c r="AK1424">
        <v>14.4664211768643</v>
      </c>
      <c r="AL1424">
        <v>68.029392299422597</v>
      </c>
      <c r="AM1424">
        <v>93.067072984412405</v>
      </c>
      <c r="AN1424">
        <v>0.99999998429604098</v>
      </c>
    </row>
    <row r="1425" spans="1:40" x14ac:dyDescent="0.25">
      <c r="A1425" t="str">
        <f>"20190304164625232"</f>
        <v>20190304164625232</v>
      </c>
      <c r="B1425" t="str">
        <f>"1551689185219835"</f>
        <v>1551689185219835</v>
      </c>
      <c r="C1425" t="s">
        <v>40</v>
      </c>
      <c r="D1425">
        <v>4.5785720000000003</v>
      </c>
      <c r="E1425">
        <v>0.5313329</v>
      </c>
      <c r="F1425" t="s">
        <v>49</v>
      </c>
      <c r="G1425">
        <v>-266.85320000000002</v>
      </c>
      <c r="H1425" s="1">
        <v>2.11015E-6</v>
      </c>
      <c r="I1425">
        <v>283.44260000000003</v>
      </c>
      <c r="J1425">
        <v>-252.38220000000001</v>
      </c>
      <c r="K1425">
        <v>1.110355</v>
      </c>
      <c r="L1425">
        <v>283.47649999999999</v>
      </c>
      <c r="M1425">
        <v>-0.99991509999999995</v>
      </c>
      <c r="N1425">
        <v>-6.5668209999999996E-3</v>
      </c>
      <c r="O1425">
        <v>1.125228E-2</v>
      </c>
      <c r="P1425">
        <v>-0.92896719999999999</v>
      </c>
      <c r="Q1425">
        <v>0.36828850000000002</v>
      </c>
      <c r="R1425">
        <v>-3.7188930000000002E-2</v>
      </c>
      <c r="S1425">
        <v>-3.3280639999999999</v>
      </c>
      <c r="T1425">
        <v>-0.24938650000000001</v>
      </c>
      <c r="U1425">
        <v>-6.7443850000000003E-3</v>
      </c>
      <c r="V1425">
        <v>-4.8141339999999998E-2</v>
      </c>
      <c r="W1425">
        <v>0.37431399999999998</v>
      </c>
      <c r="X1425">
        <v>0.92605159999999997</v>
      </c>
      <c r="Y1425">
        <v>-1.321233E-2</v>
      </c>
      <c r="Z1425">
        <v>-1.305975E-3</v>
      </c>
      <c r="AA1425">
        <v>0.99991180000000002</v>
      </c>
      <c r="AB1425">
        <v>40</v>
      </c>
      <c r="AC1425">
        <v>-14.471</v>
      </c>
      <c r="AD1425">
        <v>-1.1103528898499999</v>
      </c>
      <c r="AE1425">
        <v>-3.3899999999959997E-2</v>
      </c>
      <c r="AF1425">
        <v>-0.195581648331559</v>
      </c>
      <c r="AG1425">
        <v>-1.1103528898499999</v>
      </c>
      <c r="AH1425">
        <v>14.385012222865599</v>
      </c>
      <c r="AI1425">
        <v>94.413398603519497</v>
      </c>
      <c r="AJ1425">
        <v>90.7789574593438</v>
      </c>
      <c r="AK1425">
        <v>14.4291272214627</v>
      </c>
      <c r="AL1425">
        <v>68.018081247322897</v>
      </c>
      <c r="AM1425">
        <v>92.9758761360672</v>
      </c>
      <c r="AN1425">
        <v>1.0000000625377701</v>
      </c>
    </row>
    <row r="1426" spans="1:40" x14ac:dyDescent="0.25">
      <c r="A1426" t="str">
        <f>"20190304164625254"</f>
        <v>20190304164625254</v>
      </c>
      <c r="B1426" t="str">
        <f>"1551689185249115"</f>
        <v>1551689185249115</v>
      </c>
      <c r="C1426" t="s">
        <v>40</v>
      </c>
      <c r="D1426">
        <v>4.5738240000000001</v>
      </c>
      <c r="E1426">
        <v>0.53108159999999904</v>
      </c>
      <c r="F1426" t="s">
        <v>49</v>
      </c>
      <c r="G1426">
        <v>-267.13040000000001</v>
      </c>
      <c r="H1426" s="1">
        <v>2.2576530000000002E-6</v>
      </c>
      <c r="I1426">
        <v>283.45499999999998</v>
      </c>
      <c r="J1426">
        <v>-252.78909999999999</v>
      </c>
      <c r="K1426">
        <v>1.110284</v>
      </c>
      <c r="L1426">
        <v>283.48079999999999</v>
      </c>
      <c r="M1426">
        <v>-0.99991699999999994</v>
      </c>
      <c r="N1426">
        <v>-6.7653729999999999E-3</v>
      </c>
      <c r="O1426">
        <v>1.0977799999999999E-2</v>
      </c>
      <c r="P1426">
        <v>-0.9292783</v>
      </c>
      <c r="Q1426">
        <v>0.36759629999999999</v>
      </c>
      <c r="R1426">
        <v>-3.6265619999999998E-2</v>
      </c>
      <c r="S1426">
        <v>-3.3285520000000002</v>
      </c>
      <c r="T1426">
        <v>-0.25059769999999998</v>
      </c>
      <c r="U1426">
        <v>-4.8522950000000004E-3</v>
      </c>
      <c r="V1426">
        <v>-4.6879629999999999E-2</v>
      </c>
      <c r="W1426">
        <v>0.37381999999999999</v>
      </c>
      <c r="X1426">
        <v>0.92631580000000002</v>
      </c>
      <c r="Y1426">
        <v>-1.237182E-2</v>
      </c>
      <c r="Z1426">
        <v>-1.258112E-3</v>
      </c>
      <c r="AA1426">
        <v>0.99992270000000005</v>
      </c>
      <c r="AB1426">
        <v>40</v>
      </c>
      <c r="AC1426">
        <v>-14.3413</v>
      </c>
      <c r="AD1426">
        <v>-1.1102817423469999</v>
      </c>
      <c r="AE1426">
        <v>-2.5800000000003799E-2</v>
      </c>
      <c r="AF1426">
        <v>-0.182146236541081</v>
      </c>
      <c r="AG1426">
        <v>-1.1102817423469999</v>
      </c>
      <c r="AH1426">
        <v>14.254715450285699</v>
      </c>
      <c r="AI1426">
        <v>94.4533418167603</v>
      </c>
      <c r="AJ1426">
        <v>90.732083548391202</v>
      </c>
      <c r="AK1426">
        <v>14.299049456781701</v>
      </c>
      <c r="AL1426">
        <v>68.0486002198287</v>
      </c>
      <c r="AM1426">
        <v>92.8971926143399</v>
      </c>
      <c r="AN1426">
        <v>1.0000000267192799</v>
      </c>
    </row>
    <row r="1427" spans="1:40" x14ac:dyDescent="0.25">
      <c r="A1427" t="str">
        <f>"20190304164625278"</f>
        <v>20190304164625278</v>
      </c>
      <c r="B1427" t="str">
        <f>"1551689185269611"</f>
        <v>1551689185269611</v>
      </c>
      <c r="C1427" t="s">
        <v>40</v>
      </c>
      <c r="D1427">
        <v>4.555472</v>
      </c>
      <c r="E1427">
        <v>0.53097689999999997</v>
      </c>
      <c r="F1427" t="s">
        <v>41</v>
      </c>
      <c r="G1427">
        <v>-253.86859999999999</v>
      </c>
      <c r="H1427">
        <v>1.027647</v>
      </c>
      <c r="I1427">
        <v>283.47969999999998</v>
      </c>
      <c r="J1427">
        <v>-253.2175</v>
      </c>
      <c r="K1427">
        <v>1.1102289999999999</v>
      </c>
      <c r="L1427">
        <v>283.48540000000003</v>
      </c>
      <c r="M1427">
        <v>-0.99991699999999994</v>
      </c>
      <c r="N1427">
        <v>-7.0205679999999996E-3</v>
      </c>
      <c r="O1427">
        <v>1.0814229999999999E-2</v>
      </c>
      <c r="P1427">
        <v>-0.92972940000000004</v>
      </c>
      <c r="Q1427">
        <v>0.36650149999999998</v>
      </c>
      <c r="R1427">
        <v>-3.5780050000000001E-2</v>
      </c>
      <c r="S1427">
        <v>-3.3290099999999998</v>
      </c>
      <c r="T1427">
        <v>-0.2548184</v>
      </c>
      <c r="U1427">
        <v>-3.3569339999999998E-3</v>
      </c>
      <c r="V1427">
        <v>-4.615752E-2</v>
      </c>
      <c r="W1427">
        <v>0.37297649999999999</v>
      </c>
      <c r="X1427">
        <v>0.92669199999999996</v>
      </c>
      <c r="Y1427">
        <v>-1.1759159999999999E-2</v>
      </c>
      <c r="Z1427">
        <v>-1.241467E-3</v>
      </c>
      <c r="AA1427">
        <v>0.99993010000000004</v>
      </c>
      <c r="AB1427">
        <v>41</v>
      </c>
      <c r="AC1427">
        <v>-0.65109999999998502</v>
      </c>
      <c r="AD1427">
        <v>-8.25820000000001E-2</v>
      </c>
      <c r="AE1427">
        <v>-5.7000000000471101E-3</v>
      </c>
      <c r="AF1427">
        <v>-1.25392803977086E-2</v>
      </c>
      <c r="AG1427">
        <v>-8.25820000000001E-2</v>
      </c>
      <c r="AH1427">
        <v>0.64069421603290799</v>
      </c>
      <c r="AI1427">
        <v>97.343228106378305</v>
      </c>
      <c r="AJ1427">
        <v>91.121215264171397</v>
      </c>
      <c r="AK1427">
        <v>0.64611616504690195</v>
      </c>
      <c r="AL1427">
        <v>68.100697285421006</v>
      </c>
      <c r="AM1427">
        <v>92.851483872109995</v>
      </c>
      <c r="AN1427">
        <v>1.0000000245343901</v>
      </c>
    </row>
    <row r="1428" spans="1:40" x14ac:dyDescent="0.25">
      <c r="A1428" t="str">
        <f>"20190304164625300"</f>
        <v>20190304164625300</v>
      </c>
      <c r="B1428" t="str">
        <f>"1551689185289131"</f>
        <v>1551689185289131</v>
      </c>
      <c r="C1428" t="s">
        <v>40</v>
      </c>
      <c r="D1428">
        <v>4.5436449999999997</v>
      </c>
      <c r="E1428">
        <v>0.53088469999999999</v>
      </c>
      <c r="F1428" t="s">
        <v>41</v>
      </c>
      <c r="G1428">
        <v>-254.23390000000001</v>
      </c>
      <c r="H1428">
        <v>1.030977</v>
      </c>
      <c r="I1428">
        <v>283.4853</v>
      </c>
      <c r="J1428">
        <v>-253.62649999999999</v>
      </c>
      <c r="K1428">
        <v>1.110187</v>
      </c>
      <c r="L1428">
        <v>283.4898</v>
      </c>
      <c r="M1428">
        <v>-0.99991580000000002</v>
      </c>
      <c r="N1428">
        <v>-7.2858169999999896E-3</v>
      </c>
      <c r="O1428">
        <v>1.0750819999999999E-2</v>
      </c>
      <c r="P1428">
        <v>-0.93003630000000004</v>
      </c>
      <c r="Q1428">
        <v>0.36578889999999997</v>
      </c>
      <c r="R1428">
        <v>-3.508418E-2</v>
      </c>
      <c r="S1428">
        <v>-3.3290709999999999</v>
      </c>
      <c r="T1428">
        <v>-0.25964949999999998</v>
      </c>
      <c r="U1428">
        <v>-7.6293949999999998E-4</v>
      </c>
      <c r="V1428">
        <v>-4.5327289999999999E-2</v>
      </c>
      <c r="W1428">
        <v>0.37252200000000002</v>
      </c>
      <c r="X1428">
        <v>0.92691579999999996</v>
      </c>
      <c r="Y1428">
        <v>-1.091717E-2</v>
      </c>
      <c r="Z1428">
        <v>-1.2239309999999999E-3</v>
      </c>
      <c r="AA1428">
        <v>0.99993969999999999</v>
      </c>
      <c r="AB1428">
        <v>41</v>
      </c>
      <c r="AC1428">
        <v>-0.60740000000001204</v>
      </c>
      <c r="AD1428">
        <v>-7.9210000000000003E-2</v>
      </c>
      <c r="AE1428">
        <v>-4.5000000000072699E-3</v>
      </c>
      <c r="AF1428">
        <v>-1.0845527992306999E-2</v>
      </c>
      <c r="AG1428">
        <v>-7.9210000000000003E-2</v>
      </c>
      <c r="AH1428">
        <v>0.59716155000276705</v>
      </c>
      <c r="AI1428">
        <v>97.5546121570639</v>
      </c>
      <c r="AJ1428">
        <v>91.040480035282997</v>
      </c>
      <c r="AK1428">
        <v>0.60248964005959404</v>
      </c>
      <c r="AL1428">
        <v>68.128761318662399</v>
      </c>
      <c r="AM1428">
        <v>92.7996019026168</v>
      </c>
      <c r="AN1428">
        <v>1.00000005199619</v>
      </c>
    </row>
    <row r="1429" spans="1:40" x14ac:dyDescent="0.25">
      <c r="A1429" t="str">
        <f>"20190304164625326"</f>
        <v>20190304164625326</v>
      </c>
      <c r="B1429" t="str">
        <f>"1551689185319386"</f>
        <v>1551689185319386</v>
      </c>
      <c r="C1429" t="s">
        <v>40</v>
      </c>
      <c r="D1429">
        <v>4.5189779999999997</v>
      </c>
      <c r="E1429">
        <v>0.53073669999999995</v>
      </c>
      <c r="F1429" t="s">
        <v>41</v>
      </c>
      <c r="G1429">
        <v>-254.5993</v>
      </c>
      <c r="H1429">
        <v>1.0333969999999999</v>
      </c>
      <c r="I1429">
        <v>283.49040000000002</v>
      </c>
      <c r="J1429">
        <v>-254.07900000000001</v>
      </c>
      <c r="K1429">
        <v>1.110141</v>
      </c>
      <c r="L1429">
        <v>283.4948</v>
      </c>
      <c r="M1429">
        <v>-0.99991269999999999</v>
      </c>
      <c r="N1429">
        <v>-7.6230119999999898E-3</v>
      </c>
      <c r="O1429">
        <v>1.0801389999999999E-2</v>
      </c>
      <c r="P1429">
        <v>-0.92983839999999995</v>
      </c>
      <c r="Q1429">
        <v>0.36641679999999999</v>
      </c>
      <c r="R1429">
        <v>-3.3754439999999997E-2</v>
      </c>
      <c r="S1429">
        <v>-3.329132</v>
      </c>
      <c r="T1429">
        <v>-0.26292589999999999</v>
      </c>
      <c r="U1429">
        <v>1.2817379999999999E-3</v>
      </c>
      <c r="V1429">
        <v>-4.3951799999999999E-2</v>
      </c>
      <c r="W1429">
        <v>0.37347279999999999</v>
      </c>
      <c r="X1429">
        <v>0.92659930000000001</v>
      </c>
      <c r="Y1429">
        <v>-1.0353909999999999E-2</v>
      </c>
      <c r="Z1429">
        <v>-1.2172579999999999E-3</v>
      </c>
      <c r="AA1429">
        <v>0.99994559999999999</v>
      </c>
      <c r="AB1429">
        <v>41</v>
      </c>
      <c r="AC1429">
        <v>-0.52029999999999099</v>
      </c>
      <c r="AD1429">
        <v>-7.6744000000000104E-2</v>
      </c>
      <c r="AE1429">
        <v>-4.3999999999755303E-3</v>
      </c>
      <c r="AF1429">
        <v>-9.8065325611673901E-3</v>
      </c>
      <c r="AG1429">
        <v>-7.6744000000000104E-2</v>
      </c>
      <c r="AH1429">
        <v>0.50914587744768203</v>
      </c>
      <c r="AI1429">
        <v>98.570149484193806</v>
      </c>
      <c r="AJ1429">
        <v>91.103423374702601</v>
      </c>
      <c r="AK1429">
        <v>0.51499061558327797</v>
      </c>
      <c r="AL1429">
        <v>68.070045527157205</v>
      </c>
      <c r="AM1429">
        <v>92.715700902291701</v>
      </c>
      <c r="AN1429">
        <v>0.99999997791178397</v>
      </c>
    </row>
    <row r="1430" spans="1:40" x14ac:dyDescent="0.25">
      <c r="A1430" t="str">
        <f>"20190304164625344"</f>
        <v>20190304164625344</v>
      </c>
      <c r="B1430" t="str">
        <f>"1551689185339884"</f>
        <v>1551689185339884</v>
      </c>
      <c r="C1430" t="s">
        <v>40</v>
      </c>
      <c r="D1430">
        <v>4.5126949999999999</v>
      </c>
      <c r="E1430">
        <v>0.5305607</v>
      </c>
      <c r="F1430" t="s">
        <v>41</v>
      </c>
      <c r="G1430">
        <v>-254.96879999999999</v>
      </c>
      <c r="H1430">
        <v>1.0404169999999999</v>
      </c>
      <c r="I1430">
        <v>283.4957</v>
      </c>
      <c r="J1430">
        <v>-254.42519999999999</v>
      </c>
      <c r="K1430">
        <v>1.1101080000000001</v>
      </c>
      <c r="L1430">
        <v>283.49860000000001</v>
      </c>
      <c r="M1430">
        <v>-0.99990869999999998</v>
      </c>
      <c r="N1430">
        <v>-7.9382029999999996E-3</v>
      </c>
      <c r="O1430">
        <v>1.0940149999999999E-2</v>
      </c>
      <c r="P1430">
        <v>-0.9297202</v>
      </c>
      <c r="Q1430">
        <v>0.3668593</v>
      </c>
      <c r="R1430">
        <v>-3.2163310000000001E-2</v>
      </c>
      <c r="S1430">
        <v>-3.3293300000000001</v>
      </c>
      <c r="T1430">
        <v>-0.26096429999999998</v>
      </c>
      <c r="U1430">
        <v>3.2348630000000001E-3</v>
      </c>
      <c r="V1430">
        <v>-4.240795E-2</v>
      </c>
      <c r="W1430">
        <v>0.37421670000000001</v>
      </c>
      <c r="X1430">
        <v>0.9263711</v>
      </c>
      <c r="Y1430">
        <v>-9.9083409999999993E-3</v>
      </c>
      <c r="Z1430">
        <v>-1.196595E-3</v>
      </c>
      <c r="AA1430">
        <v>0.99995020000000001</v>
      </c>
      <c r="AB1430">
        <v>41</v>
      </c>
      <c r="AC1430">
        <v>-0.54359999999999697</v>
      </c>
      <c r="AD1430">
        <v>-6.96910000000001E-2</v>
      </c>
      <c r="AE1430">
        <v>-2.9000000000110001E-3</v>
      </c>
      <c r="AF1430">
        <v>-8.70402430304823E-3</v>
      </c>
      <c r="AG1430">
        <v>-6.96910000000001E-2</v>
      </c>
      <c r="AH1430">
        <v>0.53474692149362602</v>
      </c>
      <c r="AI1430">
        <v>97.424261904838403</v>
      </c>
      <c r="AJ1430">
        <v>90.932515555487697</v>
      </c>
      <c r="AK1430">
        <v>0.53933928613348603</v>
      </c>
      <c r="AL1430">
        <v>68.024091466315596</v>
      </c>
      <c r="AM1430">
        <v>92.621089244675602</v>
      </c>
      <c r="AN1430">
        <v>0.99999999384865101</v>
      </c>
    </row>
    <row r="1431" spans="1:40" x14ac:dyDescent="0.25">
      <c r="A1431" t="str">
        <f>"20190304164625367"</f>
        <v>20190304164625367</v>
      </c>
      <c r="B1431" t="str">
        <f>"1551689185359403"</f>
        <v>1551689185359403</v>
      </c>
      <c r="C1431" t="s">
        <v>40</v>
      </c>
      <c r="D1431">
        <v>4.4960440000000004</v>
      </c>
      <c r="E1431">
        <v>0.53037069999999997</v>
      </c>
      <c r="F1431" t="s">
        <v>41</v>
      </c>
      <c r="G1431">
        <v>-255.33189999999999</v>
      </c>
      <c r="H1431">
        <v>1.0396259999999999</v>
      </c>
      <c r="I1431">
        <v>283.49990000000003</v>
      </c>
      <c r="J1431">
        <v>-254.83519999999999</v>
      </c>
      <c r="K1431">
        <v>1.110066</v>
      </c>
      <c r="L1431">
        <v>283.50319999999999</v>
      </c>
      <c r="M1431">
        <v>-0.99990179999999995</v>
      </c>
      <c r="N1431">
        <v>-8.3953480000000004E-3</v>
      </c>
      <c r="O1431">
        <v>1.1227640000000001E-2</v>
      </c>
      <c r="P1431">
        <v>-0.93008239999999998</v>
      </c>
      <c r="Q1431">
        <v>0.36605280000000001</v>
      </c>
      <c r="R1431">
        <v>-3.0857869999999999E-2</v>
      </c>
      <c r="S1431">
        <v>-3.3290860000000002</v>
      </c>
      <c r="T1431">
        <v>-0.25884059999999998</v>
      </c>
      <c r="U1431">
        <v>4.6386719999999999E-3</v>
      </c>
      <c r="V1431">
        <v>-4.1263800000000003E-2</v>
      </c>
      <c r="W1431">
        <v>0.37384919999999999</v>
      </c>
      <c r="X1431">
        <v>0.92657109999999998</v>
      </c>
      <c r="Y1431">
        <v>-9.7750839999999999E-3</v>
      </c>
      <c r="Z1431">
        <v>-1.1980370000000001E-3</v>
      </c>
      <c r="AA1431">
        <v>0.99995149999999999</v>
      </c>
      <c r="AB1431">
        <v>41</v>
      </c>
      <c r="AC1431">
        <v>-0.49670000000000403</v>
      </c>
      <c r="AD1431">
        <v>-7.0440000000000003E-2</v>
      </c>
      <c r="AE1431">
        <v>-3.2999999999674301E-3</v>
      </c>
      <c r="AF1431">
        <v>-8.7017568463949695E-3</v>
      </c>
      <c r="AG1431">
        <v>-7.0440000000000003E-2</v>
      </c>
      <c r="AH1431">
        <v>0.48684083673513801</v>
      </c>
      <c r="AI1431">
        <v>98.231578394937898</v>
      </c>
      <c r="AJ1431">
        <v>91.023991456485106</v>
      </c>
      <c r="AK1431">
        <v>0.49198731130506101</v>
      </c>
      <c r="AL1431">
        <v>68.046794959450295</v>
      </c>
      <c r="AM1431">
        <v>92.549918155981004</v>
      </c>
      <c r="AN1431">
        <v>0.99999996444314398</v>
      </c>
    </row>
    <row r="1432" spans="1:40" x14ac:dyDescent="0.25">
      <c r="A1432" t="str">
        <f>"20190304164625389"</f>
        <v>20190304164625389</v>
      </c>
      <c r="B1432" t="str">
        <f>"1551689185379899"</f>
        <v>1551689185379899</v>
      </c>
      <c r="C1432" t="s">
        <v>40</v>
      </c>
      <c r="D1432">
        <v>4.4283549999999998</v>
      </c>
      <c r="E1432">
        <v>0.53015800000000002</v>
      </c>
      <c r="F1432" t="s">
        <v>49</v>
      </c>
      <c r="G1432">
        <v>-268.88690000000003</v>
      </c>
      <c r="H1432" s="1">
        <v>3.1923689999999999E-6</v>
      </c>
      <c r="I1432">
        <v>283.52629999999999</v>
      </c>
      <c r="J1432">
        <v>-255.23410000000001</v>
      </c>
      <c r="K1432">
        <v>1.110015</v>
      </c>
      <c r="L1432">
        <v>283.50799999999998</v>
      </c>
      <c r="M1432">
        <v>-0.99989249999999996</v>
      </c>
      <c r="N1432">
        <v>-8.9241809999999998E-3</v>
      </c>
      <c r="O1432">
        <v>1.163439E-2</v>
      </c>
      <c r="P1432">
        <v>-0.93105859999999996</v>
      </c>
      <c r="Q1432">
        <v>0.36360490000000001</v>
      </c>
      <c r="R1432">
        <v>-3.0354229999999999E-2</v>
      </c>
      <c r="S1432">
        <v>-3.329224</v>
      </c>
      <c r="T1432">
        <v>-0.26300380000000001</v>
      </c>
      <c r="U1432">
        <v>5.4626459999999998E-3</v>
      </c>
      <c r="V1432">
        <v>-4.1029570000000001E-2</v>
      </c>
      <c r="W1432">
        <v>0.37191259999999998</v>
      </c>
      <c r="X1432">
        <v>0.92736059999999998</v>
      </c>
      <c r="Y1432">
        <v>-9.9311669999999994E-3</v>
      </c>
      <c r="Z1432">
        <v>-1.250019E-3</v>
      </c>
      <c r="AA1432">
        <v>0.99994989999999995</v>
      </c>
      <c r="AB1432">
        <v>41</v>
      </c>
      <c r="AC1432">
        <v>-13.652799999999999</v>
      </c>
      <c r="AD1432">
        <v>-1.1100118076309999</v>
      </c>
      <c r="AE1432">
        <v>1.8300000000010599E-2</v>
      </c>
      <c r="AF1432">
        <v>-0.139626611003588</v>
      </c>
      <c r="AG1432">
        <v>-1.1100118076309999</v>
      </c>
      <c r="AH1432">
        <v>13.5624391143275</v>
      </c>
      <c r="AI1432">
        <v>94.678672100064603</v>
      </c>
      <c r="AJ1432">
        <v>90.589844704988394</v>
      </c>
      <c r="AK1432">
        <v>13.608503831554</v>
      </c>
      <c r="AL1432">
        <v>68.166380306635105</v>
      </c>
      <c r="AM1432">
        <v>92.533307003244005</v>
      </c>
      <c r="AN1432">
        <v>1.00000004504275</v>
      </c>
    </row>
    <row r="1433" spans="1:40" x14ac:dyDescent="0.25">
      <c r="A1433" t="str">
        <f>"20190304164625412"</f>
        <v>20190304164625412</v>
      </c>
      <c r="B1433" t="str">
        <f>"1551689185409179"</f>
        <v>1551689185409179</v>
      </c>
      <c r="C1433" t="s">
        <v>40</v>
      </c>
      <c r="D1433">
        <v>4.4357490000000004</v>
      </c>
      <c r="E1433">
        <v>0.52597329999999998</v>
      </c>
      <c r="F1433" t="s">
        <v>49</v>
      </c>
      <c r="G1433">
        <v>-268.75009999999997</v>
      </c>
      <c r="H1433" s="1">
        <v>3.1195860000000002E-6</v>
      </c>
      <c r="I1433">
        <v>283.5335</v>
      </c>
      <c r="J1433">
        <v>-255.65049999999999</v>
      </c>
      <c r="K1433">
        <v>1.1099570000000001</v>
      </c>
      <c r="L1433">
        <v>283.51330000000002</v>
      </c>
      <c r="M1433">
        <v>-0.99988010000000005</v>
      </c>
      <c r="N1433">
        <v>-9.5366129999999993E-3</v>
      </c>
      <c r="O1433">
        <v>1.2191499999999999E-2</v>
      </c>
      <c r="P1433">
        <v>-0.9321005</v>
      </c>
      <c r="Q1433">
        <v>0.36094799999999999</v>
      </c>
      <c r="R1433">
        <v>-3.0088230000000001E-2</v>
      </c>
      <c r="S1433">
        <v>-3.329132</v>
      </c>
      <c r="T1433">
        <v>-0.2734067</v>
      </c>
      <c r="U1433">
        <v>6.286621E-3</v>
      </c>
      <c r="V1433">
        <v>-4.1158500000000001E-2</v>
      </c>
      <c r="W1433">
        <v>0.36984899999999998</v>
      </c>
      <c r="X1433">
        <v>0.9281798</v>
      </c>
      <c r="Y1433">
        <v>-1.0233280000000001E-2</v>
      </c>
      <c r="Z1433">
        <v>-1.351819E-3</v>
      </c>
      <c r="AA1433">
        <v>0.99994669999999997</v>
      </c>
      <c r="AB1433">
        <v>41</v>
      </c>
      <c r="AC1433">
        <v>-13.099599999999899</v>
      </c>
      <c r="AD1433">
        <v>-1.1099538804139999</v>
      </c>
      <c r="AE1433">
        <v>2.0199999999988401E-2</v>
      </c>
      <c r="AF1433">
        <v>-0.138518066838246</v>
      </c>
      <c r="AG1433">
        <v>-1.1099538804139999</v>
      </c>
      <c r="AH1433">
        <v>13.0054999616455</v>
      </c>
      <c r="AI1433">
        <v>94.877810029320798</v>
      </c>
      <c r="AJ1433">
        <v>90.610218796631798</v>
      </c>
      <c r="AK1433">
        <v>13.0535134781348</v>
      </c>
      <c r="AL1433">
        <v>68.293695499217193</v>
      </c>
      <c r="AM1433">
        <v>92.539017220252802</v>
      </c>
      <c r="AN1433">
        <v>1.0000000230256401</v>
      </c>
    </row>
    <row r="1434" spans="1:40" x14ac:dyDescent="0.25">
      <c r="A1434" t="str">
        <f>"20190304164625432"</f>
        <v>20190304164625432</v>
      </c>
      <c r="B1434" t="str">
        <f>"1551689185429675"</f>
        <v>1551689185429675</v>
      </c>
      <c r="C1434" t="s">
        <v>40</v>
      </c>
      <c r="D1434">
        <v>4.4298659999999996</v>
      </c>
      <c r="E1434">
        <v>0.52566299999999999</v>
      </c>
      <c r="F1434" t="s">
        <v>41</v>
      </c>
      <c r="G1434">
        <v>-256.41750000000002</v>
      </c>
      <c r="H1434">
        <v>1.032157</v>
      </c>
      <c r="I1434">
        <v>283.50670000000002</v>
      </c>
      <c r="J1434">
        <v>-256.01929999999999</v>
      </c>
      <c r="K1434">
        <v>1.1098950000000001</v>
      </c>
      <c r="L1434">
        <v>283.51830000000001</v>
      </c>
      <c r="M1434">
        <v>-0.99986699999999995</v>
      </c>
      <c r="N1434">
        <v>-1.0092210000000001E-2</v>
      </c>
      <c r="O1434">
        <v>1.281757E-2</v>
      </c>
      <c r="P1434">
        <v>-0.93255370000000004</v>
      </c>
      <c r="Q1434">
        <v>0.35974220000000001</v>
      </c>
      <c r="R1434">
        <v>-3.0482909999999998E-2</v>
      </c>
      <c r="S1434">
        <v>-3.3492130000000002</v>
      </c>
      <c r="T1434">
        <v>-0.33987060000000002</v>
      </c>
      <c r="U1434">
        <v>-2.9754639999999999E-2</v>
      </c>
      <c r="V1434">
        <v>-4.2014999999999997E-2</v>
      </c>
      <c r="W1434">
        <v>0.36917860000000002</v>
      </c>
      <c r="X1434">
        <v>0.92840829999999996</v>
      </c>
      <c r="Y1434">
        <v>-2.152573E-2</v>
      </c>
      <c r="Z1434">
        <v>-2.3665769999999999E-3</v>
      </c>
      <c r="AA1434">
        <v>0.99976549999999997</v>
      </c>
      <c r="AB1434">
        <v>41</v>
      </c>
      <c r="AC1434">
        <v>-0.39820000000003097</v>
      </c>
      <c r="AD1434">
        <v>-7.7738000000000002E-2</v>
      </c>
      <c r="AE1434">
        <v>-1.15999999999871E-2</v>
      </c>
      <c r="AF1434">
        <v>-1.6090536828678201E-2</v>
      </c>
      <c r="AG1434">
        <v>-7.7738000000000002E-2</v>
      </c>
      <c r="AH1434">
        <v>0.383418071284993</v>
      </c>
      <c r="AI1434">
        <v>101.45154044162</v>
      </c>
      <c r="AJ1434">
        <v>92.403066725481395</v>
      </c>
      <c r="AK1434">
        <v>0.39155014928785098</v>
      </c>
      <c r="AL1434">
        <v>68.335032461282097</v>
      </c>
      <c r="AM1434">
        <v>92.591145316688696</v>
      </c>
      <c r="AN1434">
        <v>1.00000003521592</v>
      </c>
    </row>
    <row r="1435" spans="1:40" x14ac:dyDescent="0.25">
      <c r="A1435" t="str">
        <f>"20190304164625457"</f>
        <v>20190304164625457</v>
      </c>
      <c r="B1435" t="str">
        <f>"1551689185449195"</f>
        <v>1551689185449195</v>
      </c>
      <c r="C1435" t="s">
        <v>40</v>
      </c>
      <c r="D1435">
        <v>4.4509119999999998</v>
      </c>
      <c r="E1435">
        <v>0.5258311</v>
      </c>
      <c r="F1435" t="s">
        <v>41</v>
      </c>
      <c r="G1435">
        <v>-256.77999999999997</v>
      </c>
      <c r="H1435">
        <v>1.031833</v>
      </c>
      <c r="I1435">
        <v>283.51119999999997</v>
      </c>
      <c r="J1435">
        <v>-256.43770000000001</v>
      </c>
      <c r="K1435">
        <v>1.109804</v>
      </c>
      <c r="L1435">
        <v>283.52440000000001</v>
      </c>
      <c r="M1435">
        <v>-0.99984930000000005</v>
      </c>
      <c r="N1435">
        <v>-1.0694749999999999E-2</v>
      </c>
      <c r="O1435">
        <v>1.3687970000000001E-2</v>
      </c>
      <c r="P1435">
        <v>-0.93251980000000001</v>
      </c>
      <c r="Q1435">
        <v>0.35987619999999998</v>
      </c>
      <c r="R1435">
        <v>-2.9939440000000001E-2</v>
      </c>
      <c r="S1435">
        <v>-3.3485109999999998</v>
      </c>
      <c r="T1435">
        <v>-0.34361329999999901</v>
      </c>
      <c r="U1435">
        <v>-3.1188960000000002E-2</v>
      </c>
      <c r="V1435">
        <v>-4.2131910000000002E-2</v>
      </c>
      <c r="W1435">
        <v>0.36988850000000001</v>
      </c>
      <c r="X1435">
        <v>0.92812039999999996</v>
      </c>
      <c r="Y1435">
        <v>-2.281116E-2</v>
      </c>
      <c r="Z1435">
        <v>-2.5444999999999999E-3</v>
      </c>
      <c r="AA1435">
        <v>0.99973650000000003</v>
      </c>
      <c r="AB1435">
        <v>41</v>
      </c>
      <c r="AC1435">
        <v>-0.34229999999996602</v>
      </c>
      <c r="AD1435">
        <v>-7.7970999999999999E-2</v>
      </c>
      <c r="AE1435">
        <v>-1.32000000000402E-2</v>
      </c>
      <c r="AF1435">
        <v>-1.7003485166801099E-2</v>
      </c>
      <c r="AG1435">
        <v>-7.7970999999999999E-2</v>
      </c>
      <c r="AH1435">
        <v>0.32523696299357602</v>
      </c>
      <c r="AI1435">
        <v>103.463712320825</v>
      </c>
      <c r="AJ1435">
        <v>92.992715786973307</v>
      </c>
      <c r="AK1435">
        <v>0.33488457331758797</v>
      </c>
      <c r="AL1435">
        <v>68.291259924549806</v>
      </c>
      <c r="AM1435">
        <v>92.599150405425604</v>
      </c>
      <c r="AN1435">
        <v>1.00000003858432</v>
      </c>
    </row>
    <row r="1436" spans="1:40" x14ac:dyDescent="0.25">
      <c r="A1436" t="str">
        <f>"20190304164625479"</f>
        <v>20190304164625479</v>
      </c>
      <c r="B1436" t="str">
        <f>"1551689185469691"</f>
        <v>1551689185469691</v>
      </c>
      <c r="C1436" t="s">
        <v>40</v>
      </c>
      <c r="D1436">
        <v>4.4344570000000001</v>
      </c>
      <c r="E1436">
        <v>0.52596409999999905</v>
      </c>
      <c r="F1436" t="s">
        <v>41</v>
      </c>
      <c r="G1436">
        <v>-257.48739999999998</v>
      </c>
      <c r="H1436">
        <v>1.002011</v>
      </c>
      <c r="I1436">
        <v>283.51609999999999</v>
      </c>
      <c r="J1436">
        <v>-256.86020000000002</v>
      </c>
      <c r="K1436">
        <v>1.109686</v>
      </c>
      <c r="L1436">
        <v>283.53109999999998</v>
      </c>
      <c r="M1436">
        <v>-0.99982800000000005</v>
      </c>
      <c r="N1436">
        <v>-1.125076E-2</v>
      </c>
      <c r="O1436">
        <v>1.474455E-2</v>
      </c>
      <c r="P1436">
        <v>-0.93275450000000004</v>
      </c>
      <c r="Q1436">
        <v>0.35930790000000001</v>
      </c>
      <c r="R1436">
        <v>-2.9444809999999998E-2</v>
      </c>
      <c r="S1436">
        <v>-3.3489990000000001</v>
      </c>
      <c r="T1436">
        <v>-0.34398450000000003</v>
      </c>
      <c r="U1436">
        <v>-2.6733400000000001E-2</v>
      </c>
      <c r="V1436">
        <v>-4.2475020000000002E-2</v>
      </c>
      <c r="W1436">
        <v>0.36985699999999999</v>
      </c>
      <c r="X1436">
        <v>0.92811730000000003</v>
      </c>
      <c r="Y1436">
        <v>-2.2533290000000001E-2</v>
      </c>
      <c r="Z1436">
        <v>-2.6262360000000001E-3</v>
      </c>
      <c r="AA1436">
        <v>0.99974260000000004</v>
      </c>
      <c r="AB1436">
        <v>40</v>
      </c>
      <c r="AC1436">
        <v>-0.62719999999995901</v>
      </c>
      <c r="AD1436">
        <v>-0.10767499999999899</v>
      </c>
      <c r="AE1436">
        <v>-1.49999999999863E-2</v>
      </c>
      <c r="AF1436">
        <v>-2.3552967140379799E-2</v>
      </c>
      <c r="AG1436">
        <v>-0.10767499999999899</v>
      </c>
      <c r="AH1436">
        <v>0.60897290571851304</v>
      </c>
      <c r="AI1436">
        <v>100.01972701812301</v>
      </c>
      <c r="AJ1436">
        <v>92.214898750834607</v>
      </c>
      <c r="AK1436">
        <v>0.61886722952937601</v>
      </c>
      <c r="AL1436">
        <v>68.293202198543199</v>
      </c>
      <c r="AM1436">
        <v>92.620296486996907</v>
      </c>
      <c r="AN1436">
        <v>1.0000000251661401</v>
      </c>
    </row>
    <row r="1437" spans="1:40" x14ac:dyDescent="0.25">
      <c r="A1437" t="str">
        <f>"20190304164625503"</f>
        <v>20190304164625503</v>
      </c>
      <c r="B1437" t="str">
        <f>"1551689185499947"</f>
        <v>1551689185499947</v>
      </c>
      <c r="C1437" t="s">
        <v>40</v>
      </c>
      <c r="D1437">
        <v>4.4534089999999997</v>
      </c>
      <c r="E1437">
        <v>0.52606679999999995</v>
      </c>
      <c r="F1437" t="s">
        <v>41</v>
      </c>
      <c r="G1437">
        <v>-257.85120000000001</v>
      </c>
      <c r="H1437">
        <v>1.007155</v>
      </c>
      <c r="I1437">
        <v>283.52420000000001</v>
      </c>
      <c r="J1437">
        <v>-257.30149999999998</v>
      </c>
      <c r="K1437">
        <v>1.1095660000000001</v>
      </c>
      <c r="L1437">
        <v>283.53870000000001</v>
      </c>
      <c r="M1437">
        <v>-0.99980270000000004</v>
      </c>
      <c r="N1437">
        <v>-1.1773240000000001E-2</v>
      </c>
      <c r="O1437">
        <v>1.5996340000000001E-2</v>
      </c>
      <c r="P1437">
        <v>-0.93330670000000004</v>
      </c>
      <c r="Q1437">
        <v>0.357879</v>
      </c>
      <c r="R1437">
        <v>-2.9344950000000002E-2</v>
      </c>
      <c r="S1437">
        <v>-3.3490600000000001</v>
      </c>
      <c r="T1437">
        <v>-0.34655819999999998</v>
      </c>
      <c r="U1437">
        <v>-2.420044E-2</v>
      </c>
      <c r="V1437">
        <v>-4.3407710000000002E-2</v>
      </c>
      <c r="W1437">
        <v>0.3689384</v>
      </c>
      <c r="X1437">
        <v>0.92843969999999998</v>
      </c>
      <c r="Y1437">
        <v>-2.3017909999999999E-2</v>
      </c>
      <c r="Z1437">
        <v>-2.786597E-3</v>
      </c>
      <c r="AA1437">
        <v>0.99973120000000004</v>
      </c>
      <c r="AB1437">
        <v>40</v>
      </c>
      <c r="AC1437">
        <v>-0.54970000000002905</v>
      </c>
      <c r="AD1437">
        <v>-0.102411</v>
      </c>
      <c r="AE1437">
        <v>-1.4499999999998099E-2</v>
      </c>
      <c r="AF1437">
        <v>-2.25111468773086E-2</v>
      </c>
      <c r="AG1437">
        <v>-0.102411</v>
      </c>
      <c r="AH1437">
        <v>0.53098071361115395</v>
      </c>
      <c r="AI1437">
        <v>100.907108317302</v>
      </c>
      <c r="AJ1437">
        <v>92.427624509392601</v>
      </c>
      <c r="AK1437">
        <v>0.54123496088274103</v>
      </c>
      <c r="AL1437">
        <v>68.349839999460599</v>
      </c>
      <c r="AM1437">
        <v>92.676823063917496</v>
      </c>
      <c r="AN1437">
        <v>1.0000000244090399</v>
      </c>
    </row>
    <row r="1438" spans="1:40" x14ac:dyDescent="0.25">
      <c r="A1438" t="str">
        <f>"20190304164625526"</f>
        <v>20190304164625526</v>
      </c>
      <c r="B1438" t="str">
        <f>"1551689185519467"</f>
        <v>1551689185519467</v>
      </c>
      <c r="C1438" t="s">
        <v>40</v>
      </c>
      <c r="D1438">
        <v>4.4352739999999997</v>
      </c>
      <c r="E1438">
        <v>0.52584119999999901</v>
      </c>
      <c r="F1438" t="s">
        <v>41</v>
      </c>
      <c r="G1438">
        <v>-258.21530000000001</v>
      </c>
      <c r="H1438">
        <v>1.0136130000000001</v>
      </c>
      <c r="I1438">
        <v>283.53230000000002</v>
      </c>
      <c r="J1438">
        <v>-257.69869999999997</v>
      </c>
      <c r="K1438">
        <v>1.109469</v>
      </c>
      <c r="L1438">
        <v>283.5462</v>
      </c>
      <c r="M1438">
        <v>-0.99977700000000003</v>
      </c>
      <c r="N1438">
        <v>-1.219397E-2</v>
      </c>
      <c r="O1438">
        <v>1.7247459999999999E-2</v>
      </c>
      <c r="P1438">
        <v>-0.93351620000000002</v>
      </c>
      <c r="Q1438">
        <v>0.35740100000000002</v>
      </c>
      <c r="R1438">
        <v>-2.8497350000000001E-2</v>
      </c>
      <c r="S1438">
        <v>-3.3484799999999999</v>
      </c>
      <c r="T1438">
        <v>-0.35168240000000001</v>
      </c>
      <c r="U1438">
        <v>-2.377319E-2</v>
      </c>
      <c r="V1438">
        <v>-4.3609580000000002E-2</v>
      </c>
      <c r="W1438">
        <v>0.36886790000000003</v>
      </c>
      <c r="X1438">
        <v>0.92845820000000001</v>
      </c>
      <c r="Y1438">
        <v>-2.412448E-2</v>
      </c>
      <c r="Z1438">
        <v>-3.0075330000000002E-3</v>
      </c>
      <c r="AA1438">
        <v>0.99970440000000005</v>
      </c>
      <c r="AB1438">
        <v>40</v>
      </c>
      <c r="AC1438">
        <v>-0.51660000000003903</v>
      </c>
      <c r="AD1438">
        <v>-9.5856000000000094E-2</v>
      </c>
      <c r="AE1438">
        <v>-1.3899999999978201E-2</v>
      </c>
      <c r="AF1438">
        <v>-2.205001140908E-2</v>
      </c>
      <c r="AG1438">
        <v>-9.5856000000000094E-2</v>
      </c>
      <c r="AH1438">
        <v>0.49911168970032899</v>
      </c>
      <c r="AI1438">
        <v>100.861123833074</v>
      </c>
      <c r="AJ1438">
        <v>92.5295973904812</v>
      </c>
      <c r="AK1438">
        <v>0.50871117005100097</v>
      </c>
      <c r="AL1438">
        <v>68.354184778143605</v>
      </c>
      <c r="AM1438">
        <v>92.689200041333507</v>
      </c>
      <c r="AN1438">
        <v>0.99999997613271197</v>
      </c>
    </row>
    <row r="1439" spans="1:40" x14ac:dyDescent="0.25">
      <c r="A1439" t="str">
        <f>"20190304164625547"</f>
        <v>20190304164625547</v>
      </c>
      <c r="B1439" t="str">
        <f>"1551689185539963"</f>
        <v>1551689185539963</v>
      </c>
      <c r="C1439" t="s">
        <v>40</v>
      </c>
      <c r="D1439">
        <v>4.4390859999999996</v>
      </c>
      <c r="E1439">
        <v>0.52307740000000003</v>
      </c>
      <c r="F1439" t="s">
        <v>41</v>
      </c>
      <c r="G1439">
        <v>-258.57729999999998</v>
      </c>
      <c r="H1439">
        <v>1.0163420000000001</v>
      </c>
      <c r="I1439">
        <v>283.53989999999999</v>
      </c>
      <c r="J1439">
        <v>-258.08330000000001</v>
      </c>
      <c r="K1439">
        <v>1.1093729999999999</v>
      </c>
      <c r="L1439">
        <v>283.55399999999997</v>
      </c>
      <c r="M1439">
        <v>-0.99974879999999999</v>
      </c>
      <c r="N1439">
        <v>-1.255796E-2</v>
      </c>
      <c r="O1439">
        <v>1.85688E-2</v>
      </c>
      <c r="P1439">
        <v>-0.93316880000000002</v>
      </c>
      <c r="Q1439">
        <v>0.35832370000000002</v>
      </c>
      <c r="R1439">
        <v>-2.828729E-2</v>
      </c>
      <c r="S1439">
        <v>-3.348846</v>
      </c>
      <c r="T1439">
        <v>-0.35509790000000002</v>
      </c>
      <c r="U1439">
        <v>-2.5177000000000001E-2</v>
      </c>
      <c r="V1439">
        <v>-4.4512379999999997E-2</v>
      </c>
      <c r="W1439">
        <v>0.37013960000000001</v>
      </c>
      <c r="X1439">
        <v>0.92790910000000004</v>
      </c>
      <c r="Y1439">
        <v>-2.5843319999999999E-2</v>
      </c>
      <c r="Z1439">
        <v>-3.2598499999999999E-3</v>
      </c>
      <c r="AA1439">
        <v>0.99966069999999996</v>
      </c>
      <c r="AB1439">
        <v>40</v>
      </c>
      <c r="AC1439">
        <v>-0.49399999999997102</v>
      </c>
      <c r="AD1439">
        <v>-9.3030999999999794E-2</v>
      </c>
      <c r="AE1439">
        <v>-1.4100000000041701E-2</v>
      </c>
      <c r="AF1439">
        <v>-2.2474853746653499E-2</v>
      </c>
      <c r="AG1439">
        <v>-9.3030999999999794E-2</v>
      </c>
      <c r="AH1439">
        <v>0.476758439309455</v>
      </c>
      <c r="AI1439">
        <v>101.02956706061801</v>
      </c>
      <c r="AJ1439">
        <v>92.698980333373399</v>
      </c>
      <c r="AK1439">
        <v>0.48626998207243</v>
      </c>
      <c r="AL1439">
        <v>68.275772663265499</v>
      </c>
      <c r="AM1439">
        <v>92.746409015672597</v>
      </c>
      <c r="AN1439">
        <v>0.99999998666211698</v>
      </c>
    </row>
    <row r="1440" spans="1:40" x14ac:dyDescent="0.25">
      <c r="A1440" t="str">
        <f>"20190304164625571"</f>
        <v>20190304164625571</v>
      </c>
      <c r="B1440" t="str">
        <f>"1551689185559484"</f>
        <v>1551689185559484</v>
      </c>
      <c r="C1440" t="s">
        <v>40</v>
      </c>
      <c r="D1440">
        <v>4.4604900000000001</v>
      </c>
      <c r="E1440">
        <v>0.52303719999999998</v>
      </c>
      <c r="F1440" t="s">
        <v>49</v>
      </c>
      <c r="G1440">
        <v>-270.20420000000001</v>
      </c>
      <c r="H1440" s="1">
        <v>-1.3751679999999999E-6</v>
      </c>
      <c r="I1440">
        <v>283.40449999999998</v>
      </c>
      <c r="J1440">
        <v>-258.51339999999999</v>
      </c>
      <c r="K1440">
        <v>1.109273</v>
      </c>
      <c r="L1440">
        <v>283.5634</v>
      </c>
      <c r="M1440">
        <v>-0.99971339999999997</v>
      </c>
      <c r="N1440">
        <v>-1.291843E-2</v>
      </c>
      <c r="O1440">
        <v>2.0153580000000001E-2</v>
      </c>
      <c r="P1440">
        <v>-0.93280629999999998</v>
      </c>
      <c r="Q1440">
        <v>0.3592359</v>
      </c>
      <c r="R1440">
        <v>-2.8669630000000002E-2</v>
      </c>
      <c r="S1440">
        <v>-3.3306580000000001</v>
      </c>
      <c r="T1440">
        <v>-0.304842</v>
      </c>
      <c r="U1440">
        <v>-4.1076660000000001E-2</v>
      </c>
      <c r="V1440">
        <v>-4.6247780000000002E-2</v>
      </c>
      <c r="W1440">
        <v>0.37140040000000002</v>
      </c>
      <c r="X1440">
        <v>0.92732029999999999</v>
      </c>
      <c r="Y1440">
        <v>-3.2267079999999997E-2</v>
      </c>
      <c r="Z1440">
        <v>-3.2631689999999998E-3</v>
      </c>
      <c r="AA1440">
        <v>0.99947390000000003</v>
      </c>
      <c r="AB1440">
        <v>40</v>
      </c>
      <c r="AC1440">
        <v>-11.690799999999999</v>
      </c>
      <c r="AD1440">
        <v>-1.1092743751680001</v>
      </c>
      <c r="AE1440">
        <v>-0.158900000000016</v>
      </c>
      <c r="AF1440">
        <v>-0.39097950812338</v>
      </c>
      <c r="AG1440">
        <v>-1.1092743751680001</v>
      </c>
      <c r="AH1440">
        <v>11.5809776600096</v>
      </c>
      <c r="AI1440">
        <v>95.468240693807701</v>
      </c>
      <c r="AJ1440">
        <v>91.933599331149495</v>
      </c>
      <c r="AK1440">
        <v>11.640549736881701</v>
      </c>
      <c r="AL1440">
        <v>68.197991079741797</v>
      </c>
      <c r="AM1440">
        <v>92.855118082991197</v>
      </c>
      <c r="AN1440">
        <v>1.00000002653358</v>
      </c>
    </row>
    <row r="1441" spans="1:40" x14ac:dyDescent="0.25">
      <c r="A1441" t="str">
        <f>"20190304164625591"</f>
        <v>20190304164625591</v>
      </c>
      <c r="B1441" t="str">
        <f>"1551689185579979"</f>
        <v>1551689185579979</v>
      </c>
      <c r="C1441" t="s">
        <v>40</v>
      </c>
      <c r="D1441">
        <v>4.5355410000000003</v>
      </c>
      <c r="E1441">
        <v>0.51783190000000001</v>
      </c>
      <c r="F1441" t="s">
        <v>49</v>
      </c>
      <c r="G1441">
        <v>-270.87119999999999</v>
      </c>
      <c r="H1441" s="1">
        <v>-1.020629E-6</v>
      </c>
      <c r="I1441">
        <v>283.41410000000002</v>
      </c>
      <c r="J1441">
        <v>-258.88810000000001</v>
      </c>
      <c r="K1441">
        <v>1.109192</v>
      </c>
      <c r="L1441">
        <v>283.57220000000001</v>
      </c>
      <c r="M1441">
        <v>-0.9996794</v>
      </c>
      <c r="N1441">
        <v>-1.3193160000000001E-2</v>
      </c>
      <c r="O1441">
        <v>2.1607580000000001E-2</v>
      </c>
      <c r="P1441">
        <v>-0.93298479999999995</v>
      </c>
      <c r="Q1441">
        <v>0.35878259999999901</v>
      </c>
      <c r="R1441">
        <v>-2.8533139999999999E-2</v>
      </c>
      <c r="S1441">
        <v>-3.3299560000000001</v>
      </c>
      <c r="T1441">
        <v>-0.29890699999999998</v>
      </c>
      <c r="U1441">
        <v>-4.0222170000000002E-2</v>
      </c>
      <c r="V1441">
        <v>-4.7384780000000001E-2</v>
      </c>
      <c r="W1441">
        <v>0.3712184</v>
      </c>
      <c r="X1441">
        <v>0.92733569999999999</v>
      </c>
      <c r="Y1441">
        <v>-3.3465469999999997E-2</v>
      </c>
      <c r="Z1441">
        <v>-3.3711549999999998E-3</v>
      </c>
      <c r="AA1441">
        <v>0.99943419999999905</v>
      </c>
      <c r="AB1441">
        <v>40</v>
      </c>
      <c r="AC1441">
        <v>-11.983099999999901</v>
      </c>
      <c r="AD1441">
        <v>-1.1091930206289999</v>
      </c>
      <c r="AE1441">
        <v>-0.15809999999999</v>
      </c>
      <c r="AF1441">
        <v>-0.41346946958333303</v>
      </c>
      <c r="AG1441">
        <v>-1.1091930206289999</v>
      </c>
      <c r="AH1441">
        <v>11.875157544007701</v>
      </c>
      <c r="AI1441">
        <v>95.3329876117417</v>
      </c>
      <c r="AJ1441">
        <v>91.994120021238501</v>
      </c>
      <c r="AK1441">
        <v>11.934011599386499</v>
      </c>
      <c r="AL1441">
        <v>68.209220262170902</v>
      </c>
      <c r="AM1441">
        <v>92.9251421131695</v>
      </c>
      <c r="AN1441">
        <v>0.99999995918434803</v>
      </c>
    </row>
    <row r="1442" spans="1:40" x14ac:dyDescent="0.25">
      <c r="A1442" t="str">
        <f>"20190304164625617"</f>
        <v>20190304164625617</v>
      </c>
      <c r="B1442" t="str">
        <f>"1551689185609261"</f>
        <v>1551689185609261</v>
      </c>
      <c r="C1442" t="s">
        <v>40</v>
      </c>
      <c r="D1442">
        <v>4.5040319999999996</v>
      </c>
      <c r="E1442">
        <v>0.50956599999999996</v>
      </c>
      <c r="F1442" t="s">
        <v>49</v>
      </c>
      <c r="G1442">
        <v>-271.16219999999998</v>
      </c>
      <c r="H1442" s="1">
        <v>-8.5965209999999999E-7</v>
      </c>
      <c r="I1442">
        <v>283.27409999999998</v>
      </c>
      <c r="J1442">
        <v>-259.3186</v>
      </c>
      <c r="K1442">
        <v>1.10911</v>
      </c>
      <c r="L1442">
        <v>283.58300000000003</v>
      </c>
      <c r="M1442">
        <v>-0.99963709999999995</v>
      </c>
      <c r="N1442">
        <v>-1.3469139999999999E-2</v>
      </c>
      <c r="O1442">
        <v>2.3335669999999999E-2</v>
      </c>
      <c r="P1442">
        <v>-0.93336560000000002</v>
      </c>
      <c r="Q1442">
        <v>0.35793229999999998</v>
      </c>
      <c r="R1442">
        <v>-2.6707439999999999E-2</v>
      </c>
      <c r="S1442">
        <v>-3.3287049999999998</v>
      </c>
      <c r="T1442">
        <v>-0.3008093</v>
      </c>
      <c r="U1442">
        <v>-8.0841060000000006E-2</v>
      </c>
      <c r="V1442">
        <v>-4.7100709999999997E-2</v>
      </c>
      <c r="W1442">
        <v>0.37063829999999998</v>
      </c>
      <c r="X1442">
        <v>0.92758220000000002</v>
      </c>
      <c r="Y1442">
        <v>-4.7312809999999997E-2</v>
      </c>
      <c r="Z1442">
        <v>-4.243045E-3</v>
      </c>
      <c r="AA1442">
        <v>0.99887110000000001</v>
      </c>
      <c r="AB1442">
        <v>40</v>
      </c>
      <c r="AC1442">
        <v>-11.843599999999901</v>
      </c>
      <c r="AD1442">
        <v>-1.1091108596521</v>
      </c>
      <c r="AE1442">
        <v>-0.30889999999999401</v>
      </c>
      <c r="AF1442">
        <v>-0.58013511406267204</v>
      </c>
      <c r="AG1442">
        <v>-1.1091108596521</v>
      </c>
      <c r="AH1442">
        <v>11.7303638977231</v>
      </c>
      <c r="AI1442">
        <v>95.394728473976798</v>
      </c>
      <c r="AJ1442">
        <v>92.831304619936702</v>
      </c>
      <c r="AK1442">
        <v>11.796953878971101</v>
      </c>
      <c r="AL1442">
        <v>68.245011311606902</v>
      </c>
      <c r="AM1442">
        <v>92.906864813942093</v>
      </c>
      <c r="AN1442">
        <v>0.99999998203311602</v>
      </c>
    </row>
    <row r="1443" spans="1:40" x14ac:dyDescent="0.25">
      <c r="A1443" t="str">
        <f>"20190304164625636"</f>
        <v>20190304164625636</v>
      </c>
      <c r="B1443" t="str">
        <f>"1551689185629755"</f>
        <v>1551689185629755</v>
      </c>
      <c r="C1443" t="s">
        <v>40</v>
      </c>
      <c r="D1443">
        <v>4.4838209999999998</v>
      </c>
      <c r="E1443">
        <v>0.50648950000000004</v>
      </c>
      <c r="F1443" t="s">
        <v>49</v>
      </c>
      <c r="G1443">
        <v>-272.4425</v>
      </c>
      <c r="H1443" s="1">
        <v>-1.675394E-7</v>
      </c>
      <c r="I1443">
        <v>283.02690000000001</v>
      </c>
      <c r="J1443">
        <v>-259.68830000000003</v>
      </c>
      <c r="K1443">
        <v>1.1090610000000001</v>
      </c>
      <c r="L1443">
        <v>283.59300000000002</v>
      </c>
      <c r="M1443">
        <v>-0.99959759999999998</v>
      </c>
      <c r="N1443">
        <v>-1.367489E-2</v>
      </c>
      <c r="O1443">
        <v>2.4854299999999999E-2</v>
      </c>
      <c r="P1443">
        <v>-0.93311489999999997</v>
      </c>
      <c r="Q1443">
        <v>0.3586877</v>
      </c>
      <c r="R1443">
        <v>-2.529E-2</v>
      </c>
      <c r="S1443">
        <v>-3.3176570000000001</v>
      </c>
      <c r="T1443">
        <v>-0.28037859999999998</v>
      </c>
      <c r="U1443">
        <v>-0.14059449999999901</v>
      </c>
      <c r="V1443">
        <v>-4.703769E-2</v>
      </c>
      <c r="W1443">
        <v>0.37158720000000001</v>
      </c>
      <c r="X1443">
        <v>0.92720570000000002</v>
      </c>
      <c r="Y1443">
        <v>-6.682225E-2</v>
      </c>
      <c r="Z1443">
        <v>-5.0320740000000001E-3</v>
      </c>
      <c r="AA1443">
        <v>0.99775219999999998</v>
      </c>
      <c r="AB1443">
        <v>40</v>
      </c>
      <c r="AC1443">
        <v>-12.7541999999999</v>
      </c>
      <c r="AD1443">
        <v>-1.10906116753939</v>
      </c>
      <c r="AE1443">
        <v>-0.56610000000000504</v>
      </c>
      <c r="AF1443">
        <v>-0.87633808114468503</v>
      </c>
      <c r="AG1443">
        <v>-1.10906116753939</v>
      </c>
      <c r="AH1443">
        <v>12.6407932790031</v>
      </c>
      <c r="AI1443">
        <v>95.002156802075106</v>
      </c>
      <c r="AJ1443">
        <v>93.965753124130998</v>
      </c>
      <c r="AK1443">
        <v>12.719577030243499</v>
      </c>
      <c r="AL1443">
        <v>68.186462653701</v>
      </c>
      <c r="AM1443">
        <v>92.904158896134604</v>
      </c>
      <c r="AN1443">
        <v>1.00000000079843</v>
      </c>
    </row>
    <row r="1444" spans="1:40" x14ac:dyDescent="0.25">
      <c r="A1444" t="str">
        <f>"20190304164625659"</f>
        <v>20190304164625659</v>
      </c>
      <c r="B1444" t="str">
        <f>"1551689185649275"</f>
        <v>1551689185649275</v>
      </c>
      <c r="C1444" t="s">
        <v>40</v>
      </c>
      <c r="D1444">
        <v>4.4772270000000001</v>
      </c>
      <c r="E1444">
        <v>0.5045153</v>
      </c>
      <c r="F1444" t="s">
        <v>49</v>
      </c>
      <c r="G1444">
        <v>-273.32310000000001</v>
      </c>
      <c r="H1444" s="1">
        <v>3.0522300000000001E-7</v>
      </c>
      <c r="I1444">
        <v>282.93189999999998</v>
      </c>
      <c r="J1444">
        <v>-260.08510000000001</v>
      </c>
      <c r="K1444">
        <v>1.1090279999999999</v>
      </c>
      <c r="L1444">
        <v>283.60430000000002</v>
      </c>
      <c r="M1444">
        <v>-0.99955260000000001</v>
      </c>
      <c r="N1444">
        <v>-1.386741E-2</v>
      </c>
      <c r="O1444">
        <v>2.6505109999999998E-2</v>
      </c>
      <c r="P1444">
        <v>-0.93276680000000001</v>
      </c>
      <c r="Q1444">
        <v>0.35968810000000001</v>
      </c>
      <c r="R1444">
        <v>-2.3893040000000001E-2</v>
      </c>
      <c r="S1444">
        <v>-3.3143009999999999</v>
      </c>
      <c r="T1444">
        <v>-0.26958739999999998</v>
      </c>
      <c r="U1444">
        <v>-0.1607056</v>
      </c>
      <c r="V1444">
        <v>-4.7122450000000003E-2</v>
      </c>
      <c r="W1444">
        <v>0.37276629999999999</v>
      </c>
      <c r="X1444">
        <v>0.926728</v>
      </c>
      <c r="Y1444">
        <v>-7.4543269999999995E-2</v>
      </c>
      <c r="Z1444">
        <v>-5.3275739999999999E-3</v>
      </c>
      <c r="AA1444">
        <v>0.99720350000000002</v>
      </c>
      <c r="AB1444">
        <v>40</v>
      </c>
      <c r="AC1444">
        <v>-13.238</v>
      </c>
      <c r="AD1444">
        <v>-1.1090276947769999</v>
      </c>
      <c r="AE1444">
        <v>-0.67240000000003797</v>
      </c>
      <c r="AF1444">
        <v>-1.0159599783588</v>
      </c>
      <c r="AG1444">
        <v>-1.1090276947769999</v>
      </c>
      <c r="AH1444">
        <v>13.123654116981401</v>
      </c>
      <c r="AI1444">
        <v>94.816019898586603</v>
      </c>
      <c r="AJ1444">
        <v>94.426690181264206</v>
      </c>
      <c r="AK1444">
        <v>13.2095576946229</v>
      </c>
      <c r="AL1444">
        <v>68.1136766400775</v>
      </c>
      <c r="AM1444">
        <v>92.910880208785201</v>
      </c>
      <c r="AN1444">
        <v>1.00000001284684</v>
      </c>
    </row>
    <row r="1445" spans="1:40" x14ac:dyDescent="0.25">
      <c r="A1445" t="str">
        <f>"20190304164625680"</f>
        <v>20190304164625680</v>
      </c>
      <c r="B1445" t="str">
        <f>"1551689185669771"</f>
        <v>1551689185669771</v>
      </c>
      <c r="C1445" t="s">
        <v>40</v>
      </c>
      <c r="D1445">
        <v>4.6465540000000001</v>
      </c>
      <c r="E1445">
        <v>0.50316539999999998</v>
      </c>
      <c r="F1445" t="s">
        <v>49</v>
      </c>
      <c r="G1445">
        <v>-274.21460000000002</v>
      </c>
      <c r="H1445" s="1">
        <v>7.8145980000000003E-7</v>
      </c>
      <c r="I1445">
        <v>282.8897</v>
      </c>
      <c r="J1445">
        <v>-260.47879999999998</v>
      </c>
      <c r="K1445">
        <v>1.1090180000000001</v>
      </c>
      <c r="L1445">
        <v>283.61630000000002</v>
      </c>
      <c r="M1445">
        <v>-0.99950530000000004</v>
      </c>
      <c r="N1445">
        <v>-1.4033199999999999E-2</v>
      </c>
      <c r="O1445">
        <v>2.8145429999999999E-2</v>
      </c>
      <c r="P1445">
        <v>-0.93263790000000002</v>
      </c>
      <c r="Q1445">
        <v>0.36006080000000001</v>
      </c>
      <c r="R1445">
        <v>-2.3298119999999999E-2</v>
      </c>
      <c r="S1445">
        <v>-3.3121640000000001</v>
      </c>
      <c r="T1445">
        <v>-0.25997350000000002</v>
      </c>
      <c r="U1445">
        <v>-0.16751099999999999</v>
      </c>
      <c r="V1445">
        <v>-4.8023459999999997E-2</v>
      </c>
      <c r="W1445">
        <v>0.3732972</v>
      </c>
      <c r="X1445">
        <v>0.92646799999999996</v>
      </c>
      <c r="Y1445">
        <v>-7.8260620000000003E-2</v>
      </c>
      <c r="Z1445">
        <v>-5.4255040000000003E-3</v>
      </c>
      <c r="AA1445">
        <v>0.99691810000000003</v>
      </c>
      <c r="AB1445">
        <v>40</v>
      </c>
      <c r="AC1445">
        <v>-13.735799999999999</v>
      </c>
      <c r="AD1445">
        <v>-1.1090172185402001</v>
      </c>
      <c r="AE1445">
        <v>-0.72660000000001901</v>
      </c>
      <c r="AF1445">
        <v>-1.10576202969827</v>
      </c>
      <c r="AG1445">
        <v>-1.1090172185402001</v>
      </c>
      <c r="AH1445">
        <v>13.6213575190336</v>
      </c>
      <c r="AI1445">
        <v>94.639419099091398</v>
      </c>
      <c r="AJ1445">
        <v>94.641011372147403</v>
      </c>
      <c r="AK1445">
        <v>13.711090748685001</v>
      </c>
      <c r="AL1445">
        <v>68.080891645939005</v>
      </c>
      <c r="AM1445">
        <v>92.967270536519905</v>
      </c>
      <c r="AN1445">
        <v>1.0000000036311001</v>
      </c>
    </row>
    <row r="1446" spans="1:40" x14ac:dyDescent="0.25">
      <c r="A1446" t="str">
        <f>"20190304164625703"</f>
        <v>20190304164625703</v>
      </c>
      <c r="B1446" t="str">
        <f>"1551689185700027"</f>
        <v>1551689185700027</v>
      </c>
      <c r="C1446" t="s">
        <v>40</v>
      </c>
      <c r="D1446">
        <v>4.4429809999999996</v>
      </c>
      <c r="E1446">
        <v>0.50168170000000001</v>
      </c>
      <c r="F1446" t="s">
        <v>49</v>
      </c>
      <c r="G1446">
        <v>-275.00349999999997</v>
      </c>
      <c r="H1446" s="1">
        <v>1.202496E-6</v>
      </c>
      <c r="I1446">
        <v>282.86279999999999</v>
      </c>
      <c r="J1446">
        <v>-260.88799999999998</v>
      </c>
      <c r="K1446">
        <v>1.109013</v>
      </c>
      <c r="L1446">
        <v>283.62939999999998</v>
      </c>
      <c r="M1446">
        <v>-0.99945450000000002</v>
      </c>
      <c r="N1446">
        <v>-1.418205E-2</v>
      </c>
      <c r="O1446">
        <v>2.9830740000000001E-2</v>
      </c>
      <c r="P1446">
        <v>-0.93264320000000001</v>
      </c>
      <c r="Q1446">
        <v>0.36011369999999998</v>
      </c>
      <c r="R1446">
        <v>-2.2250949999999999E-2</v>
      </c>
      <c r="S1446">
        <v>-3.3099370000000001</v>
      </c>
      <c r="T1446">
        <v>-0.25272610000000001</v>
      </c>
      <c r="U1446">
        <v>-0.1717224</v>
      </c>
      <c r="V1446">
        <v>-4.8532249999999999E-2</v>
      </c>
      <c r="W1446">
        <v>0.37349130000000003</v>
      </c>
      <c r="X1446">
        <v>0.92636320000000005</v>
      </c>
      <c r="Y1446">
        <v>-8.1244419999999998E-2</v>
      </c>
      <c r="Z1446">
        <v>-5.5233699999999997E-3</v>
      </c>
      <c r="AA1446">
        <v>0.99667890000000003</v>
      </c>
      <c r="AB1446">
        <v>40</v>
      </c>
      <c r="AC1446">
        <v>-14.1154999999999</v>
      </c>
      <c r="AD1446">
        <v>-1.1090117975039999</v>
      </c>
      <c r="AE1446">
        <v>-0.76659999999998196</v>
      </c>
      <c r="AF1446">
        <v>-1.18011372308874</v>
      </c>
      <c r="AG1446">
        <v>-1.1090117975039999</v>
      </c>
      <c r="AH1446">
        <v>14.000180604384401</v>
      </c>
      <c r="AI1446">
        <v>94.513237418969595</v>
      </c>
      <c r="AJ1446">
        <v>94.818228756474795</v>
      </c>
      <c r="AK1446">
        <v>14.093531584447</v>
      </c>
      <c r="AL1446">
        <v>68.068902326919101</v>
      </c>
      <c r="AM1446">
        <v>92.998989166263101</v>
      </c>
      <c r="AN1446">
        <v>0.999999954389995</v>
      </c>
    </row>
    <row r="1447" spans="1:40" x14ac:dyDescent="0.25">
      <c r="A1447" t="str">
        <f>"20190304164625726"</f>
        <v>20190304164625726</v>
      </c>
      <c r="B1447" t="str">
        <f>"1551689185719548"</f>
        <v>1551689185719548</v>
      </c>
      <c r="C1447" t="s">
        <v>40</v>
      </c>
      <c r="D1447">
        <v>4.4497540000000004</v>
      </c>
      <c r="E1447">
        <v>0.50089030000000001</v>
      </c>
      <c r="F1447" t="s">
        <v>49</v>
      </c>
      <c r="G1447">
        <v>-275.94510000000002</v>
      </c>
      <c r="H1447" s="1">
        <v>1.705301E-6</v>
      </c>
      <c r="I1447">
        <v>282.82319999999999</v>
      </c>
      <c r="J1447">
        <v>-261.29059999999998</v>
      </c>
      <c r="K1447">
        <v>1.1090199999999999</v>
      </c>
      <c r="L1447">
        <v>283.6429</v>
      </c>
      <c r="M1447">
        <v>-0.99940289999999998</v>
      </c>
      <c r="N1447">
        <v>-1.430799E-2</v>
      </c>
      <c r="O1447">
        <v>3.1453960000000003E-2</v>
      </c>
      <c r="P1447">
        <v>-0.9326392</v>
      </c>
      <c r="Q1447">
        <v>0.36019220000000002</v>
      </c>
      <c r="R1447">
        <v>-2.11141E-2</v>
      </c>
      <c r="S1447">
        <v>-3.3064879999999999</v>
      </c>
      <c r="T1447">
        <v>-0.24353379999999999</v>
      </c>
      <c r="U1447">
        <v>-0.17703250000000001</v>
      </c>
      <c r="V1447">
        <v>-4.8910189999999999E-2</v>
      </c>
      <c r="W1447">
        <v>0.3736873</v>
      </c>
      <c r="X1447">
        <v>0.92626430000000004</v>
      </c>
      <c r="Y1447">
        <v>-8.4521959999999993E-2</v>
      </c>
      <c r="Z1447">
        <v>-5.5752340000000001E-3</v>
      </c>
      <c r="AA1447">
        <v>0.99640600000000001</v>
      </c>
      <c r="AB1447">
        <v>40</v>
      </c>
      <c r="AC1447">
        <v>-14.654500000000001</v>
      </c>
      <c r="AD1447">
        <v>-1.1090182946989999</v>
      </c>
      <c r="AE1447">
        <v>-0.81970000000001098</v>
      </c>
      <c r="AF1447">
        <v>-1.2730155656400199</v>
      </c>
      <c r="AG1447">
        <v>-1.1090182946989999</v>
      </c>
      <c r="AH1447">
        <v>14.5384584156849</v>
      </c>
      <c r="AI1447">
        <v>94.345608207010201</v>
      </c>
      <c r="AJ1447">
        <v>95.004166288135394</v>
      </c>
      <c r="AK1447">
        <v>14.6361628616567</v>
      </c>
      <c r="AL1447">
        <v>68.056796340487693</v>
      </c>
      <c r="AM1447">
        <v>93.022622462591698</v>
      </c>
      <c r="AN1447">
        <v>0.99999997916080696</v>
      </c>
    </row>
    <row r="1448" spans="1:40" x14ac:dyDescent="0.25">
      <c r="A1448" t="str">
        <f>"20190304164625748"</f>
        <v>20190304164625748</v>
      </c>
      <c r="B1448" t="str">
        <f>"1551689185739067"</f>
        <v>1551689185739067</v>
      </c>
      <c r="C1448" t="s">
        <v>40</v>
      </c>
      <c r="D1448">
        <v>4.4412629999999904</v>
      </c>
      <c r="E1448">
        <v>0.50010219999999905</v>
      </c>
      <c r="F1448" t="s">
        <v>49</v>
      </c>
      <c r="G1448">
        <v>-276.62180000000001</v>
      </c>
      <c r="H1448" s="1">
        <v>2.0661329999999999E-6</v>
      </c>
      <c r="I1448">
        <v>282.80630000000002</v>
      </c>
      <c r="J1448">
        <v>-261.685</v>
      </c>
      <c r="K1448">
        <v>1.1090450000000001</v>
      </c>
      <c r="L1448">
        <v>283.65660000000003</v>
      </c>
      <c r="M1448">
        <v>-0.99935169999999995</v>
      </c>
      <c r="N1448">
        <v>-1.441391E-2</v>
      </c>
      <c r="O1448">
        <v>3.2994629999999997E-2</v>
      </c>
      <c r="P1448">
        <v>-0.93249559999999998</v>
      </c>
      <c r="Q1448">
        <v>0.36059219999999997</v>
      </c>
      <c r="R1448">
        <v>-2.0618649999999999E-2</v>
      </c>
      <c r="S1448">
        <v>-3.304932</v>
      </c>
      <c r="T1448">
        <v>-0.23907030000000001</v>
      </c>
      <c r="U1448">
        <v>-0.1803284</v>
      </c>
      <c r="V1448">
        <v>-4.986136E-2</v>
      </c>
      <c r="W1448">
        <v>0.37418390000000001</v>
      </c>
      <c r="X1448">
        <v>0.92601310000000003</v>
      </c>
      <c r="Y1448">
        <v>-8.7074260000000001E-2</v>
      </c>
      <c r="Z1448">
        <v>-5.6793089999999996E-3</v>
      </c>
      <c r="AA1448">
        <v>0.99618569999999995</v>
      </c>
      <c r="AB1448">
        <v>40</v>
      </c>
      <c r="AC1448">
        <v>-14.9368</v>
      </c>
      <c r="AD1448">
        <v>-1.109042933867</v>
      </c>
      <c r="AE1448">
        <v>-0.85030000000000405</v>
      </c>
      <c r="AF1448">
        <v>-1.3353841929938499</v>
      </c>
      <c r="AG1448">
        <v>-1.109042933867</v>
      </c>
      <c r="AH1448">
        <v>14.8191744016955</v>
      </c>
      <c r="AI1448">
        <v>94.262736594181106</v>
      </c>
      <c r="AJ1448">
        <v>95.149125263794204</v>
      </c>
      <c r="AK1448">
        <v>14.920494533356599</v>
      </c>
      <c r="AL1448">
        <v>68.026118230000904</v>
      </c>
      <c r="AM1448">
        <v>93.082126295868093</v>
      </c>
      <c r="AN1448">
        <v>1.00000000380593</v>
      </c>
    </row>
    <row r="1449" spans="1:40" x14ac:dyDescent="0.25">
      <c r="A1449" t="str">
        <f>"20190304164625771"</f>
        <v>20190304164625771</v>
      </c>
      <c r="B1449" t="str">
        <f>"1551689185759563"</f>
        <v>1551689185759563</v>
      </c>
      <c r="C1449" t="s">
        <v>40</v>
      </c>
      <c r="D1449">
        <v>4.4711559999999997</v>
      </c>
      <c r="E1449">
        <v>0.49933060000000001</v>
      </c>
      <c r="F1449" t="s">
        <v>49</v>
      </c>
      <c r="G1449">
        <v>-277.32139999999998</v>
      </c>
      <c r="H1449" s="1">
        <v>2.4395659999999998E-6</v>
      </c>
      <c r="I1449">
        <v>282.77940000000001</v>
      </c>
      <c r="J1449">
        <v>-262.0822</v>
      </c>
      <c r="K1449">
        <v>1.1090899999999999</v>
      </c>
      <c r="L1449">
        <v>283.67110000000002</v>
      </c>
      <c r="M1449">
        <v>-0.99929990000000002</v>
      </c>
      <c r="N1449">
        <v>-1.4505499999999999E-2</v>
      </c>
      <c r="O1449">
        <v>3.4485879999999997E-2</v>
      </c>
      <c r="P1449">
        <v>-0.93267610000000001</v>
      </c>
      <c r="Q1449">
        <v>0.36016700000000001</v>
      </c>
      <c r="R1449">
        <v>-1.9877760000000001E-2</v>
      </c>
      <c r="S1449">
        <v>-3.3036799999999999</v>
      </c>
      <c r="T1449">
        <v>-0.23432020000000001</v>
      </c>
      <c r="U1449">
        <v>-0.18533330000000001</v>
      </c>
      <c r="V1449">
        <v>-5.0548820000000001E-2</v>
      </c>
      <c r="W1449">
        <v>0.3738438</v>
      </c>
      <c r="X1449">
        <v>0.92611310000000002</v>
      </c>
      <c r="Y1449">
        <v>-9.0086269999999996E-2</v>
      </c>
      <c r="Z1449">
        <v>-5.7850779999999999E-3</v>
      </c>
      <c r="AA1449">
        <v>0.9959171</v>
      </c>
      <c r="AB1449">
        <v>40</v>
      </c>
      <c r="AC1449">
        <v>-15.239199999999901</v>
      </c>
      <c r="AD1449">
        <v>-1.10908756043399</v>
      </c>
      <c r="AE1449">
        <v>-0.89170000000001404</v>
      </c>
      <c r="AF1449">
        <v>-1.4093226964743499</v>
      </c>
      <c r="AG1449">
        <v>-1.10908756043399</v>
      </c>
      <c r="AH1449">
        <v>15.1195683749424</v>
      </c>
      <c r="AI1449">
        <v>94.177342435731603</v>
      </c>
      <c r="AJ1449">
        <v>95.325257519005106</v>
      </c>
      <c r="AK1449">
        <v>15.2255579051825</v>
      </c>
      <c r="AL1449">
        <v>68.047127564479297</v>
      </c>
      <c r="AM1449">
        <v>93.124200553432303</v>
      </c>
      <c r="AN1449">
        <v>0.99999992199671806</v>
      </c>
    </row>
    <row r="1450" spans="1:40" x14ac:dyDescent="0.25">
      <c r="A1450" t="str">
        <f>"20190304164625796"</f>
        <v>20190304164625796</v>
      </c>
      <c r="B1450" t="str">
        <f>"1551689185789819"</f>
        <v>1551689185789819</v>
      </c>
      <c r="C1450" t="s">
        <v>40</v>
      </c>
      <c r="D1450">
        <v>4.4214120000000001</v>
      </c>
      <c r="E1450">
        <v>0.49828620000000001</v>
      </c>
      <c r="F1450" t="s">
        <v>49</v>
      </c>
      <c r="G1450">
        <v>-277.60809999999998</v>
      </c>
      <c r="H1450" s="1">
        <v>2.5922660000000001E-6</v>
      </c>
      <c r="I1450">
        <v>282.77690000000001</v>
      </c>
      <c r="J1450">
        <v>-262.52690000000001</v>
      </c>
      <c r="K1450">
        <v>1.109154</v>
      </c>
      <c r="L1450">
        <v>283.68790000000001</v>
      </c>
      <c r="M1450">
        <v>-0.99924279999999999</v>
      </c>
      <c r="N1450">
        <v>-1.4592569999999999E-2</v>
      </c>
      <c r="O1450">
        <v>3.607022E-2</v>
      </c>
      <c r="P1450">
        <v>-0.93248520000000001</v>
      </c>
      <c r="Q1450">
        <v>0.36068349999999999</v>
      </c>
      <c r="R1450">
        <v>-1.9471390000000002E-2</v>
      </c>
      <c r="S1450">
        <v>-3.3035890000000001</v>
      </c>
      <c r="T1450">
        <v>-0.23599049999999999</v>
      </c>
      <c r="U1450">
        <v>-0.1902771</v>
      </c>
      <c r="V1450">
        <v>-5.1658959999999997E-2</v>
      </c>
      <c r="W1450">
        <v>0.37443460000000001</v>
      </c>
      <c r="X1450">
        <v>0.9258132</v>
      </c>
      <c r="Y1450">
        <v>-9.3135499999999996E-2</v>
      </c>
      <c r="Z1450">
        <v>-6.0468969999999999E-3</v>
      </c>
      <c r="AA1450">
        <v>0.9956351</v>
      </c>
      <c r="AB1450">
        <v>40</v>
      </c>
      <c r="AC1450">
        <v>-15.0811999999999</v>
      </c>
      <c r="AD1450">
        <v>-1.1091514077339999</v>
      </c>
      <c r="AE1450">
        <v>-0.91100000000000103</v>
      </c>
      <c r="AF1450">
        <v>-1.4466507716735699</v>
      </c>
      <c r="AG1450">
        <v>-1.1091514077339999</v>
      </c>
      <c r="AH1450">
        <v>14.9579086156696</v>
      </c>
      <c r="AI1450">
        <v>94.221182625276299</v>
      </c>
      <c r="AJ1450">
        <v>95.524167308550901</v>
      </c>
      <c r="AK1450">
        <v>15.0685780833888</v>
      </c>
      <c r="AL1450">
        <v>68.010628008830807</v>
      </c>
      <c r="AM1450">
        <v>93.193705076782095</v>
      </c>
      <c r="AN1450">
        <v>0.99999999955983998</v>
      </c>
    </row>
    <row r="1451" spans="1:40" x14ac:dyDescent="0.25">
      <c r="A1451" t="str">
        <f>"20190304164625838"</f>
        <v>20190304164625838</v>
      </c>
      <c r="B1451" t="str">
        <f>"1551689185829836"</f>
        <v>1551689185829836</v>
      </c>
      <c r="C1451" t="s">
        <v>40</v>
      </c>
      <c r="D1451">
        <v>4.4279970000000004</v>
      </c>
      <c r="E1451">
        <v>0.49722119999999997</v>
      </c>
      <c r="F1451" t="s">
        <v>49</v>
      </c>
      <c r="G1451">
        <v>-278.22719999999998</v>
      </c>
      <c r="H1451" s="1">
        <v>2.9230709999999999E-6</v>
      </c>
      <c r="I1451">
        <v>282.7457</v>
      </c>
      <c r="J1451">
        <v>-263.27629999999999</v>
      </c>
      <c r="K1451">
        <v>1.109294</v>
      </c>
      <c r="L1451">
        <v>283.71769999999998</v>
      </c>
      <c r="M1451">
        <v>-0.99914959999999997</v>
      </c>
      <c r="N1451">
        <v>-1.470747E-2</v>
      </c>
      <c r="O1451">
        <v>3.8521519999999997E-2</v>
      </c>
      <c r="P1451">
        <v>-0.93180099999999999</v>
      </c>
      <c r="Q1451">
        <v>0.36250880000000002</v>
      </c>
      <c r="R1451">
        <v>-1.829242E-2</v>
      </c>
      <c r="S1451">
        <v>-3.3033450000000002</v>
      </c>
      <c r="T1451">
        <v>-0.23336580000000001</v>
      </c>
      <c r="U1451">
        <v>-0.19824220000000001</v>
      </c>
      <c r="V1451">
        <v>-5.283235E-2</v>
      </c>
      <c r="W1451">
        <v>0.37634479999999998</v>
      </c>
      <c r="X1451">
        <v>0.92497209999999996</v>
      </c>
      <c r="Y1451">
        <v>-9.7962499999999994E-2</v>
      </c>
      <c r="Z1451">
        <v>-6.3254119999999999E-3</v>
      </c>
      <c r="AA1451">
        <v>0.99517</v>
      </c>
      <c r="AB1451">
        <v>40</v>
      </c>
      <c r="AC1451">
        <v>-14.950899999999899</v>
      </c>
      <c r="AD1451">
        <v>-1.1092910769290001</v>
      </c>
      <c r="AE1451">
        <v>-0.97199999999997999</v>
      </c>
      <c r="AF1451">
        <v>-1.5388364286637399</v>
      </c>
      <c r="AG1451">
        <v>-1.1092910769290001</v>
      </c>
      <c r="AH1451">
        <v>14.8211070279991</v>
      </c>
      <c r="AI1451">
        <v>94.257540461839895</v>
      </c>
      <c r="AJ1451">
        <v>95.927630276803896</v>
      </c>
      <c r="AK1451">
        <v>14.942013177043499</v>
      </c>
      <c r="AL1451">
        <v>67.892546500311994</v>
      </c>
      <c r="AM1451">
        <v>93.269055603147706</v>
      </c>
      <c r="AN1451">
        <v>1.00000002573598</v>
      </c>
    </row>
    <row r="1452" spans="1:40" x14ac:dyDescent="0.25">
      <c r="A1452" t="str">
        <f>"20190304164625859"</f>
        <v>20190304164625859</v>
      </c>
      <c r="B1452" t="str">
        <f>"1551689185849356"</f>
        <v>1551689185849356</v>
      </c>
      <c r="C1452" t="s">
        <v>40</v>
      </c>
      <c r="D1452">
        <v>4.390631</v>
      </c>
      <c r="E1452">
        <v>0.49673489999999998</v>
      </c>
      <c r="F1452" t="s">
        <v>49</v>
      </c>
      <c r="G1452">
        <v>-279.4676</v>
      </c>
      <c r="H1452" s="1">
        <v>3.584255E-6</v>
      </c>
      <c r="I1452">
        <v>282.72030000000001</v>
      </c>
      <c r="J1452">
        <v>-263.65170000000001</v>
      </c>
      <c r="K1452">
        <v>1.109364</v>
      </c>
      <c r="L1452">
        <v>283.73320000000001</v>
      </c>
      <c r="M1452">
        <v>-0.9991044</v>
      </c>
      <c r="N1452">
        <v>-1.475331E-2</v>
      </c>
      <c r="O1452">
        <v>3.9656879999999999E-2</v>
      </c>
      <c r="P1452">
        <v>-0.93152860000000004</v>
      </c>
      <c r="Q1452">
        <v>0.36331360000000001</v>
      </c>
      <c r="R1452">
        <v>-1.6057789999999999E-2</v>
      </c>
      <c r="S1452">
        <v>-3.3035890000000001</v>
      </c>
      <c r="T1452">
        <v>-0.22633500000000001</v>
      </c>
      <c r="U1452">
        <v>-0.2035217</v>
      </c>
      <c r="V1452">
        <v>-5.1695329999999998E-2</v>
      </c>
      <c r="W1452">
        <v>0.37717659999999997</v>
      </c>
      <c r="X1452">
        <v>0.92469749999999995</v>
      </c>
      <c r="Y1452">
        <v>-0.1006842</v>
      </c>
      <c r="Z1452">
        <v>-6.313824E-3</v>
      </c>
      <c r="AA1452">
        <v>0.99489839999999996</v>
      </c>
      <c r="AB1452">
        <v>40</v>
      </c>
      <c r="AC1452">
        <v>-15.815899999999999</v>
      </c>
      <c r="AD1452">
        <v>-1.1093604157449899</v>
      </c>
      <c r="AE1452">
        <v>-1.0128999999999999</v>
      </c>
      <c r="AF1452">
        <v>-1.6313870772833201</v>
      </c>
      <c r="AG1452">
        <v>-1.1093604157449899</v>
      </c>
      <c r="AH1452">
        <v>15.686422384439901</v>
      </c>
      <c r="AI1452">
        <v>94.023653584494696</v>
      </c>
      <c r="AJ1452">
        <v>95.937413025492901</v>
      </c>
      <c r="AK1452">
        <v>15.809995305217701</v>
      </c>
      <c r="AL1452">
        <v>67.841096669647499</v>
      </c>
      <c r="AM1452">
        <v>93.199797000766495</v>
      </c>
      <c r="AN1452">
        <v>1.0000000306187999</v>
      </c>
    </row>
    <row r="1453" spans="1:40" x14ac:dyDescent="0.25">
      <c r="A1453" t="str">
        <f>"20190304164625881"</f>
        <v>20190304164625881</v>
      </c>
      <c r="B1453" t="str">
        <f>"1551689185869851"</f>
        <v>1551689185869851</v>
      </c>
      <c r="C1453" t="s">
        <v>40</v>
      </c>
      <c r="D1453">
        <v>4.4797969999999996</v>
      </c>
      <c r="E1453">
        <v>0.49657010000000001</v>
      </c>
      <c r="F1453" t="s">
        <v>50</v>
      </c>
      <c r="G1453">
        <v>-280.0872</v>
      </c>
      <c r="H1453" s="1">
        <v>8.7541779999999998E-6</v>
      </c>
      <c r="I1453">
        <v>282.726</v>
      </c>
      <c r="J1453">
        <v>-264.05079999999998</v>
      </c>
      <c r="K1453">
        <v>1.1094440000000001</v>
      </c>
      <c r="L1453">
        <v>283.75020000000001</v>
      </c>
      <c r="M1453">
        <v>-0.99905790000000005</v>
      </c>
      <c r="N1453">
        <v>-1.479453E-2</v>
      </c>
      <c r="O1453">
        <v>4.0797939999999998E-2</v>
      </c>
      <c r="P1453">
        <v>-0.93138509999999997</v>
      </c>
      <c r="Q1453">
        <v>0.363732</v>
      </c>
      <c r="R1453">
        <v>-1.486032E-2</v>
      </c>
      <c r="S1453">
        <v>-3.3040159999999998</v>
      </c>
      <c r="T1453">
        <v>-0.22301299999999999</v>
      </c>
      <c r="U1453">
        <v>-0.2024841</v>
      </c>
      <c r="V1453">
        <v>-5.1608910000000001E-2</v>
      </c>
      <c r="W1453">
        <v>0.37762299999999999</v>
      </c>
      <c r="X1453">
        <v>0.92452009999999996</v>
      </c>
      <c r="Y1453">
        <v>-0.10150720000000001</v>
      </c>
      <c r="Z1453">
        <v>-6.3172039999999999E-3</v>
      </c>
      <c r="AA1453">
        <v>0.9948148</v>
      </c>
      <c r="AB1453">
        <v>40</v>
      </c>
      <c r="AC1453">
        <v>-16.0364</v>
      </c>
      <c r="AD1453">
        <v>-1.109435245822</v>
      </c>
      <c r="AE1453">
        <v>-1.0242</v>
      </c>
      <c r="AF1453">
        <v>-1.66971167134772</v>
      </c>
      <c r="AG1453">
        <v>-1.109435245822</v>
      </c>
      <c r="AH1453">
        <v>15.905438397240999</v>
      </c>
      <c r="AI1453">
        <v>93.968293773449503</v>
      </c>
      <c r="AJ1453">
        <v>95.992812547280394</v>
      </c>
      <c r="AK1453">
        <v>16.031274254984702</v>
      </c>
      <c r="AL1453">
        <v>67.813476977977302</v>
      </c>
      <c r="AM1453">
        <v>93.195070624521904</v>
      </c>
      <c r="AN1453">
        <v>1.00000001251219</v>
      </c>
    </row>
    <row r="1454" spans="1:40" x14ac:dyDescent="0.25">
      <c r="A1454" t="str">
        <f>"20190304164625906"</f>
        <v>20190304164625906</v>
      </c>
      <c r="B1454" t="str">
        <f>"1551689185899131"</f>
        <v>1551689185899131</v>
      </c>
      <c r="C1454" t="s">
        <v>40</v>
      </c>
      <c r="D1454">
        <v>4.3784530000000004</v>
      </c>
      <c r="E1454">
        <v>0.52593619999999996</v>
      </c>
      <c r="F1454" t="s">
        <v>50</v>
      </c>
      <c r="G1454">
        <v>-280.58870000000002</v>
      </c>
      <c r="H1454" s="1">
        <v>8.5265459999999996E-6</v>
      </c>
      <c r="I1454">
        <v>282.75139999999999</v>
      </c>
      <c r="J1454">
        <v>-264.47890000000001</v>
      </c>
      <c r="K1454">
        <v>1.1095360000000001</v>
      </c>
      <c r="L1454">
        <v>283.7688</v>
      </c>
      <c r="M1454">
        <v>-0.99901030000000002</v>
      </c>
      <c r="N1454">
        <v>-1.4831769999999999E-2</v>
      </c>
      <c r="O1454">
        <v>4.193272E-2</v>
      </c>
      <c r="P1454">
        <v>-0.93122179999999999</v>
      </c>
      <c r="Q1454">
        <v>0.36416999999999999</v>
      </c>
      <c r="R1454">
        <v>-1.435522E-2</v>
      </c>
      <c r="S1454">
        <v>-3.3043819999999999</v>
      </c>
      <c r="T1454">
        <v>-0.22167310000000001</v>
      </c>
      <c r="U1454">
        <v>-0.19955439999999999</v>
      </c>
      <c r="V1454">
        <v>-5.2219849999999998E-2</v>
      </c>
      <c r="W1454">
        <v>0.37808520000000001</v>
      </c>
      <c r="X1454">
        <v>0.92429689999999998</v>
      </c>
      <c r="Y1454">
        <v>-0.1017535</v>
      </c>
      <c r="Z1454">
        <v>-6.3492729999999999E-3</v>
      </c>
      <c r="AA1454">
        <v>0.99478940000000005</v>
      </c>
      <c r="AB1454">
        <v>39</v>
      </c>
      <c r="AC1454">
        <v>-16.1098</v>
      </c>
      <c r="AD1454">
        <v>-1.1095274734539999</v>
      </c>
      <c r="AE1454">
        <v>-1.0174000000000001</v>
      </c>
      <c r="AF1454">
        <v>-1.6841500378874401</v>
      </c>
      <c r="AG1454">
        <v>-1.1095274734539999</v>
      </c>
      <c r="AH1454">
        <v>15.977472719581099</v>
      </c>
      <c r="AI1454">
        <v>93.950610545457494</v>
      </c>
      <c r="AJ1454">
        <v>96.017201647062905</v>
      </c>
      <c r="AK1454">
        <v>16.104255557753199</v>
      </c>
      <c r="AL1454">
        <v>67.784875189104099</v>
      </c>
      <c r="AM1454">
        <v>93.233592732204301</v>
      </c>
      <c r="AN1454">
        <v>1.00000004527133</v>
      </c>
    </row>
    <row r="1455" spans="1:40" x14ac:dyDescent="0.25">
      <c r="A1455" t="str">
        <f>"20190304164625928"</f>
        <v>20190304164625928</v>
      </c>
      <c r="B1455" t="str">
        <f>"1551689185919628"</f>
        <v>1551689185919628</v>
      </c>
      <c r="C1455" t="s">
        <v>40</v>
      </c>
      <c r="D1455">
        <v>4.3125410000000004</v>
      </c>
      <c r="E1455">
        <v>0.53148439999999997</v>
      </c>
      <c r="F1455" t="s">
        <v>49</v>
      </c>
      <c r="G1455">
        <v>-276.18369999999999</v>
      </c>
      <c r="H1455" s="1">
        <v>1.786469E-6</v>
      </c>
      <c r="I1455">
        <v>283.87090000000001</v>
      </c>
      <c r="J1455">
        <v>-264.86540000000002</v>
      </c>
      <c r="K1455">
        <v>1.1096239999999999</v>
      </c>
      <c r="L1455">
        <v>283.78590000000003</v>
      </c>
      <c r="M1455">
        <v>-0.99897009999999997</v>
      </c>
      <c r="N1455">
        <v>-1.4859860000000001E-2</v>
      </c>
      <c r="O1455">
        <v>4.287386E-2</v>
      </c>
      <c r="P1455">
        <v>-0.93073550000000005</v>
      </c>
      <c r="Q1455">
        <v>0.36543100000000001</v>
      </c>
      <c r="R1455">
        <v>-1.3856739999999999E-2</v>
      </c>
      <c r="S1455">
        <v>-3.346069</v>
      </c>
      <c r="T1455">
        <v>-0.31718359999999901</v>
      </c>
      <c r="U1455">
        <v>2.920532E-2</v>
      </c>
      <c r="V1455">
        <v>-5.2642920000000003E-2</v>
      </c>
      <c r="W1455">
        <v>0.37935530000000001</v>
      </c>
      <c r="X1455">
        <v>0.92375220000000002</v>
      </c>
      <c r="Y1455">
        <v>-3.384496E-2</v>
      </c>
      <c r="Z1455">
        <v>-5.2703979999999999E-3</v>
      </c>
      <c r="AA1455">
        <v>0.9994132</v>
      </c>
      <c r="AB1455">
        <v>39</v>
      </c>
      <c r="AC1455">
        <v>-11.318299999999899</v>
      </c>
      <c r="AD1455">
        <v>-1.1096222135310001</v>
      </c>
      <c r="AE1455">
        <v>8.4999999999979495E-2</v>
      </c>
      <c r="AF1455">
        <v>-0.396579431587258</v>
      </c>
      <c r="AG1455">
        <v>-1.1096222135310001</v>
      </c>
      <c r="AH1455">
        <v>11.2038561553249</v>
      </c>
      <c r="AI1455">
        <v>95.652572555482905</v>
      </c>
      <c r="AJ1455">
        <v>92.027234613526701</v>
      </c>
      <c r="AK1455">
        <v>11.265652642059001</v>
      </c>
      <c r="AL1455">
        <v>67.706244033797702</v>
      </c>
      <c r="AM1455">
        <v>93.261652076252702</v>
      </c>
      <c r="AN1455">
        <v>0.99999992383452496</v>
      </c>
    </row>
    <row r="1456" spans="1:40" x14ac:dyDescent="0.25">
      <c r="A1456" t="str">
        <f>"20190304164625949"</f>
        <v>20190304164625949</v>
      </c>
      <c r="B1456" t="str">
        <f>"1551689185939147"</f>
        <v>1551689185939147</v>
      </c>
      <c r="C1456" t="s">
        <v>40</v>
      </c>
      <c r="D1456">
        <v>4.3131219999999999</v>
      </c>
      <c r="E1456">
        <v>0.53405369999999996</v>
      </c>
      <c r="F1456" t="s">
        <v>41</v>
      </c>
      <c r="G1456">
        <v>-265.7088</v>
      </c>
      <c r="H1456">
        <v>1.0305409999999999</v>
      </c>
      <c r="I1456">
        <v>283.80540000000002</v>
      </c>
      <c r="J1456">
        <v>-265.23599999999999</v>
      </c>
      <c r="K1456">
        <v>1.1097140000000001</v>
      </c>
      <c r="L1456">
        <v>283.80259999999998</v>
      </c>
      <c r="M1456">
        <v>-0.99893399999999999</v>
      </c>
      <c r="N1456">
        <v>-1.488248E-2</v>
      </c>
      <c r="O1456">
        <v>4.3698599999999997E-2</v>
      </c>
      <c r="P1456">
        <v>-0.93044530000000003</v>
      </c>
      <c r="Q1456">
        <v>0.3661896</v>
      </c>
      <c r="R1456">
        <v>-1.3304989999999999E-2</v>
      </c>
      <c r="S1456">
        <v>-3.3476870000000001</v>
      </c>
      <c r="T1456">
        <v>-0.314007599999999</v>
      </c>
      <c r="U1456">
        <v>7.6110839999999999E-2</v>
      </c>
      <c r="V1456">
        <v>-5.2918739999999999E-2</v>
      </c>
      <c r="W1456">
        <v>0.38012020000000002</v>
      </c>
      <c r="X1456">
        <v>0.92342199999999997</v>
      </c>
      <c r="Y1456">
        <v>-2.0743339999999999E-2</v>
      </c>
      <c r="Z1456">
        <v>-4.563905E-3</v>
      </c>
      <c r="AA1456">
        <v>0.99977439999999995</v>
      </c>
      <c r="AB1456">
        <v>39</v>
      </c>
      <c r="AC1456">
        <v>-0.47280000000000599</v>
      </c>
      <c r="AD1456">
        <v>-7.9172999999999896E-2</v>
      </c>
      <c r="AE1456">
        <v>2.8000000000361E-3</v>
      </c>
      <c r="AF1456">
        <v>-1.7378363708619102E-2</v>
      </c>
      <c r="AG1456">
        <v>-7.9172999999999896E-2</v>
      </c>
      <c r="AH1456">
        <v>0.45958372561451499</v>
      </c>
      <c r="AI1456">
        <v>99.7676218961399</v>
      </c>
      <c r="AJ1456">
        <v>92.165509086332506</v>
      </c>
      <c r="AK1456">
        <v>0.46667716068381399</v>
      </c>
      <c r="AL1456">
        <v>67.658871086714996</v>
      </c>
      <c r="AM1456">
        <v>93.279874006348194</v>
      </c>
      <c r="AN1456">
        <v>0.99999997478761304</v>
      </c>
    </row>
    <row r="1457" spans="1:40" x14ac:dyDescent="0.25">
      <c r="A1457" t="str">
        <f>"20190304164625994"</f>
        <v>20190304164625994</v>
      </c>
      <c r="B1457" t="str">
        <f>"1551689185989900"</f>
        <v>1551689185989900</v>
      </c>
      <c r="C1457" t="s">
        <v>40</v>
      </c>
      <c r="D1457">
        <v>4.2683160000000004</v>
      </c>
      <c r="E1457">
        <v>0.53583249999999905</v>
      </c>
      <c r="F1457" t="s">
        <v>41</v>
      </c>
      <c r="G1457">
        <v>-266.06189999999998</v>
      </c>
      <c r="H1457">
        <v>1.033021</v>
      </c>
      <c r="I1457">
        <v>283.82670000000002</v>
      </c>
      <c r="J1457">
        <v>-266.02289999999999</v>
      </c>
      <c r="K1457">
        <v>1.10992</v>
      </c>
      <c r="L1457">
        <v>283.83879999999999</v>
      </c>
      <c r="M1457">
        <v>-0.99886730000000001</v>
      </c>
      <c r="N1457">
        <v>-1.491955E-2</v>
      </c>
      <c r="O1457">
        <v>4.518519E-2</v>
      </c>
      <c r="P1457">
        <v>-0.93073689999999998</v>
      </c>
      <c r="Q1457">
        <v>0.36544729999999997</v>
      </c>
      <c r="R1457">
        <v>-1.3312259999999999E-2</v>
      </c>
      <c r="S1457">
        <v>-3.3480530000000002</v>
      </c>
      <c r="T1457">
        <v>-0.31099460000000001</v>
      </c>
      <c r="U1457">
        <v>9.7442630000000002E-2</v>
      </c>
      <c r="V1457">
        <v>-5.4496709999999997E-2</v>
      </c>
      <c r="W1457">
        <v>0.37939460000000003</v>
      </c>
      <c r="X1457">
        <v>0.92362860000000002</v>
      </c>
      <c r="Y1457">
        <v>-1.5892739999999999E-2</v>
      </c>
      <c r="Z1457">
        <v>-4.3676779999999998E-3</v>
      </c>
      <c r="AA1457">
        <v>0.99986419999999998</v>
      </c>
      <c r="AB1457">
        <v>39</v>
      </c>
      <c r="AC1457">
        <v>-3.8999999999987198E-2</v>
      </c>
      <c r="AD1457">
        <v>-7.6898999999999995E-2</v>
      </c>
      <c r="AE1457">
        <v>-1.2099999999975301E-2</v>
      </c>
      <c r="AF1457">
        <v>-3.0463172716730502E-3</v>
      </c>
      <c r="AG1457">
        <v>-7.6898999999999995E-2</v>
      </c>
      <c r="AH1457">
        <v>8.4490099462401509E-3</v>
      </c>
      <c r="AI1457">
        <v>173.33832345822901</v>
      </c>
      <c r="AJ1457">
        <v>109.826929110573</v>
      </c>
      <c r="AK1457">
        <v>7.7421715422685902E-2</v>
      </c>
      <c r="AL1457">
        <v>67.703811515825294</v>
      </c>
      <c r="AM1457">
        <v>93.376698837710293</v>
      </c>
      <c r="AN1457">
        <v>0.99999997232397098</v>
      </c>
    </row>
    <row r="1458" spans="1:40" x14ac:dyDescent="0.25">
      <c r="A1458" t="str">
        <f>"20190304164626017"</f>
        <v>20190304164626017</v>
      </c>
      <c r="B1458" t="str">
        <f>"1551689186009419"</f>
        <v>1551689186009419</v>
      </c>
      <c r="C1458" t="s">
        <v>40</v>
      </c>
      <c r="D1458">
        <v>4.257009</v>
      </c>
      <c r="E1458">
        <v>0.53598699999999999</v>
      </c>
      <c r="F1458" t="s">
        <v>49</v>
      </c>
      <c r="G1458">
        <v>-278.33580000000001</v>
      </c>
      <c r="H1458" s="1">
        <v>2.9149499999999999E-6</v>
      </c>
      <c r="I1458">
        <v>284.25369999999998</v>
      </c>
      <c r="J1458">
        <v>-266.41449999999998</v>
      </c>
      <c r="K1458">
        <v>1.1100110000000001</v>
      </c>
      <c r="L1458">
        <v>283.8571</v>
      </c>
      <c r="M1458">
        <v>-0.99883940000000004</v>
      </c>
      <c r="N1458">
        <v>-1.493305E-2</v>
      </c>
      <c r="O1458">
        <v>4.5791560000000002E-2</v>
      </c>
      <c r="P1458">
        <v>-0.93097090000000005</v>
      </c>
      <c r="Q1458">
        <v>0.36486780000000002</v>
      </c>
      <c r="R1458">
        <v>-1.2842660000000001E-2</v>
      </c>
      <c r="S1458">
        <v>-3.3432010000000001</v>
      </c>
      <c r="T1458">
        <v>-0.30136449999999998</v>
      </c>
      <c r="U1458">
        <v>0.1126404</v>
      </c>
      <c r="V1458">
        <v>-5.4686810000000002E-2</v>
      </c>
      <c r="W1458">
        <v>0.37881920000000002</v>
      </c>
      <c r="X1458">
        <v>0.92385360000000005</v>
      </c>
      <c r="Y1458">
        <v>-1.19474E-2</v>
      </c>
      <c r="Z1458">
        <v>-4.0602579999999997E-3</v>
      </c>
      <c r="AA1458">
        <v>0.99992040000000004</v>
      </c>
      <c r="AB1458">
        <v>39</v>
      </c>
      <c r="AC1458">
        <v>-11.9213</v>
      </c>
      <c r="AD1458">
        <v>-1.11000808505</v>
      </c>
      <c r="AE1458">
        <v>0.39659999999997803</v>
      </c>
      <c r="AF1458">
        <v>-0.148486008794567</v>
      </c>
      <c r="AG1458">
        <v>-1.11000808505</v>
      </c>
      <c r="AH1458">
        <v>11.8245526982969</v>
      </c>
      <c r="AI1458">
        <v>95.362399513134804</v>
      </c>
      <c r="AJ1458">
        <v>90.719450003199896</v>
      </c>
      <c r="AK1458">
        <v>11.877466588396899</v>
      </c>
      <c r="AL1458">
        <v>67.739440910163296</v>
      </c>
      <c r="AM1458">
        <v>93.387627006214302</v>
      </c>
      <c r="AN1458">
        <v>1.00000005385478</v>
      </c>
    </row>
    <row r="1459" spans="1:40" x14ac:dyDescent="0.25">
      <c r="A1459" t="str">
        <f>"20190304164626036"</f>
        <v>20190304164626036</v>
      </c>
      <c r="B1459" t="str">
        <f>"1551689186029915"</f>
        <v>1551689186029915</v>
      </c>
      <c r="C1459" t="s">
        <v>40</v>
      </c>
      <c r="D1459">
        <v>4.2777339999999997</v>
      </c>
      <c r="E1459">
        <v>0.53608739999999999</v>
      </c>
      <c r="F1459" t="s">
        <v>41</v>
      </c>
      <c r="G1459">
        <v>-267.45060000000001</v>
      </c>
      <c r="H1459">
        <v>1.0177659999999999</v>
      </c>
      <c r="I1459">
        <v>283.89330000000001</v>
      </c>
      <c r="J1459">
        <v>-266.77809999999999</v>
      </c>
      <c r="K1459">
        <v>1.1101030000000001</v>
      </c>
      <c r="L1459">
        <v>283.87419999999997</v>
      </c>
      <c r="M1459">
        <v>-0.99881739999999997</v>
      </c>
      <c r="N1459">
        <v>-1.494326E-2</v>
      </c>
      <c r="O1459">
        <v>4.6268780000000002E-2</v>
      </c>
      <c r="P1459">
        <v>-0.93103389999999997</v>
      </c>
      <c r="Q1459">
        <v>0.3647261</v>
      </c>
      <c r="R1459">
        <v>-1.2300200000000001E-2</v>
      </c>
      <c r="S1459">
        <v>-3.3406370000000001</v>
      </c>
      <c r="T1459">
        <v>-0.29746660000000003</v>
      </c>
      <c r="U1459">
        <v>0.1165771</v>
      </c>
      <c r="V1459">
        <v>-5.4671339999999999E-2</v>
      </c>
      <c r="W1459">
        <v>0.37867580000000001</v>
      </c>
      <c r="X1459">
        <v>0.92391319999999999</v>
      </c>
      <c r="Y1459">
        <v>-1.122941E-2</v>
      </c>
      <c r="Z1459">
        <v>-4.001213E-3</v>
      </c>
      <c r="AA1459">
        <v>0.99992899999999996</v>
      </c>
      <c r="AB1459">
        <v>39</v>
      </c>
      <c r="AC1459">
        <v>-0.67250000000001298</v>
      </c>
      <c r="AD1459">
        <v>-9.23370000000001E-2</v>
      </c>
      <c r="AE1459">
        <v>1.9100000000037198E-2</v>
      </c>
      <c r="AF1459">
        <v>-1.1817083736203E-2</v>
      </c>
      <c r="AG1459">
        <v>-9.23370000000001E-2</v>
      </c>
      <c r="AH1459">
        <v>0.66022660928832799</v>
      </c>
      <c r="AI1459">
        <v>97.9602891901135</v>
      </c>
      <c r="AJ1459">
        <v>91.025400562897502</v>
      </c>
      <c r="AK1459">
        <v>0.66675703269586195</v>
      </c>
      <c r="AL1459">
        <v>67.748316281914398</v>
      </c>
      <c r="AM1459">
        <v>93.386452973372798</v>
      </c>
      <c r="AN1459">
        <v>0.99999995902863603</v>
      </c>
    </row>
    <row r="1460" spans="1:40" x14ac:dyDescent="0.25">
      <c r="A1460" t="str">
        <f>"20190304164626060"</f>
        <v>20190304164626060</v>
      </c>
      <c r="B1460" t="str">
        <f>"1551689186050412"</f>
        <v>1551689186050412</v>
      </c>
      <c r="C1460" t="s">
        <v>40</v>
      </c>
      <c r="D1460">
        <v>4.2540529999999999</v>
      </c>
      <c r="E1460">
        <v>0.53621229999999998</v>
      </c>
      <c r="F1460" t="s">
        <v>41</v>
      </c>
      <c r="G1460">
        <v>-267.80090000000001</v>
      </c>
      <c r="H1460">
        <v>1.020292</v>
      </c>
      <c r="I1460">
        <v>283.91120000000001</v>
      </c>
      <c r="J1460">
        <v>-267.17700000000002</v>
      </c>
      <c r="K1460">
        <v>1.110206</v>
      </c>
      <c r="L1460">
        <v>283.89319999999998</v>
      </c>
      <c r="M1460">
        <v>-0.99879689999999999</v>
      </c>
      <c r="N1460">
        <v>-1.495235E-2</v>
      </c>
      <c r="O1460">
        <v>4.6705249999999997E-2</v>
      </c>
      <c r="P1460">
        <v>-0.93099679999999996</v>
      </c>
      <c r="Q1460">
        <v>0.3648556</v>
      </c>
      <c r="R1460">
        <v>-1.120198E-2</v>
      </c>
      <c r="S1460">
        <v>-3.3387449999999999</v>
      </c>
      <c r="T1460">
        <v>-0.29331869999999999</v>
      </c>
      <c r="U1460">
        <v>0.12011719999999999</v>
      </c>
      <c r="V1460">
        <v>-5.4063010000000002E-2</v>
      </c>
      <c r="W1460">
        <v>0.37880069999999999</v>
      </c>
      <c r="X1460">
        <v>0.92389790000000005</v>
      </c>
      <c r="Y1460">
        <v>-1.059479E-2</v>
      </c>
      <c r="Z1460">
        <v>-3.9383889999999996E-3</v>
      </c>
      <c r="AA1460">
        <v>0.99993609999999999</v>
      </c>
      <c r="AB1460">
        <v>39</v>
      </c>
      <c r="AC1460">
        <v>-0.62389999999999102</v>
      </c>
      <c r="AD1460">
        <v>-8.9913999999999994E-2</v>
      </c>
      <c r="AE1460">
        <v>1.80000000000291E-2</v>
      </c>
      <c r="AF1460">
        <v>-1.09353753515483E-2</v>
      </c>
      <c r="AG1460">
        <v>-8.9913999999999994E-2</v>
      </c>
      <c r="AH1460">
        <v>0.61137248302976299</v>
      </c>
      <c r="AI1460">
        <v>98.365143292659496</v>
      </c>
      <c r="AJ1460">
        <v>91.024717447508294</v>
      </c>
      <c r="AK1460">
        <v>0.61804564785787297</v>
      </c>
      <c r="AL1460">
        <v>67.740586253252502</v>
      </c>
      <c r="AM1460">
        <v>93.348913359762605</v>
      </c>
      <c r="AN1460">
        <v>1.00000005449757</v>
      </c>
    </row>
    <row r="1461" spans="1:40" x14ac:dyDescent="0.25">
      <c r="A1461" t="str">
        <f>"20190304164626081"</f>
        <v>20190304164626081</v>
      </c>
      <c r="B1461" t="str">
        <f>"1551689186069931"</f>
        <v>1551689186069931</v>
      </c>
      <c r="C1461" t="s">
        <v>40</v>
      </c>
      <c r="D1461">
        <v>4.2365959999999996</v>
      </c>
      <c r="E1461">
        <v>0.53629930000000003</v>
      </c>
      <c r="F1461" t="s">
        <v>41</v>
      </c>
      <c r="G1461">
        <v>-268.15140000000002</v>
      </c>
      <c r="H1461">
        <v>1.023857</v>
      </c>
      <c r="I1461">
        <v>283.92939999999999</v>
      </c>
      <c r="J1461">
        <v>-267.55869999999999</v>
      </c>
      <c r="K1461">
        <v>1.110303</v>
      </c>
      <c r="L1461">
        <v>283.91140000000001</v>
      </c>
      <c r="M1461">
        <v>-0.99878100000000003</v>
      </c>
      <c r="N1461">
        <v>-1.4959099999999999E-2</v>
      </c>
      <c r="O1461">
        <v>4.7042309999999997E-2</v>
      </c>
      <c r="P1461">
        <v>-0.93101699999999998</v>
      </c>
      <c r="Q1461">
        <v>0.36484179999999999</v>
      </c>
      <c r="R1461">
        <v>-9.8927449999999997E-3</v>
      </c>
      <c r="S1461">
        <v>-3.3398439999999998</v>
      </c>
      <c r="T1461">
        <v>-0.29601919999999998</v>
      </c>
      <c r="U1461">
        <v>0.1240845</v>
      </c>
      <c r="V1461">
        <v>-5.3150200000000002E-2</v>
      </c>
      <c r="W1461">
        <v>0.37878129999999999</v>
      </c>
      <c r="X1461">
        <v>0.92395879999999997</v>
      </c>
      <c r="Y1461">
        <v>-9.7573729999999997E-3</v>
      </c>
      <c r="Z1461">
        <v>-3.9597209999999898E-3</v>
      </c>
      <c r="AA1461">
        <v>0.99994459999999996</v>
      </c>
      <c r="AB1461">
        <v>39</v>
      </c>
      <c r="AC1461">
        <v>-0.59270000000003598</v>
      </c>
      <c r="AD1461">
        <v>-8.6445999999999995E-2</v>
      </c>
      <c r="AE1461">
        <v>1.7999999999972201E-2</v>
      </c>
      <c r="AF1461">
        <v>-9.6988959371423003E-3</v>
      </c>
      <c r="AG1461">
        <v>-8.6445999999999995E-2</v>
      </c>
      <c r="AH1461">
        <v>0.580552075387199</v>
      </c>
      <c r="AI1461">
        <v>98.468126082976497</v>
      </c>
      <c r="AJ1461">
        <v>90.957113299390599</v>
      </c>
      <c r="AK1461">
        <v>0.58703295625951302</v>
      </c>
      <c r="AL1461">
        <v>67.741786962641001</v>
      </c>
      <c r="AM1461">
        <v>93.292278602585498</v>
      </c>
      <c r="AN1461">
        <v>1.00000004054358</v>
      </c>
    </row>
    <row r="1462" spans="1:40" x14ac:dyDescent="0.25">
      <c r="A1462" t="str">
        <f>"20190304164626111"</f>
        <v>20190304164626111</v>
      </c>
      <c r="B1462" t="str">
        <f>"1551689186099211"</f>
        <v>1551689186099211</v>
      </c>
      <c r="C1462" t="s">
        <v>40</v>
      </c>
      <c r="D1462">
        <v>4.2439900000000002</v>
      </c>
      <c r="E1462">
        <v>0.53636799999999996</v>
      </c>
      <c r="F1462" t="s">
        <v>41</v>
      </c>
      <c r="G1462">
        <v>-268.50080000000003</v>
      </c>
      <c r="H1462">
        <v>1.02562999999999</v>
      </c>
      <c r="I1462">
        <v>283.94740000000002</v>
      </c>
      <c r="J1462">
        <v>-268.04320000000001</v>
      </c>
      <c r="K1462">
        <v>1.1104229999999999</v>
      </c>
      <c r="L1462">
        <v>283.93459999999999</v>
      </c>
      <c r="M1462">
        <v>-0.99876600000000004</v>
      </c>
      <c r="N1462">
        <v>-1.4965549999999999E-2</v>
      </c>
      <c r="O1462">
        <v>4.7355979999999999E-2</v>
      </c>
      <c r="P1462">
        <v>-0.93125899999999995</v>
      </c>
      <c r="Q1462">
        <v>0.36425289999999999</v>
      </c>
      <c r="R1462">
        <v>-8.7542249999999992E-3</v>
      </c>
      <c r="S1462">
        <v>-3.341431</v>
      </c>
      <c r="T1462">
        <v>-0.30060879999999901</v>
      </c>
      <c r="U1462">
        <v>0.1269836</v>
      </c>
      <c r="V1462">
        <v>-5.2420219999999997E-2</v>
      </c>
      <c r="W1462">
        <v>0.3781871</v>
      </c>
      <c r="X1462">
        <v>0.92424379999999995</v>
      </c>
      <c r="Y1462">
        <v>-9.2184759999999998E-3</v>
      </c>
      <c r="Z1462">
        <v>-4.0232699999999998E-3</v>
      </c>
      <c r="AA1462">
        <v>0.99994939999999999</v>
      </c>
      <c r="AB1462">
        <v>39</v>
      </c>
      <c r="AC1462">
        <v>-0.457600000000013</v>
      </c>
      <c r="AD1462">
        <v>-8.4793000000000104E-2</v>
      </c>
      <c r="AE1462">
        <v>1.2800000000027E-2</v>
      </c>
      <c r="AF1462">
        <v>-8.5921000190242996E-3</v>
      </c>
      <c r="AG1462">
        <v>-8.4793000000000104E-2</v>
      </c>
      <c r="AH1462">
        <v>0.44251061219772703</v>
      </c>
      <c r="AI1462">
        <v>100.84541948344599</v>
      </c>
      <c r="AJ1462">
        <v>91.112355732668405</v>
      </c>
      <c r="AK1462">
        <v>0.45064322799676498</v>
      </c>
      <c r="AL1462">
        <v>67.778566993943898</v>
      </c>
      <c r="AM1462">
        <v>93.246159787739501</v>
      </c>
      <c r="AN1462">
        <v>0.99999998195484896</v>
      </c>
    </row>
    <row r="1463" spans="1:40" x14ac:dyDescent="0.25">
      <c r="A1463" t="str">
        <f>"20190304164626133"</f>
        <v>20190304164626133</v>
      </c>
      <c r="B1463" t="str">
        <f>"1551689186129467"</f>
        <v>1551689186129467</v>
      </c>
      <c r="C1463" t="s">
        <v>40</v>
      </c>
      <c r="D1463">
        <v>4.2299569999999997</v>
      </c>
      <c r="E1463">
        <v>0.53636660000000003</v>
      </c>
      <c r="F1463" t="s">
        <v>41</v>
      </c>
      <c r="G1463">
        <v>-268.85700000000003</v>
      </c>
      <c r="H1463">
        <v>1.0358769999999999</v>
      </c>
      <c r="I1463">
        <v>283.96629999999999</v>
      </c>
      <c r="J1463">
        <v>-268.44510000000002</v>
      </c>
      <c r="K1463">
        <v>1.110514</v>
      </c>
      <c r="L1463">
        <v>283.9538</v>
      </c>
      <c r="M1463">
        <v>-0.99875780000000003</v>
      </c>
      <c r="N1463">
        <v>-1.4969669999999999E-2</v>
      </c>
      <c r="O1463">
        <v>4.7526699999999998E-2</v>
      </c>
      <c r="P1463">
        <v>-0.93141289999999999</v>
      </c>
      <c r="Q1463">
        <v>0.36385810000000002</v>
      </c>
      <c r="R1463">
        <v>-8.792879E-3</v>
      </c>
      <c r="S1463">
        <v>-3.3423769999999902</v>
      </c>
      <c r="T1463">
        <v>-0.30615989999999998</v>
      </c>
      <c r="U1463">
        <v>0.1300964</v>
      </c>
      <c r="V1463">
        <v>-5.2708949999999997E-2</v>
      </c>
      <c r="W1463">
        <v>0.37778679999999998</v>
      </c>
      <c r="X1463">
        <v>0.92439110000000002</v>
      </c>
      <c r="Y1463">
        <v>-8.466131E-3</v>
      </c>
      <c r="Z1463">
        <v>-4.0804480000000004E-3</v>
      </c>
      <c r="AA1463">
        <v>0.99995579999999995</v>
      </c>
      <c r="AB1463">
        <v>39</v>
      </c>
      <c r="AC1463">
        <v>-0.41190000000000199</v>
      </c>
      <c r="AD1463">
        <v>-7.4636999999999995E-2</v>
      </c>
      <c r="AE1463">
        <v>1.24999999999886E-2</v>
      </c>
      <c r="AF1463">
        <v>-6.8672960525722696E-3</v>
      </c>
      <c r="AG1463">
        <v>-7.4636999999999995E-2</v>
      </c>
      <c r="AH1463">
        <v>0.39894175514813401</v>
      </c>
      <c r="AI1463">
        <v>100.59528547391299</v>
      </c>
      <c r="AJ1463">
        <v>90.986179608947694</v>
      </c>
      <c r="AK1463">
        <v>0.405921624854783</v>
      </c>
      <c r="AL1463">
        <v>67.803340897523896</v>
      </c>
      <c r="AM1463">
        <v>93.263482059246201</v>
      </c>
      <c r="AN1463">
        <v>1.0000000027117699</v>
      </c>
    </row>
    <row r="1464" spans="1:40" x14ac:dyDescent="0.25">
      <c r="A1464" t="str">
        <f>"20190304164626154"</f>
        <v>20190304164626154</v>
      </c>
      <c r="B1464" t="str">
        <f>"1551689186149494"</f>
        <v>1551689186149494</v>
      </c>
      <c r="C1464" t="s">
        <v>40</v>
      </c>
      <c r="D1464">
        <v>4.2122820000000001</v>
      </c>
      <c r="E1464">
        <v>0.53637119999999905</v>
      </c>
      <c r="F1464" t="s">
        <v>50</v>
      </c>
      <c r="G1464">
        <v>-280.50060000000002</v>
      </c>
      <c r="H1464" s="1">
        <v>8.2202040000000006E-6</v>
      </c>
      <c r="I1464">
        <v>284.42290000000003</v>
      </c>
      <c r="J1464">
        <v>-268.8082</v>
      </c>
      <c r="K1464">
        <v>1.11059</v>
      </c>
      <c r="L1464">
        <v>283.97129999999999</v>
      </c>
      <c r="M1464">
        <v>-0.99875320000000001</v>
      </c>
      <c r="N1464">
        <v>-1.4972269999999999E-2</v>
      </c>
      <c r="O1464">
        <v>4.762458E-2</v>
      </c>
      <c r="P1464">
        <v>-0.93129050000000002</v>
      </c>
      <c r="Q1464">
        <v>0.36416379999999998</v>
      </c>
      <c r="R1464">
        <v>-9.1108179999999997E-3</v>
      </c>
      <c r="S1464">
        <v>-3.3423769999999902</v>
      </c>
      <c r="T1464">
        <v>-0.3078861</v>
      </c>
      <c r="U1464">
        <v>0.13006589999999901</v>
      </c>
      <c r="V1464">
        <v>-5.3180239999999997E-2</v>
      </c>
      <c r="W1464">
        <v>0.378083</v>
      </c>
      <c r="X1464">
        <v>0.92424300000000004</v>
      </c>
      <c r="Y1464">
        <v>-8.5701379999999997E-3</v>
      </c>
      <c r="Z1464">
        <v>-4.119971E-3</v>
      </c>
      <c r="AA1464">
        <v>0.99995480000000003</v>
      </c>
      <c r="AB1464">
        <v>39</v>
      </c>
      <c r="AC1464">
        <v>-11.692399999999999</v>
      </c>
      <c r="AD1464">
        <v>-1.110581779796</v>
      </c>
      <c r="AE1464">
        <v>0.45160000000004102</v>
      </c>
      <c r="AF1464">
        <v>-0.10487578350629601</v>
      </c>
      <c r="AG1464">
        <v>-1.110581779796</v>
      </c>
      <c r="AH1464">
        <v>11.596176709235801</v>
      </c>
      <c r="AI1464">
        <v>95.470388133601006</v>
      </c>
      <c r="AJ1464">
        <v>90.518168711572102</v>
      </c>
      <c r="AK1464">
        <v>11.649708369371499</v>
      </c>
      <c r="AL1464">
        <v>67.785010472898705</v>
      </c>
      <c r="AM1464">
        <v>93.293124571160305</v>
      </c>
      <c r="AN1464">
        <v>1.00000000793222</v>
      </c>
    </row>
    <row r="1465" spans="1:40" x14ac:dyDescent="0.25">
      <c r="A1465" t="str">
        <f>"20190304164626173"</f>
        <v>20190304164626173</v>
      </c>
      <c r="B1465" t="str">
        <f>"1551689186169991"</f>
        <v>1551689186169991</v>
      </c>
      <c r="C1465" t="s">
        <v>40</v>
      </c>
      <c r="D1465">
        <v>4.2341490000000004</v>
      </c>
      <c r="E1465">
        <v>0.53638909999999995</v>
      </c>
      <c r="F1465" t="s">
        <v>50</v>
      </c>
      <c r="G1465">
        <v>-280.89069999999998</v>
      </c>
      <c r="H1465" s="1">
        <v>8.0427819999999994E-6</v>
      </c>
      <c r="I1465">
        <v>284.44439999999997</v>
      </c>
      <c r="J1465">
        <v>-269.14980000000003</v>
      </c>
      <c r="K1465">
        <v>1.1106529999999999</v>
      </c>
      <c r="L1465">
        <v>283.98759999999999</v>
      </c>
      <c r="M1465">
        <v>-0.99875069999999999</v>
      </c>
      <c r="N1465">
        <v>-1.497357E-2</v>
      </c>
      <c r="O1465">
        <v>4.7677820000000003E-2</v>
      </c>
      <c r="P1465">
        <v>-0.93119450000000004</v>
      </c>
      <c r="Q1465">
        <v>0.3643922</v>
      </c>
      <c r="R1465">
        <v>-9.7795910000000007E-3</v>
      </c>
      <c r="S1465">
        <v>-3.3427730000000002</v>
      </c>
      <c r="T1465">
        <v>-0.30725419999999998</v>
      </c>
      <c r="U1465">
        <v>0.130889899999999</v>
      </c>
      <c r="V1465">
        <v>-5.3948419999999997E-2</v>
      </c>
      <c r="W1465">
        <v>0.37830370000000002</v>
      </c>
      <c r="X1465">
        <v>0.92410809999999999</v>
      </c>
      <c r="Y1465">
        <v>-8.3836099999999997E-3</v>
      </c>
      <c r="Z1465">
        <v>-4.1037030000000002E-3</v>
      </c>
      <c r="AA1465">
        <v>0.99995639999999997</v>
      </c>
      <c r="AB1465">
        <v>39</v>
      </c>
      <c r="AC1465">
        <v>-11.7408999999999</v>
      </c>
      <c r="AD1465">
        <v>-1.1106449572179999</v>
      </c>
      <c r="AE1465">
        <v>0.45679999999998699</v>
      </c>
      <c r="AF1465">
        <v>-0.102645658704758</v>
      </c>
      <c r="AG1465">
        <v>-1.1106449572179999</v>
      </c>
      <c r="AH1465">
        <v>11.6452768739049</v>
      </c>
      <c r="AI1465">
        <v>95.447781412628501</v>
      </c>
      <c r="AJ1465">
        <v>90.505012529253406</v>
      </c>
      <c r="AK1465">
        <v>11.698570075960101</v>
      </c>
      <c r="AL1465">
        <v>67.771349406215904</v>
      </c>
      <c r="AM1465">
        <v>93.341072809342606</v>
      </c>
      <c r="AN1465">
        <v>0.99999995096989602</v>
      </c>
    </row>
    <row r="1466" spans="1:40" x14ac:dyDescent="0.25">
      <c r="A1466" t="str">
        <f>"20190304164626194"</f>
        <v>20190304164626194</v>
      </c>
      <c r="B1466" t="str">
        <f>"1551689186189511"</f>
        <v>1551689186189511</v>
      </c>
      <c r="C1466" t="s">
        <v>40</v>
      </c>
      <c r="D1466">
        <v>4.2301419999999998</v>
      </c>
      <c r="E1466">
        <v>0.53643219999999903</v>
      </c>
      <c r="F1466" t="s">
        <v>50</v>
      </c>
      <c r="G1466">
        <v>-281.25619999999998</v>
      </c>
      <c r="H1466" s="1">
        <v>7.8769000000000008E-6</v>
      </c>
      <c r="I1466">
        <v>284.46280000000002</v>
      </c>
      <c r="J1466">
        <v>-269.50560000000002</v>
      </c>
      <c r="K1466">
        <v>1.1107020000000001</v>
      </c>
      <c r="L1466">
        <v>284.00470000000001</v>
      </c>
      <c r="M1466">
        <v>-0.99874960000000002</v>
      </c>
      <c r="N1466">
        <v>-1.4974299999999999E-2</v>
      </c>
      <c r="O1466">
        <v>4.7697730000000001E-2</v>
      </c>
      <c r="P1466">
        <v>-0.93109439999999999</v>
      </c>
      <c r="Q1466">
        <v>0.36462270000000002</v>
      </c>
      <c r="R1466">
        <v>-1.0636649999999999E-2</v>
      </c>
      <c r="S1466">
        <v>-3.343048</v>
      </c>
      <c r="T1466">
        <v>-0.30669269999999998</v>
      </c>
      <c r="U1466">
        <v>0.1312256</v>
      </c>
      <c r="V1466">
        <v>-5.4867930000000002E-2</v>
      </c>
      <c r="W1466">
        <v>0.37852570000000002</v>
      </c>
      <c r="X1466">
        <v>0.92396310000000004</v>
      </c>
      <c r="Y1466">
        <v>-8.3076079999999993E-3</v>
      </c>
      <c r="Z1466">
        <v>-4.092091E-3</v>
      </c>
      <c r="AA1466">
        <v>0.99995710000000004</v>
      </c>
      <c r="AB1466">
        <v>39</v>
      </c>
      <c r="AC1466">
        <v>-11.750599999999899</v>
      </c>
      <c r="AD1466">
        <v>-1.1106941231</v>
      </c>
      <c r="AE1466">
        <v>0.45810000000000101</v>
      </c>
      <c r="AF1466">
        <v>-0.10205090781934301</v>
      </c>
      <c r="AG1466">
        <v>-1.1106941231</v>
      </c>
      <c r="AH1466">
        <v>11.6551012849436</v>
      </c>
      <c r="AI1466">
        <v>95.443459208041006</v>
      </c>
      <c r="AJ1466">
        <v>90.501663327809396</v>
      </c>
      <c r="AK1466">
        <v>11.708349233994101</v>
      </c>
      <c r="AL1466">
        <v>67.757609081889498</v>
      </c>
      <c r="AM1466">
        <v>93.398418545388907</v>
      </c>
      <c r="AN1466">
        <v>1.0000000027322899</v>
      </c>
    </row>
    <row r="1467" spans="1:40" x14ac:dyDescent="0.25">
      <c r="A1467" t="str">
        <f>"20190304164626216"</f>
        <v>20190304164626216</v>
      </c>
      <c r="B1467" t="str">
        <f>"1551689186210007"</f>
        <v>1551689186210007</v>
      </c>
      <c r="C1467" t="s">
        <v>40</v>
      </c>
      <c r="D1467">
        <v>4.2511400000000004</v>
      </c>
      <c r="E1467">
        <v>0.53644389999999997</v>
      </c>
      <c r="F1467" t="s">
        <v>50</v>
      </c>
      <c r="G1467">
        <v>-281.5992</v>
      </c>
      <c r="H1467" s="1">
        <v>7.7230780000000005E-6</v>
      </c>
      <c r="I1467">
        <v>284.47109999999998</v>
      </c>
      <c r="J1467">
        <v>-269.892</v>
      </c>
      <c r="K1467">
        <v>1.110765</v>
      </c>
      <c r="L1467">
        <v>284.0231</v>
      </c>
      <c r="M1467">
        <v>-0.99875060000000004</v>
      </c>
      <c r="N1467">
        <v>-1.497471E-2</v>
      </c>
      <c r="O1467">
        <v>4.7680559999999997E-2</v>
      </c>
      <c r="P1467">
        <v>-0.9311817</v>
      </c>
      <c r="Q1467">
        <v>0.3643728</v>
      </c>
      <c r="R1467">
        <v>-1.155554E-2</v>
      </c>
      <c r="S1467">
        <v>-3.34375</v>
      </c>
      <c r="T1467">
        <v>-0.3070948</v>
      </c>
      <c r="U1467">
        <v>0.12896730000000001</v>
      </c>
      <c r="V1467">
        <v>-5.5820559999999998E-2</v>
      </c>
      <c r="W1467">
        <v>0.37827060000000001</v>
      </c>
      <c r="X1467">
        <v>0.92401049999999996</v>
      </c>
      <c r="Y1467">
        <v>-8.9693159999999997E-3</v>
      </c>
      <c r="Z1467">
        <v>-4.1313130000000002E-3</v>
      </c>
      <c r="AA1467">
        <v>0.99995120000000004</v>
      </c>
      <c r="AB1467">
        <v>39</v>
      </c>
      <c r="AC1467">
        <v>-11.7072</v>
      </c>
      <c r="AD1467">
        <v>-1.110757276922</v>
      </c>
      <c r="AE1467">
        <v>0.44799999999997903</v>
      </c>
      <c r="AF1467">
        <v>-0.10979110117952801</v>
      </c>
      <c r="AG1467">
        <v>-1.110757276922</v>
      </c>
      <c r="AH1467">
        <v>11.6108782725412</v>
      </c>
      <c r="AI1467">
        <v>95.464340968837703</v>
      </c>
      <c r="AJ1467">
        <v>90.541766014632003</v>
      </c>
      <c r="AK1467">
        <v>11.664404402879001</v>
      </c>
      <c r="AL1467">
        <v>67.773399123968801</v>
      </c>
      <c r="AM1467">
        <v>93.457103868473894</v>
      </c>
      <c r="AN1467">
        <v>0.99999999292666097</v>
      </c>
    </row>
    <row r="1468" spans="1:40" x14ac:dyDescent="0.25">
      <c r="A1468" t="str">
        <f>"20190304164626239"</f>
        <v>20190304164626239</v>
      </c>
      <c r="B1468" t="str">
        <f>"1551689186229527"</f>
        <v>1551689186229527</v>
      </c>
      <c r="C1468" t="s">
        <v>40</v>
      </c>
      <c r="D1468">
        <v>4.5472250000000001</v>
      </c>
      <c r="E1468">
        <v>0.54458459999999997</v>
      </c>
      <c r="F1468" t="s">
        <v>41</v>
      </c>
      <c r="G1468">
        <v>-270.923</v>
      </c>
      <c r="H1468">
        <v>1.0156210000000001</v>
      </c>
      <c r="I1468">
        <v>284.06220000000002</v>
      </c>
      <c r="J1468">
        <v>-270.2901</v>
      </c>
      <c r="K1468">
        <v>1.1108100000000001</v>
      </c>
      <c r="L1468">
        <v>284.0421</v>
      </c>
      <c r="M1468">
        <v>-0.9987528</v>
      </c>
      <c r="N1468">
        <v>-1.4974579999999999E-2</v>
      </c>
      <c r="O1468">
        <v>4.7631039999999999E-2</v>
      </c>
      <c r="P1468">
        <v>-0.93110380000000004</v>
      </c>
      <c r="Q1468">
        <v>0.36452499999999999</v>
      </c>
      <c r="R1468">
        <v>-1.295163E-2</v>
      </c>
      <c r="S1468">
        <v>-3.344055</v>
      </c>
      <c r="T1468">
        <v>-0.30874259999999998</v>
      </c>
      <c r="U1468">
        <v>0.12585450000000001</v>
      </c>
      <c r="V1468">
        <v>-5.720741E-2</v>
      </c>
      <c r="W1468">
        <v>0.37841449999999999</v>
      </c>
      <c r="X1468">
        <v>0.92386670000000004</v>
      </c>
      <c r="Y1468">
        <v>-9.8463140000000001E-3</v>
      </c>
      <c r="Z1468">
        <v>-4.1996790000000004E-3</v>
      </c>
      <c r="AA1468">
        <v>0.99994269999999996</v>
      </c>
      <c r="AB1468">
        <v>39</v>
      </c>
      <c r="AC1468">
        <v>-0.63290000000000601</v>
      </c>
      <c r="AD1468">
        <v>-9.5189000000000204E-2</v>
      </c>
      <c r="AE1468">
        <v>2.0100000000013499E-2</v>
      </c>
      <c r="AF1468">
        <v>-9.8493102788487202E-3</v>
      </c>
      <c r="AG1468">
        <v>-9.5189000000000204E-2</v>
      </c>
      <c r="AH1468">
        <v>0.61914763331612699</v>
      </c>
      <c r="AI1468">
        <v>98.739244353429498</v>
      </c>
      <c r="AJ1468">
        <v>90.911376034382997</v>
      </c>
      <c r="AK1468">
        <v>0.62649959814426903</v>
      </c>
      <c r="AL1468">
        <v>67.764491174066293</v>
      </c>
      <c r="AM1468">
        <v>93.543328793221903</v>
      </c>
      <c r="AN1468">
        <v>0.99999995046902201</v>
      </c>
    </row>
    <row r="1469" spans="1:40" x14ac:dyDescent="0.25">
      <c r="A1469" t="str">
        <f>"20190304164626264"</f>
        <v>20190304164626264</v>
      </c>
      <c r="B1469" t="str">
        <f>"1551689186259315"</f>
        <v>1551689186259315</v>
      </c>
      <c r="C1469" t="s">
        <v>40</v>
      </c>
      <c r="D1469">
        <v>4.354565</v>
      </c>
      <c r="E1469">
        <v>0.53472410000000004</v>
      </c>
      <c r="F1469" t="s">
        <v>41</v>
      </c>
      <c r="G1469">
        <v>-271.2518</v>
      </c>
      <c r="H1469">
        <v>0.98422540000000003</v>
      </c>
      <c r="I1469">
        <v>284.09179999999998</v>
      </c>
      <c r="J1469">
        <v>-270.68770000000001</v>
      </c>
      <c r="K1469">
        <v>1.1108549999999999</v>
      </c>
      <c r="L1469">
        <v>284.06099999999998</v>
      </c>
      <c r="M1469">
        <v>-0.99875619999999998</v>
      </c>
      <c r="N1469">
        <v>-1.497385E-2</v>
      </c>
      <c r="O1469">
        <v>4.7559450000000003E-2</v>
      </c>
      <c r="P1469">
        <v>-0.93149420000000005</v>
      </c>
      <c r="Q1469">
        <v>0.36347980000000002</v>
      </c>
      <c r="R1469">
        <v>-1.418838E-2</v>
      </c>
      <c r="S1469">
        <v>-3.3996279999999999</v>
      </c>
      <c r="T1469">
        <v>-0.4475768</v>
      </c>
      <c r="U1469">
        <v>0.17486570000000001</v>
      </c>
      <c r="V1469">
        <v>-5.8432110000000002E-2</v>
      </c>
      <c r="W1469">
        <v>0.3773687</v>
      </c>
      <c r="X1469">
        <v>0.92421779999999998</v>
      </c>
      <c r="Y1469">
        <v>4.0904740000000002E-3</v>
      </c>
      <c r="Z1469">
        <v>-5.2186330000000003E-3</v>
      </c>
      <c r="AA1469">
        <v>0.99997800000000003</v>
      </c>
      <c r="AB1469">
        <v>39</v>
      </c>
      <c r="AC1469">
        <v>-0.56409999999999605</v>
      </c>
      <c r="AD1469">
        <v>-0.12662959999999901</v>
      </c>
      <c r="AE1469">
        <v>3.07999999999992E-2</v>
      </c>
      <c r="AF1469">
        <v>3.7456574302912999E-3</v>
      </c>
      <c r="AG1469">
        <v>-0.12662959999999901</v>
      </c>
      <c r="AH1469">
        <v>0.53790137033041296</v>
      </c>
      <c r="AI1469">
        <v>103.246727088154</v>
      </c>
      <c r="AJ1469">
        <v>89.601029286430702</v>
      </c>
      <c r="AK1469">
        <v>0.55261828575344896</v>
      </c>
      <c r="AL1469">
        <v>67.8292110496173</v>
      </c>
      <c r="AM1469">
        <v>93.617613958031598</v>
      </c>
      <c r="AN1469">
        <v>0.99999999452779098</v>
      </c>
    </row>
    <row r="1470" spans="1:40" x14ac:dyDescent="0.25">
      <c r="A1470" t="str">
        <f>"20190304164626281"</f>
        <v>20190304164626281</v>
      </c>
      <c r="B1470" t="str">
        <f>"1551689186270051"</f>
        <v>1551689186270051</v>
      </c>
      <c r="C1470" t="s">
        <v>40</v>
      </c>
      <c r="D1470">
        <v>4.4057380000000004</v>
      </c>
      <c r="E1470">
        <v>0.53160909999999995</v>
      </c>
      <c r="F1470" t="s">
        <v>41</v>
      </c>
      <c r="G1470">
        <v>-271.53050000000002</v>
      </c>
      <c r="H1470">
        <v>0.82843729999999904</v>
      </c>
      <c r="I1470">
        <v>284.06479999999999</v>
      </c>
      <c r="J1470">
        <v>-271.01749999999998</v>
      </c>
      <c r="K1470">
        <v>1.1108899999999999</v>
      </c>
      <c r="L1470">
        <v>284.07670000000002</v>
      </c>
      <c r="M1470">
        <v>-0.99875970000000003</v>
      </c>
      <c r="N1470">
        <v>-1.4972829999999999E-2</v>
      </c>
      <c r="O1470">
        <v>4.7485840000000001E-2</v>
      </c>
      <c r="P1470">
        <v>-0.93144360000000004</v>
      </c>
      <c r="Q1470">
        <v>0.36357729999999999</v>
      </c>
      <c r="R1470">
        <v>-1.498655E-2</v>
      </c>
      <c r="S1470">
        <v>-3.7054140000000002</v>
      </c>
      <c r="T1470">
        <v>-1.2416929999999999</v>
      </c>
      <c r="U1470">
        <v>1.7639160000000001E-2</v>
      </c>
      <c r="V1470">
        <v>-5.9185969999999997E-2</v>
      </c>
      <c r="W1470">
        <v>0.37745919999999999</v>
      </c>
      <c r="X1470">
        <v>0.92413290000000003</v>
      </c>
      <c r="Y1470">
        <v>-3.81839E-2</v>
      </c>
      <c r="Z1470">
        <v>-2.131255E-2</v>
      </c>
      <c r="AA1470">
        <v>0.99904340000000003</v>
      </c>
      <c r="AB1470">
        <v>39</v>
      </c>
      <c r="AC1470">
        <v>-0.51300000000003299</v>
      </c>
      <c r="AD1470">
        <v>-0.2824527</v>
      </c>
      <c r="AE1470">
        <v>-1.19000000000255E-2</v>
      </c>
      <c r="AF1470">
        <v>-2.7820351775463999E-2</v>
      </c>
      <c r="AG1470">
        <v>-0.2824527</v>
      </c>
      <c r="AH1470">
        <v>0.392832975723306</v>
      </c>
      <c r="AI1470">
        <v>125.648787192106</v>
      </c>
      <c r="AJ1470">
        <v>94.050912160332402</v>
      </c>
      <c r="AK1470">
        <v>0.48463516847813298</v>
      </c>
      <c r="AL1470">
        <v>67.823612314703993</v>
      </c>
      <c r="AM1470">
        <v>93.664495853415403</v>
      </c>
      <c r="AN1470">
        <v>1.0000000217859399</v>
      </c>
    </row>
    <row r="1471" spans="1:40" x14ac:dyDescent="0.25">
      <c r="A1471" t="str">
        <f>"20190304164626304"</f>
        <v>20190304164626304</v>
      </c>
      <c r="B1471" t="str">
        <f>"1551689186299330"</f>
        <v>1551689186299330</v>
      </c>
      <c r="C1471" t="s">
        <v>40</v>
      </c>
      <c r="D1471">
        <v>4.363143</v>
      </c>
      <c r="E1471">
        <v>0.52801699999999996</v>
      </c>
      <c r="F1471" t="s">
        <v>41</v>
      </c>
      <c r="G1471">
        <v>-271.86959999999999</v>
      </c>
      <c r="H1471">
        <v>0.8145945</v>
      </c>
      <c r="I1471">
        <v>284.07319999999999</v>
      </c>
      <c r="J1471">
        <v>-271.40050000000002</v>
      </c>
      <c r="K1471">
        <v>1.110924</v>
      </c>
      <c r="L1471">
        <v>284.09480000000002</v>
      </c>
      <c r="M1471">
        <v>-0.99876469999999995</v>
      </c>
      <c r="N1471">
        <v>-1.4971170000000001E-2</v>
      </c>
      <c r="O1471">
        <v>4.7381619999999999E-2</v>
      </c>
      <c r="P1471">
        <v>-0.93161989999999995</v>
      </c>
      <c r="Q1471">
        <v>0.36307650000000002</v>
      </c>
      <c r="R1471">
        <v>-1.6118239999999999E-2</v>
      </c>
      <c r="S1471">
        <v>-3.7262569999999999</v>
      </c>
      <c r="T1471">
        <v>-1.2955319999999999</v>
      </c>
      <c r="U1471">
        <v>-1.6021730000000001E-2</v>
      </c>
      <c r="V1471">
        <v>-6.025734E-2</v>
      </c>
      <c r="W1471">
        <v>0.37695489999999998</v>
      </c>
      <c r="X1471">
        <v>0.92426949999999997</v>
      </c>
      <c r="Y1471">
        <v>-4.6293140000000003E-2</v>
      </c>
      <c r="Z1471">
        <v>-2.3483980000000002E-2</v>
      </c>
      <c r="AA1471">
        <v>0.99865179999999998</v>
      </c>
      <c r="AB1471">
        <v>39</v>
      </c>
      <c r="AC1471">
        <v>-0.46909999999996899</v>
      </c>
      <c r="AD1471">
        <v>-0.29632950000000002</v>
      </c>
      <c r="AE1471">
        <v>-2.16000000000349E-2</v>
      </c>
      <c r="AF1471">
        <v>-3.1329570304233702E-2</v>
      </c>
      <c r="AG1471">
        <v>-0.29632950000000002</v>
      </c>
      <c r="AH1471">
        <v>0.33439430837822998</v>
      </c>
      <c r="AI1471">
        <v>131.422087736246</v>
      </c>
      <c r="AJ1471">
        <v>95.352445687342296</v>
      </c>
      <c r="AK1471">
        <v>0.44789760885882501</v>
      </c>
      <c r="AL1471">
        <v>67.854811377606396</v>
      </c>
      <c r="AM1471">
        <v>93.730094191930704</v>
      </c>
      <c r="AN1471">
        <v>1.00000002614406</v>
      </c>
    </row>
    <row r="1472" spans="1:40" x14ac:dyDescent="0.25">
      <c r="A1472" t="str">
        <f>"20190304164626328"</f>
        <v>20190304164626328</v>
      </c>
      <c r="B1472" t="str">
        <f>"1551689186319827"</f>
        <v>1551689186319827</v>
      </c>
      <c r="C1472" t="s">
        <v>40</v>
      </c>
      <c r="D1472">
        <v>4.3684430000000001</v>
      </c>
      <c r="E1472">
        <v>0.52732599999999996</v>
      </c>
      <c r="F1472" t="s">
        <v>41</v>
      </c>
      <c r="G1472">
        <v>-272.21480000000003</v>
      </c>
      <c r="H1472">
        <v>0.81587509999999996</v>
      </c>
      <c r="I1472">
        <v>284.08339999999998</v>
      </c>
      <c r="J1472">
        <v>-271.82940000000002</v>
      </c>
      <c r="K1472">
        <v>1.110965</v>
      </c>
      <c r="L1472">
        <v>284.11509999999998</v>
      </c>
      <c r="M1472">
        <v>-0.99877159999999998</v>
      </c>
      <c r="N1472">
        <v>-1.4968820000000001E-2</v>
      </c>
      <c r="O1472">
        <v>4.7239330000000003E-2</v>
      </c>
      <c r="P1472">
        <v>-0.93173119999999998</v>
      </c>
      <c r="Q1472">
        <v>0.36275439999999998</v>
      </c>
      <c r="R1472">
        <v>-1.6928209999999999E-2</v>
      </c>
      <c r="S1472">
        <v>-3.748596</v>
      </c>
      <c r="T1472">
        <v>-1.3581859999999999</v>
      </c>
      <c r="U1472">
        <v>-5.3833010000000001E-2</v>
      </c>
      <c r="V1472">
        <v>-6.0971709999999998E-2</v>
      </c>
      <c r="W1472">
        <v>0.37662620000000002</v>
      </c>
      <c r="X1472">
        <v>0.92435659999999997</v>
      </c>
      <c r="Y1472">
        <v>-5.5159949999999999E-2</v>
      </c>
      <c r="Z1472">
        <v>-2.6007909999999999E-2</v>
      </c>
      <c r="AA1472">
        <v>0.99813870000000005</v>
      </c>
      <c r="AB1472">
        <v>39</v>
      </c>
      <c r="AC1472">
        <v>-0.38540000000000402</v>
      </c>
      <c r="AD1472">
        <v>-0.29508989999999902</v>
      </c>
      <c r="AE1472">
        <v>-3.17000000000007E-2</v>
      </c>
      <c r="AF1472">
        <v>-3.1518831111477297E-2</v>
      </c>
      <c r="AG1472">
        <v>-0.29508989999999902</v>
      </c>
      <c r="AH1472">
        <v>0.24234890878903001</v>
      </c>
      <c r="AI1472">
        <v>140.368853505777</v>
      </c>
      <c r="AJ1472">
        <v>97.4100444298399</v>
      </c>
      <c r="AK1472">
        <v>0.383150726722366</v>
      </c>
      <c r="AL1472">
        <v>67.875141986252601</v>
      </c>
      <c r="AM1472">
        <v>93.773833978564397</v>
      </c>
      <c r="AN1472">
        <v>0.99999998395516099</v>
      </c>
    </row>
    <row r="1473" spans="1:40" x14ac:dyDescent="0.25">
      <c r="A1473" t="str">
        <f>"20190304164626352"</f>
        <v>20190304164626352</v>
      </c>
      <c r="B1473" t="str">
        <f>"1551689186339347"</f>
        <v>1551689186339347</v>
      </c>
      <c r="C1473" t="s">
        <v>40</v>
      </c>
      <c r="D1473">
        <v>4.4505530000000002</v>
      </c>
      <c r="E1473">
        <v>0.52743269999999998</v>
      </c>
      <c r="F1473" t="s">
        <v>41</v>
      </c>
      <c r="G1473">
        <v>-272.56880000000001</v>
      </c>
      <c r="H1473">
        <v>0.84067449999999999</v>
      </c>
      <c r="I1473">
        <v>284.10340000000002</v>
      </c>
      <c r="J1473">
        <v>-272.23390000000001</v>
      </c>
      <c r="K1473">
        <v>1.1109960000000001</v>
      </c>
      <c r="L1473">
        <v>284.13400000000001</v>
      </c>
      <c r="M1473">
        <v>-0.99877919999999998</v>
      </c>
      <c r="N1473">
        <v>-1.496635E-2</v>
      </c>
      <c r="O1473">
        <v>4.7075840000000001E-2</v>
      </c>
      <c r="P1473">
        <v>-0.93190609999999996</v>
      </c>
      <c r="Q1473">
        <v>0.36231059999999998</v>
      </c>
      <c r="R1473">
        <v>-1.6801670000000001E-2</v>
      </c>
      <c r="S1473">
        <v>-3.7527469999999998</v>
      </c>
      <c r="T1473">
        <v>-1.371653</v>
      </c>
      <c r="U1473">
        <v>-6.0180659999999997E-2</v>
      </c>
      <c r="V1473">
        <v>-6.0731519999999997E-2</v>
      </c>
      <c r="W1473">
        <v>0.37617780000000001</v>
      </c>
      <c r="X1473">
        <v>0.92455500000000002</v>
      </c>
      <c r="Y1473">
        <v>-5.647841E-2</v>
      </c>
      <c r="Z1473">
        <v>-2.6413639999999999E-2</v>
      </c>
      <c r="AA1473">
        <v>0.99805440000000001</v>
      </c>
      <c r="AB1473">
        <v>39</v>
      </c>
      <c r="AC1473">
        <v>-0.33490000000000397</v>
      </c>
      <c r="AD1473">
        <v>-0.27032149999999899</v>
      </c>
      <c r="AE1473">
        <v>-3.0599999999992598E-2</v>
      </c>
      <c r="AF1473">
        <v>-2.81469382349647E-2</v>
      </c>
      <c r="AG1473">
        <v>-0.27032149999999899</v>
      </c>
      <c r="AH1473">
        <v>0.20234601831344301</v>
      </c>
      <c r="AI1473">
        <v>142.91999341411099</v>
      </c>
      <c r="AJ1473">
        <v>97.919197862205095</v>
      </c>
      <c r="AK1473">
        <v>0.33883605862062099</v>
      </c>
      <c r="AL1473">
        <v>67.902873245718794</v>
      </c>
      <c r="AM1473">
        <v>93.758205832054401</v>
      </c>
      <c r="AN1473">
        <v>1.0000000013796699</v>
      </c>
    </row>
    <row r="1474" spans="1:40" x14ac:dyDescent="0.25">
      <c r="A1474" t="str">
        <f>"20190304164626416"</f>
        <v>20190304164626416</v>
      </c>
      <c r="B1474" t="str">
        <f>"1551689186409150"</f>
        <v>1551689186409150</v>
      </c>
      <c r="C1474" t="s">
        <v>40</v>
      </c>
      <c r="D1474">
        <v>4.7298070000000001</v>
      </c>
      <c r="E1474">
        <v>0.53130089999999996</v>
      </c>
      <c r="F1474" t="s">
        <v>41</v>
      </c>
      <c r="G1474">
        <v>-273.91320000000002</v>
      </c>
      <c r="H1474">
        <v>0.77050079999999999</v>
      </c>
      <c r="I1474">
        <v>284.16109999999998</v>
      </c>
      <c r="J1474">
        <v>-273.34039999999999</v>
      </c>
      <c r="K1474">
        <v>1.1110990000000001</v>
      </c>
      <c r="L1474">
        <v>284.18549999999999</v>
      </c>
      <c r="M1474">
        <v>-0.99881019999999998</v>
      </c>
      <c r="N1474">
        <v>-1.495843E-2</v>
      </c>
      <c r="O1474">
        <v>4.6417159999999999E-2</v>
      </c>
      <c r="P1474">
        <v>-0.93298820000000005</v>
      </c>
      <c r="Q1474">
        <v>0.35955039999999999</v>
      </c>
      <c r="R1474">
        <v>-1.60159E-2</v>
      </c>
      <c r="S1474">
        <v>-3.7358090000000002</v>
      </c>
      <c r="T1474">
        <v>-1.3468039999999999</v>
      </c>
      <c r="U1474">
        <v>-2.9083250000000001E-2</v>
      </c>
      <c r="V1474">
        <v>-5.9483639999999997E-2</v>
      </c>
      <c r="W1474">
        <v>0.37341259999999998</v>
      </c>
      <c r="X1474">
        <v>0.92575629999999998</v>
      </c>
      <c r="Y1474">
        <v>-4.8332880000000002E-2</v>
      </c>
      <c r="Z1474">
        <v>-2.4363860000000001E-2</v>
      </c>
      <c r="AA1474">
        <v>0.99853409999999998</v>
      </c>
      <c r="AB1474">
        <v>38</v>
      </c>
      <c r="AC1474">
        <v>-0.57280000000002895</v>
      </c>
      <c r="AD1474">
        <v>-0.34059820000000002</v>
      </c>
      <c r="AE1474">
        <v>-2.4400000000014101E-2</v>
      </c>
      <c r="AF1474">
        <v>-3.7669600513305701E-2</v>
      </c>
      <c r="AG1474">
        <v>-0.34059820000000002</v>
      </c>
      <c r="AH1474">
        <v>0.42208304461176199</v>
      </c>
      <c r="AI1474">
        <v>128.79062740784499</v>
      </c>
      <c r="AJ1474">
        <v>95.099958566743794</v>
      </c>
      <c r="AK1474">
        <v>0.54367290643805899</v>
      </c>
      <c r="AL1474">
        <v>68.073764245688096</v>
      </c>
      <c r="AM1474">
        <v>93.676434939060101</v>
      </c>
      <c r="AN1474">
        <v>1.00000000012804</v>
      </c>
    </row>
    <row r="1475" spans="1:40" x14ac:dyDescent="0.25">
      <c r="A1475" t="str">
        <f>"20190304164626440"</f>
        <v>20190304164626440</v>
      </c>
      <c r="B1475" t="str">
        <f>"1551689186429646"</f>
        <v>1551689186429646</v>
      </c>
      <c r="C1475" t="s">
        <v>40</v>
      </c>
      <c r="D1475">
        <v>4.5089459999999999</v>
      </c>
      <c r="E1475">
        <v>0.5319642</v>
      </c>
      <c r="F1475" t="s">
        <v>41</v>
      </c>
      <c r="G1475">
        <v>-274.25599999999997</v>
      </c>
      <c r="H1475">
        <v>0.78246899999999997</v>
      </c>
      <c r="I1475">
        <v>284.18020000000001</v>
      </c>
      <c r="J1475">
        <v>-273.73250000000002</v>
      </c>
      <c r="K1475">
        <v>1.1111329999999999</v>
      </c>
      <c r="L1475">
        <v>284.20339999999999</v>
      </c>
      <c r="M1475">
        <v>-0.9988245</v>
      </c>
      <c r="N1475">
        <v>-1.4955319999999999E-2</v>
      </c>
      <c r="O1475">
        <v>4.6110249999999998E-2</v>
      </c>
      <c r="P1475">
        <v>-0.93316779999999999</v>
      </c>
      <c r="Q1475">
        <v>0.35912230000000001</v>
      </c>
      <c r="R1475">
        <v>-1.51364E-2</v>
      </c>
      <c r="S1475">
        <v>-3.7311709999999998</v>
      </c>
      <c r="T1475">
        <v>-1.3391949999999999</v>
      </c>
      <c r="U1475">
        <v>-2.191162E-2</v>
      </c>
      <c r="V1475">
        <v>-5.8361370000000003E-2</v>
      </c>
      <c r="W1475">
        <v>0.37298039999999999</v>
      </c>
      <c r="X1475">
        <v>0.92600190000000004</v>
      </c>
      <c r="Y1475">
        <v>-4.6316139999999999E-2</v>
      </c>
      <c r="Z1475">
        <v>-2.3792379999999998E-2</v>
      </c>
      <c r="AA1475">
        <v>0.99864350000000002</v>
      </c>
      <c r="AB1475">
        <v>38</v>
      </c>
      <c r="AC1475">
        <v>-0.523499999999955</v>
      </c>
      <c r="AD1475">
        <v>-0.32866400000000001</v>
      </c>
      <c r="AE1475">
        <v>-2.31999999999743E-2</v>
      </c>
      <c r="AF1475">
        <v>-3.3958095604335603E-2</v>
      </c>
      <c r="AG1475">
        <v>-0.32866400000000001</v>
      </c>
      <c r="AH1475">
        <v>0.37453600170439499</v>
      </c>
      <c r="AI1475">
        <v>131.151455881939</v>
      </c>
      <c r="AJ1475">
        <v>95.180677575125301</v>
      </c>
      <c r="AK1475">
        <v>0.49945009132623802</v>
      </c>
      <c r="AL1475">
        <v>68.100455279124105</v>
      </c>
      <c r="AM1475">
        <v>93.6063028118094</v>
      </c>
      <c r="AN1475">
        <v>0.99999997354802295</v>
      </c>
    </row>
    <row r="1476" spans="1:40" x14ac:dyDescent="0.25">
      <c r="A1476" t="str">
        <f>"20190304164626462"</f>
        <v>20190304164626462</v>
      </c>
      <c r="B1476" t="str">
        <f>"1551689186449672"</f>
        <v>1551689186449672</v>
      </c>
      <c r="C1476" t="s">
        <v>40</v>
      </c>
      <c r="D1476">
        <v>4.2345600000000001</v>
      </c>
      <c r="E1476">
        <v>0.53222639999999999</v>
      </c>
      <c r="F1476" t="s">
        <v>41</v>
      </c>
      <c r="G1476">
        <v>-274.60390000000001</v>
      </c>
      <c r="H1476">
        <v>0.79965540000000002</v>
      </c>
      <c r="I1476">
        <v>284.20030000000003</v>
      </c>
      <c r="J1476">
        <v>-274.11790000000002</v>
      </c>
      <c r="K1476">
        <v>1.1111789999999999</v>
      </c>
      <c r="L1476">
        <v>284.2208</v>
      </c>
      <c r="M1476">
        <v>-0.99884070000000003</v>
      </c>
      <c r="N1476">
        <v>-1.495204E-2</v>
      </c>
      <c r="O1476">
        <v>4.575779E-2</v>
      </c>
      <c r="P1476">
        <v>-0.9330891</v>
      </c>
      <c r="Q1476">
        <v>0.35936069999999998</v>
      </c>
      <c r="R1476">
        <v>-1.430269E-2</v>
      </c>
      <c r="S1476">
        <v>-3.7272949999999998</v>
      </c>
      <c r="T1476">
        <v>-1.3321860000000001</v>
      </c>
      <c r="U1476">
        <v>-1.330566E-2</v>
      </c>
      <c r="V1476">
        <v>-5.7233640000000002E-2</v>
      </c>
      <c r="W1476">
        <v>0.37320999999999999</v>
      </c>
      <c r="X1476">
        <v>0.92597980000000002</v>
      </c>
      <c r="Y1476">
        <v>-4.3887700000000002E-2</v>
      </c>
      <c r="Z1476">
        <v>-2.3140170000000002E-2</v>
      </c>
      <c r="AA1476">
        <v>0.9987684</v>
      </c>
      <c r="AB1476">
        <v>38</v>
      </c>
      <c r="AC1476">
        <v>-0.48599999999999</v>
      </c>
      <c r="AD1476">
        <v>-0.31152360000000001</v>
      </c>
      <c r="AE1476">
        <v>-2.04999999999699E-2</v>
      </c>
      <c r="AF1476">
        <v>-3.0294257961820701E-2</v>
      </c>
      <c r="AG1476">
        <v>-0.31152360000000001</v>
      </c>
      <c r="AH1476">
        <v>0.34361907426364802</v>
      </c>
      <c r="AI1476">
        <v>132.084967495445</v>
      </c>
      <c r="AJ1476">
        <v>95.038302760028103</v>
      </c>
      <c r="AK1476">
        <v>0.46479970268947401</v>
      </c>
      <c r="AL1476">
        <v>68.086276772061396</v>
      </c>
      <c r="AM1476">
        <v>93.536880222883099</v>
      </c>
      <c r="AN1476">
        <v>0.99999999182784405</v>
      </c>
    </row>
    <row r="1477" spans="1:40" x14ac:dyDescent="0.25">
      <c r="A1477" t="str">
        <f>"20190304164626483"</f>
        <v>20190304164626483</v>
      </c>
      <c r="B1477" t="str">
        <f>"1551689186479929"</f>
        <v>1551689186479929</v>
      </c>
      <c r="C1477" t="s">
        <v>40</v>
      </c>
      <c r="D1477">
        <v>4.5245379999999997</v>
      </c>
      <c r="E1477">
        <v>0.53299680000000005</v>
      </c>
      <c r="F1477" t="s">
        <v>41</v>
      </c>
      <c r="G1477">
        <v>-274.95080000000002</v>
      </c>
      <c r="H1477">
        <v>0.81438669999999902</v>
      </c>
      <c r="I1477">
        <v>284.21940000000001</v>
      </c>
      <c r="J1477">
        <v>-274.47770000000003</v>
      </c>
      <c r="K1477">
        <v>1.111226</v>
      </c>
      <c r="L1477">
        <v>284.23700000000002</v>
      </c>
      <c r="M1477">
        <v>-0.99885800000000002</v>
      </c>
      <c r="N1477">
        <v>-1.4948950000000001E-2</v>
      </c>
      <c r="O1477">
        <v>4.5378050000000003E-2</v>
      </c>
      <c r="P1477">
        <v>-0.93330880000000005</v>
      </c>
      <c r="Q1477">
        <v>0.3588191</v>
      </c>
      <c r="R1477">
        <v>-1.3550909999999999E-2</v>
      </c>
      <c r="S1477">
        <v>-3.7264400000000002</v>
      </c>
      <c r="T1477">
        <v>-1.327942</v>
      </c>
      <c r="U1477">
        <v>-6.8664549999999996E-3</v>
      </c>
      <c r="V1477">
        <v>-5.6177459999999999E-2</v>
      </c>
      <c r="W1477">
        <v>0.37266500000000002</v>
      </c>
      <c r="X1477">
        <v>0.92626399999999998</v>
      </c>
      <c r="Y1477">
        <v>-4.195989E-2</v>
      </c>
      <c r="Z1477">
        <v>-2.2600849999999999E-2</v>
      </c>
      <c r="AA1477">
        <v>0.99886359999999996</v>
      </c>
      <c r="AB1477">
        <v>38</v>
      </c>
      <c r="AC1477">
        <v>-0.47309999999998797</v>
      </c>
      <c r="AD1477">
        <v>-0.29683929999999997</v>
      </c>
      <c r="AE1477">
        <v>-1.7600000000015801E-2</v>
      </c>
      <c r="AF1477">
        <v>-2.8032286217631801E-2</v>
      </c>
      <c r="AG1477">
        <v>-0.29683929999999997</v>
      </c>
      <c r="AH1477">
        <v>0.33867174875733702</v>
      </c>
      <c r="AI1477">
        <v>131.13701019841099</v>
      </c>
      <c r="AJ1477">
        <v>94.731657682209899</v>
      </c>
      <c r="AK1477">
        <v>0.451218275894749</v>
      </c>
      <c r="AL1477">
        <v>68.119932318916995</v>
      </c>
      <c r="AM1477">
        <v>93.470709748580802</v>
      </c>
      <c r="AN1477">
        <v>1.0000000534665201</v>
      </c>
    </row>
    <row r="1478" spans="1:40" x14ac:dyDescent="0.25">
      <c r="A1478" t="str">
        <f>"20190304164626508"</f>
        <v>20190304164626508</v>
      </c>
      <c r="B1478" t="str">
        <f>"1551689186499449"</f>
        <v>1551689186499449</v>
      </c>
      <c r="C1478" t="s">
        <v>40</v>
      </c>
      <c r="D1478">
        <v>4.5280519999999997</v>
      </c>
      <c r="E1478">
        <v>0.53339110000000001</v>
      </c>
      <c r="F1478" t="s">
        <v>41</v>
      </c>
      <c r="G1478">
        <v>-275.29399999999998</v>
      </c>
      <c r="H1478">
        <v>0.82166530000000004</v>
      </c>
      <c r="I1478">
        <v>284.23840000000001</v>
      </c>
      <c r="J1478">
        <v>-274.8777</v>
      </c>
      <c r="K1478">
        <v>1.1112789999999999</v>
      </c>
      <c r="L1478">
        <v>284.25470000000001</v>
      </c>
      <c r="M1478">
        <v>-0.99887979999999998</v>
      </c>
      <c r="N1478">
        <v>-1.494525E-2</v>
      </c>
      <c r="O1478">
        <v>4.4900019999999999E-2</v>
      </c>
      <c r="P1478">
        <v>-0.93297540000000001</v>
      </c>
      <c r="Q1478">
        <v>0.35971059999999999</v>
      </c>
      <c r="R1478">
        <v>-1.287515E-2</v>
      </c>
      <c r="S1478">
        <v>-3.7220460000000002</v>
      </c>
      <c r="T1478">
        <v>-1.3202750000000001</v>
      </c>
      <c r="U1478">
        <v>5.8898930000000002E-3</v>
      </c>
      <c r="V1478">
        <v>-5.5090269999999997E-2</v>
      </c>
      <c r="W1478">
        <v>0.37354219999999999</v>
      </c>
      <c r="X1478">
        <v>0.92597589999999996</v>
      </c>
      <c r="Y1478">
        <v>-3.8364000000000002E-2</v>
      </c>
      <c r="Z1478">
        <v>-2.1696920000000001E-2</v>
      </c>
      <c r="AA1478">
        <v>0.99902829999999998</v>
      </c>
      <c r="AB1478">
        <v>38</v>
      </c>
      <c r="AC1478">
        <v>-0.41630000000003498</v>
      </c>
      <c r="AD1478">
        <v>-0.28961369999999997</v>
      </c>
      <c r="AE1478">
        <v>-1.6300000000001001E-2</v>
      </c>
      <c r="AF1478">
        <v>-2.35818847684925E-2</v>
      </c>
      <c r="AG1478">
        <v>-0.28961369999999997</v>
      </c>
      <c r="AH1478">
        <v>0.27989332674622502</v>
      </c>
      <c r="AI1478">
        <v>135.87656469997799</v>
      </c>
      <c r="AJ1478">
        <v>94.815973879540806</v>
      </c>
      <c r="AK1478">
        <v>0.40345070934873001</v>
      </c>
      <c r="AL1478">
        <v>68.065760406877203</v>
      </c>
      <c r="AM1478">
        <v>93.404757841207797</v>
      </c>
      <c r="AN1478">
        <v>1.0000000402051601</v>
      </c>
    </row>
    <row r="1479" spans="1:40" x14ac:dyDescent="0.25">
      <c r="A1479" t="str">
        <f>"20190304164626530"</f>
        <v>20190304164626530</v>
      </c>
      <c r="B1479" t="str">
        <f>"1551689186519945"</f>
        <v>1551689186519945</v>
      </c>
      <c r="C1479" t="s">
        <v>40</v>
      </c>
      <c r="D1479">
        <v>4.5169220000000001</v>
      </c>
      <c r="E1479">
        <v>0.53370390000000001</v>
      </c>
      <c r="F1479" t="s">
        <v>41</v>
      </c>
      <c r="G1479">
        <v>-275.64240000000001</v>
      </c>
      <c r="H1479">
        <v>0.8417403</v>
      </c>
      <c r="I1479">
        <v>284.25749999999999</v>
      </c>
      <c r="J1479">
        <v>-275.26859999999999</v>
      </c>
      <c r="K1479">
        <v>1.1113329999999999</v>
      </c>
      <c r="L1479">
        <v>284.27179999999998</v>
      </c>
      <c r="M1479">
        <v>-0.99890270000000003</v>
      </c>
      <c r="N1479">
        <v>-1.494171E-2</v>
      </c>
      <c r="O1479">
        <v>4.4385849999999998E-2</v>
      </c>
      <c r="P1479">
        <v>-0.93274489999999999</v>
      </c>
      <c r="Q1479">
        <v>0.36030580000000001</v>
      </c>
      <c r="R1479">
        <v>-1.290388E-2</v>
      </c>
      <c r="S1479">
        <v>-3.7214969999999998</v>
      </c>
      <c r="T1479">
        <v>-1.3118259999999999</v>
      </c>
      <c r="U1479">
        <v>1.358032E-2</v>
      </c>
      <c r="V1479">
        <v>-5.4675479999999999E-2</v>
      </c>
      <c r="W1479">
        <v>0.37412509999999999</v>
      </c>
      <c r="X1479">
        <v>0.92576510000000001</v>
      </c>
      <c r="Y1479">
        <v>-3.6021829999999998E-2</v>
      </c>
      <c r="Z1479">
        <v>-2.0979330000000001E-2</v>
      </c>
      <c r="AA1479">
        <v>0.99913079999999999</v>
      </c>
      <c r="AB1479">
        <v>38</v>
      </c>
      <c r="AC1479">
        <v>-0.37380000000001701</v>
      </c>
      <c r="AD1479">
        <v>-0.26959269999999902</v>
      </c>
      <c r="AE1479">
        <v>-1.42999999999915E-2</v>
      </c>
      <c r="AF1479">
        <v>-2.0323267551096799E-2</v>
      </c>
      <c r="AG1479">
        <v>-0.26959269999999902</v>
      </c>
      <c r="AH1479">
        <v>0.24535774773740501</v>
      </c>
      <c r="AI1479">
        <v>137.59698164714999</v>
      </c>
      <c r="AJ1479">
        <v>94.735066683649507</v>
      </c>
      <c r="AK1479">
        <v>0.36509407482457901</v>
      </c>
      <c r="AL1479">
        <v>68.029751220483504</v>
      </c>
      <c r="AM1479">
        <v>93.379949768042394</v>
      </c>
      <c r="AN1479">
        <v>1.0000000094706201</v>
      </c>
    </row>
    <row r="1480" spans="1:40" x14ac:dyDescent="0.25">
      <c r="A1480" t="str">
        <f>"20190304164626554"</f>
        <v>20190304164626554</v>
      </c>
      <c r="B1480" t="str">
        <f>"1551689186549733"</f>
        <v>1551689186549733</v>
      </c>
      <c r="C1480" t="s">
        <v>40</v>
      </c>
      <c r="D1480">
        <v>4.4971350000000001</v>
      </c>
      <c r="E1480">
        <v>0.53411119999999901</v>
      </c>
      <c r="F1480" t="s">
        <v>41</v>
      </c>
      <c r="G1480">
        <v>-275.98899999999998</v>
      </c>
      <c r="H1480">
        <v>0.85851980000000006</v>
      </c>
      <c r="I1480">
        <v>284.27519999999998</v>
      </c>
      <c r="J1480">
        <v>-275.678</v>
      </c>
      <c r="K1480">
        <v>1.111383</v>
      </c>
      <c r="L1480">
        <v>284.28949999999998</v>
      </c>
      <c r="M1480">
        <v>-0.99892840000000005</v>
      </c>
      <c r="N1480">
        <v>-1.4937860000000001E-2</v>
      </c>
      <c r="O1480">
        <v>4.38085E-2</v>
      </c>
      <c r="P1480">
        <v>-0.93257809999999997</v>
      </c>
      <c r="Q1480">
        <v>0.36067589999999999</v>
      </c>
      <c r="R1480">
        <v>-1.4547010000000001E-2</v>
      </c>
      <c r="S1480">
        <v>-3.7209469999999998</v>
      </c>
      <c r="T1480">
        <v>-1.3057529999999999</v>
      </c>
      <c r="U1480">
        <v>1.5777590000000001E-2</v>
      </c>
      <c r="V1480">
        <v>-5.5812319999999999E-2</v>
      </c>
      <c r="W1480">
        <v>0.37448110000000001</v>
      </c>
      <c r="X1480">
        <v>0.92555330000000002</v>
      </c>
      <c r="Y1480">
        <v>-3.4991380000000002E-2</v>
      </c>
      <c r="Z1480">
        <v>-2.0517179999999999E-2</v>
      </c>
      <c r="AA1480">
        <v>0.99917699999999998</v>
      </c>
      <c r="AB1480">
        <v>38</v>
      </c>
      <c r="AC1480">
        <v>-0.31100000000003503</v>
      </c>
      <c r="AD1480">
        <v>-0.25286319999999901</v>
      </c>
      <c r="AE1480">
        <v>-1.42999999999915E-2</v>
      </c>
      <c r="AF1480">
        <v>-1.6817839444667301E-2</v>
      </c>
      <c r="AG1480">
        <v>-0.25286319999999901</v>
      </c>
      <c r="AH1480">
        <v>0.18682808943933199</v>
      </c>
      <c r="AI1480">
        <v>143.43057401394501</v>
      </c>
      <c r="AJ1480">
        <v>95.143771923593107</v>
      </c>
      <c r="AK1480">
        <v>0.31484499780269198</v>
      </c>
      <c r="AL1480">
        <v>68.007754951720798</v>
      </c>
      <c r="AM1480">
        <v>93.450846937948299</v>
      </c>
      <c r="AN1480">
        <v>1.0000000102309401</v>
      </c>
    </row>
    <row r="1481" spans="1:40" x14ac:dyDescent="0.25">
      <c r="A1481" t="str">
        <f>"20190304164626576"</f>
        <v>20190304164626576</v>
      </c>
      <c r="B1481" t="str">
        <f>"1551689186569252"</f>
        <v>1551689186569252</v>
      </c>
      <c r="C1481" t="s">
        <v>40</v>
      </c>
      <c r="D1481">
        <v>4.3883049999999999</v>
      </c>
      <c r="E1481">
        <v>0.53443039999999997</v>
      </c>
      <c r="F1481" t="s">
        <v>41</v>
      </c>
      <c r="G1481">
        <v>-276.33769999999998</v>
      </c>
      <c r="H1481">
        <v>0.88093279999999996</v>
      </c>
      <c r="I1481">
        <v>284.29239999999999</v>
      </c>
      <c r="J1481">
        <v>-276.03550000000001</v>
      </c>
      <c r="K1481">
        <v>1.111418</v>
      </c>
      <c r="L1481">
        <v>284.30459999999999</v>
      </c>
      <c r="M1481">
        <v>-0.99895140000000004</v>
      </c>
      <c r="N1481">
        <v>-1.4934340000000001E-2</v>
      </c>
      <c r="O1481">
        <v>4.3278110000000002E-2</v>
      </c>
      <c r="P1481">
        <v>-0.93240880000000004</v>
      </c>
      <c r="Q1481">
        <v>0.36096450000000002</v>
      </c>
      <c r="R1481">
        <v>-1.7845179999999999E-2</v>
      </c>
      <c r="S1481">
        <v>-3.7196349999999998</v>
      </c>
      <c r="T1481">
        <v>-1.299213</v>
      </c>
      <c r="U1481">
        <v>1.7181399999999999E-2</v>
      </c>
      <c r="V1481">
        <v>-5.8632280000000002E-2</v>
      </c>
      <c r="W1481">
        <v>0.3747548</v>
      </c>
      <c r="X1481">
        <v>0.92526810000000004</v>
      </c>
      <c r="Y1481">
        <v>-3.4201879999999997E-2</v>
      </c>
      <c r="Z1481">
        <v>-2.0113120000000002E-2</v>
      </c>
      <c r="AA1481">
        <v>0.99921260000000001</v>
      </c>
      <c r="AB1481">
        <v>38</v>
      </c>
      <c r="AC1481">
        <v>-0.30219999999996999</v>
      </c>
      <c r="AD1481">
        <v>-0.230485199999999</v>
      </c>
      <c r="AE1481">
        <v>-1.2200000000007E-2</v>
      </c>
      <c r="AF1481">
        <v>-1.5985232031982599E-2</v>
      </c>
      <c r="AG1481">
        <v>-0.230485199999999</v>
      </c>
      <c r="AH1481">
        <v>0.19066174907942701</v>
      </c>
      <c r="AI1481">
        <v>140.30321067724</v>
      </c>
      <c r="AJ1481">
        <v>94.7925151922162</v>
      </c>
      <c r="AK1481">
        <v>0.299551093511913</v>
      </c>
      <c r="AL1481">
        <v>67.990840757277695</v>
      </c>
      <c r="AM1481">
        <v>93.625864189535093</v>
      </c>
      <c r="AN1481">
        <v>0.99999998062932305</v>
      </c>
    </row>
    <row r="1482" spans="1:40" x14ac:dyDescent="0.25">
      <c r="A1482" t="str">
        <f>"20190304164626596"</f>
        <v>20190304164626596</v>
      </c>
      <c r="B1482" t="str">
        <f>"1551689186589748"</f>
        <v>1551689186589748</v>
      </c>
      <c r="C1482" t="s">
        <v>40</v>
      </c>
      <c r="D1482">
        <v>4.4662699999999997</v>
      </c>
      <c r="E1482">
        <v>0.53472209999999998</v>
      </c>
      <c r="F1482" t="s">
        <v>41</v>
      </c>
      <c r="G1482">
        <v>-276.97469999999998</v>
      </c>
      <c r="H1482">
        <v>0.78473850000000001</v>
      </c>
      <c r="I1482">
        <v>284.30720000000002</v>
      </c>
      <c r="J1482">
        <v>-276.38529999999997</v>
      </c>
      <c r="K1482">
        <v>1.111424</v>
      </c>
      <c r="L1482">
        <v>284.3193</v>
      </c>
      <c r="M1482">
        <v>-0.99897440000000004</v>
      </c>
      <c r="N1482">
        <v>-1.4930779999999999E-2</v>
      </c>
      <c r="O1482">
        <v>4.2747269999999997E-2</v>
      </c>
      <c r="P1482">
        <v>-0.93219689999999999</v>
      </c>
      <c r="Q1482">
        <v>0.36135329999999999</v>
      </c>
      <c r="R1482">
        <v>-2.08151E-2</v>
      </c>
      <c r="S1482">
        <v>-3.7183839999999999</v>
      </c>
      <c r="T1482">
        <v>-1.2933600000000001</v>
      </c>
      <c r="U1482">
        <v>1.0009769999999999E-2</v>
      </c>
      <c r="V1482">
        <v>-6.1112659999999999E-2</v>
      </c>
      <c r="W1482">
        <v>0.37513010000000002</v>
      </c>
      <c r="X1482">
        <v>0.92495550000000004</v>
      </c>
      <c r="Y1482">
        <v>-3.5577049999999999E-2</v>
      </c>
      <c r="Z1482">
        <v>-2.0103949999999999E-2</v>
      </c>
      <c r="AA1482">
        <v>0.99916470000000002</v>
      </c>
      <c r="AB1482">
        <v>38</v>
      </c>
      <c r="AC1482">
        <v>-0.58940000000001103</v>
      </c>
      <c r="AD1482">
        <v>-0.32668550000000002</v>
      </c>
      <c r="AE1482">
        <v>-1.2099999999975301E-2</v>
      </c>
      <c r="AF1482">
        <v>-2.8526858478884101E-2</v>
      </c>
      <c r="AG1482">
        <v>-0.32668550000000002</v>
      </c>
      <c r="AH1482">
        <v>0.45011954315022201</v>
      </c>
      <c r="AI1482">
        <v>125.91663338554</v>
      </c>
      <c r="AJ1482">
        <v>93.626337878188707</v>
      </c>
      <c r="AK1482">
        <v>0.556906455960683</v>
      </c>
      <c r="AL1482">
        <v>67.967646265076496</v>
      </c>
      <c r="AM1482">
        <v>93.780090707183604</v>
      </c>
      <c r="AN1482">
        <v>1.0000000130592599</v>
      </c>
    </row>
    <row r="1483" spans="1:40" x14ac:dyDescent="0.25">
      <c r="A1483" t="str">
        <f>"20190304164626620"</f>
        <v>20190304164626620</v>
      </c>
      <c r="B1483" t="str">
        <f>"1551689186609268"</f>
        <v>1551689186609268</v>
      </c>
      <c r="C1483" t="s">
        <v>40</v>
      </c>
      <c r="D1483">
        <v>4.4518019999999998</v>
      </c>
      <c r="E1483">
        <v>0.53489149999999996</v>
      </c>
      <c r="F1483" t="s">
        <v>41</v>
      </c>
      <c r="G1483">
        <v>-277.31479999999999</v>
      </c>
      <c r="H1483">
        <v>0.78946549999999904</v>
      </c>
      <c r="I1483">
        <v>284.31979999999999</v>
      </c>
      <c r="J1483">
        <v>-276.7799</v>
      </c>
      <c r="K1483">
        <v>1.1114409999999999</v>
      </c>
      <c r="L1483">
        <v>284.3356</v>
      </c>
      <c r="M1483">
        <v>-0.999</v>
      </c>
      <c r="N1483">
        <v>-1.492659E-2</v>
      </c>
      <c r="O1483">
        <v>4.2146120000000002E-2</v>
      </c>
      <c r="P1483">
        <v>-0.93230590000000002</v>
      </c>
      <c r="Q1483">
        <v>0.36088619999999999</v>
      </c>
      <c r="R1483">
        <v>-2.3815550000000001E-2</v>
      </c>
      <c r="S1483">
        <v>-3.7173159999999998</v>
      </c>
      <c r="T1483">
        <v>-1.28752</v>
      </c>
      <c r="U1483">
        <v>1.3122559999999999E-3</v>
      </c>
      <c r="V1483">
        <v>-6.3565540000000004E-2</v>
      </c>
      <c r="W1483">
        <v>0.3746544</v>
      </c>
      <c r="X1483">
        <v>0.924983</v>
      </c>
      <c r="Y1483">
        <v>-3.7278270000000002E-2</v>
      </c>
      <c r="Z1483">
        <v>-2.0128239999999999E-2</v>
      </c>
      <c r="AA1483">
        <v>0.99910220000000005</v>
      </c>
      <c r="AB1483">
        <v>38</v>
      </c>
      <c r="AC1483">
        <v>-0.53489999999999305</v>
      </c>
      <c r="AD1483">
        <v>-0.32197550000000003</v>
      </c>
      <c r="AE1483">
        <v>-1.5800000000012901E-2</v>
      </c>
      <c r="AF1483">
        <v>-2.8143994339779502E-2</v>
      </c>
      <c r="AG1483">
        <v>-0.32197550000000003</v>
      </c>
      <c r="AH1483">
        <v>0.39189011892713499</v>
      </c>
      <c r="AI1483">
        <v>129.33413269142301</v>
      </c>
      <c r="AJ1483">
        <v>94.107703484703904</v>
      </c>
      <c r="AK1483">
        <v>0.50797457842924798</v>
      </c>
      <c r="AL1483">
        <v>67.997046289067001</v>
      </c>
      <c r="AM1483">
        <v>93.9312291454454</v>
      </c>
      <c r="AN1483">
        <v>1.00000002380192</v>
      </c>
    </row>
    <row r="1484" spans="1:40" x14ac:dyDescent="0.25">
      <c r="A1484" t="str">
        <f>"20190304164626646"</f>
        <v>20190304164626646</v>
      </c>
      <c r="B1484" t="str">
        <f>"1551689186639524"</f>
        <v>1551689186639524</v>
      </c>
      <c r="C1484" t="s">
        <v>40</v>
      </c>
      <c r="D1484">
        <v>4.4571630000000004</v>
      </c>
      <c r="E1484">
        <v>0.53507399999999905</v>
      </c>
      <c r="F1484" t="s">
        <v>41</v>
      </c>
      <c r="G1484">
        <v>-277.65980000000002</v>
      </c>
      <c r="H1484">
        <v>0.80655469999999996</v>
      </c>
      <c r="I1484">
        <v>284.3331</v>
      </c>
      <c r="J1484">
        <v>-277.22410000000002</v>
      </c>
      <c r="K1484">
        <v>1.1114409999999999</v>
      </c>
      <c r="L1484">
        <v>284.3537</v>
      </c>
      <c r="M1484">
        <v>-0.99902769999999996</v>
      </c>
      <c r="N1484">
        <v>-1.4921770000000001E-2</v>
      </c>
      <c r="O1484">
        <v>4.1485630000000003E-2</v>
      </c>
      <c r="P1484">
        <v>-0.93251660000000003</v>
      </c>
      <c r="Q1484">
        <v>0.36017110000000002</v>
      </c>
      <c r="R1484">
        <v>-2.6262890000000001E-2</v>
      </c>
      <c r="S1484">
        <v>-3.7159420000000001</v>
      </c>
      <c r="T1484">
        <v>-1.2875509999999999</v>
      </c>
      <c r="U1484">
        <v>-1.095581E-2</v>
      </c>
      <c r="V1484">
        <v>-6.5403959999999997E-2</v>
      </c>
      <c r="W1484">
        <v>0.37393500000000002</v>
      </c>
      <c r="X1484">
        <v>0.92514589999999997</v>
      </c>
      <c r="Y1484">
        <v>-3.9794120000000002E-2</v>
      </c>
      <c r="Z1484">
        <v>-2.03664E-2</v>
      </c>
      <c r="AA1484">
        <v>0.99900029999999995</v>
      </c>
      <c r="AB1484">
        <v>38</v>
      </c>
      <c r="AC1484">
        <v>-0.43569999999999698</v>
      </c>
      <c r="AD1484">
        <v>-0.304886299999999</v>
      </c>
      <c r="AE1484">
        <v>-2.06000000000017E-2</v>
      </c>
      <c r="AF1484">
        <v>-2.5970858726073499E-2</v>
      </c>
      <c r="AG1484">
        <v>-0.304886299999999</v>
      </c>
      <c r="AH1484">
        <v>0.291869887761664</v>
      </c>
      <c r="AI1484">
        <v>136.136667422518</v>
      </c>
      <c r="AJ1484">
        <v>95.084840954025907</v>
      </c>
      <c r="AK1484">
        <v>0.42286897830494202</v>
      </c>
      <c r="AL1484">
        <v>68.041495358724802</v>
      </c>
      <c r="AM1484">
        <v>94.043844900613493</v>
      </c>
      <c r="AN1484">
        <v>0.99999999924774496</v>
      </c>
    </row>
    <row r="1485" spans="1:40" x14ac:dyDescent="0.25">
      <c r="A1485" t="str">
        <f>"20190304164626684"</f>
        <v>20190304164626684</v>
      </c>
      <c r="B1485" t="str">
        <f>"1551689186680049"</f>
        <v>1551689186680049</v>
      </c>
      <c r="C1485" t="s">
        <v>40</v>
      </c>
      <c r="D1485">
        <v>4.6192880000000001</v>
      </c>
      <c r="E1485">
        <v>0.54180759999999994</v>
      </c>
      <c r="F1485" t="s">
        <v>41</v>
      </c>
      <c r="G1485">
        <v>-278.01089999999999</v>
      </c>
      <c r="H1485">
        <v>0.83848799999999901</v>
      </c>
      <c r="I1485">
        <v>284.34890000000001</v>
      </c>
      <c r="J1485">
        <v>-277.86750000000001</v>
      </c>
      <c r="K1485">
        <v>1.1114189999999999</v>
      </c>
      <c r="L1485">
        <v>284.37950000000001</v>
      </c>
      <c r="M1485">
        <v>-0.99906439999999996</v>
      </c>
      <c r="N1485">
        <v>-1.491464E-2</v>
      </c>
      <c r="O1485">
        <v>4.0598450000000001E-2</v>
      </c>
      <c r="P1485">
        <v>-0.93216719999999997</v>
      </c>
      <c r="Q1485">
        <v>0.36091079999999998</v>
      </c>
      <c r="R1485">
        <v>-2.8423299999999999E-2</v>
      </c>
      <c r="S1485">
        <v>-3.714172</v>
      </c>
      <c r="T1485">
        <v>-1.288589</v>
      </c>
      <c r="U1485">
        <v>-2.3712159999999999E-2</v>
      </c>
      <c r="V1485">
        <v>-6.6704819999999998E-2</v>
      </c>
      <c r="W1485">
        <v>0.3746641</v>
      </c>
      <c r="X1485">
        <v>0.92475799999999997</v>
      </c>
      <c r="Y1485">
        <v>-4.222621E-2</v>
      </c>
      <c r="Z1485">
        <v>-2.0534340000000002E-2</v>
      </c>
      <c r="AA1485">
        <v>0.99889700000000003</v>
      </c>
      <c r="AB1485">
        <v>38</v>
      </c>
      <c r="AC1485">
        <v>-0.14339999999998501</v>
      </c>
      <c r="AD1485">
        <v>-0.27293099999999998</v>
      </c>
      <c r="AE1485">
        <v>-3.0599999999992598E-2</v>
      </c>
      <c r="AF1485">
        <v>-8.1521756847830092E-3</v>
      </c>
      <c r="AG1485">
        <v>-0.27293099999999998</v>
      </c>
      <c r="AH1485">
        <v>3.1813665077213699E-2</v>
      </c>
      <c r="AI1485">
        <v>173.13863768328201</v>
      </c>
      <c r="AJ1485">
        <v>104.372650258607</v>
      </c>
      <c r="AK1485">
        <v>0.27489979631684103</v>
      </c>
      <c r="AL1485">
        <v>67.996447227223697</v>
      </c>
      <c r="AM1485">
        <v>94.125724515729402</v>
      </c>
      <c r="AN1485">
        <v>1.0000000397020199</v>
      </c>
    </row>
    <row r="1486" spans="1:40" x14ac:dyDescent="0.25">
      <c r="A1486" t="str">
        <f>"20190304164626706"</f>
        <v>20190304164626706</v>
      </c>
      <c r="B1486" t="str">
        <f>"1551689186699569"</f>
        <v>1551689186699569</v>
      </c>
      <c r="C1486" t="s">
        <v>40</v>
      </c>
      <c r="D1486">
        <v>4.433567</v>
      </c>
      <c r="E1486">
        <v>0.52019819999999894</v>
      </c>
      <c r="F1486" t="s">
        <v>41</v>
      </c>
      <c r="G1486">
        <v>-278.70839999999998</v>
      </c>
      <c r="H1486">
        <v>0.89699340000000005</v>
      </c>
      <c r="I1486">
        <v>284.3929</v>
      </c>
      <c r="J1486">
        <v>-278.24430000000001</v>
      </c>
      <c r="K1486">
        <v>1.1114010000000001</v>
      </c>
      <c r="L1486">
        <v>284.39429999999999</v>
      </c>
      <c r="M1486">
        <v>-0.99908359999999996</v>
      </c>
      <c r="N1486">
        <v>-1.4910410000000001E-2</v>
      </c>
      <c r="O1486">
        <v>4.0120129999999997E-2</v>
      </c>
      <c r="P1486">
        <v>-0.93202200000000002</v>
      </c>
      <c r="Q1486">
        <v>0.36134450000000001</v>
      </c>
      <c r="R1486">
        <v>-2.766215E-2</v>
      </c>
      <c r="S1486">
        <v>-3.5728149999999999</v>
      </c>
      <c r="T1486">
        <v>-0.91110060000000004</v>
      </c>
      <c r="U1486">
        <v>5.6762699999999902E-2</v>
      </c>
      <c r="V1486">
        <v>-6.5476240000000005E-2</v>
      </c>
      <c r="W1486">
        <v>0.37509690000000001</v>
      </c>
      <c r="X1486">
        <v>0.92467029999999995</v>
      </c>
      <c r="Y1486">
        <v>-2.2351630000000001E-2</v>
      </c>
      <c r="Z1486">
        <v>-1.2451230000000001E-2</v>
      </c>
      <c r="AA1486">
        <v>0.99967269999999997</v>
      </c>
      <c r="AB1486">
        <v>38</v>
      </c>
      <c r="AC1486">
        <v>-0.46409999999997298</v>
      </c>
      <c r="AD1486">
        <v>-0.214407599999999</v>
      </c>
      <c r="AE1486">
        <v>-1.39999999998963E-3</v>
      </c>
      <c r="AF1486">
        <v>-1.6499273140788199E-2</v>
      </c>
      <c r="AG1486">
        <v>-0.214407599999999</v>
      </c>
      <c r="AH1486">
        <v>0.38211556671052799</v>
      </c>
      <c r="AI1486">
        <v>119.274307935278</v>
      </c>
      <c r="AJ1486">
        <v>92.472424461826705</v>
      </c>
      <c r="AK1486">
        <v>0.43846909956625502</v>
      </c>
      <c r="AL1486">
        <v>67.969697864963095</v>
      </c>
      <c r="AM1486">
        <v>94.0503743277187</v>
      </c>
      <c r="AN1486">
        <v>0.99999999304811804</v>
      </c>
    </row>
    <row r="1487" spans="1:40" x14ac:dyDescent="0.25">
      <c r="A1487" t="str">
        <f>"20190304164626732"</f>
        <v>20190304164626732</v>
      </c>
      <c r="B1487" t="str">
        <f>"1551689186720064"</f>
        <v>1551689186720064</v>
      </c>
      <c r="C1487" t="s">
        <v>40</v>
      </c>
      <c r="D1487">
        <v>4.4547739999999996</v>
      </c>
      <c r="E1487">
        <v>0.51738300000000004</v>
      </c>
      <c r="F1487" t="s">
        <v>50</v>
      </c>
      <c r="G1487">
        <v>-289.92090000000002</v>
      </c>
      <c r="H1487" s="1">
        <v>4.0902960000000004E-6</v>
      </c>
      <c r="I1487">
        <v>284.1927</v>
      </c>
      <c r="J1487">
        <v>-278.66989999999998</v>
      </c>
      <c r="K1487">
        <v>1.1113900000000001</v>
      </c>
      <c r="L1487">
        <v>284.41090000000003</v>
      </c>
      <c r="M1487">
        <v>-0.99910410000000005</v>
      </c>
      <c r="N1487">
        <v>-1.4905689999999999E-2</v>
      </c>
      <c r="O1487">
        <v>3.9607219999999999E-2</v>
      </c>
      <c r="P1487">
        <v>-0.93207600000000002</v>
      </c>
      <c r="Q1487">
        <v>0.3612823</v>
      </c>
      <c r="R1487">
        <v>-2.6636400000000001E-2</v>
      </c>
      <c r="S1487">
        <v>-3.3403629999999902</v>
      </c>
      <c r="T1487">
        <v>-0.31794080000000002</v>
      </c>
      <c r="U1487">
        <v>-5.7678220000000002E-2</v>
      </c>
      <c r="V1487">
        <v>-6.3957539999999993E-2</v>
      </c>
      <c r="W1487">
        <v>0.37503720000000001</v>
      </c>
      <c r="X1487">
        <v>0.92480079999999998</v>
      </c>
      <c r="Y1487">
        <v>-5.643426E-2</v>
      </c>
      <c r="Z1487">
        <v>-6.2726169999999899E-3</v>
      </c>
      <c r="AA1487">
        <v>0.99838660000000001</v>
      </c>
      <c r="AB1487">
        <v>38</v>
      </c>
      <c r="AC1487">
        <v>-11.250999999999999</v>
      </c>
      <c r="AD1487">
        <v>-1.111385909704</v>
      </c>
      <c r="AE1487">
        <v>-0.21820000000002401</v>
      </c>
      <c r="AF1487">
        <v>-0.65728790195494302</v>
      </c>
      <c r="AG1487">
        <v>-1.111385909704</v>
      </c>
      <c r="AH1487">
        <v>11.125012678265801</v>
      </c>
      <c r="AI1487">
        <v>95.695039989211196</v>
      </c>
      <c r="AJ1487">
        <v>93.381218148512403</v>
      </c>
      <c r="AK1487">
        <v>11.1996925456871</v>
      </c>
      <c r="AL1487">
        <v>67.973387818496406</v>
      </c>
      <c r="AM1487">
        <v>93.956172580307395</v>
      </c>
      <c r="AN1487">
        <v>0.99999999399366502</v>
      </c>
    </row>
    <row r="1488" spans="1:40" x14ac:dyDescent="0.25">
      <c r="A1488" t="str">
        <f>"20190304164626752"</f>
        <v>20190304164626752</v>
      </c>
      <c r="B1488" t="str">
        <f>"1551689186749852"</f>
        <v>1551689186749852</v>
      </c>
      <c r="C1488" t="s">
        <v>40</v>
      </c>
      <c r="D1488">
        <v>4.4186809999999896</v>
      </c>
      <c r="E1488">
        <v>0.51804359999999905</v>
      </c>
      <c r="F1488" t="s">
        <v>50</v>
      </c>
      <c r="G1488">
        <v>-291.65230000000003</v>
      </c>
      <c r="H1488" s="1">
        <v>2.5424079999999998E-6</v>
      </c>
      <c r="I1488">
        <v>284.11810000000003</v>
      </c>
      <c r="J1488">
        <v>-279.02870000000001</v>
      </c>
      <c r="K1488">
        <v>1.1113789999999999</v>
      </c>
      <c r="L1488">
        <v>284.42469999999997</v>
      </c>
      <c r="M1488">
        <v>-0.99912060000000003</v>
      </c>
      <c r="N1488">
        <v>-1.4901950000000001E-2</v>
      </c>
      <c r="O1488">
        <v>3.9193100000000002E-2</v>
      </c>
      <c r="P1488">
        <v>-0.93203150000000001</v>
      </c>
      <c r="Q1488">
        <v>0.3614735</v>
      </c>
      <c r="R1488">
        <v>-2.5574719999999999E-2</v>
      </c>
      <c r="S1488">
        <v>-3.3268740000000001</v>
      </c>
      <c r="T1488">
        <v>-0.284804</v>
      </c>
      <c r="U1488">
        <v>-7.5042719999999993E-2</v>
      </c>
      <c r="V1488">
        <v>-6.249789E-2</v>
      </c>
      <c r="W1488">
        <v>0.37522860000000002</v>
      </c>
      <c r="X1488">
        <v>0.9248229</v>
      </c>
      <c r="Y1488">
        <v>-6.135968E-2</v>
      </c>
      <c r="Z1488">
        <v>-5.8447430000000003E-3</v>
      </c>
      <c r="AA1488">
        <v>0.99809859999999995</v>
      </c>
      <c r="AB1488">
        <v>38</v>
      </c>
      <c r="AC1488">
        <v>-12.6236</v>
      </c>
      <c r="AD1488">
        <v>-1.111376457592</v>
      </c>
      <c r="AE1488">
        <v>-0.30659999999994603</v>
      </c>
      <c r="AF1488">
        <v>-0.79501876771235702</v>
      </c>
      <c r="AG1488">
        <v>-1.111376457592</v>
      </c>
      <c r="AH1488">
        <v>12.505011829670901</v>
      </c>
      <c r="AI1488">
        <v>95.068609282493696</v>
      </c>
      <c r="AJ1488">
        <v>93.637741231391999</v>
      </c>
      <c r="AK1488">
        <v>12.5794488484875</v>
      </c>
      <c r="AL1488">
        <v>67.961556250652905</v>
      </c>
      <c r="AM1488">
        <v>93.866069018930204</v>
      </c>
      <c r="AN1488">
        <v>0.99999994243840895</v>
      </c>
    </row>
    <row r="1489" spans="1:40" x14ac:dyDescent="0.25">
      <c r="A1489" t="str">
        <f>"20190304164626775"</f>
        <v>20190304164626775</v>
      </c>
      <c r="B1489" t="str">
        <f>"1551689186769373"</f>
        <v>1551689186769373</v>
      </c>
      <c r="C1489" t="s">
        <v>40</v>
      </c>
      <c r="D1489">
        <v>4.4289639999999997</v>
      </c>
      <c r="E1489">
        <v>0.51848950000000005</v>
      </c>
      <c r="F1489" t="s">
        <v>50</v>
      </c>
      <c r="G1489">
        <v>-292.44959999999998</v>
      </c>
      <c r="H1489" s="1">
        <v>2.6799029999999998E-6</v>
      </c>
      <c r="I1489">
        <v>284.16289999999998</v>
      </c>
      <c r="J1489">
        <v>-279.39569999999998</v>
      </c>
      <c r="K1489">
        <v>1.1113729999999999</v>
      </c>
      <c r="L1489">
        <v>284.43869999999998</v>
      </c>
      <c r="M1489">
        <v>-0.99913680000000005</v>
      </c>
      <c r="N1489">
        <v>-1.4898089999999999E-2</v>
      </c>
      <c r="O1489">
        <v>3.8778350000000003E-2</v>
      </c>
      <c r="P1489">
        <v>-0.93191060000000003</v>
      </c>
      <c r="Q1489">
        <v>0.36180509999999999</v>
      </c>
      <c r="R1489">
        <v>-2.5287299999999999E-2</v>
      </c>
      <c r="S1489">
        <v>-3.3237610000000002</v>
      </c>
      <c r="T1489">
        <v>-0.27523900000000001</v>
      </c>
      <c r="U1489">
        <v>-6.4849850000000001E-2</v>
      </c>
      <c r="V1489">
        <v>-6.1812069999999997E-2</v>
      </c>
      <c r="W1489">
        <v>0.37555739999999999</v>
      </c>
      <c r="X1489">
        <v>0.92473559999999999</v>
      </c>
      <c r="Y1489">
        <v>-5.7944580000000002E-2</v>
      </c>
      <c r="Z1489">
        <v>-5.4556020000000004E-3</v>
      </c>
      <c r="AA1489">
        <v>0.99830490000000005</v>
      </c>
      <c r="AB1489">
        <v>38</v>
      </c>
      <c r="AC1489">
        <v>-13.053900000000001</v>
      </c>
      <c r="AD1489">
        <v>-1.111370320097</v>
      </c>
      <c r="AE1489">
        <v>-0.27580000000000299</v>
      </c>
      <c r="AF1489">
        <v>-0.77623350807500602</v>
      </c>
      <c r="AG1489">
        <v>-1.111370320097</v>
      </c>
      <c r="AH1489">
        <v>12.9396342126908</v>
      </c>
      <c r="AI1489">
        <v>94.900254989353002</v>
      </c>
      <c r="AJ1489">
        <v>93.432992624294599</v>
      </c>
      <c r="AK1489">
        <v>13.010450261450901</v>
      </c>
      <c r="AL1489">
        <v>67.941232517569304</v>
      </c>
      <c r="AM1489">
        <v>93.824131211994299</v>
      </c>
      <c r="AN1489">
        <v>1.0000000112998999</v>
      </c>
    </row>
    <row r="1490" spans="1:40" x14ac:dyDescent="0.25">
      <c r="A1490" t="str">
        <f>"20190304164626797"</f>
        <v>20190304164626797</v>
      </c>
      <c r="B1490" t="str">
        <f>"1551689186789868"</f>
        <v>1551689186789868</v>
      </c>
      <c r="C1490" t="s">
        <v>40</v>
      </c>
      <c r="D1490">
        <v>4.4300920000000001</v>
      </c>
      <c r="E1490">
        <v>0.5189182</v>
      </c>
      <c r="F1490" t="s">
        <v>50</v>
      </c>
      <c r="G1490">
        <v>-292.67169999999999</v>
      </c>
      <c r="H1490" s="1">
        <v>2.7161659999999998E-6</v>
      </c>
      <c r="I1490">
        <v>284.19889999999998</v>
      </c>
      <c r="J1490">
        <v>-279.77</v>
      </c>
      <c r="K1490">
        <v>1.1113820000000001</v>
      </c>
      <c r="L1490">
        <v>284.4529</v>
      </c>
      <c r="M1490">
        <v>-0.99915330000000002</v>
      </c>
      <c r="N1490">
        <v>-1.489393E-2</v>
      </c>
      <c r="O1490">
        <v>3.8353470000000001E-2</v>
      </c>
      <c r="P1490">
        <v>-0.93148569999999997</v>
      </c>
      <c r="Q1490">
        <v>0.36290260000000002</v>
      </c>
      <c r="R1490">
        <v>-2.5222830000000002E-2</v>
      </c>
      <c r="S1490">
        <v>-3.325653</v>
      </c>
      <c r="T1490">
        <v>-0.27839849999999999</v>
      </c>
      <c r="U1490">
        <v>-6.0089110000000001E-2</v>
      </c>
      <c r="V1490">
        <v>-6.1334350000000003E-2</v>
      </c>
      <c r="W1490">
        <v>0.3766465</v>
      </c>
      <c r="X1490">
        <v>0.92432429999999999</v>
      </c>
      <c r="Y1490">
        <v>-5.6081840000000001E-2</v>
      </c>
      <c r="Z1490">
        <v>-5.39567E-3</v>
      </c>
      <c r="AA1490">
        <v>0.99841159999999995</v>
      </c>
      <c r="AB1490">
        <v>38</v>
      </c>
      <c r="AC1490">
        <v>-12.9017</v>
      </c>
      <c r="AD1490">
        <v>-1.111379283834</v>
      </c>
      <c r="AE1490">
        <v>-0.25400000000001899</v>
      </c>
      <c r="AF1490">
        <v>-0.74318029562613497</v>
      </c>
      <c r="AG1490">
        <v>-1.111379283834</v>
      </c>
      <c r="AH1490">
        <v>12.787609259227899</v>
      </c>
      <c r="AI1490">
        <v>94.958805949645097</v>
      </c>
      <c r="AJ1490">
        <v>93.326129976442004</v>
      </c>
      <c r="AK1490">
        <v>12.8573104275752</v>
      </c>
      <c r="AL1490">
        <v>67.873885633034604</v>
      </c>
      <c r="AM1490">
        <v>93.796346351917606</v>
      </c>
      <c r="AN1490">
        <v>0.99999995001133002</v>
      </c>
    </row>
    <row r="1491" spans="1:40" x14ac:dyDescent="0.25">
      <c r="A1491" t="str">
        <f>"20190304164626820"</f>
        <v>20190304164626820</v>
      </c>
      <c r="B1491" t="str">
        <f>"1551689186809388"</f>
        <v>1551689186809388</v>
      </c>
      <c r="C1491" t="s">
        <v>40</v>
      </c>
      <c r="D1491">
        <v>4.4414790000000002</v>
      </c>
      <c r="E1491">
        <v>0.51933409999999902</v>
      </c>
      <c r="F1491" t="s">
        <v>50</v>
      </c>
      <c r="G1491">
        <v>-292.94900000000001</v>
      </c>
      <c r="H1491" s="1">
        <v>2.7627170000000001E-6</v>
      </c>
      <c r="I1491">
        <v>284.22899999999998</v>
      </c>
      <c r="J1491">
        <v>-280.14179999999999</v>
      </c>
      <c r="K1491">
        <v>1.1113869999999999</v>
      </c>
      <c r="L1491">
        <v>284.4667</v>
      </c>
      <c r="M1491">
        <v>-0.9991698</v>
      </c>
      <c r="N1491">
        <v>-1.488979E-2</v>
      </c>
      <c r="O1491">
        <v>3.7923310000000002E-2</v>
      </c>
      <c r="P1491">
        <v>-0.93123560000000005</v>
      </c>
      <c r="Q1491">
        <v>0.36350969999999999</v>
      </c>
      <c r="R1491">
        <v>-2.571418E-2</v>
      </c>
      <c r="S1491">
        <v>-3.3284910000000001</v>
      </c>
      <c r="T1491">
        <v>-0.2806902</v>
      </c>
      <c r="U1491">
        <v>-5.654907E-2</v>
      </c>
      <c r="V1491">
        <v>-6.1419109999999999E-2</v>
      </c>
      <c r="W1491">
        <v>0.37724550000000001</v>
      </c>
      <c r="X1491">
        <v>0.92407439999999996</v>
      </c>
      <c r="Y1491">
        <v>-5.4577540000000001E-2</v>
      </c>
      <c r="Z1491">
        <v>-5.3321810000000001E-3</v>
      </c>
      <c r="AA1491">
        <v>0.99849529999999997</v>
      </c>
      <c r="AB1491">
        <v>37</v>
      </c>
      <c r="AC1491">
        <v>-12.8072</v>
      </c>
      <c r="AD1491">
        <v>-1.1113842372830001</v>
      </c>
      <c r="AE1491">
        <v>-0.237699999999961</v>
      </c>
      <c r="AF1491">
        <v>-0.71787018293325</v>
      </c>
      <c r="AG1491">
        <v>-1.1113842372830001</v>
      </c>
      <c r="AH1491">
        <v>12.6934157309943</v>
      </c>
      <c r="AI1491">
        <v>94.995884080012203</v>
      </c>
      <c r="AJ1491">
        <v>93.236887949486402</v>
      </c>
      <c r="AK1491">
        <v>12.762183020247001</v>
      </c>
      <c r="AL1491">
        <v>67.836833051303103</v>
      </c>
      <c r="AM1491">
        <v>93.802602332627302</v>
      </c>
      <c r="AN1491">
        <v>0.99999998553939995</v>
      </c>
    </row>
    <row r="1492" spans="1:40" x14ac:dyDescent="0.25">
      <c r="A1492" t="str">
        <f>"20190304164626841"</f>
        <v>20190304164626841</v>
      </c>
      <c r="B1492" t="str">
        <f>"1551689186829884"</f>
        <v>1551689186829884</v>
      </c>
      <c r="C1492" t="s">
        <v>40</v>
      </c>
      <c r="D1492">
        <v>4.4704610000000002</v>
      </c>
      <c r="E1492">
        <v>0.51974240000000005</v>
      </c>
      <c r="F1492" t="s">
        <v>50</v>
      </c>
      <c r="G1492">
        <v>-293.19319999999999</v>
      </c>
      <c r="H1492" s="1">
        <v>2.8042760000000002E-6</v>
      </c>
      <c r="I1492">
        <v>284.24919999999997</v>
      </c>
      <c r="J1492">
        <v>-280.51139999999998</v>
      </c>
      <c r="K1492">
        <v>1.111399</v>
      </c>
      <c r="L1492">
        <v>284.4803</v>
      </c>
      <c r="M1492">
        <v>-0.99918660000000004</v>
      </c>
      <c r="N1492">
        <v>-1.488571E-2</v>
      </c>
      <c r="O1492">
        <v>3.7476540000000003E-2</v>
      </c>
      <c r="P1492">
        <v>-0.93136750000000001</v>
      </c>
      <c r="Q1492">
        <v>0.36310550000000003</v>
      </c>
      <c r="R1492">
        <v>-2.66238E-2</v>
      </c>
      <c r="S1492">
        <v>-3.3307190000000002</v>
      </c>
      <c r="T1492">
        <v>-0.28362409999999999</v>
      </c>
      <c r="U1492">
        <v>-5.551147E-2</v>
      </c>
      <c r="V1492">
        <v>-6.1924149999999997E-2</v>
      </c>
      <c r="W1492">
        <v>0.3768378</v>
      </c>
      <c r="X1492">
        <v>0.924207</v>
      </c>
      <c r="Y1492">
        <v>-5.380683E-2</v>
      </c>
      <c r="Z1492">
        <v>-5.315915E-3</v>
      </c>
      <c r="AA1492">
        <v>0.99853720000000001</v>
      </c>
      <c r="AB1492">
        <v>37</v>
      </c>
      <c r="AC1492">
        <v>-12.681800000000001</v>
      </c>
      <c r="AD1492">
        <v>-1.1113961957239999</v>
      </c>
      <c r="AE1492">
        <v>-0.23110000000002601</v>
      </c>
      <c r="AF1492">
        <v>-0.70087913478006802</v>
      </c>
      <c r="AG1492">
        <v>-1.1113961957239999</v>
      </c>
      <c r="AH1492">
        <v>12.567735912547599</v>
      </c>
      <c r="AI1492">
        <v>95.045862284838904</v>
      </c>
      <c r="AJ1492">
        <v>93.191972140402001</v>
      </c>
      <c r="AK1492">
        <v>12.636234369185299</v>
      </c>
      <c r="AL1492">
        <v>67.862053185574396</v>
      </c>
      <c r="AM1492">
        <v>93.833229276609103</v>
      </c>
      <c r="AN1492">
        <v>0.99999995335553005</v>
      </c>
    </row>
    <row r="1493" spans="1:40" x14ac:dyDescent="0.25">
      <c r="A1493" t="str">
        <f>"20190304164626864"</f>
        <v>20190304164626864</v>
      </c>
      <c r="B1493" t="str">
        <f>"1551689186859671"</f>
        <v>1551689186859671</v>
      </c>
      <c r="C1493" t="s">
        <v>40</v>
      </c>
      <c r="D1493">
        <v>4.4958410000000004</v>
      </c>
      <c r="E1493">
        <v>0.51992829999999901</v>
      </c>
      <c r="F1493" t="s">
        <v>50</v>
      </c>
      <c r="G1493">
        <v>-293.29910000000001</v>
      </c>
      <c r="H1493" s="1">
        <v>2.8218889999999999E-6</v>
      </c>
      <c r="I1493">
        <v>284.26260000000002</v>
      </c>
      <c r="J1493">
        <v>-280.88189999999997</v>
      </c>
      <c r="K1493">
        <v>1.1114090000000001</v>
      </c>
      <c r="L1493">
        <v>284.49369999999999</v>
      </c>
      <c r="M1493">
        <v>-0.99920450000000005</v>
      </c>
      <c r="N1493">
        <v>-1.488167E-2</v>
      </c>
      <c r="O1493">
        <v>3.7001760000000002E-2</v>
      </c>
      <c r="P1493">
        <v>-0.93155270000000001</v>
      </c>
      <c r="Q1493">
        <v>0.36260340000000002</v>
      </c>
      <c r="R1493">
        <v>-2.6995450000000001E-2</v>
      </c>
      <c r="S1493">
        <v>-3.3323360000000002</v>
      </c>
      <c r="T1493">
        <v>-0.28961609999999999</v>
      </c>
      <c r="U1493">
        <v>-5.673218E-2</v>
      </c>
      <c r="V1493">
        <v>-6.1872209999999997E-2</v>
      </c>
      <c r="W1493">
        <v>0.37633250000000001</v>
      </c>
      <c r="X1493">
        <v>0.92441640000000003</v>
      </c>
      <c r="Y1493">
        <v>-5.367827E-2</v>
      </c>
      <c r="Z1493">
        <v>-5.387841E-3</v>
      </c>
      <c r="AA1493">
        <v>0.99854370000000003</v>
      </c>
      <c r="AB1493">
        <v>37</v>
      </c>
      <c r="AC1493">
        <v>-12.417199999999999</v>
      </c>
      <c r="AD1493">
        <v>-1.1114061781110001</v>
      </c>
      <c r="AE1493">
        <v>-0.231099999999969</v>
      </c>
      <c r="AF1493">
        <v>-0.68496529249500104</v>
      </c>
      <c r="AG1493">
        <v>-1.1114061781110001</v>
      </c>
      <c r="AH1493">
        <v>12.3016259538949</v>
      </c>
      <c r="AI1493">
        <v>95.154503962489798</v>
      </c>
      <c r="AJ1493">
        <v>93.186988231164193</v>
      </c>
      <c r="AK1493">
        <v>12.3707074273951</v>
      </c>
      <c r="AL1493">
        <v>67.893306579134901</v>
      </c>
      <c r="AM1493">
        <v>93.8291586590761</v>
      </c>
      <c r="AN1493">
        <v>1.0000000007577401</v>
      </c>
    </row>
    <row r="1494" spans="1:40" x14ac:dyDescent="0.25">
      <c r="A1494" t="str">
        <f>"20190304164626886"</f>
        <v>20190304164626886</v>
      </c>
      <c r="B1494" t="str">
        <f>"1551689186879190"</f>
        <v>1551689186879190</v>
      </c>
      <c r="C1494" t="s">
        <v>40</v>
      </c>
      <c r="D1494">
        <v>4.4848019999999904</v>
      </c>
      <c r="E1494">
        <v>0.52005509999999999</v>
      </c>
      <c r="F1494" t="s">
        <v>50</v>
      </c>
      <c r="G1494">
        <v>-293.30520000000001</v>
      </c>
      <c r="H1494" s="1">
        <v>2.8215079999999998E-6</v>
      </c>
      <c r="I1494">
        <v>284.27929999999998</v>
      </c>
      <c r="J1494">
        <v>-281.23410000000001</v>
      </c>
      <c r="K1494">
        <v>1.1114269999999999</v>
      </c>
      <c r="L1494">
        <v>284.50630000000001</v>
      </c>
      <c r="M1494">
        <v>-0.9992221</v>
      </c>
      <c r="N1494">
        <v>-1.487788E-2</v>
      </c>
      <c r="O1494">
        <v>3.6521640000000001E-2</v>
      </c>
      <c r="P1494">
        <v>-0.93147150000000001</v>
      </c>
      <c r="Q1494">
        <v>0.36272549999999998</v>
      </c>
      <c r="R1494">
        <v>-2.8124840000000002E-2</v>
      </c>
      <c r="S1494">
        <v>-3.3349299999999999</v>
      </c>
      <c r="T1494">
        <v>-0.29834690000000003</v>
      </c>
      <c r="U1494">
        <v>-5.755615E-2</v>
      </c>
      <c r="V1494">
        <v>-6.2568159999999998E-2</v>
      </c>
      <c r="W1494">
        <v>0.37644640000000001</v>
      </c>
      <c r="X1494">
        <v>0.92432309999999995</v>
      </c>
      <c r="Y1494">
        <v>-5.341452E-2</v>
      </c>
      <c r="Z1494">
        <v>-5.5003769999999999E-3</v>
      </c>
      <c r="AA1494">
        <v>0.99855729999999998</v>
      </c>
      <c r="AB1494">
        <v>37</v>
      </c>
      <c r="AC1494">
        <v>-12.071099999999999</v>
      </c>
      <c r="AD1494">
        <v>-1.111424178492</v>
      </c>
      <c r="AE1494">
        <v>-0.22700000000003201</v>
      </c>
      <c r="AF1494">
        <v>-0.66214239359667004</v>
      </c>
      <c r="AG1494">
        <v>-1.111424178492</v>
      </c>
      <c r="AH1494">
        <v>11.953454635795801</v>
      </c>
      <c r="AI1494">
        <v>95.3039656648251</v>
      </c>
      <c r="AJ1494">
        <v>93.170567315076198</v>
      </c>
      <c r="AK1494">
        <v>12.0232597070829</v>
      </c>
      <c r="AL1494">
        <v>67.886260937022797</v>
      </c>
      <c r="AM1494">
        <v>93.872489098532697</v>
      </c>
      <c r="AN1494">
        <v>0.99999992995617504</v>
      </c>
    </row>
    <row r="1495" spans="1:40" x14ac:dyDescent="0.25">
      <c r="A1495" t="str">
        <f>"20190304164626907"</f>
        <v>20190304164626907</v>
      </c>
      <c r="B1495" t="str">
        <f>"1551689186899688"</f>
        <v>1551689186899688</v>
      </c>
      <c r="C1495" t="s">
        <v>40</v>
      </c>
      <c r="D1495">
        <v>4.5026599999999997</v>
      </c>
      <c r="E1495">
        <v>0.52011039999999997</v>
      </c>
      <c r="F1495" t="s">
        <v>50</v>
      </c>
      <c r="G1495">
        <v>-293.52300000000002</v>
      </c>
      <c r="H1495" s="1">
        <v>2.8604109999999998E-6</v>
      </c>
      <c r="I1495">
        <v>284.27620000000002</v>
      </c>
      <c r="J1495">
        <v>-281.60539999999997</v>
      </c>
      <c r="K1495">
        <v>1.1114489999999999</v>
      </c>
      <c r="L1495">
        <v>284.51929999999999</v>
      </c>
      <c r="M1495">
        <v>-0.99924170000000001</v>
      </c>
      <c r="N1495">
        <v>-1.487402E-2</v>
      </c>
      <c r="O1495">
        <v>3.59832E-2</v>
      </c>
      <c r="P1495">
        <v>-0.9313977</v>
      </c>
      <c r="Q1495">
        <v>0.36284139999999998</v>
      </c>
      <c r="R1495">
        <v>-2.9061590000000002E-2</v>
      </c>
      <c r="S1495">
        <v>-3.3363040000000002</v>
      </c>
      <c r="T1495">
        <v>-0.30173870000000003</v>
      </c>
      <c r="U1495">
        <v>-6.2469480000000001E-2</v>
      </c>
      <c r="V1495">
        <v>-6.3022250000000002E-2</v>
      </c>
      <c r="W1495">
        <v>0.37655379999999999</v>
      </c>
      <c r="X1495">
        <v>0.92424859999999998</v>
      </c>
      <c r="Y1495">
        <v>-5.4328849999999998E-2</v>
      </c>
      <c r="Z1495">
        <v>-5.5694859999999898E-3</v>
      </c>
      <c r="AA1495">
        <v>0.99850760000000005</v>
      </c>
      <c r="AB1495">
        <v>37</v>
      </c>
      <c r="AC1495">
        <v>-11.917599999999901</v>
      </c>
      <c r="AD1495">
        <v>-1.1114461395889901</v>
      </c>
      <c r="AE1495">
        <v>-0.24309999999996901</v>
      </c>
      <c r="AF1495">
        <v>-0.66603288527416105</v>
      </c>
      <c r="AG1495">
        <v>-1.1114461395889901</v>
      </c>
      <c r="AH1495">
        <v>11.798555521597001</v>
      </c>
      <c r="AI1495">
        <v>95.372985433864997</v>
      </c>
      <c r="AJ1495">
        <v>93.230939206892998</v>
      </c>
      <c r="AK1495">
        <v>11.869491342162901</v>
      </c>
      <c r="AL1495">
        <v>67.879620734926704</v>
      </c>
      <c r="AM1495">
        <v>93.900820778168494</v>
      </c>
      <c r="AN1495">
        <v>1.0000000214457301</v>
      </c>
    </row>
    <row r="1496" spans="1:40" x14ac:dyDescent="0.25">
      <c r="A1496" t="str">
        <f>"20190304164626931"</f>
        <v>20190304164626931</v>
      </c>
      <c r="B1496" t="str">
        <f>"1551689186919207"</f>
        <v>1551689186919207</v>
      </c>
      <c r="C1496" t="s">
        <v>40</v>
      </c>
      <c r="D1496">
        <v>4.4959819999999997</v>
      </c>
      <c r="E1496">
        <v>0.52017519999999995</v>
      </c>
      <c r="F1496" t="s">
        <v>50</v>
      </c>
      <c r="G1496">
        <v>-293.79079999999999</v>
      </c>
      <c r="H1496" s="1">
        <v>2.9075659999999998E-6</v>
      </c>
      <c r="I1496">
        <v>284.28019999999998</v>
      </c>
      <c r="J1496">
        <v>-282.01139999999998</v>
      </c>
      <c r="K1496">
        <v>1.1114729999999999</v>
      </c>
      <c r="L1496">
        <v>284.5333</v>
      </c>
      <c r="M1496">
        <v>-0.99926420000000005</v>
      </c>
      <c r="N1496">
        <v>-1.4869810000000001E-2</v>
      </c>
      <c r="O1496">
        <v>3.5356270000000002E-2</v>
      </c>
      <c r="P1496">
        <v>-0.93151589999999995</v>
      </c>
      <c r="Q1496">
        <v>0.36241780000000001</v>
      </c>
      <c r="R1496">
        <v>-3.0520720000000001E-2</v>
      </c>
      <c r="S1496">
        <v>-3.3375240000000002</v>
      </c>
      <c r="T1496">
        <v>-0.30441940000000001</v>
      </c>
      <c r="U1496">
        <v>-6.5490720000000002E-2</v>
      </c>
      <c r="V1496">
        <v>-6.3926759999999999E-2</v>
      </c>
      <c r="W1496">
        <v>0.37612220000000002</v>
      </c>
      <c r="X1496">
        <v>0.92436220000000002</v>
      </c>
      <c r="Y1496">
        <v>-5.4593469999999998E-2</v>
      </c>
      <c r="Z1496">
        <v>-5.5841370000000003E-3</v>
      </c>
      <c r="AA1496">
        <v>0.99849310000000002</v>
      </c>
      <c r="AB1496">
        <v>37</v>
      </c>
      <c r="AC1496">
        <v>-11.779400000000001</v>
      </c>
      <c r="AD1496">
        <v>-1.111470092434</v>
      </c>
      <c r="AE1496">
        <v>-0.25310000000001698</v>
      </c>
      <c r="AF1496">
        <v>-0.66355828527201299</v>
      </c>
      <c r="AG1496">
        <v>-1.111470092434</v>
      </c>
      <c r="AH1496">
        <v>11.6593257498646</v>
      </c>
      <c r="AI1496">
        <v>95.436740150956098</v>
      </c>
      <c r="AJ1496">
        <v>93.257317072676798</v>
      </c>
      <c r="AK1496">
        <v>11.730965531693601</v>
      </c>
      <c r="AL1496">
        <v>67.906311555640897</v>
      </c>
      <c r="AM1496">
        <v>93.956144991575101</v>
      </c>
      <c r="AN1496">
        <v>1.0000000083828799</v>
      </c>
    </row>
    <row r="1497" spans="1:40" x14ac:dyDescent="0.25">
      <c r="A1497" t="str">
        <f>"20190304164626977"</f>
        <v>20190304164626977</v>
      </c>
      <c r="B1497" t="str">
        <f>"1551689186969488"</f>
        <v>1551689186969488</v>
      </c>
      <c r="C1497" t="s">
        <v>40</v>
      </c>
      <c r="D1497">
        <v>4.5261189999999996</v>
      </c>
      <c r="E1497">
        <v>0.52038660000000003</v>
      </c>
      <c r="F1497" t="s">
        <v>50</v>
      </c>
      <c r="G1497">
        <v>-294.03890000000001</v>
      </c>
      <c r="H1497" s="1">
        <v>2.9512740000000001E-6</v>
      </c>
      <c r="I1497">
        <v>284.28359999999998</v>
      </c>
      <c r="J1497">
        <v>-282.74540000000002</v>
      </c>
      <c r="K1497">
        <v>1.1115269999999999</v>
      </c>
      <c r="L1497">
        <v>284.55790000000002</v>
      </c>
      <c r="M1497">
        <v>-0.99930759999999996</v>
      </c>
      <c r="N1497">
        <v>-1.4862139999999999E-2</v>
      </c>
      <c r="O1497">
        <v>3.4110649999999999E-2</v>
      </c>
      <c r="P1497">
        <v>-0.93185410000000002</v>
      </c>
      <c r="Q1497">
        <v>0.36149759999999997</v>
      </c>
      <c r="R1497">
        <v>-3.1102890000000001E-2</v>
      </c>
      <c r="S1497">
        <v>-3.3383180000000001</v>
      </c>
      <c r="T1497">
        <v>-0.30849710000000002</v>
      </c>
      <c r="U1497">
        <v>-6.9305420000000006E-2</v>
      </c>
      <c r="V1497">
        <v>-6.3409919999999995E-2</v>
      </c>
      <c r="W1497">
        <v>0.37519330000000001</v>
      </c>
      <c r="X1497">
        <v>0.92477520000000002</v>
      </c>
      <c r="Y1497">
        <v>-5.4479260000000002E-2</v>
      </c>
      <c r="Z1497">
        <v>-5.5564469999999999E-3</v>
      </c>
      <c r="AA1497">
        <v>0.99849949999999998</v>
      </c>
      <c r="AB1497">
        <v>37</v>
      </c>
      <c r="AC1497">
        <v>-11.2934999999999</v>
      </c>
      <c r="AD1497">
        <v>-1.1115240487260001</v>
      </c>
      <c r="AE1497">
        <v>-0.27430000000003901</v>
      </c>
      <c r="AF1497">
        <v>-0.65308888263504195</v>
      </c>
      <c r="AG1497">
        <v>-1.1115240487260001</v>
      </c>
      <c r="AH1497">
        <v>11.1694364744996</v>
      </c>
      <c r="AI1497">
        <v>95.673439484640994</v>
      </c>
      <c r="AJ1497">
        <v>93.346335348888402</v>
      </c>
      <c r="AK1497">
        <v>11.243590261006499</v>
      </c>
      <c r="AL1497">
        <v>67.963739551544904</v>
      </c>
      <c r="AM1497">
        <v>93.922513302488895</v>
      </c>
      <c r="AN1497">
        <v>1.0000000004271601</v>
      </c>
    </row>
    <row r="1498" spans="1:40" x14ac:dyDescent="0.25">
      <c r="A1498" t="str">
        <f>"20190304164626998"</f>
        <v>20190304164626998</v>
      </c>
      <c r="B1498" t="str">
        <f>"1551689186989984"</f>
        <v>1551689186989984</v>
      </c>
      <c r="C1498" t="s">
        <v>40</v>
      </c>
      <c r="D1498">
        <v>4.532546</v>
      </c>
      <c r="E1498">
        <v>0.52053799999999995</v>
      </c>
      <c r="F1498" t="s">
        <v>50</v>
      </c>
      <c r="G1498">
        <v>-294.43189999999998</v>
      </c>
      <c r="H1498" s="1">
        <v>3.0188709999999998E-6</v>
      </c>
      <c r="I1498">
        <v>284.30770000000001</v>
      </c>
      <c r="J1498">
        <v>-283.1146</v>
      </c>
      <c r="K1498">
        <v>1.1115549999999901</v>
      </c>
      <c r="L1498">
        <v>284.56979999999999</v>
      </c>
      <c r="M1498">
        <v>-0.99933050000000001</v>
      </c>
      <c r="N1498">
        <v>-1.485821E-2</v>
      </c>
      <c r="O1498">
        <v>3.3437260000000003E-2</v>
      </c>
      <c r="P1498">
        <v>-0.93187750000000003</v>
      </c>
      <c r="Q1498">
        <v>0.36140369999999999</v>
      </c>
      <c r="R1498">
        <v>-3.1498989999999998E-2</v>
      </c>
      <c r="S1498">
        <v>-3.3402099999999999</v>
      </c>
      <c r="T1498">
        <v>-0.31769509999999901</v>
      </c>
      <c r="U1498">
        <v>-7.1502689999999994E-2</v>
      </c>
      <c r="V1498">
        <v>-6.3204120000000003E-2</v>
      </c>
      <c r="W1498">
        <v>0.3750925</v>
      </c>
      <c r="X1498">
        <v>0.92483020000000005</v>
      </c>
      <c r="Y1498">
        <v>-5.4431569999999999E-2</v>
      </c>
      <c r="Z1498">
        <v>-5.6646769999999999E-3</v>
      </c>
      <c r="AA1498">
        <v>0.99850139999999998</v>
      </c>
      <c r="AB1498">
        <v>37</v>
      </c>
      <c r="AC1498">
        <v>-11.3172999999999</v>
      </c>
      <c r="AD1498">
        <v>-1.11155198112899</v>
      </c>
      <c r="AE1498">
        <v>-0.26209999999997502</v>
      </c>
      <c r="AF1498">
        <v>-0.63429909241453097</v>
      </c>
      <c r="AG1498">
        <v>-1.11155198112899</v>
      </c>
      <c r="AH1498">
        <v>11.1942765785908</v>
      </c>
      <c r="AI1498">
        <v>95.661656878857897</v>
      </c>
      <c r="AJ1498">
        <v>93.243071639479297</v>
      </c>
      <c r="AK1498">
        <v>11.2671962467765</v>
      </c>
      <c r="AL1498">
        <v>67.969970484639205</v>
      </c>
      <c r="AM1498">
        <v>93.909590344381996</v>
      </c>
      <c r="AN1498">
        <v>1.00000002158663</v>
      </c>
    </row>
    <row r="1499" spans="1:40" x14ac:dyDescent="0.25">
      <c r="A1499" t="str">
        <f>"20190304164627020"</f>
        <v>20190304164627020</v>
      </c>
      <c r="B1499" t="str">
        <f>"1551689187009504"</f>
        <v>1551689187009504</v>
      </c>
      <c r="C1499" t="s">
        <v>40</v>
      </c>
      <c r="D1499">
        <v>4.4932530000000002</v>
      </c>
      <c r="E1499">
        <v>0.52068720000000002</v>
      </c>
      <c r="F1499" t="s">
        <v>50</v>
      </c>
      <c r="G1499">
        <v>-294.71879999999999</v>
      </c>
      <c r="H1499" s="1">
        <v>3.0686250000000002E-6</v>
      </c>
      <c r="I1499">
        <v>284.32069999999999</v>
      </c>
      <c r="J1499">
        <v>-283.46780000000001</v>
      </c>
      <c r="K1499">
        <v>1.1115820000000001</v>
      </c>
      <c r="L1499">
        <v>284.58100000000002</v>
      </c>
      <c r="M1499">
        <v>-0.99935240000000003</v>
      </c>
      <c r="N1499">
        <v>-1.485446E-2</v>
      </c>
      <c r="O1499">
        <v>3.2772669999999997E-2</v>
      </c>
      <c r="P1499">
        <v>-0.93176159999999997</v>
      </c>
      <c r="Q1499">
        <v>0.36166350000000003</v>
      </c>
      <c r="R1499">
        <v>-3.1928079999999998E-2</v>
      </c>
      <c r="S1499">
        <v>-3.3410340000000001</v>
      </c>
      <c r="T1499">
        <v>-0.32003510000000002</v>
      </c>
      <c r="U1499">
        <v>-7.1716310000000005E-2</v>
      </c>
      <c r="V1499">
        <v>-6.303048E-2</v>
      </c>
      <c r="W1499">
        <v>0.37534489999999998</v>
      </c>
      <c r="X1499">
        <v>0.92473970000000005</v>
      </c>
      <c r="Y1499">
        <v>-5.3825869999999998E-2</v>
      </c>
      <c r="Z1499">
        <v>-5.6184109999999898E-3</v>
      </c>
      <c r="AA1499">
        <v>0.99853460000000005</v>
      </c>
      <c r="AB1499">
        <v>37</v>
      </c>
      <c r="AC1499">
        <v>-11.2509999999999</v>
      </c>
      <c r="AD1499">
        <v>-1.111578931375</v>
      </c>
      <c r="AE1499">
        <v>-0.260299999999972</v>
      </c>
      <c r="AF1499">
        <v>-0.62284971570778802</v>
      </c>
      <c r="AG1499">
        <v>-1.111578931375</v>
      </c>
      <c r="AH1499">
        <v>11.1278613590544</v>
      </c>
      <c r="AI1499">
        <v>95.695582838820798</v>
      </c>
      <c r="AJ1499">
        <v>93.203622101288602</v>
      </c>
      <c r="AK1499">
        <v>11.200573552964601</v>
      </c>
      <c r="AL1499">
        <v>67.954370355795405</v>
      </c>
      <c r="AM1499">
        <v>93.899263129492894</v>
      </c>
      <c r="AN1499">
        <v>1.0000000740605599</v>
      </c>
    </row>
    <row r="1500" spans="1:40" x14ac:dyDescent="0.25">
      <c r="A1500" t="str">
        <f>"20190304164627042"</f>
        <v>20190304164627042</v>
      </c>
      <c r="B1500" t="str">
        <f>"1551689187039760"</f>
        <v>1551689187039760</v>
      </c>
      <c r="C1500" t="s">
        <v>40</v>
      </c>
      <c r="D1500">
        <v>4.4445569999999996</v>
      </c>
      <c r="E1500">
        <v>0.52947359999999999</v>
      </c>
      <c r="F1500" t="s">
        <v>50</v>
      </c>
      <c r="G1500">
        <v>-295.12090000000001</v>
      </c>
      <c r="H1500" s="1">
        <v>3.1380849999999999E-6</v>
      </c>
      <c r="I1500">
        <v>284.34210000000002</v>
      </c>
      <c r="J1500">
        <v>-283.84609999999998</v>
      </c>
      <c r="K1500">
        <v>1.111602</v>
      </c>
      <c r="L1500">
        <v>284.59269999999998</v>
      </c>
      <c r="M1500">
        <v>-0.9993765</v>
      </c>
      <c r="N1500">
        <v>-1.485061E-2</v>
      </c>
      <c r="O1500">
        <v>3.2034680000000003E-2</v>
      </c>
      <c r="P1500">
        <v>-0.93161700000000003</v>
      </c>
      <c r="Q1500">
        <v>0.36195699999999997</v>
      </c>
      <c r="R1500">
        <v>-3.281601E-2</v>
      </c>
      <c r="S1500">
        <v>-3.3410639999999998</v>
      </c>
      <c r="T1500">
        <v>-0.31870029999999999</v>
      </c>
      <c r="U1500">
        <v>-6.8481449999999999E-2</v>
      </c>
      <c r="V1500">
        <v>-6.3247070000000002E-2</v>
      </c>
      <c r="W1500">
        <v>0.37562859999999998</v>
      </c>
      <c r="X1500">
        <v>0.92460969999999998</v>
      </c>
      <c r="Y1500">
        <v>-5.2136349999999998E-2</v>
      </c>
      <c r="Z1500">
        <v>-5.4424749999999996E-3</v>
      </c>
      <c r="AA1500">
        <v>0.99862519999999999</v>
      </c>
      <c r="AB1500">
        <v>37</v>
      </c>
      <c r="AC1500">
        <v>-11.274800000000001</v>
      </c>
      <c r="AD1500">
        <v>-1.1115988619149999</v>
      </c>
      <c r="AE1500">
        <v>-0.25059999999996302</v>
      </c>
      <c r="AF1500">
        <v>-0.60581003894096996</v>
      </c>
      <c r="AG1500">
        <v>-1.1115988619149999</v>
      </c>
      <c r="AH1500">
        <v>11.152630157873199</v>
      </c>
      <c r="AI1500">
        <v>95.683630544660502</v>
      </c>
      <c r="AJ1500">
        <v>93.109246771155199</v>
      </c>
      <c r="AK1500">
        <v>11.224251301151201</v>
      </c>
      <c r="AL1500">
        <v>67.936832081306306</v>
      </c>
      <c r="AM1500">
        <v>93.913168925498894</v>
      </c>
      <c r="AN1500">
        <v>1.00000006716781</v>
      </c>
    </row>
    <row r="1501" spans="1:40" x14ac:dyDescent="0.25">
      <c r="A1501" t="str">
        <f>"20190304164627064"</f>
        <v>20190304164627064</v>
      </c>
      <c r="B1501" t="str">
        <f>"1551689187059787"</f>
        <v>1551689187059787</v>
      </c>
      <c r="C1501" t="s">
        <v>40</v>
      </c>
      <c r="D1501">
        <v>4.4259919999999999</v>
      </c>
      <c r="E1501">
        <v>0.52990839999999995</v>
      </c>
      <c r="F1501" t="s">
        <v>50</v>
      </c>
      <c r="G1501">
        <v>-297.0009</v>
      </c>
      <c r="H1501" s="1">
        <v>3.4482100000000001E-6</v>
      </c>
      <c r="I1501">
        <v>284.60930000000002</v>
      </c>
      <c r="J1501">
        <v>-284.19499999999999</v>
      </c>
      <c r="K1501">
        <v>1.1116220000000001</v>
      </c>
      <c r="L1501">
        <v>284.60309999999998</v>
      </c>
      <c r="M1501">
        <v>-0.99939869999999997</v>
      </c>
      <c r="N1501">
        <v>-1.484706E-2</v>
      </c>
      <c r="O1501">
        <v>3.1333100000000003E-2</v>
      </c>
      <c r="P1501">
        <v>-0.93172379999999999</v>
      </c>
      <c r="Q1501">
        <v>0.36159059999999998</v>
      </c>
      <c r="R1501">
        <v>-3.3806620000000003E-2</v>
      </c>
      <c r="S1501">
        <v>-3.3296510000000001</v>
      </c>
      <c r="T1501">
        <v>-0.28135939999999998</v>
      </c>
      <c r="U1501">
        <v>4.2114259999999999E-3</v>
      </c>
      <c r="V1501">
        <v>-6.3605700000000001E-2</v>
      </c>
      <c r="W1501">
        <v>0.37525740000000002</v>
      </c>
      <c r="X1501">
        <v>0.9247358</v>
      </c>
      <c r="Y1501">
        <v>-2.9871269999999998E-2</v>
      </c>
      <c r="Z1501">
        <v>-3.6600880000000001E-3</v>
      </c>
      <c r="AA1501">
        <v>0.99954710000000002</v>
      </c>
      <c r="AB1501">
        <v>37</v>
      </c>
      <c r="AC1501">
        <v>-12.805899999999999</v>
      </c>
      <c r="AD1501">
        <v>-1.1116185517899999</v>
      </c>
      <c r="AE1501">
        <v>6.2000000000352797E-3</v>
      </c>
      <c r="AF1501">
        <v>-0.39214099335872699</v>
      </c>
      <c r="AG1501">
        <v>-1.1116185517899999</v>
      </c>
      <c r="AH1501">
        <v>12.704078182891299</v>
      </c>
      <c r="AI1501">
        <v>94.998328463509196</v>
      </c>
      <c r="AJ1501">
        <v>91.768006451243096</v>
      </c>
      <c r="AK1501">
        <v>12.7586469831393</v>
      </c>
      <c r="AL1501">
        <v>67.9597785543545</v>
      </c>
      <c r="AM1501">
        <v>93.934753310911503</v>
      </c>
      <c r="AN1501">
        <v>1.00000005056444</v>
      </c>
    </row>
    <row r="1502" spans="1:40" x14ac:dyDescent="0.25">
      <c r="A1502" t="str">
        <f>"20190304164627086"</f>
        <v>20190304164627086</v>
      </c>
      <c r="B1502" t="str">
        <f>"1551689187079307"</f>
        <v>1551689187079307</v>
      </c>
      <c r="C1502" t="s">
        <v>40</v>
      </c>
      <c r="D1502">
        <v>4.4199349999999997</v>
      </c>
      <c r="E1502">
        <v>0.52998909999999999</v>
      </c>
      <c r="F1502" t="s">
        <v>50</v>
      </c>
      <c r="G1502">
        <v>-297.21289999999999</v>
      </c>
      <c r="H1502" s="1">
        <v>3.4847159999999999E-6</v>
      </c>
      <c r="I1502">
        <v>284.62189999999998</v>
      </c>
      <c r="J1502">
        <v>-284.56020000000001</v>
      </c>
      <c r="K1502">
        <v>1.11164</v>
      </c>
      <c r="L1502">
        <v>284.6139</v>
      </c>
      <c r="M1502">
        <v>-0.99942209999999998</v>
      </c>
      <c r="N1502">
        <v>-1.484337E-2</v>
      </c>
      <c r="O1502">
        <v>3.05817E-2</v>
      </c>
      <c r="P1502">
        <v>-0.93188979999999999</v>
      </c>
      <c r="Q1502">
        <v>0.36103869999999999</v>
      </c>
      <c r="R1502">
        <v>-3.5108670000000002E-2</v>
      </c>
      <c r="S1502">
        <v>-3.3303829999999999</v>
      </c>
      <c r="T1502">
        <v>-0.28438659999999999</v>
      </c>
      <c r="U1502">
        <v>4.7912600000000003E-3</v>
      </c>
      <c r="V1502">
        <v>-6.4229789999999995E-2</v>
      </c>
      <c r="W1502">
        <v>0.37470039999999999</v>
      </c>
      <c r="X1502">
        <v>0.92491849999999998</v>
      </c>
      <c r="Y1502">
        <v>-2.894741E-2</v>
      </c>
      <c r="Z1502">
        <v>-3.602016E-3</v>
      </c>
      <c r="AA1502">
        <v>0.99957439999999997</v>
      </c>
      <c r="AB1502">
        <v>37</v>
      </c>
      <c r="AC1502">
        <v>-12.6526999999999</v>
      </c>
      <c r="AD1502">
        <v>-1.111636515284</v>
      </c>
      <c r="AE1502">
        <v>7.9999999999813502E-3</v>
      </c>
      <c r="AF1502">
        <v>-0.37608445015140302</v>
      </c>
      <c r="AG1502">
        <v>-1.111636515284</v>
      </c>
      <c r="AH1502">
        <v>12.550151170174299</v>
      </c>
      <c r="AI1502">
        <v>95.059535581186296</v>
      </c>
      <c r="AJ1502">
        <v>91.716441891165999</v>
      </c>
      <c r="AK1502">
        <v>12.604898637037399</v>
      </c>
      <c r="AL1502">
        <v>67.994204068837107</v>
      </c>
      <c r="AM1502">
        <v>93.972455166431502</v>
      </c>
      <c r="AN1502">
        <v>1.0000000436629199</v>
      </c>
    </row>
    <row r="1503" spans="1:40" x14ac:dyDescent="0.25">
      <c r="A1503" t="str">
        <f>"20190304164627109"</f>
        <v>20190304164627109</v>
      </c>
      <c r="B1503" t="str">
        <f>"1551689187099803"</f>
        <v>1551689187099803</v>
      </c>
      <c r="C1503" t="s">
        <v>40</v>
      </c>
      <c r="D1503">
        <v>4.4013049999999998</v>
      </c>
      <c r="E1503">
        <v>0.53012349999999997</v>
      </c>
      <c r="F1503" t="s">
        <v>50</v>
      </c>
      <c r="G1503">
        <v>-297.44760000000002</v>
      </c>
      <c r="H1503" s="1">
        <v>3.5267239999999999E-6</v>
      </c>
      <c r="I1503">
        <v>284.61750000000001</v>
      </c>
      <c r="J1503">
        <v>-284.9393</v>
      </c>
      <c r="K1503">
        <v>1.111658</v>
      </c>
      <c r="L1503">
        <v>284.62470000000002</v>
      </c>
      <c r="M1503">
        <v>-0.99944619999999995</v>
      </c>
      <c r="N1503">
        <v>-1.48396E-2</v>
      </c>
      <c r="O1503">
        <v>2.9788019999999998E-2</v>
      </c>
      <c r="P1503">
        <v>-0.93173839999999997</v>
      </c>
      <c r="Q1503">
        <v>0.36121569999999997</v>
      </c>
      <c r="R1503">
        <v>-3.7248240000000002E-2</v>
      </c>
      <c r="S1503">
        <v>-3.330597</v>
      </c>
      <c r="T1503">
        <v>-0.2872902</v>
      </c>
      <c r="U1503">
        <v>9.4604490000000003E-4</v>
      </c>
      <c r="V1503">
        <v>-6.5641119999999997E-2</v>
      </c>
      <c r="W1503">
        <v>0.37486659999999999</v>
      </c>
      <c r="X1503">
        <v>0.92475200000000002</v>
      </c>
      <c r="Y1503">
        <v>-2.930398E-2</v>
      </c>
      <c r="Z1503">
        <v>-3.602386E-3</v>
      </c>
      <c r="AA1503">
        <v>0.99956409999999996</v>
      </c>
      <c r="AB1503">
        <v>37</v>
      </c>
      <c r="AC1503">
        <v>-12.5083</v>
      </c>
      <c r="AD1503">
        <v>-1.1116544732760001</v>
      </c>
      <c r="AE1503">
        <v>-7.2000000000116398E-3</v>
      </c>
      <c r="AF1503">
        <v>-0.376858674588959</v>
      </c>
      <c r="AG1503">
        <v>-1.1116544732760001</v>
      </c>
      <c r="AH1503">
        <v>12.404556573191</v>
      </c>
      <c r="AI1503">
        <v>95.118625331062901</v>
      </c>
      <c r="AJ1503">
        <v>91.740148623625799</v>
      </c>
      <c r="AK1503">
        <v>12.459968776287599</v>
      </c>
      <c r="AL1503">
        <v>67.983931692589195</v>
      </c>
      <c r="AM1503">
        <v>94.060182224650106</v>
      </c>
      <c r="AN1503">
        <v>0.99999999296720699</v>
      </c>
    </row>
    <row r="1504" spans="1:40" x14ac:dyDescent="0.25">
      <c r="A1504" t="str">
        <f>"20190304164627132"</f>
        <v>20190304164627132</v>
      </c>
      <c r="B1504" t="str">
        <f>"1551689187130059"</f>
        <v>1551689187130059</v>
      </c>
      <c r="C1504" t="s">
        <v>40</v>
      </c>
      <c r="D1504">
        <v>4.3564429999999996</v>
      </c>
      <c r="E1504">
        <v>0.53008029999999995</v>
      </c>
      <c r="F1504" t="s">
        <v>50</v>
      </c>
      <c r="G1504">
        <v>-297.81509999999997</v>
      </c>
      <c r="H1504" s="1">
        <v>3.593141E-6</v>
      </c>
      <c r="I1504">
        <v>284.60359999999997</v>
      </c>
      <c r="J1504">
        <v>-285.32659999999998</v>
      </c>
      <c r="K1504">
        <v>1.111677</v>
      </c>
      <c r="L1504">
        <v>284.6354</v>
      </c>
      <c r="M1504">
        <v>-0.99947039999999998</v>
      </c>
      <c r="N1504">
        <v>-1.483567E-2</v>
      </c>
      <c r="O1504">
        <v>2.8967E-2</v>
      </c>
      <c r="P1504">
        <v>-0.93171970000000004</v>
      </c>
      <c r="Q1504">
        <v>0.36113709999999999</v>
      </c>
      <c r="R1504">
        <v>-3.8449759999999999E-2</v>
      </c>
      <c r="S1504">
        <v>-3.3310550000000001</v>
      </c>
      <c r="T1504">
        <v>-0.28759170000000001</v>
      </c>
      <c r="U1504">
        <v>-5.4626459999999998E-3</v>
      </c>
      <c r="V1504">
        <v>-6.609073E-2</v>
      </c>
      <c r="W1504">
        <v>0.37478080000000003</v>
      </c>
      <c r="X1504">
        <v>0.92475469999999904</v>
      </c>
      <c r="Y1504">
        <v>-3.0402869999999999E-2</v>
      </c>
      <c r="Z1504">
        <v>-3.602896E-3</v>
      </c>
      <c r="AA1504">
        <v>0.99953119999999995</v>
      </c>
      <c r="AB1504">
        <v>37</v>
      </c>
      <c r="AC1504">
        <v>-12.488499999999901</v>
      </c>
      <c r="AD1504">
        <v>-1.111673406859</v>
      </c>
      <c r="AE1504">
        <v>-3.18000000000324E-2</v>
      </c>
      <c r="AF1504">
        <v>-0.39048668056400598</v>
      </c>
      <c r="AG1504">
        <v>-1.111673406859</v>
      </c>
      <c r="AH1504">
        <v>12.384207594583501</v>
      </c>
      <c r="AI1504">
        <v>95.126896588094198</v>
      </c>
      <c r="AJ1504">
        <v>91.8059959405348</v>
      </c>
      <c r="AK1504">
        <v>12.4401324493333</v>
      </c>
      <c r="AL1504">
        <v>67.9892331110713</v>
      </c>
      <c r="AM1504">
        <v>94.087886656242702</v>
      </c>
      <c r="AN1504">
        <v>0.99999994390632896</v>
      </c>
    </row>
    <row r="1505" spans="1:40" x14ac:dyDescent="0.25">
      <c r="A1505" t="str">
        <f>"20190304164627154"</f>
        <v>20190304164627154</v>
      </c>
      <c r="B1505" t="str">
        <f>"1551689187150087"</f>
        <v>1551689187150087</v>
      </c>
      <c r="C1505" t="s">
        <v>40</v>
      </c>
      <c r="D1505">
        <v>4.3527050000000003</v>
      </c>
      <c r="E1505">
        <v>0.53012760000000003</v>
      </c>
      <c r="F1505" t="s">
        <v>50</v>
      </c>
      <c r="G1505">
        <v>-298.16669999999999</v>
      </c>
      <c r="H1505" s="1">
        <v>3.6564069999999998E-6</v>
      </c>
      <c r="I1505">
        <v>284.5933</v>
      </c>
      <c r="J1505">
        <v>-285.67689999999999</v>
      </c>
      <c r="K1505">
        <v>1.1116889999999999</v>
      </c>
      <c r="L1505">
        <v>284.64490000000001</v>
      </c>
      <c r="M1505">
        <v>-0.99949180000000004</v>
      </c>
      <c r="N1505">
        <v>-1.483222E-2</v>
      </c>
      <c r="O1505">
        <v>2.821806E-2</v>
      </c>
      <c r="P1505">
        <v>-0.93172520000000003</v>
      </c>
      <c r="Q1505">
        <v>0.3610119</v>
      </c>
      <c r="R1505">
        <v>-3.9480000000000001E-2</v>
      </c>
      <c r="S1505">
        <v>-3.3311769999999998</v>
      </c>
      <c r="T1505">
        <v>-0.28840579999999999</v>
      </c>
      <c r="U1505">
        <v>-1.0925290000000001E-2</v>
      </c>
      <c r="V1505">
        <v>-6.6431799999999999E-2</v>
      </c>
      <c r="W1505">
        <v>0.37465130000000002</v>
      </c>
      <c r="X1505">
        <v>0.92478280000000002</v>
      </c>
      <c r="Y1505">
        <v>-3.1289749999999998E-2</v>
      </c>
      <c r="Z1505">
        <v>-3.604861E-3</v>
      </c>
      <c r="AA1505">
        <v>0.9995039</v>
      </c>
      <c r="AB1505">
        <v>37</v>
      </c>
      <c r="AC1505">
        <v>-12.489800000000001</v>
      </c>
      <c r="AD1505">
        <v>-1.1116853435930001</v>
      </c>
      <c r="AE1505">
        <v>-5.1600000000007598E-2</v>
      </c>
      <c r="AF1505">
        <v>-0.40088027697335998</v>
      </c>
      <c r="AG1505">
        <v>-1.1116853435930001</v>
      </c>
      <c r="AH1505">
        <v>12.385250808009101</v>
      </c>
      <c r="AI1505">
        <v>95.126385657766306</v>
      </c>
      <c r="AJ1505">
        <v>91.853877020306697</v>
      </c>
      <c r="AK1505">
        <v>12.4415025972314</v>
      </c>
      <c r="AL1505">
        <v>67.997237398382396</v>
      </c>
      <c r="AM1505">
        <v>94.108786243927398</v>
      </c>
      <c r="AN1505">
        <v>1.0000000039093799</v>
      </c>
    </row>
    <row r="1506" spans="1:40" x14ac:dyDescent="0.25">
      <c r="A1506" t="str">
        <f>"20190304164627178"</f>
        <v>20190304164627178</v>
      </c>
      <c r="B1506" t="str">
        <f>"1551689187169605"</f>
        <v>1551689187169605</v>
      </c>
      <c r="C1506" t="s">
        <v>40</v>
      </c>
      <c r="D1506">
        <v>4.3566750000000001</v>
      </c>
      <c r="E1506">
        <v>0.53024090000000001</v>
      </c>
      <c r="F1506" t="s">
        <v>50</v>
      </c>
      <c r="G1506">
        <v>-298.5095</v>
      </c>
      <c r="H1506" s="1">
        <v>3.7177649999999999E-6</v>
      </c>
      <c r="I1506">
        <v>284.58690000000001</v>
      </c>
      <c r="J1506">
        <v>-286.05329999999998</v>
      </c>
      <c r="K1506">
        <v>1.111699</v>
      </c>
      <c r="L1506">
        <v>284.65469999999999</v>
      </c>
      <c r="M1506">
        <v>-0.99951440000000003</v>
      </c>
      <c r="N1506">
        <v>-1.48285E-2</v>
      </c>
      <c r="O1506">
        <v>2.7408330000000002E-2</v>
      </c>
      <c r="P1506">
        <v>-0.93163850000000004</v>
      </c>
      <c r="Q1506">
        <v>0.36113250000000002</v>
      </c>
      <c r="R1506">
        <v>-4.0413829999999998E-2</v>
      </c>
      <c r="S1506">
        <v>-3.330994</v>
      </c>
      <c r="T1506">
        <v>-0.28856369999999998</v>
      </c>
      <c r="U1506">
        <v>-1.504517E-2</v>
      </c>
      <c r="V1506">
        <v>-6.6615889999999997E-2</v>
      </c>
      <c r="W1506">
        <v>0.37476589999999999</v>
      </c>
      <c r="X1506">
        <v>0.92472310000000002</v>
      </c>
      <c r="Y1506">
        <v>-3.1716349999999997E-2</v>
      </c>
      <c r="Z1506">
        <v>-3.570798E-3</v>
      </c>
      <c r="AA1506">
        <v>0.99949060000000001</v>
      </c>
      <c r="AB1506">
        <v>37</v>
      </c>
      <c r="AC1506">
        <v>-12.456200000000001</v>
      </c>
      <c r="AD1506">
        <v>-1.1116952822349999</v>
      </c>
      <c r="AE1506">
        <v>-6.7799999999976907E-2</v>
      </c>
      <c r="AF1506">
        <v>-0.40598202132350297</v>
      </c>
      <c r="AG1506">
        <v>-1.1116952822349999</v>
      </c>
      <c r="AH1506">
        <v>12.351282593062001</v>
      </c>
      <c r="AI1506">
        <v>95.140370763194696</v>
      </c>
      <c r="AJ1506">
        <v>91.882612955749707</v>
      </c>
      <c r="AK1506">
        <v>12.407855152920501</v>
      </c>
      <c r="AL1506">
        <v>67.990154862637894</v>
      </c>
      <c r="AM1506">
        <v>94.120398075686097</v>
      </c>
      <c r="AN1506">
        <v>0.99999998413845603</v>
      </c>
    </row>
    <row r="1507" spans="1:40" x14ac:dyDescent="0.25">
      <c r="A1507" t="str">
        <f>"20190304164627198"</f>
        <v>20190304164627198</v>
      </c>
      <c r="B1507" t="str">
        <f>"1551689187190102"</f>
        <v>1551689187190102</v>
      </c>
      <c r="C1507" t="s">
        <v>40</v>
      </c>
      <c r="D1507">
        <v>4.3443680000000002</v>
      </c>
      <c r="E1507">
        <v>0.53038669999999899</v>
      </c>
      <c r="F1507" t="s">
        <v>41</v>
      </c>
      <c r="G1507">
        <v>-287.06560000000002</v>
      </c>
      <c r="H1507">
        <v>1.0238050000000001</v>
      </c>
      <c r="I1507">
        <v>284.64940000000001</v>
      </c>
      <c r="J1507">
        <v>-286.40750000000003</v>
      </c>
      <c r="K1507">
        <v>1.1117060000000001</v>
      </c>
      <c r="L1507">
        <v>284.66359999999997</v>
      </c>
      <c r="M1507">
        <v>-0.99953510000000001</v>
      </c>
      <c r="N1507">
        <v>-1.4824820000000001E-2</v>
      </c>
      <c r="O1507">
        <v>2.6644370000000001E-2</v>
      </c>
      <c r="P1507">
        <v>-0.93142559999999996</v>
      </c>
      <c r="Q1507">
        <v>0.3617088</v>
      </c>
      <c r="R1507">
        <v>-4.0164749999999999E-2</v>
      </c>
      <c r="S1507">
        <v>-3.3314819999999998</v>
      </c>
      <c r="T1507">
        <v>-0.28933389999999998</v>
      </c>
      <c r="U1507">
        <v>-1.766968E-2</v>
      </c>
      <c r="V1507">
        <v>-6.5655420000000006E-2</v>
      </c>
      <c r="W1507">
        <v>0.37533729999999998</v>
      </c>
      <c r="X1507">
        <v>0.92456000000000005</v>
      </c>
      <c r="Y1507">
        <v>-3.1739910000000003E-2</v>
      </c>
      <c r="Z1507">
        <v>-3.5265460000000002E-3</v>
      </c>
      <c r="AA1507">
        <v>0.99948999999999999</v>
      </c>
      <c r="AB1507">
        <v>37</v>
      </c>
      <c r="AC1507">
        <v>-0.65809999999999003</v>
      </c>
      <c r="AD1507">
        <v>-8.7900999999999896E-2</v>
      </c>
      <c r="AE1507">
        <v>-1.41999999999598E-2</v>
      </c>
      <c r="AF1507">
        <v>-3.11756178844022E-2</v>
      </c>
      <c r="AG1507">
        <v>-8.7900999999999896E-2</v>
      </c>
      <c r="AH1507">
        <v>0.64596895361404905</v>
      </c>
      <c r="AI1507">
        <v>97.740097625975196</v>
      </c>
      <c r="AJ1507">
        <v>92.763052965921204</v>
      </c>
      <c r="AK1507">
        <v>0.65266713873513205</v>
      </c>
      <c r="AL1507">
        <v>67.954837465564296</v>
      </c>
      <c r="AM1507">
        <v>94.061904304984793</v>
      </c>
      <c r="AN1507">
        <v>0.99999995827333199</v>
      </c>
    </row>
    <row r="1508" spans="1:40" x14ac:dyDescent="0.25">
      <c r="A1508" t="str">
        <f>"20190304164627222"</f>
        <v>20190304164627222</v>
      </c>
      <c r="B1508" t="str">
        <f>"1551689187209621"</f>
        <v>1551689187209621</v>
      </c>
      <c r="C1508" t="s">
        <v>40</v>
      </c>
      <c r="D1508">
        <v>4.3452570000000001</v>
      </c>
      <c r="E1508">
        <v>0.5305763</v>
      </c>
      <c r="F1508" t="s">
        <v>41</v>
      </c>
      <c r="G1508">
        <v>-287.40230000000003</v>
      </c>
      <c r="H1508">
        <v>1.0258499999999999</v>
      </c>
      <c r="I1508">
        <v>284.65890000000002</v>
      </c>
      <c r="J1508">
        <v>-286.78379999999999</v>
      </c>
      <c r="K1508">
        <v>1.111713</v>
      </c>
      <c r="L1508">
        <v>284.67290000000003</v>
      </c>
      <c r="M1508">
        <v>-0.99955660000000002</v>
      </c>
      <c r="N1508">
        <v>-1.4821010000000001E-2</v>
      </c>
      <c r="O1508">
        <v>2.5831260000000002E-2</v>
      </c>
      <c r="P1508">
        <v>-0.9312338</v>
      </c>
      <c r="Q1508">
        <v>0.36225629999999998</v>
      </c>
      <c r="R1508">
        <v>-3.9677740000000003E-2</v>
      </c>
      <c r="S1508">
        <v>-3.331909</v>
      </c>
      <c r="T1508">
        <v>-0.28768129999999997</v>
      </c>
      <c r="U1508">
        <v>-1.6571039999999999E-2</v>
      </c>
      <c r="V1508">
        <v>-6.4410019999999998E-2</v>
      </c>
      <c r="W1508">
        <v>0.37588139999999998</v>
      </c>
      <c r="X1508">
        <v>0.92442659999999999</v>
      </c>
      <c r="Y1508">
        <v>-3.0606080000000001E-2</v>
      </c>
      <c r="Z1508">
        <v>-3.3898349999999999E-3</v>
      </c>
      <c r="AA1508">
        <v>0.99952580000000002</v>
      </c>
      <c r="AB1508">
        <v>37</v>
      </c>
      <c r="AC1508">
        <v>-0.61850000000004002</v>
      </c>
      <c r="AD1508">
        <v>-8.5862999999999995E-2</v>
      </c>
      <c r="AE1508">
        <v>-1.4000000000009999E-2</v>
      </c>
      <c r="AF1508">
        <v>-2.9407260034691102E-2</v>
      </c>
      <c r="AG1508">
        <v>-8.5862999999999995E-2</v>
      </c>
      <c r="AH1508">
        <v>0.60625399173905004</v>
      </c>
      <c r="AI1508">
        <v>98.051774388205402</v>
      </c>
      <c r="AJ1508">
        <v>92.777041152484003</v>
      </c>
      <c r="AK1508">
        <v>0.61300990547566203</v>
      </c>
      <c r="AL1508">
        <v>67.921200976146295</v>
      </c>
      <c r="AM1508">
        <v>93.985678993393293</v>
      </c>
      <c r="AN1508">
        <v>1.00000000816496</v>
      </c>
    </row>
    <row r="1509" spans="1:40" x14ac:dyDescent="0.25">
      <c r="A1509" t="str">
        <f>"20190304164627243"</f>
        <v>20190304164627243</v>
      </c>
      <c r="B1509" t="str">
        <f>"1551689187239878"</f>
        <v>1551689187239878</v>
      </c>
      <c r="C1509" t="s">
        <v>40</v>
      </c>
      <c r="D1509">
        <v>4.3219339999999997</v>
      </c>
      <c r="E1509">
        <v>0.53083719999999901</v>
      </c>
      <c r="F1509" t="s">
        <v>50</v>
      </c>
      <c r="G1509">
        <v>-299.71289999999999</v>
      </c>
      <c r="H1509" s="1">
        <v>3.9288530000000004E-6</v>
      </c>
      <c r="I1509">
        <v>284.61410000000001</v>
      </c>
      <c r="J1509">
        <v>-287.1268</v>
      </c>
      <c r="K1509">
        <v>1.1117170000000001</v>
      </c>
      <c r="L1509">
        <v>284.68099999999998</v>
      </c>
      <c r="M1509">
        <v>-0.9995754</v>
      </c>
      <c r="N1509">
        <v>-1.4817439999999999E-2</v>
      </c>
      <c r="O1509">
        <v>2.5090700000000001E-2</v>
      </c>
      <c r="P1509">
        <v>-0.93136719999999895</v>
      </c>
      <c r="Q1509">
        <v>0.3619214</v>
      </c>
      <c r="R1509">
        <v>-3.9601860000000003E-2</v>
      </c>
      <c r="S1509">
        <v>-3.3323670000000001</v>
      </c>
      <c r="T1509">
        <v>-0.28653230000000002</v>
      </c>
      <c r="U1509">
        <v>-1.5136719999999999E-2</v>
      </c>
      <c r="V1509">
        <v>-6.3650090000000006E-2</v>
      </c>
      <c r="W1509">
        <v>0.37554729999999997</v>
      </c>
      <c r="X1509">
        <v>0.92461499999999996</v>
      </c>
      <c r="Y1509">
        <v>-2.9443219999999999E-2</v>
      </c>
      <c r="Z1509">
        <v>-3.2641509999999999E-3</v>
      </c>
      <c r="AA1509">
        <v>0.99956109999999998</v>
      </c>
      <c r="AB1509">
        <v>37</v>
      </c>
      <c r="AC1509">
        <v>-12.586099999999901</v>
      </c>
      <c r="AD1509">
        <v>-1.111713071147</v>
      </c>
      <c r="AE1509">
        <v>-6.6899999999975507E-2</v>
      </c>
      <c r="AF1509">
        <v>-0.37974498645550497</v>
      </c>
      <c r="AG1509">
        <v>-1.111713071147</v>
      </c>
      <c r="AH1509">
        <v>12.4830685037688</v>
      </c>
      <c r="AI1509">
        <v>95.086861841677901</v>
      </c>
      <c r="AJ1509">
        <v>91.742446338222607</v>
      </c>
      <c r="AK1509">
        <v>12.5382260099697</v>
      </c>
      <c r="AL1509">
        <v>67.9418567253541</v>
      </c>
      <c r="AM1509">
        <v>93.938003525322102</v>
      </c>
      <c r="AN1509">
        <v>1.0000000033596399</v>
      </c>
    </row>
    <row r="1510" spans="1:40" x14ac:dyDescent="0.25">
      <c r="A1510" t="str">
        <f>"20190304164627264"</f>
        <v>20190304164627264</v>
      </c>
      <c r="B1510" t="str">
        <f>"1551689187259397"</f>
        <v>1551689187259397</v>
      </c>
      <c r="C1510" t="s">
        <v>40</v>
      </c>
      <c r="D1510">
        <v>4.3259489999999996</v>
      </c>
      <c r="E1510">
        <v>0.53101860000000001</v>
      </c>
      <c r="F1510" t="s">
        <v>50</v>
      </c>
      <c r="G1510">
        <v>-300.0043</v>
      </c>
      <c r="H1510" s="1">
        <v>3.9617989999999997E-6</v>
      </c>
      <c r="I1510">
        <v>284.63959999999997</v>
      </c>
      <c r="J1510">
        <v>-287.47669999999999</v>
      </c>
      <c r="K1510">
        <v>1.11172</v>
      </c>
      <c r="L1510">
        <v>284.6891</v>
      </c>
      <c r="M1510">
        <v>-0.99959419999999999</v>
      </c>
      <c r="N1510">
        <v>-1.4813740000000001E-2</v>
      </c>
      <c r="O1510">
        <v>2.4335559999999999E-2</v>
      </c>
      <c r="P1510">
        <v>-0.93115599999999998</v>
      </c>
      <c r="Q1510">
        <v>0.3624462</v>
      </c>
      <c r="R1510">
        <v>-3.9765670000000003E-2</v>
      </c>
      <c r="S1510">
        <v>-3.3324889999999998</v>
      </c>
      <c r="T1510">
        <v>-0.28769270000000002</v>
      </c>
      <c r="U1510">
        <v>-1.071167E-2</v>
      </c>
      <c r="V1510">
        <v>-6.3108020000000001E-2</v>
      </c>
      <c r="W1510">
        <v>0.37606640000000002</v>
      </c>
      <c r="X1510">
        <v>0.92444110000000002</v>
      </c>
      <c r="Y1510">
        <v>-2.737001E-2</v>
      </c>
      <c r="Z1510">
        <v>-3.1192569999999998E-3</v>
      </c>
      <c r="AA1510">
        <v>0.99962050000000002</v>
      </c>
      <c r="AB1510">
        <v>37</v>
      </c>
      <c r="AC1510">
        <v>-12.5276</v>
      </c>
      <c r="AD1510">
        <v>-1.1117160382009901</v>
      </c>
      <c r="AE1510">
        <v>-4.9500000000023102E-2</v>
      </c>
      <c r="AF1510">
        <v>-0.35161597820654</v>
      </c>
      <c r="AG1510">
        <v>-1.1117160382009901</v>
      </c>
      <c r="AH1510">
        <v>12.4248399427146</v>
      </c>
      <c r="AI1510">
        <v>95.110905208193103</v>
      </c>
      <c r="AJ1510">
        <v>91.621005677096704</v>
      </c>
      <c r="AK1510">
        <v>12.4794308342889</v>
      </c>
      <c r="AL1510">
        <v>67.909760706926704</v>
      </c>
      <c r="AM1510">
        <v>93.905302300941102</v>
      </c>
      <c r="AN1510">
        <v>0.99999995338324399</v>
      </c>
    </row>
    <row r="1511" spans="1:40" x14ac:dyDescent="0.25">
      <c r="A1511" t="str">
        <f>"20190304164627288"</f>
        <v>20190304164627288</v>
      </c>
      <c r="B1511" t="str">
        <f>"1551689187279894"</f>
        <v>1551689187279894</v>
      </c>
      <c r="C1511" t="s">
        <v>40</v>
      </c>
      <c r="D1511">
        <v>4.3712669999999996</v>
      </c>
      <c r="E1511">
        <v>0.53098350000000005</v>
      </c>
      <c r="F1511" t="s">
        <v>50</v>
      </c>
      <c r="G1511">
        <v>-300.41980000000001</v>
      </c>
      <c r="H1511" s="1">
        <v>3.8868309999999996E-6</v>
      </c>
      <c r="I1511">
        <v>284.65410000000003</v>
      </c>
      <c r="J1511">
        <v>-287.87259999999998</v>
      </c>
      <c r="K1511">
        <v>1.111721</v>
      </c>
      <c r="L1511">
        <v>284.6979</v>
      </c>
      <c r="M1511">
        <v>-0.99961469999999997</v>
      </c>
      <c r="N1511">
        <v>-1.4809620000000001E-2</v>
      </c>
      <c r="O1511">
        <v>2.3481720000000001E-2</v>
      </c>
      <c r="P1511">
        <v>-0.93111279999999996</v>
      </c>
      <c r="Q1511">
        <v>0.36256379999999999</v>
      </c>
      <c r="R1511">
        <v>-3.970423E-2</v>
      </c>
      <c r="S1511">
        <v>-3.3328549999999999</v>
      </c>
      <c r="T1511">
        <v>-0.28626620000000003</v>
      </c>
      <c r="U1511">
        <v>-9.0026859999999993E-3</v>
      </c>
      <c r="V1511">
        <v>-6.2252740000000001E-2</v>
      </c>
      <c r="W1511">
        <v>0.37618180000000001</v>
      </c>
      <c r="X1511">
        <v>0.92445219999999995</v>
      </c>
      <c r="Y1511">
        <v>-2.6013089999999999E-2</v>
      </c>
      <c r="Z1511">
        <v>-2.9739509999999999E-3</v>
      </c>
      <c r="AA1511">
        <v>0.99965720000000002</v>
      </c>
      <c r="AB1511">
        <v>37</v>
      </c>
      <c r="AC1511">
        <v>-12.5472</v>
      </c>
      <c r="AD1511">
        <v>-1.111717113169</v>
      </c>
      <c r="AE1511">
        <v>-4.3799999999975997E-2</v>
      </c>
      <c r="AF1511">
        <v>-0.33581377409068103</v>
      </c>
      <c r="AG1511">
        <v>-1.111717113169</v>
      </c>
      <c r="AH1511">
        <v>12.4450130951903</v>
      </c>
      <c r="AI1511">
        <v>95.102853646104407</v>
      </c>
      <c r="AJ1511">
        <v>91.545682914497107</v>
      </c>
      <c r="AK1511">
        <v>12.4990814370513</v>
      </c>
      <c r="AL1511">
        <v>67.902626098655304</v>
      </c>
      <c r="AM1511">
        <v>93.852489516046205</v>
      </c>
      <c r="AN1511">
        <v>1.0000000101867901</v>
      </c>
    </row>
    <row r="1512" spans="1:40" x14ac:dyDescent="0.25">
      <c r="A1512" t="str">
        <f>"20190304164627311"</f>
        <v>20190304164627311</v>
      </c>
      <c r="B1512" t="str">
        <f>"1551689187299414"</f>
        <v>1551689187299414</v>
      </c>
      <c r="C1512" t="s">
        <v>40</v>
      </c>
      <c r="D1512">
        <v>4.3403700000000001</v>
      </c>
      <c r="E1512">
        <v>0.52996430000000005</v>
      </c>
      <c r="F1512" t="s">
        <v>50</v>
      </c>
      <c r="G1512">
        <v>-300.83420000000001</v>
      </c>
      <c r="H1512" s="1">
        <v>3.8127209999999999E-6</v>
      </c>
      <c r="I1512">
        <v>284.66109999999998</v>
      </c>
      <c r="J1512">
        <v>-288.23399999999998</v>
      </c>
      <c r="K1512">
        <v>1.111715</v>
      </c>
      <c r="L1512">
        <v>284.7056</v>
      </c>
      <c r="M1512">
        <v>-0.99963279999999999</v>
      </c>
      <c r="N1512">
        <v>-1.4805860000000001E-2</v>
      </c>
      <c r="O1512">
        <v>2.270252E-2</v>
      </c>
      <c r="P1512">
        <v>-0.93119870000000005</v>
      </c>
      <c r="Q1512">
        <v>0.36232189999999997</v>
      </c>
      <c r="R1512">
        <v>-3.9900869999999998E-2</v>
      </c>
      <c r="S1512">
        <v>-3.3328549999999999</v>
      </c>
      <c r="T1512">
        <v>-0.28586040000000001</v>
      </c>
      <c r="U1512">
        <v>-9.4604489999999992E-3</v>
      </c>
      <c r="V1512">
        <v>-6.1725910000000002E-2</v>
      </c>
      <c r="W1512">
        <v>0.37593919999999997</v>
      </c>
      <c r="X1512">
        <v>0.92458620000000002</v>
      </c>
      <c r="Y1512">
        <v>-2.5376349999999999E-2</v>
      </c>
      <c r="Z1512">
        <v>-2.8824139999999998E-3</v>
      </c>
      <c r="AA1512">
        <v>0.99967379999999995</v>
      </c>
      <c r="AB1512">
        <v>36</v>
      </c>
      <c r="AC1512">
        <v>-12.6001999999999</v>
      </c>
      <c r="AD1512">
        <v>-1.111711187279</v>
      </c>
      <c r="AE1512">
        <v>-4.4500000000027698E-2</v>
      </c>
      <c r="AF1512">
        <v>-0.32802267815450797</v>
      </c>
      <c r="AG1512">
        <v>-1.111711187279</v>
      </c>
      <c r="AH1512">
        <v>12.498647261599301</v>
      </c>
      <c r="AI1512">
        <v>95.0811435816032</v>
      </c>
      <c r="AJ1512">
        <v>91.503362833649405</v>
      </c>
      <c r="AK1512">
        <v>12.5522780407059</v>
      </c>
      <c r="AL1512">
        <v>67.917627103988096</v>
      </c>
      <c r="AM1512">
        <v>93.819431769540998</v>
      </c>
      <c r="AN1512">
        <v>1.0000000056462</v>
      </c>
    </row>
    <row r="1513" spans="1:40" x14ac:dyDescent="0.25">
      <c r="A1513" t="str">
        <f>"20190304164627331"</f>
        <v>20190304164627331</v>
      </c>
      <c r="B1513" t="str">
        <f>"1551689187319910"</f>
        <v>1551689187319910</v>
      </c>
      <c r="C1513" t="s">
        <v>40</v>
      </c>
      <c r="D1513">
        <v>4.3612359999999999</v>
      </c>
      <c r="E1513">
        <v>0.50571049999999995</v>
      </c>
      <c r="F1513" t="s">
        <v>50</v>
      </c>
      <c r="G1513">
        <v>-301.25450000000001</v>
      </c>
      <c r="H1513" s="1">
        <v>3.740484E-6</v>
      </c>
      <c r="I1513">
        <v>284.63440000000003</v>
      </c>
      <c r="J1513">
        <v>-288.57510000000002</v>
      </c>
      <c r="K1513">
        <v>1.1117060000000001</v>
      </c>
      <c r="L1513">
        <v>284.71260000000001</v>
      </c>
      <c r="M1513">
        <v>-0.99964920000000002</v>
      </c>
      <c r="N1513">
        <v>-1.480217E-2</v>
      </c>
      <c r="O1513">
        <v>2.196648E-2</v>
      </c>
      <c r="P1513">
        <v>-0.93141280000000004</v>
      </c>
      <c r="Q1513">
        <v>0.36169370000000001</v>
      </c>
      <c r="R1513">
        <v>-4.0597220000000003E-2</v>
      </c>
      <c r="S1513">
        <v>-3.3315429999999999</v>
      </c>
      <c r="T1513">
        <v>-0.28445219999999999</v>
      </c>
      <c r="U1513">
        <v>-1.8218990000000001E-2</v>
      </c>
      <c r="V1513">
        <v>-6.1740219999999998E-2</v>
      </c>
      <c r="W1513">
        <v>0.37531130000000001</v>
      </c>
      <c r="X1513">
        <v>0.92484029999999995</v>
      </c>
      <c r="Y1513">
        <v>-2.7264730000000001E-2</v>
      </c>
      <c r="Z1513">
        <v>-2.9113939999999999E-3</v>
      </c>
      <c r="AA1513">
        <v>0.99962399999999996</v>
      </c>
      <c r="AB1513">
        <v>36</v>
      </c>
      <c r="AC1513">
        <v>-12.6793999999999</v>
      </c>
      <c r="AD1513">
        <v>-1.11170225951599</v>
      </c>
      <c r="AE1513">
        <v>-7.8199999999981104E-2</v>
      </c>
      <c r="AF1513">
        <v>-0.35401208007898299</v>
      </c>
      <c r="AG1513">
        <v>-1.11170225951599</v>
      </c>
      <c r="AH1513">
        <v>12.5779339701478</v>
      </c>
      <c r="AI1513">
        <v>95.048980200353498</v>
      </c>
      <c r="AJ1513">
        <v>91.612192011941801</v>
      </c>
      <c r="AK1513">
        <v>12.631928966870101</v>
      </c>
      <c r="AL1513">
        <v>67.956445702853799</v>
      </c>
      <c r="AM1513">
        <v>93.819268086702294</v>
      </c>
      <c r="AN1513">
        <v>1.00000000358871</v>
      </c>
    </row>
    <row r="1514" spans="1:40" x14ac:dyDescent="0.25">
      <c r="A1514" t="str">
        <f>"20190304164627356"</f>
        <v>20190304164627356</v>
      </c>
      <c r="B1514" t="str">
        <f>"1551689187349190"</f>
        <v>1551689187349190</v>
      </c>
      <c r="C1514" t="s">
        <v>40</v>
      </c>
      <c r="D1514">
        <v>4.3304109999999998</v>
      </c>
      <c r="E1514">
        <v>0.50572839999999997</v>
      </c>
      <c r="F1514" t="s">
        <v>50</v>
      </c>
      <c r="G1514">
        <v>-303.97739999999999</v>
      </c>
      <c r="H1514" s="1">
        <v>3.3360170000000002E-6</v>
      </c>
      <c r="I1514">
        <v>283.73610000000002</v>
      </c>
      <c r="J1514">
        <v>-288.95569999999998</v>
      </c>
      <c r="K1514">
        <v>1.1116999999999999</v>
      </c>
      <c r="L1514">
        <v>284.72019999999998</v>
      </c>
      <c r="M1514">
        <v>-0.99966699999999997</v>
      </c>
      <c r="N1514">
        <v>-1.479803E-2</v>
      </c>
      <c r="O1514">
        <v>2.1144630000000001E-2</v>
      </c>
      <c r="P1514">
        <v>-0.93158890000000005</v>
      </c>
      <c r="Q1514">
        <v>0.36114610000000003</v>
      </c>
      <c r="R1514">
        <v>-4.1421689999999997E-2</v>
      </c>
      <c r="S1514">
        <v>-3.304443</v>
      </c>
      <c r="T1514">
        <v>-0.23850579999999999</v>
      </c>
      <c r="U1514">
        <v>-0.2095032</v>
      </c>
      <c r="V1514">
        <v>-6.1801309999999998E-2</v>
      </c>
      <c r="W1514">
        <v>0.37476320000000002</v>
      </c>
      <c r="X1514">
        <v>0.92505850000000001</v>
      </c>
      <c r="Y1514">
        <v>-8.4066399999999999E-2</v>
      </c>
      <c r="Z1514">
        <v>-4.8610939999999998E-3</v>
      </c>
      <c r="AA1514">
        <v>0.99644829999999995</v>
      </c>
      <c r="AB1514">
        <v>36</v>
      </c>
      <c r="AC1514">
        <v>-15.021699999999999</v>
      </c>
      <c r="AD1514">
        <v>-1.1116966639829999</v>
      </c>
      <c r="AE1514">
        <v>-0.98409999999995501</v>
      </c>
      <c r="AF1514">
        <v>-1.2944835228220199</v>
      </c>
      <c r="AG1514">
        <v>-1.1116966639829999</v>
      </c>
      <c r="AH1514">
        <v>14.916184852128</v>
      </c>
      <c r="AI1514">
        <v>94.246446615804899</v>
      </c>
      <c r="AJ1514">
        <v>94.959919842653406</v>
      </c>
      <c r="AK1514">
        <v>15.0134648767838</v>
      </c>
      <c r="AL1514">
        <v>67.990323089993495</v>
      </c>
      <c r="AM1514">
        <v>93.822136837926806</v>
      </c>
      <c r="AN1514">
        <v>1.0000000432070999</v>
      </c>
    </row>
    <row r="1515" spans="1:40" x14ac:dyDescent="0.25">
      <c r="A1515" t="str">
        <f>"20190304164627378"</f>
        <v>20190304164627378</v>
      </c>
      <c r="B1515" t="str">
        <f>"1551689187369685"</f>
        <v>1551689187369685</v>
      </c>
      <c r="C1515" t="s">
        <v>40</v>
      </c>
      <c r="D1515">
        <v>4.3501149999999997</v>
      </c>
      <c r="E1515">
        <v>0.50650890000000004</v>
      </c>
      <c r="F1515" t="s">
        <v>50</v>
      </c>
      <c r="G1515">
        <v>-304.23770000000002</v>
      </c>
      <c r="H1515" s="1">
        <v>3.2894089999999998E-6</v>
      </c>
      <c r="I1515">
        <v>283.74130000000002</v>
      </c>
      <c r="J1515">
        <v>-289.33030000000002</v>
      </c>
      <c r="K1515">
        <v>1.111702</v>
      </c>
      <c r="L1515">
        <v>284.72730000000001</v>
      </c>
      <c r="M1515">
        <v>-0.99968380000000001</v>
      </c>
      <c r="N1515">
        <v>-1.4794E-2</v>
      </c>
      <c r="O1515">
        <v>2.0336130000000001E-2</v>
      </c>
      <c r="P1515">
        <v>-0.93172929999999998</v>
      </c>
      <c r="Q1515">
        <v>0.36067399999999999</v>
      </c>
      <c r="R1515">
        <v>-4.236616E-2</v>
      </c>
      <c r="S1515">
        <v>-3.3040470000000002</v>
      </c>
      <c r="T1515">
        <v>-0.24035580000000001</v>
      </c>
      <c r="U1515">
        <v>-0.21163940000000001</v>
      </c>
      <c r="V1515">
        <v>-6.1994059999999997E-2</v>
      </c>
      <c r="W1515">
        <v>0.3742896</v>
      </c>
      <c r="X1515">
        <v>0.92523730000000004</v>
      </c>
      <c r="Y1515">
        <v>-8.3907109999999993E-2</v>
      </c>
      <c r="Z1515">
        <v>-4.8429889999999998E-3</v>
      </c>
      <c r="AA1515">
        <v>0.99646179999999995</v>
      </c>
      <c r="AB1515">
        <v>36</v>
      </c>
      <c r="AC1515">
        <v>-14.9073999999999</v>
      </c>
      <c r="AD1515">
        <v>-1.1116987105909999</v>
      </c>
      <c r="AE1515">
        <v>-0.98599999999999</v>
      </c>
      <c r="AF1515">
        <v>-1.2818902089725701</v>
      </c>
      <c r="AG1515">
        <v>-1.1116987105909999</v>
      </c>
      <c r="AH1515">
        <v>14.8023024829387</v>
      </c>
      <c r="AI1515">
        <v>94.279071025906802</v>
      </c>
      <c r="AJ1515">
        <v>94.9495077602582</v>
      </c>
      <c r="AK1515">
        <v>14.899237407578999</v>
      </c>
      <c r="AL1515">
        <v>68.019587751327194</v>
      </c>
      <c r="AM1515">
        <v>93.833283364564807</v>
      </c>
      <c r="AN1515">
        <v>1.00000001472736</v>
      </c>
    </row>
    <row r="1516" spans="1:40" x14ac:dyDescent="0.25">
      <c r="A1516" t="str">
        <f>"20190304164627400"</f>
        <v>20190304164627400</v>
      </c>
      <c r="B1516" t="str">
        <f>"1551689187389206"</f>
        <v>1551689187389206</v>
      </c>
      <c r="C1516" t="s">
        <v>40</v>
      </c>
      <c r="D1516">
        <v>4.3303430000000001</v>
      </c>
      <c r="E1516">
        <v>0.50682170000000004</v>
      </c>
      <c r="F1516" t="s">
        <v>50</v>
      </c>
      <c r="G1516">
        <v>-304.31119999999999</v>
      </c>
      <c r="H1516" s="1">
        <v>3.272355E-6</v>
      </c>
      <c r="I1516">
        <v>283.78710000000001</v>
      </c>
      <c r="J1516">
        <v>-289.68979999999999</v>
      </c>
      <c r="K1516">
        <v>1.111702</v>
      </c>
      <c r="L1516">
        <v>284.73379999999997</v>
      </c>
      <c r="M1516">
        <v>-0.99969940000000002</v>
      </c>
      <c r="N1516">
        <v>-1.479013E-2</v>
      </c>
      <c r="O1516">
        <v>1.955989E-2</v>
      </c>
      <c r="P1516">
        <v>-0.93158819999999998</v>
      </c>
      <c r="Q1516">
        <v>0.3609001</v>
      </c>
      <c r="R1516">
        <v>-4.3529480000000002E-2</v>
      </c>
      <c r="S1516">
        <v>-3.3053279999999998</v>
      </c>
      <c r="T1516">
        <v>-0.24528030000000001</v>
      </c>
      <c r="U1516">
        <v>-0.207428</v>
      </c>
      <c r="V1516">
        <v>-6.2431029999999998E-2</v>
      </c>
      <c r="W1516">
        <v>0.3745098</v>
      </c>
      <c r="X1516">
        <v>0.92511880000000002</v>
      </c>
      <c r="Y1516">
        <v>-8.1840549999999998E-2</v>
      </c>
      <c r="Z1516">
        <v>-4.7958489999999996E-3</v>
      </c>
      <c r="AA1516">
        <v>0.99663389999999996</v>
      </c>
      <c r="AB1516">
        <v>36</v>
      </c>
      <c r="AC1516">
        <v>-14.6213999999999</v>
      </c>
      <c r="AD1516">
        <v>-1.1116987276450001</v>
      </c>
      <c r="AE1516">
        <v>-0.94669999999996401</v>
      </c>
      <c r="AF1516">
        <v>-1.2254882100212301</v>
      </c>
      <c r="AG1516">
        <v>-1.1116987276450001</v>
      </c>
      <c r="AH1516">
        <v>14.5165144119222</v>
      </c>
      <c r="AI1516">
        <v>94.363795966449004</v>
      </c>
      <c r="AJ1516">
        <v>94.825484055655295</v>
      </c>
      <c r="AK1516">
        <v>14.6105060174347</v>
      </c>
      <c r="AL1516">
        <v>68.005981477633995</v>
      </c>
      <c r="AM1516">
        <v>93.860714125304895</v>
      </c>
      <c r="AN1516">
        <v>1.00000000895817</v>
      </c>
    </row>
    <row r="1517" spans="1:40" x14ac:dyDescent="0.25">
      <c r="A1517" t="str">
        <f>"20190304164627421"</f>
        <v>20190304164627421</v>
      </c>
      <c r="B1517" t="str">
        <f>"1551689187409702"</f>
        <v>1551689187409702</v>
      </c>
      <c r="C1517" t="s">
        <v>40</v>
      </c>
      <c r="D1517">
        <v>4.3596320000000004</v>
      </c>
      <c r="E1517">
        <v>0.50731340000000003</v>
      </c>
      <c r="F1517" t="s">
        <v>50</v>
      </c>
      <c r="G1517">
        <v>-304.62520000000001</v>
      </c>
      <c r="H1517" s="1">
        <v>3.2156679999999999E-6</v>
      </c>
      <c r="I1517">
        <v>283.79829999999998</v>
      </c>
      <c r="J1517">
        <v>-290.02910000000003</v>
      </c>
      <c r="K1517">
        <v>1.1117030000000001</v>
      </c>
      <c r="L1517">
        <v>284.73970000000003</v>
      </c>
      <c r="M1517">
        <v>-0.99971339999999997</v>
      </c>
      <c r="N1517">
        <v>-1.478641E-2</v>
      </c>
      <c r="O1517">
        <v>1.8831420000000001E-2</v>
      </c>
      <c r="P1517">
        <v>-0.93144539999999998</v>
      </c>
      <c r="Q1517">
        <v>0.36108879999999999</v>
      </c>
      <c r="R1517">
        <v>-4.4995269999999997E-2</v>
      </c>
      <c r="S1517">
        <v>-3.3059690000000002</v>
      </c>
      <c r="T1517">
        <v>-0.2460753</v>
      </c>
      <c r="U1517">
        <v>-0.20706179999999999</v>
      </c>
      <c r="V1517">
        <v>-6.3212950000000004E-2</v>
      </c>
      <c r="W1517">
        <v>0.37469249999999998</v>
      </c>
      <c r="X1517">
        <v>0.92499169999999997</v>
      </c>
      <c r="Y1517">
        <v>-8.0994579999999997E-2</v>
      </c>
      <c r="Z1517">
        <v>-4.7283580000000002E-3</v>
      </c>
      <c r="AA1517">
        <v>0.99670329999999996</v>
      </c>
      <c r="AB1517">
        <v>36</v>
      </c>
      <c r="AC1517">
        <v>-14.5960999999999</v>
      </c>
      <c r="AD1517">
        <v>-1.111699784332</v>
      </c>
      <c r="AE1517">
        <v>-0.94140000000004398</v>
      </c>
      <c r="AF1517">
        <v>-1.2091431920629201</v>
      </c>
      <c r="AG1517">
        <v>-1.111699784332</v>
      </c>
      <c r="AH1517">
        <v>14.4920614157669</v>
      </c>
      <c r="AI1517">
        <v>94.371492390154998</v>
      </c>
      <c r="AJ1517">
        <v>94.769418875343803</v>
      </c>
      <c r="AK1517">
        <v>14.584846510942601</v>
      </c>
      <c r="AL1517">
        <v>67.994691164861507</v>
      </c>
      <c r="AM1517">
        <v>93.909454266391194</v>
      </c>
      <c r="AN1517">
        <v>0.99999999583642096</v>
      </c>
    </row>
    <row r="1518" spans="1:40" x14ac:dyDescent="0.25">
      <c r="A1518" t="str">
        <f>"20190304164627443"</f>
        <v>20190304164627443</v>
      </c>
      <c r="B1518" t="str">
        <f>"1551689187439957"</f>
        <v>1551689187439957</v>
      </c>
      <c r="C1518" t="s">
        <v>40</v>
      </c>
      <c r="D1518">
        <v>4.3268500000000003</v>
      </c>
      <c r="E1518">
        <v>0.5075828</v>
      </c>
      <c r="F1518" t="s">
        <v>50</v>
      </c>
      <c r="G1518">
        <v>-304.91890000000001</v>
      </c>
      <c r="H1518" s="1">
        <v>3.1628489999999999E-6</v>
      </c>
      <c r="I1518">
        <v>283.80669999999998</v>
      </c>
      <c r="J1518">
        <v>-290.38580000000002</v>
      </c>
      <c r="K1518">
        <v>1.111699</v>
      </c>
      <c r="L1518">
        <v>284.7457</v>
      </c>
      <c r="M1518">
        <v>-0.99972729999999999</v>
      </c>
      <c r="N1518">
        <v>-1.478253E-2</v>
      </c>
      <c r="O1518">
        <v>1.8078090000000002E-2</v>
      </c>
      <c r="P1518">
        <v>-0.93146410000000002</v>
      </c>
      <c r="Q1518">
        <v>0.36082760000000003</v>
      </c>
      <c r="R1518">
        <v>-4.6668000000000001E-2</v>
      </c>
      <c r="S1518">
        <v>-3.3064879999999999</v>
      </c>
      <c r="T1518">
        <v>-0.24686839999999999</v>
      </c>
      <c r="U1518">
        <v>-0.2071838</v>
      </c>
      <c r="V1518">
        <v>-6.41761E-2</v>
      </c>
      <c r="W1518">
        <v>0.37442799999999998</v>
      </c>
      <c r="X1518">
        <v>0.92503250000000004</v>
      </c>
      <c r="Y1518">
        <v>-8.0272410000000002E-2</v>
      </c>
      <c r="Z1518">
        <v>-4.664489E-3</v>
      </c>
      <c r="AA1518">
        <v>0.99676200000000004</v>
      </c>
      <c r="AB1518">
        <v>36</v>
      </c>
      <c r="AC1518">
        <v>-14.5330999999999</v>
      </c>
      <c r="AD1518">
        <v>-1.111695837151</v>
      </c>
      <c r="AE1518">
        <v>-0.93900000000002104</v>
      </c>
      <c r="AF1518">
        <v>-1.1946446984159</v>
      </c>
      <c r="AG1518">
        <v>-1.111695837151</v>
      </c>
      <c r="AH1518">
        <v>14.429665381078999</v>
      </c>
      <c r="AI1518">
        <v>94.390538569403205</v>
      </c>
      <c r="AJ1518">
        <v>94.732774381667596</v>
      </c>
      <c r="AK1518">
        <v>14.521648893968701</v>
      </c>
      <c r="AL1518">
        <v>68.011036127895196</v>
      </c>
      <c r="AM1518">
        <v>93.968657599349996</v>
      </c>
      <c r="AN1518">
        <v>1.00000001252573</v>
      </c>
    </row>
    <row r="1519" spans="1:40" x14ac:dyDescent="0.25">
      <c r="A1519" t="str">
        <f>"20190304164627466"</f>
        <v>20190304164627466</v>
      </c>
      <c r="B1519" t="str">
        <f>"1551689187459478"</f>
        <v>1551689187459478</v>
      </c>
      <c r="C1519" t="s">
        <v>40</v>
      </c>
      <c r="D1519">
        <v>4.315493</v>
      </c>
      <c r="E1519">
        <v>0.50765420000000006</v>
      </c>
      <c r="F1519" t="s">
        <v>50</v>
      </c>
      <c r="G1519">
        <v>-305.178</v>
      </c>
      <c r="H1519" s="1">
        <v>3.1172489999999999E-6</v>
      </c>
      <c r="I1519">
        <v>283.80270000000002</v>
      </c>
      <c r="J1519">
        <v>-290.74380000000002</v>
      </c>
      <c r="K1519">
        <v>1.1116779999999999</v>
      </c>
      <c r="L1519">
        <v>284.75139999999999</v>
      </c>
      <c r="M1519">
        <v>-0.99974050000000003</v>
      </c>
      <c r="N1519">
        <v>-1.477843E-2</v>
      </c>
      <c r="O1519">
        <v>1.7346509999999999E-2</v>
      </c>
      <c r="P1519">
        <v>-0.93126629999999999</v>
      </c>
      <c r="Q1519">
        <v>0.36118610000000001</v>
      </c>
      <c r="R1519">
        <v>-4.783544E-2</v>
      </c>
      <c r="S1519">
        <v>-3.3063959999999999</v>
      </c>
      <c r="T1519">
        <v>-0.24849060000000001</v>
      </c>
      <c r="U1519">
        <v>-0.2107849</v>
      </c>
      <c r="V1519">
        <v>-6.464425E-2</v>
      </c>
      <c r="W1519">
        <v>0.37478210000000001</v>
      </c>
      <c r="X1519">
        <v>0.92485649999999997</v>
      </c>
      <c r="Y1519">
        <v>-8.0622410000000005E-2</v>
      </c>
      <c r="Z1519">
        <v>-4.6644770000000002E-3</v>
      </c>
      <c r="AA1519">
        <v>0.9967338</v>
      </c>
      <c r="AB1519">
        <v>36</v>
      </c>
      <c r="AC1519">
        <v>-14.434199999999899</v>
      </c>
      <c r="AD1519">
        <v>-1.1116748827509999</v>
      </c>
      <c r="AE1519">
        <v>-0.94869999999997401</v>
      </c>
      <c r="AF1519">
        <v>-1.1919279187401499</v>
      </c>
      <c r="AG1519">
        <v>-1.1116748827509999</v>
      </c>
      <c r="AH1519">
        <v>14.3309299217646</v>
      </c>
      <c r="AI1519">
        <v>94.420447273297498</v>
      </c>
      <c r="AJ1519">
        <v>94.754444983174395</v>
      </c>
      <c r="AK1519">
        <v>14.423316734750699</v>
      </c>
      <c r="AL1519">
        <v>67.989154615839297</v>
      </c>
      <c r="AM1519">
        <v>93.998272788851693</v>
      </c>
      <c r="AN1519">
        <v>1.0000000235653601</v>
      </c>
    </row>
    <row r="1520" spans="1:40" x14ac:dyDescent="0.25">
      <c r="A1520" t="str">
        <f>"20190304164627489"</f>
        <v>20190304164627489</v>
      </c>
      <c r="B1520" t="str">
        <f>"1551689187479974"</f>
        <v>1551689187479974</v>
      </c>
      <c r="C1520" t="s">
        <v>40</v>
      </c>
      <c r="D1520">
        <v>4.3258910000000004</v>
      </c>
      <c r="E1520">
        <v>0.50775809999999999</v>
      </c>
      <c r="F1520" t="s">
        <v>50</v>
      </c>
      <c r="G1520">
        <v>-305.58850000000001</v>
      </c>
      <c r="H1520" s="1">
        <v>3.0456239999999999E-6</v>
      </c>
      <c r="I1520">
        <v>283.78890000000001</v>
      </c>
      <c r="J1520">
        <v>-291.12189999999998</v>
      </c>
      <c r="K1520">
        <v>1.111653</v>
      </c>
      <c r="L1520">
        <v>284.75720000000001</v>
      </c>
      <c r="M1520">
        <v>-0.99975290000000006</v>
      </c>
      <c r="N1520">
        <v>-1.47739E-2</v>
      </c>
      <c r="O1520">
        <v>1.66129E-2</v>
      </c>
      <c r="P1520">
        <v>-0.93101869999999998</v>
      </c>
      <c r="Q1520">
        <v>0.36165890000000001</v>
      </c>
      <c r="R1520">
        <v>-4.9065310000000001E-2</v>
      </c>
      <c r="S1520">
        <v>-3.3064580000000001</v>
      </c>
      <c r="T1520">
        <v>-0.24761040000000001</v>
      </c>
      <c r="U1520">
        <v>-0.21438599999999999</v>
      </c>
      <c r="V1520">
        <v>-6.5161469999999999E-2</v>
      </c>
      <c r="W1520">
        <v>0.37525069999999999</v>
      </c>
      <c r="X1520">
        <v>0.92463019999999996</v>
      </c>
      <c r="Y1520">
        <v>-8.0973160000000002E-2</v>
      </c>
      <c r="Z1520">
        <v>-4.6205990000000004E-3</v>
      </c>
      <c r="AA1520">
        <v>0.99670559999999997</v>
      </c>
      <c r="AB1520">
        <v>36</v>
      </c>
      <c r="AC1520">
        <v>-14.4666</v>
      </c>
      <c r="AD1520">
        <v>-1.1116499543759999</v>
      </c>
      <c r="AE1520">
        <v>-0.96829999999999905</v>
      </c>
      <c r="AF1520">
        <v>-1.20146202138113</v>
      </c>
      <c r="AG1520">
        <v>-1.1116499543759999</v>
      </c>
      <c r="AH1520">
        <v>14.364076780702201</v>
      </c>
      <c r="AI1520">
        <v>94.410016664157993</v>
      </c>
      <c r="AJ1520">
        <v>94.781291364316303</v>
      </c>
      <c r="AK1520">
        <v>14.457039059634299</v>
      </c>
      <c r="AL1520">
        <v>67.960192824538296</v>
      </c>
      <c r="AM1520">
        <v>94.031141171710203</v>
      </c>
      <c r="AN1520">
        <v>1.0000000558875399</v>
      </c>
    </row>
    <row r="1521" spans="1:40" x14ac:dyDescent="0.25">
      <c r="A1521" t="str">
        <f>"20190304164627513"</f>
        <v>20190304164627513</v>
      </c>
      <c r="B1521" t="str">
        <f>"1551689187509253"</f>
        <v>1551689187509253</v>
      </c>
      <c r="C1521" t="s">
        <v>40</v>
      </c>
      <c r="D1521">
        <v>4.3130350000000002</v>
      </c>
      <c r="E1521">
        <v>0.50792420000000005</v>
      </c>
      <c r="F1521" t="s">
        <v>50</v>
      </c>
      <c r="G1521">
        <v>-306.0686</v>
      </c>
      <c r="H1521" s="1">
        <v>2.9618580000000001E-6</v>
      </c>
      <c r="I1521">
        <v>283.77300000000002</v>
      </c>
      <c r="J1521">
        <v>-291.49579999999997</v>
      </c>
      <c r="K1521">
        <v>1.1116159999999999</v>
      </c>
      <c r="L1521">
        <v>284.76280000000003</v>
      </c>
      <c r="M1521">
        <v>-0.99976399999999999</v>
      </c>
      <c r="N1521">
        <v>-1.4769310000000001E-2</v>
      </c>
      <c r="O1521">
        <v>1.59381E-2</v>
      </c>
      <c r="P1521">
        <v>-0.93113959999999996</v>
      </c>
      <c r="Q1521">
        <v>0.36127160000000003</v>
      </c>
      <c r="R1521">
        <v>-4.9619799999999999E-2</v>
      </c>
      <c r="S1521">
        <v>-3.3063660000000001</v>
      </c>
      <c r="T1521">
        <v>-0.2459095</v>
      </c>
      <c r="U1521">
        <v>-0.2177124</v>
      </c>
      <c r="V1521">
        <v>-6.5052390000000002E-2</v>
      </c>
      <c r="W1521">
        <v>0.37486789999999998</v>
      </c>
      <c r="X1521">
        <v>0.92479310000000003</v>
      </c>
      <c r="Y1521">
        <v>-8.1304710000000002E-2</v>
      </c>
      <c r="Z1521">
        <v>-4.5658820000000003E-3</v>
      </c>
      <c r="AA1521">
        <v>0.99667879999999998</v>
      </c>
      <c r="AB1521">
        <v>36</v>
      </c>
      <c r="AC1521">
        <v>-14.572800000000001</v>
      </c>
      <c r="AD1521">
        <v>-1.111613038142</v>
      </c>
      <c r="AE1521">
        <v>-0.98980000000005897</v>
      </c>
      <c r="AF1521">
        <v>-1.21492555570894</v>
      </c>
      <c r="AG1521">
        <v>-1.111613038142</v>
      </c>
      <c r="AH1521">
        <v>14.471354428421201</v>
      </c>
      <c r="AI1521">
        <v>94.377194903900403</v>
      </c>
      <c r="AJ1521">
        <v>94.798946238077406</v>
      </c>
      <c r="AK1521">
        <v>14.5647460206304</v>
      </c>
      <c r="AL1521">
        <v>67.983851902666899</v>
      </c>
      <c r="AM1521">
        <v>94.023708689341504</v>
      </c>
      <c r="AN1521">
        <v>1.0000000168513601</v>
      </c>
    </row>
    <row r="1522" spans="1:40" x14ac:dyDescent="0.25">
      <c r="A1522" t="str">
        <f>"20190304164627535"</f>
        <v>20190304164627535</v>
      </c>
      <c r="B1522" t="str">
        <f>"1551689187529750"</f>
        <v>1551689187529750</v>
      </c>
      <c r="C1522" t="s">
        <v>40</v>
      </c>
      <c r="D1522">
        <v>4.3083589999999896</v>
      </c>
      <c r="E1522">
        <v>0.50802669999999905</v>
      </c>
      <c r="F1522" t="s">
        <v>50</v>
      </c>
      <c r="G1522">
        <v>-306.34969999999998</v>
      </c>
      <c r="H1522" s="1">
        <v>2.9109080000000002E-6</v>
      </c>
      <c r="I1522">
        <v>283.78550000000001</v>
      </c>
      <c r="J1522">
        <v>-291.85169999999999</v>
      </c>
      <c r="K1522">
        <v>1.111572</v>
      </c>
      <c r="L1522">
        <v>284.7679</v>
      </c>
      <c r="M1522">
        <v>-0.99977309999999997</v>
      </c>
      <c r="N1522">
        <v>-1.476474E-2</v>
      </c>
      <c r="O1522">
        <v>1.536012E-2</v>
      </c>
      <c r="P1522">
        <v>-0.93136240000000003</v>
      </c>
      <c r="Q1522">
        <v>0.36068030000000001</v>
      </c>
      <c r="R1522">
        <v>-4.974025E-2</v>
      </c>
      <c r="S1522">
        <v>-3.3062740000000002</v>
      </c>
      <c r="T1522">
        <v>-0.24743100000000001</v>
      </c>
      <c r="U1522">
        <v>-0.21752929999999901</v>
      </c>
      <c r="V1522">
        <v>-6.4593429999999993E-2</v>
      </c>
      <c r="W1522">
        <v>0.37428470000000003</v>
      </c>
      <c r="X1522">
        <v>0.92506140000000003</v>
      </c>
      <c r="Y1522">
        <v>-8.0674990000000002E-2</v>
      </c>
      <c r="Z1522">
        <v>-4.5290060000000004E-3</v>
      </c>
      <c r="AA1522">
        <v>0.99673009999999995</v>
      </c>
      <c r="AB1522">
        <v>36</v>
      </c>
      <c r="AC1522">
        <v>-14.4979999999999</v>
      </c>
      <c r="AD1522">
        <v>-1.111569089092</v>
      </c>
      <c r="AE1522">
        <v>-0.98239999999998395</v>
      </c>
      <c r="AF1522">
        <v>-1.19798931951384</v>
      </c>
      <c r="AG1522">
        <v>-1.111569089092</v>
      </c>
      <c r="AH1522">
        <v>14.3969540446986</v>
      </c>
      <c r="AI1522">
        <v>94.399823548446093</v>
      </c>
      <c r="AJ1522">
        <v>94.756698073248103</v>
      </c>
      <c r="AK1522">
        <v>14.489411651777299</v>
      </c>
      <c r="AL1522">
        <v>68.019889491504699</v>
      </c>
      <c r="AM1522">
        <v>93.994257679822894</v>
      </c>
      <c r="AN1522">
        <v>0.99999997081160696</v>
      </c>
    </row>
    <row r="1523" spans="1:40" x14ac:dyDescent="0.25">
      <c r="A1523" t="str">
        <f>"20190304164627557"</f>
        <v>20190304164627557</v>
      </c>
      <c r="B1523" t="str">
        <f>"1551689187549270"</f>
        <v>1551689187549270</v>
      </c>
      <c r="C1523" t="s">
        <v>40</v>
      </c>
      <c r="D1523">
        <v>4.308351</v>
      </c>
      <c r="E1523">
        <v>0.50817609999999902</v>
      </c>
      <c r="F1523" t="s">
        <v>50</v>
      </c>
      <c r="G1523">
        <v>-306.59519999999998</v>
      </c>
      <c r="H1523" s="1">
        <v>2.8656149999999999E-6</v>
      </c>
      <c r="I1523">
        <v>283.80540000000002</v>
      </c>
      <c r="J1523">
        <v>-292.19810000000001</v>
      </c>
      <c r="K1523">
        <v>1.1115120000000001</v>
      </c>
      <c r="L1523">
        <v>284.77260000000001</v>
      </c>
      <c r="M1523">
        <v>-0.99978049999999996</v>
      </c>
      <c r="N1523">
        <v>-1.476044E-2</v>
      </c>
      <c r="O1523">
        <v>1.4870390000000001E-2</v>
      </c>
      <c r="P1523">
        <v>-0.93144289999999996</v>
      </c>
      <c r="Q1523">
        <v>0.36044009999999999</v>
      </c>
      <c r="R1523">
        <v>-4.9971830000000002E-2</v>
      </c>
      <c r="S1523">
        <v>-3.3060610000000001</v>
      </c>
      <c r="T1523">
        <v>-0.2492558</v>
      </c>
      <c r="U1523">
        <v>-0.21582029999999999</v>
      </c>
      <c r="V1523">
        <v>-6.4318520000000004E-2</v>
      </c>
      <c r="W1523">
        <v>0.37405169999999999</v>
      </c>
      <c r="X1523">
        <v>0.92517479999999996</v>
      </c>
      <c r="Y1523">
        <v>-7.9677999999999999E-2</v>
      </c>
      <c r="Z1523">
        <v>-4.4853250000000001E-3</v>
      </c>
      <c r="AA1523">
        <v>0.99681059999999999</v>
      </c>
      <c r="AB1523">
        <v>36</v>
      </c>
      <c r="AC1523">
        <v>-14.397099999999901</v>
      </c>
      <c r="AD1523">
        <v>-1.1115091343850001</v>
      </c>
      <c r="AE1523">
        <v>-0.96719999999999096</v>
      </c>
      <c r="AF1523">
        <v>-1.1742393450066</v>
      </c>
      <c r="AG1523">
        <v>-1.1115091343850001</v>
      </c>
      <c r="AH1523">
        <v>14.296294643745901</v>
      </c>
      <c r="AI1523">
        <v>94.430831182799693</v>
      </c>
      <c r="AJ1523">
        <v>94.695501516726594</v>
      </c>
      <c r="AK1523">
        <v>14.387436572787401</v>
      </c>
      <c r="AL1523">
        <v>68.034285268641298</v>
      </c>
      <c r="AM1523">
        <v>93.976826830677794</v>
      </c>
      <c r="AN1523">
        <v>0.99999997842145905</v>
      </c>
    </row>
    <row r="1524" spans="1:40" x14ac:dyDescent="0.25">
      <c r="A1524" t="str">
        <f>"20190304164627579"</f>
        <v>20190304164627579</v>
      </c>
      <c r="B1524" t="str">
        <f>"1551689187569766"</f>
        <v>1551689187569766</v>
      </c>
      <c r="C1524" t="s">
        <v>40</v>
      </c>
      <c r="D1524">
        <v>4.3054389999999998</v>
      </c>
      <c r="E1524">
        <v>0.50831599999999999</v>
      </c>
      <c r="F1524" t="s">
        <v>50</v>
      </c>
      <c r="G1524">
        <v>-306.87580000000003</v>
      </c>
      <c r="H1524" s="1">
        <v>2.8140730000000002E-6</v>
      </c>
      <c r="I1524">
        <v>283.82569999999998</v>
      </c>
      <c r="J1524">
        <v>-292.56099999999998</v>
      </c>
      <c r="K1524">
        <v>1.111448</v>
      </c>
      <c r="L1524">
        <v>284.77760000000001</v>
      </c>
      <c r="M1524">
        <v>-0.99978719999999999</v>
      </c>
      <c r="N1524">
        <v>-1.4756E-2</v>
      </c>
      <c r="O1524">
        <v>1.4423139999999999E-2</v>
      </c>
      <c r="P1524">
        <v>-0.93153819999999998</v>
      </c>
      <c r="Q1524">
        <v>0.36011939999999998</v>
      </c>
      <c r="R1524">
        <v>-5.050106E-2</v>
      </c>
      <c r="S1524">
        <v>-3.306244</v>
      </c>
      <c r="T1524">
        <v>-0.25037379999999998</v>
      </c>
      <c r="U1524">
        <v>-0.2133179</v>
      </c>
      <c r="V1524">
        <v>-6.4378950000000004E-2</v>
      </c>
      <c r="W1524">
        <v>0.37373729999999999</v>
      </c>
      <c r="X1524">
        <v>0.9252977</v>
      </c>
      <c r="Y1524">
        <v>-7.847954E-2</v>
      </c>
      <c r="Z1524">
        <v>-4.4221399999999998E-3</v>
      </c>
      <c r="AA1524">
        <v>0.99690590000000001</v>
      </c>
      <c r="AB1524">
        <v>36</v>
      </c>
      <c r="AC1524">
        <v>-14.3148</v>
      </c>
      <c r="AD1524">
        <v>-1.111445185927</v>
      </c>
      <c r="AE1524">
        <v>-0.95190000000002295</v>
      </c>
      <c r="AF1524">
        <v>-1.1513773259665401</v>
      </c>
      <c r="AG1524">
        <v>-1.111445185927</v>
      </c>
      <c r="AH1524">
        <v>14.2142670612009</v>
      </c>
      <c r="AI1524">
        <v>94.456450504917598</v>
      </c>
      <c r="AJ1524">
        <v>94.630935010016302</v>
      </c>
      <c r="AK1524">
        <v>14.3040682407212</v>
      </c>
      <c r="AL1524">
        <v>68.053708852021202</v>
      </c>
      <c r="AM1524">
        <v>93.980024218034103</v>
      </c>
      <c r="AN1524">
        <v>1.0000000261198401</v>
      </c>
    </row>
    <row r="1525" spans="1:40" x14ac:dyDescent="0.25">
      <c r="A1525" t="str">
        <f>"20190304164627601"</f>
        <v>20190304164627601</v>
      </c>
      <c r="B1525" t="str">
        <f>"1551689187589287"</f>
        <v>1551689187589287</v>
      </c>
      <c r="C1525" t="s">
        <v>40</v>
      </c>
      <c r="D1525">
        <v>4.3506980000000004</v>
      </c>
      <c r="E1525">
        <v>0.50849029999999995</v>
      </c>
      <c r="F1525" t="s">
        <v>50</v>
      </c>
      <c r="G1525">
        <v>-307.173</v>
      </c>
      <c r="H1525" s="1">
        <v>2.761094E-6</v>
      </c>
      <c r="I1525">
        <v>283.82870000000003</v>
      </c>
      <c r="J1525">
        <v>-292.92399999999998</v>
      </c>
      <c r="K1525">
        <v>1.1113869999999999</v>
      </c>
      <c r="L1525">
        <v>284.7824</v>
      </c>
      <c r="M1525">
        <v>-0.99979249999999997</v>
      </c>
      <c r="N1525">
        <v>-1.475158E-2</v>
      </c>
      <c r="O1525">
        <v>1.40479E-2</v>
      </c>
      <c r="P1525">
        <v>-0.93139419999999995</v>
      </c>
      <c r="Q1525">
        <v>0.36034870000000002</v>
      </c>
      <c r="R1525">
        <v>-5.1514169999999998E-2</v>
      </c>
      <c r="S1525">
        <v>-3.3060610000000001</v>
      </c>
      <c r="T1525">
        <v>-0.25147239999999998</v>
      </c>
      <c r="U1525">
        <v>-0.2146912</v>
      </c>
      <c r="V1525">
        <v>-6.4985219999999996E-2</v>
      </c>
      <c r="W1525">
        <v>0.37396950000000001</v>
      </c>
      <c r="X1525">
        <v>0.92516149999999997</v>
      </c>
      <c r="Y1525">
        <v>-7.8519420000000006E-2</v>
      </c>
      <c r="Z1525">
        <v>-4.4188120000000003E-3</v>
      </c>
      <c r="AA1525">
        <v>0.99690279999999998</v>
      </c>
      <c r="AB1525">
        <v>36</v>
      </c>
      <c r="AC1525">
        <v>-14.248999999999899</v>
      </c>
      <c r="AD1525">
        <v>-1.111384238906</v>
      </c>
      <c r="AE1525">
        <v>-0.95369999999996902</v>
      </c>
      <c r="AF1525">
        <v>-1.1468503343785601</v>
      </c>
      <c r="AG1525">
        <v>-1.111384238906</v>
      </c>
      <c r="AH1525">
        <v>14.1485049254727</v>
      </c>
      <c r="AI1525">
        <v>94.476815234419007</v>
      </c>
      <c r="AJ1525">
        <v>94.634152920673202</v>
      </c>
      <c r="AK1525">
        <v>14.2383507556907</v>
      </c>
      <c r="AL1525">
        <v>68.039364810843296</v>
      </c>
      <c r="AM1525">
        <v>94.017972273618994</v>
      </c>
      <c r="AN1525">
        <v>1.0000000334154699</v>
      </c>
    </row>
    <row r="1526" spans="1:40" x14ac:dyDescent="0.25">
      <c r="A1526" t="str">
        <f>"20190304164627624"</f>
        <v>20190304164627624</v>
      </c>
      <c r="B1526" t="str">
        <f>"1551689187619542"</f>
        <v>1551689187619542</v>
      </c>
      <c r="C1526" t="s">
        <v>40</v>
      </c>
      <c r="D1526">
        <v>4.2840339999999903</v>
      </c>
      <c r="E1526">
        <v>0.50865669999999996</v>
      </c>
      <c r="F1526" t="s">
        <v>50</v>
      </c>
      <c r="G1526">
        <v>-307.56529999999998</v>
      </c>
      <c r="H1526" s="1">
        <v>2.693133E-6</v>
      </c>
      <c r="I1526">
        <v>283.80990000000003</v>
      </c>
      <c r="J1526">
        <v>-293.27640000000002</v>
      </c>
      <c r="K1526">
        <v>1.1113309999999901</v>
      </c>
      <c r="L1526">
        <v>284.78699999999998</v>
      </c>
      <c r="M1526">
        <v>-0.99979669999999998</v>
      </c>
      <c r="N1526">
        <v>-1.474731E-2</v>
      </c>
      <c r="O1526">
        <v>1.375819E-2</v>
      </c>
      <c r="P1526">
        <v>-0.93099880000000002</v>
      </c>
      <c r="Q1526">
        <v>0.36105019999999999</v>
      </c>
      <c r="R1526">
        <v>-5.3705509999999998E-2</v>
      </c>
      <c r="S1526">
        <v>-3.3059690000000002</v>
      </c>
      <c r="T1526">
        <v>-0.25094749999999999</v>
      </c>
      <c r="U1526">
        <v>-0.21957399999999999</v>
      </c>
      <c r="V1526">
        <v>-6.6846219999999998E-2</v>
      </c>
      <c r="W1526">
        <v>0.37466899999999997</v>
      </c>
      <c r="X1526">
        <v>0.9247457</v>
      </c>
      <c r="Y1526">
        <v>-7.9696030000000001E-2</v>
      </c>
      <c r="Z1526">
        <v>-4.4458060000000001E-3</v>
      </c>
      <c r="AA1526">
        <v>0.99680930000000001</v>
      </c>
      <c r="AB1526">
        <v>36</v>
      </c>
      <c r="AC1526">
        <v>-14.2888999999999</v>
      </c>
      <c r="AD1526">
        <v>-1.1113283068669999</v>
      </c>
      <c r="AE1526">
        <v>-0.97710000000000696</v>
      </c>
      <c r="AF1526">
        <v>-1.1665943174144899</v>
      </c>
      <c r="AG1526">
        <v>-1.1113283068669999</v>
      </c>
      <c r="AH1526">
        <v>14.188674169558499</v>
      </c>
      <c r="AI1526">
        <v>94.463549599709907</v>
      </c>
      <c r="AJ1526">
        <v>94.700292629756206</v>
      </c>
      <c r="AK1526">
        <v>14.2798623101543</v>
      </c>
      <c r="AL1526">
        <v>67.996142186583697</v>
      </c>
      <c r="AM1526">
        <v>94.134494677955104</v>
      </c>
      <c r="AN1526">
        <v>0.99999994317888696</v>
      </c>
    </row>
    <row r="1527" spans="1:40" x14ac:dyDescent="0.25">
      <c r="A1527" t="str">
        <f>"20190304164627643"</f>
        <v>20190304164627643</v>
      </c>
      <c r="B1527" t="str">
        <f>"1551689187640038"</f>
        <v>1551689187640038</v>
      </c>
      <c r="C1527" t="s">
        <v>40</v>
      </c>
      <c r="D1527">
        <v>4.2972599999999996</v>
      </c>
      <c r="E1527">
        <v>0.50867929999999995</v>
      </c>
      <c r="F1527" t="s">
        <v>50</v>
      </c>
      <c r="G1527">
        <v>-308.07749999999999</v>
      </c>
      <c r="H1527" s="1">
        <v>2.605603E-6</v>
      </c>
      <c r="I1527">
        <v>283.77199999999999</v>
      </c>
      <c r="J1527">
        <v>-293.60090000000002</v>
      </c>
      <c r="K1527">
        <v>1.1112759999999999</v>
      </c>
      <c r="L1527">
        <v>284.79129999999998</v>
      </c>
      <c r="M1527">
        <v>-0.99979949999999995</v>
      </c>
      <c r="N1527">
        <v>-1.474341E-2</v>
      </c>
      <c r="O1527">
        <v>1.355658E-2</v>
      </c>
      <c r="P1527">
        <v>-0.93101940000000005</v>
      </c>
      <c r="Q1527">
        <v>0.36076710000000001</v>
      </c>
      <c r="R1527">
        <v>-5.522875E-2</v>
      </c>
      <c r="S1527">
        <v>-3.3055110000000001</v>
      </c>
      <c r="T1527">
        <v>-0.2481921</v>
      </c>
      <c r="U1527">
        <v>-0.22668460000000001</v>
      </c>
      <c r="V1527">
        <v>-6.8127450000000006E-2</v>
      </c>
      <c r="W1527">
        <v>0.37439080000000002</v>
      </c>
      <c r="X1527">
        <v>0.9247649</v>
      </c>
      <c r="Y1527">
        <v>-8.1638539999999996E-2</v>
      </c>
      <c r="Z1527">
        <v>-4.4765259999999998E-3</v>
      </c>
      <c r="AA1527">
        <v>0.99665190000000004</v>
      </c>
      <c r="AB1527">
        <v>36</v>
      </c>
      <c r="AC1527">
        <v>-14.4765999999999</v>
      </c>
      <c r="AD1527">
        <v>-1.1112733943969999</v>
      </c>
      <c r="AE1527">
        <v>-1.0192999999999801</v>
      </c>
      <c r="AF1527">
        <v>-1.20839532043447</v>
      </c>
      <c r="AG1527">
        <v>-1.1112733943969999</v>
      </c>
      <c r="AH1527">
        <v>14.3771484759532</v>
      </c>
      <c r="AI1527">
        <v>94.404387879946299</v>
      </c>
      <c r="AJ1527">
        <v>94.804402190199099</v>
      </c>
      <c r="AK1527">
        <v>14.470575182318999</v>
      </c>
      <c r="AL1527">
        <v>68.013333748541399</v>
      </c>
      <c r="AM1527">
        <v>94.213369936617994</v>
      </c>
      <c r="AN1527">
        <v>0.99999997042007505</v>
      </c>
    </row>
    <row r="1528" spans="1:40" x14ac:dyDescent="0.25">
      <c r="A1528" t="str">
        <f>"20190304164627667"</f>
        <v>20190304164627667</v>
      </c>
      <c r="B1528" t="str">
        <f>"1551689187659559"</f>
        <v>1551689187659559</v>
      </c>
      <c r="C1528" t="s">
        <v>40</v>
      </c>
      <c r="D1528">
        <v>4.2768930000000003</v>
      </c>
      <c r="E1528">
        <v>0.50861540000000005</v>
      </c>
      <c r="F1528" t="s">
        <v>50</v>
      </c>
      <c r="G1528">
        <v>-308.35520000000002</v>
      </c>
      <c r="H1528" s="1">
        <v>2.558462E-6</v>
      </c>
      <c r="I1528">
        <v>283.74779999999998</v>
      </c>
      <c r="J1528">
        <v>-293.96429999999998</v>
      </c>
      <c r="K1528">
        <v>1.111216</v>
      </c>
      <c r="L1528">
        <v>284.79599999999999</v>
      </c>
      <c r="M1528">
        <v>-0.99980179999999996</v>
      </c>
      <c r="N1528">
        <v>-1.473909E-2</v>
      </c>
      <c r="O1528">
        <v>1.3395489999999999E-2</v>
      </c>
      <c r="P1528">
        <v>-0.93095559999999999</v>
      </c>
      <c r="Q1528">
        <v>0.36099710000000002</v>
      </c>
      <c r="R1528">
        <v>-5.480376E-2</v>
      </c>
      <c r="S1528">
        <v>-3.3048709999999999</v>
      </c>
      <c r="T1528">
        <v>-0.24891920000000001</v>
      </c>
      <c r="U1528">
        <v>-0.2337341</v>
      </c>
      <c r="V1528">
        <v>-6.7492109999999994E-2</v>
      </c>
      <c r="W1528">
        <v>0.3746274</v>
      </c>
      <c r="X1528">
        <v>0.92471570000000003</v>
      </c>
      <c r="Y1528">
        <v>-8.3598619999999998E-2</v>
      </c>
      <c r="Z1528">
        <v>-4.567237E-3</v>
      </c>
      <c r="AA1528">
        <v>0.99648899999999996</v>
      </c>
      <c r="AB1528">
        <v>36</v>
      </c>
      <c r="AC1528">
        <v>-14.3909</v>
      </c>
      <c r="AD1528">
        <v>-1.1112134415379999</v>
      </c>
      <c r="AE1528">
        <v>-1.0482</v>
      </c>
      <c r="AF1528">
        <v>-1.23358373033939</v>
      </c>
      <c r="AG1528">
        <v>-1.1112134415379999</v>
      </c>
      <c r="AH1528">
        <v>14.2908083925133</v>
      </c>
      <c r="AI1528">
        <v>94.429806665028707</v>
      </c>
      <c r="AJ1528">
        <v>94.933547007463702</v>
      </c>
      <c r="AK1528">
        <v>14.386929090113</v>
      </c>
      <c r="AL1528">
        <v>67.998714236153702</v>
      </c>
      <c r="AM1528">
        <v>94.174437919928295</v>
      </c>
      <c r="AN1528">
        <v>0.99999999978475096</v>
      </c>
    </row>
    <row r="1529" spans="1:40" x14ac:dyDescent="0.25">
      <c r="A1529" t="str">
        <f>"20190304164627689"</f>
        <v>20190304164627689</v>
      </c>
      <c r="B1529" t="str">
        <f>"1551689187680054"</f>
        <v>1551689187680054</v>
      </c>
      <c r="C1529" t="s">
        <v>40</v>
      </c>
      <c r="D1529">
        <v>4.2641450000000001</v>
      </c>
      <c r="E1529">
        <v>0.50593350000000004</v>
      </c>
      <c r="F1529" t="s">
        <v>50</v>
      </c>
      <c r="G1529">
        <v>-308.79969999999997</v>
      </c>
      <c r="H1529" s="1">
        <v>2.4813150000000001E-6</v>
      </c>
      <c r="I1529">
        <v>283.72820000000002</v>
      </c>
      <c r="J1529">
        <v>-294.32810000000001</v>
      </c>
      <c r="K1529">
        <v>1.1111530000000001</v>
      </c>
      <c r="L1529">
        <v>284.80079999999998</v>
      </c>
      <c r="M1529">
        <v>-0.9998032</v>
      </c>
      <c r="N1529">
        <v>-1.4734809999999999E-2</v>
      </c>
      <c r="O1529">
        <v>1.3285389999999999E-2</v>
      </c>
      <c r="P1529">
        <v>-0.93116569999999999</v>
      </c>
      <c r="Q1529">
        <v>0.36073739999999999</v>
      </c>
      <c r="R1529">
        <v>-5.2906729999999999E-2</v>
      </c>
      <c r="S1529">
        <v>-3.3044739999999999</v>
      </c>
      <c r="T1529">
        <v>-0.24751400000000001</v>
      </c>
      <c r="U1529">
        <v>-0.23785400000000001</v>
      </c>
      <c r="V1529">
        <v>-6.544208E-2</v>
      </c>
      <c r="W1529">
        <v>0.37437799999999999</v>
      </c>
      <c r="X1529">
        <v>0.92496400000000001</v>
      </c>
      <c r="Y1529">
        <v>-8.4732979999999999E-2</v>
      </c>
      <c r="Z1529">
        <v>-4.5882520000000001E-3</v>
      </c>
      <c r="AA1529">
        <v>0.99639310000000003</v>
      </c>
      <c r="AB1529">
        <v>36</v>
      </c>
      <c r="AC1529">
        <v>-14.471599999999899</v>
      </c>
      <c r="AD1529">
        <v>-1.1111505186849999</v>
      </c>
      <c r="AE1529">
        <v>-1.07259999999996</v>
      </c>
      <c r="AF1529">
        <v>-1.25741458490808</v>
      </c>
      <c r="AG1529">
        <v>-1.1111505186849999</v>
      </c>
      <c r="AH1529">
        <v>14.3718065470415</v>
      </c>
      <c r="AI1529">
        <v>94.404247403673494</v>
      </c>
      <c r="AJ1529">
        <v>95.000175812897396</v>
      </c>
      <c r="AK1529">
        <v>14.469435729809801</v>
      </c>
      <c r="AL1529">
        <v>68.014124806655502</v>
      </c>
      <c r="AM1529">
        <v>94.046987052313895</v>
      </c>
      <c r="AN1529">
        <v>0.99999997700736298</v>
      </c>
    </row>
    <row r="1530" spans="1:40" x14ac:dyDescent="0.25">
      <c r="A1530" t="str">
        <f>"20190304164627712"</f>
        <v>20190304164627712</v>
      </c>
      <c r="B1530" t="str">
        <f>"1551689187699575"</f>
        <v>1551689187699575</v>
      </c>
      <c r="C1530" t="s">
        <v>40</v>
      </c>
      <c r="D1530">
        <v>4.2595090000000004</v>
      </c>
      <c r="E1530">
        <v>0.50618549999999995</v>
      </c>
      <c r="F1530" t="s">
        <v>50</v>
      </c>
      <c r="G1530">
        <v>-311.1182</v>
      </c>
      <c r="H1530" s="1">
        <v>2.8096839999999999E-6</v>
      </c>
      <c r="I1530">
        <v>283.50880000000001</v>
      </c>
      <c r="J1530">
        <v>-294.67689999999999</v>
      </c>
      <c r="K1530">
        <v>1.11111</v>
      </c>
      <c r="L1530">
        <v>284.80529999999999</v>
      </c>
      <c r="M1530">
        <v>-0.99980429999999998</v>
      </c>
      <c r="N1530">
        <v>-1.4730709999999999E-2</v>
      </c>
      <c r="O1530">
        <v>1.3214709999999999E-2</v>
      </c>
      <c r="P1530">
        <v>-0.93150169999999999</v>
      </c>
      <c r="Q1530">
        <v>0.36018480000000003</v>
      </c>
      <c r="R1530">
        <v>-5.0712229999999997E-2</v>
      </c>
      <c r="S1530">
        <v>-3.291779</v>
      </c>
      <c r="T1530">
        <v>-0.2178466</v>
      </c>
      <c r="U1530">
        <v>-0.25329590000000002</v>
      </c>
      <c r="V1530">
        <v>-6.3146980000000005E-2</v>
      </c>
      <c r="W1530">
        <v>0.37383460000000002</v>
      </c>
      <c r="X1530">
        <v>0.92534329999999998</v>
      </c>
      <c r="Y1530">
        <v>-8.9635690000000004E-2</v>
      </c>
      <c r="Z1530">
        <v>-4.2986760000000004E-3</v>
      </c>
      <c r="AA1530">
        <v>0.9959654</v>
      </c>
      <c r="AB1530">
        <v>36</v>
      </c>
      <c r="AC1530">
        <v>-16.441299999999998</v>
      </c>
      <c r="AD1530">
        <v>-1.1111071903159999</v>
      </c>
      <c r="AE1530">
        <v>-1.29649999999998</v>
      </c>
      <c r="AF1530">
        <v>-1.50683799120141</v>
      </c>
      <c r="AG1530">
        <v>-1.1111071903159999</v>
      </c>
      <c r="AH1530">
        <v>16.3485255655903</v>
      </c>
      <c r="AI1530">
        <v>93.871696786087199</v>
      </c>
      <c r="AJ1530">
        <v>95.266053828199006</v>
      </c>
      <c r="AK1530">
        <v>16.455376267009498</v>
      </c>
      <c r="AL1530">
        <v>68.047698527044702</v>
      </c>
      <c r="AM1530">
        <v>93.903907603009998</v>
      </c>
      <c r="AN1530">
        <v>1.00000003604758</v>
      </c>
    </row>
    <row r="1531" spans="1:40" x14ac:dyDescent="0.25">
      <c r="A1531" t="str">
        <f>"20190304164627733"</f>
        <v>20190304164627733</v>
      </c>
      <c r="B1531" t="str">
        <f>"1551689187729832"</f>
        <v>1551689187729832</v>
      </c>
      <c r="C1531" t="s">
        <v>40</v>
      </c>
      <c r="D1531">
        <v>4.2542160000000004</v>
      </c>
      <c r="E1531">
        <v>0.5064246</v>
      </c>
      <c r="F1531" t="s">
        <v>50</v>
      </c>
      <c r="G1531">
        <v>-310.90960000000001</v>
      </c>
      <c r="H1531" s="1">
        <v>2.7087509999999999E-6</v>
      </c>
      <c r="I1531">
        <v>283.60509999999999</v>
      </c>
      <c r="J1531">
        <v>-295.01620000000003</v>
      </c>
      <c r="K1531">
        <v>1.111065</v>
      </c>
      <c r="L1531">
        <v>284.80970000000002</v>
      </c>
      <c r="M1531">
        <v>-0.99980500000000005</v>
      </c>
      <c r="N1531">
        <v>-1.472672E-2</v>
      </c>
      <c r="O1531">
        <v>1.316812E-2</v>
      </c>
      <c r="P1531">
        <v>-0.93145169999999999</v>
      </c>
      <c r="Q1531">
        <v>0.3605641</v>
      </c>
      <c r="R1531">
        <v>-4.8902910000000001E-2</v>
      </c>
      <c r="S1531">
        <v>-3.294556</v>
      </c>
      <c r="T1531">
        <v>-0.2255086</v>
      </c>
      <c r="U1531">
        <v>-0.24359130000000001</v>
      </c>
      <c r="V1531">
        <v>-6.1264100000000002E-2</v>
      </c>
      <c r="W1531">
        <v>0.37421539999999998</v>
      </c>
      <c r="X1531">
        <v>0.92531589999999997</v>
      </c>
      <c r="Y1531">
        <v>-8.6599419999999996E-2</v>
      </c>
      <c r="Z1531">
        <v>-4.301483E-3</v>
      </c>
      <c r="AA1531">
        <v>0.99623390000000001</v>
      </c>
      <c r="AB1531">
        <v>36</v>
      </c>
      <c r="AC1531">
        <v>-15.8933999999999</v>
      </c>
      <c r="AD1531">
        <v>-1.111062291249</v>
      </c>
      <c r="AE1531">
        <v>-1.2046000000000201</v>
      </c>
      <c r="AF1531">
        <v>-1.40696780593747</v>
      </c>
      <c r="AG1531">
        <v>-1.111062291249</v>
      </c>
      <c r="AH1531">
        <v>15.799386908132201</v>
      </c>
      <c r="AI1531">
        <v>94.006791918557695</v>
      </c>
      <c r="AJ1531">
        <v>95.088882931183406</v>
      </c>
      <c r="AK1531">
        <v>15.900774965228599</v>
      </c>
      <c r="AL1531">
        <v>68.024171586118698</v>
      </c>
      <c r="AM1531">
        <v>93.787959045736898</v>
      </c>
      <c r="AN1531">
        <v>0.99999998516938904</v>
      </c>
    </row>
    <row r="1532" spans="1:40" x14ac:dyDescent="0.25">
      <c r="A1532" t="str">
        <f>"20190304164627758"</f>
        <v>20190304164627758</v>
      </c>
      <c r="B1532" t="str">
        <f>"1551689187749350"</f>
        <v>1551689187749350</v>
      </c>
      <c r="C1532" t="s">
        <v>40</v>
      </c>
      <c r="D1532">
        <v>4.2294419999999997</v>
      </c>
      <c r="E1532">
        <v>0.50619170000000002</v>
      </c>
      <c r="F1532" t="s">
        <v>50</v>
      </c>
      <c r="G1532">
        <v>-311.15570000000002</v>
      </c>
      <c r="H1532" s="1">
        <v>2.8120680000000001E-6</v>
      </c>
      <c r="I1532">
        <v>283.67160000000001</v>
      </c>
      <c r="J1532">
        <v>-295.39600000000002</v>
      </c>
      <c r="K1532">
        <v>1.1110450000000001</v>
      </c>
      <c r="L1532">
        <v>284.81459999999998</v>
      </c>
      <c r="M1532">
        <v>-0.99980539999999996</v>
      </c>
      <c r="N1532">
        <v>-1.4722259999999999E-2</v>
      </c>
      <c r="O1532">
        <v>1.3128870000000001E-2</v>
      </c>
      <c r="P1532">
        <v>-0.93168309999999999</v>
      </c>
      <c r="Q1532">
        <v>0.36011520000000002</v>
      </c>
      <c r="R1532">
        <v>-4.7784889999999997E-2</v>
      </c>
      <c r="S1532">
        <v>-3.2964169999999999</v>
      </c>
      <c r="T1532">
        <v>-0.2269303</v>
      </c>
      <c r="U1532">
        <v>-0.2324524</v>
      </c>
      <c r="V1532">
        <v>-6.0092319999999998E-2</v>
      </c>
      <c r="W1532">
        <v>0.37376999999999999</v>
      </c>
      <c r="X1532">
        <v>0.92557279999999997</v>
      </c>
      <c r="Y1532">
        <v>-8.31765E-2</v>
      </c>
      <c r="Z1532">
        <v>-4.1788709999999998E-3</v>
      </c>
      <c r="AA1532">
        <v>0.99652609999999997</v>
      </c>
      <c r="AB1532">
        <v>36</v>
      </c>
      <c r="AC1532">
        <v>-15.7597</v>
      </c>
      <c r="AD1532">
        <v>-1.111042187932</v>
      </c>
      <c r="AE1532">
        <v>-1.14299999999997</v>
      </c>
      <c r="AF1532">
        <v>-1.3431900923677</v>
      </c>
      <c r="AG1532">
        <v>-1.111042187932</v>
      </c>
      <c r="AH1532">
        <v>15.6658799054802</v>
      </c>
      <c r="AI1532">
        <v>94.041910036539605</v>
      </c>
      <c r="AJ1532">
        <v>94.900546127398698</v>
      </c>
      <c r="AK1532">
        <v>15.762562214961401</v>
      </c>
      <c r="AL1532">
        <v>68.051689532205899</v>
      </c>
      <c r="AM1532">
        <v>93.714684393933297</v>
      </c>
      <c r="AN1532">
        <v>1.0000000539614</v>
      </c>
    </row>
    <row r="1533" spans="1:40" x14ac:dyDescent="0.25">
      <c r="A1533" t="str">
        <f>"20190304164627780"</f>
        <v>20190304164627780</v>
      </c>
      <c r="B1533" t="str">
        <f>"1551689187769846"</f>
        <v>1551689187769846</v>
      </c>
      <c r="C1533" t="s">
        <v>40</v>
      </c>
      <c r="D1533">
        <v>4.240926</v>
      </c>
      <c r="E1533">
        <v>0.50594890000000003</v>
      </c>
      <c r="F1533" t="s">
        <v>50</v>
      </c>
      <c r="G1533">
        <v>-311.54910000000001</v>
      </c>
      <c r="H1533" s="1">
        <v>2.9839150000000001E-6</v>
      </c>
      <c r="I1533">
        <v>283.70170000000002</v>
      </c>
      <c r="J1533">
        <v>-295.75760000000002</v>
      </c>
      <c r="K1533">
        <v>1.1110340000000001</v>
      </c>
      <c r="L1533">
        <v>284.8193</v>
      </c>
      <c r="M1533">
        <v>-0.99980599999999997</v>
      </c>
      <c r="N1533">
        <v>-1.471804E-2</v>
      </c>
      <c r="O1533">
        <v>1.3089760000000001E-2</v>
      </c>
      <c r="P1533">
        <v>-0.93178309999999998</v>
      </c>
      <c r="Q1533">
        <v>0.35997069999999998</v>
      </c>
      <c r="R1533">
        <v>-4.6918029999999999E-2</v>
      </c>
      <c r="S1533">
        <v>-3.2959290000000001</v>
      </c>
      <c r="T1533">
        <v>-0.2267005</v>
      </c>
      <c r="U1533">
        <v>-0.22708130000000001</v>
      </c>
      <c r="V1533">
        <v>-5.918023E-2</v>
      </c>
      <c r="W1533">
        <v>0.37362450000000003</v>
      </c>
      <c r="X1533">
        <v>0.92569020000000002</v>
      </c>
      <c r="Y1533">
        <v>-8.1536810000000001E-2</v>
      </c>
      <c r="Z1533">
        <v>-4.1052060000000001E-3</v>
      </c>
      <c r="AA1533">
        <v>0.99666189999999999</v>
      </c>
      <c r="AB1533">
        <v>35</v>
      </c>
      <c r="AC1533">
        <v>-15.7914999999999</v>
      </c>
      <c r="AD1533">
        <v>-1.1110310160850001</v>
      </c>
      <c r="AE1533">
        <v>-1.1175999999999799</v>
      </c>
      <c r="AF1533">
        <v>-1.3177432396694899</v>
      </c>
      <c r="AG1533">
        <v>-1.1110310160850001</v>
      </c>
      <c r="AH1533">
        <v>15.6981971968619</v>
      </c>
      <c r="AI1533">
        <v>94.034184942196504</v>
      </c>
      <c r="AJ1533">
        <v>94.798292202260896</v>
      </c>
      <c r="AK1533">
        <v>15.792537237441</v>
      </c>
      <c r="AL1533">
        <v>68.0606749696462</v>
      </c>
      <c r="AM1533">
        <v>93.657993950639906</v>
      </c>
      <c r="AN1533">
        <v>0.99999995649956996</v>
      </c>
    </row>
    <row r="1534" spans="1:40" x14ac:dyDescent="0.25">
      <c r="A1534" t="str">
        <f>"20190304164627804"</f>
        <v>20190304164627804</v>
      </c>
      <c r="B1534" t="str">
        <f>"1551689187800102"</f>
        <v>1551689187800102</v>
      </c>
      <c r="C1534" t="s">
        <v>40</v>
      </c>
      <c r="D1534">
        <v>4.230029</v>
      </c>
      <c r="E1534">
        <v>0.50565569999999904</v>
      </c>
      <c r="F1534" t="s">
        <v>50</v>
      </c>
      <c r="G1534">
        <v>-311.923</v>
      </c>
      <c r="H1534" s="1">
        <v>3.148509E-6</v>
      </c>
      <c r="I1534">
        <v>283.71570000000003</v>
      </c>
      <c r="J1534">
        <v>-296.12150000000003</v>
      </c>
      <c r="K1534">
        <v>1.111027</v>
      </c>
      <c r="L1534">
        <v>284.82400000000001</v>
      </c>
      <c r="M1534">
        <v>-0.99980670000000005</v>
      </c>
      <c r="N1534">
        <v>-1.4713820000000001E-2</v>
      </c>
      <c r="O1534">
        <v>1.304252E-2</v>
      </c>
      <c r="P1534">
        <v>-0.93199569999999998</v>
      </c>
      <c r="Q1534">
        <v>0.35934729999999998</v>
      </c>
      <c r="R1534">
        <v>-4.7469869999999997E-2</v>
      </c>
      <c r="S1534">
        <v>-3.2958370000000001</v>
      </c>
      <c r="T1534">
        <v>-0.2265189</v>
      </c>
      <c r="U1534">
        <v>-0.22500609999999999</v>
      </c>
      <c r="V1534">
        <v>-5.9685420000000003E-2</v>
      </c>
      <c r="W1534">
        <v>0.37300159999999999</v>
      </c>
      <c r="X1534">
        <v>0.92590899999999998</v>
      </c>
      <c r="Y1534">
        <v>-8.0869330000000003E-2</v>
      </c>
      <c r="Z1534">
        <v>-4.0719409999999999E-3</v>
      </c>
      <c r="AA1534">
        <v>0.99671639999999995</v>
      </c>
      <c r="AB1534">
        <v>35</v>
      </c>
      <c r="AC1534">
        <v>-15.8014999999999</v>
      </c>
      <c r="AD1534">
        <v>-1.111023851491</v>
      </c>
      <c r="AE1534">
        <v>-1.1082999999999801</v>
      </c>
      <c r="AF1534">
        <v>-1.3078852880840399</v>
      </c>
      <c r="AG1534">
        <v>-1.111023851491</v>
      </c>
      <c r="AH1534">
        <v>15.708421877259401</v>
      </c>
      <c r="AI1534">
        <v>94.031769409361104</v>
      </c>
      <c r="AJ1534">
        <v>94.759476495923494</v>
      </c>
      <c r="AK1534">
        <v>15.8018814006222</v>
      </c>
      <c r="AL1534">
        <v>68.099146964975901</v>
      </c>
      <c r="AM1534">
        <v>93.688265054114197</v>
      </c>
      <c r="AN1534">
        <v>1.00000000962206</v>
      </c>
    </row>
    <row r="1535" spans="1:40" x14ac:dyDescent="0.25">
      <c r="A1535" t="str">
        <f>"20190304164627824"</f>
        <v>20190304164627824</v>
      </c>
      <c r="B1535" t="str">
        <f>"1551689187819623"</f>
        <v>1551689187819623</v>
      </c>
      <c r="C1535" t="s">
        <v>40</v>
      </c>
      <c r="D1535">
        <v>4.2126710000000003</v>
      </c>
      <c r="E1535">
        <v>0.50554809999999994</v>
      </c>
      <c r="F1535" t="s">
        <v>50</v>
      </c>
      <c r="G1535">
        <v>-312.21469999999999</v>
      </c>
      <c r="H1535" s="1">
        <v>3.2789230000000001E-6</v>
      </c>
      <c r="I1535">
        <v>283.70339999999999</v>
      </c>
      <c r="J1535">
        <v>-296.45499999999998</v>
      </c>
      <c r="K1535">
        <v>1.111022</v>
      </c>
      <c r="L1535">
        <v>284.82830000000001</v>
      </c>
      <c r="M1535">
        <v>-0.99980760000000002</v>
      </c>
      <c r="N1535">
        <v>-1.4709979999999999E-2</v>
      </c>
      <c r="O1535">
        <v>1.298902E-2</v>
      </c>
      <c r="P1535">
        <v>-0.93227530000000003</v>
      </c>
      <c r="Q1535">
        <v>0.35849789999999998</v>
      </c>
      <c r="R1535">
        <v>-4.8399200000000003E-2</v>
      </c>
      <c r="S1535">
        <v>-3.2949220000000001</v>
      </c>
      <c r="T1535">
        <v>-0.22747039999999999</v>
      </c>
      <c r="U1535">
        <v>-0.2294312</v>
      </c>
      <c r="V1535">
        <v>-6.0565920000000002E-2</v>
      </c>
      <c r="W1535">
        <v>0.37215300000000001</v>
      </c>
      <c r="X1535">
        <v>0.9261933</v>
      </c>
      <c r="Y1535">
        <v>-8.2161280000000003E-2</v>
      </c>
      <c r="Z1535">
        <v>-4.1392159999999898E-3</v>
      </c>
      <c r="AA1535">
        <v>0.99661049999999995</v>
      </c>
      <c r="AB1535">
        <v>35</v>
      </c>
      <c r="AC1535">
        <v>-15.7597</v>
      </c>
      <c r="AD1535">
        <v>-1.1110187210769999</v>
      </c>
      <c r="AE1535">
        <v>-1.12490000000002</v>
      </c>
      <c r="AF1535">
        <v>-1.32298847782009</v>
      </c>
      <c r="AG1535">
        <v>-1.1110187210769999</v>
      </c>
      <c r="AH1535">
        <v>15.666292192594801</v>
      </c>
      <c r="AI1535">
        <v>94.042158567844794</v>
      </c>
      <c r="AJ1535">
        <v>94.827066267055798</v>
      </c>
      <c r="AK1535">
        <v>15.761261757067</v>
      </c>
      <c r="AL1535">
        <v>68.151541534736694</v>
      </c>
      <c r="AM1535">
        <v>93.741376579520306</v>
      </c>
      <c r="AN1535">
        <v>1.0000000575196599</v>
      </c>
    </row>
    <row r="1536" spans="1:40" x14ac:dyDescent="0.25">
      <c r="A1536" t="str">
        <f>"20190304164627845"</f>
        <v>20190304164627845</v>
      </c>
      <c r="B1536" t="str">
        <f>"1551689187840119"</f>
        <v>1551689187840119</v>
      </c>
      <c r="C1536" t="s">
        <v>40</v>
      </c>
      <c r="D1536">
        <v>4.2416479999999996</v>
      </c>
      <c r="E1536">
        <v>0.50544270000000002</v>
      </c>
      <c r="F1536" t="s">
        <v>50</v>
      </c>
      <c r="G1536">
        <v>-312.37459999999999</v>
      </c>
      <c r="H1536" s="1">
        <v>3.3503100000000002E-6</v>
      </c>
      <c r="I1536">
        <v>283.6979</v>
      </c>
      <c r="J1536">
        <v>-296.79469999999998</v>
      </c>
      <c r="K1536">
        <v>1.111024</v>
      </c>
      <c r="L1536">
        <v>284.83260000000001</v>
      </c>
      <c r="M1536">
        <v>-0.99980829999999998</v>
      </c>
      <c r="N1536">
        <v>-1.470609E-2</v>
      </c>
      <c r="O1536">
        <v>1.292572E-2</v>
      </c>
      <c r="P1536">
        <v>-0.93233100000000002</v>
      </c>
      <c r="Q1536">
        <v>0.3581647</v>
      </c>
      <c r="R1536">
        <v>-4.976995E-2</v>
      </c>
      <c r="S1536">
        <v>-3.2941889999999998</v>
      </c>
      <c r="T1536">
        <v>-0.22989889999999999</v>
      </c>
      <c r="U1536">
        <v>-0.23391719999999999</v>
      </c>
      <c r="V1536">
        <v>-6.1876359999999998E-2</v>
      </c>
      <c r="W1536">
        <v>0.37181649999999999</v>
      </c>
      <c r="X1536">
        <v>0.9262418</v>
      </c>
      <c r="Y1536">
        <v>-8.3455089999999996E-2</v>
      </c>
      <c r="Z1536">
        <v>-4.2305809999999998E-3</v>
      </c>
      <c r="AA1536">
        <v>0.99650260000000002</v>
      </c>
      <c r="AB1536">
        <v>35</v>
      </c>
      <c r="AC1536">
        <v>-15.5799</v>
      </c>
      <c r="AD1536">
        <v>-1.1110206496899999</v>
      </c>
      <c r="AE1536">
        <v>-1.1347</v>
      </c>
      <c r="AF1536">
        <v>-1.32928427626462</v>
      </c>
      <c r="AG1536">
        <v>-1.1110206496899999</v>
      </c>
      <c r="AH1536">
        <v>15.485596664149501</v>
      </c>
      <c r="AI1536">
        <v>94.088693481702407</v>
      </c>
      <c r="AJ1536">
        <v>94.906245160976695</v>
      </c>
      <c r="AK1536">
        <v>15.5822035545644</v>
      </c>
      <c r="AL1536">
        <v>68.172311515430195</v>
      </c>
      <c r="AM1536">
        <v>93.821890263257004</v>
      </c>
      <c r="AN1536">
        <v>1.00000003283316</v>
      </c>
    </row>
    <row r="1537" spans="1:40" x14ac:dyDescent="0.25">
      <c r="A1537" t="str">
        <f>"20190304164627867"</f>
        <v>20190304164627867</v>
      </c>
      <c r="B1537" t="str">
        <f>"1551689187859639"</f>
        <v>1551689187859639</v>
      </c>
      <c r="C1537" t="s">
        <v>40</v>
      </c>
      <c r="D1537">
        <v>4.215147</v>
      </c>
      <c r="E1537">
        <v>0.50537879999999902</v>
      </c>
      <c r="F1537" t="s">
        <v>50</v>
      </c>
      <c r="G1537">
        <v>-312.70049999999998</v>
      </c>
      <c r="H1537" s="1">
        <v>3.4967419999999998E-6</v>
      </c>
      <c r="I1537">
        <v>283.67630000000003</v>
      </c>
      <c r="J1537">
        <v>-297.14479999999998</v>
      </c>
      <c r="K1537">
        <v>1.111029</v>
      </c>
      <c r="L1537">
        <v>284.83710000000002</v>
      </c>
      <c r="M1537">
        <v>-0.99980930000000001</v>
      </c>
      <c r="N1537">
        <v>-1.4702069999999999E-2</v>
      </c>
      <c r="O1537">
        <v>1.285294E-2</v>
      </c>
      <c r="P1537">
        <v>-0.93234689999999998</v>
      </c>
      <c r="Q1537">
        <v>0.3578905</v>
      </c>
      <c r="R1537">
        <v>-5.1416429999999999E-2</v>
      </c>
      <c r="S1537">
        <v>-3.2933349999999999</v>
      </c>
      <c r="T1537">
        <v>-0.23003899999999999</v>
      </c>
      <c r="U1537">
        <v>-0.2394104</v>
      </c>
      <c r="V1537">
        <v>-6.3454440000000001E-2</v>
      </c>
      <c r="W1537">
        <v>0.37153900000000001</v>
      </c>
      <c r="X1537">
        <v>0.92624629999999997</v>
      </c>
      <c r="Y1537">
        <v>-8.5049319999999998E-2</v>
      </c>
      <c r="Z1537">
        <v>-4.2968729999999997E-3</v>
      </c>
      <c r="AA1537">
        <v>0.99636749999999996</v>
      </c>
      <c r="AB1537">
        <v>35</v>
      </c>
      <c r="AC1537">
        <v>-15.5557</v>
      </c>
      <c r="AD1537">
        <v>-1.1110255032580001</v>
      </c>
      <c r="AE1537">
        <v>-1.1607999999999901</v>
      </c>
      <c r="AF1537">
        <v>-1.3537945064832799</v>
      </c>
      <c r="AG1537">
        <v>-1.1110255032580001</v>
      </c>
      <c r="AH1537">
        <v>15.4610608830553</v>
      </c>
      <c r="AI1537">
        <v>94.094573203357498</v>
      </c>
      <c r="AJ1537">
        <v>95.004144526298006</v>
      </c>
      <c r="AK1537">
        <v>15.5599338322571</v>
      </c>
      <c r="AL1537">
        <v>68.189436136539996</v>
      </c>
      <c r="AM1537">
        <v>93.919043881912202</v>
      </c>
      <c r="AN1537">
        <v>0.99999995137020004</v>
      </c>
    </row>
    <row r="1538" spans="1:40" x14ac:dyDescent="0.25">
      <c r="A1538" t="str">
        <f>"20190304164627890"</f>
        <v>20190304164627890</v>
      </c>
      <c r="B1538" t="str">
        <f>"1551689187879158"</f>
        <v>1551689187879158</v>
      </c>
      <c r="C1538" t="s">
        <v>40</v>
      </c>
      <c r="D1538">
        <v>4.2304000000000004</v>
      </c>
      <c r="E1538">
        <v>0.50530419999999998</v>
      </c>
      <c r="F1538" t="s">
        <v>50</v>
      </c>
      <c r="G1538">
        <v>-313.07220000000001</v>
      </c>
      <c r="H1538" s="1">
        <v>3.6640360000000001E-6</v>
      </c>
      <c r="I1538">
        <v>283.64789999999999</v>
      </c>
      <c r="J1538">
        <v>-297.5102</v>
      </c>
      <c r="K1538">
        <v>1.1110279999999999</v>
      </c>
      <c r="L1538">
        <v>284.84160000000003</v>
      </c>
      <c r="M1538">
        <v>-0.99981050000000005</v>
      </c>
      <c r="N1538">
        <v>-1.469788E-2</v>
      </c>
      <c r="O1538">
        <v>1.2771930000000001E-2</v>
      </c>
      <c r="P1538">
        <v>-0.93194619999999995</v>
      </c>
      <c r="Q1538">
        <v>0.35877940000000003</v>
      </c>
      <c r="R1538">
        <v>-5.2476250000000002E-2</v>
      </c>
      <c r="S1538">
        <v>-3.292297</v>
      </c>
      <c r="T1538">
        <v>-0.2296571</v>
      </c>
      <c r="U1538">
        <v>-0.24581910000000001</v>
      </c>
      <c r="V1538">
        <v>-6.4432980000000001E-2</v>
      </c>
      <c r="W1538">
        <v>0.37241800000000003</v>
      </c>
      <c r="X1538">
        <v>0.92582569999999997</v>
      </c>
      <c r="Y1538">
        <v>-8.6915560000000003E-2</v>
      </c>
      <c r="Z1538">
        <v>-4.3655760000000004E-3</v>
      </c>
      <c r="AA1538">
        <v>0.99620609999999998</v>
      </c>
      <c r="AB1538">
        <v>35</v>
      </c>
      <c r="AC1538">
        <v>-15.561999999999999</v>
      </c>
      <c r="AD1538">
        <v>-1.111024335964</v>
      </c>
      <c r="AE1538">
        <v>-1.19370000000003</v>
      </c>
      <c r="AF1538">
        <v>-1.38536093543674</v>
      </c>
      <c r="AG1538">
        <v>-1.111024335964</v>
      </c>
      <c r="AH1538">
        <v>15.467107911116701</v>
      </c>
      <c r="AI1538">
        <v>94.092254325483694</v>
      </c>
      <c r="AJ1538">
        <v>95.118221790420804</v>
      </c>
      <c r="AK1538">
        <v>15.568719508381699</v>
      </c>
      <c r="AL1538">
        <v>68.135180923255405</v>
      </c>
      <c r="AM1538">
        <v>93.981089296283201</v>
      </c>
      <c r="AN1538">
        <v>1.0000000012080801</v>
      </c>
    </row>
    <row r="1539" spans="1:40" x14ac:dyDescent="0.25">
      <c r="A1539" t="str">
        <f>"20190304164627913"</f>
        <v>20190304164627913</v>
      </c>
      <c r="B1539" t="str">
        <f>"1551689187899656"</f>
        <v>1551689187899656</v>
      </c>
      <c r="C1539" t="s">
        <v>40</v>
      </c>
      <c r="D1539">
        <v>4.1955920000000004</v>
      </c>
      <c r="E1539">
        <v>0.50530439999999999</v>
      </c>
      <c r="F1539" t="s">
        <v>50</v>
      </c>
      <c r="G1539">
        <v>-313.74970000000002</v>
      </c>
      <c r="H1539" s="1">
        <v>3.9682850000000004E-6</v>
      </c>
      <c r="I1539">
        <v>283.6046</v>
      </c>
      <c r="J1539">
        <v>-297.84500000000003</v>
      </c>
      <c r="K1539">
        <v>1.1110279999999999</v>
      </c>
      <c r="L1539">
        <v>284.8458</v>
      </c>
      <c r="M1539">
        <v>-0.99981149999999996</v>
      </c>
      <c r="N1539">
        <v>-1.469402E-2</v>
      </c>
      <c r="O1539">
        <v>1.269555E-2</v>
      </c>
      <c r="P1539">
        <v>-0.93186480000000005</v>
      </c>
      <c r="Q1539">
        <v>0.35898330000000001</v>
      </c>
      <c r="R1539">
        <v>-5.2531380000000003E-2</v>
      </c>
      <c r="S1539">
        <v>-3.2916259999999999</v>
      </c>
      <c r="T1539">
        <v>-0.22519529999999999</v>
      </c>
      <c r="U1539">
        <v>-0.25073240000000002</v>
      </c>
      <c r="V1539">
        <v>-6.4415520000000004E-2</v>
      </c>
      <c r="W1539">
        <v>0.37261670000000002</v>
      </c>
      <c r="X1539">
        <v>0.92574699999999999</v>
      </c>
      <c r="Y1539">
        <v>-8.8338959999999994E-2</v>
      </c>
      <c r="Z1539">
        <v>-4.3451610000000002E-3</v>
      </c>
      <c r="AA1539">
        <v>0.99608099999999999</v>
      </c>
      <c r="AB1539">
        <v>35</v>
      </c>
      <c r="AC1539">
        <v>-15.904699999999901</v>
      </c>
      <c r="AD1539">
        <v>-1.111024031715</v>
      </c>
      <c r="AE1539">
        <v>-1.2411999999999901</v>
      </c>
      <c r="AF1539">
        <v>-1.43607540848897</v>
      </c>
      <c r="AG1539">
        <v>-1.111024031715</v>
      </c>
      <c r="AH1539">
        <v>15.8109722523226</v>
      </c>
      <c r="AI1539">
        <v>94.003095920860503</v>
      </c>
      <c r="AJ1539">
        <v>95.1898079262035</v>
      </c>
      <c r="AK1539">
        <v>15.914883931139199</v>
      </c>
      <c r="AL1539">
        <v>68.122914096273107</v>
      </c>
      <c r="AM1539">
        <v>93.980351234311101</v>
      </c>
      <c r="AN1539">
        <v>1.00000003617237</v>
      </c>
    </row>
    <row r="1540" spans="1:40" x14ac:dyDescent="0.25">
      <c r="A1540" t="str">
        <f>"20190304164627934"</f>
        <v>20190304164627934</v>
      </c>
      <c r="B1540" t="str">
        <f>"1551689187929910"</f>
        <v>1551689187929910</v>
      </c>
      <c r="C1540" t="s">
        <v>40</v>
      </c>
      <c r="D1540">
        <v>4.1998989999999896</v>
      </c>
      <c r="E1540">
        <v>0.50526079999999995</v>
      </c>
      <c r="F1540" t="s">
        <v>50</v>
      </c>
      <c r="G1540">
        <v>-314.20749999999998</v>
      </c>
      <c r="H1540" s="1">
        <v>4.1725500000000004E-6</v>
      </c>
      <c r="I1540">
        <v>283.59019999999998</v>
      </c>
      <c r="J1540">
        <v>-298.19069999999999</v>
      </c>
      <c r="K1540">
        <v>1.1110390000000001</v>
      </c>
      <c r="L1540">
        <v>284.85019999999997</v>
      </c>
      <c r="M1540">
        <v>-0.9998127</v>
      </c>
      <c r="N1540">
        <v>-1.469005E-2</v>
      </c>
      <c r="O1540">
        <v>1.261572E-2</v>
      </c>
      <c r="P1540">
        <v>-0.93166199999999999</v>
      </c>
      <c r="Q1540">
        <v>0.3594772</v>
      </c>
      <c r="R1540">
        <v>-5.2752109999999998E-2</v>
      </c>
      <c r="S1540">
        <v>-3.291229</v>
      </c>
      <c r="T1540">
        <v>-0.22347610000000001</v>
      </c>
      <c r="U1540">
        <v>-0.2525635</v>
      </c>
      <c r="V1540">
        <v>-6.4559050000000007E-2</v>
      </c>
      <c r="W1540">
        <v>0.37310389999999999</v>
      </c>
      <c r="X1540">
        <v>0.92554069999999999</v>
      </c>
      <c r="Y1540">
        <v>-8.8821979999999995E-2</v>
      </c>
      <c r="Z1540">
        <v>-4.33154E-3</v>
      </c>
      <c r="AA1540">
        <v>0.99603810000000004</v>
      </c>
      <c r="AB1540">
        <v>35</v>
      </c>
      <c r="AC1540">
        <v>-16.0167999999999</v>
      </c>
      <c r="AD1540">
        <v>-1.1110348274499999</v>
      </c>
      <c r="AE1540">
        <v>-1.25999999999999</v>
      </c>
      <c r="AF1540">
        <v>-1.45502676000188</v>
      </c>
      <c r="AG1540">
        <v>-1.1110348274499999</v>
      </c>
      <c r="AH1540">
        <v>15.9234788796765</v>
      </c>
      <c r="AI1540">
        <v>93.974745387867003</v>
      </c>
      <c r="AJ1540">
        <v>95.220970971865299</v>
      </c>
      <c r="AK1540">
        <v>16.0283711240922</v>
      </c>
      <c r="AL1540">
        <v>68.092829084198499</v>
      </c>
      <c r="AM1540">
        <v>93.990077915507598</v>
      </c>
      <c r="AN1540">
        <v>0.999999989244301</v>
      </c>
    </row>
    <row r="1541" spans="1:40" x14ac:dyDescent="0.25">
      <c r="A1541" t="str">
        <f>"20190304164627960"</f>
        <v>20190304164627960</v>
      </c>
      <c r="B1541" t="str">
        <f>"1551689187949430"</f>
        <v>1551689187949430</v>
      </c>
      <c r="C1541" t="s">
        <v>40</v>
      </c>
      <c r="D1541">
        <v>4.1847459999999996</v>
      </c>
      <c r="E1541">
        <v>0.50523099999999999</v>
      </c>
      <c r="F1541" t="s">
        <v>50</v>
      </c>
      <c r="G1541">
        <v>-314.84719999999999</v>
      </c>
      <c r="H1541" s="1">
        <v>4.4578809999999998E-6</v>
      </c>
      <c r="I1541">
        <v>283.57139999999998</v>
      </c>
      <c r="J1541">
        <v>-298.57470000000001</v>
      </c>
      <c r="K1541">
        <v>1.1110439999999999</v>
      </c>
      <c r="L1541">
        <v>284.85489999999999</v>
      </c>
      <c r="M1541">
        <v>-0.99981379999999997</v>
      </c>
      <c r="N1541">
        <v>-1.468566E-2</v>
      </c>
      <c r="O1541">
        <v>1.252813E-2</v>
      </c>
      <c r="P1541">
        <v>-0.93143710000000002</v>
      </c>
      <c r="Q1541">
        <v>0.36000399999999999</v>
      </c>
      <c r="R1541">
        <v>-5.3127210000000001E-2</v>
      </c>
      <c r="S1541">
        <v>-3.2904049999999998</v>
      </c>
      <c r="T1541">
        <v>-0.2194786</v>
      </c>
      <c r="U1541">
        <v>-0.25262449999999997</v>
      </c>
      <c r="V1541">
        <v>-6.4850270000000002E-2</v>
      </c>
      <c r="W1541">
        <v>0.37362319999999999</v>
      </c>
      <c r="X1541">
        <v>0.92531090000000005</v>
      </c>
      <c r="Y1541">
        <v>-8.8781029999999997E-2</v>
      </c>
      <c r="Z1541">
        <v>-4.2571680000000004E-3</v>
      </c>
      <c r="AA1541">
        <v>0.99604210000000004</v>
      </c>
      <c r="AB1541">
        <v>35</v>
      </c>
      <c r="AC1541">
        <v>-16.272499999999901</v>
      </c>
      <c r="AD1541">
        <v>-1.111039542119</v>
      </c>
      <c r="AE1541">
        <v>-1.2835000000000001</v>
      </c>
      <c r="AF1541">
        <v>-1.48042647396912</v>
      </c>
      <c r="AG1541">
        <v>-1.111039542119</v>
      </c>
      <c r="AH1541">
        <v>16.1801792231287</v>
      </c>
      <c r="AI1541">
        <v>93.911857041587396</v>
      </c>
      <c r="AJ1541">
        <v>95.227795759833896</v>
      </c>
      <c r="AK1541">
        <v>16.285707571412001</v>
      </c>
      <c r="AL1541">
        <v>68.060757597560297</v>
      </c>
      <c r="AM1541">
        <v>94.009010406671706</v>
      </c>
      <c r="AN1541">
        <v>1.0000000573780501</v>
      </c>
    </row>
    <row r="1542" spans="1:40" x14ac:dyDescent="0.25">
      <c r="A1542" t="str">
        <f>"20190304164627980"</f>
        <v>20190304164627980</v>
      </c>
      <c r="B1542" t="str">
        <f>"1551689187969926"</f>
        <v>1551689187969926</v>
      </c>
      <c r="C1542" t="s">
        <v>40</v>
      </c>
      <c r="D1542">
        <v>4.18851</v>
      </c>
      <c r="E1542">
        <v>0.50517679999999998</v>
      </c>
      <c r="F1542" t="s">
        <v>50</v>
      </c>
      <c r="G1542">
        <v>-315.46089999999998</v>
      </c>
      <c r="H1542" s="1">
        <v>4.7305029999999997E-6</v>
      </c>
      <c r="I1542">
        <v>283.5659</v>
      </c>
      <c r="J1542">
        <v>-298.92009999999999</v>
      </c>
      <c r="K1542">
        <v>1.111043</v>
      </c>
      <c r="L1542">
        <v>284.85919999999999</v>
      </c>
      <c r="M1542">
        <v>-0.99981489999999995</v>
      </c>
      <c r="N1542">
        <v>-1.468175E-2</v>
      </c>
      <c r="O1542">
        <v>1.244925E-2</v>
      </c>
      <c r="P1542">
        <v>-0.93148819999999999</v>
      </c>
      <c r="Q1542">
        <v>0.35986849999999998</v>
      </c>
      <c r="R1542">
        <v>-5.3149719999999998E-2</v>
      </c>
      <c r="S1542">
        <v>-3.2901609999999999</v>
      </c>
      <c r="T1542">
        <v>-0.2164787</v>
      </c>
      <c r="U1542">
        <v>-0.25115969999999999</v>
      </c>
      <c r="V1542">
        <v>-6.4800339999999998E-2</v>
      </c>
      <c r="W1542">
        <v>0.3734847</v>
      </c>
      <c r="X1542">
        <v>0.92537020000000003</v>
      </c>
      <c r="Y1542">
        <v>-8.8275129999999993E-2</v>
      </c>
      <c r="Z1542">
        <v>-4.181344E-3</v>
      </c>
      <c r="AA1542">
        <v>0.99608739999999996</v>
      </c>
      <c r="AB1542">
        <v>35</v>
      </c>
      <c r="AC1542">
        <v>-16.540799999999901</v>
      </c>
      <c r="AD1542">
        <v>-1.111038269497</v>
      </c>
      <c r="AE1542">
        <v>-1.2932999999999799</v>
      </c>
      <c r="AF1542">
        <v>-1.4924498221817</v>
      </c>
      <c r="AG1542">
        <v>-1.111038269497</v>
      </c>
      <c r="AH1542">
        <v>16.449649805346802</v>
      </c>
      <c r="AI1542">
        <v>93.8482307467428</v>
      </c>
      <c r="AJ1542">
        <v>95.1841587515746</v>
      </c>
      <c r="AK1542">
        <v>16.554539897761</v>
      </c>
      <c r="AL1542">
        <v>68.069310018788798</v>
      </c>
      <c r="AM1542">
        <v>94.005677938389994</v>
      </c>
      <c r="AN1542">
        <v>0.99999995612312098</v>
      </c>
    </row>
    <row r="1543" spans="1:40" x14ac:dyDescent="0.25">
      <c r="A1543" t="str">
        <f>"20190304164628007"</f>
        <v>20190304164628007</v>
      </c>
      <c r="B1543" t="str">
        <f>"1551689187999207"</f>
        <v>1551689187999207</v>
      </c>
      <c r="C1543" t="s">
        <v>40</v>
      </c>
      <c r="D1543">
        <v>4.1446259999999997</v>
      </c>
      <c r="E1543">
        <v>0.50478599999999996</v>
      </c>
      <c r="F1543" t="s">
        <v>50</v>
      </c>
      <c r="G1543">
        <v>-315.86619999999999</v>
      </c>
      <c r="H1543" s="1">
        <v>4.9099899999999997E-6</v>
      </c>
      <c r="I1543">
        <v>283.56880000000001</v>
      </c>
      <c r="J1543">
        <v>-299.32060000000001</v>
      </c>
      <c r="K1543">
        <v>1.11104</v>
      </c>
      <c r="L1543">
        <v>284.86399999999998</v>
      </c>
      <c r="M1543">
        <v>-0.99981589999999998</v>
      </c>
      <c r="N1543">
        <v>-1.4677269999999999E-2</v>
      </c>
      <c r="O1543">
        <v>1.235851E-2</v>
      </c>
      <c r="P1543">
        <v>-0.931751</v>
      </c>
      <c r="Q1543">
        <v>0.35919400000000001</v>
      </c>
      <c r="R1543">
        <v>-5.3098190000000003E-2</v>
      </c>
      <c r="S1543">
        <v>-3.2896420000000002</v>
      </c>
      <c r="T1543">
        <v>-0.21567929999999999</v>
      </c>
      <c r="U1543">
        <v>-0.2504883</v>
      </c>
      <c r="V1543">
        <v>-6.4667429999999998E-2</v>
      </c>
      <c r="W1543">
        <v>0.37281049999999999</v>
      </c>
      <c r="X1543">
        <v>0.92565140000000001</v>
      </c>
      <c r="Y1543">
        <v>-8.7997000000000006E-2</v>
      </c>
      <c r="Z1543">
        <v>-4.1523640000000004E-3</v>
      </c>
      <c r="AA1543">
        <v>0.99611209999999994</v>
      </c>
      <c r="AB1543">
        <v>35</v>
      </c>
      <c r="AC1543">
        <v>-16.545599999999901</v>
      </c>
      <c r="AD1543">
        <v>-1.1110350900099999</v>
      </c>
      <c r="AE1543">
        <v>-1.2952000000000199</v>
      </c>
      <c r="AF1543">
        <v>-1.49291136063297</v>
      </c>
      <c r="AG1543">
        <v>-1.1110350900099999</v>
      </c>
      <c r="AH1543">
        <v>16.454584100384999</v>
      </c>
      <c r="AI1543">
        <v>93.847068962859595</v>
      </c>
      <c r="AJ1543">
        <v>95.184206611698997</v>
      </c>
      <c r="AK1543">
        <v>16.559484328280998</v>
      </c>
      <c r="AL1543">
        <v>68.1109478275486</v>
      </c>
      <c r="AM1543">
        <v>93.996278231875095</v>
      </c>
      <c r="AN1543">
        <v>1.0000000298675</v>
      </c>
    </row>
    <row r="1544" spans="1:40" x14ac:dyDescent="0.25">
      <c r="A1544" t="str">
        <f>"20190304164628024"</f>
        <v>20190304164628024</v>
      </c>
      <c r="B1544" t="str">
        <f>"1551689188019702"</f>
        <v>1551689188019702</v>
      </c>
      <c r="C1544" t="s">
        <v>40</v>
      </c>
      <c r="D1544">
        <v>4.1542770000000004</v>
      </c>
      <c r="E1544">
        <v>0.5045828</v>
      </c>
      <c r="F1544" t="s">
        <v>50</v>
      </c>
      <c r="G1544">
        <v>-317.97829999999999</v>
      </c>
      <c r="H1544" s="1">
        <v>5.8583910000000001E-6</v>
      </c>
      <c r="I1544">
        <v>283.43389999999999</v>
      </c>
      <c r="J1544">
        <v>-299.61160000000001</v>
      </c>
      <c r="K1544">
        <v>1.111035</v>
      </c>
      <c r="L1544">
        <v>284.86759999999998</v>
      </c>
      <c r="M1544">
        <v>-0.99981679999999995</v>
      </c>
      <c r="N1544">
        <v>-1.4674039999999999E-2</v>
      </c>
      <c r="O1544">
        <v>1.22925E-2</v>
      </c>
      <c r="P1544">
        <v>-0.93207819999999997</v>
      </c>
      <c r="Q1544">
        <v>0.35828539999999998</v>
      </c>
      <c r="R1544">
        <v>-5.3496420000000003E-2</v>
      </c>
      <c r="S1544">
        <v>-3.2807620000000002</v>
      </c>
      <c r="T1544">
        <v>-0.19536390000000001</v>
      </c>
      <c r="U1544">
        <v>-0.25146479999999999</v>
      </c>
      <c r="V1544">
        <v>-6.5008070000000001E-2</v>
      </c>
      <c r="W1544">
        <v>0.37190380000000001</v>
      </c>
      <c r="X1544">
        <v>0.92599219999999904</v>
      </c>
      <c r="Y1544">
        <v>-8.846946E-2</v>
      </c>
      <c r="Z1544">
        <v>-3.8290949999999998E-3</v>
      </c>
      <c r="AA1544">
        <v>0.9960715</v>
      </c>
      <c r="AB1544">
        <v>35</v>
      </c>
      <c r="AC1544">
        <v>-18.366699999999899</v>
      </c>
      <c r="AD1544">
        <v>-1.1110291416089999</v>
      </c>
      <c r="AE1544">
        <v>-1.43369999999998</v>
      </c>
      <c r="AF1544">
        <v>-1.65337519281416</v>
      </c>
      <c r="AG1544">
        <v>-1.1110291416089999</v>
      </c>
      <c r="AH1544">
        <v>18.281196545296499</v>
      </c>
      <c r="AI1544">
        <v>93.463737654400404</v>
      </c>
      <c r="AJ1544">
        <v>95.167845072154293</v>
      </c>
      <c r="AK1544">
        <v>18.3894040797814</v>
      </c>
      <c r="AL1544">
        <v>68.166922896970604</v>
      </c>
      <c r="AM1544">
        <v>94.015786486059696</v>
      </c>
      <c r="AN1544">
        <v>1.0000000200401999</v>
      </c>
    </row>
    <row r="1545" spans="1:40" x14ac:dyDescent="0.25">
      <c r="A1545" t="str">
        <f>"20190304164628053"</f>
        <v>20190304164628053</v>
      </c>
      <c r="B1545" t="str">
        <f>"1551689188049958"</f>
        <v>1551689188049958</v>
      </c>
      <c r="C1545" t="s">
        <v>40</v>
      </c>
      <c r="D1545">
        <v>4.1515009999999997</v>
      </c>
      <c r="E1545">
        <v>0.50459379999999998</v>
      </c>
      <c r="F1545" t="s">
        <v>50</v>
      </c>
      <c r="G1545">
        <v>-317.95859999999999</v>
      </c>
      <c r="H1545" s="1">
        <v>5.8484949999999996E-6</v>
      </c>
      <c r="I1545">
        <v>283.44749999999999</v>
      </c>
      <c r="J1545">
        <v>-300.06189999999998</v>
      </c>
      <c r="K1545">
        <v>1.111032</v>
      </c>
      <c r="L1545">
        <v>284.87299999999999</v>
      </c>
      <c r="M1545">
        <v>-0.99981830000000005</v>
      </c>
      <c r="N1545">
        <v>-1.4669079999999999E-2</v>
      </c>
      <c r="O1545">
        <v>1.219085E-2</v>
      </c>
      <c r="P1545">
        <v>-0.93224510000000005</v>
      </c>
      <c r="Q1545">
        <v>0.35780260000000003</v>
      </c>
      <c r="R1545">
        <v>-5.3824909999999997E-2</v>
      </c>
      <c r="S1545">
        <v>-3.2803960000000001</v>
      </c>
      <c r="T1545">
        <v>-0.19864899999999999</v>
      </c>
      <c r="U1545">
        <v>-0.25390629999999997</v>
      </c>
      <c r="V1545">
        <v>-6.5243380000000004E-2</v>
      </c>
      <c r="W1545">
        <v>0.37141859999999999</v>
      </c>
      <c r="X1545">
        <v>0.9261703</v>
      </c>
      <c r="Y1545">
        <v>-8.9105740000000003E-2</v>
      </c>
      <c r="Z1545">
        <v>-3.904884E-3</v>
      </c>
      <c r="AA1545">
        <v>0.99601450000000002</v>
      </c>
      <c r="AB1545">
        <v>35</v>
      </c>
      <c r="AC1545">
        <v>-17.896699999999999</v>
      </c>
      <c r="AD1545">
        <v>-1.1110261515049999</v>
      </c>
      <c r="AE1545">
        <v>-1.42549999999999</v>
      </c>
      <c r="AF1545">
        <v>-1.63732313193898</v>
      </c>
      <c r="AG1545">
        <v>-1.1110261515049999</v>
      </c>
      <c r="AH1545">
        <v>17.809785103541</v>
      </c>
      <c r="AI1545">
        <v>93.554699847632605</v>
      </c>
      <c r="AJ1545">
        <v>95.252659866224903</v>
      </c>
      <c r="AK1545">
        <v>17.919365267275001</v>
      </c>
      <c r="AL1545">
        <v>68.196866200755295</v>
      </c>
      <c r="AM1545">
        <v>94.029502173436796</v>
      </c>
      <c r="AN1545">
        <v>0.99999994983093599</v>
      </c>
    </row>
    <row r="1546" spans="1:40" x14ac:dyDescent="0.25">
      <c r="A1546" t="str">
        <f>"20190304164628073"</f>
        <v>20190304164628073</v>
      </c>
      <c r="B1546" t="str">
        <f>"1551689188069479"</f>
        <v>1551689188069479</v>
      </c>
      <c r="C1546" t="s">
        <v>40</v>
      </c>
      <c r="D1546">
        <v>4.1122880000000004</v>
      </c>
      <c r="E1546">
        <v>0.50468239999999998</v>
      </c>
      <c r="F1546" t="s">
        <v>50</v>
      </c>
      <c r="G1546">
        <v>-318.25569999999999</v>
      </c>
      <c r="H1546" s="1">
        <v>5.9790989999999998E-6</v>
      </c>
      <c r="I1546">
        <v>283.4606</v>
      </c>
      <c r="J1546">
        <v>-300.35579999999999</v>
      </c>
      <c r="K1546">
        <v>1.111029</v>
      </c>
      <c r="L1546">
        <v>284.87650000000002</v>
      </c>
      <c r="M1546">
        <v>-0.99981900000000001</v>
      </c>
      <c r="N1546">
        <v>-1.4665859999999999E-2</v>
      </c>
      <c r="O1546">
        <v>1.212472E-2</v>
      </c>
      <c r="P1546">
        <v>-0.93220009999999998</v>
      </c>
      <c r="Q1546">
        <v>0.35787400000000003</v>
      </c>
      <c r="R1546">
        <v>-5.4121160000000001E-2</v>
      </c>
      <c r="S1546">
        <v>-3.2802120000000001</v>
      </c>
      <c r="T1546">
        <v>-0.2003095</v>
      </c>
      <c r="U1546">
        <v>-0.2546387</v>
      </c>
      <c r="V1546">
        <v>-6.5477740000000006E-2</v>
      </c>
      <c r="W1546">
        <v>0.37148629999999999</v>
      </c>
      <c r="X1546">
        <v>0.92612669999999997</v>
      </c>
      <c r="Y1546">
        <v>-8.9261569999999998E-2</v>
      </c>
      <c r="Z1546">
        <v>-3.9363940000000002E-3</v>
      </c>
      <c r="AA1546">
        <v>0.99600049999999996</v>
      </c>
      <c r="AB1546">
        <v>35</v>
      </c>
      <c r="AC1546">
        <v>-17.899899999999999</v>
      </c>
      <c r="AD1546">
        <v>-1.1110230209009999</v>
      </c>
      <c r="AE1546">
        <v>-1.4159000000000199</v>
      </c>
      <c r="AF1546">
        <v>-1.62662287340786</v>
      </c>
      <c r="AG1546">
        <v>-1.1110230209009999</v>
      </c>
      <c r="AH1546">
        <v>17.813215659579999</v>
      </c>
      <c r="AI1546">
        <v>93.5542062212416</v>
      </c>
      <c r="AJ1546">
        <v>95.217523291442802</v>
      </c>
      <c r="AK1546">
        <v>17.921800307445999</v>
      </c>
      <c r="AL1546">
        <v>68.192690312258804</v>
      </c>
      <c r="AM1546">
        <v>94.044118313661897</v>
      </c>
      <c r="AN1546">
        <v>1.00000003498804</v>
      </c>
    </row>
    <row r="1547" spans="1:40" x14ac:dyDescent="0.25">
      <c r="A1547" t="str">
        <f>"20190304164628093"</f>
        <v>20190304164628093</v>
      </c>
      <c r="B1547" t="str">
        <f>"1551689188089975"</f>
        <v>1551689188089975</v>
      </c>
      <c r="C1547" t="s">
        <v>40</v>
      </c>
      <c r="D1547">
        <v>4.1029929999999997</v>
      </c>
      <c r="E1547">
        <v>0.50471619999999995</v>
      </c>
      <c r="F1547" t="s">
        <v>50</v>
      </c>
      <c r="G1547">
        <v>-318.49270000000001</v>
      </c>
      <c r="H1547" s="1">
        <v>6.0834250000000001E-6</v>
      </c>
      <c r="I1547">
        <v>283.46949999999998</v>
      </c>
      <c r="J1547">
        <v>-300.6755</v>
      </c>
      <c r="K1547">
        <v>1.1110260000000001</v>
      </c>
      <c r="L1547">
        <v>284.88029999999998</v>
      </c>
      <c r="M1547">
        <v>-0.99982000000000004</v>
      </c>
      <c r="N1547">
        <v>-1.4662369999999999E-2</v>
      </c>
      <c r="O1547">
        <v>1.2050299999999899E-2</v>
      </c>
      <c r="P1547">
        <v>-0.93218959999999995</v>
      </c>
      <c r="Q1547">
        <v>0.35790670000000002</v>
      </c>
      <c r="R1547">
        <v>-5.4089230000000002E-2</v>
      </c>
      <c r="S1547">
        <v>-3.280548</v>
      </c>
      <c r="T1547">
        <v>-0.2009581</v>
      </c>
      <c r="U1547">
        <v>-0.25448609999999999</v>
      </c>
      <c r="V1547">
        <v>-6.537664E-2</v>
      </c>
      <c r="W1547">
        <v>0.37151600000000001</v>
      </c>
      <c r="X1547">
        <v>0.92612190000000005</v>
      </c>
      <c r="Y1547">
        <v>-8.9132639999999999E-2</v>
      </c>
      <c r="Z1547">
        <v>-3.938764E-3</v>
      </c>
      <c r="AA1547">
        <v>0.99601200000000001</v>
      </c>
      <c r="AB1547">
        <v>35</v>
      </c>
      <c r="AC1547">
        <v>-17.8172</v>
      </c>
      <c r="AD1547">
        <v>-1.1110199165749901</v>
      </c>
      <c r="AE1547">
        <v>-1.4107999999999901</v>
      </c>
      <c r="AF1547">
        <v>-1.61916655653879</v>
      </c>
      <c r="AG1547">
        <v>-1.1110199165749901</v>
      </c>
      <c r="AH1547">
        <v>17.730391351049299</v>
      </c>
      <c r="AI1547">
        <v>93.570754299272593</v>
      </c>
      <c r="AJ1547">
        <v>95.217865648422602</v>
      </c>
      <c r="AK1547">
        <v>17.8388016148565</v>
      </c>
      <c r="AL1547">
        <v>68.190856847021294</v>
      </c>
      <c r="AM1547">
        <v>94.037915578230795</v>
      </c>
      <c r="AN1547">
        <v>1.0000000084866401</v>
      </c>
    </row>
    <row r="1548" spans="1:40" x14ac:dyDescent="0.25">
      <c r="A1548" t="str">
        <f>"20190304164628113"</f>
        <v>20190304164628113</v>
      </c>
      <c r="B1548" t="str">
        <f>"1551689188109495"</f>
        <v>1551689188109495</v>
      </c>
      <c r="C1548" t="s">
        <v>40</v>
      </c>
      <c r="D1548">
        <v>4.1343740000000002</v>
      </c>
      <c r="E1548">
        <v>0.50478919999999905</v>
      </c>
      <c r="F1548" t="s">
        <v>50</v>
      </c>
      <c r="G1548">
        <v>-318.8759</v>
      </c>
      <c r="H1548" s="1">
        <v>6.253173E-6</v>
      </c>
      <c r="I1548">
        <v>283.47149999999999</v>
      </c>
      <c r="J1548">
        <v>-300.99439999999998</v>
      </c>
      <c r="K1548">
        <v>1.111035</v>
      </c>
      <c r="L1548">
        <v>284.88409999999999</v>
      </c>
      <c r="M1548">
        <v>-0.99982090000000001</v>
      </c>
      <c r="N1548">
        <v>-1.4658869999999999E-2</v>
      </c>
      <c r="O1548">
        <v>1.197342E-2</v>
      </c>
      <c r="P1548">
        <v>-0.93219419999999997</v>
      </c>
      <c r="Q1548">
        <v>0.3579039</v>
      </c>
      <c r="R1548">
        <v>-5.4025910000000003E-2</v>
      </c>
      <c r="S1548">
        <v>-3.2803650000000002</v>
      </c>
      <c r="T1548">
        <v>-0.2002457</v>
      </c>
      <c r="U1548">
        <v>-0.25390629999999997</v>
      </c>
      <c r="V1548">
        <v>-6.5243010000000004E-2</v>
      </c>
      <c r="W1548">
        <v>0.3715098</v>
      </c>
      <c r="X1548">
        <v>0.92613380000000001</v>
      </c>
      <c r="Y1548">
        <v>-8.8887389999999997E-2</v>
      </c>
      <c r="Z1548">
        <v>-3.9137829999999997E-3</v>
      </c>
      <c r="AA1548">
        <v>0.99603399999999997</v>
      </c>
      <c r="AB1548">
        <v>35</v>
      </c>
      <c r="AC1548">
        <v>-17.881499999999999</v>
      </c>
      <c r="AD1548">
        <v>-1.1110287468269999</v>
      </c>
      <c r="AE1548">
        <v>-1.4125999999999901</v>
      </c>
      <c r="AF1548">
        <v>-1.6204076515002599</v>
      </c>
      <c r="AG1548">
        <v>-1.1110287468269999</v>
      </c>
      <c r="AH1548">
        <v>17.795030916189901</v>
      </c>
      <c r="AI1548">
        <v>93.557929372742905</v>
      </c>
      <c r="AJ1548">
        <v>95.202979261292896</v>
      </c>
      <c r="AK1548">
        <v>17.903162601659801</v>
      </c>
      <c r="AL1548">
        <v>68.1912392407922</v>
      </c>
      <c r="AM1548">
        <v>94.029637680384994</v>
      </c>
      <c r="AN1548">
        <v>0.99999999867616995</v>
      </c>
    </row>
    <row r="1549" spans="1:40" x14ac:dyDescent="0.25">
      <c r="A1549" t="str">
        <f>"20190304164628137"</f>
        <v>20190304164628137</v>
      </c>
      <c r="B1549" t="str">
        <f>"1551689188129260"</f>
        <v>1551689188129260</v>
      </c>
      <c r="C1549" t="s">
        <v>40</v>
      </c>
      <c r="D1549">
        <v>4.2141099999999998</v>
      </c>
      <c r="E1549">
        <v>0.53083040000000004</v>
      </c>
      <c r="F1549" t="s">
        <v>50</v>
      </c>
      <c r="G1549">
        <v>-319.22519999999997</v>
      </c>
      <c r="H1549" s="1">
        <v>6.4070669999999998E-6</v>
      </c>
      <c r="I1549">
        <v>283.48259999999999</v>
      </c>
      <c r="J1549">
        <v>-301.33210000000003</v>
      </c>
      <c r="K1549">
        <v>1.111038</v>
      </c>
      <c r="L1549">
        <v>284.88799999999998</v>
      </c>
      <c r="M1549">
        <v>-0.99982210000000005</v>
      </c>
      <c r="N1549">
        <v>-1.465517E-2</v>
      </c>
      <c r="O1549">
        <v>1.188319E-2</v>
      </c>
      <c r="P1549">
        <v>-0.93199799999999999</v>
      </c>
      <c r="Q1549">
        <v>0.358487099999999</v>
      </c>
      <c r="R1549">
        <v>-5.3545160000000001E-2</v>
      </c>
      <c r="S1549">
        <v>-3.2803650000000002</v>
      </c>
      <c r="T1549">
        <v>-0.19991429999999999</v>
      </c>
      <c r="U1549">
        <v>-0.25216670000000002</v>
      </c>
      <c r="V1549">
        <v>-6.4679319999999998E-2</v>
      </c>
      <c r="W1549">
        <v>0.37208599999999997</v>
      </c>
      <c r="X1549">
        <v>0.92594200000000004</v>
      </c>
      <c r="Y1549">
        <v>-8.8274610000000003E-2</v>
      </c>
      <c r="Z1549">
        <v>-3.8807389999999998E-3</v>
      </c>
      <c r="AA1549">
        <v>0.99608859999999999</v>
      </c>
      <c r="AB1549">
        <v>35</v>
      </c>
      <c r="AC1549">
        <v>-17.893099999999901</v>
      </c>
      <c r="AD1549">
        <v>-1.1110315929329999</v>
      </c>
      <c r="AE1549">
        <v>-1.40539999999998</v>
      </c>
      <c r="AF1549">
        <v>-1.6117745593841</v>
      </c>
      <c r="AG1549">
        <v>-1.1110315929329999</v>
      </c>
      <c r="AH1549">
        <v>17.806900209191902</v>
      </c>
      <c r="AI1549">
        <v>93.555747192901293</v>
      </c>
      <c r="AJ1549">
        <v>95.171979150519604</v>
      </c>
      <c r="AK1549">
        <v>17.914181630509699</v>
      </c>
      <c r="AL1549">
        <v>68.155675967965095</v>
      </c>
      <c r="AM1549">
        <v>93.9957602534584</v>
      </c>
      <c r="AN1549">
        <v>0.99999999659783101</v>
      </c>
    </row>
    <row r="1550" spans="1:40" x14ac:dyDescent="0.25">
      <c r="A1550" t="str">
        <f>"20190304164628160"</f>
        <v>20190304164628160</v>
      </c>
      <c r="B1550" t="str">
        <f>"1551689188149755"</f>
        <v>1551689188149755</v>
      </c>
      <c r="C1550" t="s">
        <v>40</v>
      </c>
      <c r="D1550">
        <v>4.0978830000000004</v>
      </c>
      <c r="E1550">
        <v>0.54523529999999998</v>
      </c>
      <c r="F1550" t="s">
        <v>50</v>
      </c>
      <c r="G1550">
        <v>-319.44970000000001</v>
      </c>
      <c r="H1550" s="1">
        <v>6.4041539999999996E-6</v>
      </c>
      <c r="I1550">
        <v>284.6549</v>
      </c>
      <c r="J1550">
        <v>-301.70359999999999</v>
      </c>
      <c r="K1550">
        <v>1.111049</v>
      </c>
      <c r="L1550">
        <v>284.89229999999998</v>
      </c>
      <c r="M1550">
        <v>-0.99982349999999998</v>
      </c>
      <c r="N1550">
        <v>-1.465108E-2</v>
      </c>
      <c r="O1550">
        <v>1.176898E-2</v>
      </c>
      <c r="P1550">
        <v>-0.93207810000000002</v>
      </c>
      <c r="Q1550">
        <v>0.3583634</v>
      </c>
      <c r="R1550">
        <v>-5.2974699999999902E-2</v>
      </c>
      <c r="S1550">
        <v>-3.2941280000000002</v>
      </c>
      <c r="T1550">
        <v>-0.20200679999999999</v>
      </c>
      <c r="U1550">
        <v>-4.2388919999999997E-2</v>
      </c>
      <c r="V1550">
        <v>-6.401213E-2</v>
      </c>
      <c r="W1550">
        <v>0.37195909999999999</v>
      </c>
      <c r="X1550">
        <v>0.92603930000000001</v>
      </c>
      <c r="Y1550">
        <v>-2.4565340000000001E-2</v>
      </c>
      <c r="Z1550">
        <v>-1.481357E-3</v>
      </c>
      <c r="AA1550">
        <v>0.99969710000000001</v>
      </c>
      <c r="AB1550">
        <v>35</v>
      </c>
      <c r="AC1550">
        <v>-17.746099999999998</v>
      </c>
      <c r="AD1550">
        <v>-1.111042595846</v>
      </c>
      <c r="AE1550">
        <v>-0.23739999999997899</v>
      </c>
      <c r="AF1550">
        <v>-0.44451737584079898</v>
      </c>
      <c r="AG1550">
        <v>-1.111042595846</v>
      </c>
      <c r="AH1550">
        <v>17.672816261645998</v>
      </c>
      <c r="AI1550">
        <v>93.596163494995594</v>
      </c>
      <c r="AJ1550">
        <v>91.440834341586196</v>
      </c>
      <c r="AK1550">
        <v>17.7132844488284</v>
      </c>
      <c r="AL1550">
        <v>68.163508075755402</v>
      </c>
      <c r="AM1550">
        <v>93.954259835248394</v>
      </c>
      <c r="AN1550">
        <v>0.99999995500221694</v>
      </c>
    </row>
    <row r="1551" spans="1:40" x14ac:dyDescent="0.25">
      <c r="A1551" t="str">
        <f>"20190304164628181"</f>
        <v>20190304164628181</v>
      </c>
      <c r="B1551" t="str">
        <f>"1551689188169275"</f>
        <v>1551689188169275</v>
      </c>
      <c r="C1551" t="s">
        <v>40</v>
      </c>
      <c r="D1551">
        <v>4.0304760000000002</v>
      </c>
      <c r="E1551">
        <v>0.55110990000000004</v>
      </c>
      <c r="F1551" t="s">
        <v>41</v>
      </c>
      <c r="G1551">
        <v>-302.67090000000002</v>
      </c>
      <c r="H1551">
        <v>1.042108</v>
      </c>
      <c r="I1551">
        <v>284.91309999999999</v>
      </c>
      <c r="J1551">
        <v>-302.04329999999999</v>
      </c>
      <c r="K1551">
        <v>1.1110640000000001</v>
      </c>
      <c r="L1551">
        <v>284.89620000000002</v>
      </c>
      <c r="M1551">
        <v>-0.99982479999999996</v>
      </c>
      <c r="N1551">
        <v>-1.464737E-2</v>
      </c>
      <c r="O1551">
        <v>1.1651150000000001E-2</v>
      </c>
      <c r="P1551">
        <v>-0.93230000000000002</v>
      </c>
      <c r="Q1551">
        <v>0.357931099999999</v>
      </c>
      <c r="R1551">
        <v>-5.1979780000000003E-2</v>
      </c>
      <c r="S1551">
        <v>-3.313507</v>
      </c>
      <c r="T1551">
        <v>-0.23639009999999999</v>
      </c>
      <c r="U1551">
        <v>7.0617680000000002E-2</v>
      </c>
      <c r="V1551">
        <v>-6.2919939999999994E-2</v>
      </c>
      <c r="W1551">
        <v>0.3715253</v>
      </c>
      <c r="X1551">
        <v>0.92628829999999995</v>
      </c>
      <c r="Y1551">
        <v>9.6451639999999995E-3</v>
      </c>
      <c r="Z1551">
        <v>-2.4520359999999998E-4</v>
      </c>
      <c r="AA1551">
        <v>0.99995339999999999</v>
      </c>
      <c r="AB1551">
        <v>35</v>
      </c>
      <c r="AC1551">
        <v>-0.62760000000002902</v>
      </c>
      <c r="AD1551">
        <v>-6.8956000000000003E-2</v>
      </c>
      <c r="AE1551">
        <v>1.68999999999641E-2</v>
      </c>
      <c r="AF1551">
        <v>9.4715486591367398E-3</v>
      </c>
      <c r="AG1551">
        <v>-6.8956000000000003E-2</v>
      </c>
      <c r="AH1551">
        <v>0.62027183769355398</v>
      </c>
      <c r="AI1551">
        <v>96.342825900239902</v>
      </c>
      <c r="AJ1551">
        <v>89.125161651454405</v>
      </c>
      <c r="AK1551">
        <v>0.62416487629931605</v>
      </c>
      <c r="AL1551">
        <v>68.190282517351704</v>
      </c>
      <c r="AM1551">
        <v>93.885958250376206</v>
      </c>
      <c r="AN1551">
        <v>0.99999999105329096</v>
      </c>
    </row>
    <row r="1552" spans="1:40" x14ac:dyDescent="0.25">
      <c r="A1552" t="str">
        <f>"20190304164628204"</f>
        <v>20190304164628204</v>
      </c>
      <c r="B1552" t="str">
        <f>"1551689188199531"</f>
        <v>1551689188199531</v>
      </c>
      <c r="C1552" t="s">
        <v>40</v>
      </c>
      <c r="D1552">
        <v>4.0460059999999904</v>
      </c>
      <c r="E1552">
        <v>0.55534249999999996</v>
      </c>
      <c r="F1552" t="s">
        <v>41</v>
      </c>
      <c r="G1552">
        <v>-302.97770000000003</v>
      </c>
      <c r="H1552">
        <v>1.0414829999999999</v>
      </c>
      <c r="I1552">
        <v>284.93009999999998</v>
      </c>
      <c r="J1552">
        <v>-302.39249999999998</v>
      </c>
      <c r="K1552">
        <v>1.1110770000000001</v>
      </c>
      <c r="L1552">
        <v>284.90010000000001</v>
      </c>
      <c r="M1552">
        <v>-0.99982660000000001</v>
      </c>
      <c r="N1552">
        <v>-1.464354E-2</v>
      </c>
      <c r="O1552">
        <v>1.1511459999999999E-2</v>
      </c>
      <c r="P1552">
        <v>-0.93280759999999996</v>
      </c>
      <c r="Q1552">
        <v>0.35669640000000002</v>
      </c>
      <c r="R1552">
        <v>-5.1362350000000001E-2</v>
      </c>
      <c r="S1552">
        <v>-3.31955</v>
      </c>
      <c r="T1552">
        <v>-0.24744360000000001</v>
      </c>
      <c r="U1552">
        <v>0.1199646</v>
      </c>
      <c r="V1552">
        <v>-6.2190519999999999E-2</v>
      </c>
      <c r="W1552">
        <v>0.37029289999999998</v>
      </c>
      <c r="X1552">
        <v>0.92683090000000001</v>
      </c>
      <c r="Y1552">
        <v>2.4546829999999999E-2</v>
      </c>
      <c r="Z1552">
        <v>4.0519740000000002E-4</v>
      </c>
      <c r="AA1552">
        <v>0.99969859999999999</v>
      </c>
      <c r="AB1552">
        <v>35</v>
      </c>
      <c r="AC1552">
        <v>-0.58520000000004302</v>
      </c>
      <c r="AD1552">
        <v>-6.95940000000001E-2</v>
      </c>
      <c r="AE1552">
        <v>2.9999999999972701E-2</v>
      </c>
      <c r="AF1552">
        <v>2.2937237485389499E-2</v>
      </c>
      <c r="AG1552">
        <v>-6.95940000000001E-2</v>
      </c>
      <c r="AH1552">
        <v>0.57736248687784597</v>
      </c>
      <c r="AI1552">
        <v>96.867781626891897</v>
      </c>
      <c r="AJ1552">
        <v>87.724971420381095</v>
      </c>
      <c r="AK1552">
        <v>0.58199388566653498</v>
      </c>
      <c r="AL1552">
        <v>68.266317796815599</v>
      </c>
      <c r="AM1552">
        <v>93.838802687312196</v>
      </c>
      <c r="AN1552">
        <v>1.0000000048815401</v>
      </c>
    </row>
    <row r="1553" spans="1:40" x14ac:dyDescent="0.25">
      <c r="A1553" t="str">
        <f>"20190304164628224"</f>
        <v>20190304164628224</v>
      </c>
      <c r="B1553" t="str">
        <f>"1551689188220026"</f>
        <v>1551689188220026</v>
      </c>
      <c r="C1553" t="s">
        <v>40</v>
      </c>
      <c r="D1553">
        <v>4.0608240000000002</v>
      </c>
      <c r="E1553">
        <v>0.55666519999999897</v>
      </c>
      <c r="F1553" t="s">
        <v>41</v>
      </c>
      <c r="G1553">
        <v>-303.28769999999997</v>
      </c>
      <c r="H1553">
        <v>1.044025</v>
      </c>
      <c r="I1553">
        <v>284.9427</v>
      </c>
      <c r="J1553">
        <v>-302.71120000000002</v>
      </c>
      <c r="K1553">
        <v>1.1110899999999999</v>
      </c>
      <c r="L1553">
        <v>284.90359999999998</v>
      </c>
      <c r="M1553">
        <v>-0.9998283</v>
      </c>
      <c r="N1553">
        <v>-1.464006E-2</v>
      </c>
      <c r="O1553">
        <v>1.136442E-2</v>
      </c>
      <c r="P1553">
        <v>-0.9329904</v>
      </c>
      <c r="Q1553">
        <v>0.35625600000000002</v>
      </c>
      <c r="R1553">
        <v>-5.1095950000000001E-2</v>
      </c>
      <c r="S1553">
        <v>-3.3199160000000001</v>
      </c>
      <c r="T1553">
        <v>-0.24897269999999999</v>
      </c>
      <c r="U1553">
        <v>0.15652469999999999</v>
      </c>
      <c r="V1553">
        <v>-6.1801849999999998E-2</v>
      </c>
      <c r="W1553">
        <v>0.36985000000000001</v>
      </c>
      <c r="X1553">
        <v>0.92703369999999996</v>
      </c>
      <c r="Y1553">
        <v>3.5639980000000002E-2</v>
      </c>
      <c r="Z1553">
        <v>9.1085129999999995E-4</v>
      </c>
      <c r="AA1553">
        <v>0.99936429999999998</v>
      </c>
      <c r="AB1553">
        <v>35</v>
      </c>
      <c r="AC1553">
        <v>-0.57649999999995305</v>
      </c>
      <c r="AD1553">
        <v>-6.7064999999999902E-2</v>
      </c>
      <c r="AE1553">
        <v>3.9100000000019002E-2</v>
      </c>
      <c r="AF1553">
        <v>3.2112595498097002E-2</v>
      </c>
      <c r="AG1553">
        <v>-6.7064999999999902E-2</v>
      </c>
      <c r="AH1553">
        <v>0.56923893781002599</v>
      </c>
      <c r="AI1553">
        <v>96.708769725404906</v>
      </c>
      <c r="AJ1553">
        <v>86.771183463117595</v>
      </c>
      <c r="AK1553">
        <v>0.57407482206913596</v>
      </c>
      <c r="AL1553">
        <v>68.293632987267102</v>
      </c>
      <c r="AM1553">
        <v>93.8140504265874</v>
      </c>
      <c r="AN1553">
        <v>0.99999998604955598</v>
      </c>
    </row>
    <row r="1554" spans="1:40" x14ac:dyDescent="0.25">
      <c r="A1554" t="str">
        <f>"20190304164628247"</f>
        <v>20190304164628247</v>
      </c>
      <c r="B1554" t="str">
        <f>"1551689188239546"</f>
        <v>1551689188239546</v>
      </c>
      <c r="C1554" t="s">
        <v>40</v>
      </c>
      <c r="D1554">
        <v>3.9873630000000002</v>
      </c>
      <c r="E1554">
        <v>0.55740149999999999</v>
      </c>
      <c r="F1554" t="s">
        <v>41</v>
      </c>
      <c r="G1554">
        <v>-303.59480000000002</v>
      </c>
      <c r="H1554">
        <v>1.0425930000000001</v>
      </c>
      <c r="I1554">
        <v>284.94850000000002</v>
      </c>
      <c r="J1554">
        <v>-303.06529999999998</v>
      </c>
      <c r="K1554">
        <v>1.111108</v>
      </c>
      <c r="L1554">
        <v>284.90750000000003</v>
      </c>
      <c r="M1554">
        <v>-0.99983049999999996</v>
      </c>
      <c r="N1554">
        <v>-1.46362E-2</v>
      </c>
      <c r="O1554">
        <v>1.118008E-2</v>
      </c>
      <c r="P1554">
        <v>-0.93300539999999998</v>
      </c>
      <c r="Q1554">
        <v>0.35617149999999997</v>
      </c>
      <c r="R1554">
        <v>-5.1412140000000002E-2</v>
      </c>
      <c r="S1554">
        <v>-3.3230900000000001</v>
      </c>
      <c r="T1554">
        <v>-0.25783159999999999</v>
      </c>
      <c r="U1554">
        <v>0.16763310000000001</v>
      </c>
      <c r="V1554">
        <v>-6.1962490000000002E-2</v>
      </c>
      <c r="W1554">
        <v>0.36975950000000002</v>
      </c>
      <c r="X1554">
        <v>0.92705910000000002</v>
      </c>
      <c r="Y1554">
        <v>3.9093299999999997E-2</v>
      </c>
      <c r="Z1554">
        <v>1.097984E-3</v>
      </c>
      <c r="AA1554">
        <v>0.99923499999999998</v>
      </c>
      <c r="AB1554">
        <v>35</v>
      </c>
      <c r="AC1554">
        <v>-0.52950000000004105</v>
      </c>
      <c r="AD1554">
        <v>-6.8514999999999798E-2</v>
      </c>
      <c r="AE1554">
        <v>4.0999999999996803E-2</v>
      </c>
      <c r="AF1554">
        <v>3.4502707170658301E-2</v>
      </c>
      <c r="AG1554">
        <v>-6.8514999999999798E-2</v>
      </c>
      <c r="AH1554">
        <v>0.52124993595906</v>
      </c>
      <c r="AI1554">
        <v>97.472072229079004</v>
      </c>
      <c r="AJ1554">
        <v>86.212987693838798</v>
      </c>
      <c r="AK1554">
        <v>0.52686453454795101</v>
      </c>
      <c r="AL1554">
        <v>68.299214353478703</v>
      </c>
      <c r="AM1554">
        <v>93.823830358308896</v>
      </c>
      <c r="AN1554">
        <v>1.0000000064500301</v>
      </c>
    </row>
    <row r="1555" spans="1:40" x14ac:dyDescent="0.25">
      <c r="A1555" t="str">
        <f>"20190304164628271"</f>
        <v>20190304164628271</v>
      </c>
      <c r="B1555" t="str">
        <f>"1551689188260043"</f>
        <v>1551689188260043</v>
      </c>
      <c r="C1555" t="s">
        <v>40</v>
      </c>
      <c r="D1555">
        <v>4.4106709999999998</v>
      </c>
      <c r="E1555">
        <v>0.5579423</v>
      </c>
      <c r="F1555" t="s">
        <v>41</v>
      </c>
      <c r="G1555">
        <v>-303.90589999999997</v>
      </c>
      <c r="H1555">
        <v>1.0456259999999999</v>
      </c>
      <c r="I1555">
        <v>284.95170000000002</v>
      </c>
      <c r="J1555">
        <v>-303.42739999999998</v>
      </c>
      <c r="K1555">
        <v>1.1111260000000001</v>
      </c>
      <c r="L1555">
        <v>284.91129999999998</v>
      </c>
      <c r="M1555">
        <v>-0.99983270000000002</v>
      </c>
      <c r="N1555">
        <v>-1.4632239999999999E-2</v>
      </c>
      <c r="O1555">
        <v>1.0972630000000001E-2</v>
      </c>
      <c r="P1555">
        <v>-0.93292730000000001</v>
      </c>
      <c r="Q1555">
        <v>0.35622110000000001</v>
      </c>
      <c r="R1555">
        <v>-5.2472310000000001E-2</v>
      </c>
      <c r="S1555">
        <v>-3.3239139999999998</v>
      </c>
      <c r="T1555">
        <v>-0.25917299999999999</v>
      </c>
      <c r="U1555">
        <v>0.17373659999999999</v>
      </c>
      <c r="V1555">
        <v>-6.284323E-2</v>
      </c>
      <c r="W1555">
        <v>0.36980160000000001</v>
      </c>
      <c r="X1555">
        <v>0.926983</v>
      </c>
      <c r="Y1555">
        <v>4.1109449999999999E-2</v>
      </c>
      <c r="Z1555">
        <v>1.2073660000000001E-3</v>
      </c>
      <c r="AA1555">
        <v>0.99915390000000004</v>
      </c>
      <c r="AB1555">
        <v>35</v>
      </c>
      <c r="AC1555">
        <v>-0.47849999999999598</v>
      </c>
      <c r="AD1555">
        <v>-6.55000000000001E-2</v>
      </c>
      <c r="AE1555">
        <v>4.0400000000033701E-2</v>
      </c>
      <c r="AF1555">
        <v>3.45046366598636E-2</v>
      </c>
      <c r="AG1555">
        <v>-6.55000000000001E-2</v>
      </c>
      <c r="AH1555">
        <v>0.47016698889646502</v>
      </c>
      <c r="AI1555">
        <v>97.909954742929798</v>
      </c>
      <c r="AJ1555">
        <v>85.802699181091</v>
      </c>
      <c r="AK1555">
        <v>0.475959890535955</v>
      </c>
      <c r="AL1555">
        <v>68.296617775319802</v>
      </c>
      <c r="AM1555">
        <v>93.878335304891806</v>
      </c>
      <c r="AN1555">
        <v>0.99999998860419603</v>
      </c>
    </row>
    <row r="1556" spans="1:40" x14ac:dyDescent="0.25">
      <c r="A1556" t="str">
        <f>"20190304164628292"</f>
        <v>20190304164628292</v>
      </c>
      <c r="B1556" t="str">
        <f>"1551689188279562"</f>
        <v>1551689188279562</v>
      </c>
      <c r="C1556" t="s">
        <v>40</v>
      </c>
      <c r="D1556">
        <v>4.0702069999999999</v>
      </c>
      <c r="E1556">
        <v>0.558338</v>
      </c>
      <c r="F1556" t="s">
        <v>41</v>
      </c>
      <c r="G1556">
        <v>-304.22660000000002</v>
      </c>
      <c r="H1556">
        <v>1.050065</v>
      </c>
      <c r="I1556">
        <v>284.95400000000001</v>
      </c>
      <c r="J1556">
        <v>-303.74639999999999</v>
      </c>
      <c r="K1556">
        <v>1.111137</v>
      </c>
      <c r="L1556">
        <v>284.91460000000001</v>
      </c>
      <c r="M1556">
        <v>-0.99983509999999998</v>
      </c>
      <c r="N1556">
        <v>-1.4628769999999999E-2</v>
      </c>
      <c r="O1556">
        <v>1.077725E-2</v>
      </c>
      <c r="P1556">
        <v>-0.93255659999999896</v>
      </c>
      <c r="Q1556">
        <v>0.35703410000000002</v>
      </c>
      <c r="R1556">
        <v>-5.3530069999999999E-2</v>
      </c>
      <c r="S1556">
        <v>-3.322632</v>
      </c>
      <c r="T1556">
        <v>-0.25406050000000002</v>
      </c>
      <c r="U1556">
        <v>0.176666299999999</v>
      </c>
      <c r="V1556">
        <v>-6.3725210000000004E-2</v>
      </c>
      <c r="W1556">
        <v>0.37060340000000003</v>
      </c>
      <c r="X1556">
        <v>0.9266025</v>
      </c>
      <c r="Y1556">
        <v>4.2203350000000001E-2</v>
      </c>
      <c r="Z1556">
        <v>1.2546530000000001E-3</v>
      </c>
      <c r="AA1556">
        <v>0.99910829999999995</v>
      </c>
      <c r="AB1556">
        <v>34</v>
      </c>
      <c r="AC1556">
        <v>-0.480200000000024</v>
      </c>
      <c r="AD1556">
        <v>-6.1072000000000001E-2</v>
      </c>
      <c r="AE1556">
        <v>3.9400000000000497E-2</v>
      </c>
      <c r="AF1556">
        <v>3.3680784689933199E-2</v>
      </c>
      <c r="AG1556">
        <v>-6.1072000000000001E-2</v>
      </c>
      <c r="AH1556">
        <v>0.47299728013127601</v>
      </c>
      <c r="AI1556">
        <v>97.338777739214905</v>
      </c>
      <c r="AJ1556">
        <v>85.927005965434702</v>
      </c>
      <c r="AK1556">
        <v>0.47811150525051599</v>
      </c>
      <c r="AL1556">
        <v>68.247164388600893</v>
      </c>
      <c r="AM1556">
        <v>93.934206413145205</v>
      </c>
      <c r="AN1556">
        <v>0.99999998774367704</v>
      </c>
    </row>
    <row r="1557" spans="1:40" x14ac:dyDescent="0.25">
      <c r="A1557" t="str">
        <f>"20190304164628313"</f>
        <v>20190304164628313</v>
      </c>
      <c r="B1557" t="str">
        <f>"1551689188309818"</f>
        <v>1551689188309818</v>
      </c>
      <c r="C1557" t="s">
        <v>40</v>
      </c>
      <c r="D1557">
        <v>4.0360519999999998</v>
      </c>
      <c r="E1557">
        <v>0.55882790000000004</v>
      </c>
      <c r="F1557" t="s">
        <v>50</v>
      </c>
      <c r="G1557">
        <v>-318.35660000000001</v>
      </c>
      <c r="H1557" s="1">
        <v>5.8295130000000004E-6</v>
      </c>
      <c r="I1557">
        <v>285.68349999999998</v>
      </c>
      <c r="J1557">
        <v>-304.0754</v>
      </c>
      <c r="K1557">
        <v>1.1111530000000001</v>
      </c>
      <c r="L1557">
        <v>284.91800000000001</v>
      </c>
      <c r="M1557">
        <v>-0.99983730000000004</v>
      </c>
      <c r="N1557">
        <v>-1.462514E-2</v>
      </c>
      <c r="O1557">
        <v>1.056757E-2</v>
      </c>
      <c r="P1557">
        <v>-0.93196270000000003</v>
      </c>
      <c r="Q1557">
        <v>0.35843330000000001</v>
      </c>
      <c r="R1557">
        <v>-5.4507340000000001E-2</v>
      </c>
      <c r="S1557">
        <v>-3.3237920000000001</v>
      </c>
      <c r="T1557">
        <v>-0.25277949999999999</v>
      </c>
      <c r="U1557">
        <v>0.17492679999999999</v>
      </c>
      <c r="V1557">
        <v>-6.4509380000000005E-2</v>
      </c>
      <c r="W1557">
        <v>0.3719886</v>
      </c>
      <c r="X1557">
        <v>0.92599299999999996</v>
      </c>
      <c r="Y1557">
        <v>4.1874880000000003E-2</v>
      </c>
      <c r="Z1557">
        <v>1.2482859999999999E-3</v>
      </c>
      <c r="AA1557">
        <v>0.99912210000000001</v>
      </c>
      <c r="AB1557">
        <v>34</v>
      </c>
      <c r="AC1557">
        <v>-14.2812</v>
      </c>
      <c r="AD1557">
        <v>-1.111147170487</v>
      </c>
      <c r="AE1557">
        <v>0.76549999999997398</v>
      </c>
      <c r="AF1557">
        <v>0.61083637220386999</v>
      </c>
      <c r="AG1557">
        <v>-1.111147170487</v>
      </c>
      <c r="AH1557">
        <v>14.202761207282499</v>
      </c>
      <c r="AI1557">
        <v>94.469285068459797</v>
      </c>
      <c r="AJ1557">
        <v>87.537324570273995</v>
      </c>
      <c r="AK1557">
        <v>14.259249454974</v>
      </c>
      <c r="AL1557">
        <v>68.161688391009307</v>
      </c>
      <c r="AM1557">
        <v>93.985076783659693</v>
      </c>
      <c r="AN1557">
        <v>1.0000000073434701</v>
      </c>
    </row>
    <row r="1558" spans="1:40" x14ac:dyDescent="0.25">
      <c r="A1558" t="str">
        <f>"20190304164628337"</f>
        <v>20190304164628337</v>
      </c>
      <c r="B1558" t="str">
        <f>"1551689188329339"</f>
        <v>1551689188329339</v>
      </c>
      <c r="C1558" t="s">
        <v>40</v>
      </c>
      <c r="D1558">
        <v>4.033461</v>
      </c>
      <c r="E1558">
        <v>0.559083199999999</v>
      </c>
      <c r="F1558" t="s">
        <v>50</v>
      </c>
      <c r="G1558">
        <v>-318.803</v>
      </c>
      <c r="H1558" s="1">
        <v>6.0266370000000004E-6</v>
      </c>
      <c r="I1558">
        <v>285.69290000000001</v>
      </c>
      <c r="J1558">
        <v>-304.42750000000001</v>
      </c>
      <c r="K1558">
        <v>1.1111599999999999</v>
      </c>
      <c r="L1558">
        <v>284.92140000000001</v>
      </c>
      <c r="M1558">
        <v>-0.99983979999999995</v>
      </c>
      <c r="N1558">
        <v>-1.462127E-2</v>
      </c>
      <c r="O1558">
        <v>1.0336710000000001E-2</v>
      </c>
      <c r="P1558">
        <v>-0.93225270000000005</v>
      </c>
      <c r="Q1558">
        <v>0.35752869999999998</v>
      </c>
      <c r="R1558">
        <v>-5.5483249999999998E-2</v>
      </c>
      <c r="S1558">
        <v>-3.3257140000000001</v>
      </c>
      <c r="T1558">
        <v>-0.25091340000000001</v>
      </c>
      <c r="U1558">
        <v>0.1749878</v>
      </c>
      <c r="V1558">
        <v>-6.5277940000000007E-2</v>
      </c>
      <c r="W1558">
        <v>0.37108380000000002</v>
      </c>
      <c r="X1558">
        <v>0.92630210000000002</v>
      </c>
      <c r="Y1558">
        <v>4.2094079999999999E-2</v>
      </c>
      <c r="Z1558">
        <v>1.2657809999999999E-3</v>
      </c>
      <c r="AA1558">
        <v>0.99911280000000002</v>
      </c>
      <c r="AB1558">
        <v>34</v>
      </c>
      <c r="AC1558">
        <v>-14.375499999999899</v>
      </c>
      <c r="AD1558">
        <v>-1.111153973363</v>
      </c>
      <c r="AE1558">
        <v>0.77150000000000296</v>
      </c>
      <c r="AF1558">
        <v>0.61915898190920104</v>
      </c>
      <c r="AG1558">
        <v>-1.111153973363</v>
      </c>
      <c r="AH1558">
        <v>14.2975319672337</v>
      </c>
      <c r="AI1558">
        <v>94.439749879378695</v>
      </c>
      <c r="AJ1558">
        <v>87.520338098788798</v>
      </c>
      <c r="AK1558">
        <v>14.3540043664292</v>
      </c>
      <c r="AL1558">
        <v>68.217526162656199</v>
      </c>
      <c r="AM1558">
        <v>94.031057845966302</v>
      </c>
      <c r="AN1558">
        <v>0.99999998826874603</v>
      </c>
    </row>
    <row r="1559" spans="1:40" x14ac:dyDescent="0.25">
      <c r="A1559" t="str">
        <f>"20190304164628361"</f>
        <v>20190304164628361</v>
      </c>
      <c r="B1559" t="str">
        <f>"1551689188349835"</f>
        <v>1551689188349835</v>
      </c>
      <c r="C1559" t="s">
        <v>40</v>
      </c>
      <c r="D1559">
        <v>4.0079779999999996</v>
      </c>
      <c r="E1559">
        <v>0.5592743</v>
      </c>
      <c r="F1559" t="s">
        <v>41</v>
      </c>
      <c r="G1559">
        <v>-305.43400000000003</v>
      </c>
      <c r="H1559">
        <v>1.0336099999999999</v>
      </c>
      <c r="I1559">
        <v>284.97379999999998</v>
      </c>
      <c r="J1559">
        <v>-304.82119999999998</v>
      </c>
      <c r="K1559">
        <v>1.111157</v>
      </c>
      <c r="L1559">
        <v>284.92529999999999</v>
      </c>
      <c r="M1559">
        <v>-0.99984249999999997</v>
      </c>
      <c r="N1559">
        <v>-1.46169E-2</v>
      </c>
      <c r="O1559">
        <v>1.007538E-2</v>
      </c>
      <c r="P1559">
        <v>-0.93217300000000003</v>
      </c>
      <c r="Q1559">
        <v>0.35769659999999998</v>
      </c>
      <c r="R1559">
        <v>-5.574088E-2</v>
      </c>
      <c r="S1559">
        <v>-3.3265989999999999</v>
      </c>
      <c r="T1559">
        <v>-0.25640459999999998</v>
      </c>
      <c r="U1559">
        <v>0.17263789999999901</v>
      </c>
      <c r="V1559">
        <v>-6.5294599999999994E-2</v>
      </c>
      <c r="W1559">
        <v>0.37124590000000002</v>
      </c>
      <c r="X1559">
        <v>0.92623599999999995</v>
      </c>
      <c r="Y1559">
        <v>4.1633879999999998E-2</v>
      </c>
      <c r="Z1559">
        <v>1.2782589999999999E-3</v>
      </c>
      <c r="AA1559">
        <v>0.99913209999999997</v>
      </c>
      <c r="AB1559">
        <v>34</v>
      </c>
      <c r="AC1559">
        <v>-0.61280000000004897</v>
      </c>
      <c r="AD1559">
        <v>-7.7546999999999797E-2</v>
      </c>
      <c r="AE1559">
        <v>4.8499999999990002E-2</v>
      </c>
      <c r="AF1559">
        <v>4.1659711236532102E-2</v>
      </c>
      <c r="AG1559">
        <v>-7.7546999999999797E-2</v>
      </c>
      <c r="AH1559">
        <v>0.603651066581949</v>
      </c>
      <c r="AI1559">
        <v>97.303128520795099</v>
      </c>
      <c r="AJ1559">
        <v>86.052111747584405</v>
      </c>
      <c r="AK1559">
        <v>0.61003580135499902</v>
      </c>
      <c r="AL1559">
        <v>68.207524655501899</v>
      </c>
      <c r="AM1559">
        <v>94.032370041954806</v>
      </c>
      <c r="AN1559">
        <v>1.00000001537598</v>
      </c>
    </row>
    <row r="1560" spans="1:40" x14ac:dyDescent="0.25">
      <c r="A1560" t="str">
        <f>"20190304164628383"</f>
        <v>20190304164628383</v>
      </c>
      <c r="B1560" t="str">
        <f>"1551689188369355"</f>
        <v>1551689188369355</v>
      </c>
      <c r="C1560" t="s">
        <v>40</v>
      </c>
      <c r="D1560">
        <v>4.051857</v>
      </c>
      <c r="E1560">
        <v>0.55945800000000001</v>
      </c>
      <c r="F1560" t="s">
        <v>41</v>
      </c>
      <c r="G1560">
        <v>-305.74329999999998</v>
      </c>
      <c r="H1560">
        <v>1.040003</v>
      </c>
      <c r="I1560">
        <v>284.97320000000002</v>
      </c>
      <c r="J1560">
        <v>-305.14100000000002</v>
      </c>
      <c r="K1560">
        <v>1.1111629999999999</v>
      </c>
      <c r="L1560">
        <v>284.92829999999998</v>
      </c>
      <c r="M1560">
        <v>-0.99984470000000003</v>
      </c>
      <c r="N1560">
        <v>-1.461338E-2</v>
      </c>
      <c r="O1560">
        <v>9.8628880000000002E-3</v>
      </c>
      <c r="P1560">
        <v>-0.93194739999999998</v>
      </c>
      <c r="Q1560">
        <v>0.35828330000000003</v>
      </c>
      <c r="R1560">
        <v>-5.574498E-2</v>
      </c>
      <c r="S1560">
        <v>-3.327118</v>
      </c>
      <c r="T1560">
        <v>-0.25691160000000002</v>
      </c>
      <c r="U1560">
        <v>0.171875</v>
      </c>
      <c r="V1560">
        <v>-6.5101210000000007E-2</v>
      </c>
      <c r="W1560">
        <v>0.3718263</v>
      </c>
      <c r="X1560">
        <v>0.92601670000000003</v>
      </c>
      <c r="Y1560">
        <v>4.1608939999999997E-2</v>
      </c>
      <c r="Z1560">
        <v>1.291782E-3</v>
      </c>
      <c r="AA1560">
        <v>0.9991331</v>
      </c>
      <c r="AB1560">
        <v>34</v>
      </c>
      <c r="AC1560">
        <v>-0.60230000000001305</v>
      </c>
      <c r="AD1560">
        <v>-7.1159999999999807E-2</v>
      </c>
      <c r="AE1560">
        <v>4.4900000000040997E-2</v>
      </c>
      <c r="AF1560">
        <v>3.8423386712667498E-2</v>
      </c>
      <c r="AG1560">
        <v>-7.1159999999999807E-2</v>
      </c>
      <c r="AH1560">
        <v>0.59446151619057597</v>
      </c>
      <c r="AI1560">
        <v>96.812028313158507</v>
      </c>
      <c r="AJ1560">
        <v>86.301796303743004</v>
      </c>
      <c r="AK1560">
        <v>0.59993716044104906</v>
      </c>
      <c r="AL1560">
        <v>68.171704676108902</v>
      </c>
      <c r="AM1560">
        <v>94.021415170363895</v>
      </c>
      <c r="AN1560">
        <v>0.99999994679701998</v>
      </c>
    </row>
    <row r="1561" spans="1:40" x14ac:dyDescent="0.25">
      <c r="A1561" t="str">
        <f>"20190304164628405"</f>
        <v>20190304164628405</v>
      </c>
      <c r="B1561" t="str">
        <f>"1551689188399611"</f>
        <v>1551689188399611</v>
      </c>
      <c r="C1561" t="s">
        <v>40</v>
      </c>
      <c r="D1561">
        <v>4.0435019999999904</v>
      </c>
      <c r="E1561">
        <v>0.55940909999999999</v>
      </c>
      <c r="F1561" t="s">
        <v>41</v>
      </c>
      <c r="G1561">
        <v>-306.04969999999997</v>
      </c>
      <c r="H1561">
        <v>1.041053</v>
      </c>
      <c r="I1561">
        <v>284.97519999999997</v>
      </c>
      <c r="J1561">
        <v>-305.48630000000003</v>
      </c>
      <c r="K1561">
        <v>1.111164</v>
      </c>
      <c r="L1561">
        <v>284.93150000000003</v>
      </c>
      <c r="M1561">
        <v>-0.99984689999999998</v>
      </c>
      <c r="N1561">
        <v>-1.460958E-2</v>
      </c>
      <c r="O1561">
        <v>9.6343720000000004E-3</v>
      </c>
      <c r="P1561">
        <v>-0.93192010000000003</v>
      </c>
      <c r="Q1561">
        <v>0.35839260000000001</v>
      </c>
      <c r="R1561">
        <v>-5.5497390000000001E-2</v>
      </c>
      <c r="S1561">
        <v>-3.3280639999999999</v>
      </c>
      <c r="T1561">
        <v>-0.25689400000000001</v>
      </c>
      <c r="U1561">
        <v>0.17120360000000001</v>
      </c>
      <c r="V1561">
        <v>-6.4642089999999999E-2</v>
      </c>
      <c r="W1561">
        <v>0.37193209999999999</v>
      </c>
      <c r="X1561">
        <v>0.92600640000000001</v>
      </c>
      <c r="Y1561">
        <v>4.1621230000000002E-2</v>
      </c>
      <c r="Z1561">
        <v>1.3062010000000001E-3</v>
      </c>
      <c r="AA1561">
        <v>0.99913260000000004</v>
      </c>
      <c r="AB1561">
        <v>34</v>
      </c>
      <c r="AC1561">
        <v>-0.56339999999994395</v>
      </c>
      <c r="AD1561">
        <v>-7.0111000000000007E-2</v>
      </c>
      <c r="AE1561">
        <v>4.3699999999944297E-2</v>
      </c>
      <c r="AF1561">
        <v>3.7689223014146997E-2</v>
      </c>
      <c r="AG1561">
        <v>-7.0111000000000007E-2</v>
      </c>
      <c r="AH1561">
        <v>0.55524778025368504</v>
      </c>
      <c r="AI1561">
        <v>97.1802879796398</v>
      </c>
      <c r="AJ1561">
        <v>86.116821836304695</v>
      </c>
      <c r="AK1561">
        <v>0.56092435080771297</v>
      </c>
      <c r="AL1561">
        <v>68.165174969870193</v>
      </c>
      <c r="AM1561">
        <v>93.993190870564305</v>
      </c>
      <c r="AN1561">
        <v>0.99999996982546802</v>
      </c>
    </row>
    <row r="1562" spans="1:40" x14ac:dyDescent="0.25">
      <c r="A1562" t="str">
        <f>"20190304164628427"</f>
        <v>20190304164628427</v>
      </c>
      <c r="B1562" t="str">
        <f>"1551689188420106"</f>
        <v>1551689188420106</v>
      </c>
      <c r="C1562" t="s">
        <v>40</v>
      </c>
      <c r="D1562">
        <v>4.0219849999999999</v>
      </c>
      <c r="E1562">
        <v>0.55922309999999997</v>
      </c>
      <c r="F1562" t="s">
        <v>41</v>
      </c>
      <c r="G1562">
        <v>-306.35750000000002</v>
      </c>
      <c r="H1562">
        <v>1.0436379999999901</v>
      </c>
      <c r="I1562">
        <v>284.97669999999999</v>
      </c>
      <c r="J1562">
        <v>-305.8272</v>
      </c>
      <c r="K1562">
        <v>1.1111709999999999</v>
      </c>
      <c r="L1562">
        <v>284.93450000000001</v>
      </c>
      <c r="M1562">
        <v>-0.99984919999999999</v>
      </c>
      <c r="N1562">
        <v>-1.460581E-2</v>
      </c>
      <c r="O1562">
        <v>9.4104480000000001E-3</v>
      </c>
      <c r="P1562">
        <v>-0.93175030000000003</v>
      </c>
      <c r="Q1562">
        <v>0.3588481</v>
      </c>
      <c r="R1562">
        <v>-5.5403729999999998E-2</v>
      </c>
      <c r="S1562">
        <v>-3.3286739999999999</v>
      </c>
      <c r="T1562">
        <v>-0.25823259999999998</v>
      </c>
      <c r="U1562">
        <v>0.17156979999999999</v>
      </c>
      <c r="V1562">
        <v>-6.4340389999999997E-2</v>
      </c>
      <c r="W1562">
        <v>0.37238130000000003</v>
      </c>
      <c r="X1562">
        <v>0.92584690000000003</v>
      </c>
      <c r="Y1562">
        <v>4.1942510000000002E-2</v>
      </c>
      <c r="Z1562">
        <v>1.3392549999999999E-3</v>
      </c>
      <c r="AA1562">
        <v>0.99911910000000004</v>
      </c>
      <c r="AB1562">
        <v>34</v>
      </c>
      <c r="AC1562">
        <v>-0.53030000000001098</v>
      </c>
      <c r="AD1562">
        <v>-6.7532999999999996E-2</v>
      </c>
      <c r="AE1562">
        <v>4.2199999999979802E-2</v>
      </c>
      <c r="AF1562">
        <v>3.6617130697684401E-2</v>
      </c>
      <c r="AG1562">
        <v>-6.7532999999999996E-2</v>
      </c>
      <c r="AH1562">
        <v>0.52225717347112399</v>
      </c>
      <c r="AI1562">
        <v>97.350177484963297</v>
      </c>
      <c r="AJ1562">
        <v>85.989371866626996</v>
      </c>
      <c r="AK1562">
        <v>0.52787695118425004</v>
      </c>
      <c r="AL1562">
        <v>68.137446625520994</v>
      </c>
      <c r="AM1562">
        <v>93.975296102243803</v>
      </c>
      <c r="AN1562">
        <v>1.0000000003073199</v>
      </c>
    </row>
    <row r="1563" spans="1:40" x14ac:dyDescent="0.25">
      <c r="A1563" t="str">
        <f>"20190304164628449"</f>
        <v>20190304164628449</v>
      </c>
      <c r="B1563" t="str">
        <f>"1551689188439627"</f>
        <v>1551689188439627</v>
      </c>
      <c r="C1563" t="s">
        <v>40</v>
      </c>
      <c r="D1563">
        <v>4.0176420000000004</v>
      </c>
      <c r="E1563">
        <v>0.55906060000000002</v>
      </c>
      <c r="F1563" t="s">
        <v>41</v>
      </c>
      <c r="G1563">
        <v>-306.66559999999998</v>
      </c>
      <c r="H1563">
        <v>1.046821</v>
      </c>
      <c r="I1563">
        <v>284.97820000000002</v>
      </c>
      <c r="J1563">
        <v>-306.15109999999999</v>
      </c>
      <c r="K1563">
        <v>1.111167</v>
      </c>
      <c r="L1563">
        <v>284.93729999999999</v>
      </c>
      <c r="M1563">
        <v>-0.99985109999999999</v>
      </c>
      <c r="N1563">
        <v>-1.4602260000000001E-2</v>
      </c>
      <c r="O1563">
        <v>9.1985150000000009E-3</v>
      </c>
      <c r="P1563">
        <v>-0.93182779999999998</v>
      </c>
      <c r="Q1563">
        <v>0.35870839999999998</v>
      </c>
      <c r="R1563">
        <v>-5.5003870000000003E-2</v>
      </c>
      <c r="S1563">
        <v>-3.32843</v>
      </c>
      <c r="T1563">
        <v>-0.25558189999999997</v>
      </c>
      <c r="U1563">
        <v>0.17285159999999999</v>
      </c>
      <c r="V1563">
        <v>-6.3744309999999998E-2</v>
      </c>
      <c r="W1563">
        <v>0.37224000000000002</v>
      </c>
      <c r="X1563">
        <v>0.92594489999999996</v>
      </c>
      <c r="Y1563">
        <v>4.2541599999999999E-2</v>
      </c>
      <c r="Z1563">
        <v>1.37052299999999E-3</v>
      </c>
      <c r="AA1563">
        <v>0.99909380000000003</v>
      </c>
      <c r="AB1563">
        <v>34</v>
      </c>
      <c r="AC1563">
        <v>-0.51449999999999796</v>
      </c>
      <c r="AD1563">
        <v>-6.4346E-2</v>
      </c>
      <c r="AE1563">
        <v>4.0900000000021898E-2</v>
      </c>
      <c r="AF1563">
        <v>3.5611615348990502E-2</v>
      </c>
      <c r="AG1563">
        <v>-6.4346E-2</v>
      </c>
      <c r="AH1563">
        <v>0.50697455209446796</v>
      </c>
      <c r="AI1563">
        <v>97.215802073232396</v>
      </c>
      <c r="AJ1563">
        <v>85.981949604919194</v>
      </c>
      <c r="AK1563">
        <v>0.51228096913232102</v>
      </c>
      <c r="AL1563">
        <v>68.146168619580195</v>
      </c>
      <c r="AM1563">
        <v>93.938167977328803</v>
      </c>
      <c r="AN1563">
        <v>0.99999995624669102</v>
      </c>
    </row>
    <row r="1564" spans="1:40" x14ac:dyDescent="0.25">
      <c r="A1564" t="str">
        <f>"20190304164628470"</f>
        <v>20190304164628470</v>
      </c>
      <c r="B1564" t="str">
        <f>"1551689188460123"</f>
        <v>1551689188460123</v>
      </c>
      <c r="C1564" t="s">
        <v>40</v>
      </c>
      <c r="D1564">
        <v>4.0088949999999999</v>
      </c>
      <c r="E1564">
        <v>0.55892909999999996</v>
      </c>
      <c r="F1564" t="s">
        <v>41</v>
      </c>
      <c r="G1564">
        <v>-306.97160000000002</v>
      </c>
      <c r="H1564">
        <v>1.0481290000000001</v>
      </c>
      <c r="I1564">
        <v>284.9803</v>
      </c>
      <c r="J1564">
        <v>-306.48599999999999</v>
      </c>
      <c r="K1564">
        <v>1.1111690000000001</v>
      </c>
      <c r="L1564">
        <v>284.9402</v>
      </c>
      <c r="M1564">
        <v>-0.99985310000000005</v>
      </c>
      <c r="N1564">
        <v>-1.459858E-2</v>
      </c>
      <c r="O1564">
        <v>8.9795580000000003E-3</v>
      </c>
      <c r="P1564">
        <v>-0.93216880000000002</v>
      </c>
      <c r="Q1564">
        <v>0.3578633</v>
      </c>
      <c r="R1564">
        <v>-5.473165E-2</v>
      </c>
      <c r="S1564">
        <v>-3.3281860000000001</v>
      </c>
      <c r="T1564">
        <v>-0.2558491</v>
      </c>
      <c r="U1564">
        <v>0.173309299999999</v>
      </c>
      <c r="V1564">
        <v>-6.327149E-2</v>
      </c>
      <c r="W1564">
        <v>0.37139680000000003</v>
      </c>
      <c r="X1564">
        <v>0.92631589999999997</v>
      </c>
      <c r="Y1564">
        <v>4.2899310000000003E-2</v>
      </c>
      <c r="Z1564">
        <v>1.40138E-3</v>
      </c>
      <c r="AA1564">
        <v>0.99907840000000003</v>
      </c>
      <c r="AB1564">
        <v>34</v>
      </c>
      <c r="AC1564">
        <v>-0.48560000000003301</v>
      </c>
      <c r="AD1564">
        <v>-6.3039999999999902E-2</v>
      </c>
      <c r="AE1564">
        <v>4.0099999999995299E-2</v>
      </c>
      <c r="AF1564">
        <v>3.5149092176057502E-2</v>
      </c>
      <c r="AG1564">
        <v>-6.3039999999999902E-2</v>
      </c>
      <c r="AH1564">
        <v>0.47794040141496802</v>
      </c>
      <c r="AI1564">
        <v>97.493891587088299</v>
      </c>
      <c r="AJ1564">
        <v>85.793878028796996</v>
      </c>
      <c r="AK1564">
        <v>0.48335962552275902</v>
      </c>
      <c r="AL1564">
        <v>68.198212753454797</v>
      </c>
      <c r="AM1564">
        <v>93.907486960188507</v>
      </c>
      <c r="AN1564">
        <v>1.0000000055449301</v>
      </c>
    </row>
    <row r="1565" spans="1:40" x14ac:dyDescent="0.25">
      <c r="A1565" t="str">
        <f>"20190304164628492"</f>
        <v>20190304164628492</v>
      </c>
      <c r="B1565" t="str">
        <f>"1551689188479643"</f>
        <v>1551689188479643</v>
      </c>
      <c r="C1565" t="s">
        <v>40</v>
      </c>
      <c r="D1565">
        <v>4.0082779999999998</v>
      </c>
      <c r="E1565">
        <v>0.55882129999999997</v>
      </c>
      <c r="F1565" t="s">
        <v>41</v>
      </c>
      <c r="G1565">
        <v>-307.27749999999997</v>
      </c>
      <c r="H1565">
        <v>1.0496749999999999</v>
      </c>
      <c r="I1565">
        <v>284.98169999999999</v>
      </c>
      <c r="J1565">
        <v>-306.80189999999999</v>
      </c>
      <c r="K1565">
        <v>1.111173</v>
      </c>
      <c r="L1565">
        <v>284.94290000000001</v>
      </c>
      <c r="M1565">
        <v>-0.99985500000000005</v>
      </c>
      <c r="N1565">
        <v>-1.459512E-2</v>
      </c>
      <c r="O1565">
        <v>8.7731779999999995E-3</v>
      </c>
      <c r="P1565">
        <v>-0.93211169999999999</v>
      </c>
      <c r="Q1565">
        <v>0.35797410000000002</v>
      </c>
      <c r="R1565">
        <v>-5.4977470000000001E-2</v>
      </c>
      <c r="S1565">
        <v>-3.3278500000000002</v>
      </c>
      <c r="T1565">
        <v>-0.25881530000000003</v>
      </c>
      <c r="U1565">
        <v>0.172821</v>
      </c>
      <c r="V1565">
        <v>-6.332467E-2</v>
      </c>
      <c r="W1565">
        <v>0.37150349999999999</v>
      </c>
      <c r="X1565">
        <v>0.92626949999999997</v>
      </c>
      <c r="Y1565">
        <v>4.2961199999999998E-2</v>
      </c>
      <c r="Z1565">
        <v>1.4283E-3</v>
      </c>
      <c r="AA1565">
        <v>0.99907570000000001</v>
      </c>
      <c r="AB1565">
        <v>34</v>
      </c>
      <c r="AC1565">
        <v>-0.47559999999998498</v>
      </c>
      <c r="AD1565">
        <v>-6.1497999999999997E-2</v>
      </c>
      <c r="AE1565">
        <v>3.87999999999806E-2</v>
      </c>
      <c r="AF1565">
        <v>3.4059820812576899E-2</v>
      </c>
      <c r="AG1565">
        <v>-6.1497999999999997E-2</v>
      </c>
      <c r="AH1565">
        <v>0.46814643441037301</v>
      </c>
      <c r="AI1565">
        <v>97.464295137120104</v>
      </c>
      <c r="AJ1565">
        <v>85.838798476883099</v>
      </c>
      <c r="AK1565">
        <v>0.473395352162366</v>
      </c>
      <c r="AL1565">
        <v>68.191628644378099</v>
      </c>
      <c r="AM1565">
        <v>93.910956330921707</v>
      </c>
      <c r="AN1565">
        <v>1.00000002548655</v>
      </c>
    </row>
    <row r="1566" spans="1:40" x14ac:dyDescent="0.25">
      <c r="A1566" t="str">
        <f>"20190304164628513"</f>
        <v>20190304164628513</v>
      </c>
      <c r="B1566" t="str">
        <f>"1551689188509898"</f>
        <v>1551689188509898</v>
      </c>
      <c r="C1566" t="s">
        <v>40</v>
      </c>
      <c r="D1566">
        <v>4.0047569999999997</v>
      </c>
      <c r="E1566">
        <v>0.55867679999999997</v>
      </c>
      <c r="F1566" t="s">
        <v>41</v>
      </c>
      <c r="G1566">
        <v>-307.58940000000001</v>
      </c>
      <c r="H1566">
        <v>1.050079</v>
      </c>
      <c r="I1566">
        <v>284.98360000000002</v>
      </c>
      <c r="J1566">
        <v>-307.14359999999999</v>
      </c>
      <c r="K1566">
        <v>1.1111789999999999</v>
      </c>
      <c r="L1566">
        <v>284.94560000000001</v>
      </c>
      <c r="M1566">
        <v>-0.99985710000000005</v>
      </c>
      <c r="N1566">
        <v>-1.4591369999999999E-2</v>
      </c>
      <c r="O1566">
        <v>8.5496429999999991E-3</v>
      </c>
      <c r="P1566">
        <v>-0.9319347</v>
      </c>
      <c r="Q1566">
        <v>0.35842869999999999</v>
      </c>
      <c r="R1566">
        <v>-5.5017870000000003E-2</v>
      </c>
      <c r="S1566">
        <v>-3.3278500000000002</v>
      </c>
      <c r="T1566">
        <v>-0.25835439999999998</v>
      </c>
      <c r="U1566">
        <v>0.1710815</v>
      </c>
      <c r="V1566">
        <v>-6.3155639999999999E-2</v>
      </c>
      <c r="W1566">
        <v>0.37195279999999997</v>
      </c>
      <c r="X1566">
        <v>0.9261007</v>
      </c>
      <c r="Y1566">
        <v>4.2664769999999998E-2</v>
      </c>
      <c r="Z1566">
        <v>1.4268529999999901E-3</v>
      </c>
      <c r="AA1566">
        <v>0.99908839999999999</v>
      </c>
      <c r="AB1566">
        <v>34</v>
      </c>
      <c r="AC1566">
        <v>-0.44580000000001901</v>
      </c>
      <c r="AD1566">
        <v>-6.1100000000000099E-2</v>
      </c>
      <c r="AE1566">
        <v>3.80000000000109E-2</v>
      </c>
      <c r="AF1566">
        <v>3.3560893724693001E-2</v>
      </c>
      <c r="AG1566">
        <v>-6.1100000000000099E-2</v>
      </c>
      <c r="AH1566">
        <v>0.43794140533696102</v>
      </c>
      <c r="AI1566">
        <v>97.919507576931096</v>
      </c>
      <c r="AJ1566">
        <v>85.617800518891897</v>
      </c>
      <c r="AK1566">
        <v>0.443454865906456</v>
      </c>
      <c r="AL1566">
        <v>68.163898281148093</v>
      </c>
      <c r="AM1566">
        <v>93.901257995924496</v>
      </c>
      <c r="AN1566">
        <v>1.00000001341606</v>
      </c>
    </row>
    <row r="1567" spans="1:40" x14ac:dyDescent="0.25">
      <c r="A1567" t="str">
        <f>"20190304164628537"</f>
        <v>20190304164628537</v>
      </c>
      <c r="B1567" t="str">
        <f>"1551689188529419"</f>
        <v>1551689188529419</v>
      </c>
      <c r="C1567" t="s">
        <v>40</v>
      </c>
      <c r="D1567">
        <v>3.9926740000000001</v>
      </c>
      <c r="E1567">
        <v>0.55861019999999995</v>
      </c>
      <c r="F1567" t="s">
        <v>49</v>
      </c>
      <c r="G1567">
        <v>-321.51580000000001</v>
      </c>
      <c r="H1567" s="1">
        <v>-7.7643740000000003E-7</v>
      </c>
      <c r="I1567">
        <v>285.67559999999997</v>
      </c>
      <c r="J1567">
        <v>-307.4896</v>
      </c>
      <c r="K1567">
        <v>1.111178</v>
      </c>
      <c r="L1567">
        <v>284.94830000000002</v>
      </c>
      <c r="M1567">
        <v>-0.99985900000000005</v>
      </c>
      <c r="N1567">
        <v>-1.4587579999999999E-2</v>
      </c>
      <c r="O1567">
        <v>8.3221849999999993E-3</v>
      </c>
      <c r="P1567">
        <v>-0.93184080000000002</v>
      </c>
      <c r="Q1567">
        <v>0.35864059999999998</v>
      </c>
      <c r="R1567">
        <v>-5.5229590000000002E-2</v>
      </c>
      <c r="S1567">
        <v>-3.328033</v>
      </c>
      <c r="T1567">
        <v>-0.25730540000000002</v>
      </c>
      <c r="U1567">
        <v>0.16903689999999999</v>
      </c>
      <c r="V1567">
        <v>-6.315395E-2</v>
      </c>
      <c r="W1567">
        <v>0.37215999999999999</v>
      </c>
      <c r="X1567">
        <v>0.9260176</v>
      </c>
      <c r="Y1567">
        <v>4.2278910000000003E-2</v>
      </c>
      <c r="Z1567">
        <v>1.4192129999999999E-3</v>
      </c>
      <c r="AA1567">
        <v>0.99910489999999996</v>
      </c>
      <c r="AB1567">
        <v>34</v>
      </c>
      <c r="AC1567">
        <v>-14.026199999999999</v>
      </c>
      <c r="AD1567">
        <v>-1.1111787764373999</v>
      </c>
      <c r="AE1567">
        <v>0.72729999999995698</v>
      </c>
      <c r="AF1567">
        <v>0.60673605239234696</v>
      </c>
      <c r="AG1567">
        <v>-1.1111787764373999</v>
      </c>
      <c r="AH1567">
        <v>13.9444856395549</v>
      </c>
      <c r="AI1567">
        <v>94.551749691583893</v>
      </c>
      <c r="AJ1567">
        <v>87.508584903912705</v>
      </c>
      <c r="AK1567">
        <v>14.0018401170072</v>
      </c>
      <c r="AL1567">
        <v>68.1511090522784</v>
      </c>
      <c r="AM1567">
        <v>93.901502928354503</v>
      </c>
      <c r="AN1567">
        <v>1.0000000412551799</v>
      </c>
    </row>
    <row r="1568" spans="1:40" x14ac:dyDescent="0.25">
      <c r="A1568" t="str">
        <f>"20190304164628562"</f>
        <v>20190304164628562</v>
      </c>
      <c r="B1568" t="str">
        <f>"1551689188549916"</f>
        <v>1551689188549916</v>
      </c>
      <c r="C1568" t="s">
        <v>40</v>
      </c>
      <c r="D1568">
        <v>3.9899580000000001</v>
      </c>
      <c r="E1568">
        <v>0.55853640000000004</v>
      </c>
      <c r="F1568" t="s">
        <v>41</v>
      </c>
      <c r="G1568">
        <v>-308.48050000000001</v>
      </c>
      <c r="H1568">
        <v>1.0347649999999999</v>
      </c>
      <c r="I1568">
        <v>284.99810000000002</v>
      </c>
      <c r="J1568">
        <v>-307.87189999999998</v>
      </c>
      <c r="K1568">
        <v>1.111181</v>
      </c>
      <c r="L1568">
        <v>284.95119999999997</v>
      </c>
      <c r="M1568">
        <v>-0.99986109999999995</v>
      </c>
      <c r="N1568">
        <v>-1.458336E-2</v>
      </c>
      <c r="O1568">
        <v>8.0709489999999991E-3</v>
      </c>
      <c r="P1568">
        <v>-0.93198749999999997</v>
      </c>
      <c r="Q1568">
        <v>0.35822589999999999</v>
      </c>
      <c r="R1568">
        <v>-5.5443310000000003E-2</v>
      </c>
      <c r="S1568">
        <v>-3.328125</v>
      </c>
      <c r="T1568">
        <v>-0.25673820000000003</v>
      </c>
      <c r="U1568">
        <v>0.16674800000000001</v>
      </c>
      <c r="V1568">
        <v>-6.3133519999999999E-2</v>
      </c>
      <c r="W1568">
        <v>0.3717435</v>
      </c>
      <c r="X1568">
        <v>0.92618630000000002</v>
      </c>
      <c r="Y1568">
        <v>4.1844770000000003E-2</v>
      </c>
      <c r="Z1568">
        <v>1.4126970000000001E-3</v>
      </c>
      <c r="AA1568">
        <v>0.99912310000000004</v>
      </c>
      <c r="AB1568">
        <v>34</v>
      </c>
      <c r="AC1568">
        <v>-0.60860000000002301</v>
      </c>
      <c r="AD1568">
        <v>-7.6415999999999998E-2</v>
      </c>
      <c r="AE1568">
        <v>4.6900000000050499E-2</v>
      </c>
      <c r="AF1568">
        <v>4.1338106261968099E-2</v>
      </c>
      <c r="AG1568">
        <v>-7.6415999999999998E-2</v>
      </c>
      <c r="AH1568">
        <v>0.59956221118920106</v>
      </c>
      <c r="AI1568">
        <v>97.246338798549502</v>
      </c>
      <c r="AJ1568">
        <v>86.055861103508903</v>
      </c>
      <c r="AK1568">
        <v>0.605824305530416</v>
      </c>
      <c r="AL1568">
        <v>68.176817838332397</v>
      </c>
      <c r="AM1568">
        <v>93.899536489581706</v>
      </c>
      <c r="AN1568">
        <v>1.0000000667237601</v>
      </c>
    </row>
    <row r="1569" spans="1:40" x14ac:dyDescent="0.25">
      <c r="A1569" t="str">
        <f>"20190304164628583"</f>
        <v>20190304164628583</v>
      </c>
      <c r="B1569" t="str">
        <f>"1551689188580171"</f>
        <v>1551689188580171</v>
      </c>
      <c r="C1569" t="s">
        <v>40</v>
      </c>
      <c r="D1569">
        <v>3.9958469999999999</v>
      </c>
      <c r="E1569">
        <v>0.55843089999999995</v>
      </c>
      <c r="F1569" t="s">
        <v>41</v>
      </c>
      <c r="G1569">
        <v>-308.78590000000003</v>
      </c>
      <c r="H1569">
        <v>1.040232</v>
      </c>
      <c r="I1569">
        <v>284.99689999999998</v>
      </c>
      <c r="J1569">
        <v>-308.18279999999999</v>
      </c>
      <c r="K1569">
        <v>1.1111850000000001</v>
      </c>
      <c r="L1569">
        <v>284.95350000000002</v>
      </c>
      <c r="M1569">
        <v>-0.99986269999999999</v>
      </c>
      <c r="N1569">
        <v>-1.457992E-2</v>
      </c>
      <c r="O1569">
        <v>7.8666090000000001E-3</v>
      </c>
      <c r="P1569">
        <v>-0.9316875</v>
      </c>
      <c r="Q1569">
        <v>0.35900189999999998</v>
      </c>
      <c r="R1569">
        <v>-5.5461459999999997E-2</v>
      </c>
      <c r="S1569">
        <v>-3.328125</v>
      </c>
      <c r="T1569">
        <v>-0.2584476</v>
      </c>
      <c r="U1569">
        <v>0.16543579999999999</v>
      </c>
      <c r="V1569">
        <v>-6.2959360000000006E-2</v>
      </c>
      <c r="W1569">
        <v>0.37251230000000002</v>
      </c>
      <c r="X1569">
        <v>0.92588910000000002</v>
      </c>
      <c r="Y1569">
        <v>4.1654709999999998E-2</v>
      </c>
      <c r="Z1569">
        <v>1.4232820000000001E-3</v>
      </c>
      <c r="AA1569">
        <v>0.99913099999999999</v>
      </c>
      <c r="AB1569">
        <v>34</v>
      </c>
      <c r="AC1569">
        <v>-0.60310000000004005</v>
      </c>
      <c r="AD1569">
        <v>-7.0953000000000002E-2</v>
      </c>
      <c r="AE1569">
        <v>4.3399999999962802E-2</v>
      </c>
      <c r="AF1569">
        <v>3.8128784160475798E-2</v>
      </c>
      <c r="AG1569">
        <v>-7.0953000000000002E-2</v>
      </c>
      <c r="AH1569">
        <v>0.59522677802705004</v>
      </c>
      <c r="AI1569">
        <v>96.783995588572097</v>
      </c>
      <c r="AJ1569">
        <v>86.334779071083901</v>
      </c>
      <c r="AK1569">
        <v>0.60065218693601696</v>
      </c>
      <c r="AL1569">
        <v>68.129358077438994</v>
      </c>
      <c r="AM1569">
        <v>93.890056721186895</v>
      </c>
      <c r="AN1569">
        <v>0.99999996008085401</v>
      </c>
    </row>
    <row r="1570" spans="1:40" x14ac:dyDescent="0.25">
      <c r="A1570" t="str">
        <f>"20190304164628627"</f>
        <v>20190304164628627</v>
      </c>
      <c r="B1570" t="str">
        <f>"1551689188620186"</f>
        <v>1551689188620186</v>
      </c>
      <c r="C1570" t="s">
        <v>40</v>
      </c>
      <c r="D1570">
        <v>3.9787720000000002</v>
      </c>
      <c r="E1570">
        <v>0.55831649999999999</v>
      </c>
      <c r="F1570" t="s">
        <v>41</v>
      </c>
      <c r="G1570">
        <v>-309.08909999999997</v>
      </c>
      <c r="H1570">
        <v>1.0415239999999999</v>
      </c>
      <c r="I1570">
        <v>284.99849999999998</v>
      </c>
      <c r="J1570">
        <v>-308.86070000000001</v>
      </c>
      <c r="K1570">
        <v>1.1111899999999999</v>
      </c>
      <c r="L1570">
        <v>284.95830000000001</v>
      </c>
      <c r="M1570">
        <v>-0.99986620000000004</v>
      </c>
      <c r="N1570">
        <v>-1.4572379999999999E-2</v>
      </c>
      <c r="O1570">
        <v>7.4213400000000002E-3</v>
      </c>
      <c r="P1570">
        <v>-0.93148419999999998</v>
      </c>
      <c r="Q1570">
        <v>0.35956440000000001</v>
      </c>
      <c r="R1570">
        <v>-5.5234930000000002E-2</v>
      </c>
      <c r="S1570">
        <v>-3.3283999999999998</v>
      </c>
      <c r="T1570">
        <v>-0.25600060000000002</v>
      </c>
      <c r="U1570">
        <v>0.16433719999999999</v>
      </c>
      <c r="V1570">
        <v>-6.2316160000000002E-2</v>
      </c>
      <c r="W1570">
        <v>0.3730658</v>
      </c>
      <c r="X1570">
        <v>0.92570980000000003</v>
      </c>
      <c r="Y1570">
        <v>4.1767569999999997E-2</v>
      </c>
      <c r="Z1570">
        <v>1.4463519999999999E-3</v>
      </c>
      <c r="AA1570">
        <v>0.99912630000000002</v>
      </c>
      <c r="AB1570">
        <v>34</v>
      </c>
      <c r="AC1570">
        <v>-0.22839999999996499</v>
      </c>
      <c r="AD1570">
        <v>-6.9665999999999895E-2</v>
      </c>
      <c r="AE1570">
        <v>4.0199999999970197E-2</v>
      </c>
      <c r="AF1570">
        <v>3.5316693699055803E-2</v>
      </c>
      <c r="AG1570">
        <v>-6.9665999999999895E-2</v>
      </c>
      <c r="AH1570">
        <v>0.20976302509535399</v>
      </c>
      <c r="AI1570">
        <v>108.134045143253</v>
      </c>
      <c r="AJ1570">
        <v>80.443041952592097</v>
      </c>
      <c r="AK1570">
        <v>0.22383285528935901</v>
      </c>
      <c r="AL1570">
        <v>68.095182514725195</v>
      </c>
      <c r="AM1570">
        <v>93.851179161262394</v>
      </c>
      <c r="AN1570">
        <v>1.0000000143714101</v>
      </c>
    </row>
    <row r="1571" spans="1:40" x14ac:dyDescent="0.25">
      <c r="A1571" t="str">
        <f>"20190304164628651"</f>
        <v>20190304164628651</v>
      </c>
      <c r="B1571" t="str">
        <f>"1551689188639707"</f>
        <v>1551689188639707</v>
      </c>
      <c r="C1571" t="s">
        <v>40</v>
      </c>
      <c r="D1571">
        <v>3.97723</v>
      </c>
      <c r="E1571">
        <v>0.55827559999999998</v>
      </c>
      <c r="F1571" t="s">
        <v>41</v>
      </c>
      <c r="G1571">
        <v>-309.69799999999998</v>
      </c>
      <c r="H1571">
        <v>1.04721</v>
      </c>
      <c r="I1571">
        <v>284.99939999999998</v>
      </c>
      <c r="J1571">
        <v>-309.2124</v>
      </c>
      <c r="K1571">
        <v>1.111191</v>
      </c>
      <c r="L1571">
        <v>284.96069999999997</v>
      </c>
      <c r="M1571">
        <v>-0.99986799999999998</v>
      </c>
      <c r="N1571">
        <v>-1.456845E-2</v>
      </c>
      <c r="O1571">
        <v>7.1909510000000001E-3</v>
      </c>
      <c r="P1571">
        <v>-0.93120860000000005</v>
      </c>
      <c r="Q1571">
        <v>0.36017890000000002</v>
      </c>
      <c r="R1571">
        <v>-5.5873810000000003E-2</v>
      </c>
      <c r="S1571">
        <v>-3.3285830000000001</v>
      </c>
      <c r="T1571">
        <v>-0.25446029999999997</v>
      </c>
      <c r="U1571">
        <v>0.16296389999999999</v>
      </c>
      <c r="V1571">
        <v>-6.2738829999999995E-2</v>
      </c>
      <c r="W1571">
        <v>0.37367270000000002</v>
      </c>
      <c r="X1571">
        <v>0.92543640000000005</v>
      </c>
      <c r="Y1571">
        <v>4.1585480000000001E-2</v>
      </c>
      <c r="Z1571">
        <v>1.445937E-3</v>
      </c>
      <c r="AA1571">
        <v>0.99913390000000002</v>
      </c>
      <c r="AB1571">
        <v>34</v>
      </c>
      <c r="AC1571">
        <v>-0.485599999999976</v>
      </c>
      <c r="AD1571">
        <v>-6.3980999999999996E-2</v>
      </c>
      <c r="AE1571">
        <v>3.8700000000005702E-2</v>
      </c>
      <c r="AF1571">
        <v>3.4609677563882398E-2</v>
      </c>
      <c r="AG1571">
        <v>-6.3980999999999996E-2</v>
      </c>
      <c r="AH1571">
        <v>0.477626589502401</v>
      </c>
      <c r="AI1571">
        <v>97.6099816963183</v>
      </c>
      <c r="AJ1571">
        <v>85.855489012104101</v>
      </c>
      <c r="AK1571">
        <v>0.48313409850865502</v>
      </c>
      <c r="AL1571">
        <v>68.057698417676605</v>
      </c>
      <c r="AM1571">
        <v>93.878362982859898</v>
      </c>
      <c r="AN1571">
        <v>0.99999998898000897</v>
      </c>
    </row>
    <row r="1572" spans="1:40" x14ac:dyDescent="0.25">
      <c r="A1572" t="str">
        <f>"20190304164628671"</f>
        <v>20190304164628671</v>
      </c>
      <c r="B1572" t="str">
        <f>"1551689188659734"</f>
        <v>1551689188659734</v>
      </c>
      <c r="C1572" t="s">
        <v>40</v>
      </c>
      <c r="D1572">
        <v>3.981328</v>
      </c>
      <c r="E1572">
        <v>0.55823009999999995</v>
      </c>
      <c r="F1572" t="s">
        <v>49</v>
      </c>
      <c r="G1572">
        <v>-323.89960000000002</v>
      </c>
      <c r="H1572" s="1">
        <v>4.9212800000000005E-7</v>
      </c>
      <c r="I1572">
        <v>285.67419999999998</v>
      </c>
      <c r="J1572">
        <v>-309.5188</v>
      </c>
      <c r="K1572">
        <v>1.1111899999999999</v>
      </c>
      <c r="L1572">
        <v>284.96260000000001</v>
      </c>
      <c r="M1572">
        <v>-0.99986949999999997</v>
      </c>
      <c r="N1572">
        <v>-1.456501E-2</v>
      </c>
      <c r="O1572">
        <v>6.9900639999999998E-3</v>
      </c>
      <c r="P1572">
        <v>-0.93109359999999997</v>
      </c>
      <c r="Q1572">
        <v>0.36049150000000002</v>
      </c>
      <c r="R1572">
        <v>-5.5775869999999998E-2</v>
      </c>
      <c r="S1572">
        <v>-3.3287049999999998</v>
      </c>
      <c r="T1572">
        <v>-0.25184050000000002</v>
      </c>
      <c r="U1572">
        <v>0.16171259999999901</v>
      </c>
      <c r="V1572">
        <v>-6.2452899999999999E-2</v>
      </c>
      <c r="W1572">
        <v>0.37398049999999999</v>
      </c>
      <c r="X1572">
        <v>0.92533140000000003</v>
      </c>
      <c r="Y1572">
        <v>4.1412350000000001E-2</v>
      </c>
      <c r="Z1572">
        <v>1.4395949999999999E-3</v>
      </c>
      <c r="AA1572">
        <v>0.9991411</v>
      </c>
      <c r="AB1572">
        <v>34</v>
      </c>
      <c r="AC1572">
        <v>-14.380800000000001</v>
      </c>
      <c r="AD1572">
        <v>-1.111189507872</v>
      </c>
      <c r="AE1572">
        <v>0.71159999999997503</v>
      </c>
      <c r="AF1572">
        <v>0.60743142915653703</v>
      </c>
      <c r="AG1572">
        <v>-1.111189507872</v>
      </c>
      <c r="AH1572">
        <v>14.3002522406662</v>
      </c>
      <c r="AI1572">
        <v>94.439206884264394</v>
      </c>
      <c r="AJ1572">
        <v>87.567710868356102</v>
      </c>
      <c r="AK1572">
        <v>14.3562156994875</v>
      </c>
      <c r="AL1572">
        <v>68.038684231845096</v>
      </c>
      <c r="AM1572">
        <v>93.861177820909901</v>
      </c>
      <c r="AN1572">
        <v>0.99999998946230995</v>
      </c>
    </row>
    <row r="1573" spans="1:40" x14ac:dyDescent="0.25">
      <c r="A1573" t="str">
        <f>"20190304164628694"</f>
        <v>20190304164628694</v>
      </c>
      <c r="B1573" t="str">
        <f>"1551689188689991"</f>
        <v>1551689188689991</v>
      </c>
      <c r="C1573" t="s">
        <v>40</v>
      </c>
      <c r="D1573">
        <v>3.9543940000000002</v>
      </c>
      <c r="E1573">
        <v>0.55816899999999903</v>
      </c>
      <c r="F1573" t="s">
        <v>49</v>
      </c>
      <c r="G1573">
        <v>-324.26400000000001</v>
      </c>
      <c r="H1573" s="1">
        <v>6.8587310000000001E-7</v>
      </c>
      <c r="I1573">
        <v>285.67860000000002</v>
      </c>
      <c r="J1573">
        <v>-309.86239999999998</v>
      </c>
      <c r="K1573">
        <v>1.1111930000000001</v>
      </c>
      <c r="L1573">
        <v>284.96480000000003</v>
      </c>
      <c r="M1573">
        <v>-0.99987119999999996</v>
      </c>
      <c r="N1573">
        <v>-1.456115E-2</v>
      </c>
      <c r="O1573">
        <v>6.7646869999999897E-3</v>
      </c>
      <c r="P1573">
        <v>-0.93120689999999995</v>
      </c>
      <c r="Q1573">
        <v>0.36022759999999998</v>
      </c>
      <c r="R1573">
        <v>-5.5585089999999997E-2</v>
      </c>
      <c r="S1573">
        <v>-3.3288269999999902</v>
      </c>
      <c r="T1573">
        <v>-0.25085879999999999</v>
      </c>
      <c r="U1573">
        <v>0.16162109999999999</v>
      </c>
      <c r="V1573">
        <v>-6.2052789999999997E-2</v>
      </c>
      <c r="W1573">
        <v>0.37371510000000002</v>
      </c>
      <c r="X1573">
        <v>0.92546550000000005</v>
      </c>
      <c r="Y1573">
        <v>4.1608199999999998E-2</v>
      </c>
      <c r="Z1573">
        <v>1.4578879999999901E-3</v>
      </c>
      <c r="AA1573">
        <v>0.99913289999999999</v>
      </c>
      <c r="AB1573">
        <v>34</v>
      </c>
      <c r="AC1573">
        <v>-14.4016</v>
      </c>
      <c r="AD1573">
        <v>-1.11119231412689</v>
      </c>
      <c r="AE1573">
        <v>0.713799999999992</v>
      </c>
      <c r="AF1573">
        <v>0.61271231350603805</v>
      </c>
      <c r="AG1573">
        <v>-1.11119231412689</v>
      </c>
      <c r="AH1573">
        <v>14.3210511275659</v>
      </c>
      <c r="AI1573">
        <v>94.4327388682091</v>
      </c>
      <c r="AJ1573">
        <v>87.550149587083695</v>
      </c>
      <c r="AK1573">
        <v>14.377157929732</v>
      </c>
      <c r="AL1573">
        <v>68.055078618587402</v>
      </c>
      <c r="AM1573">
        <v>93.835960705490393</v>
      </c>
      <c r="AN1573">
        <v>0.99999995820252097</v>
      </c>
    </row>
    <row r="1574" spans="1:40" x14ac:dyDescent="0.25">
      <c r="A1574" t="str">
        <f>"20190304164628718"</f>
        <v>20190304164628718</v>
      </c>
      <c r="B1574" t="str">
        <f>"1551689188709510"</f>
        <v>1551689188709510</v>
      </c>
      <c r="C1574" t="s">
        <v>40</v>
      </c>
      <c r="D1574">
        <v>3.9532639999999999</v>
      </c>
      <c r="E1574">
        <v>0.55811880000000003</v>
      </c>
      <c r="F1574" t="s">
        <v>49</v>
      </c>
      <c r="G1574">
        <v>-324.53219999999999</v>
      </c>
      <c r="H1574" s="1">
        <v>8.2869140000000004E-7</v>
      </c>
      <c r="I1574">
        <v>285.67610000000002</v>
      </c>
      <c r="J1574">
        <v>-310.21089999999998</v>
      </c>
      <c r="K1574">
        <v>1.111191</v>
      </c>
      <c r="L1574">
        <v>284.96699999999998</v>
      </c>
      <c r="M1574">
        <v>-0.99987269999999995</v>
      </c>
      <c r="N1574">
        <v>-1.4557209999999999E-2</v>
      </c>
      <c r="O1574">
        <v>6.5360330000000001E-3</v>
      </c>
      <c r="P1574">
        <v>-0.93132340000000002</v>
      </c>
      <c r="Q1574">
        <v>0.35987580000000002</v>
      </c>
      <c r="R1574">
        <v>-5.5914739999999997E-2</v>
      </c>
      <c r="S1574">
        <v>-3.3288269999999902</v>
      </c>
      <c r="T1574">
        <v>-0.25214839999999999</v>
      </c>
      <c r="U1574">
        <v>0.16140750000000001</v>
      </c>
      <c r="V1574">
        <v>-6.2169580000000002E-2</v>
      </c>
      <c r="W1574">
        <v>0.37336180000000002</v>
      </c>
      <c r="X1574">
        <v>0.92560030000000004</v>
      </c>
      <c r="Y1574">
        <v>4.177057E-2</v>
      </c>
      <c r="Z1574">
        <v>1.48447799999999E-3</v>
      </c>
      <c r="AA1574">
        <v>0.99912610000000002</v>
      </c>
      <c r="AB1574">
        <v>34</v>
      </c>
      <c r="AC1574">
        <v>-14.321300000000001</v>
      </c>
      <c r="AD1574">
        <v>-1.1111901713086001</v>
      </c>
      <c r="AE1574">
        <v>0.70910000000003404</v>
      </c>
      <c r="AF1574">
        <v>0.61179630675574503</v>
      </c>
      <c r="AG1574">
        <v>-1.1111901713086001</v>
      </c>
      <c r="AH1574">
        <v>14.240110375526299</v>
      </c>
      <c r="AI1574">
        <v>94.457790727449293</v>
      </c>
      <c r="AJ1574">
        <v>87.539920551401295</v>
      </c>
      <c r="AK1574">
        <v>14.2964954385662</v>
      </c>
      <c r="AL1574">
        <v>68.076901855702999</v>
      </c>
      <c r="AM1574">
        <v>93.842600756906705</v>
      </c>
      <c r="AN1574">
        <v>1.00000000286835</v>
      </c>
    </row>
    <row r="1575" spans="1:40" x14ac:dyDescent="0.25">
      <c r="A1575" t="str">
        <f>"20190304164628739"</f>
        <v>20190304164628739</v>
      </c>
      <c r="B1575" t="str">
        <f>"1551689188730007"</f>
        <v>1551689188730007</v>
      </c>
      <c r="C1575" t="s">
        <v>40</v>
      </c>
      <c r="D1575">
        <v>3.9467590000000001</v>
      </c>
      <c r="E1575">
        <v>0.55352159999999995</v>
      </c>
      <c r="F1575" t="s">
        <v>41</v>
      </c>
      <c r="G1575">
        <v>-311.19290000000001</v>
      </c>
      <c r="H1575">
        <v>1.0364519999999999</v>
      </c>
      <c r="I1575">
        <v>285.01440000000002</v>
      </c>
      <c r="J1575">
        <v>-310.53699999999998</v>
      </c>
      <c r="K1575">
        <v>1.1111869999999999</v>
      </c>
      <c r="L1575">
        <v>284.96890000000002</v>
      </c>
      <c r="M1575">
        <v>-0.99987420000000005</v>
      </c>
      <c r="N1575">
        <v>-1.455354E-2</v>
      </c>
      <c r="O1575">
        <v>6.3223350000000001E-3</v>
      </c>
      <c r="P1575">
        <v>-0.93129379999999995</v>
      </c>
      <c r="Q1575">
        <v>0.35988399999999998</v>
      </c>
      <c r="R1575">
        <v>-5.6351739999999997E-2</v>
      </c>
      <c r="S1575">
        <v>-3.3288269999999902</v>
      </c>
      <c r="T1575">
        <v>-0.25364170000000003</v>
      </c>
      <c r="U1575">
        <v>0.15957639999999901</v>
      </c>
      <c r="V1575">
        <v>-6.240735E-2</v>
      </c>
      <c r="W1575">
        <v>0.37336570000000002</v>
      </c>
      <c r="X1575">
        <v>0.92558269999999998</v>
      </c>
      <c r="Y1575">
        <v>4.143517E-2</v>
      </c>
      <c r="Z1575">
        <v>1.488744E-3</v>
      </c>
      <c r="AA1575">
        <v>0.99914009999999998</v>
      </c>
      <c r="AB1575">
        <v>34</v>
      </c>
      <c r="AC1575">
        <v>-0.65589999999997395</v>
      </c>
      <c r="AD1575">
        <v>-7.4734999999999996E-2</v>
      </c>
      <c r="AE1575">
        <v>4.5500000000004003E-2</v>
      </c>
      <c r="AF1575">
        <v>4.0824350641768897E-2</v>
      </c>
      <c r="AG1575">
        <v>-7.4734999999999996E-2</v>
      </c>
      <c r="AH1575">
        <v>0.647804462121362</v>
      </c>
      <c r="AI1575">
        <v>96.568010953647601</v>
      </c>
      <c r="AJ1575">
        <v>86.394013957214099</v>
      </c>
      <c r="AK1575">
        <v>0.653377814877938</v>
      </c>
      <c r="AL1575">
        <v>68.076660430902606</v>
      </c>
      <c r="AM1575">
        <v>93.857325778961894</v>
      </c>
      <c r="AN1575">
        <v>0.999999978904901</v>
      </c>
    </row>
    <row r="1576" spans="1:40" x14ac:dyDescent="0.25">
      <c r="A1576" t="str">
        <f>"20190304164628761"</f>
        <v>20190304164628761</v>
      </c>
      <c r="B1576" t="str">
        <f>"1551689188749527"</f>
        <v>1551689188749527</v>
      </c>
      <c r="C1576" t="s">
        <v>40</v>
      </c>
      <c r="D1576">
        <v>3.9400940000000002</v>
      </c>
      <c r="E1576">
        <v>0.55321290000000001</v>
      </c>
      <c r="F1576" t="s">
        <v>41</v>
      </c>
      <c r="G1576">
        <v>-311.51209999999998</v>
      </c>
      <c r="H1576">
        <v>1.049892</v>
      </c>
      <c r="I1576">
        <v>285.0061</v>
      </c>
      <c r="J1576">
        <v>-310.87450000000001</v>
      </c>
      <c r="K1576">
        <v>1.111192</v>
      </c>
      <c r="L1576">
        <v>284.9708</v>
      </c>
      <c r="M1576">
        <v>-0.99987550000000003</v>
      </c>
      <c r="N1576">
        <v>-1.454973E-2</v>
      </c>
      <c r="O1576">
        <v>6.1005360000000002E-3</v>
      </c>
      <c r="P1576">
        <v>-0.93143869999999895</v>
      </c>
      <c r="Q1576">
        <v>0.35950989999999999</v>
      </c>
      <c r="R1576">
        <v>-5.6345050000000001E-2</v>
      </c>
      <c r="S1576">
        <v>-3.309326</v>
      </c>
      <c r="T1576">
        <v>-0.208066</v>
      </c>
      <c r="U1576">
        <v>0.1260376</v>
      </c>
      <c r="V1576">
        <v>-6.219413E-2</v>
      </c>
      <c r="W1576">
        <v>0.37299110000000002</v>
      </c>
      <c r="X1576">
        <v>0.92574809999999996</v>
      </c>
      <c r="Y1576">
        <v>3.1890149999999999E-2</v>
      </c>
      <c r="Z1576">
        <v>9.391747E-4</v>
      </c>
      <c r="AA1576">
        <v>0.99949089999999996</v>
      </c>
      <c r="AB1576">
        <v>34</v>
      </c>
      <c r="AC1576">
        <v>-0.63759999999996297</v>
      </c>
      <c r="AD1576">
        <v>-6.1299999999999903E-2</v>
      </c>
      <c r="AE1576">
        <v>3.53000000000065E-2</v>
      </c>
      <c r="AF1576">
        <v>3.1122436158084299E-2</v>
      </c>
      <c r="AG1576">
        <v>-6.1299999999999903E-2</v>
      </c>
      <c r="AH1576">
        <v>0.63197981253977997</v>
      </c>
      <c r="AI1576">
        <v>95.533510131454193</v>
      </c>
      <c r="AJ1576">
        <v>87.180693441455603</v>
      </c>
      <c r="AK1576">
        <v>0.63570809298783504</v>
      </c>
      <c r="AL1576">
        <v>68.099795316499794</v>
      </c>
      <c r="AM1576">
        <v>93.843501712931001</v>
      </c>
      <c r="AN1576">
        <v>1.00000000756963</v>
      </c>
    </row>
    <row r="1577" spans="1:40" x14ac:dyDescent="0.25">
      <c r="A1577" t="str">
        <f>"20190304164628785"</f>
        <v>20190304164628785</v>
      </c>
      <c r="B1577" t="str">
        <f>"1551689188780290"</f>
        <v>1551689188780290</v>
      </c>
      <c r="C1577" t="s">
        <v>40</v>
      </c>
      <c r="D1577">
        <v>3.9439030000000002</v>
      </c>
      <c r="E1577">
        <v>0.55295000000000005</v>
      </c>
      <c r="F1577" t="s">
        <v>49</v>
      </c>
      <c r="G1577">
        <v>-328.18040000000002</v>
      </c>
      <c r="H1577" s="1">
        <v>2.7729409999999998E-6</v>
      </c>
      <c r="I1577">
        <v>285.6103</v>
      </c>
      <c r="J1577">
        <v>-311.21179999999998</v>
      </c>
      <c r="K1577">
        <v>1.111191</v>
      </c>
      <c r="L1577">
        <v>284.9726</v>
      </c>
      <c r="M1577">
        <v>-0.99987700000000002</v>
      </c>
      <c r="N1577">
        <v>-1.454593E-2</v>
      </c>
      <c r="O1577">
        <v>5.8789159999999997E-3</v>
      </c>
      <c r="P1577">
        <v>-0.9313091</v>
      </c>
      <c r="Q1577">
        <v>0.359774599999999</v>
      </c>
      <c r="R1577">
        <v>-5.6798870000000001E-2</v>
      </c>
      <c r="S1577">
        <v>-3.3102719999999999</v>
      </c>
      <c r="T1577">
        <v>-0.21254809999999999</v>
      </c>
      <c r="U1577">
        <v>0.12231450000000001</v>
      </c>
      <c r="V1577">
        <v>-6.2440490000000001E-2</v>
      </c>
      <c r="W1577">
        <v>0.37325029999999998</v>
      </c>
      <c r="X1577">
        <v>0.92562710000000004</v>
      </c>
      <c r="Y1577">
        <v>3.0977660000000001E-2</v>
      </c>
      <c r="Z1577">
        <v>9.27304E-4</v>
      </c>
      <c r="AA1577">
        <v>0.99951959999999995</v>
      </c>
      <c r="AB1577">
        <v>34</v>
      </c>
      <c r="AC1577">
        <v>-16.968599999999999</v>
      </c>
      <c r="AD1577">
        <v>-1.1111882270589899</v>
      </c>
      <c r="AE1577">
        <v>0.63769999999999505</v>
      </c>
      <c r="AF1577">
        <v>0.53562777346435297</v>
      </c>
      <c r="AG1577">
        <v>-1.1111882270589899</v>
      </c>
      <c r="AH1577">
        <v>16.899687684227501</v>
      </c>
      <c r="AI1577">
        <v>93.760014246992597</v>
      </c>
      <c r="AJ1577">
        <v>88.1846445120987</v>
      </c>
      <c r="AK1577">
        <v>16.944647538738899</v>
      </c>
      <c r="AL1577">
        <v>68.083789584382899</v>
      </c>
      <c r="AM1577">
        <v>93.859183370539895</v>
      </c>
      <c r="AN1577">
        <v>1.0000000647479601</v>
      </c>
    </row>
    <row r="1578" spans="1:40" x14ac:dyDescent="0.25">
      <c r="A1578" t="str">
        <f>"20190304164628807"</f>
        <v>20190304164628807</v>
      </c>
      <c r="B1578" t="str">
        <f>"1551689188799809"</f>
        <v>1551689188799809</v>
      </c>
      <c r="C1578" t="s">
        <v>40</v>
      </c>
      <c r="D1578">
        <v>3.9174859999999998</v>
      </c>
      <c r="E1578">
        <v>0.55315059999999905</v>
      </c>
      <c r="F1578" t="s">
        <v>49</v>
      </c>
      <c r="G1578">
        <v>-328.17509999999999</v>
      </c>
      <c r="H1578" s="1">
        <v>2.771397E-6</v>
      </c>
      <c r="I1578">
        <v>285.58210000000003</v>
      </c>
      <c r="J1578">
        <v>-311.54750000000001</v>
      </c>
      <c r="K1578">
        <v>1.1111930000000001</v>
      </c>
      <c r="L1578">
        <v>284.97430000000003</v>
      </c>
      <c r="M1578">
        <v>-0.9998783</v>
      </c>
      <c r="N1578">
        <v>-1.454218E-2</v>
      </c>
      <c r="O1578">
        <v>5.6584239999999996E-3</v>
      </c>
      <c r="P1578">
        <v>-0.93127519999999997</v>
      </c>
      <c r="Q1578">
        <v>0.3598865</v>
      </c>
      <c r="R1578">
        <v>-5.6644739999999999E-2</v>
      </c>
      <c r="S1578">
        <v>-3.3123779999999998</v>
      </c>
      <c r="T1578">
        <v>-0.2169777</v>
      </c>
      <c r="U1578">
        <v>0.1190186</v>
      </c>
      <c r="V1578">
        <v>-6.2080940000000001E-2</v>
      </c>
      <c r="W1578">
        <v>0.37335869999999999</v>
      </c>
      <c r="X1578">
        <v>0.92560750000000003</v>
      </c>
      <c r="Y1578">
        <v>3.0180680000000001E-2</v>
      </c>
      <c r="Z1578">
        <v>9.1900330000000004E-4</v>
      </c>
      <c r="AA1578">
        <v>0.99954399999999999</v>
      </c>
      <c r="AB1578">
        <v>33</v>
      </c>
      <c r="AC1578">
        <v>-16.627599999999902</v>
      </c>
      <c r="AD1578">
        <v>-1.111190228603</v>
      </c>
      <c r="AE1578">
        <v>0.60779999999999701</v>
      </c>
      <c r="AF1578">
        <v>0.51141339272346997</v>
      </c>
      <c r="AG1578">
        <v>-1.111190228603</v>
      </c>
      <c r="AH1578">
        <v>16.556928905301501</v>
      </c>
      <c r="AI1578">
        <v>93.837726529488293</v>
      </c>
      <c r="AJ1578">
        <v>88.230800184714695</v>
      </c>
      <c r="AK1578">
        <v>16.602053552425598</v>
      </c>
      <c r="AL1578">
        <v>68.077093321354099</v>
      </c>
      <c r="AM1578">
        <v>93.837108682307303</v>
      </c>
      <c r="AN1578">
        <v>1.0000000030166101</v>
      </c>
    </row>
    <row r="1579" spans="1:40" x14ac:dyDescent="0.25">
      <c r="A1579" t="str">
        <f>"20190304164628829"</f>
        <v>20190304164628829</v>
      </c>
      <c r="B1579" t="str">
        <f>"1551689188819330"</f>
        <v>1551689188819330</v>
      </c>
      <c r="C1579" t="s">
        <v>40</v>
      </c>
      <c r="D1579">
        <v>3.9124889999999999</v>
      </c>
      <c r="E1579">
        <v>0.55325599999999997</v>
      </c>
      <c r="F1579" t="s">
        <v>49</v>
      </c>
      <c r="G1579">
        <v>-328.42039999999997</v>
      </c>
      <c r="H1579" s="1">
        <v>2.9012970000000002E-6</v>
      </c>
      <c r="I1579">
        <v>285.59629999999999</v>
      </c>
      <c r="J1579">
        <v>-311.8707</v>
      </c>
      <c r="K1579">
        <v>1.1111960000000001</v>
      </c>
      <c r="L1579">
        <v>284.97590000000002</v>
      </c>
      <c r="M1579">
        <v>-0.99987950000000003</v>
      </c>
      <c r="N1579">
        <v>-1.453862E-2</v>
      </c>
      <c r="O1579">
        <v>5.4461569999999897E-3</v>
      </c>
      <c r="P1579">
        <v>-0.93115780000000004</v>
      </c>
      <c r="Q1579">
        <v>0.36012430000000001</v>
      </c>
      <c r="R1579">
        <v>-5.7059760000000001E-2</v>
      </c>
      <c r="S1579">
        <v>-3.3131409999999999</v>
      </c>
      <c r="T1579">
        <v>-0.21819230000000001</v>
      </c>
      <c r="U1579">
        <v>0.1221313</v>
      </c>
      <c r="V1579">
        <v>-6.2297520000000002E-2</v>
      </c>
      <c r="W1579">
        <v>0.37359179999999997</v>
      </c>
      <c r="X1579">
        <v>0.92549890000000001</v>
      </c>
      <c r="Y1579">
        <v>3.1318499999999999E-2</v>
      </c>
      <c r="Z1579">
        <v>9.7880189999999994E-4</v>
      </c>
      <c r="AA1579">
        <v>0.99950899999999998</v>
      </c>
      <c r="AB1579">
        <v>33</v>
      </c>
      <c r="AC1579">
        <v>-16.549699999999898</v>
      </c>
      <c r="AD1579">
        <v>-1.1111930987030001</v>
      </c>
      <c r="AE1579">
        <v>0.62039999999996098</v>
      </c>
      <c r="AF1579">
        <v>0.52787261569149702</v>
      </c>
      <c r="AG1579">
        <v>-1.1111930987030001</v>
      </c>
      <c r="AH1579">
        <v>16.478649608205998</v>
      </c>
      <c r="AI1579">
        <v>93.855773715847107</v>
      </c>
      <c r="AJ1579">
        <v>88.165229874709794</v>
      </c>
      <c r="AK1579">
        <v>16.524505817452699</v>
      </c>
      <c r="AL1579">
        <v>68.062696130847399</v>
      </c>
      <c r="AM1579">
        <v>93.8509053565122</v>
      </c>
      <c r="AN1579">
        <v>1.0000000139633001</v>
      </c>
    </row>
    <row r="1580" spans="1:40" x14ac:dyDescent="0.25">
      <c r="A1580" t="str">
        <f>"20190304164628850"</f>
        <v>20190304164628850</v>
      </c>
      <c r="B1580" t="str">
        <f>"1551689188839827"</f>
        <v>1551689188839827</v>
      </c>
      <c r="C1580" t="s">
        <v>40</v>
      </c>
      <c r="D1580">
        <v>3.9126650000000001</v>
      </c>
      <c r="E1580">
        <v>0.55342760000000002</v>
      </c>
      <c r="F1580" t="s">
        <v>49</v>
      </c>
      <c r="G1580">
        <v>-328.82839999999999</v>
      </c>
      <c r="H1580" s="1">
        <v>3.118122E-6</v>
      </c>
      <c r="I1580">
        <v>285.60270000000003</v>
      </c>
      <c r="J1580">
        <v>-312.19619999999998</v>
      </c>
      <c r="K1580">
        <v>1.1112</v>
      </c>
      <c r="L1580">
        <v>284.97750000000002</v>
      </c>
      <c r="M1580">
        <v>-0.99988080000000001</v>
      </c>
      <c r="N1580">
        <v>-1.4535040000000001E-2</v>
      </c>
      <c r="O1580">
        <v>5.2321640000000001E-3</v>
      </c>
      <c r="P1580">
        <v>-0.93110630000000005</v>
      </c>
      <c r="Q1580">
        <v>0.36016930000000003</v>
      </c>
      <c r="R1580">
        <v>-5.761699E-2</v>
      </c>
      <c r="S1580">
        <v>-3.3132019999999902</v>
      </c>
      <c r="T1580">
        <v>-0.21710550000000001</v>
      </c>
      <c r="U1580">
        <v>0.12246700000000001</v>
      </c>
      <c r="V1580">
        <v>-6.2654319999999999E-2</v>
      </c>
      <c r="W1580">
        <v>0.37363249999999998</v>
      </c>
      <c r="X1580">
        <v>0.92545840000000001</v>
      </c>
      <c r="Y1580">
        <v>3.1632430000000003E-2</v>
      </c>
      <c r="Z1580">
        <v>9.9882339999999995E-4</v>
      </c>
      <c r="AA1580">
        <v>0.99949909999999997</v>
      </c>
      <c r="AB1580">
        <v>33</v>
      </c>
      <c r="AC1580">
        <v>-16.632200000000001</v>
      </c>
      <c r="AD1580">
        <v>-1.111196881878</v>
      </c>
      <c r="AE1580">
        <v>0.62520000000000597</v>
      </c>
      <c r="AF1580">
        <v>0.53577177765060902</v>
      </c>
      <c r="AG1580">
        <v>-1.111196881878</v>
      </c>
      <c r="AH1580">
        <v>16.561424964483901</v>
      </c>
      <c r="AI1580">
        <v>93.836533987550595</v>
      </c>
      <c r="AJ1580">
        <v>88.147094255968995</v>
      </c>
      <c r="AK1580">
        <v>16.607305824914899</v>
      </c>
      <c r="AL1580">
        <v>68.060182500799897</v>
      </c>
      <c r="AM1580">
        <v>93.873062897674501</v>
      </c>
      <c r="AN1580">
        <v>1.0000000295007301</v>
      </c>
    </row>
    <row r="1581" spans="1:40" x14ac:dyDescent="0.25">
      <c r="A1581" t="str">
        <f>"20190304164628873"</f>
        <v>20190304164628873</v>
      </c>
      <c r="B1581" t="str">
        <f>"1551689188869612"</f>
        <v>1551689188869612</v>
      </c>
      <c r="C1581" t="s">
        <v>40</v>
      </c>
      <c r="D1581">
        <v>3.904255</v>
      </c>
      <c r="E1581">
        <v>0.55356249999999996</v>
      </c>
      <c r="F1581" t="s">
        <v>49</v>
      </c>
      <c r="G1581">
        <v>-329.1515</v>
      </c>
      <c r="H1581" s="1">
        <v>3.2901800000000002E-6</v>
      </c>
      <c r="I1581">
        <v>285.59980000000002</v>
      </c>
      <c r="J1581">
        <v>-312.52300000000002</v>
      </c>
      <c r="K1581">
        <v>1.111197</v>
      </c>
      <c r="L1581">
        <v>284.97890000000001</v>
      </c>
      <c r="M1581">
        <v>-0.99988180000000004</v>
      </c>
      <c r="N1581">
        <v>-1.453142E-2</v>
      </c>
      <c r="O1581">
        <v>5.0188380000000003E-3</v>
      </c>
      <c r="P1581">
        <v>-0.93093740000000003</v>
      </c>
      <c r="Q1581">
        <v>0.3604658</v>
      </c>
      <c r="R1581">
        <v>-5.8478099999999998E-2</v>
      </c>
      <c r="S1581">
        <v>-3.313507</v>
      </c>
      <c r="T1581">
        <v>-0.21715709999999999</v>
      </c>
      <c r="U1581">
        <v>0.1216125</v>
      </c>
      <c r="V1581">
        <v>-6.331531E-2</v>
      </c>
      <c r="W1581">
        <v>0.37392310000000001</v>
      </c>
      <c r="X1581">
        <v>0.92529600000000001</v>
      </c>
      <c r="Y1581">
        <v>3.1584710000000002E-2</v>
      </c>
      <c r="Z1581">
        <v>1.0078050000000001E-3</v>
      </c>
      <c r="AA1581">
        <v>0.99950059999999996</v>
      </c>
      <c r="AB1581">
        <v>33</v>
      </c>
      <c r="AC1581">
        <v>-16.628499999999999</v>
      </c>
      <c r="AD1581">
        <v>-1.11119370982</v>
      </c>
      <c r="AE1581">
        <v>0.620900000000006</v>
      </c>
      <c r="AF1581">
        <v>0.53504169622689501</v>
      </c>
      <c r="AG1581">
        <v>-1.11119370982</v>
      </c>
      <c r="AH1581">
        <v>16.557571600174899</v>
      </c>
      <c r="AI1581">
        <v>93.837417775032193</v>
      </c>
      <c r="AJ1581">
        <v>88.149187071859004</v>
      </c>
      <c r="AK1581">
        <v>16.603439353711099</v>
      </c>
      <c r="AL1581">
        <v>68.042230534954797</v>
      </c>
      <c r="AM1581">
        <v>93.914481357886302</v>
      </c>
      <c r="AN1581">
        <v>1.000000000405</v>
      </c>
    </row>
    <row r="1582" spans="1:40" x14ac:dyDescent="0.25">
      <c r="A1582" t="str">
        <f>"20190304164628894"</f>
        <v>20190304164628894</v>
      </c>
      <c r="B1582" t="str">
        <f>"1551689188890109"</f>
        <v>1551689188890109</v>
      </c>
      <c r="C1582" t="s">
        <v>40</v>
      </c>
      <c r="D1582">
        <v>3.8997830000000002</v>
      </c>
      <c r="E1582">
        <v>0.55359990000000003</v>
      </c>
      <c r="F1582" t="s">
        <v>49</v>
      </c>
      <c r="G1582">
        <v>-329.5077</v>
      </c>
      <c r="H1582" s="1">
        <v>3.4800679999999999E-6</v>
      </c>
      <c r="I1582">
        <v>285.59199999999998</v>
      </c>
      <c r="J1582">
        <v>-312.84829999999999</v>
      </c>
      <c r="K1582">
        <v>1.111192</v>
      </c>
      <c r="L1582">
        <v>284.9803</v>
      </c>
      <c r="M1582">
        <v>-0.99988310000000002</v>
      </c>
      <c r="N1582">
        <v>-1.452782E-2</v>
      </c>
      <c r="O1582">
        <v>4.8085020000000001E-3</v>
      </c>
      <c r="P1582">
        <v>-0.93076349999999997</v>
      </c>
      <c r="Q1582">
        <v>0.36079990000000001</v>
      </c>
      <c r="R1582">
        <v>-5.9186799999999998E-2</v>
      </c>
      <c r="S1582">
        <v>-3.3140260000000001</v>
      </c>
      <c r="T1582">
        <v>-0.21681520000000001</v>
      </c>
      <c r="U1582">
        <v>0.1196289</v>
      </c>
      <c r="V1582">
        <v>-6.3825919999999994E-2</v>
      </c>
      <c r="W1582">
        <v>0.37425160000000002</v>
      </c>
      <c r="X1582">
        <v>0.92512810000000001</v>
      </c>
      <c r="Y1582">
        <v>3.1192750000000002E-2</v>
      </c>
      <c r="Z1582">
        <v>1.0015499999999999E-3</v>
      </c>
      <c r="AA1582">
        <v>0.99951290000000004</v>
      </c>
      <c r="AB1582">
        <v>33</v>
      </c>
      <c r="AC1582">
        <v>-16.659400000000002</v>
      </c>
      <c r="AD1582">
        <v>-1.111188519932</v>
      </c>
      <c r="AE1582">
        <v>0.61169999999998403</v>
      </c>
      <c r="AF1582">
        <v>0.52922640164442503</v>
      </c>
      <c r="AG1582">
        <v>-1.111188519932</v>
      </c>
      <c r="AH1582">
        <v>16.588447351347</v>
      </c>
      <c r="AI1582">
        <v>93.830329018581594</v>
      </c>
      <c r="AJ1582">
        <v>88.172694692326999</v>
      </c>
      <c r="AK1582">
        <v>16.634043586555801</v>
      </c>
      <c r="AL1582">
        <v>68.021935406452002</v>
      </c>
      <c r="AM1582">
        <v>93.946664472345006</v>
      </c>
      <c r="AN1582">
        <v>1.000000004788</v>
      </c>
    </row>
    <row r="1583" spans="1:40" x14ac:dyDescent="0.25">
      <c r="A1583" t="str">
        <f>"20190304164628917"</f>
        <v>20190304164628917</v>
      </c>
      <c r="B1583" t="str">
        <f>"1551689188909628"</f>
        <v>1551689188909628</v>
      </c>
      <c r="C1583" t="s">
        <v>40</v>
      </c>
      <c r="D1583">
        <v>3.9083709999999998</v>
      </c>
      <c r="E1583">
        <v>0.55369969999999902</v>
      </c>
      <c r="F1583" t="s">
        <v>49</v>
      </c>
      <c r="G1583">
        <v>-329.94720000000001</v>
      </c>
      <c r="H1583" s="1">
        <v>3.7141909999999999E-6</v>
      </c>
      <c r="I1583">
        <v>285.5865</v>
      </c>
      <c r="J1583">
        <v>-313.18450000000001</v>
      </c>
      <c r="K1583">
        <v>1.111186</v>
      </c>
      <c r="L1583">
        <v>284.98169999999999</v>
      </c>
      <c r="M1583">
        <v>-0.999884</v>
      </c>
      <c r="N1583">
        <v>-1.452412E-2</v>
      </c>
      <c r="O1583">
        <v>4.593176E-3</v>
      </c>
      <c r="P1583">
        <v>-0.93071660000000001</v>
      </c>
      <c r="Q1583">
        <v>0.36084820000000001</v>
      </c>
      <c r="R1583">
        <v>-5.9625629999999999E-2</v>
      </c>
      <c r="S1583">
        <v>-3.3141780000000001</v>
      </c>
      <c r="T1583">
        <v>-0.21537580000000001</v>
      </c>
      <c r="U1583">
        <v>0.11749270000000001</v>
      </c>
      <c r="V1583">
        <v>-6.4061980000000004E-2</v>
      </c>
      <c r="W1583">
        <v>0.37429669999999998</v>
      </c>
      <c r="X1583">
        <v>0.92509350000000001</v>
      </c>
      <c r="Y1583">
        <v>3.0764610000000001E-2</v>
      </c>
      <c r="Z1583">
        <v>9.9061869999999999E-4</v>
      </c>
      <c r="AA1583">
        <v>0.99952609999999997</v>
      </c>
      <c r="AB1583">
        <v>33</v>
      </c>
      <c r="AC1583">
        <v>-16.762699999999899</v>
      </c>
      <c r="AD1583">
        <v>-1.1111822858089999</v>
      </c>
      <c r="AE1583">
        <v>0.604800000000011</v>
      </c>
      <c r="AF1583">
        <v>0.525485366630844</v>
      </c>
      <c r="AG1583">
        <v>-1.1111822858089999</v>
      </c>
      <c r="AH1583">
        <v>16.6920480636931</v>
      </c>
      <c r="AI1583">
        <v>93.8066552783921</v>
      </c>
      <c r="AJ1583">
        <v>88.196856782152906</v>
      </c>
      <c r="AK1583">
        <v>16.737243784550699</v>
      </c>
      <c r="AL1583">
        <v>68.019148036425605</v>
      </c>
      <c r="AM1583">
        <v>93.961362501347196</v>
      </c>
      <c r="AN1583">
        <v>0.99999997032732901</v>
      </c>
    </row>
    <row r="1584" spans="1:40" x14ac:dyDescent="0.25">
      <c r="A1584" t="str">
        <f>"20190304164628940"</f>
        <v>20190304164628940</v>
      </c>
      <c r="B1584" t="str">
        <f>"1551689188919388"</f>
        <v>1551689188919388</v>
      </c>
      <c r="C1584" t="s">
        <v>40</v>
      </c>
      <c r="D1584">
        <v>3.8977539999999999</v>
      </c>
      <c r="E1584">
        <v>0.55376630000000004</v>
      </c>
      <c r="F1584" t="s">
        <v>41</v>
      </c>
      <c r="G1584">
        <v>-314.18029999999999</v>
      </c>
      <c r="H1584">
        <v>1.046557</v>
      </c>
      <c r="I1584">
        <v>285.017</v>
      </c>
      <c r="J1584">
        <v>-313.54090000000002</v>
      </c>
      <c r="K1584">
        <v>1.111183</v>
      </c>
      <c r="L1584">
        <v>284.98309999999998</v>
      </c>
      <c r="M1584">
        <v>-0.99988509999999997</v>
      </c>
      <c r="N1584">
        <v>-1.452022E-2</v>
      </c>
      <c r="O1584">
        <v>4.3663549999999997E-3</v>
      </c>
      <c r="P1584">
        <v>-0.93081689999999995</v>
      </c>
      <c r="Q1584">
        <v>0.3606029</v>
      </c>
      <c r="R1584">
        <v>-5.9545870000000001E-2</v>
      </c>
      <c r="S1584">
        <v>-3.31427</v>
      </c>
      <c r="T1584">
        <v>-0.21526429999999999</v>
      </c>
      <c r="U1584">
        <v>0.11697390000000001</v>
      </c>
      <c r="V1584">
        <v>-6.3768889999999995E-2</v>
      </c>
      <c r="W1584">
        <v>0.37404949999999998</v>
      </c>
      <c r="X1584">
        <v>0.92521379999999998</v>
      </c>
      <c r="Y1584">
        <v>3.083371E-2</v>
      </c>
      <c r="Z1584">
        <v>1.004326E-3</v>
      </c>
      <c r="AA1584">
        <v>0.99952399999999997</v>
      </c>
      <c r="AB1584">
        <v>33</v>
      </c>
      <c r="AC1584">
        <v>-0.639399999999966</v>
      </c>
      <c r="AD1584">
        <v>-6.4626000000000003E-2</v>
      </c>
      <c r="AE1584">
        <v>3.3900000000016903E-2</v>
      </c>
      <c r="AF1584">
        <v>3.0793835563978401E-2</v>
      </c>
      <c r="AG1584">
        <v>-6.4626000000000003E-2</v>
      </c>
      <c r="AH1584">
        <v>0.63309256654842005</v>
      </c>
      <c r="AI1584">
        <v>95.821720628781705</v>
      </c>
      <c r="AJ1584">
        <v>87.215308696382195</v>
      </c>
      <c r="AK1584">
        <v>0.63712712860433596</v>
      </c>
      <c r="AL1584">
        <v>68.034422556753597</v>
      </c>
      <c r="AM1584">
        <v>93.9427850706915</v>
      </c>
      <c r="AN1584">
        <v>1.0000000377462599</v>
      </c>
    </row>
    <row r="1585" spans="1:40" x14ac:dyDescent="0.25">
      <c r="A1585" t="str">
        <f>"20190304164628963"</f>
        <v>20190304164628963</v>
      </c>
      <c r="B1585" t="str">
        <f>"1551689188959911"</f>
        <v>1551689188959911</v>
      </c>
      <c r="C1585" t="s">
        <v>40</v>
      </c>
      <c r="D1585">
        <v>3.92726</v>
      </c>
      <c r="E1585">
        <v>0.55251600000000001</v>
      </c>
      <c r="F1585" t="s">
        <v>41</v>
      </c>
      <c r="G1585">
        <v>-314.483</v>
      </c>
      <c r="H1585">
        <v>1.0495429999999999</v>
      </c>
      <c r="I1585">
        <v>285.01670000000001</v>
      </c>
      <c r="J1585">
        <v>-313.8707</v>
      </c>
      <c r="K1585">
        <v>1.1111740000000001</v>
      </c>
      <c r="L1585">
        <v>284.98430000000002</v>
      </c>
      <c r="M1585">
        <v>-0.9998861</v>
      </c>
      <c r="N1585">
        <v>-1.4516619999999999E-2</v>
      </c>
      <c r="O1585">
        <v>4.15847E-3</v>
      </c>
      <c r="P1585">
        <v>-0.93098009999999998</v>
      </c>
      <c r="Q1585">
        <v>0.36019509999999899</v>
      </c>
      <c r="R1585">
        <v>-5.9461699999999999E-2</v>
      </c>
      <c r="S1585">
        <v>-3.3145449999999999</v>
      </c>
      <c r="T1585">
        <v>-0.21682750000000001</v>
      </c>
      <c r="U1585">
        <v>0.11843869999999999</v>
      </c>
      <c r="V1585">
        <v>-6.348985E-2</v>
      </c>
      <c r="W1585">
        <v>0.37364130000000001</v>
      </c>
      <c r="X1585">
        <v>0.9253979</v>
      </c>
      <c r="Y1585">
        <v>3.1476900000000002E-2</v>
      </c>
      <c r="Z1585">
        <v>1.045638E-3</v>
      </c>
      <c r="AA1585">
        <v>0.9995039</v>
      </c>
      <c r="AB1585">
        <v>33</v>
      </c>
      <c r="AC1585">
        <v>-0.61230000000000395</v>
      </c>
      <c r="AD1585">
        <v>-6.16309999999997E-2</v>
      </c>
      <c r="AE1585">
        <v>3.2399999999995502E-2</v>
      </c>
      <c r="AF1585">
        <v>2.9554626605582002E-2</v>
      </c>
      <c r="AG1585">
        <v>-6.16309999999997E-2</v>
      </c>
      <c r="AH1585">
        <v>0.60630389138983998</v>
      </c>
      <c r="AI1585">
        <v>95.797362782585594</v>
      </c>
      <c r="AJ1585">
        <v>87.209293736129098</v>
      </c>
      <c r="AK1585">
        <v>0.61014446226222396</v>
      </c>
      <c r="AL1585">
        <v>68.059638888794595</v>
      </c>
      <c r="AM1585">
        <v>93.924807765054297</v>
      </c>
      <c r="AN1585">
        <v>1.0000000277215599</v>
      </c>
    </row>
    <row r="1586" spans="1:40" x14ac:dyDescent="0.25">
      <c r="A1586" t="str">
        <f>"20190304164628986"</f>
        <v>20190304164628986</v>
      </c>
      <c r="B1586" t="str">
        <f>"1551689188979431"</f>
        <v>1551689188979431</v>
      </c>
      <c r="C1586" t="s">
        <v>40</v>
      </c>
      <c r="D1586">
        <v>3.9075470000000001</v>
      </c>
      <c r="E1586">
        <v>0.52937849999999997</v>
      </c>
      <c r="F1586" t="s">
        <v>49</v>
      </c>
      <c r="G1586">
        <v>-330.93290000000002</v>
      </c>
      <c r="H1586" s="1">
        <v>-1.081171E-6</v>
      </c>
      <c r="I1586">
        <v>285.55059999999997</v>
      </c>
      <c r="J1586">
        <v>-314.18939999999998</v>
      </c>
      <c r="K1586">
        <v>1.111175</v>
      </c>
      <c r="L1586">
        <v>284.98540000000003</v>
      </c>
      <c r="M1586">
        <v>-0.99988690000000002</v>
      </c>
      <c r="N1586">
        <v>-1.4513150000000001E-2</v>
      </c>
      <c r="O1586">
        <v>3.9600579999999998E-3</v>
      </c>
      <c r="P1586">
        <v>-0.93120040000000004</v>
      </c>
      <c r="Q1586">
        <v>0.3595757</v>
      </c>
      <c r="R1586">
        <v>-5.975888E-2</v>
      </c>
      <c r="S1586">
        <v>-3.312897</v>
      </c>
      <c r="T1586">
        <v>-0.21575220000000001</v>
      </c>
      <c r="U1586">
        <v>0.10995480000000001</v>
      </c>
      <c r="V1586">
        <v>-6.3601359999999996E-2</v>
      </c>
      <c r="W1586">
        <v>0.37302239999999998</v>
      </c>
      <c r="X1586">
        <v>0.92563989999999996</v>
      </c>
      <c r="Y1586">
        <v>2.9142729999999999E-2</v>
      </c>
      <c r="Z1586">
        <v>9.5937810000000002E-4</v>
      </c>
      <c r="AA1586">
        <v>0.99957479999999999</v>
      </c>
      <c r="AB1586">
        <v>33</v>
      </c>
      <c r="AC1586">
        <v>-16.743500000000001</v>
      </c>
      <c r="AD1586">
        <v>-1.1111760811710001</v>
      </c>
      <c r="AE1586">
        <v>0.56519999999994697</v>
      </c>
      <c r="AF1586">
        <v>0.49669825627771103</v>
      </c>
      <c r="AG1586">
        <v>-1.1111760811710001</v>
      </c>
      <c r="AH1586">
        <v>16.672261692113</v>
      </c>
      <c r="AI1586">
        <v>93.811334911634503</v>
      </c>
      <c r="AJ1586">
        <v>88.2935549353775</v>
      </c>
      <c r="AK1586">
        <v>16.716630383287601</v>
      </c>
      <c r="AL1586">
        <v>68.097863074909796</v>
      </c>
      <c r="AM1586">
        <v>93.930654797496004</v>
      </c>
      <c r="AN1586">
        <v>1.0000000341838</v>
      </c>
    </row>
    <row r="1587" spans="1:40" x14ac:dyDescent="0.25">
      <c r="A1587" t="str">
        <f>"20190304164629007"</f>
        <v>20190304164629007</v>
      </c>
      <c r="B1587" t="str">
        <f>"1551689188999928"</f>
        <v>1551689188999928</v>
      </c>
      <c r="C1587" t="s">
        <v>40</v>
      </c>
      <c r="D1587">
        <v>3.8829929999999999</v>
      </c>
      <c r="E1587">
        <v>0.52883910000000001</v>
      </c>
      <c r="F1587" t="s">
        <v>49</v>
      </c>
      <c r="G1587">
        <v>-332.6807</v>
      </c>
      <c r="H1587" s="1">
        <v>-1.0838900000000001E-7</v>
      </c>
      <c r="I1587">
        <v>284.57369999999997</v>
      </c>
      <c r="J1587">
        <v>-314.52069999999998</v>
      </c>
      <c r="K1587">
        <v>1.1111719999999901</v>
      </c>
      <c r="L1587">
        <v>284.98649999999998</v>
      </c>
      <c r="M1587">
        <v>-0.99988770000000005</v>
      </c>
      <c r="N1587">
        <v>-1.4509559999999999E-2</v>
      </c>
      <c r="O1587">
        <v>3.7590480000000001E-3</v>
      </c>
      <c r="P1587">
        <v>-0.93109019999999998</v>
      </c>
      <c r="Q1587">
        <v>0.3597804</v>
      </c>
      <c r="R1587">
        <v>-6.0244140000000002E-2</v>
      </c>
      <c r="S1587">
        <v>-3.293396</v>
      </c>
      <c r="T1587">
        <v>-0.197906</v>
      </c>
      <c r="U1587">
        <v>-7.3333739999999994E-2</v>
      </c>
      <c r="V1587">
        <v>-6.3895930000000004E-2</v>
      </c>
      <c r="W1587">
        <v>0.37322280000000002</v>
      </c>
      <c r="X1587">
        <v>0.92553879999999999</v>
      </c>
      <c r="Y1587">
        <v>-2.5957709999999998E-2</v>
      </c>
      <c r="Z1587">
        <v>-1.1388430000000001E-3</v>
      </c>
      <c r="AA1587">
        <v>0.99966239999999995</v>
      </c>
      <c r="AB1587">
        <v>33</v>
      </c>
      <c r="AC1587">
        <v>-18.16</v>
      </c>
      <c r="AD1587">
        <v>-1.1111721083889901</v>
      </c>
      <c r="AE1587">
        <v>-0.412800000000004</v>
      </c>
      <c r="AF1587">
        <v>-0.47927511976943399</v>
      </c>
      <c r="AG1587">
        <v>-1.1111721083889901</v>
      </c>
      <c r="AH1587">
        <v>18.090624210554399</v>
      </c>
      <c r="AI1587">
        <v>93.513606874943207</v>
      </c>
      <c r="AJ1587">
        <v>91.517582772778496</v>
      </c>
      <c r="AK1587">
        <v>18.1310532629075</v>
      </c>
      <c r="AL1587">
        <v>68.085486670549301</v>
      </c>
      <c r="AM1587">
        <v>93.949232160365497</v>
      </c>
      <c r="AN1587">
        <v>1.00000000930792</v>
      </c>
    </row>
    <row r="1588" spans="1:40" x14ac:dyDescent="0.25">
      <c r="A1588" t="str">
        <f>"20190304164629052"</f>
        <v>20190304164629052</v>
      </c>
      <c r="B1588" t="str">
        <f>"1551689189039944"</f>
        <v>1551689189039944</v>
      </c>
      <c r="C1588" t="s">
        <v>40</v>
      </c>
      <c r="D1588">
        <v>3.920474</v>
      </c>
      <c r="E1588">
        <v>0.52935350000000003</v>
      </c>
      <c r="F1588" t="s">
        <v>49</v>
      </c>
      <c r="G1588">
        <v>-333.1859</v>
      </c>
      <c r="H1588" s="1">
        <v>1.614285E-7</v>
      </c>
      <c r="I1588">
        <v>284.55110000000002</v>
      </c>
      <c r="J1588">
        <v>-315.18439999999998</v>
      </c>
      <c r="K1588">
        <v>1.1111660000000001</v>
      </c>
      <c r="L1588">
        <v>284.98849999999999</v>
      </c>
      <c r="M1588">
        <v>-0.99988920000000003</v>
      </c>
      <c r="N1588">
        <v>-1.4502370000000001E-2</v>
      </c>
      <c r="O1588">
        <v>3.3910780000000001E-3</v>
      </c>
      <c r="P1588">
        <v>-0.93096060000000003</v>
      </c>
      <c r="Q1588">
        <v>0.35985859999999997</v>
      </c>
      <c r="R1588">
        <v>-6.175945E-2</v>
      </c>
      <c r="S1588">
        <v>-3.2928160000000002</v>
      </c>
      <c r="T1588">
        <v>-0.19602720000000001</v>
      </c>
      <c r="U1588">
        <v>-7.6812740000000004E-2</v>
      </c>
      <c r="V1588">
        <v>-6.5053239999999998E-2</v>
      </c>
      <c r="W1588">
        <v>0.37329489999999999</v>
      </c>
      <c r="X1588">
        <v>0.92542899999999995</v>
      </c>
      <c r="Y1588">
        <v>-2.6649300000000001E-2</v>
      </c>
      <c r="Z1588">
        <v>-1.1384500000000001E-3</v>
      </c>
      <c r="AA1588">
        <v>0.99964419999999998</v>
      </c>
      <c r="AB1588">
        <v>33</v>
      </c>
      <c r="AC1588">
        <v>-18.0015</v>
      </c>
      <c r="AD1588">
        <v>-1.1111658385715</v>
      </c>
      <c r="AE1588">
        <v>-0.43739999999996798</v>
      </c>
      <c r="AF1588">
        <v>-0.49655755351859399</v>
      </c>
      <c r="AG1588">
        <v>-1.1111658385715</v>
      </c>
      <c r="AH1588">
        <v>17.931631436263899</v>
      </c>
      <c r="AI1588">
        <v>93.544546885342001</v>
      </c>
      <c r="AJ1588">
        <v>91.586212792066604</v>
      </c>
      <c r="AK1588">
        <v>17.972886938129101</v>
      </c>
      <c r="AL1588">
        <v>68.081031771598504</v>
      </c>
      <c r="AM1588">
        <v>94.021005274277798</v>
      </c>
      <c r="AN1588">
        <v>0.99999992022075002</v>
      </c>
    </row>
    <row r="1589" spans="1:40" x14ac:dyDescent="0.25">
      <c r="A1589" t="str">
        <f>"20190304164629073"</f>
        <v>20190304164629073</v>
      </c>
      <c r="B1589" t="str">
        <f>"1551689189069729"</f>
        <v>1551689189069729</v>
      </c>
      <c r="C1589" t="s">
        <v>40</v>
      </c>
      <c r="D1589">
        <v>3.9194719999999998</v>
      </c>
      <c r="E1589">
        <v>0.52967849999999905</v>
      </c>
      <c r="F1589" t="s">
        <v>49</v>
      </c>
      <c r="G1589">
        <v>-334.065</v>
      </c>
      <c r="H1589" s="1">
        <v>6.2896809999999898E-7</v>
      </c>
      <c r="I1589">
        <v>284.5573</v>
      </c>
      <c r="J1589">
        <v>-315.48489999999998</v>
      </c>
      <c r="K1589">
        <v>1.111156</v>
      </c>
      <c r="L1589">
        <v>284.98930000000001</v>
      </c>
      <c r="M1589">
        <v>-0.99988969999999999</v>
      </c>
      <c r="N1589">
        <v>-1.4499079999999999E-2</v>
      </c>
      <c r="O1589">
        <v>3.245604E-3</v>
      </c>
      <c r="P1589">
        <v>-0.93077989999999999</v>
      </c>
      <c r="Q1589">
        <v>0.36031629999999998</v>
      </c>
      <c r="R1589">
        <v>-6.1813269999999997E-2</v>
      </c>
      <c r="S1589">
        <v>-3.292389</v>
      </c>
      <c r="T1589">
        <v>-0.1937642</v>
      </c>
      <c r="U1589">
        <v>-7.5195310000000001E-2</v>
      </c>
      <c r="V1589">
        <v>-6.4959669999999997E-2</v>
      </c>
      <c r="W1589">
        <v>0.37374930000000001</v>
      </c>
      <c r="X1589">
        <v>0.92525230000000003</v>
      </c>
      <c r="Y1589">
        <v>-2.6018860000000001E-2</v>
      </c>
      <c r="Z1589">
        <v>-1.0975329999999999E-3</v>
      </c>
      <c r="AA1589">
        <v>0.99966080000000002</v>
      </c>
      <c r="AB1589">
        <v>33</v>
      </c>
      <c r="AC1589">
        <v>-18.580100000000002</v>
      </c>
      <c r="AD1589">
        <v>-1.1111553710319</v>
      </c>
      <c r="AE1589">
        <v>-0.43200000000001598</v>
      </c>
      <c r="AF1589">
        <v>-0.49055420554968299</v>
      </c>
      <c r="AG1589">
        <v>-1.1111553710319</v>
      </c>
      <c r="AH1589">
        <v>18.512426672153602</v>
      </c>
      <c r="AI1589">
        <v>93.4336916131696</v>
      </c>
      <c r="AJ1589">
        <v>91.517905255473707</v>
      </c>
      <c r="AK1589">
        <v>18.5522303505272</v>
      </c>
      <c r="AL1589">
        <v>68.0529683279875</v>
      </c>
      <c r="AM1589">
        <v>94.016004852261702</v>
      </c>
      <c r="AN1589">
        <v>1.0000000583161399</v>
      </c>
    </row>
    <row r="1590" spans="1:40" x14ac:dyDescent="0.25">
      <c r="A1590" t="str">
        <f>"20190304164629096"</f>
        <v>20190304164629096</v>
      </c>
      <c r="B1590" t="str">
        <f>"1551689189090226"</f>
        <v>1551689189090226</v>
      </c>
      <c r="C1590" t="s">
        <v>40</v>
      </c>
      <c r="D1590">
        <v>3.8633380000000002</v>
      </c>
      <c r="E1590">
        <v>0.52993009999999996</v>
      </c>
      <c r="F1590" t="s">
        <v>49</v>
      </c>
      <c r="G1590">
        <v>-334.47550000000001</v>
      </c>
      <c r="H1590" s="1">
        <v>8.4713139999999999E-7</v>
      </c>
      <c r="I1590">
        <v>284.5643</v>
      </c>
      <c r="J1590">
        <v>-315.81639999999999</v>
      </c>
      <c r="K1590">
        <v>1.1111359999999999</v>
      </c>
      <c r="L1590">
        <v>284.99029999999999</v>
      </c>
      <c r="M1590">
        <v>-0.9998901</v>
      </c>
      <c r="N1590">
        <v>-1.449542E-2</v>
      </c>
      <c r="O1590">
        <v>3.114707E-3</v>
      </c>
      <c r="P1590">
        <v>-0.93076859999999995</v>
      </c>
      <c r="Q1590">
        <v>0.36021520000000001</v>
      </c>
      <c r="R1590">
        <v>-6.2570120000000007E-2</v>
      </c>
      <c r="S1590">
        <v>-3.2927550000000001</v>
      </c>
      <c r="T1590">
        <v>-0.19266179999999999</v>
      </c>
      <c r="U1590">
        <v>-7.369995E-2</v>
      </c>
      <c r="V1590">
        <v>-6.5574919999999995E-2</v>
      </c>
      <c r="W1590">
        <v>0.37364799999999998</v>
      </c>
      <c r="X1590">
        <v>0.92524980000000001</v>
      </c>
      <c r="Y1590">
        <v>-2.5433710000000002E-2</v>
      </c>
      <c r="Z1590">
        <v>-1.0648610000000001E-3</v>
      </c>
      <c r="AA1590">
        <v>0.99967589999999995</v>
      </c>
      <c r="AB1590">
        <v>33</v>
      </c>
      <c r="AC1590">
        <v>-18.659099999999999</v>
      </c>
      <c r="AD1590">
        <v>-1.1111351528686</v>
      </c>
      <c r="AE1590">
        <v>-0.425999999999987</v>
      </c>
      <c r="AF1590">
        <v>-0.48241187328141799</v>
      </c>
      <c r="AG1590">
        <v>-1.1111351528686</v>
      </c>
      <c r="AH1590">
        <v>18.591788258481799</v>
      </c>
      <c r="AI1590">
        <v>93.419056468971206</v>
      </c>
      <c r="AJ1590">
        <v>91.486353183785297</v>
      </c>
      <c r="AK1590">
        <v>18.631208581078301</v>
      </c>
      <c r="AL1590">
        <v>68.059225436083494</v>
      </c>
      <c r="AM1590">
        <v>94.053926174167003</v>
      </c>
      <c r="AN1590">
        <v>1.00000004521852</v>
      </c>
    </row>
    <row r="1591" spans="1:40" x14ac:dyDescent="0.25">
      <c r="A1591" t="str">
        <f>"20190304164629118"</f>
        <v>20190304164629118</v>
      </c>
      <c r="B1591" t="str">
        <f>"1551689189110250"</f>
        <v>1551689189110250</v>
      </c>
      <c r="C1591" t="s">
        <v>40</v>
      </c>
      <c r="D1591">
        <v>3.851445</v>
      </c>
      <c r="E1591">
        <v>0.53008940000000004</v>
      </c>
      <c r="F1591" t="s">
        <v>49</v>
      </c>
      <c r="G1591">
        <v>-334.68299999999999</v>
      </c>
      <c r="H1591" s="1">
        <v>9.5796049999999899E-7</v>
      </c>
      <c r="I1591">
        <v>284.5548</v>
      </c>
      <c r="J1591">
        <v>-316.15109999999999</v>
      </c>
      <c r="K1591">
        <v>1.11111</v>
      </c>
      <c r="L1591">
        <v>284.99119999999999</v>
      </c>
      <c r="M1591">
        <v>-0.99989039999999996</v>
      </c>
      <c r="N1591">
        <v>-1.4491779999999999E-2</v>
      </c>
      <c r="O1591">
        <v>3.0249029999999998E-3</v>
      </c>
      <c r="P1591">
        <v>-0.93068530000000005</v>
      </c>
      <c r="Q1591">
        <v>0.36032979999999998</v>
      </c>
      <c r="R1591">
        <v>-6.3146930000000004E-2</v>
      </c>
      <c r="S1591">
        <v>-3.2931210000000002</v>
      </c>
      <c r="T1591">
        <v>-0.19394639999999999</v>
      </c>
      <c r="U1591">
        <v>-7.6019290000000003E-2</v>
      </c>
      <c r="V1591">
        <v>-6.604148E-2</v>
      </c>
      <c r="W1591">
        <v>0.3737625</v>
      </c>
      <c r="X1591">
        <v>0.92517039999999995</v>
      </c>
      <c r="Y1591">
        <v>-2.6043219999999999E-2</v>
      </c>
      <c r="Z1591">
        <v>-1.0892479999999999E-3</v>
      </c>
      <c r="AA1591">
        <v>0.99966029999999995</v>
      </c>
      <c r="AB1591">
        <v>33</v>
      </c>
      <c r="AC1591">
        <v>-18.5319</v>
      </c>
      <c r="AD1591">
        <v>-1.1111090420395</v>
      </c>
      <c r="AE1591">
        <v>-0.43639999999999102</v>
      </c>
      <c r="AF1591">
        <v>-0.49069811214167502</v>
      </c>
      <c r="AG1591">
        <v>-1.1111090420395</v>
      </c>
      <c r="AH1591">
        <v>18.464157020399501</v>
      </c>
      <c r="AI1591">
        <v>93.442496317195406</v>
      </c>
      <c r="AJ1591">
        <v>91.522317792083797</v>
      </c>
      <c r="AK1591">
        <v>18.5040655644788</v>
      </c>
      <c r="AL1591">
        <v>68.052153343784198</v>
      </c>
      <c r="AM1591">
        <v>94.083021522112105</v>
      </c>
      <c r="AN1591">
        <v>1.00000007626149</v>
      </c>
    </row>
    <row r="1592" spans="1:40" x14ac:dyDescent="0.25">
      <c r="A1592" t="str">
        <f>"20190304164629141"</f>
        <v>20190304164629141</v>
      </c>
      <c r="B1592" t="str">
        <f>"1551689189129769"</f>
        <v>1551689189129769</v>
      </c>
      <c r="C1592" t="s">
        <v>40</v>
      </c>
      <c r="D1592">
        <v>3.8566189999999998</v>
      </c>
      <c r="E1592">
        <v>0.53029349999999997</v>
      </c>
      <c r="F1592" t="s">
        <v>49</v>
      </c>
      <c r="G1592">
        <v>-335.11509999999998</v>
      </c>
      <c r="H1592" s="1">
        <v>1.188111E-6</v>
      </c>
      <c r="I1592">
        <v>284.55059999999997</v>
      </c>
      <c r="J1592">
        <v>-316.4889</v>
      </c>
      <c r="K1592">
        <v>1.111084</v>
      </c>
      <c r="L1592">
        <v>284.99220000000003</v>
      </c>
      <c r="M1592">
        <v>-0.99989070000000002</v>
      </c>
      <c r="N1592">
        <v>-1.448821E-2</v>
      </c>
      <c r="O1592">
        <v>2.9675349999999999E-3</v>
      </c>
      <c r="P1592">
        <v>-0.93039570000000005</v>
      </c>
      <c r="Q1592">
        <v>0.3609387</v>
      </c>
      <c r="R1592">
        <v>-6.3931180000000004E-2</v>
      </c>
      <c r="S1592">
        <v>-3.292999</v>
      </c>
      <c r="T1592">
        <v>-0.19293759999999999</v>
      </c>
      <c r="U1592">
        <v>-7.6507569999999997E-2</v>
      </c>
      <c r="V1592">
        <v>-6.6744280000000003E-2</v>
      </c>
      <c r="W1592">
        <v>0.3743688</v>
      </c>
      <c r="X1592">
        <v>0.92487470000000005</v>
      </c>
      <c r="Y1592">
        <v>-2.6135289999999999E-2</v>
      </c>
      <c r="Z1592">
        <v>-1.0851770000000001E-3</v>
      </c>
      <c r="AA1592">
        <v>0.99965780000000004</v>
      </c>
      <c r="AB1592">
        <v>33</v>
      </c>
      <c r="AC1592">
        <v>-18.626199999999901</v>
      </c>
      <c r="AD1592">
        <v>-1.1110828118889999</v>
      </c>
      <c r="AE1592">
        <v>-0.44160000000005001</v>
      </c>
      <c r="AF1592">
        <v>-0.49511696207230699</v>
      </c>
      <c r="AG1592">
        <v>-1.1110828118889999</v>
      </c>
      <c r="AH1592">
        <v>18.558806396309102</v>
      </c>
      <c r="AI1592">
        <v>93.424891599785099</v>
      </c>
      <c r="AJ1592">
        <v>91.528190143780805</v>
      </c>
      <c r="AK1592">
        <v>18.598627386898499</v>
      </c>
      <c r="AL1592">
        <v>68.014693892118999</v>
      </c>
      <c r="AM1592">
        <v>94.127637612807305</v>
      </c>
      <c r="AN1592">
        <v>1.0000000040131201</v>
      </c>
    </row>
    <row r="1593" spans="1:40" x14ac:dyDescent="0.25">
      <c r="A1593" t="str">
        <f>"20190304164629162"</f>
        <v>20190304164629162</v>
      </c>
      <c r="B1593" t="str">
        <f>"1551689189160025"</f>
        <v>1551689189160025</v>
      </c>
      <c r="C1593" t="s">
        <v>40</v>
      </c>
      <c r="D1593">
        <v>3.840713</v>
      </c>
      <c r="E1593">
        <v>0.53044239999999998</v>
      </c>
      <c r="F1593" t="s">
        <v>49</v>
      </c>
      <c r="G1593">
        <v>-335.57569999999998</v>
      </c>
      <c r="H1593" s="1">
        <v>1.4332669999999901E-6</v>
      </c>
      <c r="I1593">
        <v>284.54820000000001</v>
      </c>
      <c r="J1593">
        <v>-316.80630000000002</v>
      </c>
      <c r="K1593">
        <v>1.111062</v>
      </c>
      <c r="L1593">
        <v>284.99310000000003</v>
      </c>
      <c r="M1593">
        <v>-0.99989079999999997</v>
      </c>
      <c r="N1593">
        <v>-1.448487E-2</v>
      </c>
      <c r="O1593">
        <v>2.937163E-3</v>
      </c>
      <c r="P1593">
        <v>-0.93032219999999999</v>
      </c>
      <c r="Q1593">
        <v>0.36107280000000003</v>
      </c>
      <c r="R1593">
        <v>-6.4243670000000003E-2</v>
      </c>
      <c r="S1593">
        <v>-3.2935490000000001</v>
      </c>
      <c r="T1593">
        <v>-0.19172510000000001</v>
      </c>
      <c r="U1593">
        <v>-7.6599120000000007E-2</v>
      </c>
      <c r="V1593">
        <v>-6.7006750000000004E-2</v>
      </c>
      <c r="W1593">
        <v>0.37450230000000001</v>
      </c>
      <c r="X1593">
        <v>0.9248016</v>
      </c>
      <c r="Y1593">
        <v>-2.6129570000000001E-2</v>
      </c>
      <c r="Z1593">
        <v>-1.077562E-3</v>
      </c>
      <c r="AA1593">
        <v>0.99965800000000005</v>
      </c>
      <c r="AB1593">
        <v>33</v>
      </c>
      <c r="AC1593">
        <v>-18.769399999999901</v>
      </c>
      <c r="AD1593">
        <v>-1.111060566733</v>
      </c>
      <c r="AE1593">
        <v>-0.444900000000018</v>
      </c>
      <c r="AF1593">
        <v>-0.49828758877440299</v>
      </c>
      <c r="AG1593">
        <v>-1.111060566733</v>
      </c>
      <c r="AH1593">
        <v>18.702513735108901</v>
      </c>
      <c r="AI1593">
        <v>93.398572484331595</v>
      </c>
      <c r="AJ1593">
        <v>91.526159736993506</v>
      </c>
      <c r="AK1593">
        <v>18.742112103922899</v>
      </c>
      <c r="AL1593">
        <v>68.006443288512699</v>
      </c>
      <c r="AM1593">
        <v>94.144139401164793</v>
      </c>
      <c r="AN1593">
        <v>0.99999993830670397</v>
      </c>
    </row>
    <row r="1594" spans="1:40" x14ac:dyDescent="0.25">
      <c r="A1594" t="str">
        <f>"20190304164629209"</f>
        <v>20190304164629209</v>
      </c>
      <c r="B1594" t="str">
        <f>"1551689189200042"</f>
        <v>1551689189200042</v>
      </c>
      <c r="C1594" t="s">
        <v>40</v>
      </c>
      <c r="D1594">
        <v>3.840055</v>
      </c>
      <c r="E1594">
        <v>0.53064019999999901</v>
      </c>
      <c r="F1594" t="s">
        <v>49</v>
      </c>
      <c r="G1594">
        <v>-335.83940000000001</v>
      </c>
      <c r="H1594" s="1">
        <v>1.573614E-6</v>
      </c>
      <c r="I1594">
        <v>284.54820000000001</v>
      </c>
      <c r="J1594">
        <v>-317.48410000000001</v>
      </c>
      <c r="K1594">
        <v>1.1110260000000001</v>
      </c>
      <c r="L1594">
        <v>284.99509999999998</v>
      </c>
      <c r="M1594">
        <v>-0.99989099999999997</v>
      </c>
      <c r="N1594">
        <v>-1.4477719999999999E-2</v>
      </c>
      <c r="O1594">
        <v>2.9348960000000002E-3</v>
      </c>
      <c r="P1594">
        <v>-0.9303901</v>
      </c>
      <c r="Q1594">
        <v>0.36105749999999998</v>
      </c>
      <c r="R1594">
        <v>-6.334186E-2</v>
      </c>
      <c r="S1594">
        <v>-3.2939759999999998</v>
      </c>
      <c r="T1594">
        <v>-0.19228709999999999</v>
      </c>
      <c r="U1594">
        <v>-7.6995850000000005E-2</v>
      </c>
      <c r="V1594">
        <v>-6.6075380000000003E-2</v>
      </c>
      <c r="W1594">
        <v>0.37448690000000001</v>
      </c>
      <c r="X1594">
        <v>0.924875</v>
      </c>
      <c r="Y1594">
        <v>-2.6244090000000001E-2</v>
      </c>
      <c r="Z1594">
        <v>-1.0841620000000001E-3</v>
      </c>
      <c r="AA1594">
        <v>0.99965490000000001</v>
      </c>
      <c r="AB1594">
        <v>33</v>
      </c>
      <c r="AC1594">
        <v>-18.3553</v>
      </c>
      <c r="AD1594">
        <v>-1.1110244263860001</v>
      </c>
      <c r="AE1594">
        <v>-0.44689999999997099</v>
      </c>
      <c r="AF1594">
        <v>-0.49894768201637402</v>
      </c>
      <c r="AG1594">
        <v>-1.1110244263860001</v>
      </c>
      <c r="AH1594">
        <v>18.2869503117013</v>
      </c>
      <c r="AI1594">
        <v>93.475443713829094</v>
      </c>
      <c r="AJ1594">
        <v>91.562890759646905</v>
      </c>
      <c r="AK1594">
        <v>18.327462338470401</v>
      </c>
      <c r="AL1594">
        <v>68.007398168492699</v>
      </c>
      <c r="AM1594">
        <v>94.086410641712504</v>
      </c>
      <c r="AN1594">
        <v>1.00000007986937</v>
      </c>
    </row>
    <row r="1595" spans="1:40" x14ac:dyDescent="0.25">
      <c r="A1595" t="str">
        <f>"20190304164629232"</f>
        <v>20190304164629232</v>
      </c>
      <c r="B1595" t="str">
        <f>"1551689189219561"</f>
        <v>1551689189219561</v>
      </c>
      <c r="C1595" t="s">
        <v>40</v>
      </c>
      <c r="D1595">
        <v>3.8627020000000001</v>
      </c>
      <c r="E1595">
        <v>0.53072799999999998</v>
      </c>
      <c r="F1595" t="s">
        <v>49</v>
      </c>
      <c r="G1595">
        <v>-336.31979999999999</v>
      </c>
      <c r="H1595" s="1">
        <v>1.8282450000000001E-6</v>
      </c>
      <c r="I1595">
        <v>284.572</v>
      </c>
      <c r="J1595">
        <v>-317.81139999999999</v>
      </c>
      <c r="K1595">
        <v>1.111011</v>
      </c>
      <c r="L1595">
        <v>284.99599999999998</v>
      </c>
      <c r="M1595">
        <v>-0.99989090000000003</v>
      </c>
      <c r="N1595">
        <v>-1.4474269999999999E-2</v>
      </c>
      <c r="O1595">
        <v>2.9578959999999998E-3</v>
      </c>
      <c r="P1595">
        <v>-0.93044729999999998</v>
      </c>
      <c r="Q1595">
        <v>0.36097089999999998</v>
      </c>
      <c r="R1595">
        <v>-6.2991749999999999E-2</v>
      </c>
      <c r="S1595">
        <v>-3.2948300000000001</v>
      </c>
      <c r="T1595">
        <v>-0.19434509999999999</v>
      </c>
      <c r="U1595">
        <v>-7.4005130000000002E-2</v>
      </c>
      <c r="V1595">
        <v>-6.5735650000000007E-2</v>
      </c>
      <c r="W1595">
        <v>0.37439929999999999</v>
      </c>
      <c r="X1595">
        <v>0.92493460000000005</v>
      </c>
      <c r="Y1595">
        <v>-2.5354870000000002E-2</v>
      </c>
      <c r="Z1595">
        <v>-1.062279E-3</v>
      </c>
      <c r="AA1595">
        <v>0.99967799999999996</v>
      </c>
      <c r="AB1595">
        <v>33</v>
      </c>
      <c r="AC1595">
        <v>-18.508399999999899</v>
      </c>
      <c r="AD1595">
        <v>-1.1110091717549999</v>
      </c>
      <c r="AE1595">
        <v>-0.42399999999997801</v>
      </c>
      <c r="AF1595">
        <v>-0.477031825223317</v>
      </c>
      <c r="AG1595">
        <v>-1.1110091717549999</v>
      </c>
      <c r="AH1595">
        <v>18.440652827576699</v>
      </c>
      <c r="AI1595">
        <v>93.446628150450195</v>
      </c>
      <c r="AJ1595">
        <v>91.481824767084603</v>
      </c>
      <c r="AK1595">
        <v>18.4802483059404</v>
      </c>
      <c r="AL1595">
        <v>68.012809517985602</v>
      </c>
      <c r="AM1595">
        <v>94.065209692233196</v>
      </c>
      <c r="AN1595">
        <v>1.0000000128992801</v>
      </c>
    </row>
    <row r="1596" spans="1:40" x14ac:dyDescent="0.25">
      <c r="A1596" t="str">
        <f>"20190304164629252"</f>
        <v>20190304164629252</v>
      </c>
      <c r="B1596" t="str">
        <f>"1551689189249818"</f>
        <v>1551689189249818</v>
      </c>
      <c r="C1596" t="s">
        <v>40</v>
      </c>
      <c r="D1596">
        <v>3.8628480000000001</v>
      </c>
      <c r="E1596">
        <v>0.53083880000000006</v>
      </c>
      <c r="F1596" t="s">
        <v>49</v>
      </c>
      <c r="G1596">
        <v>-336.51319999999998</v>
      </c>
      <c r="H1596" s="1">
        <v>1.9308319999999998E-6</v>
      </c>
      <c r="I1596">
        <v>284.57960000000003</v>
      </c>
      <c r="J1596">
        <v>-318.11259999999999</v>
      </c>
      <c r="K1596">
        <v>1.1109929999999999</v>
      </c>
      <c r="L1596">
        <v>284.99689999999998</v>
      </c>
      <c r="M1596">
        <v>-0.99989090000000003</v>
      </c>
      <c r="N1596">
        <v>-1.447115E-2</v>
      </c>
      <c r="O1596">
        <v>2.9911109999999999E-3</v>
      </c>
      <c r="P1596">
        <v>-0.93060160000000003</v>
      </c>
      <c r="Q1596">
        <v>0.36076239999999998</v>
      </c>
      <c r="R1596">
        <v>-6.1898479999999999E-2</v>
      </c>
      <c r="S1596">
        <v>-3.2952270000000001</v>
      </c>
      <c r="T1596">
        <v>-0.1957574</v>
      </c>
      <c r="U1596">
        <v>-7.3364260000000001E-2</v>
      </c>
      <c r="V1596">
        <v>-6.4661750000000004E-2</v>
      </c>
      <c r="W1596">
        <v>0.37419229999999998</v>
      </c>
      <c r="X1596">
        <v>0.92509399999999997</v>
      </c>
      <c r="Y1596">
        <v>-2.519062E-2</v>
      </c>
      <c r="Z1596">
        <v>-1.0642519999999999E-3</v>
      </c>
      <c r="AA1596">
        <v>0.99968210000000002</v>
      </c>
      <c r="AB1596">
        <v>33</v>
      </c>
      <c r="AC1596">
        <v>-18.400600000000001</v>
      </c>
      <c r="AD1596">
        <v>-1.1109910691680001</v>
      </c>
      <c r="AE1596">
        <v>-0.41729999999995399</v>
      </c>
      <c r="AF1596">
        <v>-0.47062733870840701</v>
      </c>
      <c r="AG1596">
        <v>-1.1109910691680001</v>
      </c>
      <c r="AH1596">
        <v>18.3324726645026</v>
      </c>
      <c r="AI1596">
        <v>93.466878453007695</v>
      </c>
      <c r="AJ1596">
        <v>91.470562067522295</v>
      </c>
      <c r="AK1596">
        <v>18.3721350213427</v>
      </c>
      <c r="AL1596">
        <v>68.0255983236801</v>
      </c>
      <c r="AM1596">
        <v>93.998328233337006</v>
      </c>
      <c r="AN1596">
        <v>0.99999996406417502</v>
      </c>
    </row>
    <row r="1597" spans="1:40" x14ac:dyDescent="0.25">
      <c r="A1597" t="str">
        <f>"20190304164629276"</f>
        <v>20190304164629276</v>
      </c>
      <c r="B1597" t="str">
        <f>"1551689189269844"</f>
        <v>1551689189269844</v>
      </c>
      <c r="C1597" t="s">
        <v>40</v>
      </c>
      <c r="D1597">
        <v>3.872166</v>
      </c>
      <c r="E1597">
        <v>0.53088690000000005</v>
      </c>
      <c r="F1597" t="s">
        <v>49</v>
      </c>
      <c r="G1597">
        <v>-336.62060000000002</v>
      </c>
      <c r="H1597" s="1">
        <v>1.9867240000000002E-6</v>
      </c>
      <c r="I1597">
        <v>284.6078</v>
      </c>
      <c r="J1597">
        <v>-318.44639999999998</v>
      </c>
      <c r="K1597">
        <v>1.1109800000000001</v>
      </c>
      <c r="L1597">
        <v>284.99799999999999</v>
      </c>
      <c r="M1597">
        <v>-0.99989059999999996</v>
      </c>
      <c r="N1597">
        <v>-1.446768E-2</v>
      </c>
      <c r="O1597">
        <v>3.0439389999999998E-3</v>
      </c>
      <c r="P1597">
        <v>-0.93057250000000002</v>
      </c>
      <c r="Q1597">
        <v>0.36093920000000002</v>
      </c>
      <c r="R1597">
        <v>-6.1298970000000001E-2</v>
      </c>
      <c r="S1597">
        <v>-3.295776</v>
      </c>
      <c r="T1597">
        <v>-0.19783790000000001</v>
      </c>
      <c r="U1597">
        <v>-6.9305420000000006E-2</v>
      </c>
      <c r="V1597">
        <v>-6.4096169999999994E-2</v>
      </c>
      <c r="W1597">
        <v>0.37436839999999999</v>
      </c>
      <c r="X1597">
        <v>0.92506219999999995</v>
      </c>
      <c r="Y1597">
        <v>-2.40106E-2</v>
      </c>
      <c r="Z1597">
        <v>-1.0323660000000001E-3</v>
      </c>
      <c r="AA1597">
        <v>0.99971120000000002</v>
      </c>
      <c r="AB1597">
        <v>33</v>
      </c>
      <c r="AC1597">
        <v>-18.174199999999999</v>
      </c>
      <c r="AD1597">
        <v>-1.1109780132760001</v>
      </c>
      <c r="AE1597">
        <v>-0.390199999999993</v>
      </c>
      <c r="AF1597">
        <v>-0.44386726374170898</v>
      </c>
      <c r="AG1597">
        <v>-1.1109780132760001</v>
      </c>
      <c r="AH1597">
        <v>18.105303118367299</v>
      </c>
      <c r="AI1597">
        <v>93.510330075991405</v>
      </c>
      <c r="AJ1597">
        <v>91.404374590629203</v>
      </c>
      <c r="AK1597">
        <v>18.1447868905029</v>
      </c>
      <c r="AL1597">
        <v>68.014719576628707</v>
      </c>
      <c r="AM1597">
        <v>93.963603630427102</v>
      </c>
      <c r="AN1597">
        <v>1.00000004589803</v>
      </c>
    </row>
    <row r="1598" spans="1:40" x14ac:dyDescent="0.25">
      <c r="A1598" t="str">
        <f>"20190304164629297"</f>
        <v>20190304164629297</v>
      </c>
      <c r="B1598" t="str">
        <f>"1551689189289364"</f>
        <v>1551689189289364</v>
      </c>
      <c r="C1598" t="s">
        <v>40</v>
      </c>
      <c r="D1598">
        <v>3.845021</v>
      </c>
      <c r="E1598">
        <v>0.53091199999999905</v>
      </c>
      <c r="F1598" t="s">
        <v>49</v>
      </c>
      <c r="G1598">
        <v>-336.91449999999998</v>
      </c>
      <c r="H1598" s="1">
        <v>2.1425880000000001E-6</v>
      </c>
      <c r="I1598">
        <v>284.62029999999999</v>
      </c>
      <c r="J1598">
        <v>-318.75979999999998</v>
      </c>
      <c r="K1598">
        <v>1.110976</v>
      </c>
      <c r="L1598">
        <v>284.9991</v>
      </c>
      <c r="M1598">
        <v>-0.99989059999999996</v>
      </c>
      <c r="N1598">
        <v>-1.4464350000000001E-2</v>
      </c>
      <c r="O1598">
        <v>3.1068879999999999E-3</v>
      </c>
      <c r="P1598">
        <v>-0.9303285</v>
      </c>
      <c r="Q1598">
        <v>0.36177140000000002</v>
      </c>
      <c r="R1598">
        <v>-6.0090530000000003E-2</v>
      </c>
      <c r="S1598">
        <v>-3.2962950000000002</v>
      </c>
      <c r="T1598">
        <v>-0.19829340000000001</v>
      </c>
      <c r="U1598">
        <v>-6.7413329999999994E-2</v>
      </c>
      <c r="V1598">
        <v>-6.2930520000000004E-2</v>
      </c>
      <c r="W1598">
        <v>0.37519599999999997</v>
      </c>
      <c r="X1598">
        <v>0.92480689999999999</v>
      </c>
      <c r="Y1598">
        <v>-2.3497500000000001E-2</v>
      </c>
      <c r="Z1598">
        <v>-1.0180129999999999E-3</v>
      </c>
      <c r="AA1598">
        <v>0.99972340000000004</v>
      </c>
      <c r="AB1598">
        <v>33</v>
      </c>
      <c r="AC1598">
        <v>-18.154699999999899</v>
      </c>
      <c r="AD1598">
        <v>-1.1109738574120001</v>
      </c>
      <c r="AE1598">
        <v>-0.37880000000001202</v>
      </c>
      <c r="AF1598">
        <v>-0.43358570146140502</v>
      </c>
      <c r="AG1598">
        <v>-1.1109738574120001</v>
      </c>
      <c r="AH1598">
        <v>18.0857372117067</v>
      </c>
      <c r="AI1598">
        <v>93.514151106638707</v>
      </c>
      <c r="AJ1598">
        <v>91.373340366684701</v>
      </c>
      <c r="AK1598">
        <v>18.1250144817398</v>
      </c>
      <c r="AL1598">
        <v>67.963573706814003</v>
      </c>
      <c r="AM1598">
        <v>93.892816303561403</v>
      </c>
      <c r="AN1598">
        <v>1.00000004552553</v>
      </c>
    </row>
    <row r="1599" spans="1:40" x14ac:dyDescent="0.25">
      <c r="A1599" t="str">
        <f>"20190304164629320"</f>
        <v>20190304164629320</v>
      </c>
      <c r="B1599" t="str">
        <f>"1551689189309862"</f>
        <v>1551689189309862</v>
      </c>
      <c r="C1599" t="s">
        <v>40</v>
      </c>
      <c r="D1599">
        <v>3.820195</v>
      </c>
      <c r="E1599">
        <v>0.53089809999999904</v>
      </c>
      <c r="F1599" t="s">
        <v>49</v>
      </c>
      <c r="G1599">
        <v>-337.42439999999999</v>
      </c>
      <c r="H1599" s="1">
        <v>2.4131959999999999E-6</v>
      </c>
      <c r="I1599">
        <v>284.63749999999999</v>
      </c>
      <c r="J1599">
        <v>-319.09370000000001</v>
      </c>
      <c r="K1599">
        <v>1.11097</v>
      </c>
      <c r="L1599">
        <v>285.00020000000001</v>
      </c>
      <c r="M1599">
        <v>-0.99989039999999996</v>
      </c>
      <c r="N1599">
        <v>-1.446043E-2</v>
      </c>
      <c r="O1599">
        <v>3.1866120000000001E-3</v>
      </c>
      <c r="P1599">
        <v>-0.93003049999999998</v>
      </c>
      <c r="Q1599">
        <v>0.3626876</v>
      </c>
      <c r="R1599">
        <v>-5.9170510000000003E-2</v>
      </c>
      <c r="S1599">
        <v>-3.2969059999999999</v>
      </c>
      <c r="T1599">
        <v>-0.1962411</v>
      </c>
      <c r="U1599">
        <v>-6.3873289999999999E-2</v>
      </c>
      <c r="V1599">
        <v>-6.2070550000000002E-2</v>
      </c>
      <c r="W1599">
        <v>0.37610579999999999</v>
      </c>
      <c r="X1599">
        <v>0.92449530000000002</v>
      </c>
      <c r="Y1599">
        <v>-2.250359E-2</v>
      </c>
      <c r="Z1599">
        <v>-9.754373E-4</v>
      </c>
      <c r="AA1599">
        <v>0.99974629999999998</v>
      </c>
      <c r="AB1599">
        <v>32</v>
      </c>
      <c r="AC1599">
        <v>-18.330699999999901</v>
      </c>
      <c r="AD1599">
        <v>-1.1109675868040001</v>
      </c>
      <c r="AE1599">
        <v>-0.36270000000001701</v>
      </c>
      <c r="AF1599">
        <v>-0.41957650711793198</v>
      </c>
      <c r="AG1599">
        <v>-1.1109675868040001</v>
      </c>
      <c r="AH1599">
        <v>18.262395810287899</v>
      </c>
      <c r="AI1599">
        <v>93.480303217902801</v>
      </c>
      <c r="AJ1599">
        <v>91.316132605713094</v>
      </c>
      <c r="AK1599">
        <v>18.300967027888898</v>
      </c>
      <c r="AL1599">
        <v>67.907324145169298</v>
      </c>
      <c r="AM1599">
        <v>93.841070010497702</v>
      </c>
      <c r="AN1599">
        <v>0.99999994284651395</v>
      </c>
    </row>
    <row r="1600" spans="1:40" x14ac:dyDescent="0.25">
      <c r="A1600" t="str">
        <f>"20190304164629343"</f>
        <v>20190304164629343</v>
      </c>
      <c r="B1600" t="str">
        <f>"1551689189329381"</f>
        <v>1551689189329381</v>
      </c>
      <c r="C1600" t="s">
        <v>40</v>
      </c>
      <c r="D1600">
        <v>3.8436170000000001</v>
      </c>
      <c r="E1600">
        <v>0.53090769999999998</v>
      </c>
      <c r="F1600" t="s">
        <v>49</v>
      </c>
      <c r="G1600">
        <v>-337.9991</v>
      </c>
      <c r="H1600" s="1">
        <v>2.7192519999999999E-6</v>
      </c>
      <c r="I1600">
        <v>284.63240000000002</v>
      </c>
      <c r="J1600">
        <v>-319.42239999999998</v>
      </c>
      <c r="K1600">
        <v>1.1109639999999901</v>
      </c>
      <c r="L1600">
        <v>285.00130000000001</v>
      </c>
      <c r="M1600">
        <v>-0.99989019999999995</v>
      </c>
      <c r="N1600">
        <v>-1.4457009999999999E-2</v>
      </c>
      <c r="O1600">
        <v>3.2746619999999998E-3</v>
      </c>
      <c r="P1600">
        <v>-0.92989029999999995</v>
      </c>
      <c r="Q1600">
        <v>0.36326069999999999</v>
      </c>
      <c r="R1600">
        <v>-5.7844420000000001E-2</v>
      </c>
      <c r="S1600">
        <v>-3.2972109999999999</v>
      </c>
      <c r="T1600">
        <v>-0.1937584</v>
      </c>
      <c r="U1600">
        <v>-6.4147949999999995E-2</v>
      </c>
      <c r="V1600">
        <v>-6.0817019999999999E-2</v>
      </c>
      <c r="W1600">
        <v>0.37667479999999998</v>
      </c>
      <c r="X1600">
        <v>0.92434700000000003</v>
      </c>
      <c r="Y1600">
        <v>-2.2673860000000001E-2</v>
      </c>
      <c r="Z1600">
        <v>-9.7461019999999995E-4</v>
      </c>
      <c r="AA1600">
        <v>0.99974240000000003</v>
      </c>
      <c r="AB1600">
        <v>32</v>
      </c>
      <c r="AC1600">
        <v>-18.576699999999999</v>
      </c>
      <c r="AD1600">
        <v>-1.1109612807479901</v>
      </c>
      <c r="AE1600">
        <v>-0.36889999999999601</v>
      </c>
      <c r="AF1600">
        <v>-0.42820590561458</v>
      </c>
      <c r="AG1600">
        <v>-1.1109612807479901</v>
      </c>
      <c r="AH1600">
        <v>18.509219719561301</v>
      </c>
      <c r="AI1600">
        <v>93.433972470247795</v>
      </c>
      <c r="AJ1600">
        <v>91.325286309462896</v>
      </c>
      <c r="AK1600">
        <v>18.547474488240201</v>
      </c>
      <c r="AL1600">
        <v>67.872136312002596</v>
      </c>
      <c r="AM1600">
        <v>93.764326011400399</v>
      </c>
      <c r="AN1600">
        <v>0.99999999564286002</v>
      </c>
    </row>
    <row r="1601" spans="1:40" x14ac:dyDescent="0.25">
      <c r="A1601" t="str">
        <f>"20190304164629364"</f>
        <v>20190304164629364</v>
      </c>
      <c r="B1601" t="str">
        <f>"1551689189359636"</f>
        <v>1551689189359636</v>
      </c>
      <c r="C1601" t="s">
        <v>40</v>
      </c>
      <c r="D1601">
        <v>3.9328470000000002</v>
      </c>
      <c r="E1601">
        <v>0.53036430000000001</v>
      </c>
      <c r="F1601" t="s">
        <v>49</v>
      </c>
      <c r="G1601">
        <v>-338.47739999999999</v>
      </c>
      <c r="H1601" s="1">
        <v>2.9728320000000002E-6</v>
      </c>
      <c r="I1601">
        <v>284.65320000000003</v>
      </c>
      <c r="J1601">
        <v>-319.73489999999998</v>
      </c>
      <c r="K1601">
        <v>1.1109629999999999</v>
      </c>
      <c r="L1601">
        <v>285.00240000000002</v>
      </c>
      <c r="M1601">
        <v>-0.99988999999999995</v>
      </c>
      <c r="N1601">
        <v>-1.445402E-2</v>
      </c>
      <c r="O1601">
        <v>3.3649660000000001E-3</v>
      </c>
      <c r="P1601">
        <v>-0.92984160000000005</v>
      </c>
      <c r="Q1601">
        <v>0.36348229999999998</v>
      </c>
      <c r="R1601">
        <v>-5.7231520000000001E-2</v>
      </c>
      <c r="S1601">
        <v>-3.2975460000000001</v>
      </c>
      <c r="T1601">
        <v>-0.19225629999999999</v>
      </c>
      <c r="U1601">
        <v>-6.0241699999999898E-2</v>
      </c>
      <c r="V1601">
        <v>-6.0282290000000002E-2</v>
      </c>
      <c r="W1601">
        <v>0.3768938</v>
      </c>
      <c r="X1601">
        <v>0.92429269999999997</v>
      </c>
      <c r="Y1601">
        <v>-2.1581280000000001E-2</v>
      </c>
      <c r="Z1601">
        <v>-9.3209469999999998E-4</v>
      </c>
      <c r="AA1601">
        <v>0.99976659999999995</v>
      </c>
      <c r="AB1601">
        <v>32</v>
      </c>
      <c r="AC1601">
        <v>-18.7425</v>
      </c>
      <c r="AD1601">
        <v>-1.110960027168</v>
      </c>
      <c r="AE1601">
        <v>-0.34919999999999601</v>
      </c>
      <c r="AF1601">
        <v>-0.41082952404630702</v>
      </c>
      <c r="AG1601">
        <v>-1.110960027168</v>
      </c>
      <c r="AH1601">
        <v>18.675624379316901</v>
      </c>
      <c r="AI1601">
        <v>93.403530344604604</v>
      </c>
      <c r="AJ1601">
        <v>91.2601989358418</v>
      </c>
      <c r="AK1601">
        <v>18.7131493618025</v>
      </c>
      <c r="AL1601">
        <v>67.8585889772516</v>
      </c>
      <c r="AM1601">
        <v>93.731540901793593</v>
      </c>
      <c r="AN1601">
        <v>0.99999994311968499</v>
      </c>
    </row>
    <row r="1602" spans="1:40" x14ac:dyDescent="0.25">
      <c r="A1602" t="str">
        <f>"20190304164629386"</f>
        <v>20190304164629386</v>
      </c>
      <c r="B1602" t="str">
        <f>"1551689189380132"</f>
        <v>1551689189380132</v>
      </c>
      <c r="C1602" t="s">
        <v>40</v>
      </c>
      <c r="D1602">
        <v>3.9109750000000001</v>
      </c>
      <c r="E1602">
        <v>0.52936870000000003</v>
      </c>
      <c r="F1602" t="s">
        <v>49</v>
      </c>
      <c r="G1602">
        <v>-338.88459999999998</v>
      </c>
      <c r="H1602" s="1">
        <v>3.1900559999999998E-6</v>
      </c>
      <c r="I1602">
        <v>284.64190000000002</v>
      </c>
      <c r="J1602">
        <v>-320.05549999999999</v>
      </c>
      <c r="K1602">
        <v>1.1109500000000001</v>
      </c>
      <c r="L1602">
        <v>285.00360000000001</v>
      </c>
      <c r="M1602">
        <v>-0.99988960000000005</v>
      </c>
      <c r="N1602">
        <v>-1.4450960000000001E-2</v>
      </c>
      <c r="O1602">
        <v>3.4606559999999999E-3</v>
      </c>
      <c r="P1602">
        <v>-0.92996840000000003</v>
      </c>
      <c r="Q1602">
        <v>0.36322090000000001</v>
      </c>
      <c r="R1602">
        <v>-5.6829089999999999E-2</v>
      </c>
      <c r="S1602">
        <v>-3.2973020000000002</v>
      </c>
      <c r="T1602">
        <v>-0.1912904</v>
      </c>
      <c r="U1602">
        <v>-6.2072750000000003E-2</v>
      </c>
      <c r="V1602">
        <v>-5.9965249999999998E-2</v>
      </c>
      <c r="W1602">
        <v>0.37663200000000002</v>
      </c>
      <c r="X1602">
        <v>0.92442009999999997</v>
      </c>
      <c r="Y1602">
        <v>-2.22323E-2</v>
      </c>
      <c r="Z1602">
        <v>-9.5573239999999996E-4</v>
      </c>
      <c r="AA1602">
        <v>0.99975239999999999</v>
      </c>
      <c r="AB1602">
        <v>32</v>
      </c>
      <c r="AC1602">
        <v>-18.829099999999901</v>
      </c>
      <c r="AD1602">
        <v>-1.1109468099439901</v>
      </c>
      <c r="AE1602">
        <v>-0.36169999999998398</v>
      </c>
      <c r="AF1602">
        <v>-0.425385375819684</v>
      </c>
      <c r="AG1602">
        <v>-1.1109468099439901</v>
      </c>
      <c r="AH1602">
        <v>18.762443885271399</v>
      </c>
      <c r="AI1602">
        <v>93.387726880483299</v>
      </c>
      <c r="AJ1602">
        <v>91.298797323200503</v>
      </c>
      <c r="AK1602">
        <v>18.8001185124042</v>
      </c>
      <c r="AL1602">
        <v>67.874783814396196</v>
      </c>
      <c r="AM1602">
        <v>93.711460645712293</v>
      </c>
      <c r="AN1602">
        <v>1.00000000795778</v>
      </c>
    </row>
    <row r="1603" spans="1:40" x14ac:dyDescent="0.25">
      <c r="A1603" t="str">
        <f>"20190304164629412"</f>
        <v>20190304164629412</v>
      </c>
      <c r="B1603" t="str">
        <f>"1551689189399652"</f>
        <v>1551689189399652</v>
      </c>
      <c r="C1603" t="s">
        <v>40</v>
      </c>
      <c r="D1603">
        <v>3.909408</v>
      </c>
      <c r="E1603">
        <v>0.52826640000000002</v>
      </c>
      <c r="F1603" t="s">
        <v>49</v>
      </c>
      <c r="G1603">
        <v>-339.31650000000002</v>
      </c>
      <c r="H1603" s="1">
        <v>3.4214809999999999E-6</v>
      </c>
      <c r="I1603">
        <v>284.60480000000001</v>
      </c>
      <c r="J1603">
        <v>-320.41950000000003</v>
      </c>
      <c r="K1603">
        <v>1.1109439999999999</v>
      </c>
      <c r="L1603">
        <v>285.005</v>
      </c>
      <c r="M1603">
        <v>-0.99988929999999998</v>
      </c>
      <c r="N1603">
        <v>-1.4447420000000001E-2</v>
      </c>
      <c r="O1603">
        <v>3.570639E-3</v>
      </c>
      <c r="P1603">
        <v>-0.93014620000000003</v>
      </c>
      <c r="Q1603">
        <v>0.36281000000000002</v>
      </c>
      <c r="R1603">
        <v>-5.6541500000000001E-2</v>
      </c>
      <c r="S1603">
        <v>-3.2960210000000001</v>
      </c>
      <c r="T1603">
        <v>-0.19010959999999999</v>
      </c>
      <c r="U1603">
        <v>-6.8237300000000001E-2</v>
      </c>
      <c r="V1603">
        <v>-5.9778089999999999E-2</v>
      </c>
      <c r="W1603">
        <v>0.37622109999999997</v>
      </c>
      <c r="X1603">
        <v>0.92459950000000002</v>
      </c>
      <c r="Y1603">
        <v>-2.4214960000000001E-2</v>
      </c>
      <c r="Z1603">
        <v>-1.027025E-3</v>
      </c>
      <c r="AA1603">
        <v>0.99970630000000005</v>
      </c>
      <c r="AB1603">
        <v>32</v>
      </c>
      <c r="AC1603">
        <v>-18.896999999999899</v>
      </c>
      <c r="AD1603">
        <v>-1.1109405785189901</v>
      </c>
      <c r="AE1603">
        <v>-0.40019999999998301</v>
      </c>
      <c r="AF1603">
        <v>-0.46606875960784</v>
      </c>
      <c r="AG1603">
        <v>-1.1109405785189901</v>
      </c>
      <c r="AH1603">
        <v>18.8303983849984</v>
      </c>
      <c r="AI1603">
        <v>93.3753449038025</v>
      </c>
      <c r="AJ1603">
        <v>91.417830965953399</v>
      </c>
      <c r="AK1603">
        <v>18.868898017516301</v>
      </c>
      <c r="AL1603">
        <v>67.900195274653299</v>
      </c>
      <c r="AM1603">
        <v>93.699192980942897</v>
      </c>
      <c r="AN1603">
        <v>0.99999998576475402</v>
      </c>
    </row>
    <row r="1604" spans="1:40" x14ac:dyDescent="0.25">
      <c r="A1604" t="str">
        <f>"20190304164629431"</f>
        <v>20190304164629431</v>
      </c>
      <c r="B1604" t="str">
        <f>"1551689189420149"</f>
        <v>1551689189420149</v>
      </c>
      <c r="C1604" t="s">
        <v>40</v>
      </c>
      <c r="D1604">
        <v>3.9295230000000001</v>
      </c>
      <c r="E1604">
        <v>0.5272386</v>
      </c>
      <c r="F1604" t="s">
        <v>49</v>
      </c>
      <c r="G1604">
        <v>-339.63099999999997</v>
      </c>
      <c r="H1604" s="1">
        <v>3.5909409999999999E-6</v>
      </c>
      <c r="I1604">
        <v>284.5566</v>
      </c>
      <c r="J1604">
        <v>-320.70740000000001</v>
      </c>
      <c r="K1604">
        <v>1.11094</v>
      </c>
      <c r="L1604">
        <v>285.0061</v>
      </c>
      <c r="M1604">
        <v>-0.99988909999999998</v>
      </c>
      <c r="N1604">
        <v>-1.444462E-2</v>
      </c>
      <c r="O1604">
        <v>3.6566369999999999E-3</v>
      </c>
      <c r="P1604">
        <v>-0.93021520000000002</v>
      </c>
      <c r="Q1604">
        <v>0.36267319999999997</v>
      </c>
      <c r="R1604">
        <v>-5.6285839999999997E-2</v>
      </c>
      <c r="S1604">
        <v>-3.2949519999999999</v>
      </c>
      <c r="T1604">
        <v>-0.19053729999999999</v>
      </c>
      <c r="U1604">
        <v>-7.6904299999999995E-2</v>
      </c>
      <c r="V1604">
        <v>-5.960095E-2</v>
      </c>
      <c r="W1604">
        <v>0.3760829</v>
      </c>
      <c r="X1604">
        <v>0.92466720000000002</v>
      </c>
      <c r="Y1604">
        <v>-2.6929890000000001E-2</v>
      </c>
      <c r="Z1604">
        <v>-1.1310859999999999E-3</v>
      </c>
      <c r="AA1604">
        <v>0.99963670000000004</v>
      </c>
      <c r="AB1604">
        <v>32</v>
      </c>
      <c r="AC1604">
        <v>-18.923599999999901</v>
      </c>
      <c r="AD1604">
        <v>-1.1109364090589999</v>
      </c>
      <c r="AE1604">
        <v>-0.44950000000000001</v>
      </c>
      <c r="AF1604">
        <v>-0.51692041095539198</v>
      </c>
      <c r="AG1604">
        <v>-1.1109364090589999</v>
      </c>
      <c r="AH1604">
        <v>18.8568771581016</v>
      </c>
      <c r="AI1604">
        <v>93.370370257863598</v>
      </c>
      <c r="AJ1604">
        <v>91.570246345684097</v>
      </c>
      <c r="AK1604">
        <v>18.896645272956999</v>
      </c>
      <c r="AL1604">
        <v>67.908742112000795</v>
      </c>
      <c r="AM1604">
        <v>93.687992197224105</v>
      </c>
      <c r="AN1604">
        <v>1.00000002583457</v>
      </c>
    </row>
    <row r="1605" spans="1:40" x14ac:dyDescent="0.25">
      <c r="A1605" t="str">
        <f>"20190304164629452"</f>
        <v>20190304164629452</v>
      </c>
      <c r="B1605" t="str">
        <f>"1551689189439668"</f>
        <v>1551689189439668</v>
      </c>
      <c r="C1605" t="s">
        <v>40</v>
      </c>
      <c r="D1605">
        <v>3.9377550000000001</v>
      </c>
      <c r="E1605">
        <v>0.5263255</v>
      </c>
      <c r="F1605" t="s">
        <v>49</v>
      </c>
      <c r="G1605">
        <v>-339.91210000000001</v>
      </c>
      <c r="H1605" s="1">
        <v>3.7428290000000001E-6</v>
      </c>
      <c r="I1605">
        <v>284.50420000000003</v>
      </c>
      <c r="J1605">
        <v>-320.99970000000002</v>
      </c>
      <c r="K1605">
        <v>1.110938</v>
      </c>
      <c r="L1605">
        <v>285.00720000000001</v>
      </c>
      <c r="M1605">
        <v>-0.99988880000000002</v>
      </c>
      <c r="N1605">
        <v>-1.444177E-2</v>
      </c>
      <c r="O1605">
        <v>3.7431600000000002E-3</v>
      </c>
      <c r="P1605">
        <v>-0.93022530000000003</v>
      </c>
      <c r="Q1605">
        <v>0.36268650000000002</v>
      </c>
      <c r="R1605">
        <v>-5.6033319999999998E-2</v>
      </c>
      <c r="S1605">
        <v>-3.294098</v>
      </c>
      <c r="T1605">
        <v>-0.1905541</v>
      </c>
      <c r="U1605">
        <v>-8.6090089999999994E-2</v>
      </c>
      <c r="V1605">
        <v>-5.9427819999999999E-2</v>
      </c>
      <c r="W1605">
        <v>0.37609340000000002</v>
      </c>
      <c r="X1605">
        <v>0.924674</v>
      </c>
      <c r="Y1605">
        <v>-2.980205E-2</v>
      </c>
      <c r="Z1605">
        <v>-1.2388830000000001E-3</v>
      </c>
      <c r="AA1605">
        <v>0.99955510000000003</v>
      </c>
      <c r="AB1605">
        <v>32</v>
      </c>
      <c r="AC1605">
        <v>-18.912399999999899</v>
      </c>
      <c r="AD1605">
        <v>-1.1109342571709999</v>
      </c>
      <c r="AE1605">
        <v>-0.50299999999998501</v>
      </c>
      <c r="AF1605">
        <v>-0.57182430007524498</v>
      </c>
      <c r="AG1605">
        <v>-1.1109342571709999</v>
      </c>
      <c r="AH1605">
        <v>18.845404161573601</v>
      </c>
      <c r="AI1605">
        <v>93.372126426686904</v>
      </c>
      <c r="AJ1605">
        <v>91.737987117445201</v>
      </c>
      <c r="AK1605">
        <v>18.886778866894399</v>
      </c>
      <c r="AL1605">
        <v>67.908091280177402</v>
      </c>
      <c r="AM1605">
        <v>93.677281714899394</v>
      </c>
      <c r="AN1605">
        <v>0.99999995879475501</v>
      </c>
    </row>
    <row r="1606" spans="1:40" x14ac:dyDescent="0.25">
      <c r="A1606" t="str">
        <f>"20190304164629475"</f>
        <v>20190304164629475</v>
      </c>
      <c r="B1606" t="str">
        <f>"1551689189469925"</f>
        <v>1551689189469925</v>
      </c>
      <c r="C1606" t="s">
        <v>40</v>
      </c>
      <c r="D1606">
        <v>3.9376220000000002</v>
      </c>
      <c r="E1606">
        <v>0.5250937</v>
      </c>
      <c r="F1606" t="s">
        <v>49</v>
      </c>
      <c r="G1606">
        <v>-340.27659999999997</v>
      </c>
      <c r="H1606" s="1">
        <v>-1.3895809999999999E-6</v>
      </c>
      <c r="I1606">
        <v>284.46420000000001</v>
      </c>
      <c r="J1606">
        <v>-321.32690000000002</v>
      </c>
      <c r="K1606">
        <v>1.1109359999999999</v>
      </c>
      <c r="L1606">
        <v>285.0086</v>
      </c>
      <c r="M1606">
        <v>-0.99988849999999996</v>
      </c>
      <c r="N1606">
        <v>-1.44385E-2</v>
      </c>
      <c r="O1606">
        <v>3.8386309999999999E-3</v>
      </c>
      <c r="P1606">
        <v>-0.93035449999999997</v>
      </c>
      <c r="Q1606">
        <v>0.36237510000000001</v>
      </c>
      <c r="R1606">
        <v>-5.5900190000000002E-2</v>
      </c>
      <c r="S1606">
        <v>-3.2934879999999902</v>
      </c>
      <c r="T1606">
        <v>-0.18980530000000001</v>
      </c>
      <c r="U1606">
        <v>-9.2773439999999999E-2</v>
      </c>
      <c r="V1606">
        <v>-5.9382600000000001E-2</v>
      </c>
      <c r="W1606">
        <v>0.37578099999999998</v>
      </c>
      <c r="X1606">
        <v>0.92480390000000001</v>
      </c>
      <c r="Y1606">
        <v>-3.1925090000000003E-2</v>
      </c>
      <c r="Z1606">
        <v>-1.3153730000000001E-3</v>
      </c>
      <c r="AA1606">
        <v>0.99948939999999997</v>
      </c>
      <c r="AB1606">
        <v>32</v>
      </c>
      <c r="AC1606">
        <v>-18.949699999999901</v>
      </c>
      <c r="AD1606">
        <v>-1.110937389581</v>
      </c>
      <c r="AE1606">
        <v>-0.544399999999996</v>
      </c>
      <c r="AF1606">
        <v>-0.61503237101919495</v>
      </c>
      <c r="AG1606">
        <v>-1.110937389581</v>
      </c>
      <c r="AH1606">
        <v>18.882625079736801</v>
      </c>
      <c r="AI1606">
        <v>93.365269005269596</v>
      </c>
      <c r="AJ1606">
        <v>91.865540696480807</v>
      </c>
      <c r="AK1606">
        <v>18.9252734881923</v>
      </c>
      <c r="AL1606">
        <v>67.927407287308696</v>
      </c>
      <c r="AM1606">
        <v>93.673976541822995</v>
      </c>
      <c r="AN1606">
        <v>0.99999995329948399</v>
      </c>
    </row>
    <row r="1607" spans="1:40" x14ac:dyDescent="0.25">
      <c r="A1607" t="str">
        <f>"20190304164629498"</f>
        <v>20190304164629498</v>
      </c>
      <c r="B1607" t="str">
        <f>"1551689189489444"</f>
        <v>1551689189489444</v>
      </c>
      <c r="C1607" t="s">
        <v>40</v>
      </c>
      <c r="D1607">
        <v>3.9676830000000001</v>
      </c>
      <c r="E1607">
        <v>0.52470589999999995</v>
      </c>
      <c r="F1607" t="s">
        <v>49</v>
      </c>
      <c r="G1607">
        <v>-340.62610000000001</v>
      </c>
      <c r="H1607" s="1">
        <v>-1.2036170000000001E-6</v>
      </c>
      <c r="I1607">
        <v>284.40699999999998</v>
      </c>
      <c r="J1607">
        <v>-321.66989999999998</v>
      </c>
      <c r="K1607">
        <v>1.110935</v>
      </c>
      <c r="L1607">
        <v>285.01</v>
      </c>
      <c r="M1607">
        <v>-0.99988809999999995</v>
      </c>
      <c r="N1607">
        <v>-1.443475E-2</v>
      </c>
      <c r="O1607">
        <v>3.938085E-3</v>
      </c>
      <c r="P1607">
        <v>-0.93041379999999996</v>
      </c>
      <c r="Q1607">
        <v>0.36227280000000001</v>
      </c>
      <c r="R1607">
        <v>-5.5574989999999998E-2</v>
      </c>
      <c r="S1607">
        <v>-3.2922359999999999</v>
      </c>
      <c r="T1607">
        <v>-0.1895144</v>
      </c>
      <c r="U1607">
        <v>-0.1026306</v>
      </c>
      <c r="V1607">
        <v>-5.9149380000000001E-2</v>
      </c>
      <c r="W1607">
        <v>0.37567590000000001</v>
      </c>
      <c r="X1607">
        <v>0.92486159999999995</v>
      </c>
      <c r="Y1607">
        <v>-3.5018599999999997E-2</v>
      </c>
      <c r="Z1607">
        <v>-1.429561E-3</v>
      </c>
      <c r="AA1607">
        <v>0.99938570000000004</v>
      </c>
      <c r="AB1607">
        <v>32</v>
      </c>
      <c r="AC1607">
        <v>-18.956199999999999</v>
      </c>
      <c r="AD1607">
        <v>-1.1109362036170001</v>
      </c>
      <c r="AE1607">
        <v>-0.60300000000000797</v>
      </c>
      <c r="AF1607">
        <v>-0.67533706007223204</v>
      </c>
      <c r="AG1607">
        <v>-1.1109362036170001</v>
      </c>
      <c r="AH1607">
        <v>18.8888680125458</v>
      </c>
      <c r="AI1607">
        <v>93.363791332867805</v>
      </c>
      <c r="AJ1607">
        <v>92.047634010343401</v>
      </c>
      <c r="AK1607">
        <v>18.9335573569414</v>
      </c>
      <c r="AL1607">
        <v>67.933906378140307</v>
      </c>
      <c r="AM1607">
        <v>93.6593589141537</v>
      </c>
      <c r="AN1607">
        <v>1.0000000050748701</v>
      </c>
    </row>
    <row r="1608" spans="1:40" x14ac:dyDescent="0.25">
      <c r="A1608" t="str">
        <f>"20190304164629520"</f>
        <v>20190304164629520</v>
      </c>
      <c r="B1608" t="str">
        <f>"1551689189509941"</f>
        <v>1551689189509941</v>
      </c>
      <c r="C1608" t="s">
        <v>40</v>
      </c>
      <c r="D1608">
        <v>3.9521229999999998</v>
      </c>
      <c r="E1608">
        <v>0.50476569999999998</v>
      </c>
      <c r="F1608" t="s">
        <v>49</v>
      </c>
      <c r="G1608">
        <v>-340.98349999999999</v>
      </c>
      <c r="H1608" s="1">
        <v>-1.013411E-6</v>
      </c>
      <c r="I1608">
        <v>284.40089999999998</v>
      </c>
      <c r="J1608">
        <v>-321.98469999999998</v>
      </c>
      <c r="K1608">
        <v>1.1109389999999999</v>
      </c>
      <c r="L1608">
        <v>285.01139999999998</v>
      </c>
      <c r="M1608">
        <v>-0.99988779999999999</v>
      </c>
      <c r="N1608">
        <v>-1.4431390000000001E-2</v>
      </c>
      <c r="O1608">
        <v>4.0298410000000002E-3</v>
      </c>
      <c r="P1608">
        <v>-0.93029139999999999</v>
      </c>
      <c r="Q1608">
        <v>0.36264940000000001</v>
      </c>
      <c r="R1608">
        <v>-5.5166510000000002E-2</v>
      </c>
      <c r="S1608">
        <v>-3.2919309999999999</v>
      </c>
      <c r="T1608">
        <v>-0.18935440000000001</v>
      </c>
      <c r="U1608">
        <v>-0.1038208</v>
      </c>
      <c r="V1608">
        <v>-5.8825809999999999E-2</v>
      </c>
      <c r="W1608">
        <v>0.37604789999999999</v>
      </c>
      <c r="X1608">
        <v>0.92473099999999997</v>
      </c>
      <c r="Y1608">
        <v>-3.5473240000000003E-2</v>
      </c>
      <c r="Z1608">
        <v>-1.44888E-3</v>
      </c>
      <c r="AA1608">
        <v>0.99936959999999997</v>
      </c>
      <c r="AB1608">
        <v>32</v>
      </c>
      <c r="AC1608">
        <v>-18.998799999999999</v>
      </c>
      <c r="AD1608">
        <v>-1.1109400134109999</v>
      </c>
      <c r="AE1608">
        <v>-0.61050000000000104</v>
      </c>
      <c r="AF1608">
        <v>-0.68472632952322598</v>
      </c>
      <c r="AG1608">
        <v>-1.1109400134109999</v>
      </c>
      <c r="AH1608">
        <v>18.931520690028702</v>
      </c>
      <c r="AI1608">
        <v>93.356191587770795</v>
      </c>
      <c r="AJ1608">
        <v>92.071404382175501</v>
      </c>
      <c r="AK1608">
        <v>18.976446282081501</v>
      </c>
      <c r="AL1608">
        <v>67.910904818107795</v>
      </c>
      <c r="AM1608">
        <v>93.639907364464605</v>
      </c>
      <c r="AN1608">
        <v>0.99999996068878205</v>
      </c>
    </row>
    <row r="1609" spans="1:40" x14ac:dyDescent="0.25">
      <c r="A1609" t="str">
        <f>"20190304164629542"</f>
        <v>20190304164629542</v>
      </c>
      <c r="B1609" t="str">
        <f>"1551689189529461"</f>
        <v>1551689189529461</v>
      </c>
      <c r="C1609" t="s">
        <v>40</v>
      </c>
      <c r="D1609">
        <v>3.9672770000000002</v>
      </c>
      <c r="E1609">
        <v>0.50507420000000003</v>
      </c>
      <c r="F1609" t="s">
        <v>49</v>
      </c>
      <c r="G1609">
        <v>-342.81630000000001</v>
      </c>
      <c r="H1609" s="1">
        <v>-3.8075029999999998E-8</v>
      </c>
      <c r="I1609">
        <v>283.3537</v>
      </c>
      <c r="J1609">
        <v>-322.28530000000001</v>
      </c>
      <c r="K1609">
        <v>1.110938</v>
      </c>
      <c r="L1609">
        <v>285.0127</v>
      </c>
      <c r="M1609">
        <v>-0.99988759999999999</v>
      </c>
      <c r="N1609">
        <v>-1.442824E-2</v>
      </c>
      <c r="O1609">
        <v>4.1166509999999998E-3</v>
      </c>
      <c r="P1609">
        <v>-0.93023290000000003</v>
      </c>
      <c r="Q1609">
        <v>0.36288680000000001</v>
      </c>
      <c r="R1609">
        <v>-5.4591599999999997E-2</v>
      </c>
      <c r="S1609">
        <v>-3.277466</v>
      </c>
      <c r="T1609">
        <v>-0.1747851</v>
      </c>
      <c r="U1609">
        <v>-0.26080320000000001</v>
      </c>
      <c r="V1609">
        <v>-5.8330840000000002E-2</v>
      </c>
      <c r="W1609">
        <v>0.37628119999999998</v>
      </c>
      <c r="X1609">
        <v>0.92466749999999998</v>
      </c>
      <c r="Y1609">
        <v>-8.3274630000000002E-2</v>
      </c>
      <c r="Z1609">
        <v>-2.9774649999999999E-3</v>
      </c>
      <c r="AA1609">
        <v>0.99652220000000002</v>
      </c>
      <c r="AB1609">
        <v>32</v>
      </c>
      <c r="AC1609">
        <v>-20.530999999999999</v>
      </c>
      <c r="AD1609">
        <v>-1.11093803807503</v>
      </c>
      <c r="AE1609">
        <v>-1.65899999999999</v>
      </c>
      <c r="AF1609">
        <v>-1.7384566403022601</v>
      </c>
      <c r="AG1609">
        <v>-1.11093803807503</v>
      </c>
      <c r="AH1609">
        <v>20.464466098349298</v>
      </c>
      <c r="AI1609">
        <v>93.096190016914093</v>
      </c>
      <c r="AJ1609">
        <v>94.8556193494056</v>
      </c>
      <c r="AK1609">
        <v>20.5681984506456</v>
      </c>
      <c r="AL1609">
        <v>67.896479188769206</v>
      </c>
      <c r="AM1609">
        <v>93.609609103339807</v>
      </c>
      <c r="AN1609">
        <v>1.00000000696239</v>
      </c>
    </row>
    <row r="1610" spans="1:40" x14ac:dyDescent="0.25">
      <c r="A1610" t="str">
        <f>"20190304164629566"</f>
        <v>20190304164629566</v>
      </c>
      <c r="B1610" t="str">
        <f>"1551689189559716"</f>
        <v>1551689189559716</v>
      </c>
      <c r="C1610" t="s">
        <v>40</v>
      </c>
      <c r="D1610">
        <v>3.9925899999999999</v>
      </c>
      <c r="E1610">
        <v>0.5051717</v>
      </c>
      <c r="F1610" t="s">
        <v>49</v>
      </c>
      <c r="G1610">
        <v>-343.49740000000003</v>
      </c>
      <c r="H1610" s="1">
        <v>3.2434590000000002E-7</v>
      </c>
      <c r="I1610">
        <v>283.3537</v>
      </c>
      <c r="J1610">
        <v>-322.63</v>
      </c>
      <c r="K1610">
        <v>1.1109450000000001</v>
      </c>
      <c r="L1610">
        <v>285.01420000000002</v>
      </c>
      <c r="M1610">
        <v>-0.99988719999999998</v>
      </c>
      <c r="N1610">
        <v>-1.4424620000000001E-2</v>
      </c>
      <c r="O1610">
        <v>4.2166299999999999E-3</v>
      </c>
      <c r="P1610">
        <v>-0.93011489999999997</v>
      </c>
      <c r="Q1610">
        <v>0.3632261</v>
      </c>
      <c r="R1610">
        <v>-5.4345650000000002E-2</v>
      </c>
      <c r="S1610">
        <v>-3.2769469999999998</v>
      </c>
      <c r="T1610">
        <v>-0.1716232</v>
      </c>
      <c r="U1610">
        <v>-0.25628659999999998</v>
      </c>
      <c r="V1610">
        <v>-5.8177260000000001E-2</v>
      </c>
      <c r="W1610">
        <v>0.37661519999999998</v>
      </c>
      <c r="X1610">
        <v>0.92454119999999995</v>
      </c>
      <c r="Y1610">
        <v>-8.2028660000000003E-2</v>
      </c>
      <c r="Z1610">
        <v>-2.8960240000000001E-3</v>
      </c>
      <c r="AA1610">
        <v>0.99662580000000001</v>
      </c>
      <c r="AB1610">
        <v>32</v>
      </c>
      <c r="AC1610">
        <v>-20.8674</v>
      </c>
      <c r="AD1610">
        <v>-1.1109446756540999</v>
      </c>
      <c r="AE1610">
        <v>-1.6605000000000101</v>
      </c>
      <c r="AF1610">
        <v>-1.74357374070037</v>
      </c>
      <c r="AG1610">
        <v>-1.1109446756540999</v>
      </c>
      <c r="AH1610">
        <v>20.801624617802599</v>
      </c>
      <c r="AI1610">
        <v>93.046407664646495</v>
      </c>
      <c r="AJ1610">
        <v>94.791281793994003</v>
      </c>
      <c r="AK1610">
        <v>20.904110461858799</v>
      </c>
      <c r="AL1610">
        <v>67.875823093124694</v>
      </c>
      <c r="AM1610">
        <v>93.600620860110396</v>
      </c>
      <c r="AN1610">
        <v>1.00000001647479</v>
      </c>
    </row>
    <row r="1611" spans="1:40" x14ac:dyDescent="0.25">
      <c r="A1611" t="str">
        <f>"20190304164629588"</f>
        <v>20190304164629588</v>
      </c>
      <c r="B1611" t="str">
        <f>"1551689189580213"</f>
        <v>1551689189580213</v>
      </c>
      <c r="C1611" t="s">
        <v>40</v>
      </c>
      <c r="D1611">
        <v>3.994386</v>
      </c>
      <c r="E1611">
        <v>0.50514910000000002</v>
      </c>
      <c r="F1611" t="s">
        <v>49</v>
      </c>
      <c r="G1611">
        <v>-343.91539999999998</v>
      </c>
      <c r="H1611" s="1">
        <v>5.4678069999999997E-7</v>
      </c>
      <c r="I1611">
        <v>283.36160000000001</v>
      </c>
      <c r="J1611">
        <v>-322.94409999999999</v>
      </c>
      <c r="K1611">
        <v>1.110946</v>
      </c>
      <c r="L1611">
        <v>285.01560000000001</v>
      </c>
      <c r="M1611">
        <v>-0.99988670000000002</v>
      </c>
      <c r="N1611">
        <v>-1.442125E-2</v>
      </c>
      <c r="O1611">
        <v>4.3079640000000001E-3</v>
      </c>
      <c r="P1611">
        <v>-0.93025029999999997</v>
      </c>
      <c r="Q1611">
        <v>0.36288140000000002</v>
      </c>
      <c r="R1611">
        <v>-5.4325100000000001E-2</v>
      </c>
      <c r="S1611">
        <v>-3.2773439999999998</v>
      </c>
      <c r="T1611">
        <v>-0.17105390000000001</v>
      </c>
      <c r="U1611">
        <v>-0.2544556</v>
      </c>
      <c r="V1611">
        <v>-5.8242080000000002E-2</v>
      </c>
      <c r="W1611">
        <v>0.37626929999999997</v>
      </c>
      <c r="X1611">
        <v>0.924678</v>
      </c>
      <c r="Y1611">
        <v>-8.1558510000000001E-2</v>
      </c>
      <c r="Z1611">
        <v>-2.8756200000000002E-3</v>
      </c>
      <c r="AA1611">
        <v>0.99666440000000001</v>
      </c>
      <c r="AB1611">
        <v>32</v>
      </c>
      <c r="AC1611">
        <v>-20.9712999999999</v>
      </c>
      <c r="AD1611">
        <v>-1.1109454532192999</v>
      </c>
      <c r="AE1611">
        <v>-1.6539999999999899</v>
      </c>
      <c r="AF1611">
        <v>-1.73948630228193</v>
      </c>
      <c r="AG1611">
        <v>-1.1109454532192999</v>
      </c>
      <c r="AH1611">
        <v>20.905674244422801</v>
      </c>
      <c r="AI1611">
        <v>93.031429601067103</v>
      </c>
      <c r="AJ1611">
        <v>94.756420140239797</v>
      </c>
      <c r="AK1611">
        <v>21.007313679044699</v>
      </c>
      <c r="AL1611">
        <v>67.897216438403404</v>
      </c>
      <c r="AM1611">
        <v>93.604090157931793</v>
      </c>
      <c r="AN1611">
        <v>1.0000000648445999</v>
      </c>
    </row>
    <row r="1612" spans="1:40" x14ac:dyDescent="0.25">
      <c r="A1612" t="str">
        <f>"20190304164629612"</f>
        <v>20190304164629612</v>
      </c>
      <c r="B1612" t="str">
        <f>"1551689189599732"</f>
        <v>1551689189599732</v>
      </c>
      <c r="C1612" t="s">
        <v>40</v>
      </c>
      <c r="D1612">
        <v>4.0104629999999997</v>
      </c>
      <c r="E1612">
        <v>0.50511660000000003</v>
      </c>
      <c r="F1612" t="s">
        <v>49</v>
      </c>
      <c r="G1612">
        <v>-343.91919999999999</v>
      </c>
      <c r="H1612" s="1">
        <v>5.4880869999999899E-7</v>
      </c>
      <c r="I1612">
        <v>283.38440000000003</v>
      </c>
      <c r="J1612">
        <v>-323.29199999999997</v>
      </c>
      <c r="K1612">
        <v>1.1109439999999999</v>
      </c>
      <c r="L1612">
        <v>285.0172</v>
      </c>
      <c r="M1612">
        <v>-0.99988639999999995</v>
      </c>
      <c r="N1612">
        <v>-1.441743E-2</v>
      </c>
      <c r="O1612">
        <v>4.4089560000000003E-3</v>
      </c>
      <c r="P1612">
        <v>-0.93020530000000001</v>
      </c>
      <c r="Q1612">
        <v>0.36298449999999999</v>
      </c>
      <c r="R1612">
        <v>-5.441037E-2</v>
      </c>
      <c r="S1612">
        <v>-3.277771</v>
      </c>
      <c r="T1612">
        <v>-0.17360729999999999</v>
      </c>
      <c r="U1612">
        <v>-0.25491329999999901</v>
      </c>
      <c r="V1612">
        <v>-5.8421180000000003E-2</v>
      </c>
      <c r="W1612">
        <v>0.3763687</v>
      </c>
      <c r="X1612">
        <v>0.92462619999999895</v>
      </c>
      <c r="Y1612">
        <v>-8.1783170000000002E-2</v>
      </c>
      <c r="Z1612">
        <v>-2.9216229999999999E-3</v>
      </c>
      <c r="AA1612">
        <v>0.99664589999999997</v>
      </c>
      <c r="AB1612">
        <v>32</v>
      </c>
      <c r="AC1612">
        <v>-20.627199999999899</v>
      </c>
      <c r="AD1612">
        <v>-1.1109434511912999</v>
      </c>
      <c r="AE1612">
        <v>-1.6327999999999701</v>
      </c>
      <c r="AF1612">
        <v>-1.7187833565542801</v>
      </c>
      <c r="AG1612">
        <v>-1.1109434511912999</v>
      </c>
      <c r="AH1612">
        <v>20.560531148322301</v>
      </c>
      <c r="AI1612">
        <v>93.082115065458794</v>
      </c>
      <c r="AJ1612">
        <v>94.7786016414328</v>
      </c>
      <c r="AK1612">
        <v>20.6621357240641</v>
      </c>
      <c r="AL1612">
        <v>67.891068351599401</v>
      </c>
      <c r="AM1612">
        <v>93.615345727960502</v>
      </c>
      <c r="AN1612">
        <v>1.00000002116936</v>
      </c>
    </row>
    <row r="1613" spans="1:40" x14ac:dyDescent="0.25">
      <c r="A1613" t="str">
        <f>"20190304164629634"</f>
        <v>20190304164629634</v>
      </c>
      <c r="B1613" t="str">
        <f>"1551689189629989"</f>
        <v>1551689189629989</v>
      </c>
      <c r="C1613" t="s">
        <v>40</v>
      </c>
      <c r="D1613">
        <v>4.0080390000000001</v>
      </c>
      <c r="E1613">
        <v>0.49821979999999999</v>
      </c>
      <c r="F1613" t="s">
        <v>49</v>
      </c>
      <c r="G1613">
        <v>-344.24889999999999</v>
      </c>
      <c r="H1613" s="1">
        <v>7.2426639999999998E-7</v>
      </c>
      <c r="I1613">
        <v>283.38260000000002</v>
      </c>
      <c r="J1613">
        <v>-323.6071</v>
      </c>
      <c r="K1613">
        <v>1.1109439999999999</v>
      </c>
      <c r="L1613">
        <v>285.01870000000002</v>
      </c>
      <c r="M1613">
        <v>-0.9998861</v>
      </c>
      <c r="N1613">
        <v>-1.441394E-2</v>
      </c>
      <c r="O1613">
        <v>4.4999369999999999E-3</v>
      </c>
      <c r="P1613">
        <v>-0.93025760000000002</v>
      </c>
      <c r="Q1613">
        <v>0.36278830000000001</v>
      </c>
      <c r="R1613">
        <v>-5.482443E-2</v>
      </c>
      <c r="S1613">
        <v>-3.2779539999999998</v>
      </c>
      <c r="T1613">
        <v>-0.1737667</v>
      </c>
      <c r="U1613">
        <v>-0.25567630000000002</v>
      </c>
      <c r="V1613">
        <v>-5.8920130000000001E-2</v>
      </c>
      <c r="W1613">
        <v>0.37616949999999999</v>
      </c>
      <c r="X1613">
        <v>0.92467560000000004</v>
      </c>
      <c r="Y1613">
        <v>-8.2099270000000002E-2</v>
      </c>
      <c r="Z1613">
        <v>-2.9376900000000002E-3</v>
      </c>
      <c r="AA1613">
        <v>0.99661979999999994</v>
      </c>
      <c r="AB1613">
        <v>32</v>
      </c>
      <c r="AC1613">
        <v>-20.6417999999999</v>
      </c>
      <c r="AD1613">
        <v>-1.1109432757336</v>
      </c>
      <c r="AE1613">
        <v>-1.6360999999999899</v>
      </c>
      <c r="AF1613">
        <v>-1.7240172586206299</v>
      </c>
      <c r="AG1613">
        <v>-1.1109432757336</v>
      </c>
      <c r="AH1613">
        <v>20.575002362385298</v>
      </c>
      <c r="AI1613">
        <v>93.079901012300297</v>
      </c>
      <c r="AJ1613">
        <v>94.789729889153094</v>
      </c>
      <c r="AK1613">
        <v>20.676971554898401</v>
      </c>
      <c r="AL1613">
        <v>67.903386929076504</v>
      </c>
      <c r="AM1613">
        <v>93.645945620732107</v>
      </c>
      <c r="AN1613">
        <v>1.0000000198424099</v>
      </c>
    </row>
    <row r="1614" spans="1:40" x14ac:dyDescent="0.25">
      <c r="A1614" t="str">
        <f>"20190304164629656"</f>
        <v>20190304164629656</v>
      </c>
      <c r="B1614" t="str">
        <f>"1551689189649508"</f>
        <v>1551689189649508</v>
      </c>
      <c r="C1614" t="s">
        <v>40</v>
      </c>
      <c r="D1614">
        <v>4.013776</v>
      </c>
      <c r="E1614">
        <v>0.49768820000000003</v>
      </c>
      <c r="F1614" t="s">
        <v>49</v>
      </c>
      <c r="G1614">
        <v>-344.32819999999998</v>
      </c>
      <c r="H1614" s="1">
        <v>7.6644780000000005E-7</v>
      </c>
      <c r="I1614">
        <v>283.04340000000002</v>
      </c>
      <c r="J1614">
        <v>-323.9085</v>
      </c>
      <c r="K1614">
        <v>1.110946</v>
      </c>
      <c r="L1614">
        <v>285.02010000000001</v>
      </c>
      <c r="M1614">
        <v>-0.99988569999999999</v>
      </c>
      <c r="N1614">
        <v>-1.4410600000000001E-2</v>
      </c>
      <c r="O1614">
        <v>4.5877519999999996E-3</v>
      </c>
      <c r="P1614">
        <v>-0.93026189999999997</v>
      </c>
      <c r="Q1614">
        <v>0.36269269999999998</v>
      </c>
      <c r="R1614">
        <v>-5.538071E-2</v>
      </c>
      <c r="S1614">
        <v>-3.274994</v>
      </c>
      <c r="T1614">
        <v>-0.17558660000000001</v>
      </c>
      <c r="U1614">
        <v>-0.31219479999999999</v>
      </c>
      <c r="V1614">
        <v>-5.9558470000000002E-2</v>
      </c>
      <c r="W1614">
        <v>0.3760713</v>
      </c>
      <c r="X1614">
        <v>0.92467460000000001</v>
      </c>
      <c r="Y1614">
        <v>-9.9280049999999995E-2</v>
      </c>
      <c r="Z1614">
        <v>-3.5504719999999998E-3</v>
      </c>
      <c r="AA1614">
        <v>0.99505319999999997</v>
      </c>
      <c r="AB1614">
        <v>32</v>
      </c>
      <c r="AC1614">
        <v>-20.419699999999899</v>
      </c>
      <c r="AD1614">
        <v>-1.1109452335521901</v>
      </c>
      <c r="AE1614">
        <v>-1.9766999999999899</v>
      </c>
      <c r="AF1614">
        <v>-2.0643158603507601</v>
      </c>
      <c r="AG1614">
        <v>-1.1109452335521901</v>
      </c>
      <c r="AH1614">
        <v>20.350737281453799</v>
      </c>
      <c r="AI1614">
        <v>93.108749705781605</v>
      </c>
      <c r="AJ1614">
        <v>95.792095101124701</v>
      </c>
      <c r="AK1614">
        <v>20.485314427218398</v>
      </c>
      <c r="AL1614">
        <v>67.909458217240399</v>
      </c>
      <c r="AM1614">
        <v>93.685341451162799</v>
      </c>
      <c r="AN1614">
        <v>0.999999974958795</v>
      </c>
    </row>
    <row r="1615" spans="1:40" x14ac:dyDescent="0.25">
      <c r="A1615" t="str">
        <f>"20190304164629677"</f>
        <v>20190304164629677</v>
      </c>
      <c r="B1615" t="str">
        <f>"1551689189670006"</f>
        <v>1551689189670006</v>
      </c>
      <c r="C1615" t="s">
        <v>40</v>
      </c>
      <c r="D1615">
        <v>4.0026029999999997</v>
      </c>
      <c r="E1615">
        <v>0.49773729999999999</v>
      </c>
      <c r="F1615" t="s">
        <v>49</v>
      </c>
      <c r="G1615">
        <v>-344.6617</v>
      </c>
      <c r="H1615" s="1">
        <v>9.4392170000000002E-7</v>
      </c>
      <c r="I1615">
        <v>283.00369999999998</v>
      </c>
      <c r="J1615">
        <v>-324.2201</v>
      </c>
      <c r="K1615">
        <v>1.1109450000000001</v>
      </c>
      <c r="L1615">
        <v>285.02170000000001</v>
      </c>
      <c r="M1615">
        <v>-0.99988529999999998</v>
      </c>
      <c r="N1615">
        <v>-1.4407089999999999E-2</v>
      </c>
      <c r="O1615">
        <v>4.6789600000000002E-3</v>
      </c>
      <c r="P1615">
        <v>-0.93023069999999997</v>
      </c>
      <c r="Q1615">
        <v>0.36279319999999998</v>
      </c>
      <c r="R1615">
        <v>-5.5249050000000001E-2</v>
      </c>
      <c r="S1615">
        <v>-3.2743229999999999</v>
      </c>
      <c r="T1615">
        <v>-0.17527909999999999</v>
      </c>
      <c r="U1615">
        <v>-0.31814579999999998</v>
      </c>
      <c r="V1615">
        <v>-5.9511429999999997E-2</v>
      </c>
      <c r="W1615">
        <v>0.37616769999999999</v>
      </c>
      <c r="X1615">
        <v>0.92463850000000003</v>
      </c>
      <c r="Y1615">
        <v>-0.1011788</v>
      </c>
      <c r="Z1615">
        <v>-3.613598E-3</v>
      </c>
      <c r="AA1615">
        <v>0.99486169999999996</v>
      </c>
      <c r="AB1615">
        <v>32</v>
      </c>
      <c r="AC1615">
        <v>-20.441599999999902</v>
      </c>
      <c r="AD1615">
        <v>-1.1109440560782999</v>
      </c>
      <c r="AE1615">
        <v>-2.0180000000000202</v>
      </c>
      <c r="AF1615">
        <v>-2.10746867546926</v>
      </c>
      <c r="AG1615">
        <v>-1.1109440560782999</v>
      </c>
      <c r="AH1615">
        <v>20.372341675836001</v>
      </c>
      <c r="AI1615">
        <v>93.104824424008697</v>
      </c>
      <c r="AJ1615">
        <v>95.906099523794396</v>
      </c>
      <c r="AK1615">
        <v>20.511165892528499</v>
      </c>
      <c r="AL1615">
        <v>67.903498990815194</v>
      </c>
      <c r="AM1615">
        <v>93.682582111249602</v>
      </c>
      <c r="AN1615">
        <v>1.0000000522530901</v>
      </c>
    </row>
    <row r="1616" spans="1:40" x14ac:dyDescent="0.25">
      <c r="A1616" t="str">
        <f>"20190304164629699"</f>
        <v>20190304164629699</v>
      </c>
      <c r="B1616" t="str">
        <f>"1551689189689525"</f>
        <v>1551689189689525</v>
      </c>
      <c r="C1616" t="s">
        <v>40</v>
      </c>
      <c r="D1616">
        <v>3.9910060000000001</v>
      </c>
      <c r="E1616">
        <v>0.49750230000000001</v>
      </c>
      <c r="F1616" t="s">
        <v>49</v>
      </c>
      <c r="G1616">
        <v>-344.9914</v>
      </c>
      <c r="H1616" s="1">
        <v>1.119393E-6</v>
      </c>
      <c r="I1616">
        <v>283.01780000000002</v>
      </c>
      <c r="J1616">
        <v>-324.529</v>
      </c>
      <c r="K1616">
        <v>1.110949</v>
      </c>
      <c r="L1616">
        <v>285.02319999999997</v>
      </c>
      <c r="M1616">
        <v>-0.99988500000000002</v>
      </c>
      <c r="N1616">
        <v>-1.4403630000000001E-2</v>
      </c>
      <c r="O1616">
        <v>4.7686259999999998E-3</v>
      </c>
      <c r="P1616">
        <v>-0.93029139999999999</v>
      </c>
      <c r="Q1616">
        <v>0.36268709999999998</v>
      </c>
      <c r="R1616">
        <v>-5.4924059999999997E-2</v>
      </c>
      <c r="S1616">
        <v>-3.274597</v>
      </c>
      <c r="T1616">
        <v>-0.175140299999999</v>
      </c>
      <c r="U1616">
        <v>-0.31591799999999998</v>
      </c>
      <c r="V1616">
        <v>-5.9270000000000003E-2</v>
      </c>
      <c r="W1616">
        <v>0.37605899999999998</v>
      </c>
      <c r="X1616">
        <v>0.92469820000000003</v>
      </c>
      <c r="Y1616">
        <v>-0.10059070000000001</v>
      </c>
      <c r="Z1616">
        <v>-3.5944919999999999E-3</v>
      </c>
      <c r="AA1616">
        <v>0.99492139999999996</v>
      </c>
      <c r="AB1616">
        <v>32</v>
      </c>
      <c r="AC1616">
        <v>-20.462399999999999</v>
      </c>
      <c r="AD1616">
        <v>-1.1109478806069999</v>
      </c>
      <c r="AE1616">
        <v>-2.0053999999999501</v>
      </c>
      <c r="AF1616">
        <v>-2.0968429045430699</v>
      </c>
      <c r="AG1616">
        <v>-1.1109478806069999</v>
      </c>
      <c r="AH1616">
        <v>20.393063786033998</v>
      </c>
      <c r="AI1616">
        <v>93.101884138297507</v>
      </c>
      <c r="AJ1616">
        <v>95.870600507485705</v>
      </c>
      <c r="AK1616">
        <v>20.530660143819301</v>
      </c>
      <c r="AL1616">
        <v>67.910220129701202</v>
      </c>
      <c r="AM1616">
        <v>93.667447078964699</v>
      </c>
      <c r="AN1616">
        <v>1.0000000327321099</v>
      </c>
    </row>
    <row r="1617" spans="1:40" x14ac:dyDescent="0.25">
      <c r="A1617" t="str">
        <f>"20190304164629722"</f>
        <v>20190304164629722</v>
      </c>
      <c r="B1617" t="str">
        <f>"1551689189710021"</f>
        <v>1551689189710021</v>
      </c>
      <c r="C1617" t="s">
        <v>40</v>
      </c>
      <c r="D1617">
        <v>3.9810219999999998</v>
      </c>
      <c r="E1617">
        <v>0.49746200000000002</v>
      </c>
      <c r="F1617" t="s">
        <v>49</v>
      </c>
      <c r="G1617">
        <v>-345.40879999999999</v>
      </c>
      <c r="H1617" s="1">
        <v>1.3414720000000001E-6</v>
      </c>
      <c r="I1617">
        <v>282.99439999999998</v>
      </c>
      <c r="J1617">
        <v>-324.85469999999998</v>
      </c>
      <c r="K1617">
        <v>1.110954</v>
      </c>
      <c r="L1617">
        <v>285.02480000000003</v>
      </c>
      <c r="M1617">
        <v>-0.99988449999999995</v>
      </c>
      <c r="N1617">
        <v>-1.439999E-2</v>
      </c>
      <c r="O1617">
        <v>4.8636520000000004E-3</v>
      </c>
      <c r="P1617">
        <v>-0.93027879999999996</v>
      </c>
      <c r="Q1617">
        <v>0.36266700000000002</v>
      </c>
      <c r="R1617">
        <v>-5.5264130000000002E-2</v>
      </c>
      <c r="S1617">
        <v>-3.2739560000000001</v>
      </c>
      <c r="T1617">
        <v>-0.1741972</v>
      </c>
      <c r="U1617">
        <v>-0.31811519999999999</v>
      </c>
      <c r="V1617">
        <v>-5.9698729999999998E-2</v>
      </c>
      <c r="W1617">
        <v>0.37603560000000003</v>
      </c>
      <c r="X1617">
        <v>0.9246801</v>
      </c>
      <c r="Y1617">
        <v>-0.1013657</v>
      </c>
      <c r="Z1617">
        <v>-3.6088610000000001E-3</v>
      </c>
      <c r="AA1617">
        <v>0.99484269999999997</v>
      </c>
      <c r="AB1617">
        <v>32</v>
      </c>
      <c r="AC1617">
        <v>-20.554099999999998</v>
      </c>
      <c r="AD1617">
        <v>-1.1109526585280001</v>
      </c>
      <c r="AE1617">
        <v>-2.0304000000000402</v>
      </c>
      <c r="AF1617">
        <v>-2.1242085975045399</v>
      </c>
      <c r="AG1617">
        <v>-1.1109526585280001</v>
      </c>
      <c r="AH1617">
        <v>20.484714507875601</v>
      </c>
      <c r="AI1617">
        <v>93.087770368651306</v>
      </c>
      <c r="AJ1617">
        <v>95.920254977812405</v>
      </c>
      <c r="AK1617">
        <v>20.624500150170299</v>
      </c>
      <c r="AL1617">
        <v>67.911666272101002</v>
      </c>
      <c r="AM1617">
        <v>93.693974504605904</v>
      </c>
      <c r="AN1617">
        <v>0.99999999908349102</v>
      </c>
    </row>
    <row r="1618" spans="1:40" x14ac:dyDescent="0.25">
      <c r="A1618" t="str">
        <f>"20190304164629744"</f>
        <v>20190304164629744</v>
      </c>
      <c r="B1618" t="str">
        <f>"1551689189739300"</f>
        <v>1551689189739300</v>
      </c>
      <c r="C1618" t="s">
        <v>40</v>
      </c>
      <c r="D1618">
        <v>3.984219</v>
      </c>
      <c r="E1618">
        <v>0.49729420000000002</v>
      </c>
      <c r="F1618" t="s">
        <v>49</v>
      </c>
      <c r="G1618">
        <v>-345.69400000000002</v>
      </c>
      <c r="H1618" s="1">
        <v>1.4932810000000001E-6</v>
      </c>
      <c r="I1618">
        <v>282.9982</v>
      </c>
      <c r="J1618">
        <v>-325.15519999999998</v>
      </c>
      <c r="K1618">
        <v>1.1109450000000001</v>
      </c>
      <c r="L1618">
        <v>285.02640000000002</v>
      </c>
      <c r="M1618">
        <v>-0.99988410000000005</v>
      </c>
      <c r="N1618">
        <v>-1.4396549999999999E-2</v>
      </c>
      <c r="O1618">
        <v>4.9512879999999999E-3</v>
      </c>
      <c r="P1618">
        <v>-0.93027349999999998</v>
      </c>
      <c r="Q1618">
        <v>0.36258020000000002</v>
      </c>
      <c r="R1618">
        <v>-5.5918849999999999E-2</v>
      </c>
      <c r="S1618">
        <v>-3.2739560000000001</v>
      </c>
      <c r="T1618">
        <v>-0.174536</v>
      </c>
      <c r="U1618">
        <v>-0.3183899</v>
      </c>
      <c r="V1618">
        <v>-6.0435240000000001E-2</v>
      </c>
      <c r="W1618">
        <v>0.37594539999999999</v>
      </c>
      <c r="X1618">
        <v>0.92466899999999996</v>
      </c>
      <c r="Y1618">
        <v>-0.1015345</v>
      </c>
      <c r="Z1618">
        <v>-3.6235249999999998E-3</v>
      </c>
      <c r="AA1618">
        <v>0.99482539999999997</v>
      </c>
      <c r="AB1618">
        <v>32</v>
      </c>
      <c r="AC1618">
        <v>-20.538799999999998</v>
      </c>
      <c r="AD1618">
        <v>-1.1109435067190001</v>
      </c>
      <c r="AE1618">
        <v>-2.02820000000002</v>
      </c>
      <c r="AF1618">
        <v>-2.1237257516659001</v>
      </c>
      <c r="AG1618">
        <v>-1.1109435067190001</v>
      </c>
      <c r="AH1618">
        <v>20.469196015161899</v>
      </c>
      <c r="AI1618">
        <v>93.090063969998695</v>
      </c>
      <c r="AJ1618">
        <v>95.923374290628203</v>
      </c>
      <c r="AK1618">
        <v>20.609036659934699</v>
      </c>
      <c r="AL1618">
        <v>67.917245030156394</v>
      </c>
      <c r="AM1618">
        <v>93.739463729764097</v>
      </c>
      <c r="AN1618">
        <v>1.000000060788</v>
      </c>
    </row>
    <row r="1619" spans="1:40" x14ac:dyDescent="0.25">
      <c r="A1619" t="str">
        <f>"20190304164629767"</f>
        <v>20190304164629767</v>
      </c>
      <c r="B1619" t="str">
        <f>"1551689189759796"</f>
        <v>1551689189759796</v>
      </c>
      <c r="C1619" t="s">
        <v>40</v>
      </c>
      <c r="D1619">
        <v>3.9511509999999999</v>
      </c>
      <c r="E1619">
        <v>0.49717270000000002</v>
      </c>
      <c r="F1619" t="s">
        <v>49</v>
      </c>
      <c r="G1619">
        <v>-345.99869999999999</v>
      </c>
      <c r="H1619" s="1">
        <v>1.655428E-6</v>
      </c>
      <c r="I1619">
        <v>282.98899999999998</v>
      </c>
      <c r="J1619">
        <v>-325.48379999999997</v>
      </c>
      <c r="K1619">
        <v>1.110948</v>
      </c>
      <c r="L1619">
        <v>285.02809999999999</v>
      </c>
      <c r="M1619">
        <v>-0.99988370000000004</v>
      </c>
      <c r="N1619">
        <v>-1.4392810000000001E-2</v>
      </c>
      <c r="O1619">
        <v>5.0467949999999998E-3</v>
      </c>
      <c r="P1619">
        <v>-0.93037270000000005</v>
      </c>
      <c r="Q1619">
        <v>0.36231550000000001</v>
      </c>
      <c r="R1619">
        <v>-5.5986130000000002E-2</v>
      </c>
      <c r="S1619">
        <v>-3.27359</v>
      </c>
      <c r="T1619">
        <v>-0.17448</v>
      </c>
      <c r="U1619">
        <v>-0.31997680000000001</v>
      </c>
      <c r="V1619">
        <v>-6.0592210000000001E-2</v>
      </c>
      <c r="W1619">
        <v>0.37567899999999999</v>
      </c>
      <c r="X1619">
        <v>0.92476700000000001</v>
      </c>
      <c r="Y1619">
        <v>-0.1021169</v>
      </c>
      <c r="Z1619">
        <v>-3.646065E-3</v>
      </c>
      <c r="AA1619">
        <v>0.99476569999999997</v>
      </c>
      <c r="AB1619">
        <v>32</v>
      </c>
      <c r="AC1619">
        <v>-20.514900000000001</v>
      </c>
      <c r="AD1619">
        <v>-1.110946344572</v>
      </c>
      <c r="AE1619">
        <v>-2.0390999999999599</v>
      </c>
      <c r="AF1619">
        <v>-2.1364153635534602</v>
      </c>
      <c r="AG1619">
        <v>-1.110946344572</v>
      </c>
      <c r="AH1619">
        <v>20.444977062198799</v>
      </c>
      <c r="AI1619">
        <v>93.093488725052794</v>
      </c>
      <c r="AJ1619">
        <v>95.965521077137197</v>
      </c>
      <c r="AK1619">
        <v>20.586295428269299</v>
      </c>
      <c r="AL1619">
        <v>67.933716128805102</v>
      </c>
      <c r="AM1619">
        <v>93.748752495564602</v>
      </c>
      <c r="AN1619">
        <v>1.0000000656213399</v>
      </c>
    </row>
    <row r="1620" spans="1:40" x14ac:dyDescent="0.25">
      <c r="A1620" t="str">
        <f>"20190304164629789"</f>
        <v>20190304164629789</v>
      </c>
      <c r="B1620" t="str">
        <f>"1551689189779316"</f>
        <v>1551689189779316</v>
      </c>
      <c r="C1620" t="s">
        <v>40</v>
      </c>
      <c r="D1620">
        <v>3.9426139999999998</v>
      </c>
      <c r="E1620">
        <v>0.49714910000000001</v>
      </c>
      <c r="F1620" t="s">
        <v>49</v>
      </c>
      <c r="G1620">
        <v>-346.27550000000002</v>
      </c>
      <c r="H1620" s="1">
        <v>1.8027140000000001E-6</v>
      </c>
      <c r="I1620">
        <v>282.9821</v>
      </c>
      <c r="J1620">
        <v>-325.78719999999998</v>
      </c>
      <c r="K1620">
        <v>1.1109519999999999</v>
      </c>
      <c r="L1620">
        <v>285.02980000000002</v>
      </c>
      <c r="M1620">
        <v>-0.99988339999999998</v>
      </c>
      <c r="N1620">
        <v>-1.438944E-2</v>
      </c>
      <c r="O1620">
        <v>5.1350859999999996E-3</v>
      </c>
      <c r="P1620">
        <v>-0.93034669999999997</v>
      </c>
      <c r="Q1620">
        <v>0.36249110000000001</v>
      </c>
      <c r="R1620">
        <v>-5.527895E-2</v>
      </c>
      <c r="S1620">
        <v>-3.2732239999999999</v>
      </c>
      <c r="T1620">
        <v>-0.17489549999999901</v>
      </c>
      <c r="U1620">
        <v>-0.32211299999999998</v>
      </c>
      <c r="V1620">
        <v>-5.9966369999999998E-2</v>
      </c>
      <c r="W1620">
        <v>0.37585089999999999</v>
      </c>
      <c r="X1620">
        <v>0.9247379</v>
      </c>
      <c r="Y1620">
        <v>-0.1028564</v>
      </c>
      <c r="Z1620">
        <v>-3.6817339999999999E-3</v>
      </c>
      <c r="AA1620">
        <v>0.99468939999999995</v>
      </c>
      <c r="AB1620">
        <v>32</v>
      </c>
      <c r="AC1620">
        <v>-20.488299999999999</v>
      </c>
      <c r="AD1620">
        <v>-1.1109501972860001</v>
      </c>
      <c r="AE1620">
        <v>-2.0477000000000198</v>
      </c>
      <c r="AF1620">
        <v>-2.1466439134047399</v>
      </c>
      <c r="AG1620">
        <v>-1.1109501972860001</v>
      </c>
      <c r="AH1620">
        <v>20.418074065371499</v>
      </c>
      <c r="AI1620">
        <v>93.097362827137204</v>
      </c>
      <c r="AJ1620">
        <v>96.001714827602996</v>
      </c>
      <c r="AK1620">
        <v>20.560642961026399</v>
      </c>
      <c r="AL1620">
        <v>67.923087146584805</v>
      </c>
      <c r="AM1620">
        <v>93.710257813466001</v>
      </c>
      <c r="AN1620">
        <v>1.0000000241290901</v>
      </c>
    </row>
    <row r="1621" spans="1:40" x14ac:dyDescent="0.25">
      <c r="A1621" t="str">
        <f>"20190304164629812"</f>
        <v>20190304164629812</v>
      </c>
      <c r="B1621" t="str">
        <f>"1551689189799813"</f>
        <v>1551689189799813</v>
      </c>
      <c r="C1621" t="s">
        <v>40</v>
      </c>
      <c r="D1621">
        <v>3.9500799999999998</v>
      </c>
      <c r="E1621">
        <v>0.49722949999999999</v>
      </c>
      <c r="F1621" t="s">
        <v>49</v>
      </c>
      <c r="G1621">
        <v>-346.7115</v>
      </c>
      <c r="H1621" s="1">
        <v>2.0347600000000001E-6</v>
      </c>
      <c r="I1621">
        <v>282.971</v>
      </c>
      <c r="J1621">
        <v>-326.12860000000001</v>
      </c>
      <c r="K1621">
        <v>1.110954</v>
      </c>
      <c r="L1621">
        <v>285.03160000000003</v>
      </c>
      <c r="M1621">
        <v>-0.99988299999999997</v>
      </c>
      <c r="N1621">
        <v>-1.438565E-2</v>
      </c>
      <c r="O1621">
        <v>5.2346440000000001E-3</v>
      </c>
      <c r="P1621">
        <v>-0.93037840000000005</v>
      </c>
      <c r="Q1621">
        <v>0.3623884</v>
      </c>
      <c r="R1621">
        <v>-5.5417349999999997E-2</v>
      </c>
      <c r="S1621">
        <v>-3.273193</v>
      </c>
      <c r="T1621">
        <v>-0.17378579999999999</v>
      </c>
      <c r="U1621">
        <v>-0.322052</v>
      </c>
      <c r="V1621">
        <v>-6.0198469999999997E-2</v>
      </c>
      <c r="W1621">
        <v>0.37574479999999999</v>
      </c>
      <c r="X1621">
        <v>0.92476590000000003</v>
      </c>
      <c r="Y1621">
        <v>-0.1029399</v>
      </c>
      <c r="Z1621">
        <v>-3.669145E-3</v>
      </c>
      <c r="AA1621">
        <v>0.99468080000000003</v>
      </c>
      <c r="AB1621">
        <v>32</v>
      </c>
      <c r="AC1621">
        <v>-20.582899999999899</v>
      </c>
      <c r="AD1621">
        <v>-1.11095196524</v>
      </c>
      <c r="AE1621">
        <v>-2.06060000000002</v>
      </c>
      <c r="AF1621">
        <v>-2.16209084267058</v>
      </c>
      <c r="AG1621">
        <v>-1.11095196524</v>
      </c>
      <c r="AH1621">
        <v>20.512664823841501</v>
      </c>
      <c r="AI1621">
        <v>93.083026432256503</v>
      </c>
      <c r="AJ1621">
        <v>96.016915016864402</v>
      </c>
      <c r="AK1621">
        <v>20.656192031841101</v>
      </c>
      <c r="AL1621">
        <v>67.929646270175695</v>
      </c>
      <c r="AM1621">
        <v>93.724465576613696</v>
      </c>
      <c r="AN1621">
        <v>0.999999990160095</v>
      </c>
    </row>
    <row r="1622" spans="1:40" x14ac:dyDescent="0.25">
      <c r="A1622" t="str">
        <f>"20190304164629833"</f>
        <v>20190304164629833</v>
      </c>
      <c r="B1622" t="str">
        <f>"1551689189830068"</f>
        <v>1551689189830068</v>
      </c>
      <c r="C1622" t="s">
        <v>40</v>
      </c>
      <c r="D1622">
        <v>3.9295179999999998</v>
      </c>
      <c r="E1622">
        <v>0.49738389999999999</v>
      </c>
      <c r="F1622" t="s">
        <v>49</v>
      </c>
      <c r="G1622">
        <v>-346.98520000000002</v>
      </c>
      <c r="H1622" s="1">
        <v>2.1804100000000002E-6</v>
      </c>
      <c r="I1622">
        <v>282.98070000000001</v>
      </c>
      <c r="J1622">
        <v>-326.42910000000001</v>
      </c>
      <c r="K1622">
        <v>1.1109469999999999</v>
      </c>
      <c r="L1622">
        <v>285.0333</v>
      </c>
      <c r="M1622">
        <v>-0.99988239999999995</v>
      </c>
      <c r="N1622">
        <v>-1.4382310000000001E-2</v>
      </c>
      <c r="O1622">
        <v>5.3224589999999999E-3</v>
      </c>
      <c r="P1622">
        <v>-0.93048649999999999</v>
      </c>
      <c r="Q1622">
        <v>0.36218830000000002</v>
      </c>
      <c r="R1622">
        <v>-5.4904880000000003E-2</v>
      </c>
      <c r="S1622">
        <v>-3.2732239999999999</v>
      </c>
      <c r="T1622">
        <v>-0.17435200000000001</v>
      </c>
      <c r="U1622">
        <v>-0.32186890000000001</v>
      </c>
      <c r="V1622">
        <v>-5.9768050000000003E-2</v>
      </c>
      <c r="W1622">
        <v>0.37554330000000002</v>
      </c>
      <c r="X1622">
        <v>0.92487569999999997</v>
      </c>
      <c r="Y1622">
        <v>-0.10297000000000001</v>
      </c>
      <c r="Z1622">
        <v>-3.6831590000000001E-3</v>
      </c>
      <c r="AA1622">
        <v>0.9946777</v>
      </c>
      <c r="AB1622">
        <v>32</v>
      </c>
      <c r="AC1622">
        <v>-20.556100000000001</v>
      </c>
      <c r="AD1622">
        <v>-1.11094481958999</v>
      </c>
      <c r="AE1622">
        <v>-2.05259999999998</v>
      </c>
      <c r="AF1622">
        <v>-2.1557568395377</v>
      </c>
      <c r="AG1622">
        <v>-1.11094481958999</v>
      </c>
      <c r="AH1622">
        <v>20.485638782132099</v>
      </c>
      <c r="AI1622">
        <v>93.087120693239598</v>
      </c>
      <c r="AJ1622">
        <v>96.007273769276694</v>
      </c>
      <c r="AK1622">
        <v>20.628690754756601</v>
      </c>
      <c r="AL1622">
        <v>67.942104515964004</v>
      </c>
      <c r="AM1622">
        <v>93.697471951437805</v>
      </c>
      <c r="AN1622">
        <v>1.0000000252130901</v>
      </c>
    </row>
    <row r="1623" spans="1:40" x14ac:dyDescent="0.25">
      <c r="A1623" t="str">
        <f>"20190304164629856"</f>
        <v>20190304164629856</v>
      </c>
      <c r="B1623" t="str">
        <f>"1551689189849589"</f>
        <v>1551689189849589</v>
      </c>
      <c r="C1623" t="s">
        <v>40</v>
      </c>
      <c r="D1623">
        <v>3.9233769999999999</v>
      </c>
      <c r="E1623">
        <v>0.49734630000000002</v>
      </c>
      <c r="F1623" t="s">
        <v>49</v>
      </c>
      <c r="G1623">
        <v>-347.1429</v>
      </c>
      <c r="H1623" s="1">
        <v>2.2643149999999999E-6</v>
      </c>
      <c r="I1623">
        <v>283.02609999999999</v>
      </c>
      <c r="J1623">
        <v>-326.72930000000002</v>
      </c>
      <c r="K1623">
        <v>1.1109500000000001</v>
      </c>
      <c r="L1623">
        <v>285.03500000000003</v>
      </c>
      <c r="M1623">
        <v>-0.99988200000000005</v>
      </c>
      <c r="N1623">
        <v>-1.4378989999999999E-2</v>
      </c>
      <c r="O1623">
        <v>5.4102119999999898E-3</v>
      </c>
      <c r="P1623">
        <v>-0.93033679999999996</v>
      </c>
      <c r="Q1623">
        <v>0.36250660000000001</v>
      </c>
      <c r="R1623">
        <v>-5.5340729999999998E-2</v>
      </c>
      <c r="S1623">
        <v>-3.2737729999999998</v>
      </c>
      <c r="T1623">
        <v>-0.1755825</v>
      </c>
      <c r="U1623">
        <v>-0.31723020000000002</v>
      </c>
      <c r="V1623">
        <v>-6.028505E-2</v>
      </c>
      <c r="W1623">
        <v>0.37585619999999997</v>
      </c>
      <c r="X1623">
        <v>0.92471499999999995</v>
      </c>
      <c r="Y1623">
        <v>-0.10164479999999999</v>
      </c>
      <c r="Z1623">
        <v>-3.6623659999999998E-3</v>
      </c>
      <c r="AA1623">
        <v>0.99481399999999998</v>
      </c>
      <c r="AB1623">
        <v>32</v>
      </c>
      <c r="AC1623">
        <v>-20.413599999999899</v>
      </c>
      <c r="AD1623">
        <v>-1.1109477356849999</v>
      </c>
      <c r="AE1623">
        <v>-2.0089000000000401</v>
      </c>
      <c r="AF1623">
        <v>-2.1131253988762699</v>
      </c>
      <c r="AG1623">
        <v>-1.1109477356849999</v>
      </c>
      <c r="AH1623">
        <v>20.342759256766001</v>
      </c>
      <c r="AI1623">
        <v>93.109204505980401</v>
      </c>
      <c r="AJ1623">
        <v>95.930389969699803</v>
      </c>
      <c r="AK1623">
        <v>20.4823670019248</v>
      </c>
      <c r="AL1623">
        <v>67.922758909456505</v>
      </c>
      <c r="AM1623">
        <v>93.730011875688106</v>
      </c>
      <c r="AN1623">
        <v>1.00000000077847</v>
      </c>
    </row>
    <row r="1624" spans="1:40" x14ac:dyDescent="0.25">
      <c r="A1624" t="str">
        <f>"20190304164629878"</f>
        <v>20190304164629878</v>
      </c>
      <c r="B1624" t="str">
        <f>"1551689189870085"</f>
        <v>1551689189870085</v>
      </c>
      <c r="C1624" t="s">
        <v>40</v>
      </c>
      <c r="D1624">
        <v>3.9372340000000001</v>
      </c>
      <c r="E1624">
        <v>0.49729060000000003</v>
      </c>
      <c r="F1624" t="s">
        <v>49</v>
      </c>
      <c r="G1624">
        <v>-347.5308</v>
      </c>
      <c r="H1624" s="1">
        <v>2.4707439999999999E-6</v>
      </c>
      <c r="I1624">
        <v>283.01080000000002</v>
      </c>
      <c r="J1624">
        <v>-327.0496</v>
      </c>
      <c r="K1624">
        <v>1.1109549999999999</v>
      </c>
      <c r="L1624">
        <v>285.03680000000003</v>
      </c>
      <c r="M1624">
        <v>-0.99988160000000004</v>
      </c>
      <c r="N1624">
        <v>-1.437545E-2</v>
      </c>
      <c r="O1624">
        <v>5.5037489999999996E-3</v>
      </c>
      <c r="P1624">
        <v>-0.93031319999999995</v>
      </c>
      <c r="Q1624">
        <v>0.36258560000000001</v>
      </c>
      <c r="R1624">
        <v>-5.5217009999999997E-2</v>
      </c>
      <c r="S1624">
        <v>-3.2738339999999999</v>
      </c>
      <c r="T1624">
        <v>-0.1748461</v>
      </c>
      <c r="U1624">
        <v>-0.318573</v>
      </c>
      <c r="V1624">
        <v>-6.0248650000000001E-2</v>
      </c>
      <c r="W1624">
        <v>0.37593169999999998</v>
      </c>
      <c r="X1624">
        <v>0.92468669999999997</v>
      </c>
      <c r="Y1624">
        <v>-0.1021408</v>
      </c>
      <c r="Z1624">
        <v>-3.669926E-3</v>
      </c>
      <c r="AA1624">
        <v>0.99476319999999996</v>
      </c>
      <c r="AB1624">
        <v>31</v>
      </c>
      <c r="AC1624">
        <v>-20.481200000000001</v>
      </c>
      <c r="AD1624">
        <v>-1.1109525292560001</v>
      </c>
      <c r="AE1624">
        <v>-2.02600000000001</v>
      </c>
      <c r="AF1624">
        <v>-2.13249080276332</v>
      </c>
      <c r="AG1624">
        <v>-1.1109525292560001</v>
      </c>
      <c r="AH1624">
        <v>20.410267714321101</v>
      </c>
      <c r="AI1624">
        <v>93.098761092512504</v>
      </c>
      <c r="AJ1624">
        <v>95.964694737493502</v>
      </c>
      <c r="AK1624">
        <v>20.551417486791301</v>
      </c>
      <c r="AL1624">
        <v>67.918091126955602</v>
      </c>
      <c r="AM1624">
        <v>93.727879820173996</v>
      </c>
      <c r="AN1624">
        <v>1.0000000180243001</v>
      </c>
    </row>
    <row r="1625" spans="1:40" x14ac:dyDescent="0.25">
      <c r="A1625" t="str">
        <f>"20190304164629900"</f>
        <v>20190304164629900</v>
      </c>
      <c r="B1625" t="str">
        <f>"1551689189889605"</f>
        <v>1551689189889605</v>
      </c>
      <c r="C1625" t="s">
        <v>40</v>
      </c>
      <c r="D1625">
        <v>3.9024860000000001</v>
      </c>
      <c r="E1625">
        <v>0.49722300000000003</v>
      </c>
      <c r="F1625" t="s">
        <v>49</v>
      </c>
      <c r="G1625">
        <v>-347.91919999999999</v>
      </c>
      <c r="H1625" s="1">
        <v>2.6774239999999998E-6</v>
      </c>
      <c r="I1625">
        <v>283.00420000000003</v>
      </c>
      <c r="J1625">
        <v>-327.35219999999998</v>
      </c>
      <c r="K1625">
        <v>1.1109599999999999</v>
      </c>
      <c r="L1625">
        <v>285.03859999999997</v>
      </c>
      <c r="M1625">
        <v>-0.99988120000000003</v>
      </c>
      <c r="N1625">
        <v>-1.4372090000000001E-2</v>
      </c>
      <c r="O1625">
        <v>5.5919809999999898E-3</v>
      </c>
      <c r="P1625">
        <v>-0.93037369999999997</v>
      </c>
      <c r="Q1625">
        <v>0.36240050000000001</v>
      </c>
      <c r="R1625">
        <v>-5.5415569999999997E-2</v>
      </c>
      <c r="S1625">
        <v>-3.2737430000000001</v>
      </c>
      <c r="T1625">
        <v>-0.17427110000000001</v>
      </c>
      <c r="U1625">
        <v>-0.31884770000000001</v>
      </c>
      <c r="V1625">
        <v>-6.0529189999999997E-2</v>
      </c>
      <c r="W1625">
        <v>0.37574439999999998</v>
      </c>
      <c r="X1625">
        <v>0.92474449999999997</v>
      </c>
      <c r="Y1625">
        <v>-0.10231469999999999</v>
      </c>
      <c r="Z1625">
        <v>-3.669238E-3</v>
      </c>
      <c r="AA1625">
        <v>0.99474530000000005</v>
      </c>
      <c r="AB1625">
        <v>31</v>
      </c>
      <c r="AC1625">
        <v>-20.567</v>
      </c>
      <c r="AD1625">
        <v>-1.1109573225760001</v>
      </c>
      <c r="AE1625">
        <v>-2.0343999999999398</v>
      </c>
      <c r="AF1625">
        <v>-2.1431975332326898</v>
      </c>
      <c r="AG1625">
        <v>-1.1109573225760001</v>
      </c>
      <c r="AH1625">
        <v>20.496077239426199</v>
      </c>
      <c r="AI1625">
        <v>93.0857990821507</v>
      </c>
      <c r="AJ1625">
        <v>95.969509689346495</v>
      </c>
      <c r="AK1625">
        <v>20.6377494907649</v>
      </c>
      <c r="AL1625">
        <v>67.929671545809001</v>
      </c>
      <c r="AM1625">
        <v>93.744955496778701</v>
      </c>
      <c r="AN1625">
        <v>1.0000000136268301</v>
      </c>
    </row>
    <row r="1626" spans="1:40" x14ac:dyDescent="0.25">
      <c r="A1626" t="str">
        <f>"20190304164629921"</f>
        <v>20190304164629921</v>
      </c>
      <c r="B1626" t="str">
        <f>"1551689189910100"</f>
        <v>1551689189910100</v>
      </c>
      <c r="C1626" t="s">
        <v>40</v>
      </c>
      <c r="D1626">
        <v>3.909141</v>
      </c>
      <c r="E1626">
        <v>0.49713109999999999</v>
      </c>
      <c r="F1626" t="s">
        <v>49</v>
      </c>
      <c r="G1626">
        <v>-348.16410000000002</v>
      </c>
      <c r="H1626" s="1">
        <v>2.8077429999999999E-6</v>
      </c>
      <c r="I1626">
        <v>283.0025</v>
      </c>
      <c r="J1626">
        <v>-327.6628</v>
      </c>
      <c r="K1626">
        <v>1.110957</v>
      </c>
      <c r="L1626">
        <v>285.04039999999998</v>
      </c>
      <c r="M1626">
        <v>-0.99988069999999896</v>
      </c>
      <c r="N1626">
        <v>-1.436866E-2</v>
      </c>
      <c r="O1626">
        <v>5.6817580000000003E-3</v>
      </c>
      <c r="P1626">
        <v>-0.93029399999999995</v>
      </c>
      <c r="Q1626">
        <v>0.36259750000000002</v>
      </c>
      <c r="R1626">
        <v>-5.5465199999999902E-2</v>
      </c>
      <c r="S1626">
        <v>-3.2734990000000002</v>
      </c>
      <c r="T1626">
        <v>-0.17474189999999901</v>
      </c>
      <c r="U1626">
        <v>-0.32025150000000002</v>
      </c>
      <c r="V1626">
        <v>-6.0662540000000001E-2</v>
      </c>
      <c r="W1626">
        <v>0.37593660000000001</v>
      </c>
      <c r="X1626">
        <v>0.92465759999999997</v>
      </c>
      <c r="Y1626">
        <v>-0.1028318</v>
      </c>
      <c r="Z1626">
        <v>-3.6983649999999999E-3</v>
      </c>
      <c r="AA1626">
        <v>0.99469189999999996</v>
      </c>
      <c r="AB1626">
        <v>31</v>
      </c>
      <c r="AC1626">
        <v>-20.501300000000001</v>
      </c>
      <c r="AD1626">
        <v>-1.1109541922570001</v>
      </c>
      <c r="AE1626">
        <v>-2.0378999999999698</v>
      </c>
      <c r="AF1626">
        <v>-2.1481163243032899</v>
      </c>
      <c r="AG1626">
        <v>-1.1109541922570001</v>
      </c>
      <c r="AH1626">
        <v>20.429983377130799</v>
      </c>
      <c r="AI1626">
        <v>93.095568429691397</v>
      </c>
      <c r="AJ1626">
        <v>96.0023259898568</v>
      </c>
      <c r="AK1626">
        <v>20.572623647699199</v>
      </c>
      <c r="AL1626">
        <v>67.917787132623801</v>
      </c>
      <c r="AM1626">
        <v>93.753534056434304</v>
      </c>
      <c r="AN1626">
        <v>0.99999997410828501</v>
      </c>
    </row>
    <row r="1627" spans="1:40" x14ac:dyDescent="0.25">
      <c r="A1627" t="str">
        <f>"20190304164629945"</f>
        <v>20190304164629945</v>
      </c>
      <c r="B1627" t="str">
        <f>"1551689189939381"</f>
        <v>1551689189939381</v>
      </c>
      <c r="C1627" t="s">
        <v>40</v>
      </c>
      <c r="D1627">
        <v>3.8872490000000002</v>
      </c>
      <c r="E1627">
        <v>0.49698510000000001</v>
      </c>
      <c r="F1627" t="s">
        <v>49</v>
      </c>
      <c r="G1627">
        <v>-348.53519999999997</v>
      </c>
      <c r="H1627" s="1">
        <v>3.0051939999999999E-6</v>
      </c>
      <c r="I1627">
        <v>282.98809999999997</v>
      </c>
      <c r="J1627">
        <v>-327.97500000000002</v>
      </c>
      <c r="K1627">
        <v>1.1109639999999901</v>
      </c>
      <c r="L1627">
        <v>285.04230000000001</v>
      </c>
      <c r="M1627">
        <v>-0.99988030000000006</v>
      </c>
      <c r="N1627">
        <v>-1.436525E-2</v>
      </c>
      <c r="O1627">
        <v>5.7688230000000002E-3</v>
      </c>
      <c r="P1627">
        <v>-0.93026690000000001</v>
      </c>
      <c r="Q1627">
        <v>0.36265459999999999</v>
      </c>
      <c r="R1627">
        <v>-5.554775E-2</v>
      </c>
      <c r="S1627">
        <v>-3.2734679999999998</v>
      </c>
      <c r="T1627">
        <v>-0.17423379999999999</v>
      </c>
      <c r="U1627">
        <v>-0.32186890000000001</v>
      </c>
      <c r="V1627">
        <v>-6.0827779999999998E-2</v>
      </c>
      <c r="W1627">
        <v>0.37598999999999999</v>
      </c>
      <c r="X1627">
        <v>0.92462500000000003</v>
      </c>
      <c r="Y1627">
        <v>-0.103406</v>
      </c>
      <c r="Z1627">
        <v>-3.7121049999999998E-3</v>
      </c>
      <c r="AA1627">
        <v>0.99463230000000002</v>
      </c>
      <c r="AB1627">
        <v>31</v>
      </c>
      <c r="AC1627">
        <v>-20.560199999999899</v>
      </c>
      <c r="AD1627">
        <v>-1.11096099480599</v>
      </c>
      <c r="AE1627">
        <v>-2.05420000000003</v>
      </c>
      <c r="AF1627">
        <v>-2.1665230454553601</v>
      </c>
      <c r="AG1627">
        <v>-1.11096099480599</v>
      </c>
      <c r="AH1627">
        <v>20.488775801590101</v>
      </c>
      <c r="AI1627">
        <v>93.086530091876995</v>
      </c>
      <c r="AJ1627">
        <v>96.036136568447503</v>
      </c>
      <c r="AK1627">
        <v>20.632934601900299</v>
      </c>
      <c r="AL1627">
        <v>67.914484615266005</v>
      </c>
      <c r="AM1627">
        <v>93.763861359512205</v>
      </c>
      <c r="AN1627">
        <v>0.99999994477236198</v>
      </c>
    </row>
    <row r="1628" spans="1:40" x14ac:dyDescent="0.25">
      <c r="A1628" t="str">
        <f>"20190304164629968"</f>
        <v>20190304164629968</v>
      </c>
      <c r="B1628" t="str">
        <f>"1551689189959877"</f>
        <v>1551689189959877</v>
      </c>
      <c r="C1628" t="s">
        <v>40</v>
      </c>
      <c r="D1628">
        <v>3.8872439999999999</v>
      </c>
      <c r="E1628">
        <v>0.49690709999999999</v>
      </c>
      <c r="F1628" t="s">
        <v>49</v>
      </c>
      <c r="G1628">
        <v>-348.86509999999998</v>
      </c>
      <c r="H1628" s="1">
        <v>3.1807980000000001E-6</v>
      </c>
      <c r="I1628">
        <v>282.97340000000003</v>
      </c>
      <c r="J1628">
        <v>-328.30200000000002</v>
      </c>
      <c r="K1628">
        <v>1.11097</v>
      </c>
      <c r="L1628">
        <v>285.04430000000002</v>
      </c>
      <c r="M1628">
        <v>-0.99987990000000004</v>
      </c>
      <c r="N1628">
        <v>-1.436167E-2</v>
      </c>
      <c r="O1628">
        <v>5.8526840000000004E-3</v>
      </c>
      <c r="P1628">
        <v>-0.93027190000000004</v>
      </c>
      <c r="Q1628">
        <v>0.3626761</v>
      </c>
      <c r="R1628">
        <v>-5.5323909999999997E-2</v>
      </c>
      <c r="S1628">
        <v>-3.2734380000000001</v>
      </c>
      <c r="T1628">
        <v>-0.17408499999999999</v>
      </c>
      <c r="U1628">
        <v>-0.32418819999999998</v>
      </c>
      <c r="V1628">
        <v>-6.0686240000000002E-2</v>
      </c>
      <c r="W1628">
        <v>0.37600729999999999</v>
      </c>
      <c r="X1628">
        <v>0.92462730000000004</v>
      </c>
      <c r="Y1628">
        <v>-0.1041871</v>
      </c>
      <c r="Z1628">
        <v>-3.738866E-3</v>
      </c>
      <c r="AA1628">
        <v>0.99455070000000001</v>
      </c>
      <c r="AB1628">
        <v>31</v>
      </c>
      <c r="AC1628">
        <v>-20.563099999999999</v>
      </c>
      <c r="AD1628">
        <v>-1.1109668192019999</v>
      </c>
      <c r="AE1628">
        <v>-2.0708999999999902</v>
      </c>
      <c r="AF1628">
        <v>-2.1849126528512</v>
      </c>
      <c r="AG1628">
        <v>-1.1109668192019999</v>
      </c>
      <c r="AH1628">
        <v>20.491413544583601</v>
      </c>
      <c r="AI1628">
        <v>93.085863866153701</v>
      </c>
      <c r="AJ1628">
        <v>96.086211036472605</v>
      </c>
      <c r="AK1628">
        <v>20.637493055821999</v>
      </c>
      <c r="AL1628">
        <v>67.913415643913794</v>
      </c>
      <c r="AM1628">
        <v>93.755119013721</v>
      </c>
      <c r="AN1628">
        <v>0.99999997664195805</v>
      </c>
    </row>
    <row r="1629" spans="1:40" x14ac:dyDescent="0.25">
      <c r="A1629" t="str">
        <f>"20190304164629988"</f>
        <v>20190304164629988</v>
      </c>
      <c r="B1629" t="str">
        <f>"1551689189979906"</f>
        <v>1551689189979906</v>
      </c>
      <c r="C1629" t="s">
        <v>40</v>
      </c>
      <c r="D1629">
        <v>3.8728919999999998</v>
      </c>
      <c r="E1629">
        <v>0.49680740000000001</v>
      </c>
      <c r="F1629" t="s">
        <v>49</v>
      </c>
      <c r="G1629">
        <v>-349.19900000000001</v>
      </c>
      <c r="H1629" s="1">
        <v>3.3584650000000002E-6</v>
      </c>
      <c r="I1629">
        <v>282.97730000000001</v>
      </c>
      <c r="J1629">
        <v>-328.59820000000002</v>
      </c>
      <c r="K1629">
        <v>1.110981</v>
      </c>
      <c r="L1629">
        <v>285.04610000000002</v>
      </c>
      <c r="M1629">
        <v>-0.99987950000000003</v>
      </c>
      <c r="N1629">
        <v>-1.435841E-2</v>
      </c>
      <c r="O1629">
        <v>5.917963E-3</v>
      </c>
      <c r="P1629">
        <v>-0.93009390000000003</v>
      </c>
      <c r="Q1629">
        <v>0.36322579999999999</v>
      </c>
      <c r="R1629">
        <v>-5.4707720000000001E-2</v>
      </c>
      <c r="S1629">
        <v>-3.2734679999999998</v>
      </c>
      <c r="T1629">
        <v>-0.1740302</v>
      </c>
      <c r="U1629">
        <v>-0.32379150000000001</v>
      </c>
      <c r="V1629">
        <v>-6.0136660000000002E-2</v>
      </c>
      <c r="W1629">
        <v>0.3765502</v>
      </c>
      <c r="X1629">
        <v>0.92444230000000005</v>
      </c>
      <c r="Y1629">
        <v>-0.1041319</v>
      </c>
      <c r="Z1629">
        <v>-3.7383989999999999E-3</v>
      </c>
      <c r="AA1629">
        <v>0.99455649999999995</v>
      </c>
      <c r="AB1629">
        <v>31</v>
      </c>
      <c r="AC1629">
        <v>-20.6007999999999</v>
      </c>
      <c r="AD1629">
        <v>-1.1109776415349999</v>
      </c>
      <c r="AE1629">
        <v>-2.0688000000000102</v>
      </c>
      <c r="AF1629">
        <v>-2.1844015801314902</v>
      </c>
      <c r="AG1629">
        <v>-1.1109776415349999</v>
      </c>
      <c r="AH1629">
        <v>20.529085752887902</v>
      </c>
      <c r="AI1629">
        <v>93.080313382846896</v>
      </c>
      <c r="AJ1629">
        <v>96.073715630964898</v>
      </c>
      <c r="AK1629">
        <v>20.674845668896701</v>
      </c>
      <c r="AL1629">
        <v>67.879843319691304</v>
      </c>
      <c r="AM1629">
        <v>93.721950903134996</v>
      </c>
      <c r="AN1629">
        <v>1.0000000185126401</v>
      </c>
    </row>
    <row r="1630" spans="1:40" x14ac:dyDescent="0.25">
      <c r="A1630" t="str">
        <f>"20190304164630011"</f>
        <v>20190304164630011</v>
      </c>
      <c r="B1630" t="str">
        <f>"1551689189999426"</f>
        <v>1551689189999426</v>
      </c>
      <c r="C1630" t="s">
        <v>40</v>
      </c>
      <c r="D1630">
        <v>3.8634689999999998</v>
      </c>
      <c r="E1630">
        <v>0.49667939999999999</v>
      </c>
      <c r="F1630" t="s">
        <v>49</v>
      </c>
      <c r="G1630">
        <v>-349.73829999999998</v>
      </c>
      <c r="H1630" s="1">
        <v>3.64545E-6</v>
      </c>
      <c r="I1630">
        <v>282.96480000000003</v>
      </c>
      <c r="J1630">
        <v>-328.90780000000001</v>
      </c>
      <c r="K1630">
        <v>1.1110009999999999</v>
      </c>
      <c r="L1630">
        <v>285.048</v>
      </c>
      <c r="M1630">
        <v>-0.99987930000000003</v>
      </c>
      <c r="N1630">
        <v>-1.4354759999999999E-2</v>
      </c>
      <c r="O1630">
        <v>5.9707079999999999E-3</v>
      </c>
      <c r="P1630">
        <v>-0.92998250000000005</v>
      </c>
      <c r="Q1630">
        <v>0.36370449999999999</v>
      </c>
      <c r="R1630">
        <v>-5.3402129999999999E-2</v>
      </c>
      <c r="S1630">
        <v>-3.273682</v>
      </c>
      <c r="T1630">
        <v>-0.17204239999999901</v>
      </c>
      <c r="U1630">
        <v>-0.32229609999999997</v>
      </c>
      <c r="V1630">
        <v>-5.889059E-2</v>
      </c>
      <c r="W1630">
        <v>0.37702200000000002</v>
      </c>
      <c r="X1630">
        <v>0.92433019999999999</v>
      </c>
      <c r="Y1630">
        <v>-0.10373259999999999</v>
      </c>
      <c r="Z1630">
        <v>-3.6916900000000001E-3</v>
      </c>
      <c r="AA1630">
        <v>0.99459839999999999</v>
      </c>
      <c r="AB1630">
        <v>31</v>
      </c>
      <c r="AC1630">
        <v>-20.830499999999901</v>
      </c>
      <c r="AD1630">
        <v>-1.11099735455</v>
      </c>
      <c r="AE1630">
        <v>-2.08319999999997</v>
      </c>
      <c r="AF1630">
        <v>-2.2013484633105902</v>
      </c>
      <c r="AG1630">
        <v>-1.11099735455</v>
      </c>
      <c r="AH1630">
        <v>20.759221502396102</v>
      </c>
      <c r="AI1630">
        <v>93.046399812756903</v>
      </c>
      <c r="AJ1630">
        <v>96.053135236489595</v>
      </c>
      <c r="AK1630">
        <v>20.9051555259529</v>
      </c>
      <c r="AL1630">
        <v>67.850660068105199</v>
      </c>
      <c r="AM1630">
        <v>93.645480678115902</v>
      </c>
      <c r="AN1630">
        <v>1.00000000435329</v>
      </c>
    </row>
    <row r="1631" spans="1:40" x14ac:dyDescent="0.25">
      <c r="A1631" t="str">
        <f>"20190304164630033"</f>
        <v>20190304164630033</v>
      </c>
      <c r="B1631" t="str">
        <f>"1551689190029684"</f>
        <v>1551689190029684</v>
      </c>
      <c r="C1631" t="s">
        <v>40</v>
      </c>
      <c r="D1631">
        <v>3.853294</v>
      </c>
      <c r="E1631">
        <v>0.49652780000000002</v>
      </c>
      <c r="F1631" t="s">
        <v>49</v>
      </c>
      <c r="G1631">
        <v>-350.30950000000001</v>
      </c>
      <c r="H1631" s="1">
        <v>-1.3720880000000001E-6</v>
      </c>
      <c r="I1631">
        <v>282.94729999999998</v>
      </c>
      <c r="J1631">
        <v>-329.21870000000001</v>
      </c>
      <c r="K1631">
        <v>1.1110169999999999</v>
      </c>
      <c r="L1631">
        <v>285.04989999999998</v>
      </c>
      <c r="M1631">
        <v>-0.99987910000000002</v>
      </c>
      <c r="N1631">
        <v>-1.4351249999999999E-2</v>
      </c>
      <c r="O1631">
        <v>6.006305E-3</v>
      </c>
      <c r="P1631">
        <v>-0.93001319999999998</v>
      </c>
      <c r="Q1631">
        <v>0.36372520000000003</v>
      </c>
      <c r="R1631">
        <v>-5.2724529999999999E-2</v>
      </c>
      <c r="S1631">
        <v>-3.2738339999999999</v>
      </c>
      <c r="T1631">
        <v>-0.16995070000000001</v>
      </c>
      <c r="U1631">
        <v>-0.32135010000000003</v>
      </c>
      <c r="V1631">
        <v>-5.8259030000000003E-2</v>
      </c>
      <c r="W1631">
        <v>0.37703750000000003</v>
      </c>
      <c r="X1631">
        <v>0.92436390000000002</v>
      </c>
      <c r="Y1631">
        <v>-0.1034833</v>
      </c>
      <c r="Z1631">
        <v>-3.6476999999999998E-3</v>
      </c>
      <c r="AA1631">
        <v>0.99462450000000002</v>
      </c>
      <c r="AB1631">
        <v>31</v>
      </c>
      <c r="AC1631">
        <v>-21.090800000000002</v>
      </c>
      <c r="AD1631">
        <v>-1.111018372088</v>
      </c>
      <c r="AE1631">
        <v>-2.10259999999999</v>
      </c>
      <c r="AF1631">
        <v>-2.2231444519297798</v>
      </c>
      <c r="AG1631">
        <v>-1.111018372088</v>
      </c>
      <c r="AH1631">
        <v>21.020033637787598</v>
      </c>
      <c r="AI1631">
        <v>93.008815121364506</v>
      </c>
      <c r="AJ1631">
        <v>96.037336575053004</v>
      </c>
      <c r="AK1631">
        <v>21.166448620658699</v>
      </c>
      <c r="AL1631">
        <v>67.849701243919895</v>
      </c>
      <c r="AM1631">
        <v>93.606358075868201</v>
      </c>
      <c r="AN1631">
        <v>1.000000005303</v>
      </c>
    </row>
    <row r="1632" spans="1:40" x14ac:dyDescent="0.25">
      <c r="A1632" t="str">
        <f>"20190304164630056"</f>
        <v>20190304164630056</v>
      </c>
      <c r="B1632" t="str">
        <f>"1551689190050178"</f>
        <v>1551689190050178</v>
      </c>
      <c r="C1632" t="s">
        <v>40</v>
      </c>
      <c r="D1632">
        <v>3.853774</v>
      </c>
      <c r="E1632">
        <v>0.4964691</v>
      </c>
      <c r="F1632" t="s">
        <v>49</v>
      </c>
      <c r="G1632">
        <v>-350.5992</v>
      </c>
      <c r="H1632" s="1">
        <v>-1.217908E-6</v>
      </c>
      <c r="I1632">
        <v>282.95</v>
      </c>
      <c r="J1632">
        <v>-329.524</v>
      </c>
      <c r="K1632">
        <v>1.111032</v>
      </c>
      <c r="L1632">
        <v>285.05180000000001</v>
      </c>
      <c r="M1632">
        <v>-0.99987890000000001</v>
      </c>
      <c r="N1632">
        <v>-1.4348090000000001E-2</v>
      </c>
      <c r="O1632">
        <v>6.0274279999999996E-3</v>
      </c>
      <c r="P1632">
        <v>-0.93000579999999999</v>
      </c>
      <c r="Q1632">
        <v>0.3638245</v>
      </c>
      <c r="R1632">
        <v>-5.2161920000000001E-2</v>
      </c>
      <c r="S1632">
        <v>-3.2741090000000002</v>
      </c>
      <c r="T1632">
        <v>-0.1701357</v>
      </c>
      <c r="U1632">
        <v>-0.32156370000000001</v>
      </c>
      <c r="V1632">
        <v>-5.7729009999999997E-2</v>
      </c>
      <c r="W1632">
        <v>0.37713200000000002</v>
      </c>
      <c r="X1632">
        <v>0.92435860000000003</v>
      </c>
      <c r="Y1632">
        <v>-0.10356</v>
      </c>
      <c r="Z1632">
        <v>-3.6538819999999998E-3</v>
      </c>
      <c r="AA1632">
        <v>0.99461650000000001</v>
      </c>
      <c r="AB1632">
        <v>31</v>
      </c>
      <c r="AC1632">
        <v>-21.075199999999899</v>
      </c>
      <c r="AD1632">
        <v>-1.111033217908</v>
      </c>
      <c r="AE1632">
        <v>-2.1018000000000199</v>
      </c>
      <c r="AF1632">
        <v>-2.22268780772401</v>
      </c>
      <c r="AG1632">
        <v>-1.111033217908</v>
      </c>
      <c r="AH1632">
        <v>21.004348136267598</v>
      </c>
      <c r="AI1632">
        <v>93.011080054991496</v>
      </c>
      <c r="AJ1632">
        <v>96.040579925977497</v>
      </c>
      <c r="AK1632">
        <v>21.1508244882186</v>
      </c>
      <c r="AL1632">
        <v>67.843855172425194</v>
      </c>
      <c r="AM1632">
        <v>93.573654558827897</v>
      </c>
      <c r="AN1632">
        <v>1.0000000027067699</v>
      </c>
    </row>
    <row r="1633" spans="1:40" x14ac:dyDescent="0.25">
      <c r="A1633" t="str">
        <f>"20190304164630078"</f>
        <v>20190304164630078</v>
      </c>
      <c r="B1633" t="str">
        <f>"1551689190070204"</f>
        <v>1551689190070204</v>
      </c>
      <c r="C1633" t="s">
        <v>40</v>
      </c>
      <c r="D1633">
        <v>3.8377819999999998</v>
      </c>
      <c r="E1633">
        <v>0.4964134</v>
      </c>
      <c r="F1633" t="s">
        <v>49</v>
      </c>
      <c r="G1633">
        <v>-350.93509999999998</v>
      </c>
      <c r="H1633" s="1">
        <v>-1.039201E-6</v>
      </c>
      <c r="I1633">
        <v>282.964</v>
      </c>
      <c r="J1633">
        <v>-329.8449</v>
      </c>
      <c r="K1633">
        <v>1.1110340000000001</v>
      </c>
      <c r="L1633">
        <v>285.05369999999999</v>
      </c>
      <c r="M1633">
        <v>-0.99987890000000001</v>
      </c>
      <c r="N1633">
        <v>-1.4344839999999999E-2</v>
      </c>
      <c r="O1633">
        <v>6.0365130000000003E-3</v>
      </c>
      <c r="P1633">
        <v>-0.93003360000000002</v>
      </c>
      <c r="Q1633">
        <v>0.3638383</v>
      </c>
      <c r="R1633">
        <v>-5.156761E-2</v>
      </c>
      <c r="S1633">
        <v>-3.2743530000000001</v>
      </c>
      <c r="T1633">
        <v>-0.1699079</v>
      </c>
      <c r="U1633">
        <v>-0.31927489999999997</v>
      </c>
      <c r="V1633">
        <v>-5.7152670000000003E-2</v>
      </c>
      <c r="W1633">
        <v>0.37714170000000002</v>
      </c>
      <c r="X1633">
        <v>0.92439039999999995</v>
      </c>
      <c r="Y1633">
        <v>-0.1028748</v>
      </c>
      <c r="Z1633">
        <v>-3.6272610000000001E-3</v>
      </c>
      <c r="AA1633">
        <v>0.99468769999999995</v>
      </c>
      <c r="AB1633">
        <v>31</v>
      </c>
      <c r="AC1633">
        <v>-21.0901999999999</v>
      </c>
      <c r="AD1633">
        <v>-1.111035039201</v>
      </c>
      <c r="AE1633">
        <v>-2.0896999999999899</v>
      </c>
      <c r="AF1633">
        <v>-2.2109102202940698</v>
      </c>
      <c r="AG1633">
        <v>-1.111035039201</v>
      </c>
      <c r="AH1633">
        <v>21.0194338752937</v>
      </c>
      <c r="AI1633">
        <v>93.009127283714705</v>
      </c>
      <c r="AJ1633">
        <v>96.004525838502403</v>
      </c>
      <c r="AK1633">
        <v>21.164572362756999</v>
      </c>
      <c r="AL1633">
        <v>67.843253875975805</v>
      </c>
      <c r="AM1633">
        <v>93.537946507063296</v>
      </c>
      <c r="AN1633">
        <v>0.99999995058958802</v>
      </c>
    </row>
    <row r="1634" spans="1:40" x14ac:dyDescent="0.25">
      <c r="A1634" t="str">
        <f>"20190304164630099"</f>
        <v>20190304164630099</v>
      </c>
      <c r="B1634" t="str">
        <f>"1551689190089725"</f>
        <v>1551689190089725</v>
      </c>
      <c r="C1634" t="s">
        <v>40</v>
      </c>
      <c r="D1634">
        <v>3.8527670000000001</v>
      </c>
      <c r="E1634">
        <v>0.4963496</v>
      </c>
      <c r="F1634" t="s">
        <v>49</v>
      </c>
      <c r="G1634">
        <v>-351.24310000000003</v>
      </c>
      <c r="H1634" s="1">
        <v>-8.7526690000000001E-7</v>
      </c>
      <c r="I1634">
        <v>282.97809999999998</v>
      </c>
      <c r="J1634">
        <v>-330.13249999999999</v>
      </c>
      <c r="K1634">
        <v>1.1110390000000001</v>
      </c>
      <c r="L1634">
        <v>285.05549999999999</v>
      </c>
      <c r="M1634">
        <v>-0.99987910000000002</v>
      </c>
      <c r="N1634">
        <v>-1.4341889999999999E-2</v>
      </c>
      <c r="O1634">
        <v>6.036423E-3</v>
      </c>
      <c r="P1634">
        <v>-0.93036529999999995</v>
      </c>
      <c r="Q1634">
        <v>0.3630932</v>
      </c>
      <c r="R1634">
        <v>-5.0831349999999997E-2</v>
      </c>
      <c r="S1634">
        <v>-3.2745669999999998</v>
      </c>
      <c r="T1634">
        <v>-0.1700219</v>
      </c>
      <c r="U1634">
        <v>-0.31762699999999999</v>
      </c>
      <c r="V1634">
        <v>-5.642395E-2</v>
      </c>
      <c r="W1634">
        <v>0.3763978</v>
      </c>
      <c r="X1634">
        <v>0.92473830000000001</v>
      </c>
      <c r="Y1634">
        <v>-0.1023732</v>
      </c>
      <c r="Z1634">
        <v>-3.6123829999999998E-3</v>
      </c>
      <c r="AA1634">
        <v>0.9947395</v>
      </c>
      <c r="AB1634">
        <v>31</v>
      </c>
      <c r="AC1634">
        <v>-21.110600000000002</v>
      </c>
      <c r="AD1634">
        <v>-1.1110398752669</v>
      </c>
      <c r="AE1634">
        <v>-2.0774000000000101</v>
      </c>
      <c r="AF1634">
        <v>-2.1987758456667299</v>
      </c>
      <c r="AG1634">
        <v>-1.1110398752669</v>
      </c>
      <c r="AH1634">
        <v>21.039955102512401</v>
      </c>
      <c r="AI1634">
        <v>93.006422194333794</v>
      </c>
      <c r="AJ1634">
        <v>95.966026813886003</v>
      </c>
      <c r="AK1634">
        <v>21.1836903191974</v>
      </c>
      <c r="AL1634">
        <v>67.889266926520094</v>
      </c>
      <c r="AM1634">
        <v>93.491637795371503</v>
      </c>
      <c r="AN1634">
        <v>0.99999994473266396</v>
      </c>
    </row>
    <row r="1635" spans="1:40" x14ac:dyDescent="0.25">
      <c r="A1635" t="str">
        <f>"20190304164630121"</f>
        <v>20190304164630121</v>
      </c>
      <c r="B1635" t="str">
        <f>"1551689190109244"</f>
        <v>1551689190109244</v>
      </c>
      <c r="C1635" t="s">
        <v>40</v>
      </c>
      <c r="D1635">
        <v>3.8229639999999998</v>
      </c>
      <c r="E1635">
        <v>0.49625249999999999</v>
      </c>
      <c r="F1635" t="s">
        <v>49</v>
      </c>
      <c r="G1635">
        <v>-351.19229999999999</v>
      </c>
      <c r="H1635" s="1">
        <v>-9.0232540000000005E-7</v>
      </c>
      <c r="I1635">
        <v>283.02319999999997</v>
      </c>
      <c r="J1635">
        <v>-330.44029999999998</v>
      </c>
      <c r="K1635">
        <v>1.1110469999999999</v>
      </c>
      <c r="L1635">
        <v>285.0573</v>
      </c>
      <c r="M1635">
        <v>-0.99987919999999997</v>
      </c>
      <c r="N1635">
        <v>-1.4338719999999999E-2</v>
      </c>
      <c r="O1635">
        <v>6.0255350000000003E-3</v>
      </c>
      <c r="P1635">
        <v>-0.93041160000000001</v>
      </c>
      <c r="Q1635">
        <v>0.36301830000000002</v>
      </c>
      <c r="R1635">
        <v>-5.0519649999999999E-2</v>
      </c>
      <c r="S1635">
        <v>-3.274689</v>
      </c>
      <c r="T1635">
        <v>-0.1727612</v>
      </c>
      <c r="U1635">
        <v>-0.3160095</v>
      </c>
      <c r="V1635">
        <v>-5.6108819999999997E-2</v>
      </c>
      <c r="W1635">
        <v>0.37631959999999998</v>
      </c>
      <c r="X1635">
        <v>0.92478939999999998</v>
      </c>
      <c r="Y1635">
        <v>-0.10186770000000001</v>
      </c>
      <c r="Z1635">
        <v>-3.6425120000000001E-3</v>
      </c>
      <c r="AA1635">
        <v>0.99479130000000004</v>
      </c>
      <c r="AB1635">
        <v>31</v>
      </c>
      <c r="AC1635">
        <v>-20.751999999999999</v>
      </c>
      <c r="AD1635">
        <v>-1.1110479023253901</v>
      </c>
      <c r="AE1635">
        <v>-2.03410000000002</v>
      </c>
      <c r="AF1635">
        <v>-2.1530050353665402</v>
      </c>
      <c r="AG1635">
        <v>-1.1110479023253901</v>
      </c>
      <c r="AH1635">
        <v>20.680649309654299</v>
      </c>
      <c r="AI1635">
        <v>93.058704756599994</v>
      </c>
      <c r="AJ1635">
        <v>95.943493902115506</v>
      </c>
      <c r="AK1635">
        <v>20.822082364463</v>
      </c>
      <c r="AL1635">
        <v>67.894105199748395</v>
      </c>
      <c r="AM1635">
        <v>93.471993313665806</v>
      </c>
      <c r="AN1635">
        <v>1.00000003768915</v>
      </c>
    </row>
    <row r="1636" spans="1:40" x14ac:dyDescent="0.25">
      <c r="A1636" t="str">
        <f>"20190304164630144"</f>
        <v>20190304164630144</v>
      </c>
      <c r="B1636" t="str">
        <f>"1551689190139501"</f>
        <v>1551689190139501</v>
      </c>
      <c r="C1636" t="s">
        <v>40</v>
      </c>
      <c r="D1636">
        <v>3.8695499999999998</v>
      </c>
      <c r="E1636">
        <v>0.4961585</v>
      </c>
      <c r="F1636" t="s">
        <v>49</v>
      </c>
      <c r="G1636">
        <v>-351.4348</v>
      </c>
      <c r="H1636" s="1">
        <v>-7.7328669999999905E-7</v>
      </c>
      <c r="I1636">
        <v>283.03800000000001</v>
      </c>
      <c r="J1636">
        <v>-330.75490000000002</v>
      </c>
      <c r="K1636">
        <v>1.1110530000000001</v>
      </c>
      <c r="L1636">
        <v>285.05919999999998</v>
      </c>
      <c r="M1636">
        <v>-0.99987939999999997</v>
      </c>
      <c r="N1636">
        <v>-1.4335570000000001E-2</v>
      </c>
      <c r="O1636">
        <v>6.0010069999999896E-3</v>
      </c>
      <c r="P1636">
        <v>-0.93037429999999999</v>
      </c>
      <c r="Q1636">
        <v>0.3631066</v>
      </c>
      <c r="R1636">
        <v>-5.057329E-2</v>
      </c>
      <c r="S1636">
        <v>-3.2749329999999999</v>
      </c>
      <c r="T1636">
        <v>-0.17331250000000001</v>
      </c>
      <c r="U1636">
        <v>-0.31500240000000002</v>
      </c>
      <c r="V1636">
        <v>-5.6148660000000003E-2</v>
      </c>
      <c r="W1636">
        <v>0.3764036</v>
      </c>
      <c r="X1636">
        <v>0.92475280000000004</v>
      </c>
      <c r="Y1636">
        <v>-0.1015327</v>
      </c>
      <c r="Z1636">
        <v>-3.6395389999999998E-3</v>
      </c>
      <c r="AA1636">
        <v>0.99482550000000003</v>
      </c>
      <c r="AB1636">
        <v>31</v>
      </c>
      <c r="AC1636">
        <v>-20.6798999999999</v>
      </c>
      <c r="AD1636">
        <v>-1.1110537732866901</v>
      </c>
      <c r="AE1636">
        <v>-2.0211999999999599</v>
      </c>
      <c r="AF1636">
        <v>-2.1391602717976799</v>
      </c>
      <c r="AG1636">
        <v>-1.1110537732866901</v>
      </c>
      <c r="AH1636">
        <v>20.6084733572538</v>
      </c>
      <c r="AI1636">
        <v>93.069509620229297</v>
      </c>
      <c r="AJ1636">
        <v>95.926081354495693</v>
      </c>
      <c r="AK1636">
        <v>20.748966751918299</v>
      </c>
      <c r="AL1636">
        <v>67.888910486603706</v>
      </c>
      <c r="AM1636">
        <v>93.474589736702796</v>
      </c>
      <c r="AN1636">
        <v>1.0000000416102901</v>
      </c>
    </row>
    <row r="1637" spans="1:40" x14ac:dyDescent="0.25">
      <c r="A1637" t="str">
        <f>"20190304164630167"</f>
        <v>20190304164630167</v>
      </c>
      <c r="B1637" t="str">
        <f>"1551689190159996"</f>
        <v>1551689190159996</v>
      </c>
      <c r="C1637" t="s">
        <v>40</v>
      </c>
      <c r="D1637">
        <v>4.0156099999999997</v>
      </c>
      <c r="E1637">
        <v>0.52559019999999901</v>
      </c>
      <c r="F1637" t="s">
        <v>49</v>
      </c>
      <c r="G1637">
        <v>-351.74779999999998</v>
      </c>
      <c r="H1637" s="1">
        <v>-6.0667859999999897E-7</v>
      </c>
      <c r="I1637">
        <v>283.04059999999998</v>
      </c>
      <c r="J1637">
        <v>-331.07130000000001</v>
      </c>
      <c r="K1637">
        <v>1.111067</v>
      </c>
      <c r="L1637">
        <v>285.06110000000001</v>
      </c>
      <c r="M1637">
        <v>-0.99987950000000003</v>
      </c>
      <c r="N1637">
        <v>-1.4332320000000001E-2</v>
      </c>
      <c r="O1637">
        <v>5.9653629999999996E-3</v>
      </c>
      <c r="P1637">
        <v>-0.93019640000000003</v>
      </c>
      <c r="Q1637">
        <v>0.36343989999999998</v>
      </c>
      <c r="R1637">
        <v>-5.144402E-2</v>
      </c>
      <c r="S1637">
        <v>-3.2750849999999998</v>
      </c>
      <c r="T1637">
        <v>-0.17333390000000001</v>
      </c>
      <c r="U1637">
        <v>-0.31491089999999999</v>
      </c>
      <c r="V1637">
        <v>-5.6995940000000002E-2</v>
      </c>
      <c r="W1637">
        <v>0.37672909999999998</v>
      </c>
      <c r="X1637">
        <v>0.92456839999999996</v>
      </c>
      <c r="Y1637">
        <v>-0.1014654</v>
      </c>
      <c r="Z1637">
        <v>-3.6359949999999999E-3</v>
      </c>
      <c r="AA1637">
        <v>0.99483250000000001</v>
      </c>
      <c r="AB1637">
        <v>31</v>
      </c>
      <c r="AC1637">
        <v>-20.676499999999901</v>
      </c>
      <c r="AD1637">
        <v>-1.1110676066786001</v>
      </c>
      <c r="AE1637">
        <v>-2.0205000000000202</v>
      </c>
      <c r="AF1637">
        <v>-2.1377052317207399</v>
      </c>
      <c r="AG1637">
        <v>-1.1110676066786001</v>
      </c>
      <c r="AH1637">
        <v>20.605142530817201</v>
      </c>
      <c r="AI1637">
        <v>93.070059945100098</v>
      </c>
      <c r="AJ1637">
        <v>95.923029637638194</v>
      </c>
      <c r="AK1637">
        <v>20.745509239342098</v>
      </c>
      <c r="AL1637">
        <v>67.868778753479205</v>
      </c>
      <c r="AM1637">
        <v>93.527591369542506</v>
      </c>
      <c r="AN1637">
        <v>1.0000000391209201</v>
      </c>
    </row>
    <row r="1638" spans="1:40" x14ac:dyDescent="0.25">
      <c r="A1638" t="str">
        <f>"20190304164630188"</f>
        <v>20190304164630188</v>
      </c>
      <c r="B1638" t="str">
        <f>"1551689190180022"</f>
        <v>1551689190180022</v>
      </c>
      <c r="C1638" t="s">
        <v>40</v>
      </c>
      <c r="D1638">
        <v>3.8945500000000002</v>
      </c>
      <c r="E1638">
        <v>0.53997669999999998</v>
      </c>
      <c r="F1638" t="s">
        <v>49</v>
      </c>
      <c r="G1638">
        <v>-348.66719999999998</v>
      </c>
      <c r="H1638" s="1">
        <v>3.0754440000000002E-6</v>
      </c>
      <c r="I1638">
        <v>284.60489999999999</v>
      </c>
      <c r="J1638">
        <v>-331.37200000000001</v>
      </c>
      <c r="K1638">
        <v>1.1110850000000001</v>
      </c>
      <c r="L1638">
        <v>285.06279999999998</v>
      </c>
      <c r="M1638">
        <v>-0.99987999999999999</v>
      </c>
      <c r="N1638">
        <v>-1.4329049999999999E-2</v>
      </c>
      <c r="O1638">
        <v>5.9230719999999997E-3</v>
      </c>
      <c r="P1638">
        <v>-0.93000950000000004</v>
      </c>
      <c r="Q1638">
        <v>0.36377710000000002</v>
      </c>
      <c r="R1638">
        <v>-5.2430310000000001E-2</v>
      </c>
      <c r="S1638">
        <v>-3.3018489999999998</v>
      </c>
      <c r="T1638">
        <v>-0.2084898</v>
      </c>
      <c r="U1638">
        <v>-8.560181E-2</v>
      </c>
      <c r="V1638">
        <v>-5.7950809999999998E-2</v>
      </c>
      <c r="W1638">
        <v>0.37705899999999998</v>
      </c>
      <c r="X1638">
        <v>0.92437449999999999</v>
      </c>
      <c r="Y1638">
        <v>-3.1753320000000002E-2</v>
      </c>
      <c r="Z1638">
        <v>-1.5179429999999999E-3</v>
      </c>
      <c r="AA1638">
        <v>0.99949460000000001</v>
      </c>
      <c r="AB1638">
        <v>31</v>
      </c>
      <c r="AC1638">
        <v>-17.295200000000001</v>
      </c>
      <c r="AD1638">
        <v>-1.111081924556</v>
      </c>
      <c r="AE1638">
        <v>-0.45789999999999498</v>
      </c>
      <c r="AF1638">
        <v>-0.55804171822231297</v>
      </c>
      <c r="AG1638">
        <v>-1.111081924556</v>
      </c>
      <c r="AH1638">
        <v>17.221161086033302</v>
      </c>
      <c r="AI1638">
        <v>93.689584855321201</v>
      </c>
      <c r="AJ1638">
        <v>91.855986999696199</v>
      </c>
      <c r="AK1638">
        <v>17.2659868745884</v>
      </c>
      <c r="AL1638">
        <v>67.848371121370405</v>
      </c>
      <c r="AM1638">
        <v>93.587287527121902</v>
      </c>
      <c r="AN1638">
        <v>1.0000000010554499</v>
      </c>
    </row>
    <row r="1639" spans="1:40" x14ac:dyDescent="0.25">
      <c r="A1639" t="str">
        <f>"20190304164630212"</f>
        <v>20190304164630212</v>
      </c>
      <c r="B1639" t="str">
        <f>"1551689190199543"</f>
        <v>1551689190199543</v>
      </c>
      <c r="C1639" t="s">
        <v>40</v>
      </c>
      <c r="D1639">
        <v>3.8339189999999999</v>
      </c>
      <c r="E1639">
        <v>0.54545449999999995</v>
      </c>
      <c r="F1639" t="s">
        <v>49</v>
      </c>
      <c r="G1639">
        <v>-348.11849999999998</v>
      </c>
      <c r="H1639" s="1">
        <v>2.7834829999999999E-6</v>
      </c>
      <c r="I1639">
        <v>285.1884</v>
      </c>
      <c r="J1639">
        <v>-331.68090000000001</v>
      </c>
      <c r="K1639">
        <v>1.111094</v>
      </c>
      <c r="L1639">
        <v>285.06450000000001</v>
      </c>
      <c r="M1639">
        <v>-0.9998802</v>
      </c>
      <c r="N1639">
        <v>-1.432569E-2</v>
      </c>
      <c r="O1639">
        <v>5.8733639999999998E-3</v>
      </c>
      <c r="P1639">
        <v>-0.92993630000000005</v>
      </c>
      <c r="Q1639">
        <v>0.36380059999999997</v>
      </c>
      <c r="R1639">
        <v>-5.3549680000000002E-2</v>
      </c>
      <c r="S1639">
        <v>-3.3132019999999902</v>
      </c>
      <c r="T1639">
        <v>-0.21982119999999999</v>
      </c>
      <c r="U1639">
        <v>2.4841309999999998E-2</v>
      </c>
      <c r="V1639">
        <v>-5.9031510000000002E-2</v>
      </c>
      <c r="W1639">
        <v>0.37707760000000001</v>
      </c>
      <c r="X1639">
        <v>0.92429850000000002</v>
      </c>
      <c r="Y1639">
        <v>1.6271180000000001E-3</v>
      </c>
      <c r="Z1639">
        <v>-2.395834E-4</v>
      </c>
      <c r="AA1639">
        <v>0.99999859999999896</v>
      </c>
      <c r="AB1639">
        <v>31</v>
      </c>
      <c r="AC1639">
        <v>-16.4375999999999</v>
      </c>
      <c r="AD1639">
        <v>-1.1110912165169999</v>
      </c>
      <c r="AE1639">
        <v>0.123899999999991</v>
      </c>
      <c r="AF1639">
        <v>2.7219593140523201E-2</v>
      </c>
      <c r="AG1639">
        <v>-1.1110912165169999</v>
      </c>
      <c r="AH1639">
        <v>16.363284355607199</v>
      </c>
      <c r="AI1639">
        <v>93.884500178843695</v>
      </c>
      <c r="AJ1639">
        <v>89.904691116120702</v>
      </c>
      <c r="AK1639">
        <v>16.400985930733899</v>
      </c>
      <c r="AL1639">
        <v>67.847219909927901</v>
      </c>
      <c r="AM1639">
        <v>93.654305370030997</v>
      </c>
      <c r="AN1639">
        <v>0.99999997634844395</v>
      </c>
    </row>
    <row r="1640" spans="1:40" x14ac:dyDescent="0.25">
      <c r="A1640" t="str">
        <f>"20190304164630234"</f>
        <v>20190304164630234</v>
      </c>
      <c r="B1640" t="str">
        <f>"1551689190229799"</f>
        <v>1551689190229799</v>
      </c>
      <c r="C1640" t="s">
        <v>40</v>
      </c>
      <c r="D1640">
        <v>3.8074170000000001</v>
      </c>
      <c r="E1640">
        <v>0.54926960000000002</v>
      </c>
      <c r="F1640" t="s">
        <v>49</v>
      </c>
      <c r="G1640">
        <v>-348.1069</v>
      </c>
      <c r="H1640" s="1">
        <v>2.7773059999999998E-6</v>
      </c>
      <c r="I1640">
        <v>285.38029999999998</v>
      </c>
      <c r="J1640">
        <v>-331.9864</v>
      </c>
      <c r="K1640">
        <v>1.111102</v>
      </c>
      <c r="L1640">
        <v>285.06630000000001</v>
      </c>
      <c r="M1640">
        <v>-0.99988049999999995</v>
      </c>
      <c r="N1640">
        <v>-1.4322430000000001E-2</v>
      </c>
      <c r="O1640">
        <v>5.8179959999999998E-3</v>
      </c>
      <c r="P1640">
        <v>-0.92997879999999999</v>
      </c>
      <c r="Q1640">
        <v>0.3635449</v>
      </c>
      <c r="R1640">
        <v>-5.4540480000000002E-2</v>
      </c>
      <c r="S1640">
        <v>-3.3174739999999998</v>
      </c>
      <c r="T1640">
        <v>-0.22440089999999999</v>
      </c>
      <c r="U1640">
        <v>6.3781740000000003E-2</v>
      </c>
      <c r="V1640">
        <v>-5.9974890000000003E-2</v>
      </c>
      <c r="W1640">
        <v>0.3768184</v>
      </c>
      <c r="X1640">
        <v>0.92434349999999998</v>
      </c>
      <c r="Y1640">
        <v>1.337581E-2</v>
      </c>
      <c r="Z1640">
        <v>2.3796139999999999E-4</v>
      </c>
      <c r="AA1640">
        <v>0.99991050000000004</v>
      </c>
      <c r="AB1640">
        <v>31</v>
      </c>
      <c r="AC1640">
        <v>-16.1204999999999</v>
      </c>
      <c r="AD1640">
        <v>-1.111099222694</v>
      </c>
      <c r="AE1640">
        <v>0.31399999999996397</v>
      </c>
      <c r="AF1640">
        <v>0.21915533381030999</v>
      </c>
      <c r="AG1640">
        <v>-1.111099222694</v>
      </c>
      <c r="AH1640">
        <v>16.045855580003401</v>
      </c>
      <c r="AI1640">
        <v>93.960769118190996</v>
      </c>
      <c r="AJ1640">
        <v>89.217499190095495</v>
      </c>
      <c r="AK1640">
        <v>16.085771720291699</v>
      </c>
      <c r="AL1640">
        <v>67.863254270989003</v>
      </c>
      <c r="AM1640">
        <v>93.712362387687506</v>
      </c>
      <c r="AN1640">
        <v>1.0000000000006599</v>
      </c>
    </row>
    <row r="1641" spans="1:40" x14ac:dyDescent="0.25">
      <c r="A1641" t="str">
        <f>"20190304164630258"</f>
        <v>20190304164630258</v>
      </c>
      <c r="B1641" t="str">
        <f>"1551689190250295"</f>
        <v>1551689190250295</v>
      </c>
      <c r="C1641" t="s">
        <v>40</v>
      </c>
      <c r="D1641">
        <v>3.8581300000000001</v>
      </c>
      <c r="E1641">
        <v>0.55063070000000003</v>
      </c>
      <c r="F1641" t="s">
        <v>49</v>
      </c>
      <c r="G1641">
        <v>-348.2672</v>
      </c>
      <c r="H1641" s="1">
        <v>2.8625760000000001E-6</v>
      </c>
      <c r="I1641">
        <v>285.50470000000001</v>
      </c>
      <c r="J1641">
        <v>-332.31209999999999</v>
      </c>
      <c r="K1641">
        <v>1.1111</v>
      </c>
      <c r="L1641">
        <v>285.06819999999999</v>
      </c>
      <c r="M1641">
        <v>-0.99988089999999996</v>
      </c>
      <c r="N1641">
        <v>-1.431897E-2</v>
      </c>
      <c r="O1641">
        <v>5.7557479999999998E-3</v>
      </c>
      <c r="P1641">
        <v>-0.92991970000000002</v>
      </c>
      <c r="Q1641">
        <v>0.3635968</v>
      </c>
      <c r="R1641">
        <v>-5.5196700000000001E-2</v>
      </c>
      <c r="S1641">
        <v>-3.3196720000000002</v>
      </c>
      <c r="T1641">
        <v>-0.22655439999999999</v>
      </c>
      <c r="U1641">
        <v>8.9385989999999999E-2</v>
      </c>
      <c r="V1641">
        <v>-6.0576119999999997E-2</v>
      </c>
      <c r="W1641">
        <v>0.37686599999999998</v>
      </c>
      <c r="X1641">
        <v>0.92428489999999996</v>
      </c>
      <c r="Y1641">
        <v>2.1110650000000002E-2</v>
      </c>
      <c r="Z1641">
        <v>5.6084280000000004E-4</v>
      </c>
      <c r="AA1641">
        <v>0.99977700000000003</v>
      </c>
      <c r="AB1641">
        <v>31</v>
      </c>
      <c r="AC1641">
        <v>-15.9551</v>
      </c>
      <c r="AD1641">
        <v>-1.111097137424</v>
      </c>
      <c r="AE1641">
        <v>0.43650000000002298</v>
      </c>
      <c r="AF1641">
        <v>0.34298771056127397</v>
      </c>
      <c r="AG1641">
        <v>-1.111097137424</v>
      </c>
      <c r="AH1641">
        <v>15.8803925104335</v>
      </c>
      <c r="AI1641">
        <v>94.001338693704895</v>
      </c>
      <c r="AJ1641">
        <v>88.762707322579502</v>
      </c>
      <c r="AK1641">
        <v>15.922909398216801</v>
      </c>
      <c r="AL1641">
        <v>67.860310214599494</v>
      </c>
      <c r="AM1641">
        <v>93.749709095634699</v>
      </c>
      <c r="AN1641">
        <v>1.0000000123191299</v>
      </c>
    </row>
    <row r="1642" spans="1:40" x14ac:dyDescent="0.25">
      <c r="A1642" t="str">
        <f>"20190304164630280"</f>
        <v>20190304164630280</v>
      </c>
      <c r="B1642" t="str">
        <f>"1551689190269345"</f>
        <v>1551689190269345</v>
      </c>
      <c r="C1642" t="s">
        <v>40</v>
      </c>
      <c r="D1642">
        <v>3.8542459999999998</v>
      </c>
      <c r="E1642">
        <v>0.55138509999999996</v>
      </c>
      <c r="F1642" t="s">
        <v>41</v>
      </c>
      <c r="G1642">
        <v>-333.27929999999998</v>
      </c>
      <c r="H1642">
        <v>1.0450390000000001</v>
      </c>
      <c r="I1642">
        <v>285.09690000000001</v>
      </c>
      <c r="J1642">
        <v>-332.61869999999999</v>
      </c>
      <c r="K1642">
        <v>1.1111040000000001</v>
      </c>
      <c r="L1642">
        <v>285.06990000000002</v>
      </c>
      <c r="M1642">
        <v>-0.99988129999999997</v>
      </c>
      <c r="N1642">
        <v>-1.4315680000000001E-2</v>
      </c>
      <c r="O1642">
        <v>5.6957939999999997E-3</v>
      </c>
      <c r="P1642">
        <v>-0.92982489999999995</v>
      </c>
      <c r="Q1642">
        <v>0.36385440000000002</v>
      </c>
      <c r="R1642">
        <v>-5.5095579999999998E-2</v>
      </c>
      <c r="S1642">
        <v>-3.3206180000000001</v>
      </c>
      <c r="T1642">
        <v>-0.2268801</v>
      </c>
      <c r="U1642">
        <v>9.7808839999999994E-2</v>
      </c>
      <c r="V1642">
        <v>-6.0419100000000003E-2</v>
      </c>
      <c r="W1642">
        <v>0.37711909999999998</v>
      </c>
      <c r="X1642">
        <v>0.92419189999999996</v>
      </c>
      <c r="Y1642">
        <v>2.3689370000000001E-2</v>
      </c>
      <c r="Z1642">
        <v>6.7085249999999995E-4</v>
      </c>
      <c r="AA1642">
        <v>0.99971909999999997</v>
      </c>
      <c r="AB1642">
        <v>31</v>
      </c>
      <c r="AC1642">
        <v>-0.66059999999998797</v>
      </c>
      <c r="AD1642">
        <v>-6.6064999999999999E-2</v>
      </c>
      <c r="AE1642">
        <v>2.6999999999986798E-2</v>
      </c>
      <c r="AF1642">
        <v>2.30068155632785E-2</v>
      </c>
      <c r="AG1642">
        <v>-6.6064999999999999E-2</v>
      </c>
      <c r="AH1642">
        <v>0.654210897080585</v>
      </c>
      <c r="AI1642">
        <v>95.762884493064703</v>
      </c>
      <c r="AJ1642">
        <v>87.985893507895099</v>
      </c>
      <c r="AK1642">
        <v>0.65794057151565499</v>
      </c>
      <c r="AL1642">
        <v>67.844652581874897</v>
      </c>
      <c r="AM1642">
        <v>93.740392340787693</v>
      </c>
      <c r="AN1642">
        <v>0.999999975627614</v>
      </c>
    </row>
    <row r="1643" spans="1:40" x14ac:dyDescent="0.25">
      <c r="A1643" t="str">
        <f>"20190304164630300"</f>
        <v>20190304164630300</v>
      </c>
      <c r="B1643" t="str">
        <f>"1551689190289840"</f>
        <v>1551689190289840</v>
      </c>
      <c r="C1643" t="s">
        <v>40</v>
      </c>
      <c r="D1643">
        <v>3.8744890000000001</v>
      </c>
      <c r="E1643">
        <v>0.55196709999999904</v>
      </c>
      <c r="F1643" t="s">
        <v>41</v>
      </c>
      <c r="G1643">
        <v>-333.55509999999998</v>
      </c>
      <c r="H1643">
        <v>1.047485</v>
      </c>
      <c r="I1643">
        <v>285.09969999999998</v>
      </c>
      <c r="J1643">
        <v>-332.90280000000001</v>
      </c>
      <c r="K1643">
        <v>1.1111040000000001</v>
      </c>
      <c r="L1643">
        <v>285.07139999999998</v>
      </c>
      <c r="M1643">
        <v>-0.99988160000000004</v>
      </c>
      <c r="N1643">
        <v>-1.431259E-2</v>
      </c>
      <c r="O1643">
        <v>5.6411519999999904E-3</v>
      </c>
      <c r="P1643">
        <v>-0.9297261</v>
      </c>
      <c r="Q1643">
        <v>0.3641624</v>
      </c>
      <c r="R1643">
        <v>-5.4726860000000002E-2</v>
      </c>
      <c r="S1643">
        <v>-3.3210139999999999</v>
      </c>
      <c r="T1643">
        <v>-0.22581080000000001</v>
      </c>
      <c r="U1643">
        <v>0.1048279</v>
      </c>
      <c r="V1643">
        <v>-5.9999919999999998E-2</v>
      </c>
      <c r="W1643">
        <v>0.37742290000000001</v>
      </c>
      <c r="X1643">
        <v>0.92409520000000001</v>
      </c>
      <c r="Y1643">
        <v>2.5845779999999999E-2</v>
      </c>
      <c r="Z1643">
        <v>7.6036059999999995E-4</v>
      </c>
      <c r="AA1643">
        <v>0.99966569999999999</v>
      </c>
      <c r="AB1643">
        <v>31</v>
      </c>
      <c r="AC1643">
        <v>-0.65229999999996802</v>
      </c>
      <c r="AD1643">
        <v>-6.3618999999999995E-2</v>
      </c>
      <c r="AE1643">
        <v>2.8300000000001501E-2</v>
      </c>
      <c r="AF1643">
        <v>2.4387903313135902E-2</v>
      </c>
      <c r="AG1643">
        <v>-6.3618999999999995E-2</v>
      </c>
      <c r="AH1643">
        <v>0.64631300039358497</v>
      </c>
      <c r="AI1643">
        <v>95.617754956753004</v>
      </c>
      <c r="AJ1643">
        <v>87.839032628767399</v>
      </c>
      <c r="AK1643">
        <v>0.64989433100063898</v>
      </c>
      <c r="AL1643">
        <v>67.825857470785493</v>
      </c>
      <c r="AM1643">
        <v>93.714902489999901</v>
      </c>
      <c r="AN1643">
        <v>0.99999998725372796</v>
      </c>
    </row>
    <row r="1644" spans="1:40" x14ac:dyDescent="0.25">
      <c r="A1644" t="str">
        <f>"20190304164630323"</f>
        <v>20190304164630323</v>
      </c>
      <c r="B1644" t="str">
        <f>"1551689190310337"</f>
        <v>1551689190310337</v>
      </c>
      <c r="C1644" t="s">
        <v>40</v>
      </c>
      <c r="D1644">
        <v>3.8908239999999998</v>
      </c>
      <c r="E1644">
        <v>0.55248839999999999</v>
      </c>
      <c r="F1644" t="s">
        <v>41</v>
      </c>
      <c r="G1644">
        <v>-333.82979999999998</v>
      </c>
      <c r="H1644">
        <v>1.048271</v>
      </c>
      <c r="I1644">
        <v>285.10250000000002</v>
      </c>
      <c r="J1644">
        <v>-333.2013</v>
      </c>
      <c r="K1644">
        <v>1.1111089999999999</v>
      </c>
      <c r="L1644">
        <v>285.07310000000001</v>
      </c>
      <c r="M1644">
        <v>-0.9998821</v>
      </c>
      <c r="N1644">
        <v>-1.430932E-2</v>
      </c>
      <c r="O1644">
        <v>5.5843689999999996E-3</v>
      </c>
      <c r="P1644">
        <v>-0.92987529999999996</v>
      </c>
      <c r="Q1644">
        <v>0.36393229999999999</v>
      </c>
      <c r="R1644">
        <v>-5.3718450000000001E-2</v>
      </c>
      <c r="S1644">
        <v>-3.321472</v>
      </c>
      <c r="T1644">
        <v>-0.2252353</v>
      </c>
      <c r="U1644">
        <v>0.1108093</v>
      </c>
      <c r="V1644">
        <v>-5.8939520000000002E-2</v>
      </c>
      <c r="W1644">
        <v>0.37719209999999997</v>
      </c>
      <c r="X1644">
        <v>0.92425769999999996</v>
      </c>
      <c r="Y1644">
        <v>2.7691609999999998E-2</v>
      </c>
      <c r="Z1644">
        <v>8.3772100000000004E-4</v>
      </c>
      <c r="AA1644">
        <v>0.99961610000000001</v>
      </c>
      <c r="AB1644">
        <v>31</v>
      </c>
      <c r="AC1644">
        <v>-0.62849999999997397</v>
      </c>
      <c r="AD1644">
        <v>-6.2838000000000102E-2</v>
      </c>
      <c r="AE1644">
        <v>2.9400000000009599E-2</v>
      </c>
      <c r="AF1644">
        <v>2.5633726542826401E-2</v>
      </c>
      <c r="AG1644">
        <v>-6.2838000000000102E-2</v>
      </c>
      <c r="AH1644">
        <v>0.62244589823733798</v>
      </c>
      <c r="AI1644">
        <v>95.759820924178499</v>
      </c>
      <c r="AJ1644">
        <v>87.641763090957994</v>
      </c>
      <c r="AK1644">
        <v>0.62613464878806901</v>
      </c>
      <c r="AL1644">
        <v>67.840137549225105</v>
      </c>
      <c r="AM1644">
        <v>93.648786814572802</v>
      </c>
      <c r="AN1644">
        <v>1.00000002166476</v>
      </c>
    </row>
    <row r="1645" spans="1:40" x14ac:dyDescent="0.25">
      <c r="A1645" t="str">
        <f>"20190304164630345"</f>
        <v>20190304164630345</v>
      </c>
      <c r="B1645" t="str">
        <f>"1551689190339617"</f>
        <v>1551689190339617</v>
      </c>
      <c r="C1645" t="s">
        <v>40</v>
      </c>
      <c r="D1645">
        <v>3.9171360000000002</v>
      </c>
      <c r="E1645">
        <v>0.5531663</v>
      </c>
      <c r="F1645" t="s">
        <v>41</v>
      </c>
      <c r="G1645">
        <v>-334.10860000000002</v>
      </c>
      <c r="H1645">
        <v>1.0490619999999999</v>
      </c>
      <c r="I1645">
        <v>285.10570000000001</v>
      </c>
      <c r="J1645">
        <v>-333.5093</v>
      </c>
      <c r="K1645">
        <v>1.111105</v>
      </c>
      <c r="L1645">
        <v>285.07470000000001</v>
      </c>
      <c r="M1645">
        <v>-0.99988250000000001</v>
      </c>
      <c r="N1645">
        <v>-1.430596E-2</v>
      </c>
      <c r="O1645">
        <v>5.526876E-3</v>
      </c>
      <c r="P1645">
        <v>-0.93006529999999998</v>
      </c>
      <c r="Q1645">
        <v>0.36353079999999999</v>
      </c>
      <c r="R1645">
        <v>-5.3140729999999997E-2</v>
      </c>
      <c r="S1645">
        <v>-3.3220519999999998</v>
      </c>
      <c r="T1645">
        <v>-0.22727220000000001</v>
      </c>
      <c r="U1645">
        <v>0.1183472</v>
      </c>
      <c r="V1645">
        <v>-5.8309859999999998E-2</v>
      </c>
      <c r="W1645">
        <v>0.37679049999999997</v>
      </c>
      <c r="X1645">
        <v>0.92446139999999999</v>
      </c>
      <c r="Y1645">
        <v>3.0000990000000002E-2</v>
      </c>
      <c r="Z1645">
        <v>9.4112380000000004E-4</v>
      </c>
      <c r="AA1645">
        <v>0.99954940000000003</v>
      </c>
      <c r="AB1645">
        <v>31</v>
      </c>
      <c r="AC1645">
        <v>-0.59930000000002703</v>
      </c>
      <c r="AD1645">
        <v>-6.20429999999998E-2</v>
      </c>
      <c r="AE1645">
        <v>3.1000000000005901E-2</v>
      </c>
      <c r="AF1645">
        <v>2.7394115673156399E-2</v>
      </c>
      <c r="AG1645">
        <v>-6.20429999999998E-2</v>
      </c>
      <c r="AH1645">
        <v>0.59312231888377498</v>
      </c>
      <c r="AI1645">
        <v>95.965340234490697</v>
      </c>
      <c r="AJ1645">
        <v>87.355600126311899</v>
      </c>
      <c r="AK1645">
        <v>0.59698731693443996</v>
      </c>
      <c r="AL1645">
        <v>67.864980032341805</v>
      </c>
      <c r="AM1645">
        <v>93.609116570586295</v>
      </c>
      <c r="AN1645">
        <v>1.00000000037671</v>
      </c>
    </row>
    <row r="1646" spans="1:40" x14ac:dyDescent="0.25">
      <c r="A1646" t="str">
        <f>"20190304164630367"</f>
        <v>20190304164630367</v>
      </c>
      <c r="B1646" t="str">
        <f>"1551689190360113"</f>
        <v>1551689190360113</v>
      </c>
      <c r="C1646" t="s">
        <v>40</v>
      </c>
      <c r="D1646">
        <v>3.9062060000000001</v>
      </c>
      <c r="E1646">
        <v>0.55352419999999902</v>
      </c>
      <c r="F1646" t="s">
        <v>49</v>
      </c>
      <c r="G1646">
        <v>-349.6266</v>
      </c>
      <c r="H1646" s="1">
        <v>3.5859959999999999E-6</v>
      </c>
      <c r="I1646">
        <v>285.68759999999997</v>
      </c>
      <c r="J1646">
        <v>-333.82350000000002</v>
      </c>
      <c r="K1646">
        <v>1.1111059999999999</v>
      </c>
      <c r="L1646">
        <v>285.07639999999998</v>
      </c>
      <c r="M1646">
        <v>-0.99988279999999996</v>
      </c>
      <c r="N1646">
        <v>-1.4302530000000001E-2</v>
      </c>
      <c r="O1646">
        <v>5.4689069999999899E-3</v>
      </c>
      <c r="P1646">
        <v>-0.93032380000000003</v>
      </c>
      <c r="Q1646">
        <v>0.36299819999999999</v>
      </c>
      <c r="R1646">
        <v>-5.2248599999999999E-2</v>
      </c>
      <c r="S1646">
        <v>-3.3222960000000001</v>
      </c>
      <c r="T1646">
        <v>-0.22903380000000001</v>
      </c>
      <c r="U1646">
        <v>0.12634280000000001</v>
      </c>
      <c r="V1646">
        <v>-5.7365319999999997E-2</v>
      </c>
      <c r="W1646">
        <v>0.3762587</v>
      </c>
      <c r="X1646">
        <v>0.92473700000000003</v>
      </c>
      <c r="Y1646">
        <v>3.2450420000000001E-2</v>
      </c>
      <c r="Z1646">
        <v>1.051001E-3</v>
      </c>
      <c r="AA1646">
        <v>0.99947280000000005</v>
      </c>
      <c r="AB1646">
        <v>31</v>
      </c>
      <c r="AC1646">
        <v>-15.803099999999899</v>
      </c>
      <c r="AD1646">
        <v>-1.111102414004</v>
      </c>
      <c r="AE1646">
        <v>0.61119999999999597</v>
      </c>
      <c r="AF1646">
        <v>0.52217886549330905</v>
      </c>
      <c r="AG1646">
        <v>-1.111102414004</v>
      </c>
      <c r="AH1646">
        <v>15.7285704602661</v>
      </c>
      <c r="AI1646">
        <v>94.038575330859501</v>
      </c>
      <c r="AJ1646">
        <v>88.098513759978303</v>
      </c>
      <c r="AK1646">
        <v>15.7764111275514</v>
      </c>
      <c r="AL1646">
        <v>67.897869371100796</v>
      </c>
      <c r="AM1646">
        <v>93.549749077335406</v>
      </c>
      <c r="AN1646">
        <v>0.99999995421669496</v>
      </c>
    </row>
    <row r="1647" spans="1:40" x14ac:dyDescent="0.25">
      <c r="A1647" t="str">
        <f>"20190304164630389"</f>
        <v>20190304164630389</v>
      </c>
      <c r="B1647" t="str">
        <f>"1551689190380140"</f>
        <v>1551689190380140</v>
      </c>
      <c r="C1647" t="s">
        <v>40</v>
      </c>
      <c r="D1647">
        <v>3.9324249999999998</v>
      </c>
      <c r="E1647">
        <v>0.55383090000000001</v>
      </c>
      <c r="F1647" t="s">
        <v>49</v>
      </c>
      <c r="G1647">
        <v>-349.75279999999998</v>
      </c>
      <c r="H1647" s="1">
        <v>3.653184E-6</v>
      </c>
      <c r="I1647">
        <v>285.70859999999999</v>
      </c>
      <c r="J1647">
        <v>-334.12279999999998</v>
      </c>
      <c r="K1647">
        <v>1.111108</v>
      </c>
      <c r="L1647">
        <v>285.0779</v>
      </c>
      <c r="M1647">
        <v>-0.99988310000000002</v>
      </c>
      <c r="N1647">
        <v>-1.42992E-2</v>
      </c>
      <c r="O1647">
        <v>5.414276E-3</v>
      </c>
      <c r="P1647">
        <v>-0.93039620000000001</v>
      </c>
      <c r="Q1647">
        <v>0.3628845</v>
      </c>
      <c r="R1647">
        <v>-5.1749910000000003E-2</v>
      </c>
      <c r="S1647">
        <v>-3.3225099999999999</v>
      </c>
      <c r="T1647">
        <v>-0.23175180000000001</v>
      </c>
      <c r="U1647">
        <v>0.1318665</v>
      </c>
      <c r="V1647">
        <v>-5.6816119999999998E-2</v>
      </c>
      <c r="W1647">
        <v>0.3761429</v>
      </c>
      <c r="X1647">
        <v>0.92481800000000003</v>
      </c>
      <c r="Y1647">
        <v>3.4154829999999997E-2</v>
      </c>
      <c r="Z1647">
        <v>1.134213E-3</v>
      </c>
      <c r="AA1647">
        <v>0.99941590000000002</v>
      </c>
      <c r="AB1647">
        <v>31</v>
      </c>
      <c r="AC1647">
        <v>-15.6299999999999</v>
      </c>
      <c r="AD1647">
        <v>-1.111104346816</v>
      </c>
      <c r="AE1647">
        <v>0.63069999999999005</v>
      </c>
      <c r="AF1647">
        <v>0.543315787241758</v>
      </c>
      <c r="AG1647">
        <v>-1.111104346816</v>
      </c>
      <c r="AH1647">
        <v>15.5547081548579</v>
      </c>
      <c r="AI1647">
        <v>94.083332052439502</v>
      </c>
      <c r="AJ1647">
        <v>87.999509185583307</v>
      </c>
      <c r="AK1647">
        <v>15.6038037252774</v>
      </c>
      <c r="AL1647">
        <v>67.905030013193496</v>
      </c>
      <c r="AM1647">
        <v>93.515543237350698</v>
      </c>
      <c r="AN1647">
        <v>0.99999994291812999</v>
      </c>
    </row>
    <row r="1648" spans="1:40" x14ac:dyDescent="0.25">
      <c r="A1648" t="str">
        <f>"20190304164630411"</f>
        <v>20190304164630411</v>
      </c>
      <c r="B1648" t="str">
        <f>"1551689190399660"</f>
        <v>1551689190399660</v>
      </c>
      <c r="C1648" t="s">
        <v>40</v>
      </c>
      <c r="D1648">
        <v>3.9418820000000001</v>
      </c>
      <c r="E1648">
        <v>0.55407810000000002</v>
      </c>
      <c r="F1648" t="s">
        <v>49</v>
      </c>
      <c r="G1648">
        <v>-349.98289999999997</v>
      </c>
      <c r="H1648" s="1">
        <v>-1.5458699999999999E-6</v>
      </c>
      <c r="I1648">
        <v>285.72050000000002</v>
      </c>
      <c r="J1648">
        <v>-334.41340000000002</v>
      </c>
      <c r="K1648">
        <v>1.1111070000000001</v>
      </c>
      <c r="L1648">
        <v>285.0795</v>
      </c>
      <c r="M1648">
        <v>-0.99988350000000004</v>
      </c>
      <c r="N1648">
        <v>-1.429598E-2</v>
      </c>
      <c r="O1648">
        <v>5.361195E-3</v>
      </c>
      <c r="P1648">
        <v>-0.93038149999999997</v>
      </c>
      <c r="Q1648">
        <v>0.36292020000000003</v>
      </c>
      <c r="R1648">
        <v>-5.1765039999999998E-2</v>
      </c>
      <c r="S1648">
        <v>-3.3227229999999999</v>
      </c>
      <c r="T1648">
        <v>-0.23277970000000001</v>
      </c>
      <c r="U1648">
        <v>0.13461300000000001</v>
      </c>
      <c r="V1648">
        <v>-5.6781810000000002E-2</v>
      </c>
      <c r="W1648">
        <v>0.37617519999999999</v>
      </c>
      <c r="X1648">
        <v>0.92480709999999999</v>
      </c>
      <c r="Y1648">
        <v>3.5026769999999999E-2</v>
      </c>
      <c r="Z1648">
        <v>1.177366E-3</v>
      </c>
      <c r="AA1648">
        <v>0.99938570000000004</v>
      </c>
      <c r="AB1648">
        <v>30</v>
      </c>
      <c r="AC1648">
        <v>-15.5694999999999</v>
      </c>
      <c r="AD1648">
        <v>-1.1111085458700001</v>
      </c>
      <c r="AE1648">
        <v>0.641000000000019</v>
      </c>
      <c r="AF1648">
        <v>0.55469093951183401</v>
      </c>
      <c r="AG1648">
        <v>-1.1111085458700001</v>
      </c>
      <c r="AH1648">
        <v>15.493937797948901</v>
      </c>
      <c r="AI1648">
        <v>94.099182947956194</v>
      </c>
      <c r="AJ1648">
        <v>87.949657294016902</v>
      </c>
      <c r="AK1648">
        <v>15.5436273992203</v>
      </c>
      <c r="AL1648">
        <v>67.903035472215294</v>
      </c>
      <c r="AM1648">
        <v>93.513466904284897</v>
      </c>
      <c r="AN1648">
        <v>1.0000000636261599</v>
      </c>
    </row>
    <row r="1649" spans="1:40" x14ac:dyDescent="0.25">
      <c r="A1649" t="str">
        <f>"20190304164630435"</f>
        <v>20190304164630435</v>
      </c>
      <c r="B1649" t="str">
        <f>"1551689190429915"</f>
        <v>1551689190429915</v>
      </c>
      <c r="C1649" t="s">
        <v>40</v>
      </c>
      <c r="D1649">
        <v>3.962993</v>
      </c>
      <c r="E1649">
        <v>0.55436640000000004</v>
      </c>
      <c r="F1649" t="s">
        <v>49</v>
      </c>
      <c r="G1649">
        <v>-350.27569999999997</v>
      </c>
      <c r="H1649" s="1">
        <v>-1.3900889999999999E-6</v>
      </c>
      <c r="I1649">
        <v>285.73149999999998</v>
      </c>
      <c r="J1649">
        <v>-334.72809999999998</v>
      </c>
      <c r="K1649">
        <v>1.1111070000000001</v>
      </c>
      <c r="L1649">
        <v>285.08109999999999</v>
      </c>
      <c r="M1649">
        <v>-0.99988379999999999</v>
      </c>
      <c r="N1649">
        <v>-1.42925E-2</v>
      </c>
      <c r="O1649">
        <v>5.3040650000000002E-3</v>
      </c>
      <c r="P1649">
        <v>-0.93037119999999995</v>
      </c>
      <c r="Q1649">
        <v>0.36284759999999999</v>
      </c>
      <c r="R1649">
        <v>-5.2453350000000003E-2</v>
      </c>
      <c r="S1649">
        <v>-3.322845</v>
      </c>
      <c r="T1649">
        <v>-0.2327554</v>
      </c>
      <c r="U1649">
        <v>0.13659669999999999</v>
      </c>
      <c r="V1649">
        <v>-5.7416509999999997E-2</v>
      </c>
      <c r="W1649">
        <v>0.37609959999999998</v>
      </c>
      <c r="X1649">
        <v>0.92479860000000003</v>
      </c>
      <c r="Y1649">
        <v>3.5676020000000003E-2</v>
      </c>
      <c r="Z1649">
        <v>1.2076879999999999E-3</v>
      </c>
      <c r="AA1649">
        <v>0.99936270000000005</v>
      </c>
      <c r="AB1649">
        <v>30</v>
      </c>
      <c r="AC1649">
        <v>-15.5475999999999</v>
      </c>
      <c r="AD1649">
        <v>-1.111108390089</v>
      </c>
      <c r="AE1649">
        <v>0.65039999999998999</v>
      </c>
      <c r="AF1649">
        <v>0.56503621153495898</v>
      </c>
      <c r="AG1649">
        <v>-1.111108390089</v>
      </c>
      <c r="AH1649">
        <v>15.471950468696299</v>
      </c>
      <c r="AI1649">
        <v>94.104881561434297</v>
      </c>
      <c r="AJ1649">
        <v>87.908485479106901</v>
      </c>
      <c r="AK1649">
        <v>15.5220835934054</v>
      </c>
      <c r="AL1649">
        <v>67.907709034876802</v>
      </c>
      <c r="AM1649">
        <v>93.552672539216005</v>
      </c>
      <c r="AN1649">
        <v>1.00000000765135</v>
      </c>
    </row>
    <row r="1650" spans="1:40" x14ac:dyDescent="0.25">
      <c r="A1650" t="str">
        <f>"20190304164630458"</f>
        <v>20190304164630458</v>
      </c>
      <c r="B1650" t="str">
        <f>"1551689190449435"</f>
        <v>1551689190449435</v>
      </c>
      <c r="C1650" t="s">
        <v>40</v>
      </c>
      <c r="D1650">
        <v>3.9657619999999998</v>
      </c>
      <c r="E1650">
        <v>0.55454459999999905</v>
      </c>
      <c r="F1650" t="s">
        <v>41</v>
      </c>
      <c r="G1650">
        <v>-335.72710000000001</v>
      </c>
      <c r="H1650">
        <v>1.041034</v>
      </c>
      <c r="I1650">
        <v>285.12259999999998</v>
      </c>
      <c r="J1650">
        <v>-335.05130000000003</v>
      </c>
      <c r="K1650">
        <v>1.111097</v>
      </c>
      <c r="L1650">
        <v>285.08269999999999</v>
      </c>
      <c r="M1650">
        <v>-0.99988429999999995</v>
      </c>
      <c r="N1650">
        <v>-1.428891E-2</v>
      </c>
      <c r="O1650">
        <v>5.2442549999999998E-3</v>
      </c>
      <c r="P1650">
        <v>-0.93048640000000005</v>
      </c>
      <c r="Q1650">
        <v>0.36259150000000001</v>
      </c>
      <c r="R1650">
        <v>-5.2180190000000001E-2</v>
      </c>
      <c r="S1650">
        <v>-3.3232729999999999</v>
      </c>
      <c r="T1650">
        <v>-0.2332417</v>
      </c>
      <c r="U1650">
        <v>0.1372681</v>
      </c>
      <c r="V1650">
        <v>-5.7088229999999997E-2</v>
      </c>
      <c r="W1650">
        <v>0.37584200000000001</v>
      </c>
      <c r="X1650">
        <v>0.92492359999999896</v>
      </c>
      <c r="Y1650">
        <v>3.5930910000000003E-2</v>
      </c>
      <c r="Z1650">
        <v>1.223409E-3</v>
      </c>
      <c r="AA1650">
        <v>0.99935350000000001</v>
      </c>
      <c r="AB1650">
        <v>30</v>
      </c>
      <c r="AC1650">
        <v>-0.67579999999998097</v>
      </c>
      <c r="AD1650">
        <v>-7.0062999999999903E-2</v>
      </c>
      <c r="AE1650">
        <v>3.9899999999988701E-2</v>
      </c>
      <c r="AF1650">
        <v>3.5969750512724503E-2</v>
      </c>
      <c r="AG1650">
        <v>-7.0062999999999903E-2</v>
      </c>
      <c r="AH1650">
        <v>0.66883607213663399</v>
      </c>
      <c r="AI1650">
        <v>95.971563122457695</v>
      </c>
      <c r="AJ1650">
        <v>86.9216202159934</v>
      </c>
      <c r="AK1650">
        <v>0.67345700554089405</v>
      </c>
      <c r="AL1650">
        <v>67.923636175807701</v>
      </c>
      <c r="AM1650">
        <v>93.531935461758806</v>
      </c>
      <c r="AN1650">
        <v>0.99999997040274502</v>
      </c>
    </row>
    <row r="1651" spans="1:40" x14ac:dyDescent="0.25">
      <c r="A1651" t="str">
        <f>"20190304164630478"</f>
        <v>20190304164630478</v>
      </c>
      <c r="B1651" t="str">
        <f>"1551689190469463"</f>
        <v>1551689190469463</v>
      </c>
      <c r="C1651" t="s">
        <v>40</v>
      </c>
      <c r="D1651">
        <v>3.950752</v>
      </c>
      <c r="E1651">
        <v>0.55470850000000005</v>
      </c>
      <c r="F1651" t="s">
        <v>41</v>
      </c>
      <c r="G1651">
        <v>-336.00060000000002</v>
      </c>
      <c r="H1651">
        <v>1.043971</v>
      </c>
      <c r="I1651">
        <v>285.12259999999998</v>
      </c>
      <c r="J1651">
        <v>-335.32749999999999</v>
      </c>
      <c r="K1651">
        <v>1.1111009999999999</v>
      </c>
      <c r="L1651">
        <v>285.084</v>
      </c>
      <c r="M1651">
        <v>-0.99988449999999995</v>
      </c>
      <c r="N1651">
        <v>-1.4285849999999999E-2</v>
      </c>
      <c r="O1651">
        <v>5.1936739999999997E-3</v>
      </c>
      <c r="P1651">
        <v>-0.93040369999999994</v>
      </c>
      <c r="Q1651">
        <v>0.3628982</v>
      </c>
      <c r="R1651">
        <v>-5.1517769999999997E-2</v>
      </c>
      <c r="S1651">
        <v>-3.3235779999999999</v>
      </c>
      <c r="T1651">
        <v>-0.23511870000000001</v>
      </c>
      <c r="U1651">
        <v>0.1386414</v>
      </c>
      <c r="V1651">
        <v>-5.6378629999999999E-2</v>
      </c>
      <c r="W1651">
        <v>0.3761446</v>
      </c>
      <c r="X1651">
        <v>0.92484409999999895</v>
      </c>
      <c r="Y1651">
        <v>3.6387070000000001E-2</v>
      </c>
      <c r="Z1651">
        <v>1.2526320000000001E-3</v>
      </c>
      <c r="AA1651">
        <v>0.99933700000000003</v>
      </c>
      <c r="AB1651">
        <v>30</v>
      </c>
      <c r="AC1651">
        <v>-0.67310000000003301</v>
      </c>
      <c r="AD1651">
        <v>-6.7130000000000106E-2</v>
      </c>
      <c r="AE1651">
        <v>3.8599999999973898E-2</v>
      </c>
      <c r="AF1651">
        <v>3.4758663820541297E-2</v>
      </c>
      <c r="AG1651">
        <v>-6.7130000000000106E-2</v>
      </c>
      <c r="AH1651">
        <v>0.66668194194921904</v>
      </c>
      <c r="AI1651">
        <v>95.742139103141</v>
      </c>
      <c r="AJ1651">
        <v>87.015483597481804</v>
      </c>
      <c r="AK1651">
        <v>0.67095410672546796</v>
      </c>
      <c r="AL1651">
        <v>67.904925279853998</v>
      </c>
      <c r="AM1651">
        <v>93.488442094862094</v>
      </c>
      <c r="AN1651">
        <v>0.99999995966732202</v>
      </c>
    </row>
    <row r="1652" spans="1:40" x14ac:dyDescent="0.25">
      <c r="A1652" t="str">
        <f>"20190304164630500"</f>
        <v>20190304164630500</v>
      </c>
      <c r="B1652" t="str">
        <f>"1551689190489959"</f>
        <v>1551689190489959</v>
      </c>
      <c r="C1652" t="s">
        <v>40</v>
      </c>
      <c r="D1652">
        <v>3.9877750000000001</v>
      </c>
      <c r="E1652">
        <v>0.55484999999999995</v>
      </c>
      <c r="F1652" t="s">
        <v>41</v>
      </c>
      <c r="G1652">
        <v>-336.27159999999998</v>
      </c>
      <c r="H1652">
        <v>1.0444059999999999</v>
      </c>
      <c r="I1652">
        <v>285.12400000000002</v>
      </c>
      <c r="J1652">
        <v>-335.62540000000001</v>
      </c>
      <c r="K1652">
        <v>1.1111009999999999</v>
      </c>
      <c r="L1652">
        <v>285.0856</v>
      </c>
      <c r="M1652">
        <v>-0.99988480000000002</v>
      </c>
      <c r="N1652">
        <v>-1.428255E-2</v>
      </c>
      <c r="O1652">
        <v>5.1393389999999997E-3</v>
      </c>
      <c r="P1652">
        <v>-0.93055379999999999</v>
      </c>
      <c r="Q1652">
        <v>0.36248970000000003</v>
      </c>
      <c r="R1652">
        <v>-5.1682680000000002E-2</v>
      </c>
      <c r="S1652">
        <v>-3.3237920000000001</v>
      </c>
      <c r="T1652">
        <v>-0.2349975</v>
      </c>
      <c r="U1652">
        <v>0.13964840000000001</v>
      </c>
      <c r="V1652">
        <v>-5.6493679999999998E-2</v>
      </c>
      <c r="W1652">
        <v>0.3757355</v>
      </c>
      <c r="X1652">
        <v>0.92500340000000003</v>
      </c>
      <c r="Y1652">
        <v>3.6739920000000002E-2</v>
      </c>
      <c r="Z1652">
        <v>1.270057E-3</v>
      </c>
      <c r="AA1652">
        <v>0.99932410000000005</v>
      </c>
      <c r="AB1652">
        <v>30</v>
      </c>
      <c r="AC1652">
        <v>-0.64619999999996403</v>
      </c>
      <c r="AD1652">
        <v>-6.6695000000000101E-2</v>
      </c>
      <c r="AE1652">
        <v>3.8400000000024102E-2</v>
      </c>
      <c r="AF1652">
        <v>3.4709668537511E-2</v>
      </c>
      <c r="AG1652">
        <v>-6.6695000000000101E-2</v>
      </c>
      <c r="AH1652">
        <v>0.63959945940567298</v>
      </c>
      <c r="AI1652">
        <v>95.9443874169406</v>
      </c>
      <c r="AJ1652">
        <v>86.893729859499601</v>
      </c>
      <c r="AK1652">
        <v>0.64400345696821604</v>
      </c>
      <c r="AL1652">
        <v>67.930221386683797</v>
      </c>
      <c r="AM1652">
        <v>93.494942714918395</v>
      </c>
      <c r="AN1652">
        <v>0.99999999592587596</v>
      </c>
    </row>
    <row r="1653" spans="1:40" x14ac:dyDescent="0.25">
      <c r="A1653" t="str">
        <f>"20190304164630523"</f>
        <v>20190304164630523</v>
      </c>
      <c r="B1653" t="str">
        <f>"1551689190520214"</f>
        <v>1551689190520214</v>
      </c>
      <c r="C1653" t="s">
        <v>40</v>
      </c>
      <c r="D1653">
        <v>3.9763679999999999</v>
      </c>
      <c r="E1653">
        <v>0.55502879999999999</v>
      </c>
      <c r="F1653" t="s">
        <v>41</v>
      </c>
      <c r="G1653">
        <v>-336.54300000000001</v>
      </c>
      <c r="H1653">
        <v>1.045587</v>
      </c>
      <c r="I1653">
        <v>285.1241</v>
      </c>
      <c r="J1653">
        <v>-335.9282</v>
      </c>
      <c r="K1653">
        <v>1.1111009999999999</v>
      </c>
      <c r="L1653">
        <v>285.08699999999999</v>
      </c>
      <c r="M1653">
        <v>-0.99988529999999998</v>
      </c>
      <c r="N1653">
        <v>-1.427842E-2</v>
      </c>
      <c r="O1653">
        <v>5.0837570000000004E-3</v>
      </c>
      <c r="P1653">
        <v>-0.93052319999999999</v>
      </c>
      <c r="Q1653">
        <v>0.36262640000000002</v>
      </c>
      <c r="R1653">
        <v>-5.1275479999999998E-2</v>
      </c>
      <c r="S1653">
        <v>-3.3240970000000001</v>
      </c>
      <c r="T1653">
        <v>-0.2372861</v>
      </c>
      <c r="U1653">
        <v>0.1395874</v>
      </c>
      <c r="V1653">
        <v>-5.6034819999999999E-2</v>
      </c>
      <c r="W1653">
        <v>0.37586770000000003</v>
      </c>
      <c r="X1653">
        <v>0.92497759999999996</v>
      </c>
      <c r="Y1653">
        <v>3.6771369999999998E-2</v>
      </c>
      <c r="Z1653">
        <v>1.283464E-3</v>
      </c>
      <c r="AA1653">
        <v>0.99932290000000001</v>
      </c>
      <c r="AB1653">
        <v>30</v>
      </c>
      <c r="AC1653">
        <v>-0.61480000000000201</v>
      </c>
      <c r="AD1653">
        <v>-6.5514000000000003E-2</v>
      </c>
      <c r="AE1653">
        <v>3.7100000000009403E-2</v>
      </c>
      <c r="AF1653">
        <v>3.3593625253676103E-2</v>
      </c>
      <c r="AG1653">
        <v>-6.5514000000000003E-2</v>
      </c>
      <c r="AH1653">
        <v>0.60810053999418301</v>
      </c>
      <c r="AI1653">
        <v>96.139780511279596</v>
      </c>
      <c r="AJ1653">
        <v>86.837992472893703</v>
      </c>
      <c r="AK1653">
        <v>0.61254133133601796</v>
      </c>
      <c r="AL1653">
        <v>67.922047731024406</v>
      </c>
      <c r="AM1653">
        <v>93.466721623406499</v>
      </c>
      <c r="AN1653">
        <v>0.99999999472874102</v>
      </c>
    </row>
    <row r="1654" spans="1:40" x14ac:dyDescent="0.25">
      <c r="A1654" t="str">
        <f>"20190304164630546"</f>
        <v>20190304164630546</v>
      </c>
      <c r="B1654" t="str">
        <f>"1551689190539735"</f>
        <v>1551689190539735</v>
      </c>
      <c r="C1654" t="s">
        <v>40</v>
      </c>
      <c r="D1654">
        <v>3.9735870000000002</v>
      </c>
      <c r="E1654">
        <v>0.55510590000000004</v>
      </c>
      <c r="F1654" t="s">
        <v>41</v>
      </c>
      <c r="G1654">
        <v>-336.815</v>
      </c>
      <c r="H1654">
        <v>1.0478749999999999</v>
      </c>
      <c r="I1654">
        <v>285.12569999999999</v>
      </c>
      <c r="J1654">
        <v>-336.23700000000002</v>
      </c>
      <c r="K1654">
        <v>1.111103</v>
      </c>
      <c r="L1654">
        <v>285.08859999999999</v>
      </c>
      <c r="M1654">
        <v>-0.99988560000000004</v>
      </c>
      <c r="N1654">
        <v>-1.427222E-2</v>
      </c>
      <c r="O1654">
        <v>5.0271220000000002E-3</v>
      </c>
      <c r="P1654">
        <v>-0.93042139999999995</v>
      </c>
      <c r="Q1654">
        <v>0.36282219999999998</v>
      </c>
      <c r="R1654">
        <v>-5.1730409999999998E-2</v>
      </c>
      <c r="S1654">
        <v>-3.3243710000000002</v>
      </c>
      <c r="T1654">
        <v>-0.23727100000000001</v>
      </c>
      <c r="U1654">
        <v>0.14382929999999999</v>
      </c>
      <c r="V1654">
        <v>-5.643637E-2</v>
      </c>
      <c r="W1654">
        <v>0.37605630000000001</v>
      </c>
      <c r="X1654">
        <v>0.92487649999999999</v>
      </c>
      <c r="Y1654">
        <v>3.809324E-2</v>
      </c>
      <c r="Z1654">
        <v>1.34293E-3</v>
      </c>
      <c r="AA1654">
        <v>0.99927330000000003</v>
      </c>
      <c r="AB1654">
        <v>30</v>
      </c>
      <c r="AC1654">
        <v>-0.57800000000003104</v>
      </c>
      <c r="AD1654">
        <v>-6.3228000000000201E-2</v>
      </c>
      <c r="AE1654">
        <v>3.7100000000009403E-2</v>
      </c>
      <c r="AF1654">
        <v>3.3790863254459E-2</v>
      </c>
      <c r="AG1654">
        <v>-6.3228000000000201E-2</v>
      </c>
      <c r="AH1654">
        <v>0.57137003596965297</v>
      </c>
      <c r="AI1654">
        <v>96.303752609731504</v>
      </c>
      <c r="AJ1654">
        <v>86.615465839057507</v>
      </c>
      <c r="AK1654">
        <v>0.57585008502859802</v>
      </c>
      <c r="AL1654">
        <v>67.910385681335796</v>
      </c>
      <c r="AM1654">
        <v>93.491883907694998</v>
      </c>
      <c r="AN1654">
        <v>0.99999997244035799</v>
      </c>
    </row>
    <row r="1655" spans="1:40" x14ac:dyDescent="0.25">
      <c r="A1655" t="str">
        <f>"20190304164630568"</f>
        <v>20190304164630568</v>
      </c>
      <c r="B1655" t="str">
        <f>"1551689190560230"</f>
        <v>1551689190560230</v>
      </c>
      <c r="C1655" t="s">
        <v>40</v>
      </c>
      <c r="D1655">
        <v>3.9856289999999999</v>
      </c>
      <c r="E1655">
        <v>0.55521160000000003</v>
      </c>
      <c r="F1655" t="s">
        <v>41</v>
      </c>
      <c r="G1655">
        <v>-337.09160000000003</v>
      </c>
      <c r="H1655">
        <v>1.0501929999999999</v>
      </c>
      <c r="I1655">
        <v>285.12529999999998</v>
      </c>
      <c r="J1655">
        <v>-336.54059999999998</v>
      </c>
      <c r="K1655">
        <v>1.111102</v>
      </c>
      <c r="L1655">
        <v>285.08999999999997</v>
      </c>
      <c r="M1655">
        <v>-0.99988600000000005</v>
      </c>
      <c r="N1655">
        <v>-1.426524E-2</v>
      </c>
      <c r="O1655">
        <v>4.9713270000000002E-3</v>
      </c>
      <c r="P1655">
        <v>-0.93028520000000003</v>
      </c>
      <c r="Q1655">
        <v>0.36315530000000001</v>
      </c>
      <c r="R1655">
        <v>-5.1844090000000002E-2</v>
      </c>
      <c r="S1655">
        <v>-3.3246769999999999</v>
      </c>
      <c r="T1655">
        <v>-0.2368942</v>
      </c>
      <c r="U1655">
        <v>0.14327999999999999</v>
      </c>
      <c r="V1655">
        <v>-5.649713E-2</v>
      </c>
      <c r="W1655">
        <v>0.37638100000000002</v>
      </c>
      <c r="X1655">
        <v>0.92474069999999997</v>
      </c>
      <c r="Y1655">
        <v>3.7980819999999998E-2</v>
      </c>
      <c r="Z1655">
        <v>1.3394629999999999E-3</v>
      </c>
      <c r="AA1655">
        <v>0.99927759999999999</v>
      </c>
      <c r="AB1655">
        <v>30</v>
      </c>
      <c r="AC1655">
        <v>-0.55100000000004401</v>
      </c>
      <c r="AD1655">
        <v>-6.0909000000000102E-2</v>
      </c>
      <c r="AE1655">
        <v>3.53000000000065E-2</v>
      </c>
      <c r="AF1655">
        <v>3.2168600947039501E-2</v>
      </c>
      <c r="AG1655">
        <v>-6.0909000000000102E-2</v>
      </c>
      <c r="AH1655">
        <v>0.54454177009255</v>
      </c>
      <c r="AI1655">
        <v>96.371199542587703</v>
      </c>
      <c r="AJ1655">
        <v>86.619202431213793</v>
      </c>
      <c r="AK1655">
        <v>0.54888110237411003</v>
      </c>
      <c r="AL1655">
        <v>67.890306547627603</v>
      </c>
      <c r="AM1655">
        <v>93.496146057818805</v>
      </c>
      <c r="AN1655">
        <v>0.99999997254786299</v>
      </c>
    </row>
    <row r="1656" spans="1:40" x14ac:dyDescent="0.25">
      <c r="A1656" t="str">
        <f>"20190304164630590"</f>
        <v>20190304164630590</v>
      </c>
      <c r="B1656" t="str">
        <f>"1551689190580257"</f>
        <v>1551689190580257</v>
      </c>
      <c r="C1656" t="s">
        <v>40</v>
      </c>
      <c r="D1656">
        <v>3.989992</v>
      </c>
      <c r="E1656">
        <v>0.55529810000000002</v>
      </c>
      <c r="F1656" t="s">
        <v>49</v>
      </c>
      <c r="G1656">
        <v>-352.2072</v>
      </c>
      <c r="H1656" s="1">
        <v>-3.6222280000000002E-7</v>
      </c>
      <c r="I1656">
        <v>285.76889999999997</v>
      </c>
      <c r="J1656">
        <v>-336.83760000000001</v>
      </c>
      <c r="K1656">
        <v>1.111094</v>
      </c>
      <c r="L1656">
        <v>285.09140000000002</v>
      </c>
      <c r="M1656">
        <v>-0.99988630000000001</v>
      </c>
      <c r="N1656">
        <v>-1.425849E-2</v>
      </c>
      <c r="O1656">
        <v>4.9167209999999998E-3</v>
      </c>
      <c r="P1656">
        <v>-0.93039749999999999</v>
      </c>
      <c r="Q1656">
        <v>0.36287659999999999</v>
      </c>
      <c r="R1656">
        <v>-5.1783290000000003E-2</v>
      </c>
      <c r="S1656">
        <v>-3.3248899999999999</v>
      </c>
      <c r="T1656">
        <v>-0.23580770000000001</v>
      </c>
      <c r="U1656">
        <v>0.14407349999999999</v>
      </c>
      <c r="V1656">
        <v>-5.6386400000000003E-2</v>
      </c>
      <c r="W1656">
        <v>0.37609740000000003</v>
      </c>
      <c r="X1656">
        <v>0.92486290000000004</v>
      </c>
      <c r="Y1656">
        <v>3.8270600000000002E-2</v>
      </c>
      <c r="Z1656">
        <v>1.350085E-3</v>
      </c>
      <c r="AA1656">
        <v>0.99926649999999995</v>
      </c>
      <c r="AB1656">
        <v>30</v>
      </c>
      <c r="AC1656">
        <v>-15.369599999999901</v>
      </c>
      <c r="AD1656">
        <v>-1.1110943622228</v>
      </c>
      <c r="AE1656">
        <v>0.67749999999995203</v>
      </c>
      <c r="AF1656">
        <v>0.59879281940088502</v>
      </c>
      <c r="AG1656">
        <v>-1.1110943622228</v>
      </c>
      <c r="AH1656">
        <v>15.292978143334199</v>
      </c>
      <c r="AI1656">
        <v>94.152289345223195</v>
      </c>
      <c r="AJ1656">
        <v>87.757743160560594</v>
      </c>
      <c r="AK1656">
        <v>15.344975204112499</v>
      </c>
      <c r="AL1656">
        <v>67.907845642042005</v>
      </c>
      <c r="AM1656">
        <v>93.488850932787798</v>
      </c>
      <c r="AN1656">
        <v>1.0000000320940601</v>
      </c>
    </row>
    <row r="1657" spans="1:40" x14ac:dyDescent="0.25">
      <c r="A1657" t="str">
        <f>"20190304164630614"</f>
        <v>20190304164630614</v>
      </c>
      <c r="B1657" t="str">
        <f>"1551689190609537"</f>
        <v>1551689190609537</v>
      </c>
      <c r="C1657" t="s">
        <v>40</v>
      </c>
      <c r="D1657">
        <v>3.990904</v>
      </c>
      <c r="E1657">
        <v>0.55541619999999903</v>
      </c>
      <c r="F1657" t="s">
        <v>49</v>
      </c>
      <c r="G1657">
        <v>-352.42529999999999</v>
      </c>
      <c r="H1657" s="1">
        <v>-2.4614600000000001E-7</v>
      </c>
      <c r="I1657">
        <v>285.77159999999998</v>
      </c>
      <c r="J1657">
        <v>-337.14940000000001</v>
      </c>
      <c r="K1657">
        <v>1.111097</v>
      </c>
      <c r="L1657">
        <v>285.09289999999999</v>
      </c>
      <c r="M1657">
        <v>-0.99988659999999996</v>
      </c>
      <c r="N1657">
        <v>-1.425161E-2</v>
      </c>
      <c r="O1657">
        <v>4.8594329999999998E-3</v>
      </c>
      <c r="P1657">
        <v>-0.93048589999999998</v>
      </c>
      <c r="Q1657">
        <v>0.36264069999999998</v>
      </c>
      <c r="R1657">
        <v>-5.1843819999999999E-2</v>
      </c>
      <c r="S1657">
        <v>-3.3248899999999999</v>
      </c>
      <c r="T1657">
        <v>-0.23699809999999999</v>
      </c>
      <c r="U1657">
        <v>0.1450806</v>
      </c>
      <c r="V1657">
        <v>-5.6394109999999997E-2</v>
      </c>
      <c r="W1657">
        <v>0.37585659999999999</v>
      </c>
      <c r="X1657">
        <v>0.92496029999999996</v>
      </c>
      <c r="Y1657">
        <v>3.8627809999999999E-2</v>
      </c>
      <c r="Z1657">
        <v>1.373506E-3</v>
      </c>
      <c r="AA1657">
        <v>0.99925269999999999</v>
      </c>
      <c r="AB1657">
        <v>30</v>
      </c>
      <c r="AC1657">
        <v>-15.275899999999901</v>
      </c>
      <c r="AD1657">
        <v>-1.111097246146</v>
      </c>
      <c r="AE1657">
        <v>0.67869999999999198</v>
      </c>
      <c r="AF1657">
        <v>0.60127748386174296</v>
      </c>
      <c r="AG1657">
        <v>-1.111097246146</v>
      </c>
      <c r="AH1657">
        <v>15.198768503290699</v>
      </c>
      <c r="AI1657">
        <v>94.177880827528298</v>
      </c>
      <c r="AJ1657">
        <v>87.734506815168501</v>
      </c>
      <c r="AK1657">
        <v>15.251184731673</v>
      </c>
      <c r="AL1657">
        <v>67.922734577770299</v>
      </c>
      <c r="AM1657">
        <v>93.488960277821207</v>
      </c>
      <c r="AN1657">
        <v>1.0000000179911701</v>
      </c>
    </row>
    <row r="1658" spans="1:40" x14ac:dyDescent="0.25">
      <c r="A1658" t="str">
        <f>"20190304164630637"</f>
        <v>20190304164630637</v>
      </c>
      <c r="B1658" t="str">
        <f>"1551689190630034"</f>
        <v>1551689190630034</v>
      </c>
      <c r="C1658" t="s">
        <v>40</v>
      </c>
      <c r="D1658">
        <v>4.0035080000000001</v>
      </c>
      <c r="E1658">
        <v>0.55548839999999999</v>
      </c>
      <c r="F1658" t="s">
        <v>49</v>
      </c>
      <c r="G1658">
        <v>-352.63389999999998</v>
      </c>
      <c r="H1658" s="1">
        <v>-1.3514959999999999E-7</v>
      </c>
      <c r="I1658">
        <v>285.77260000000001</v>
      </c>
      <c r="J1658">
        <v>-337.45429999999999</v>
      </c>
      <c r="K1658">
        <v>1.1110979999999999</v>
      </c>
      <c r="L1658">
        <v>285.09440000000001</v>
      </c>
      <c r="M1658">
        <v>-0.99988699999999997</v>
      </c>
      <c r="N1658">
        <v>-1.424508E-2</v>
      </c>
      <c r="O1658">
        <v>4.8036329999999999E-3</v>
      </c>
      <c r="P1658">
        <v>-0.93038330000000002</v>
      </c>
      <c r="Q1658">
        <v>0.3628728</v>
      </c>
      <c r="R1658">
        <v>-5.2061419999999997E-2</v>
      </c>
      <c r="S1658">
        <v>-3.3252559999999902</v>
      </c>
      <c r="T1658">
        <v>-0.23860529999999999</v>
      </c>
      <c r="U1658">
        <v>0.1459656</v>
      </c>
      <c r="V1658">
        <v>-5.655922E-2</v>
      </c>
      <c r="W1658">
        <v>0.37608150000000001</v>
      </c>
      <c r="X1658">
        <v>0.92485870000000003</v>
      </c>
      <c r="Y1658">
        <v>3.8941870000000003E-2</v>
      </c>
      <c r="Z1658">
        <v>1.39688299999999E-3</v>
      </c>
      <c r="AA1658">
        <v>0.99924049999999998</v>
      </c>
      <c r="AB1658">
        <v>30</v>
      </c>
      <c r="AC1658">
        <v>-15.179599999999899</v>
      </c>
      <c r="AD1658">
        <v>-1.1110981351496001</v>
      </c>
      <c r="AE1658">
        <v>0.67820000000000302</v>
      </c>
      <c r="AF1658">
        <v>0.60204833583581197</v>
      </c>
      <c r="AG1658">
        <v>-1.1110981351496001</v>
      </c>
      <c r="AH1658">
        <v>15.1019314798257</v>
      </c>
      <c r="AI1658">
        <v>94.204527315034795</v>
      </c>
      <c r="AJ1658">
        <v>87.717075309836702</v>
      </c>
      <c r="AK1658">
        <v>15.154713315862001</v>
      </c>
      <c r="AL1658">
        <v>67.908826394400904</v>
      </c>
      <c r="AM1658">
        <v>93.499533312866603</v>
      </c>
      <c r="AN1658">
        <v>0.99999992748747102</v>
      </c>
    </row>
    <row r="1659" spans="1:40" x14ac:dyDescent="0.25">
      <c r="A1659" t="str">
        <f>"20190304164630661"</f>
        <v>20190304164630661</v>
      </c>
      <c r="B1659" t="str">
        <f>"1551689190649553"</f>
        <v>1551689190649553</v>
      </c>
      <c r="C1659" t="s">
        <v>40</v>
      </c>
      <c r="D1659">
        <v>4.0280079999999998</v>
      </c>
      <c r="E1659">
        <v>0.55556349999999999</v>
      </c>
      <c r="F1659" t="s">
        <v>41</v>
      </c>
      <c r="G1659">
        <v>-338.42250000000001</v>
      </c>
      <c r="H1659">
        <v>1.041706</v>
      </c>
      <c r="I1659">
        <v>285.13679999999999</v>
      </c>
      <c r="J1659">
        <v>-337.77229999999997</v>
      </c>
      <c r="K1659">
        <v>1.1111</v>
      </c>
      <c r="L1659">
        <v>285.0958</v>
      </c>
      <c r="M1659">
        <v>-0.99988750000000004</v>
      </c>
      <c r="N1659">
        <v>-1.4238519999999999E-2</v>
      </c>
      <c r="O1659">
        <v>4.7453299999999999E-3</v>
      </c>
      <c r="P1659">
        <v>-0.93038379999999998</v>
      </c>
      <c r="Q1659">
        <v>0.36282530000000002</v>
      </c>
      <c r="R1659">
        <v>-5.2382129999999999E-2</v>
      </c>
      <c r="S1659">
        <v>-3.3256230000000002</v>
      </c>
      <c r="T1659">
        <v>-0.23847950000000001</v>
      </c>
      <c r="U1659">
        <v>0.14520259999999999</v>
      </c>
      <c r="V1659">
        <v>-5.6825590000000002E-2</v>
      </c>
      <c r="W1659">
        <v>0.37602799999999997</v>
      </c>
      <c r="X1659">
        <v>0.92486420000000003</v>
      </c>
      <c r="Y1659">
        <v>3.8767099999999999E-2</v>
      </c>
      <c r="Z1659">
        <v>1.391902E-3</v>
      </c>
      <c r="AA1659">
        <v>0.99924729999999995</v>
      </c>
      <c r="AB1659">
        <v>30</v>
      </c>
      <c r="AC1659">
        <v>-0.65020000000003997</v>
      </c>
      <c r="AD1659">
        <v>-6.93939999999999E-2</v>
      </c>
      <c r="AE1659">
        <v>4.0999999999996803E-2</v>
      </c>
      <c r="AF1659">
        <v>3.7488483948179697E-2</v>
      </c>
      <c r="AG1659">
        <v>-6.93939999999999E-2</v>
      </c>
      <c r="AH1659">
        <v>0.64309101929226997</v>
      </c>
      <c r="AI1659">
        <v>96.148425499853502</v>
      </c>
      <c r="AJ1659">
        <v>86.663763370782505</v>
      </c>
      <c r="AK1659">
        <v>0.64790969491056605</v>
      </c>
      <c r="AL1659">
        <v>67.912136149134497</v>
      </c>
      <c r="AM1659">
        <v>93.515952529799605</v>
      </c>
      <c r="AN1659">
        <v>0.99999999645224402</v>
      </c>
    </row>
    <row r="1660" spans="1:40" x14ac:dyDescent="0.25">
      <c r="A1660" t="str">
        <f>"20190304164630682"</f>
        <v>20190304164630682</v>
      </c>
      <c r="B1660" t="str">
        <f>"1551689190669582"</f>
        <v>1551689190669582</v>
      </c>
      <c r="C1660" t="s">
        <v>40</v>
      </c>
      <c r="D1660">
        <v>4.0088759999999999</v>
      </c>
      <c r="E1660">
        <v>0.55552209999999902</v>
      </c>
      <c r="F1660" t="s">
        <v>41</v>
      </c>
      <c r="G1660">
        <v>-338.6934</v>
      </c>
      <c r="H1660">
        <v>1.045024</v>
      </c>
      <c r="I1660">
        <v>285.13630000000001</v>
      </c>
      <c r="J1660">
        <v>-338.06139999999999</v>
      </c>
      <c r="K1660">
        <v>1.1110979999999999</v>
      </c>
      <c r="L1660">
        <v>285.09710000000001</v>
      </c>
      <c r="M1660">
        <v>-0.99988779999999999</v>
      </c>
      <c r="N1660">
        <v>-1.42328E-2</v>
      </c>
      <c r="O1660">
        <v>4.6923850000000003E-3</v>
      </c>
      <c r="P1660">
        <v>-0.93022539999999998</v>
      </c>
      <c r="Q1660">
        <v>0.3631646</v>
      </c>
      <c r="R1660">
        <v>-5.284556E-2</v>
      </c>
      <c r="S1660">
        <v>-3.3257449999999902</v>
      </c>
      <c r="T1660">
        <v>-0.23866899999999999</v>
      </c>
      <c r="U1660">
        <v>0.1457214</v>
      </c>
      <c r="V1660">
        <v>-5.7239320000000003E-2</v>
      </c>
      <c r="W1660">
        <v>0.37635990000000002</v>
      </c>
      <c r="X1660">
        <v>0.92470370000000002</v>
      </c>
      <c r="Y1660">
        <v>3.8973130000000002E-2</v>
      </c>
      <c r="Z1660">
        <v>1.40444299999999E-3</v>
      </c>
      <c r="AA1660">
        <v>0.99923930000000005</v>
      </c>
      <c r="AB1660">
        <v>30</v>
      </c>
      <c r="AC1660">
        <v>-0.632000000000005</v>
      </c>
      <c r="AD1660">
        <v>-6.6073999999999897E-2</v>
      </c>
      <c r="AE1660">
        <v>3.9199999999993899E-2</v>
      </c>
      <c r="AF1660">
        <v>3.5843407694839201E-2</v>
      </c>
      <c r="AG1660">
        <v>-6.6073999999999897E-2</v>
      </c>
      <c r="AH1660">
        <v>0.62536781817123499</v>
      </c>
      <c r="AI1660">
        <v>96.021469414049605</v>
      </c>
      <c r="AJ1660">
        <v>86.719640012248504</v>
      </c>
      <c r="AK1660">
        <v>0.62986937642294405</v>
      </c>
      <c r="AL1660">
        <v>67.891612622660304</v>
      </c>
      <c r="AM1660">
        <v>93.542099332472006</v>
      </c>
      <c r="AN1660">
        <v>1.0000000234378801</v>
      </c>
    </row>
    <row r="1661" spans="1:40" x14ac:dyDescent="0.25">
      <c r="A1661" t="str">
        <f>"20190304164630725"</f>
        <v>20190304164630725</v>
      </c>
      <c r="B1661" t="str">
        <f>"1551689190720333"</f>
        <v>1551689190720333</v>
      </c>
      <c r="C1661" t="s">
        <v>40</v>
      </c>
      <c r="D1661">
        <v>3.9680789999999999</v>
      </c>
      <c r="E1661">
        <v>0.55389670000000002</v>
      </c>
      <c r="F1661" t="s">
        <v>41</v>
      </c>
      <c r="G1661">
        <v>-338.96249999999998</v>
      </c>
      <c r="H1661">
        <v>1.046848</v>
      </c>
      <c r="I1661">
        <v>285.13670000000002</v>
      </c>
      <c r="J1661">
        <v>-338.63369999999998</v>
      </c>
      <c r="K1661">
        <v>1.111103</v>
      </c>
      <c r="L1661">
        <v>285.09969999999998</v>
      </c>
      <c r="M1661">
        <v>-0.99988840000000001</v>
      </c>
      <c r="N1661">
        <v>-1.422226E-2</v>
      </c>
      <c r="O1661">
        <v>4.5968679999999996E-3</v>
      </c>
      <c r="P1661">
        <v>-0.93004629999999999</v>
      </c>
      <c r="Q1661">
        <v>0.3634732</v>
      </c>
      <c r="R1661">
        <v>-5.3862220000000002E-2</v>
      </c>
      <c r="S1661">
        <v>-3.3258969999999999</v>
      </c>
      <c r="T1661">
        <v>-0.2372377</v>
      </c>
      <c r="U1661">
        <v>0.14553829999999901</v>
      </c>
      <c r="V1661">
        <v>-5.8162529999999997E-2</v>
      </c>
      <c r="W1661">
        <v>0.3766562</v>
      </c>
      <c r="X1661">
        <v>0.92452540000000005</v>
      </c>
      <c r="Y1661">
        <v>3.9012610000000003E-2</v>
      </c>
      <c r="Z1661">
        <v>1.4049279999999999E-3</v>
      </c>
      <c r="AA1661">
        <v>0.99923770000000001</v>
      </c>
      <c r="AB1661">
        <v>30</v>
      </c>
      <c r="AC1661">
        <v>-0.32880000000000098</v>
      </c>
      <c r="AD1661">
        <v>-6.4255000000000104E-2</v>
      </c>
      <c r="AE1661">
        <v>3.7000000000034498E-2</v>
      </c>
      <c r="AF1661">
        <v>3.4198302778719401E-2</v>
      </c>
      <c r="AG1661">
        <v>-6.4255000000000104E-2</v>
      </c>
      <c r="AH1661">
        <v>0.317011338377711</v>
      </c>
      <c r="AI1661">
        <v>101.39368673653701</v>
      </c>
      <c r="AJ1661">
        <v>83.842901158204299</v>
      </c>
      <c r="AK1661">
        <v>0.325260538027552</v>
      </c>
      <c r="AL1661">
        <v>67.873286706901993</v>
      </c>
      <c r="AM1661">
        <v>93.599772966907693</v>
      </c>
      <c r="AN1661">
        <v>0.9999999940698</v>
      </c>
    </row>
    <row r="1662" spans="1:40" x14ac:dyDescent="0.25">
      <c r="A1662" t="str">
        <f>"20190304164630747"</f>
        <v>20190304164630747</v>
      </c>
      <c r="B1662" t="str">
        <f>"1551689190739853"</f>
        <v>1551689190739853</v>
      </c>
      <c r="C1662" t="s">
        <v>40</v>
      </c>
      <c r="D1662">
        <v>3.931597</v>
      </c>
      <c r="E1662">
        <v>0.55337860000000005</v>
      </c>
      <c r="F1662" t="s">
        <v>41</v>
      </c>
      <c r="G1662">
        <v>-339.50799999999998</v>
      </c>
      <c r="H1662">
        <v>1.049998</v>
      </c>
      <c r="I1662">
        <v>285.13380000000001</v>
      </c>
      <c r="J1662">
        <v>-338.94049999999999</v>
      </c>
      <c r="K1662">
        <v>1.1110990000000001</v>
      </c>
      <c r="L1662">
        <v>285.101</v>
      </c>
      <c r="M1662">
        <v>-0.99988860000000002</v>
      </c>
      <c r="N1662">
        <v>-1.421684E-2</v>
      </c>
      <c r="O1662">
        <v>4.5557699999999998E-3</v>
      </c>
      <c r="P1662">
        <v>-0.92998460000000005</v>
      </c>
      <c r="Q1662">
        <v>0.36360989999999999</v>
      </c>
      <c r="R1662">
        <v>-5.4006890000000002E-2</v>
      </c>
      <c r="S1662">
        <v>-3.3239749999999999</v>
      </c>
      <c r="T1662">
        <v>-0.23253170000000001</v>
      </c>
      <c r="U1662">
        <v>0.1287537</v>
      </c>
      <c r="V1662">
        <v>-5.8262750000000002E-2</v>
      </c>
      <c r="W1662">
        <v>0.37678790000000001</v>
      </c>
      <c r="X1662">
        <v>0.92446539999999999</v>
      </c>
      <c r="Y1662">
        <v>3.4059600000000002E-2</v>
      </c>
      <c r="Z1662">
        <v>1.1785039999999999E-3</v>
      </c>
      <c r="AA1662">
        <v>0.9994191</v>
      </c>
      <c r="AB1662">
        <v>30</v>
      </c>
      <c r="AC1662">
        <v>-0.56750000000005196</v>
      </c>
      <c r="AD1662">
        <v>-6.1101000000000003E-2</v>
      </c>
      <c r="AE1662">
        <v>3.2800000000008801E-2</v>
      </c>
      <c r="AF1662">
        <v>2.9868906091985101E-2</v>
      </c>
      <c r="AG1662">
        <v>-6.1101000000000003E-2</v>
      </c>
      <c r="AH1662">
        <v>0.56116014569032702</v>
      </c>
      <c r="AI1662">
        <v>96.2053613761354</v>
      </c>
      <c r="AJ1662">
        <v>86.953189125025006</v>
      </c>
      <c r="AK1662">
        <v>0.56526647951503495</v>
      </c>
      <c r="AL1662">
        <v>67.865140209298701</v>
      </c>
      <c r="AM1662">
        <v>93.606192810251699</v>
      </c>
      <c r="AN1662">
        <v>0.99999997271056595</v>
      </c>
    </row>
    <row r="1663" spans="1:40" x14ac:dyDescent="0.25">
      <c r="A1663" t="str">
        <f>"20190304164630771"</f>
        <v>20190304164630771</v>
      </c>
      <c r="B1663" t="str">
        <f>"1551689190760350"</f>
        <v>1551689190760350</v>
      </c>
      <c r="C1663" t="s">
        <v>40</v>
      </c>
      <c r="D1663">
        <v>3.936607</v>
      </c>
      <c r="E1663">
        <v>0.55289489999999997</v>
      </c>
      <c r="F1663" t="s">
        <v>49</v>
      </c>
      <c r="G1663">
        <v>-354.91950000000003</v>
      </c>
      <c r="H1663" s="1">
        <v>1.081127E-6</v>
      </c>
      <c r="I1663">
        <v>285.70440000000002</v>
      </c>
      <c r="J1663">
        <v>-339.25130000000001</v>
      </c>
      <c r="K1663">
        <v>1.1110880000000001</v>
      </c>
      <c r="L1663">
        <v>285.10239999999999</v>
      </c>
      <c r="M1663">
        <v>-0.99988889999999997</v>
      </c>
      <c r="N1663">
        <v>-1.4211669999999999E-2</v>
      </c>
      <c r="O1663">
        <v>4.524541E-3</v>
      </c>
      <c r="P1663">
        <v>-0.93012209999999995</v>
      </c>
      <c r="Q1663">
        <v>0.36327870000000001</v>
      </c>
      <c r="R1663">
        <v>-5.3865719999999999E-2</v>
      </c>
      <c r="S1663">
        <v>-3.3234560000000002</v>
      </c>
      <c r="T1663">
        <v>-0.23109579999999999</v>
      </c>
      <c r="U1663">
        <v>0.1254883</v>
      </c>
      <c r="V1663">
        <v>-5.8085669999999999E-2</v>
      </c>
      <c r="W1663">
        <v>0.37645529999999999</v>
      </c>
      <c r="X1663">
        <v>0.92461199999999999</v>
      </c>
      <c r="Y1663">
        <v>3.3119990000000002E-2</v>
      </c>
      <c r="Z1663">
        <v>1.135589E-3</v>
      </c>
      <c r="AA1663">
        <v>0.99945070000000003</v>
      </c>
      <c r="AB1663">
        <v>30</v>
      </c>
      <c r="AC1663">
        <v>-15.668200000000001</v>
      </c>
      <c r="AD1663">
        <v>-1.1110869188729999</v>
      </c>
      <c r="AE1663">
        <v>0.60200000000003195</v>
      </c>
      <c r="AF1663">
        <v>0.52844180129152096</v>
      </c>
      <c r="AG1663">
        <v>-1.1110869188729999</v>
      </c>
      <c r="AH1663">
        <v>15.5924689877167</v>
      </c>
      <c r="AI1663">
        <v>94.073557858817097</v>
      </c>
      <c r="AJ1663">
        <v>88.058941094424995</v>
      </c>
      <c r="AK1663">
        <v>15.6409352025878</v>
      </c>
      <c r="AL1663">
        <v>67.885710846320194</v>
      </c>
      <c r="AM1663">
        <v>93.594692630337903</v>
      </c>
      <c r="AN1663">
        <v>0.99999994425071703</v>
      </c>
    </row>
    <row r="1664" spans="1:40" x14ac:dyDescent="0.25">
      <c r="A1664" t="str">
        <f>"20190304164630792"</f>
        <v>20190304164630792</v>
      </c>
      <c r="B1664" t="str">
        <f>"1551689190779401"</f>
        <v>1551689190779401</v>
      </c>
      <c r="C1664" t="s">
        <v>40</v>
      </c>
      <c r="D1664">
        <v>3.9111720000000001</v>
      </c>
      <c r="E1664">
        <v>0.55246719999999905</v>
      </c>
      <c r="F1664" t="s">
        <v>49</v>
      </c>
      <c r="G1664">
        <v>-355.17590000000001</v>
      </c>
      <c r="H1664" s="1">
        <v>1.2175659999999999E-6</v>
      </c>
      <c r="I1664">
        <v>285.69310000000002</v>
      </c>
      <c r="J1664">
        <v>-339.5301</v>
      </c>
      <c r="K1664">
        <v>1.1110789999999999</v>
      </c>
      <c r="L1664">
        <v>285.1037</v>
      </c>
      <c r="M1664">
        <v>-0.99988900000000003</v>
      </c>
      <c r="N1664">
        <v>-1.420746E-2</v>
      </c>
      <c r="O1664">
        <v>4.5067179999999998E-3</v>
      </c>
      <c r="P1664">
        <v>-0.93023540000000005</v>
      </c>
      <c r="Q1664">
        <v>0.36301489999999997</v>
      </c>
      <c r="R1664">
        <v>-5.3689699999999903E-2</v>
      </c>
      <c r="S1664">
        <v>-3.3230590000000002</v>
      </c>
      <c r="T1664">
        <v>-0.23185529999999999</v>
      </c>
      <c r="U1664">
        <v>0.1232605</v>
      </c>
      <c r="V1664">
        <v>-5.7886050000000001E-2</v>
      </c>
      <c r="W1664">
        <v>0.37619019999999997</v>
      </c>
      <c r="X1664">
        <v>0.92473249999999996</v>
      </c>
      <c r="Y1664">
        <v>3.247452E-2</v>
      </c>
      <c r="Z1664">
        <v>1.112261E-3</v>
      </c>
      <c r="AA1664">
        <v>0.99947200000000003</v>
      </c>
      <c r="AB1664">
        <v>30</v>
      </c>
      <c r="AC1664">
        <v>-15.645799999999999</v>
      </c>
      <c r="AD1664">
        <v>-1.1110777824339999</v>
      </c>
      <c r="AE1664">
        <v>0.58940000000001103</v>
      </c>
      <c r="AF1664">
        <v>0.51627577790009804</v>
      </c>
      <c r="AG1664">
        <v>-1.1110777824339999</v>
      </c>
      <c r="AH1664">
        <v>15.5698891318542</v>
      </c>
      <c r="AI1664">
        <v>94.079511767138996</v>
      </c>
      <c r="AJ1664">
        <v>88.1008478044687</v>
      </c>
      <c r="AK1664">
        <v>15.6180178670565</v>
      </c>
      <c r="AL1664">
        <v>67.902107094864306</v>
      </c>
      <c r="AM1664">
        <v>93.581905567192095</v>
      </c>
      <c r="AN1664">
        <v>1.0000000289584401</v>
      </c>
    </row>
    <row r="1665" spans="1:40" x14ac:dyDescent="0.25">
      <c r="A1665" t="str">
        <f>"20190304164630814"</f>
        <v>20190304164630814</v>
      </c>
      <c r="B1665" t="str">
        <f>"1551689190809657"</f>
        <v>1551689190809657</v>
      </c>
      <c r="C1665" t="s">
        <v>40</v>
      </c>
      <c r="D1665">
        <v>3.9064580000000002</v>
      </c>
      <c r="E1665">
        <v>0.551894199999999</v>
      </c>
      <c r="F1665" t="s">
        <v>49</v>
      </c>
      <c r="G1665">
        <v>-355.43889999999999</v>
      </c>
      <c r="H1665" s="1">
        <v>1.357548E-6</v>
      </c>
      <c r="I1665">
        <v>285.67970000000003</v>
      </c>
      <c r="J1665">
        <v>-339.82440000000003</v>
      </c>
      <c r="K1665">
        <v>1.111075</v>
      </c>
      <c r="L1665">
        <v>285.10500000000002</v>
      </c>
      <c r="M1665">
        <v>-0.99988900000000003</v>
      </c>
      <c r="N1665">
        <v>-1.420327E-2</v>
      </c>
      <c r="O1665">
        <v>4.4964489999999996E-3</v>
      </c>
      <c r="P1665">
        <v>-0.93035140000000005</v>
      </c>
      <c r="Q1665">
        <v>0.36274220000000001</v>
      </c>
      <c r="R1665">
        <v>-5.351947E-2</v>
      </c>
      <c r="S1665">
        <v>-3.3224179999999999</v>
      </c>
      <c r="T1665">
        <v>-0.23203840000000001</v>
      </c>
      <c r="U1665">
        <v>0.1203003</v>
      </c>
      <c r="V1665">
        <v>-5.7699840000000002E-2</v>
      </c>
      <c r="W1665">
        <v>0.37591629999999998</v>
      </c>
      <c r="X1665">
        <v>0.92485550000000005</v>
      </c>
      <c r="Y1665">
        <v>3.1604989999999999E-2</v>
      </c>
      <c r="Z1665">
        <v>1.077052E-3</v>
      </c>
      <c r="AA1665">
        <v>0.9994999</v>
      </c>
      <c r="AB1665">
        <v>30</v>
      </c>
      <c r="AC1665">
        <v>-15.6144999999999</v>
      </c>
      <c r="AD1665">
        <v>-1.111073642452</v>
      </c>
      <c r="AE1665">
        <v>0.57470000000000698</v>
      </c>
      <c r="AF1665">
        <v>0.50193929511726898</v>
      </c>
      <c r="AG1665">
        <v>-1.111073642452</v>
      </c>
      <c r="AH1665">
        <v>15.538358301390099</v>
      </c>
      <c r="AI1665">
        <v>94.087860737194404</v>
      </c>
      <c r="AJ1665">
        <v>88.149804145952999</v>
      </c>
      <c r="AK1665">
        <v>15.5861158213749</v>
      </c>
      <c r="AL1665">
        <v>67.919043278412801</v>
      </c>
      <c r="AM1665">
        <v>93.569939399597899</v>
      </c>
      <c r="AN1665">
        <v>1.0000000160109801</v>
      </c>
    </row>
    <row r="1666" spans="1:40" x14ac:dyDescent="0.25">
      <c r="A1666" t="str">
        <f>"20190304164630838"</f>
        <v>20190304164630838</v>
      </c>
      <c r="B1666" t="str">
        <f>"1551689190830153"</f>
        <v>1551689190830153</v>
      </c>
      <c r="C1666" t="s">
        <v>40</v>
      </c>
      <c r="D1666">
        <v>3.8744010000000002</v>
      </c>
      <c r="E1666">
        <v>0.55153739999999996</v>
      </c>
      <c r="F1666" t="s">
        <v>49</v>
      </c>
      <c r="G1666">
        <v>-355.70400000000001</v>
      </c>
      <c r="H1666" s="1">
        <v>1.498595E-6</v>
      </c>
      <c r="I1666">
        <v>285.66059999999999</v>
      </c>
      <c r="J1666">
        <v>-340.1388</v>
      </c>
      <c r="K1666">
        <v>1.111073</v>
      </c>
      <c r="L1666">
        <v>285.10640000000001</v>
      </c>
      <c r="M1666">
        <v>-0.99988920000000003</v>
      </c>
      <c r="N1666">
        <v>-1.419897E-2</v>
      </c>
      <c r="O1666">
        <v>4.4930639999999997E-3</v>
      </c>
      <c r="P1666">
        <v>-0.93047270000000004</v>
      </c>
      <c r="Q1666">
        <v>0.3624561</v>
      </c>
      <c r="R1666">
        <v>-5.3353770000000002E-2</v>
      </c>
      <c r="S1666">
        <v>-3.321869</v>
      </c>
      <c r="T1666">
        <v>-0.23242660000000001</v>
      </c>
      <c r="U1666">
        <v>0.1162415</v>
      </c>
      <c r="V1666">
        <v>-5.7525809999999997E-2</v>
      </c>
      <c r="W1666">
        <v>0.37562909999999999</v>
      </c>
      <c r="X1666">
        <v>0.924983</v>
      </c>
      <c r="Y1666">
        <v>3.039789E-2</v>
      </c>
      <c r="Z1666">
        <v>1.027863E-3</v>
      </c>
      <c r="AA1666">
        <v>0.99953729999999996</v>
      </c>
      <c r="AB1666">
        <v>30</v>
      </c>
      <c r="AC1666">
        <v>-15.565200000000001</v>
      </c>
      <c r="AD1666">
        <v>-1.1110715014050001</v>
      </c>
      <c r="AE1666">
        <v>0.55419999999998004</v>
      </c>
      <c r="AF1666">
        <v>0.481800086382905</v>
      </c>
      <c r="AG1666">
        <v>-1.1110715014050001</v>
      </c>
      <c r="AH1666">
        <v>15.488712566906299</v>
      </c>
      <c r="AI1666">
        <v>94.1010658978864</v>
      </c>
      <c r="AJ1666">
        <v>88.218301692407906</v>
      </c>
      <c r="AK1666">
        <v>15.535984944145399</v>
      </c>
      <c r="AL1666">
        <v>67.936799492365793</v>
      </c>
      <c r="AM1666">
        <v>93.558710391500995</v>
      </c>
      <c r="AN1666">
        <v>0.99999999493598202</v>
      </c>
    </row>
    <row r="1667" spans="1:40" x14ac:dyDescent="0.25">
      <c r="A1667" t="str">
        <f>"20190304164630861"</f>
        <v>20190304164630861</v>
      </c>
      <c r="B1667" t="str">
        <f>"1551689190849673"</f>
        <v>1551689190849673</v>
      </c>
      <c r="C1667" t="s">
        <v>40</v>
      </c>
      <c r="D1667">
        <v>3.8849740000000001</v>
      </c>
      <c r="E1667">
        <v>0.55119379999999996</v>
      </c>
      <c r="F1667" t="s">
        <v>41</v>
      </c>
      <c r="G1667">
        <v>-341.08980000000003</v>
      </c>
      <c r="H1667">
        <v>1.044414</v>
      </c>
      <c r="I1667">
        <v>285.13929999999999</v>
      </c>
      <c r="J1667">
        <v>-340.43900000000002</v>
      </c>
      <c r="K1667">
        <v>1.11107</v>
      </c>
      <c r="L1667">
        <v>285.1078</v>
      </c>
      <c r="M1667">
        <v>-0.99988929999999998</v>
      </c>
      <c r="N1667">
        <v>-1.4195009999999999E-2</v>
      </c>
      <c r="O1667">
        <v>4.4941629999999998E-3</v>
      </c>
      <c r="P1667">
        <v>-0.93049159999999997</v>
      </c>
      <c r="Q1667">
        <v>0.36241669999999998</v>
      </c>
      <c r="R1667">
        <v>-5.3290829999999997E-2</v>
      </c>
      <c r="S1667">
        <v>-3.3215330000000001</v>
      </c>
      <c r="T1667">
        <v>-0.2331548</v>
      </c>
      <c r="U1667">
        <v>0.11361690000000001</v>
      </c>
      <c r="V1667">
        <v>-5.746159E-2</v>
      </c>
      <c r="W1667">
        <v>0.3755867</v>
      </c>
      <c r="X1667">
        <v>0.92500420000000005</v>
      </c>
      <c r="Y1667">
        <v>2.9613319999999999E-2</v>
      </c>
      <c r="Z1667">
        <v>9.9707310000000005E-4</v>
      </c>
      <c r="AA1667">
        <v>0.99956100000000003</v>
      </c>
      <c r="AB1667">
        <v>30</v>
      </c>
      <c r="AC1667">
        <v>-0.65080000000000304</v>
      </c>
      <c r="AD1667">
        <v>-6.6656000000000007E-2</v>
      </c>
      <c r="AE1667">
        <v>3.1499999999993998E-2</v>
      </c>
      <c r="AF1667">
        <v>2.82786313739012E-2</v>
      </c>
      <c r="AG1667">
        <v>-6.6656000000000007E-2</v>
      </c>
      <c r="AH1667">
        <v>0.64419309260280599</v>
      </c>
      <c r="AI1667">
        <v>95.9018470607122</v>
      </c>
      <c r="AJ1667">
        <v>87.486457549447607</v>
      </c>
      <c r="AK1667">
        <v>0.64824952285794102</v>
      </c>
      <c r="AL1667">
        <v>67.939420577235893</v>
      </c>
      <c r="AM1667">
        <v>93.554666490431799</v>
      </c>
      <c r="AN1667">
        <v>0.99999998677992896</v>
      </c>
    </row>
    <row r="1668" spans="1:40" x14ac:dyDescent="0.25">
      <c r="A1668" t="str">
        <f>"20190304164630882"</f>
        <v>20190304164630882</v>
      </c>
      <c r="B1668" t="str">
        <f>"1551689190869701"</f>
        <v>1551689190869701</v>
      </c>
      <c r="C1668" t="s">
        <v>40</v>
      </c>
      <c r="D1668">
        <v>3.8644430000000001</v>
      </c>
      <c r="E1668">
        <v>0.55086630000000003</v>
      </c>
      <c r="F1668" t="s">
        <v>41</v>
      </c>
      <c r="G1668">
        <v>-341.35669999999999</v>
      </c>
      <c r="H1668">
        <v>1.046513</v>
      </c>
      <c r="I1668">
        <v>285.13850000000002</v>
      </c>
      <c r="J1668">
        <v>-340.7199</v>
      </c>
      <c r="K1668">
        <v>1.1110660000000001</v>
      </c>
      <c r="L1668">
        <v>285.10899999999998</v>
      </c>
      <c r="M1668">
        <v>-0.99988909999999998</v>
      </c>
      <c r="N1668">
        <v>-1.418961E-2</v>
      </c>
      <c r="O1668">
        <v>4.4972120000000004E-3</v>
      </c>
      <c r="P1668">
        <v>-0.93042930000000001</v>
      </c>
      <c r="Q1668">
        <v>0.36261919999999997</v>
      </c>
      <c r="R1668">
        <v>-5.3000140000000001E-2</v>
      </c>
      <c r="S1668">
        <v>-3.3214419999999998</v>
      </c>
      <c r="T1668">
        <v>-0.2337854</v>
      </c>
      <c r="U1668">
        <v>0.1102905</v>
      </c>
      <c r="V1668">
        <v>-5.717129E-2</v>
      </c>
      <c r="W1668">
        <v>0.3757837</v>
      </c>
      <c r="X1668">
        <v>0.92494219999999905</v>
      </c>
      <c r="Y1668">
        <v>2.861387E-2</v>
      </c>
      <c r="Z1668">
        <v>9.5655359999999995E-4</v>
      </c>
      <c r="AA1668">
        <v>0.99959010000000004</v>
      </c>
      <c r="AB1668">
        <v>30</v>
      </c>
      <c r="AC1668">
        <v>-0.63679999999999304</v>
      </c>
      <c r="AD1668">
        <v>-6.4552999999999805E-2</v>
      </c>
      <c r="AE1668">
        <v>2.94999999999845E-2</v>
      </c>
      <c r="AF1668">
        <v>2.6365237699674401E-2</v>
      </c>
      <c r="AG1668">
        <v>-6.4552999999999805E-2</v>
      </c>
      <c r="AH1668">
        <v>0.63046145238213802</v>
      </c>
      <c r="AI1668">
        <v>95.841076644419502</v>
      </c>
      <c r="AJ1668">
        <v>87.605345795849303</v>
      </c>
      <c r="AK1668">
        <v>0.63430580835095196</v>
      </c>
      <c r="AL1668">
        <v>67.927241658690505</v>
      </c>
      <c r="AM1668">
        <v>93.536990235078093</v>
      </c>
      <c r="AN1668">
        <v>1.0000000094633901</v>
      </c>
    </row>
    <row r="1669" spans="1:40" x14ac:dyDescent="0.25">
      <c r="A1669" t="str">
        <f>"20190304164630903"</f>
        <v>20190304164630903</v>
      </c>
      <c r="B1669" t="str">
        <f>"1551689190899957"</f>
        <v>1551689190899957</v>
      </c>
      <c r="C1669" t="s">
        <v>40</v>
      </c>
      <c r="D1669">
        <v>3.8610359999999999</v>
      </c>
      <c r="E1669">
        <v>0.55040959999999906</v>
      </c>
      <c r="F1669" t="s">
        <v>41</v>
      </c>
      <c r="G1669">
        <v>-341.6223</v>
      </c>
      <c r="H1669">
        <v>1.0477430000000001</v>
      </c>
      <c r="I1669">
        <v>285.13869999999997</v>
      </c>
      <c r="J1669">
        <v>-341.00110000000001</v>
      </c>
      <c r="K1669">
        <v>1.111065</v>
      </c>
      <c r="L1669">
        <v>285.1103</v>
      </c>
      <c r="M1669">
        <v>-0.99988940000000004</v>
      </c>
      <c r="N1669">
        <v>-1.417944E-2</v>
      </c>
      <c r="O1669">
        <v>4.5005189999999997E-3</v>
      </c>
      <c r="P1669">
        <v>-0.93044039999999995</v>
      </c>
      <c r="Q1669">
        <v>0.36260769999999998</v>
      </c>
      <c r="R1669">
        <v>-5.2880209999999997E-2</v>
      </c>
      <c r="S1669">
        <v>-3.3213810000000001</v>
      </c>
      <c r="T1669">
        <v>-0.23322309999999999</v>
      </c>
      <c r="U1669">
        <v>0.1083069</v>
      </c>
      <c r="V1669">
        <v>-5.7054029999999999E-2</v>
      </c>
      <c r="W1669">
        <v>0.37576290000000001</v>
      </c>
      <c r="X1669">
        <v>0.9249579</v>
      </c>
      <c r="Y1669">
        <v>2.8016940000000001E-2</v>
      </c>
      <c r="Z1669">
        <v>9.2937360000000004E-4</v>
      </c>
      <c r="AA1669">
        <v>0.99960700000000002</v>
      </c>
      <c r="AB1669">
        <v>30</v>
      </c>
      <c r="AC1669">
        <v>-0.62119999999998698</v>
      </c>
      <c r="AD1669">
        <v>-6.3321999999999795E-2</v>
      </c>
      <c r="AE1669">
        <v>2.8399999999976399E-2</v>
      </c>
      <c r="AF1669">
        <v>2.53409470931363E-2</v>
      </c>
      <c r="AG1669">
        <v>-6.3321999999999795E-2</v>
      </c>
      <c r="AH1669">
        <v>0.61494512960293302</v>
      </c>
      <c r="AI1669">
        <v>95.874177605773397</v>
      </c>
      <c r="AJ1669">
        <v>87.640263781139197</v>
      </c>
      <c r="AK1669">
        <v>0.61871588932719801</v>
      </c>
      <c r="AL1669">
        <v>67.928527859642799</v>
      </c>
      <c r="AM1669">
        <v>93.529694362236597</v>
      </c>
      <c r="AN1669">
        <v>1.00000001806403</v>
      </c>
    </row>
    <row r="1670" spans="1:40" x14ac:dyDescent="0.25">
      <c r="A1670" t="str">
        <f>"20190304164630926"</f>
        <v>20190304164630926</v>
      </c>
      <c r="B1670" t="str">
        <f>"1551689190919478"</f>
        <v>1551689190919478</v>
      </c>
      <c r="C1670" t="s">
        <v>40</v>
      </c>
      <c r="D1670">
        <v>3.8666010000000002</v>
      </c>
      <c r="E1670">
        <v>0.55010740000000002</v>
      </c>
      <c r="F1670" t="s">
        <v>41</v>
      </c>
      <c r="G1670">
        <v>-341.89499999999998</v>
      </c>
      <c r="H1670">
        <v>1.048257</v>
      </c>
      <c r="I1670">
        <v>285.13869999999997</v>
      </c>
      <c r="J1670">
        <v>-341.30720000000002</v>
      </c>
      <c r="K1670">
        <v>1.111056</v>
      </c>
      <c r="L1670">
        <v>285.11160000000001</v>
      </c>
      <c r="M1670">
        <v>-0.99988969999999999</v>
      </c>
      <c r="N1670">
        <v>-1.416565E-2</v>
      </c>
      <c r="O1670">
        <v>4.503132E-3</v>
      </c>
      <c r="P1670">
        <v>-0.93031790000000003</v>
      </c>
      <c r="Q1670">
        <v>0.3629889</v>
      </c>
      <c r="R1670">
        <v>-5.2419790000000001E-2</v>
      </c>
      <c r="S1670">
        <v>-3.3212589999999902</v>
      </c>
      <c r="T1670">
        <v>-0.23342350000000001</v>
      </c>
      <c r="U1670">
        <v>0.105072</v>
      </c>
      <c r="V1670">
        <v>-5.6595069999999997E-2</v>
      </c>
      <c r="W1670">
        <v>0.37612970000000001</v>
      </c>
      <c r="X1670">
        <v>0.92483700000000002</v>
      </c>
      <c r="Y1670">
        <v>2.7045679999999999E-2</v>
      </c>
      <c r="Z1670">
        <v>8.8860399999999998E-4</v>
      </c>
      <c r="AA1670">
        <v>0.99963380000000002</v>
      </c>
      <c r="AB1670">
        <v>30</v>
      </c>
      <c r="AC1670">
        <v>-0.58779999999995802</v>
      </c>
      <c r="AD1670">
        <v>-6.2798999999999994E-2</v>
      </c>
      <c r="AE1670">
        <v>2.70999999999617E-2</v>
      </c>
      <c r="AF1670">
        <v>2.41771411388488E-2</v>
      </c>
      <c r="AG1670">
        <v>-6.2798999999999994E-2</v>
      </c>
      <c r="AH1670">
        <v>0.58129512825200502</v>
      </c>
      <c r="AI1670">
        <v>96.160630613930095</v>
      </c>
      <c r="AJ1670">
        <v>87.618335099198106</v>
      </c>
      <c r="AK1670">
        <v>0.58517713103312896</v>
      </c>
      <c r="AL1670">
        <v>67.905847932578098</v>
      </c>
      <c r="AM1670">
        <v>93.501827929519294</v>
      </c>
      <c r="AN1670">
        <v>1.0000000148696899</v>
      </c>
    </row>
    <row r="1671" spans="1:40" x14ac:dyDescent="0.25">
      <c r="A1671" t="str">
        <f>"20190304164630948"</f>
        <v>20190304164630948</v>
      </c>
      <c r="B1671" t="str">
        <f>"1551689190939973"</f>
        <v>1551689190939973</v>
      </c>
      <c r="C1671" t="s">
        <v>40</v>
      </c>
      <c r="D1671">
        <v>3.9162330000000001</v>
      </c>
      <c r="E1671">
        <v>0.52683179999999996</v>
      </c>
      <c r="F1671" t="s">
        <v>49</v>
      </c>
      <c r="G1671">
        <v>-357.17950000000002</v>
      </c>
      <c r="H1671" s="1">
        <v>2.2838090000000001E-6</v>
      </c>
      <c r="I1671">
        <v>285.60809999999998</v>
      </c>
      <c r="J1671">
        <v>-341.60770000000002</v>
      </c>
      <c r="K1671">
        <v>1.1110580000000001</v>
      </c>
      <c r="L1671">
        <v>285.113</v>
      </c>
      <c r="M1671">
        <v>-0.9998899</v>
      </c>
      <c r="N1671">
        <v>-1.414869E-2</v>
      </c>
      <c r="O1671">
        <v>4.5048090000000002E-3</v>
      </c>
      <c r="P1671">
        <v>-0.93045889999999998</v>
      </c>
      <c r="Q1671">
        <v>0.36274780000000001</v>
      </c>
      <c r="R1671">
        <v>-5.1580500000000001E-2</v>
      </c>
      <c r="S1671">
        <v>-3.3212890000000002</v>
      </c>
      <c r="T1671">
        <v>-0.23248779999999999</v>
      </c>
      <c r="U1671">
        <v>0.1038818</v>
      </c>
      <c r="V1671">
        <v>-5.5757210000000001E-2</v>
      </c>
      <c r="W1671">
        <v>0.37587510000000002</v>
      </c>
      <c r="X1671">
        <v>0.92499140000000002</v>
      </c>
      <c r="Y1671">
        <v>2.668744E-2</v>
      </c>
      <c r="Z1671">
        <v>8.7060990000000003E-4</v>
      </c>
      <c r="AA1671">
        <v>0.99964339999999996</v>
      </c>
      <c r="AB1671">
        <v>30</v>
      </c>
      <c r="AC1671">
        <v>-15.5717999999999</v>
      </c>
      <c r="AD1671">
        <v>-1.111055716191</v>
      </c>
      <c r="AE1671">
        <v>0.495099999999979</v>
      </c>
      <c r="AF1671">
        <v>0.42278977420339198</v>
      </c>
      <c r="AG1671">
        <v>-1.111055716191</v>
      </c>
      <c r="AH1671">
        <v>15.4950684342679</v>
      </c>
      <c r="AI1671">
        <v>94.099786789454001</v>
      </c>
      <c r="AJ1671">
        <v>88.4370471869006</v>
      </c>
      <c r="AK1671">
        <v>15.5406030056847</v>
      </c>
      <c r="AL1671">
        <v>67.921590864350705</v>
      </c>
      <c r="AM1671">
        <v>93.449536886001894</v>
      </c>
      <c r="AN1671">
        <v>1.00000002367047</v>
      </c>
    </row>
    <row r="1672" spans="1:40" x14ac:dyDescent="0.25">
      <c r="A1672" t="str">
        <f>"20190304164630971"</f>
        <v>20190304164630971</v>
      </c>
      <c r="B1672" t="str">
        <f>"1551689190959493"</f>
        <v>1551689190959493</v>
      </c>
      <c r="C1672" t="s">
        <v>40</v>
      </c>
      <c r="D1672">
        <v>3.8559760000000001</v>
      </c>
      <c r="E1672">
        <v>0.52347310000000002</v>
      </c>
      <c r="F1672" t="s">
        <v>49</v>
      </c>
      <c r="G1672">
        <v>-357.77539999999999</v>
      </c>
      <c r="H1672" s="1">
        <v>2.6008670000000001E-6</v>
      </c>
      <c r="I1672">
        <v>284.72590000000002</v>
      </c>
      <c r="J1672">
        <v>-341.8904</v>
      </c>
      <c r="K1672">
        <v>1.1110549999999999</v>
      </c>
      <c r="L1672">
        <v>285.11430000000001</v>
      </c>
      <c r="M1672">
        <v>-0.9998901</v>
      </c>
      <c r="N1672">
        <v>-1.4124869999999999E-2</v>
      </c>
      <c r="O1672">
        <v>4.5054580000000004E-3</v>
      </c>
      <c r="P1672">
        <v>-0.93055779999999999</v>
      </c>
      <c r="Q1672">
        <v>0.36252079999999998</v>
      </c>
      <c r="R1672">
        <v>-5.138732E-2</v>
      </c>
      <c r="S1672">
        <v>-3.3084720000000001</v>
      </c>
      <c r="T1672">
        <v>-0.22736110000000001</v>
      </c>
      <c r="U1672">
        <v>-7.9223630000000003E-2</v>
      </c>
      <c r="V1672">
        <v>-5.5565169999999997E-2</v>
      </c>
      <c r="W1672">
        <v>0.37562770000000001</v>
      </c>
      <c r="X1672">
        <v>0.92510340000000002</v>
      </c>
      <c r="Y1672">
        <v>-2.835588E-2</v>
      </c>
      <c r="Z1672">
        <v>-1.419259E-3</v>
      </c>
      <c r="AA1672">
        <v>0.99959690000000001</v>
      </c>
      <c r="AB1672">
        <v>30</v>
      </c>
      <c r="AC1672">
        <v>-15.8849999999999</v>
      </c>
      <c r="AD1672">
        <v>-1.1110523991329999</v>
      </c>
      <c r="AE1672">
        <v>-0.38839999999998998</v>
      </c>
      <c r="AF1672">
        <v>-0.45773445583137701</v>
      </c>
      <c r="AG1672">
        <v>-1.1110523991329999</v>
      </c>
      <c r="AH1672">
        <v>15.805811357444901</v>
      </c>
      <c r="AI1672">
        <v>94.019251169873897</v>
      </c>
      <c r="AJ1672">
        <v>91.658815468876995</v>
      </c>
      <c r="AK1672">
        <v>15.8514236247981</v>
      </c>
      <c r="AL1672">
        <v>67.936885672440695</v>
      </c>
      <c r="AM1672">
        <v>93.437269275808603</v>
      </c>
      <c r="AN1672">
        <v>0.99999997890798897</v>
      </c>
    </row>
    <row r="1673" spans="1:40" x14ac:dyDescent="0.25">
      <c r="A1673" t="str">
        <f>"20190304164630992"</f>
        <v>20190304164630992</v>
      </c>
      <c r="B1673" t="str">
        <f>"1551689190979989"</f>
        <v>1551689190979989</v>
      </c>
      <c r="C1673" t="s">
        <v>40</v>
      </c>
      <c r="D1673">
        <v>3.8603930000000002</v>
      </c>
      <c r="E1673">
        <v>0.52171420000000002</v>
      </c>
      <c r="F1673" t="s">
        <v>49</v>
      </c>
      <c r="G1673">
        <v>-358.16669999999999</v>
      </c>
      <c r="H1673" s="1">
        <v>2.809102E-6</v>
      </c>
      <c r="I1673">
        <v>284.59690000000001</v>
      </c>
      <c r="J1673">
        <v>-342.17169999999999</v>
      </c>
      <c r="K1673">
        <v>1.1110409999999999</v>
      </c>
      <c r="L1673">
        <v>285.11559999999997</v>
      </c>
      <c r="M1673">
        <v>-0.99989070000000002</v>
      </c>
      <c r="N1673">
        <v>-1.4087290000000001E-2</v>
      </c>
      <c r="O1673">
        <v>4.5057229999999997E-3</v>
      </c>
      <c r="P1673">
        <v>-0.93049190000000004</v>
      </c>
      <c r="Q1673">
        <v>0.36266549999999997</v>
      </c>
      <c r="R1673">
        <v>-5.1561120000000002E-2</v>
      </c>
      <c r="S1673">
        <v>-3.3059690000000002</v>
      </c>
      <c r="T1673">
        <v>-0.2256727</v>
      </c>
      <c r="U1673">
        <v>-0.1051025</v>
      </c>
      <c r="V1673">
        <v>-5.5738969999999999E-2</v>
      </c>
      <c r="W1673">
        <v>0.37573640000000003</v>
      </c>
      <c r="X1673">
        <v>0.9250488</v>
      </c>
      <c r="Y1673">
        <v>-3.6171160000000001E-2</v>
      </c>
      <c r="Z1673">
        <v>-1.7317669999999999E-3</v>
      </c>
      <c r="AA1673">
        <v>0.99934409999999896</v>
      </c>
      <c r="AB1673">
        <v>29</v>
      </c>
      <c r="AC1673">
        <v>-15.994999999999999</v>
      </c>
      <c r="AD1673">
        <v>-1.111038190898</v>
      </c>
      <c r="AE1673">
        <v>-0.51869999999996697</v>
      </c>
      <c r="AF1673">
        <v>-0.58793715379726097</v>
      </c>
      <c r="AG1673">
        <v>-1.111038190898</v>
      </c>
      <c r="AH1673">
        <v>15.9157886321641</v>
      </c>
      <c r="AI1673">
        <v>93.990472616857502</v>
      </c>
      <c r="AJ1673">
        <v>92.115572659076093</v>
      </c>
      <c r="AK1673">
        <v>15.9653500977014</v>
      </c>
      <c r="AL1673">
        <v>67.930165343650501</v>
      </c>
      <c r="AM1673">
        <v>93.448197693401099</v>
      </c>
      <c r="AN1673">
        <v>0.99999997872153001</v>
      </c>
    </row>
    <row r="1674" spans="1:40" x14ac:dyDescent="0.25">
      <c r="A1674" t="str">
        <f>"20190304164631015"</f>
        <v>20190304164631015</v>
      </c>
      <c r="B1674" t="str">
        <f>"1551689191010245"</f>
        <v>1551689191010245</v>
      </c>
      <c r="C1674" t="s">
        <v>40</v>
      </c>
      <c r="D1674">
        <v>3.8556870000000001</v>
      </c>
      <c r="E1674">
        <v>0.52040339999999996</v>
      </c>
      <c r="F1674" t="s">
        <v>49</v>
      </c>
      <c r="G1674">
        <v>-358.53269999999998</v>
      </c>
      <c r="H1674" s="1">
        <v>3.0039000000000002E-6</v>
      </c>
      <c r="I1674">
        <v>284.52350000000001</v>
      </c>
      <c r="J1674">
        <v>-342.47550000000001</v>
      </c>
      <c r="K1674">
        <v>1.111024</v>
      </c>
      <c r="L1674">
        <v>285.11689999999999</v>
      </c>
      <c r="M1674">
        <v>-0.99989150000000004</v>
      </c>
      <c r="N1674">
        <v>-1.403186E-2</v>
      </c>
      <c r="O1674">
        <v>4.5057539999999998E-3</v>
      </c>
      <c r="P1674">
        <v>-0.93060670000000001</v>
      </c>
      <c r="Q1674">
        <v>0.36240670000000003</v>
      </c>
      <c r="R1674">
        <v>-5.1309220000000003E-2</v>
      </c>
      <c r="S1674">
        <v>-3.304932</v>
      </c>
      <c r="T1674">
        <v>-0.2244304</v>
      </c>
      <c r="U1674">
        <v>-0.11959839999999999</v>
      </c>
      <c r="V1674">
        <v>-5.5487519999999999E-2</v>
      </c>
      <c r="W1674">
        <v>0.37542799999999998</v>
      </c>
      <c r="X1674">
        <v>0.92518909999999999</v>
      </c>
      <c r="Y1674">
        <v>-4.0547939999999998E-2</v>
      </c>
      <c r="Z1674">
        <v>-1.902092E-3</v>
      </c>
      <c r="AA1674">
        <v>0.99917579999999995</v>
      </c>
      <c r="AB1674">
        <v>29</v>
      </c>
      <c r="AC1674">
        <v>-16.057199999999899</v>
      </c>
      <c r="AD1674">
        <v>-1.1110209960999999</v>
      </c>
      <c r="AE1674">
        <v>-0.59339999999997395</v>
      </c>
      <c r="AF1674">
        <v>-0.66258312243593798</v>
      </c>
      <c r="AG1674">
        <v>-1.1110209960999999</v>
      </c>
      <c r="AH1674">
        <v>15.977973456599701</v>
      </c>
      <c r="AI1674">
        <v>93.974228399656894</v>
      </c>
      <c r="AJ1674">
        <v>92.374611399126806</v>
      </c>
      <c r="AK1674">
        <v>16.030253267734601</v>
      </c>
      <c r="AL1674">
        <v>67.949230742487899</v>
      </c>
      <c r="AM1674">
        <v>93.432160139228102</v>
      </c>
      <c r="AN1674">
        <v>0.99999995940927899</v>
      </c>
    </row>
    <row r="1675" spans="1:40" x14ac:dyDescent="0.25">
      <c r="A1675" t="str">
        <f>"20190304164631038"</f>
        <v>20190304164631038</v>
      </c>
      <c r="B1675" t="str">
        <f>"1551689191029765"</f>
        <v>1551689191029765</v>
      </c>
      <c r="C1675" t="s">
        <v>40</v>
      </c>
      <c r="D1675">
        <v>3.843699</v>
      </c>
      <c r="E1675">
        <v>0.52017690000000005</v>
      </c>
      <c r="F1675" t="s">
        <v>49</v>
      </c>
      <c r="G1675">
        <v>-358.58749999999998</v>
      </c>
      <c r="H1675" s="1">
        <v>3.0330649999999999E-6</v>
      </c>
      <c r="I1675">
        <v>284.4871</v>
      </c>
      <c r="J1675">
        <v>-342.78359999999998</v>
      </c>
      <c r="K1675">
        <v>1.111011</v>
      </c>
      <c r="L1675">
        <v>285.11829999999998</v>
      </c>
      <c r="M1675">
        <v>-0.99989240000000001</v>
      </c>
      <c r="N1675">
        <v>-1.396464E-2</v>
      </c>
      <c r="O1675">
        <v>4.505925E-3</v>
      </c>
      <c r="P1675">
        <v>-0.93064950000000002</v>
      </c>
      <c r="Q1675">
        <v>0.36230109999999999</v>
      </c>
      <c r="R1675">
        <v>-5.128154E-2</v>
      </c>
      <c r="S1675">
        <v>-3.3052980000000001</v>
      </c>
      <c r="T1675">
        <v>-0.2279205</v>
      </c>
      <c r="U1675">
        <v>-0.1292114</v>
      </c>
      <c r="V1675">
        <v>-5.5460259999999997E-2</v>
      </c>
      <c r="W1675">
        <v>0.37526090000000001</v>
      </c>
      <c r="X1675">
        <v>0.92525860000000004</v>
      </c>
      <c r="Y1675">
        <v>-4.3434189999999998E-2</v>
      </c>
      <c r="Z1675">
        <v>-2.0464049999999998E-3</v>
      </c>
      <c r="AA1675">
        <v>0.9990542</v>
      </c>
      <c r="AB1675">
        <v>29</v>
      </c>
      <c r="AC1675">
        <v>-15.803900000000001</v>
      </c>
      <c r="AD1675">
        <v>-1.1110079669349999</v>
      </c>
      <c r="AE1675">
        <v>-0.631199999999978</v>
      </c>
      <c r="AF1675">
        <v>-0.69896292140587202</v>
      </c>
      <c r="AG1675">
        <v>-1.1110079669349999</v>
      </c>
      <c r="AH1675">
        <v>15.7233137061001</v>
      </c>
      <c r="AI1675">
        <v>94.037822531976403</v>
      </c>
      <c r="AJ1675">
        <v>92.545346188733205</v>
      </c>
      <c r="AK1675">
        <v>15.778006267223001</v>
      </c>
      <c r="AL1675">
        <v>67.959561735991898</v>
      </c>
      <c r="AM1675">
        <v>93.430220947647797</v>
      </c>
      <c r="AN1675">
        <v>1.0000000301910099</v>
      </c>
    </row>
    <row r="1676" spans="1:40" x14ac:dyDescent="0.25">
      <c r="A1676" t="str">
        <f>"20190304164631060"</f>
        <v>20190304164631060</v>
      </c>
      <c r="B1676" t="str">
        <f>"1551689191050262"</f>
        <v>1551689191050262</v>
      </c>
      <c r="C1676" t="s">
        <v>40</v>
      </c>
      <c r="D1676">
        <v>3.8314149999999998</v>
      </c>
      <c r="E1676">
        <v>0.5198526</v>
      </c>
      <c r="F1676" t="s">
        <v>49</v>
      </c>
      <c r="G1676">
        <v>-358.9255</v>
      </c>
      <c r="H1676" s="1">
        <v>3.2129000000000002E-6</v>
      </c>
      <c r="I1676">
        <v>284.47629999999998</v>
      </c>
      <c r="J1676">
        <v>-343.06889999999999</v>
      </c>
      <c r="K1676">
        <v>1.1110040000000001</v>
      </c>
      <c r="L1676">
        <v>285.11970000000002</v>
      </c>
      <c r="M1676">
        <v>-0.99989320000000004</v>
      </c>
      <c r="N1676">
        <v>-1.39002E-2</v>
      </c>
      <c r="O1676">
        <v>4.5058370000000004E-3</v>
      </c>
      <c r="P1676">
        <v>-0.93066590000000005</v>
      </c>
      <c r="Q1676">
        <v>0.3622765</v>
      </c>
      <c r="R1676">
        <v>-5.1154539999999998E-2</v>
      </c>
      <c r="S1676">
        <v>-3.30484</v>
      </c>
      <c r="T1676">
        <v>-0.2274649</v>
      </c>
      <c r="U1676">
        <v>-0.13143920000000001</v>
      </c>
      <c r="V1676">
        <v>-5.5333439999999998E-2</v>
      </c>
      <c r="W1676">
        <v>0.37517689999999998</v>
      </c>
      <c r="X1676">
        <v>0.92530020000000002</v>
      </c>
      <c r="Y1676">
        <v>-4.411052E-2</v>
      </c>
      <c r="Z1676">
        <v>-2.0698629999999999E-3</v>
      </c>
      <c r="AA1676">
        <v>0.99902449999999998</v>
      </c>
      <c r="AB1676">
        <v>29</v>
      </c>
      <c r="AC1676">
        <v>-15.8566</v>
      </c>
      <c r="AD1676">
        <v>-1.1110007870999901</v>
      </c>
      <c r="AE1676">
        <v>-0.64340000000004205</v>
      </c>
      <c r="AF1676">
        <v>-0.71136117130821896</v>
      </c>
      <c r="AG1676">
        <v>-1.1110007870999901</v>
      </c>
      <c r="AH1676">
        <v>15.7762187381046</v>
      </c>
      <c r="AI1676">
        <v>94.024186338640902</v>
      </c>
      <c r="AJ1676">
        <v>92.581759574796806</v>
      </c>
      <c r="AK1676">
        <v>15.8312802747442</v>
      </c>
      <c r="AL1676">
        <v>67.964752733198495</v>
      </c>
      <c r="AM1676">
        <v>93.422242287536605</v>
      </c>
      <c r="AN1676">
        <v>0.99999997799794105</v>
      </c>
    </row>
    <row r="1677" spans="1:40" x14ac:dyDescent="0.25">
      <c r="A1677" t="str">
        <f>"20190304164631083"</f>
        <v>20190304164631083</v>
      </c>
      <c r="B1677" t="str">
        <f>"1551689191079541"</f>
        <v>1551689191079541</v>
      </c>
      <c r="C1677" t="s">
        <v>40</v>
      </c>
      <c r="D1677">
        <v>3.8230650000000002</v>
      </c>
      <c r="E1677">
        <v>0.5194976</v>
      </c>
      <c r="F1677" t="s">
        <v>49</v>
      </c>
      <c r="G1677">
        <v>-359.09739999999999</v>
      </c>
      <c r="H1677" s="1">
        <v>3.3043610000000001E-6</v>
      </c>
      <c r="I1677">
        <v>284.46719999999999</v>
      </c>
      <c r="J1677">
        <v>-343.36790000000002</v>
      </c>
      <c r="K1677">
        <v>1.110997</v>
      </c>
      <c r="L1677">
        <v>285.12099999999998</v>
      </c>
      <c r="M1677">
        <v>-0.99989410000000001</v>
      </c>
      <c r="N1677">
        <v>-1.382853E-2</v>
      </c>
      <c r="O1677">
        <v>4.5056779999999999E-3</v>
      </c>
      <c r="P1677">
        <v>-0.93071709999999996</v>
      </c>
      <c r="Q1677">
        <v>0.36216029999999999</v>
      </c>
      <c r="R1677">
        <v>-5.1044869999999999E-2</v>
      </c>
      <c r="S1677">
        <v>-3.3052980000000001</v>
      </c>
      <c r="T1677">
        <v>-0.22910510000000001</v>
      </c>
      <c r="U1677">
        <v>-0.134552</v>
      </c>
      <c r="V1677">
        <v>-5.5223550000000003E-2</v>
      </c>
      <c r="W1677">
        <v>0.37499529999999998</v>
      </c>
      <c r="X1677">
        <v>0.92538039999999999</v>
      </c>
      <c r="Y1677">
        <v>-4.5039839999999998E-2</v>
      </c>
      <c r="Z1677">
        <v>-2.120041E-3</v>
      </c>
      <c r="AA1677">
        <v>0.99898299999999995</v>
      </c>
      <c r="AB1677">
        <v>29</v>
      </c>
      <c r="AC1677">
        <v>-15.7294999999999</v>
      </c>
      <c r="AD1677">
        <v>-1.1109936956389901</v>
      </c>
      <c r="AE1677">
        <v>-0.65379999999998895</v>
      </c>
      <c r="AF1677">
        <v>-0.72108110838296402</v>
      </c>
      <c r="AG1677">
        <v>-1.1109936956389901</v>
      </c>
      <c r="AH1677">
        <v>15.6484622951115</v>
      </c>
      <c r="AI1677">
        <v>94.056723385702995</v>
      </c>
      <c r="AJ1677">
        <v>92.638323075675103</v>
      </c>
      <c r="AK1677">
        <v>15.7044145754671</v>
      </c>
      <c r="AL1677">
        <v>67.975977653613597</v>
      </c>
      <c r="AM1677">
        <v>93.415166648915999</v>
      </c>
      <c r="AN1677">
        <v>1.0000000001004199</v>
      </c>
    </row>
    <row r="1678" spans="1:40" x14ac:dyDescent="0.25">
      <c r="A1678" t="str">
        <f>"20190304164631103"</f>
        <v>20190304164631103</v>
      </c>
      <c r="B1678" t="str">
        <f>"1551689191100038"</f>
        <v>1551689191100038</v>
      </c>
      <c r="C1678" t="s">
        <v>40</v>
      </c>
      <c r="D1678">
        <v>3.8215720000000002</v>
      </c>
      <c r="E1678">
        <v>0.51930329999999902</v>
      </c>
      <c r="F1678" t="s">
        <v>49</v>
      </c>
      <c r="G1678">
        <v>-359.34699999999998</v>
      </c>
      <c r="H1678" s="1">
        <v>3.4372030000000002E-6</v>
      </c>
      <c r="I1678">
        <v>284.45339999999999</v>
      </c>
      <c r="J1678">
        <v>-343.6454</v>
      </c>
      <c r="K1678">
        <v>1.110994</v>
      </c>
      <c r="L1678">
        <v>285.1223</v>
      </c>
      <c r="M1678">
        <v>-0.99989530000000004</v>
      </c>
      <c r="N1678">
        <v>-1.375613E-2</v>
      </c>
      <c r="O1678">
        <v>4.5053430000000002E-3</v>
      </c>
      <c r="P1678">
        <v>-0.93059740000000002</v>
      </c>
      <c r="Q1678">
        <v>0.36242360000000001</v>
      </c>
      <c r="R1678">
        <v>-5.1361839999999999E-2</v>
      </c>
      <c r="S1678">
        <v>-3.3051759999999999</v>
      </c>
      <c r="T1678">
        <v>-0.22980239999999999</v>
      </c>
      <c r="U1678">
        <v>-0.13809199999999999</v>
      </c>
      <c r="V1678">
        <v>-5.5540079999999999E-2</v>
      </c>
      <c r="W1678">
        <v>0.3751893</v>
      </c>
      <c r="X1678">
        <v>0.92528279999999996</v>
      </c>
      <c r="Y1678">
        <v>-4.610537E-2</v>
      </c>
      <c r="Z1678">
        <v>-2.168756E-3</v>
      </c>
      <c r="AA1678">
        <v>0.99893419999999999</v>
      </c>
      <c r="AB1678">
        <v>29</v>
      </c>
      <c r="AC1678">
        <v>-15.7015999999999</v>
      </c>
      <c r="AD1678">
        <v>-1.110990562797</v>
      </c>
      <c r="AE1678">
        <v>-0.66890000000000704</v>
      </c>
      <c r="AF1678">
        <v>-0.73596307945915895</v>
      </c>
      <c r="AG1678">
        <v>-1.110990562797</v>
      </c>
      <c r="AH1678">
        <v>15.6203652469547</v>
      </c>
      <c r="AI1678">
        <v>94.063789513587906</v>
      </c>
      <c r="AJ1678">
        <v>92.697530872230701</v>
      </c>
      <c r="AK1678">
        <v>15.6771091765421</v>
      </c>
      <c r="AL1678">
        <v>67.963986453819004</v>
      </c>
      <c r="AM1678">
        <v>93.435056378360002</v>
      </c>
      <c r="AN1678">
        <v>0.99999998564836801</v>
      </c>
    </row>
    <row r="1679" spans="1:40" x14ac:dyDescent="0.25">
      <c r="A1679" t="str">
        <f>"20190304164631127"</f>
        <v>20190304164631127</v>
      </c>
      <c r="B1679" t="str">
        <f>"1551689191119558"</f>
        <v>1551689191119558</v>
      </c>
      <c r="C1679" t="s">
        <v>40</v>
      </c>
      <c r="D1679">
        <v>3.8237239999999999</v>
      </c>
      <c r="E1679">
        <v>0.51912619999999998</v>
      </c>
      <c r="F1679" t="s">
        <v>49</v>
      </c>
      <c r="G1679">
        <v>-359.7011</v>
      </c>
      <c r="H1679" s="1">
        <v>3.625681E-6</v>
      </c>
      <c r="I1679">
        <v>284.43869999999998</v>
      </c>
      <c r="J1679">
        <v>-343.94580000000002</v>
      </c>
      <c r="K1679">
        <v>1.1109789999999999</v>
      </c>
      <c r="L1679">
        <v>285.12360000000001</v>
      </c>
      <c r="M1679">
        <v>-0.99989649999999997</v>
      </c>
      <c r="N1679">
        <v>-1.367121E-2</v>
      </c>
      <c r="O1679">
        <v>4.5050910000000001E-3</v>
      </c>
      <c r="P1679">
        <v>-0.93032009999999998</v>
      </c>
      <c r="Q1679">
        <v>0.36306909999999998</v>
      </c>
      <c r="R1679">
        <v>-5.1823059999999997E-2</v>
      </c>
      <c r="S1679">
        <v>-3.3050229999999998</v>
      </c>
      <c r="T1679">
        <v>-0.22869429999999999</v>
      </c>
      <c r="U1679">
        <v>-0.1407166</v>
      </c>
      <c r="V1679">
        <v>-5.5999699999999902E-2</v>
      </c>
      <c r="W1679">
        <v>0.3757528</v>
      </c>
      <c r="X1679">
        <v>0.92502640000000003</v>
      </c>
      <c r="Y1679">
        <v>-4.6897969999999997E-2</v>
      </c>
      <c r="Z1679">
        <v>-2.1908240000000001E-3</v>
      </c>
      <c r="AA1679">
        <v>0.99889729999999999</v>
      </c>
      <c r="AB1679">
        <v>29</v>
      </c>
      <c r="AC1679">
        <v>-15.755299999999901</v>
      </c>
      <c r="AD1679">
        <v>-1.1109753743189901</v>
      </c>
      <c r="AE1679">
        <v>-0.68490000000002704</v>
      </c>
      <c r="AF1679">
        <v>-0.75214590973211803</v>
      </c>
      <c r="AG1679">
        <v>-1.1109753743189901</v>
      </c>
      <c r="AH1679">
        <v>15.674264443245599</v>
      </c>
      <c r="AI1679">
        <v>94.049640048025694</v>
      </c>
      <c r="AJ1679">
        <v>92.747290275503005</v>
      </c>
      <c r="AK1679">
        <v>15.731578292996</v>
      </c>
      <c r="AL1679">
        <v>67.929151583963403</v>
      </c>
      <c r="AM1679">
        <v>93.464371810540001</v>
      </c>
      <c r="AN1679">
        <v>0.99999998690244396</v>
      </c>
    </row>
    <row r="1680" spans="1:40" x14ac:dyDescent="0.25">
      <c r="A1680" t="str">
        <f>"20190304164631149"</f>
        <v>20190304164631149</v>
      </c>
      <c r="B1680" t="str">
        <f>"1551689191140054"</f>
        <v>1551689191140054</v>
      </c>
      <c r="C1680" t="s">
        <v>40</v>
      </c>
      <c r="D1680">
        <v>3.835941</v>
      </c>
      <c r="E1680">
        <v>0.51903250000000001</v>
      </c>
      <c r="F1680" t="s">
        <v>49</v>
      </c>
      <c r="G1680">
        <v>-360.1884</v>
      </c>
      <c r="H1680" s="1">
        <v>-1.4365529999999999E-6</v>
      </c>
      <c r="I1680">
        <v>284.42309999999998</v>
      </c>
      <c r="J1680">
        <v>-344.23899999999998</v>
      </c>
      <c r="K1680">
        <v>1.1109709999999999</v>
      </c>
      <c r="L1680">
        <v>285.125</v>
      </c>
      <c r="M1680">
        <v>-0.9998977</v>
      </c>
      <c r="N1680">
        <v>-1.358671E-2</v>
      </c>
      <c r="O1680">
        <v>4.5048340000000001E-3</v>
      </c>
      <c r="P1680">
        <v>-0.93039450000000001</v>
      </c>
      <c r="Q1680">
        <v>0.36287449999999999</v>
      </c>
      <c r="R1680">
        <v>-5.1852460000000003E-2</v>
      </c>
      <c r="S1680">
        <v>-3.3049620000000002</v>
      </c>
      <c r="T1680">
        <v>-0.2260576</v>
      </c>
      <c r="U1680">
        <v>-0.1425476</v>
      </c>
      <c r="V1680">
        <v>-5.6029299999999997E-2</v>
      </c>
      <c r="W1680">
        <v>0.37548049999999999</v>
      </c>
      <c r="X1680">
        <v>0.92513520000000005</v>
      </c>
      <c r="Y1680">
        <v>-4.7452469999999997E-2</v>
      </c>
      <c r="Z1680">
        <v>-2.1897050000000001E-3</v>
      </c>
      <c r="AA1680">
        <v>0.99887110000000001</v>
      </c>
      <c r="AB1680">
        <v>29</v>
      </c>
      <c r="AC1680">
        <v>-15.949399999999899</v>
      </c>
      <c r="AD1680">
        <v>-1.1109724365529901</v>
      </c>
      <c r="AE1680">
        <v>-0.70190000000002295</v>
      </c>
      <c r="AF1680">
        <v>-0.77002000753955202</v>
      </c>
      <c r="AG1680">
        <v>-1.1109724365529901</v>
      </c>
      <c r="AH1680">
        <v>15.8692277570584</v>
      </c>
      <c r="AI1680">
        <v>93.999936631678096</v>
      </c>
      <c r="AJ1680">
        <v>92.7779751225913</v>
      </c>
      <c r="AK1680">
        <v>15.926693949849801</v>
      </c>
      <c r="AL1680">
        <v>67.945986529920305</v>
      </c>
      <c r="AM1680">
        <v>93.465791878262905</v>
      </c>
      <c r="AN1680">
        <v>1.00000001330889</v>
      </c>
    </row>
    <row r="1681" spans="1:40" x14ac:dyDescent="0.25">
      <c r="A1681" t="str">
        <f>"20190304164631171"</f>
        <v>20190304164631171</v>
      </c>
      <c r="B1681" t="str">
        <f>"1551689191159574"</f>
        <v>1551689191159574</v>
      </c>
      <c r="C1681" t="s">
        <v>40</v>
      </c>
      <c r="D1681">
        <v>3.8391489999999999</v>
      </c>
      <c r="E1681">
        <v>0.51906629999999998</v>
      </c>
      <c r="F1681" t="s">
        <v>49</v>
      </c>
      <c r="G1681">
        <v>-360.44130000000001</v>
      </c>
      <c r="H1681" s="1">
        <v>-1.301961E-6</v>
      </c>
      <c r="I1681">
        <v>284.41730000000001</v>
      </c>
      <c r="J1681">
        <v>-344.5215</v>
      </c>
      <c r="K1681">
        <v>1.110965</v>
      </c>
      <c r="L1681">
        <v>285.12630000000001</v>
      </c>
      <c r="M1681">
        <v>-0.99989879999999998</v>
      </c>
      <c r="N1681">
        <v>-1.35055E-2</v>
      </c>
      <c r="O1681">
        <v>4.5045500000000004E-3</v>
      </c>
      <c r="P1681">
        <v>-0.93030769999999996</v>
      </c>
      <c r="Q1681">
        <v>0.36321100000000001</v>
      </c>
      <c r="R1681">
        <v>-5.104595E-2</v>
      </c>
      <c r="S1681">
        <v>-3.3048099999999998</v>
      </c>
      <c r="T1681">
        <v>-0.2266078</v>
      </c>
      <c r="U1681">
        <v>-0.14434810000000001</v>
      </c>
      <c r="V1681">
        <v>-5.5222319999999998E-2</v>
      </c>
      <c r="W1681">
        <v>0.3757412</v>
      </c>
      <c r="X1681">
        <v>0.92507790000000001</v>
      </c>
      <c r="Y1681">
        <v>-4.7995280000000001E-2</v>
      </c>
      <c r="Z1681">
        <v>-2.2151290000000001E-3</v>
      </c>
      <c r="AA1681">
        <v>0.99884510000000004</v>
      </c>
      <c r="AB1681">
        <v>29</v>
      </c>
      <c r="AC1681">
        <v>-15.9198</v>
      </c>
      <c r="AD1681">
        <v>-1.1109663019610001</v>
      </c>
      <c r="AE1681">
        <v>-0.70900000000000296</v>
      </c>
      <c r="AF1681">
        <v>-0.77693470944485299</v>
      </c>
      <c r="AG1681">
        <v>-1.1109663019610001</v>
      </c>
      <c r="AH1681">
        <v>15.839459393207999</v>
      </c>
      <c r="AI1681">
        <v>94.007304910381706</v>
      </c>
      <c r="AJ1681">
        <v>92.808140710932093</v>
      </c>
      <c r="AK1681">
        <v>15.897369201723899</v>
      </c>
      <c r="AL1681">
        <v>67.929869944922203</v>
      </c>
      <c r="AM1681">
        <v>93.416204851150098</v>
      </c>
      <c r="AN1681">
        <v>1.0000000375360101</v>
      </c>
    </row>
    <row r="1682" spans="1:40" x14ac:dyDescent="0.25">
      <c r="A1682" t="str">
        <f>"20190304164631193"</f>
        <v>20190304164631193</v>
      </c>
      <c r="B1682" t="str">
        <f>"1551689191189829"</f>
        <v>1551689191189829</v>
      </c>
      <c r="C1682" t="s">
        <v>40</v>
      </c>
      <c r="D1682">
        <v>3.8406259999999999</v>
      </c>
      <c r="E1682">
        <v>0.51891880000000001</v>
      </c>
      <c r="F1682" t="s">
        <v>49</v>
      </c>
      <c r="G1682">
        <v>-360.84199999999998</v>
      </c>
      <c r="H1682" s="1">
        <v>-1.088704E-6</v>
      </c>
      <c r="I1682">
        <v>284.41879999999998</v>
      </c>
      <c r="J1682">
        <v>-344.81199999999899</v>
      </c>
      <c r="K1682">
        <v>1.1109469999999999</v>
      </c>
      <c r="L1682">
        <v>285.12759999999997</v>
      </c>
      <c r="M1682">
        <v>-0.99989980000000001</v>
      </c>
      <c r="N1682">
        <v>-1.341908E-2</v>
      </c>
      <c r="O1682">
        <v>4.5045959999999996E-3</v>
      </c>
      <c r="P1682">
        <v>-0.93040540000000005</v>
      </c>
      <c r="Q1682">
        <v>0.36296230000000002</v>
      </c>
      <c r="R1682">
        <v>-5.102988E-2</v>
      </c>
      <c r="S1682">
        <v>-3.3047789999999999</v>
      </c>
      <c r="T1682">
        <v>-0.22496179999999999</v>
      </c>
      <c r="U1682">
        <v>-0.1432495</v>
      </c>
      <c r="V1682">
        <v>-5.5206409999999997E-2</v>
      </c>
      <c r="W1682">
        <v>0.37541380000000002</v>
      </c>
      <c r="X1682">
        <v>0.92521169999999997</v>
      </c>
      <c r="Y1682">
        <v>-4.7667229999999998E-2</v>
      </c>
      <c r="Z1682">
        <v>-2.185972E-3</v>
      </c>
      <c r="AA1682">
        <v>0.99886090000000005</v>
      </c>
      <c r="AB1682">
        <v>29</v>
      </c>
      <c r="AC1682">
        <v>-16.03</v>
      </c>
      <c r="AD1682">
        <v>-1.110948088704</v>
      </c>
      <c r="AE1682">
        <v>-0.70879999999999599</v>
      </c>
      <c r="AF1682">
        <v>-0.77728191656221302</v>
      </c>
      <c r="AG1682">
        <v>-1.110948088704</v>
      </c>
      <c r="AH1682">
        <v>15.950183555998899</v>
      </c>
      <c r="AI1682">
        <v>93.979573033282705</v>
      </c>
      <c r="AJ1682">
        <v>92.789922104726799</v>
      </c>
      <c r="AK1682">
        <v>16.007708402631099</v>
      </c>
      <c r="AL1682">
        <v>67.950109013718802</v>
      </c>
      <c r="AM1682">
        <v>93.414730219144403</v>
      </c>
      <c r="AN1682">
        <v>0.99999997937620799</v>
      </c>
    </row>
    <row r="1683" spans="1:40" x14ac:dyDescent="0.25">
      <c r="A1683" t="str">
        <f>"20190304164631217"</f>
        <v>20190304164631217</v>
      </c>
      <c r="B1683" t="str">
        <f>"1551689191210326"</f>
        <v>1551689191210326</v>
      </c>
      <c r="C1683" t="s">
        <v>40</v>
      </c>
      <c r="D1683">
        <v>3.824392</v>
      </c>
      <c r="E1683">
        <v>0.5188528</v>
      </c>
      <c r="F1683" t="s">
        <v>49</v>
      </c>
      <c r="G1683">
        <v>-361.09809999999999</v>
      </c>
      <c r="H1683" s="1">
        <v>-9.5245579999999995E-7</v>
      </c>
      <c r="I1683">
        <v>284.41129999999998</v>
      </c>
      <c r="J1683">
        <v>-345.11700000000002</v>
      </c>
      <c r="K1683">
        <v>1.1109309999999999</v>
      </c>
      <c r="L1683">
        <v>285.12900000000002</v>
      </c>
      <c r="M1683">
        <v>-0.99990120000000005</v>
      </c>
      <c r="N1683">
        <v>-1.331794E-2</v>
      </c>
      <c r="O1683">
        <v>4.5046169999999998E-3</v>
      </c>
      <c r="P1683">
        <v>-0.93033980000000005</v>
      </c>
      <c r="Q1683">
        <v>0.36313610000000002</v>
      </c>
      <c r="R1683">
        <v>-5.0990889999999997E-2</v>
      </c>
      <c r="S1683">
        <v>-3.3043520000000002</v>
      </c>
      <c r="T1683">
        <v>-0.22540550000000001</v>
      </c>
      <c r="U1683">
        <v>-0.1453247</v>
      </c>
      <c r="V1683">
        <v>-5.5166989999999999E-2</v>
      </c>
      <c r="W1683">
        <v>0.37549290000000002</v>
      </c>
      <c r="X1683">
        <v>0.92518199999999995</v>
      </c>
      <c r="Y1683">
        <v>-4.8296789999999999E-2</v>
      </c>
      <c r="Z1683">
        <v>-2.2136690000000001E-3</v>
      </c>
      <c r="AA1683">
        <v>0.99883060000000001</v>
      </c>
      <c r="AB1683">
        <v>29</v>
      </c>
      <c r="AC1683">
        <v>-15.9811</v>
      </c>
      <c r="AD1683">
        <v>-1.1109319524557999</v>
      </c>
      <c r="AE1683">
        <v>-0.71770000000003598</v>
      </c>
      <c r="AF1683">
        <v>-0.78589771767628902</v>
      </c>
      <c r="AG1683">
        <v>-1.1109319524557999</v>
      </c>
      <c r="AH1683">
        <v>15.901019385008301</v>
      </c>
      <c r="AI1683">
        <v>93.991645013195793</v>
      </c>
      <c r="AJ1683">
        <v>92.829504831711404</v>
      </c>
      <c r="AK1683">
        <v>15.959142286101899</v>
      </c>
      <c r="AL1683">
        <v>67.945220218030599</v>
      </c>
      <c r="AM1683">
        <v>93.412406985044001</v>
      </c>
      <c r="AN1683">
        <v>1.00000002393003</v>
      </c>
    </row>
    <row r="1684" spans="1:40" x14ac:dyDescent="0.25">
      <c r="A1684" t="str">
        <f>"20190304164631239"</f>
        <v>20190304164631239</v>
      </c>
      <c r="B1684" t="str">
        <f>"1551689191229845"</f>
        <v>1551689191229845</v>
      </c>
      <c r="C1684" t="s">
        <v>40</v>
      </c>
      <c r="D1684">
        <v>3.812573</v>
      </c>
      <c r="E1684">
        <v>0.51880479999999995</v>
      </c>
      <c r="F1684" t="s">
        <v>49</v>
      </c>
      <c r="G1684">
        <v>-361.48840000000001</v>
      </c>
      <c r="H1684" s="1">
        <v>-7.4474809999999898E-7</v>
      </c>
      <c r="I1684">
        <v>284.4171</v>
      </c>
      <c r="J1684">
        <v>-345.41210000000001</v>
      </c>
      <c r="K1684">
        <v>1.110916</v>
      </c>
      <c r="L1684">
        <v>285.13029999999998</v>
      </c>
      <c r="M1684">
        <v>-0.99990259999999997</v>
      </c>
      <c r="N1684">
        <v>-1.3213020000000001E-2</v>
      </c>
      <c r="O1684">
        <v>4.5044799999999999E-3</v>
      </c>
      <c r="P1684">
        <v>-0.93009730000000002</v>
      </c>
      <c r="Q1684">
        <v>0.36370609999999998</v>
      </c>
      <c r="R1684">
        <v>-5.1350739999999999E-2</v>
      </c>
      <c r="S1684">
        <v>-3.3043209999999998</v>
      </c>
      <c r="T1684">
        <v>-0.2242256</v>
      </c>
      <c r="U1684">
        <v>-0.14367679999999999</v>
      </c>
      <c r="V1684">
        <v>-5.5525699999999997E-2</v>
      </c>
      <c r="W1684">
        <v>0.37596259999999998</v>
      </c>
      <c r="X1684">
        <v>0.92496970000000001</v>
      </c>
      <c r="Y1684">
        <v>-4.780272E-2</v>
      </c>
      <c r="Z1684">
        <v>-2.181428E-3</v>
      </c>
      <c r="AA1684">
        <v>0.99885440000000003</v>
      </c>
      <c r="AB1684">
        <v>29</v>
      </c>
      <c r="AC1684">
        <v>-16.0763</v>
      </c>
      <c r="AD1684">
        <v>-1.1109167447481001</v>
      </c>
      <c r="AE1684">
        <v>-0.71319999999997197</v>
      </c>
      <c r="AF1684">
        <v>-0.78188812214881998</v>
      </c>
      <c r="AG1684">
        <v>-1.1109167447481001</v>
      </c>
      <c r="AH1684">
        <v>15.9966867941069</v>
      </c>
      <c r="AI1684">
        <v>93.967901442170998</v>
      </c>
      <c r="AJ1684">
        <v>92.798283492215802</v>
      </c>
      <c r="AK1684">
        <v>16.054266518220999</v>
      </c>
      <c r="AL1684">
        <v>67.916179247427607</v>
      </c>
      <c r="AM1684">
        <v>93.435328803849501</v>
      </c>
      <c r="AN1684">
        <v>0.999999962938669</v>
      </c>
    </row>
    <row r="1685" spans="1:40" x14ac:dyDescent="0.25">
      <c r="A1685" t="str">
        <f>"20190304164631262"</f>
        <v>20190304164631262</v>
      </c>
      <c r="B1685" t="str">
        <f>"1551689191249367"</f>
        <v>1551689191249367</v>
      </c>
      <c r="C1685" t="s">
        <v>40</v>
      </c>
      <c r="D1685">
        <v>3.8071830000000002</v>
      </c>
      <c r="E1685">
        <v>0.51873089999999999</v>
      </c>
      <c r="F1685" t="s">
        <v>49</v>
      </c>
      <c r="G1685">
        <v>-361.97609999999997</v>
      </c>
      <c r="H1685" s="1">
        <v>-4.8520499999999996E-7</v>
      </c>
      <c r="I1685">
        <v>284.40769999999998</v>
      </c>
      <c r="J1685">
        <v>-345.70249999999999</v>
      </c>
      <c r="K1685">
        <v>1.1109100000000001</v>
      </c>
      <c r="L1685">
        <v>285.13159999999999</v>
      </c>
      <c r="M1685">
        <v>-0.99990400000000002</v>
      </c>
      <c r="N1685">
        <v>-1.311178E-2</v>
      </c>
      <c r="O1685">
        <v>4.5043139999999997E-3</v>
      </c>
      <c r="P1685">
        <v>-0.93013500000000005</v>
      </c>
      <c r="Q1685">
        <v>0.3636181</v>
      </c>
      <c r="R1685">
        <v>-5.1292789999999998E-2</v>
      </c>
      <c r="S1685">
        <v>-3.304138</v>
      </c>
      <c r="T1685">
        <v>-0.22160199999999999</v>
      </c>
      <c r="U1685">
        <v>-0.1441345</v>
      </c>
      <c r="V1685">
        <v>-5.5468339999999998E-2</v>
      </c>
      <c r="W1685">
        <v>0.3757819</v>
      </c>
      <c r="X1685">
        <v>0.92504660000000005</v>
      </c>
      <c r="Y1685">
        <v>-4.7945809999999998E-2</v>
      </c>
      <c r="Z1685">
        <v>-2.1628020000000001E-3</v>
      </c>
      <c r="AA1685">
        <v>0.99884759999999995</v>
      </c>
      <c r="AB1685">
        <v>29</v>
      </c>
      <c r="AC1685">
        <v>-16.273599999999899</v>
      </c>
      <c r="AD1685">
        <v>-1.110910485205</v>
      </c>
      <c r="AE1685">
        <v>-0.72390000000001398</v>
      </c>
      <c r="AF1685">
        <v>-0.79350985781457295</v>
      </c>
      <c r="AG1685">
        <v>-1.110910485205</v>
      </c>
      <c r="AH1685">
        <v>16.194854091758799</v>
      </c>
      <c r="AI1685">
        <v>93.919455919532695</v>
      </c>
      <c r="AJ1685">
        <v>92.805115404759803</v>
      </c>
      <c r="AK1685">
        <v>16.252294578118601</v>
      </c>
      <c r="AL1685">
        <v>67.927352556863994</v>
      </c>
      <c r="AM1685">
        <v>93.431503868291202</v>
      </c>
      <c r="AN1685">
        <v>0.999999992640763</v>
      </c>
    </row>
    <row r="1686" spans="1:40" x14ac:dyDescent="0.25">
      <c r="A1686" t="str">
        <f>"20190304164631284"</f>
        <v>20190304164631284</v>
      </c>
      <c r="B1686" t="str">
        <f>"1551689191279622"</f>
        <v>1551689191279622</v>
      </c>
      <c r="C1686" t="s">
        <v>40</v>
      </c>
      <c r="D1686">
        <v>3.7885870000000001</v>
      </c>
      <c r="E1686">
        <v>0.51867750000000001</v>
      </c>
      <c r="F1686" t="s">
        <v>49</v>
      </c>
      <c r="G1686">
        <v>-362.28149999999999</v>
      </c>
      <c r="H1686" s="1">
        <v>-3.2269609999999999E-7</v>
      </c>
      <c r="I1686">
        <v>284.40679999999998</v>
      </c>
      <c r="J1686">
        <v>-345.99639999999999</v>
      </c>
      <c r="K1686">
        <v>1.110897</v>
      </c>
      <c r="L1686">
        <v>285.13299999999998</v>
      </c>
      <c r="M1686">
        <v>-0.9999053</v>
      </c>
      <c r="N1686">
        <v>-1.300754E-2</v>
      </c>
      <c r="O1686">
        <v>4.5041609999999996E-3</v>
      </c>
      <c r="P1686">
        <v>-0.93006610000000001</v>
      </c>
      <c r="Q1686">
        <v>0.36377949999999998</v>
      </c>
      <c r="R1686">
        <v>-5.139668E-2</v>
      </c>
      <c r="S1686">
        <v>-3.303925</v>
      </c>
      <c r="T1686">
        <v>-0.221387</v>
      </c>
      <c r="U1686">
        <v>-0.1444397</v>
      </c>
      <c r="V1686">
        <v>-5.5571330000000002E-2</v>
      </c>
      <c r="W1686">
        <v>0.37584600000000001</v>
      </c>
      <c r="X1686">
        <v>0.92501440000000001</v>
      </c>
      <c r="Y1686">
        <v>-4.8040670000000001E-2</v>
      </c>
      <c r="Z1686">
        <v>-2.1628229999999999E-3</v>
      </c>
      <c r="AA1686">
        <v>0.99884300000000004</v>
      </c>
      <c r="AB1686">
        <v>29</v>
      </c>
      <c r="AC1686">
        <v>-16.2851</v>
      </c>
      <c r="AD1686">
        <v>-1.1108973226961001</v>
      </c>
      <c r="AE1686">
        <v>-0.72620000000000495</v>
      </c>
      <c r="AF1686">
        <v>-0.79585350139889899</v>
      </c>
      <c r="AG1686">
        <v>-1.1108973226961001</v>
      </c>
      <c r="AH1686">
        <v>16.2063989811471</v>
      </c>
      <c r="AI1686">
        <v>93.916605302174304</v>
      </c>
      <c r="AJ1686">
        <v>92.811386119982402</v>
      </c>
      <c r="AK1686">
        <v>16.263912308955302</v>
      </c>
      <c r="AL1686">
        <v>67.923389880804805</v>
      </c>
      <c r="AM1686">
        <v>93.437979379666999</v>
      </c>
      <c r="AN1686">
        <v>1.00000001432066</v>
      </c>
    </row>
    <row r="1687" spans="1:40" x14ac:dyDescent="0.25">
      <c r="A1687" t="str">
        <f>"20190304164631306"</f>
        <v>20190304164631306</v>
      </c>
      <c r="B1687" t="str">
        <f>"1551689191300118"</f>
        <v>1551689191300118</v>
      </c>
      <c r="C1687" t="s">
        <v>40</v>
      </c>
      <c r="D1687">
        <v>3.8042029999999998</v>
      </c>
      <c r="E1687">
        <v>0.51072079999999997</v>
      </c>
      <c r="F1687" t="s">
        <v>49</v>
      </c>
      <c r="G1687">
        <v>-362.64179999999999</v>
      </c>
      <c r="H1687" s="1">
        <v>-1.309469E-7</v>
      </c>
      <c r="I1687">
        <v>284.39890000000003</v>
      </c>
      <c r="J1687">
        <v>-346.29289999999997</v>
      </c>
      <c r="K1687">
        <v>1.1108819999999999</v>
      </c>
      <c r="L1687">
        <v>285.1343</v>
      </c>
      <c r="M1687">
        <v>-0.99990679999999998</v>
      </c>
      <c r="N1687">
        <v>-1.289476E-2</v>
      </c>
      <c r="O1687">
        <v>4.5039989999999998E-3</v>
      </c>
      <c r="P1687">
        <v>-0.93008800000000003</v>
      </c>
      <c r="Q1687">
        <v>0.3636684</v>
      </c>
      <c r="R1687">
        <v>-5.178601E-2</v>
      </c>
      <c r="S1687">
        <v>-3.3037719999999999</v>
      </c>
      <c r="T1687">
        <v>-0.2204902</v>
      </c>
      <c r="U1687">
        <v>-0.14569089999999901</v>
      </c>
      <c r="V1687">
        <v>-5.596077E-2</v>
      </c>
      <c r="W1687">
        <v>0.37563079999999999</v>
      </c>
      <c r="X1687">
        <v>0.92507830000000002</v>
      </c>
      <c r="Y1687">
        <v>-4.842022E-2</v>
      </c>
      <c r="Z1687">
        <v>-2.168063E-3</v>
      </c>
      <c r="AA1687">
        <v>0.99882470000000001</v>
      </c>
      <c r="AB1687">
        <v>29</v>
      </c>
      <c r="AC1687">
        <v>-16.3489</v>
      </c>
      <c r="AD1687">
        <v>-1.1108821309468999</v>
      </c>
      <c r="AE1687">
        <v>-0.73539999999996997</v>
      </c>
      <c r="AF1687">
        <v>-0.80532342335013296</v>
      </c>
      <c r="AG1687">
        <v>-1.1108821309468999</v>
      </c>
      <c r="AH1687">
        <v>16.270452806727899</v>
      </c>
      <c r="AI1687">
        <v>93.901106507830207</v>
      </c>
      <c r="AJ1687">
        <v>92.833603277546999</v>
      </c>
      <c r="AK1687">
        <v>16.328203803879099</v>
      </c>
      <c r="AL1687">
        <v>67.936694125410995</v>
      </c>
      <c r="AM1687">
        <v>93.461775544419396</v>
      </c>
      <c r="AN1687">
        <v>0.999999983409261</v>
      </c>
    </row>
    <row r="1688" spans="1:40" x14ac:dyDescent="0.25">
      <c r="A1688" t="str">
        <f>"20190304164631328"</f>
        <v>20190304164631328</v>
      </c>
      <c r="B1688" t="str">
        <f>"1551689191319638"</f>
        <v>1551689191319638</v>
      </c>
      <c r="C1688" t="s">
        <v>40</v>
      </c>
      <c r="D1688">
        <v>3.7861359999999999</v>
      </c>
      <c r="E1688">
        <v>0.50978919999999905</v>
      </c>
      <c r="F1688" t="s">
        <v>49</v>
      </c>
      <c r="G1688">
        <v>-366.49599999999998</v>
      </c>
      <c r="H1688" s="1">
        <v>1.9200420000000001E-6</v>
      </c>
      <c r="I1688">
        <v>283.86630000000002</v>
      </c>
      <c r="J1688">
        <v>-346.58409999999998</v>
      </c>
      <c r="K1688">
        <v>1.11087</v>
      </c>
      <c r="L1688">
        <v>285.13560000000001</v>
      </c>
      <c r="M1688">
        <v>-0.99990829999999997</v>
      </c>
      <c r="N1688">
        <v>-1.277913E-2</v>
      </c>
      <c r="O1688">
        <v>4.503908E-3</v>
      </c>
      <c r="P1688">
        <v>-0.93018920000000005</v>
      </c>
      <c r="Q1688">
        <v>0.36338779999999998</v>
      </c>
      <c r="R1688">
        <v>-5.1941090000000002E-2</v>
      </c>
      <c r="S1688">
        <v>-3.2846069999999998</v>
      </c>
      <c r="T1688">
        <v>-0.18060680000000001</v>
      </c>
      <c r="U1688">
        <v>-0.2061462</v>
      </c>
      <c r="V1688">
        <v>-5.6115829999999998E-2</v>
      </c>
      <c r="W1688">
        <v>0.37524410000000002</v>
      </c>
      <c r="X1688">
        <v>0.92522590000000005</v>
      </c>
      <c r="Y1688">
        <v>-6.7004519999999998E-2</v>
      </c>
      <c r="Z1688">
        <v>-2.457683E-3</v>
      </c>
      <c r="AA1688">
        <v>0.99774960000000001</v>
      </c>
      <c r="AB1688">
        <v>29</v>
      </c>
      <c r="AC1688">
        <v>-19.911899999999999</v>
      </c>
      <c r="AD1688">
        <v>-1.110868079958</v>
      </c>
      <c r="AE1688">
        <v>-1.2692999999999801</v>
      </c>
      <c r="AF1688">
        <v>-1.35477622340778</v>
      </c>
      <c r="AG1688">
        <v>-1.110868079958</v>
      </c>
      <c r="AH1688">
        <v>19.844466188280599</v>
      </c>
      <c r="AI1688">
        <v>93.196576159927105</v>
      </c>
      <c r="AJ1688">
        <v>93.905507021283995</v>
      </c>
      <c r="AK1688">
        <v>19.921653666410101</v>
      </c>
      <c r="AL1688">
        <v>67.960600501351905</v>
      </c>
      <c r="AM1688">
        <v>93.470791824624897</v>
      </c>
      <c r="AN1688">
        <v>1.0000000434961001</v>
      </c>
    </row>
    <row r="1689" spans="1:40" x14ac:dyDescent="0.25">
      <c r="A1689" t="str">
        <f>"20190304164631349"</f>
        <v>20190304164631349</v>
      </c>
      <c r="B1689" t="str">
        <f>"1551689191340134"</f>
        <v>1551689191340134</v>
      </c>
      <c r="C1689" t="s">
        <v>40</v>
      </c>
      <c r="D1689">
        <v>3.77827</v>
      </c>
      <c r="E1689">
        <v>0.50919619999999999</v>
      </c>
      <c r="F1689" t="s">
        <v>49</v>
      </c>
      <c r="G1689">
        <v>-367.62380000000002</v>
      </c>
      <c r="H1689" s="1">
        <v>2.5202320000000001E-6</v>
      </c>
      <c r="I1689">
        <v>283.7647</v>
      </c>
      <c r="J1689">
        <v>-346.85570000000001</v>
      </c>
      <c r="K1689">
        <v>1.1108480000000001</v>
      </c>
      <c r="L1689">
        <v>285.13690000000003</v>
      </c>
      <c r="M1689">
        <v>-0.99990970000000001</v>
      </c>
      <c r="N1689">
        <v>-1.2669730000000001E-2</v>
      </c>
      <c r="O1689">
        <v>4.5037699999999998E-3</v>
      </c>
      <c r="P1689">
        <v>-0.93022669999999996</v>
      </c>
      <c r="Q1689">
        <v>0.36331829999999998</v>
      </c>
      <c r="R1689">
        <v>-5.1749530000000002E-2</v>
      </c>
      <c r="S1689">
        <v>-3.2808839999999901</v>
      </c>
      <c r="T1689">
        <v>-0.1732262</v>
      </c>
      <c r="U1689">
        <v>-0.21377560000000001</v>
      </c>
      <c r="V1689">
        <v>-5.592453E-2</v>
      </c>
      <c r="W1689">
        <v>0.37507390000000002</v>
      </c>
      <c r="X1689">
        <v>0.92530639999999997</v>
      </c>
      <c r="Y1689">
        <v>-6.9390919999999995E-2</v>
      </c>
      <c r="Z1689">
        <v>-2.4495210000000001E-3</v>
      </c>
      <c r="AA1689">
        <v>0.99758650000000004</v>
      </c>
      <c r="AB1689">
        <v>29</v>
      </c>
      <c r="AC1689">
        <v>-20.7681</v>
      </c>
      <c r="AD1689">
        <v>-1.1108454797679901</v>
      </c>
      <c r="AE1689">
        <v>-1.3722000000000201</v>
      </c>
      <c r="AF1689">
        <v>-1.46156500186521</v>
      </c>
      <c r="AG1689">
        <v>-1.1108454797679901</v>
      </c>
      <c r="AH1689">
        <v>20.702736244810499</v>
      </c>
      <c r="AI1689">
        <v>93.063760044066299</v>
      </c>
      <c r="AJ1689">
        <v>94.038248675523704</v>
      </c>
      <c r="AK1689">
        <v>20.7839706975541</v>
      </c>
      <c r="AL1689">
        <v>67.971118661740107</v>
      </c>
      <c r="AM1689">
        <v>93.458688406598895</v>
      </c>
      <c r="AN1689">
        <v>0.99999995869894398</v>
      </c>
    </row>
    <row r="1690" spans="1:40" x14ac:dyDescent="0.25">
      <c r="A1690" t="str">
        <f>"20190304164631373"</f>
        <v>20190304164631373</v>
      </c>
      <c r="B1690" t="str">
        <f>"1551689191359654"</f>
        <v>1551689191359654</v>
      </c>
      <c r="C1690" t="s">
        <v>40</v>
      </c>
      <c r="D1690">
        <v>3.7669060000000001</v>
      </c>
      <c r="E1690">
        <v>0.50895919999999994</v>
      </c>
      <c r="F1690" t="s">
        <v>49</v>
      </c>
      <c r="G1690">
        <v>-368.40960000000001</v>
      </c>
      <c r="H1690" s="1">
        <v>2.9384070000000001E-6</v>
      </c>
      <c r="I1690">
        <v>283.71159999999998</v>
      </c>
      <c r="J1690">
        <v>-347.15879999999999</v>
      </c>
      <c r="K1690">
        <v>1.1108340000000001</v>
      </c>
      <c r="L1690">
        <v>285.13819999999998</v>
      </c>
      <c r="M1690">
        <v>-0.99991129999999995</v>
      </c>
      <c r="N1690">
        <v>-1.2542060000000001E-2</v>
      </c>
      <c r="O1690">
        <v>4.5035639999999998E-3</v>
      </c>
      <c r="P1690">
        <v>-0.93004019999999998</v>
      </c>
      <c r="Q1690">
        <v>0.3637995</v>
      </c>
      <c r="R1690">
        <v>-5.1725399999999998E-2</v>
      </c>
      <c r="S1690">
        <v>-3.2789609999999998</v>
      </c>
      <c r="T1690">
        <v>-0.16899059999999999</v>
      </c>
      <c r="U1690">
        <v>-0.2168274</v>
      </c>
      <c r="V1690">
        <v>-5.5899409999999997E-2</v>
      </c>
      <c r="W1690">
        <v>0.37543460000000001</v>
      </c>
      <c r="X1690">
        <v>0.92516169999999998</v>
      </c>
      <c r="Y1690">
        <v>-7.0357059999999999E-2</v>
      </c>
      <c r="Z1690">
        <v>-2.4272349999999998E-3</v>
      </c>
      <c r="AA1690">
        <v>0.99751889999999999</v>
      </c>
      <c r="AB1690">
        <v>29</v>
      </c>
      <c r="AC1690">
        <v>-21.250800000000002</v>
      </c>
      <c r="AD1690">
        <v>-1.1108310615929999</v>
      </c>
      <c r="AE1690">
        <v>-1.4266000000000001</v>
      </c>
      <c r="AF1690">
        <v>-1.5181677452129101</v>
      </c>
      <c r="AG1690">
        <v>-1.1108310615929999</v>
      </c>
      <c r="AH1690">
        <v>21.186528662157698</v>
      </c>
      <c r="AI1690">
        <v>92.993665266736102</v>
      </c>
      <c r="AJ1690">
        <v>94.098650665145996</v>
      </c>
      <c r="AK1690">
        <v>21.269879541324102</v>
      </c>
      <c r="AL1690">
        <v>67.948824314839001</v>
      </c>
      <c r="AM1690">
        <v>93.457678015260896</v>
      </c>
      <c r="AN1690">
        <v>1.00000002703119</v>
      </c>
    </row>
    <row r="1691" spans="1:40" x14ac:dyDescent="0.25">
      <c r="A1691" t="str">
        <f>"20190304164631396"</f>
        <v>20190304164631396</v>
      </c>
      <c r="B1691" t="str">
        <f>"1551689191389909"</f>
        <v>1551689191389909</v>
      </c>
      <c r="C1691" t="s">
        <v>40</v>
      </c>
      <c r="D1691">
        <v>3.7569710000000001</v>
      </c>
      <c r="E1691">
        <v>0.50889099999999998</v>
      </c>
      <c r="F1691" t="s">
        <v>49</v>
      </c>
      <c r="G1691">
        <v>-369.15550000000002</v>
      </c>
      <c r="H1691" s="1">
        <v>3.335314E-6</v>
      </c>
      <c r="I1691">
        <v>283.67290000000003</v>
      </c>
      <c r="J1691">
        <v>-347.46080000000001</v>
      </c>
      <c r="K1691">
        <v>1.110819</v>
      </c>
      <c r="L1691">
        <v>285.13959999999997</v>
      </c>
      <c r="M1691">
        <v>-0.99991300000000005</v>
      </c>
      <c r="N1691">
        <v>-1.24035E-2</v>
      </c>
      <c r="O1691">
        <v>4.5034150000000002E-3</v>
      </c>
      <c r="P1691">
        <v>-0.92997379999999996</v>
      </c>
      <c r="Q1691">
        <v>0.36398249999999999</v>
      </c>
      <c r="R1691">
        <v>-5.163036E-2</v>
      </c>
      <c r="S1691">
        <v>-3.2783199999999999</v>
      </c>
      <c r="T1691">
        <v>-0.16555439999999999</v>
      </c>
      <c r="U1691">
        <v>-0.21838379999999999</v>
      </c>
      <c r="V1691">
        <v>-5.5803249999999999E-2</v>
      </c>
      <c r="W1691">
        <v>0.3754885</v>
      </c>
      <c r="X1691">
        <v>0.92514560000000001</v>
      </c>
      <c r="Y1691">
        <v>-7.0845030000000003E-2</v>
      </c>
      <c r="Z1691">
        <v>-2.3971919999999998E-3</v>
      </c>
      <c r="AA1691">
        <v>0.99748440000000005</v>
      </c>
      <c r="AB1691">
        <v>29</v>
      </c>
      <c r="AC1691">
        <v>-21.694700000000001</v>
      </c>
      <c r="AD1691">
        <v>-1.1108156646859999</v>
      </c>
      <c r="AE1691">
        <v>-1.4666999999999399</v>
      </c>
      <c r="AF1691">
        <v>-1.5603208497035199</v>
      </c>
      <c r="AG1691">
        <v>-1.1108156646859999</v>
      </c>
      <c r="AH1691">
        <v>21.631422051719301</v>
      </c>
      <c r="AI1691">
        <v>92.9320631370596</v>
      </c>
      <c r="AJ1691">
        <v>94.125721877245894</v>
      </c>
      <c r="AK1691">
        <v>21.7160524169228</v>
      </c>
      <c r="AL1691">
        <v>67.945491639108795</v>
      </c>
      <c r="AM1691">
        <v>93.451804321966904</v>
      </c>
      <c r="AN1691">
        <v>0.99999999877108603</v>
      </c>
    </row>
    <row r="1692" spans="1:40" x14ac:dyDescent="0.25">
      <c r="A1692" t="str">
        <f>"20190304164631417"</f>
        <v>20190304164631417</v>
      </c>
      <c r="B1692" t="str">
        <f>"1551689191409430"</f>
        <v>1551689191409430</v>
      </c>
      <c r="C1692" t="s">
        <v>40</v>
      </c>
      <c r="D1692">
        <v>3.7661449999999999</v>
      </c>
      <c r="E1692">
        <v>0.5089167</v>
      </c>
      <c r="F1692" t="s">
        <v>49</v>
      </c>
      <c r="G1692">
        <v>-369.78449999999998</v>
      </c>
      <c r="H1692" s="1">
        <v>3.670023E-6</v>
      </c>
      <c r="I1692">
        <v>283.64850000000001</v>
      </c>
      <c r="J1692">
        <v>-347.74619999999999</v>
      </c>
      <c r="K1692">
        <v>1.1108070000000001</v>
      </c>
      <c r="L1692">
        <v>285.14089999999999</v>
      </c>
      <c r="M1692">
        <v>-0.99991459999999999</v>
      </c>
      <c r="N1692">
        <v>-1.2267520000000001E-2</v>
      </c>
      <c r="O1692">
        <v>4.5032429999999997E-3</v>
      </c>
      <c r="P1692">
        <v>-0.93007050000000002</v>
      </c>
      <c r="Q1692">
        <v>0.36382579999999998</v>
      </c>
      <c r="R1692">
        <v>-5.0989399999999997E-2</v>
      </c>
      <c r="S1692">
        <v>-3.2775880000000002</v>
      </c>
      <c r="T1692">
        <v>-0.16309109999999999</v>
      </c>
      <c r="U1692">
        <v>-0.21893309999999999</v>
      </c>
      <c r="V1692">
        <v>-5.5163299999999998E-2</v>
      </c>
      <c r="W1692">
        <v>0.37520700000000001</v>
      </c>
      <c r="X1692">
        <v>0.92529819999999996</v>
      </c>
      <c r="Y1692">
        <v>-7.102907E-2</v>
      </c>
      <c r="Z1692">
        <v>-2.3691839999999999E-3</v>
      </c>
      <c r="AA1692">
        <v>0.99747149999999996</v>
      </c>
      <c r="AB1692">
        <v>29</v>
      </c>
      <c r="AC1692">
        <v>-22.0382999999999</v>
      </c>
      <c r="AD1692">
        <v>-1.1108033299769999</v>
      </c>
      <c r="AE1692">
        <v>-1.49239999999997</v>
      </c>
      <c r="AF1692">
        <v>-1.58762122464682</v>
      </c>
      <c r="AG1692">
        <v>-1.1108033299769999</v>
      </c>
      <c r="AH1692">
        <v>21.975780874707802</v>
      </c>
      <c r="AI1692">
        <v>92.886141064045802</v>
      </c>
      <c r="AJ1692">
        <v>94.132105081976405</v>
      </c>
      <c r="AK1692">
        <v>22.061037379144501</v>
      </c>
      <c r="AL1692">
        <v>67.962893204745498</v>
      </c>
      <c r="AM1692">
        <v>93.4117517827857</v>
      </c>
      <c r="AN1692">
        <v>1.0000000207195601</v>
      </c>
    </row>
    <row r="1693" spans="1:40" x14ac:dyDescent="0.25">
      <c r="A1693" t="str">
        <f>"20190304164631439"</f>
        <v>20190304164631439</v>
      </c>
      <c r="B1693" t="str">
        <f>"1551689191429926"</f>
        <v>1551689191429926</v>
      </c>
      <c r="C1693" t="s">
        <v>40</v>
      </c>
      <c r="D1693">
        <v>3.7593589999999999</v>
      </c>
      <c r="E1693">
        <v>0.50891889999999995</v>
      </c>
      <c r="F1693" t="s">
        <v>49</v>
      </c>
      <c r="G1693">
        <v>-369.94920000000002</v>
      </c>
      <c r="H1693" s="1">
        <v>3.7576580000000001E-6</v>
      </c>
      <c r="I1693">
        <v>283.66950000000003</v>
      </c>
      <c r="J1693">
        <v>-348.03739999999999</v>
      </c>
      <c r="K1693">
        <v>1.1107910000000001</v>
      </c>
      <c r="L1693">
        <v>285.1422</v>
      </c>
      <c r="M1693">
        <v>-0.99991629999999998</v>
      </c>
      <c r="N1693">
        <v>-1.21342E-2</v>
      </c>
      <c r="O1693">
        <v>4.5029240000000002E-3</v>
      </c>
      <c r="P1693">
        <v>-0.92981150000000001</v>
      </c>
      <c r="Q1693">
        <v>0.36447020000000002</v>
      </c>
      <c r="R1693">
        <v>-5.1107350000000003E-2</v>
      </c>
      <c r="S1693">
        <v>-3.2778019999999999</v>
      </c>
      <c r="T1693">
        <v>-0.16398670000000001</v>
      </c>
      <c r="U1693">
        <v>-0.2172241</v>
      </c>
      <c r="V1693">
        <v>-5.5279599999999901E-2</v>
      </c>
      <c r="W1693">
        <v>0.37572539999999999</v>
      </c>
      <c r="X1693">
        <v>0.92508089999999998</v>
      </c>
      <c r="Y1693">
        <v>-7.0506550000000001E-2</v>
      </c>
      <c r="Z1693">
        <v>-2.3596049999999999E-3</v>
      </c>
      <c r="AA1693">
        <v>0.99750850000000002</v>
      </c>
      <c r="AB1693">
        <v>29</v>
      </c>
      <c r="AC1693">
        <v>-21.911799999999999</v>
      </c>
      <c r="AD1693">
        <v>-1.110787242342</v>
      </c>
      <c r="AE1693">
        <v>-1.4726999999999699</v>
      </c>
      <c r="AF1693">
        <v>-1.5673497746301099</v>
      </c>
      <c r="AG1693">
        <v>-1.110787242342</v>
      </c>
      <c r="AH1693">
        <v>21.849049865215001</v>
      </c>
      <c r="AI1693">
        <v>92.902916612982807</v>
      </c>
      <c r="AJ1693">
        <v>94.103105688387203</v>
      </c>
      <c r="AK1693">
        <v>21.933340229578299</v>
      </c>
      <c r="AL1693">
        <v>67.930846873654005</v>
      </c>
      <c r="AM1693">
        <v>93.419728880791496</v>
      </c>
      <c r="AN1693">
        <v>1.0000000409630601</v>
      </c>
    </row>
    <row r="1694" spans="1:40" x14ac:dyDescent="0.25">
      <c r="A1694" t="str">
        <f>"20190304164631462"</f>
        <v>20190304164631462</v>
      </c>
      <c r="B1694" t="str">
        <f>"1551689191449445"</f>
        <v>1551689191449445</v>
      </c>
      <c r="C1694" t="s">
        <v>40</v>
      </c>
      <c r="D1694">
        <v>3.7729819999999998</v>
      </c>
      <c r="E1694">
        <v>0.50620129999999997</v>
      </c>
      <c r="F1694" t="s">
        <v>49</v>
      </c>
      <c r="G1694">
        <v>-370.45949999999999</v>
      </c>
      <c r="H1694" s="1">
        <v>-1.2922600000000001E-6</v>
      </c>
      <c r="I1694">
        <v>283.65519999999998</v>
      </c>
      <c r="J1694">
        <v>-348.32709999999997</v>
      </c>
      <c r="K1694">
        <v>1.110779</v>
      </c>
      <c r="L1694">
        <v>285.14350000000002</v>
      </c>
      <c r="M1694">
        <v>-0.99991779999999997</v>
      </c>
      <c r="N1694">
        <v>-1.2005399999999999E-2</v>
      </c>
      <c r="O1694">
        <v>4.5026889999999998E-3</v>
      </c>
      <c r="P1694">
        <v>-0.9298824</v>
      </c>
      <c r="Q1694">
        <v>0.36426140000000001</v>
      </c>
      <c r="R1694">
        <v>-5.1307129999999999E-2</v>
      </c>
      <c r="S1694">
        <v>-3.278168</v>
      </c>
      <c r="T1694">
        <v>-0.16240060000000001</v>
      </c>
      <c r="U1694">
        <v>-0.21740719999999999</v>
      </c>
      <c r="V1694">
        <v>-5.547941E-2</v>
      </c>
      <c r="W1694">
        <v>0.37539830000000002</v>
      </c>
      <c r="X1694">
        <v>0.92520170000000002</v>
      </c>
      <c r="Y1694">
        <v>-7.0556560000000004E-2</v>
      </c>
      <c r="Z1694">
        <v>-2.3377530000000001E-3</v>
      </c>
      <c r="AA1694">
        <v>0.99750510000000003</v>
      </c>
      <c r="AB1694">
        <v>29</v>
      </c>
      <c r="AC1694">
        <v>-22.132400000000001</v>
      </c>
      <c r="AD1694">
        <v>-1.1107802922600001</v>
      </c>
      <c r="AE1694">
        <v>-1.4883000000000299</v>
      </c>
      <c r="AF1694">
        <v>-1.58397559744179</v>
      </c>
      <c r="AG1694">
        <v>-1.1107802922600001</v>
      </c>
      <c r="AH1694">
        <v>22.070133048816199</v>
      </c>
      <c r="AI1694">
        <v>92.873861153577593</v>
      </c>
      <c r="AJ1694">
        <v>94.105084970691493</v>
      </c>
      <c r="AK1694">
        <v>22.1547643712005</v>
      </c>
      <c r="AL1694">
        <v>67.951068054135803</v>
      </c>
      <c r="AM1694">
        <v>93.431613074171395</v>
      </c>
      <c r="AN1694">
        <v>1.00000001712986</v>
      </c>
    </row>
    <row r="1695" spans="1:40" x14ac:dyDescent="0.25">
      <c r="A1695" t="str">
        <f>"20190304164631485"</f>
        <v>20190304164631485</v>
      </c>
      <c r="B1695" t="str">
        <f>"1551689191479702"</f>
        <v>1551689191479702</v>
      </c>
      <c r="C1695" t="s">
        <v>40</v>
      </c>
      <c r="D1695">
        <v>3.7821889999999998</v>
      </c>
      <c r="E1695">
        <v>0.50638379999999905</v>
      </c>
      <c r="F1695" t="s">
        <v>49</v>
      </c>
      <c r="G1695">
        <v>-369.71039999999999</v>
      </c>
      <c r="H1695" s="1">
        <v>3.6305860000000001E-6</v>
      </c>
      <c r="I1695">
        <v>283.58019999999999</v>
      </c>
      <c r="J1695">
        <v>-348.62990000000002</v>
      </c>
      <c r="K1695">
        <v>1.1107610000000001</v>
      </c>
      <c r="L1695">
        <v>285.14490000000001</v>
      </c>
      <c r="M1695">
        <v>-0.99991949999999996</v>
      </c>
      <c r="N1695">
        <v>-1.1871799999999899E-2</v>
      </c>
      <c r="O1695">
        <v>4.5024740000000002E-3</v>
      </c>
      <c r="P1695">
        <v>-0.92993539999999997</v>
      </c>
      <c r="Q1695">
        <v>0.36412509999999998</v>
      </c>
      <c r="R1695">
        <v>-5.131525E-2</v>
      </c>
      <c r="S1695">
        <v>-3.2797239999999999</v>
      </c>
      <c r="T1695">
        <v>-0.1703684</v>
      </c>
      <c r="U1695">
        <v>-0.23977660000000001</v>
      </c>
      <c r="V1695">
        <v>-5.5487469999999997E-2</v>
      </c>
      <c r="W1695">
        <v>0.3751389</v>
      </c>
      <c r="X1695">
        <v>0.92530639999999997</v>
      </c>
      <c r="Y1695">
        <v>-7.7273190000000005E-2</v>
      </c>
      <c r="Z1695">
        <v>-2.6427590000000002E-3</v>
      </c>
      <c r="AA1695">
        <v>0.99700650000000002</v>
      </c>
      <c r="AB1695">
        <v>29</v>
      </c>
      <c r="AC1695">
        <v>-21.080499999999901</v>
      </c>
      <c r="AD1695">
        <v>-1.1107573694140001</v>
      </c>
      <c r="AE1695">
        <v>-1.56470000000001</v>
      </c>
      <c r="AF1695">
        <v>-1.6550354137133501</v>
      </c>
      <c r="AG1695">
        <v>-1.1107573694140001</v>
      </c>
      <c r="AH1695">
        <v>21.015214553706699</v>
      </c>
      <c r="AI1695">
        <v>93.016226332003797</v>
      </c>
      <c r="AJ1695">
        <v>94.5029864110803</v>
      </c>
      <c r="AK1695">
        <v>21.109527869961401</v>
      </c>
      <c r="AL1695">
        <v>67.967101891840997</v>
      </c>
      <c r="AM1695">
        <v>93.431723003271799</v>
      </c>
      <c r="AN1695">
        <v>0.99999999375058501</v>
      </c>
    </row>
    <row r="1696" spans="1:40" x14ac:dyDescent="0.25">
      <c r="A1696" t="str">
        <f>"20190304164631508"</f>
        <v>20190304164631508</v>
      </c>
      <c r="B1696" t="str">
        <f>"1551689191500197"</f>
        <v>1551689191500197</v>
      </c>
      <c r="C1696" t="s">
        <v>40</v>
      </c>
      <c r="D1696">
        <v>3.7856480000000001</v>
      </c>
      <c r="E1696">
        <v>0.50619939999999997</v>
      </c>
      <c r="F1696" t="s">
        <v>49</v>
      </c>
      <c r="G1696">
        <v>-370.29020000000003</v>
      </c>
      <c r="H1696" s="1">
        <v>-1.3823770000000001E-6</v>
      </c>
      <c r="I1696">
        <v>283.56970000000001</v>
      </c>
      <c r="J1696">
        <v>-348.92700000000002</v>
      </c>
      <c r="K1696">
        <v>1.110743</v>
      </c>
      <c r="L1696">
        <v>285.1463</v>
      </c>
      <c r="M1696">
        <v>-0.99992080000000005</v>
      </c>
      <c r="N1696">
        <v>-1.1744020000000001E-2</v>
      </c>
      <c r="O1696">
        <v>4.5023950000000002E-3</v>
      </c>
      <c r="P1696">
        <v>-0.92994509999999997</v>
      </c>
      <c r="Q1696">
        <v>0.3641143</v>
      </c>
      <c r="R1696">
        <v>-5.1215339999999998E-2</v>
      </c>
      <c r="S1696">
        <v>-3.2787169999999999</v>
      </c>
      <c r="T1696">
        <v>-0.16813639999999999</v>
      </c>
      <c r="U1696">
        <v>-0.2384338</v>
      </c>
      <c r="V1696">
        <v>-5.5387789999999999E-2</v>
      </c>
      <c r="W1696">
        <v>0.3750098</v>
      </c>
      <c r="X1696">
        <v>0.92536470000000004</v>
      </c>
      <c r="Y1696">
        <v>-7.6893110000000001E-2</v>
      </c>
      <c r="Z1696">
        <v>-2.5978479999999998E-3</v>
      </c>
      <c r="AA1696">
        <v>0.99703600000000003</v>
      </c>
      <c r="AB1696">
        <v>29</v>
      </c>
      <c r="AC1696">
        <v>-21.363199999999999</v>
      </c>
      <c r="AD1696">
        <v>-1.110744382377</v>
      </c>
      <c r="AE1696">
        <v>-1.57659999999998</v>
      </c>
      <c r="AF1696">
        <v>-1.6682907507529099</v>
      </c>
      <c r="AG1696">
        <v>-1.110744382377</v>
      </c>
      <c r="AH1696">
        <v>21.2986196148075</v>
      </c>
      <c r="AI1696">
        <v>92.976228221936594</v>
      </c>
      <c r="AJ1696">
        <v>94.478752713384296</v>
      </c>
      <c r="AK1696">
        <v>21.3927124182113</v>
      </c>
      <c r="AL1696">
        <v>67.975081292580299</v>
      </c>
      <c r="AM1696">
        <v>93.425357502369593</v>
      </c>
      <c r="AN1696">
        <v>0.999999992691607</v>
      </c>
    </row>
    <row r="1697" spans="1:40" x14ac:dyDescent="0.25">
      <c r="A1697" t="str">
        <f>"20190304164631528"</f>
        <v>20190304164631528</v>
      </c>
      <c r="B1697" t="str">
        <f>"1551689191519718"</f>
        <v>1551689191519718</v>
      </c>
      <c r="C1697" t="s">
        <v>40</v>
      </c>
      <c r="D1697">
        <v>3.7746949999999999</v>
      </c>
      <c r="E1697">
        <v>0.5063008</v>
      </c>
      <c r="F1697" t="s">
        <v>49</v>
      </c>
      <c r="G1697">
        <v>-370.66090000000003</v>
      </c>
      <c r="H1697" s="1">
        <v>-1.185097E-6</v>
      </c>
      <c r="I1697">
        <v>283.55650000000003</v>
      </c>
      <c r="J1697">
        <v>-349.2056</v>
      </c>
      <c r="K1697">
        <v>1.1107209999999901</v>
      </c>
      <c r="L1697">
        <v>285.14749999999998</v>
      </c>
      <c r="M1697">
        <v>-0.99992230000000004</v>
      </c>
      <c r="N1697">
        <v>-1.163315E-2</v>
      </c>
      <c r="O1697">
        <v>4.5020310000000001E-3</v>
      </c>
      <c r="P1697">
        <v>-0.93010539999999997</v>
      </c>
      <c r="Q1697">
        <v>0.36367490000000002</v>
      </c>
      <c r="R1697">
        <v>-5.1428479999999999E-2</v>
      </c>
      <c r="S1697">
        <v>-3.2784119999999999</v>
      </c>
      <c r="T1697">
        <v>-0.16754810000000001</v>
      </c>
      <c r="U1697">
        <v>-0.2398071</v>
      </c>
      <c r="V1697">
        <v>-5.5600749999999997E-2</v>
      </c>
      <c r="W1697">
        <v>0.37447009999999997</v>
      </c>
      <c r="X1697">
        <v>0.92557049999999996</v>
      </c>
      <c r="Y1697">
        <v>-7.7315209999999995E-2</v>
      </c>
      <c r="Z1697">
        <v>-2.5997799999999999E-3</v>
      </c>
      <c r="AA1697">
        <v>0.99700330000000004</v>
      </c>
      <c r="AB1697">
        <v>29</v>
      </c>
      <c r="AC1697">
        <v>-21.455300000000001</v>
      </c>
      <c r="AD1697">
        <v>-1.1107221850969999</v>
      </c>
      <c r="AE1697">
        <v>-1.59099999999995</v>
      </c>
      <c r="AF1697">
        <v>-1.68309672407019</v>
      </c>
      <c r="AG1697">
        <v>-1.1107221850969999</v>
      </c>
      <c r="AH1697">
        <v>21.390904303264399</v>
      </c>
      <c r="AI1697">
        <v>92.963270233933997</v>
      </c>
      <c r="AJ1697">
        <v>94.498924660647305</v>
      </c>
      <c r="AK1697">
        <v>21.485746560602799</v>
      </c>
      <c r="AL1697">
        <v>68.008435001164898</v>
      </c>
      <c r="AM1697">
        <v>93.437733375037894</v>
      </c>
      <c r="AN1697">
        <v>1.0000000248324099</v>
      </c>
    </row>
    <row r="1698" spans="1:40" x14ac:dyDescent="0.25">
      <c r="A1698" t="str">
        <f>"20190304164631551"</f>
        <v>20190304164631551</v>
      </c>
      <c r="B1698" t="str">
        <f>"1551689191540213"</f>
        <v>1551689191540213</v>
      </c>
      <c r="C1698" t="s">
        <v>40</v>
      </c>
      <c r="D1698">
        <v>3.8166980000000001</v>
      </c>
      <c r="E1698">
        <v>0.50625770000000003</v>
      </c>
      <c r="F1698" t="s">
        <v>49</v>
      </c>
      <c r="G1698">
        <v>-370.8107</v>
      </c>
      <c r="H1698" s="1">
        <v>-1.1053780000000001E-6</v>
      </c>
      <c r="I1698">
        <v>283.565</v>
      </c>
      <c r="J1698">
        <v>-349.50779999999997</v>
      </c>
      <c r="K1698">
        <v>1.110708</v>
      </c>
      <c r="L1698">
        <v>285.14890000000003</v>
      </c>
      <c r="M1698">
        <v>-0.99992360000000002</v>
      </c>
      <c r="N1698">
        <v>-1.152479E-2</v>
      </c>
      <c r="O1698">
        <v>4.5016450000000003E-3</v>
      </c>
      <c r="P1698">
        <v>-0.92995850000000002</v>
      </c>
      <c r="Q1698">
        <v>0.36408620000000003</v>
      </c>
      <c r="R1698">
        <v>-5.1173860000000002E-2</v>
      </c>
      <c r="S1698">
        <v>-3.2781069999999999</v>
      </c>
      <c r="T1698">
        <v>-0.16852809999999999</v>
      </c>
      <c r="U1698">
        <v>-0.2401123</v>
      </c>
      <c r="V1698">
        <v>-5.5345709999999999E-2</v>
      </c>
      <c r="W1698">
        <v>0.37477899999999997</v>
      </c>
      <c r="X1698">
        <v>0.92546070000000002</v>
      </c>
      <c r="Y1698">
        <v>-7.7412560000000005E-2</v>
      </c>
      <c r="Z1698">
        <v>-2.612175E-3</v>
      </c>
      <c r="AA1698">
        <v>0.99699570000000004</v>
      </c>
      <c r="AB1698">
        <v>29</v>
      </c>
      <c r="AC1698">
        <v>-21.302900000000001</v>
      </c>
      <c r="AD1698">
        <v>-1.1107091053780001</v>
      </c>
      <c r="AE1698">
        <v>-1.5839000000000201</v>
      </c>
      <c r="AF1698">
        <v>-1.6752593068875199</v>
      </c>
      <c r="AG1698">
        <v>-1.1107091053780001</v>
      </c>
      <c r="AH1698">
        <v>21.238135847428602</v>
      </c>
      <c r="AI1698">
        <v>92.984465972050998</v>
      </c>
      <c r="AJ1698">
        <v>94.510139420242496</v>
      </c>
      <c r="AK1698">
        <v>21.333039697518899</v>
      </c>
      <c r="AL1698">
        <v>67.989345114393203</v>
      </c>
      <c r="AM1698">
        <v>93.422407123971595</v>
      </c>
      <c r="AN1698">
        <v>0.99999997685044595</v>
      </c>
    </row>
    <row r="1699" spans="1:40" x14ac:dyDescent="0.25">
      <c r="A1699" t="str">
        <f>"20190304164631574"</f>
        <v>20190304164631574</v>
      </c>
      <c r="B1699" t="str">
        <f>"1551689191569494"</f>
        <v>1551689191569494</v>
      </c>
      <c r="C1699" t="s">
        <v>40</v>
      </c>
      <c r="D1699">
        <v>3.8197049999999999</v>
      </c>
      <c r="E1699">
        <v>0.50611010000000001</v>
      </c>
      <c r="F1699" t="s">
        <v>49</v>
      </c>
      <c r="G1699">
        <v>-371.1703</v>
      </c>
      <c r="H1699" s="1">
        <v>-9.139973E-7</v>
      </c>
      <c r="I1699">
        <v>283.55990000000003</v>
      </c>
      <c r="J1699">
        <v>-349.79539999999997</v>
      </c>
      <c r="K1699">
        <v>1.110697</v>
      </c>
      <c r="L1699">
        <v>285.15019999999998</v>
      </c>
      <c r="M1699">
        <v>-0.9999247</v>
      </c>
      <c r="N1699">
        <v>-1.1432879999999999E-2</v>
      </c>
      <c r="O1699">
        <v>4.5011590000000002E-3</v>
      </c>
      <c r="P1699">
        <v>-0.92983099999999996</v>
      </c>
      <c r="Q1699">
        <v>0.36444530000000003</v>
      </c>
      <c r="R1699">
        <v>-5.0935029999999999E-2</v>
      </c>
      <c r="S1699">
        <v>-3.2785030000000002</v>
      </c>
      <c r="T1699">
        <v>-0.1681</v>
      </c>
      <c r="U1699">
        <v>-0.24047850000000001</v>
      </c>
      <c r="V1699">
        <v>-5.5105700000000001E-2</v>
      </c>
      <c r="W1699">
        <v>0.37505139999999998</v>
      </c>
      <c r="X1699">
        <v>0.92536470000000004</v>
      </c>
      <c r="Y1699">
        <v>-7.7514659999999999E-2</v>
      </c>
      <c r="Z1699">
        <v>-2.6063000000000002E-3</v>
      </c>
      <c r="AA1699">
        <v>0.99698779999999998</v>
      </c>
      <c r="AB1699">
        <v>29</v>
      </c>
      <c r="AC1699">
        <v>-21.3749</v>
      </c>
      <c r="AD1699">
        <v>-1.1106979139972999</v>
      </c>
      <c r="AE1699">
        <v>-1.5902999999999501</v>
      </c>
      <c r="AF1699">
        <v>-1.68198541336126</v>
      </c>
      <c r="AG1699">
        <v>-1.1106979139972999</v>
      </c>
      <c r="AH1699">
        <v>21.310301077335001</v>
      </c>
      <c r="AI1699">
        <v>92.974336342192103</v>
      </c>
      <c r="AJ1699">
        <v>94.512901552925698</v>
      </c>
      <c r="AK1699">
        <v>21.405411857602399</v>
      </c>
      <c r="AL1699">
        <v>67.972510512407595</v>
      </c>
      <c r="AM1699">
        <v>93.407953379499006</v>
      </c>
      <c r="AN1699">
        <v>1.0000000094102699</v>
      </c>
    </row>
    <row r="1700" spans="1:40" x14ac:dyDescent="0.25">
      <c r="A1700" t="str">
        <f>"20190304164631596"</f>
        <v>20190304164631596</v>
      </c>
      <c r="B1700" t="str">
        <f>"1551689191589989"</f>
        <v>1551689191589989</v>
      </c>
      <c r="C1700" t="s">
        <v>40</v>
      </c>
      <c r="D1700">
        <v>3.9156</v>
      </c>
      <c r="E1700">
        <v>0.52233269999999998</v>
      </c>
      <c r="F1700" t="s">
        <v>49</v>
      </c>
      <c r="G1700">
        <v>-371.68959999999998</v>
      </c>
      <c r="H1700" s="1">
        <v>-6.3766859999999997E-7</v>
      </c>
      <c r="I1700">
        <v>283.54140000000001</v>
      </c>
      <c r="J1700">
        <v>-350.09300000000002</v>
      </c>
      <c r="K1700">
        <v>1.110695</v>
      </c>
      <c r="L1700">
        <v>285.15159999999997</v>
      </c>
      <c r="M1700">
        <v>-0.99992559999999997</v>
      </c>
      <c r="N1700">
        <v>-1.1348509999999999E-2</v>
      </c>
      <c r="O1700">
        <v>4.5008050000000001E-3</v>
      </c>
      <c r="P1700">
        <v>-0.92992580000000002</v>
      </c>
      <c r="Q1700">
        <v>0.36430410000000002</v>
      </c>
      <c r="R1700">
        <v>-5.0207639999999998E-2</v>
      </c>
      <c r="S1700">
        <v>-3.2783809999999902</v>
      </c>
      <c r="T1700">
        <v>-0.166313299999999</v>
      </c>
      <c r="U1700">
        <v>-0.2409058</v>
      </c>
      <c r="V1700">
        <v>-5.4378389999999999E-2</v>
      </c>
      <c r="W1700">
        <v>0.37483339999999998</v>
      </c>
      <c r="X1700">
        <v>0.92549599999999999</v>
      </c>
      <c r="Y1700">
        <v>-7.7648679999999998E-2</v>
      </c>
      <c r="Z1700">
        <v>-2.584111E-3</v>
      </c>
      <c r="AA1700">
        <v>0.99697740000000001</v>
      </c>
      <c r="AB1700">
        <v>29</v>
      </c>
      <c r="AC1700">
        <v>-21.596599999999899</v>
      </c>
      <c r="AD1700">
        <v>-1.1106956376685999</v>
      </c>
      <c r="AE1700">
        <v>-1.6101999999999601</v>
      </c>
      <c r="AF1700">
        <v>-1.7029127824309001</v>
      </c>
      <c r="AG1700">
        <v>-1.1106956376685999</v>
      </c>
      <c r="AH1700">
        <v>21.532495785261901</v>
      </c>
      <c r="AI1700">
        <v>92.943655960614805</v>
      </c>
      <c r="AJ1700">
        <v>94.521865836725297</v>
      </c>
      <c r="AK1700">
        <v>21.6282669552238</v>
      </c>
      <c r="AL1700">
        <v>67.985982908242406</v>
      </c>
      <c r="AM1700">
        <v>93.3626015714174</v>
      </c>
      <c r="AN1700">
        <v>0.99999996653527501</v>
      </c>
    </row>
    <row r="1701" spans="1:40" x14ac:dyDescent="0.25">
      <c r="A1701" t="str">
        <f>"20190304164631619"</f>
        <v>20190304164631619</v>
      </c>
      <c r="B1701" t="str">
        <f>"1551689191609510"</f>
        <v>1551689191609510</v>
      </c>
      <c r="C1701" t="s">
        <v>40</v>
      </c>
      <c r="D1701">
        <v>3.7962630000000002</v>
      </c>
      <c r="E1701">
        <v>0.53333430000000004</v>
      </c>
      <c r="F1701" t="s">
        <v>49</v>
      </c>
      <c r="G1701">
        <v>-371.20159999999998</v>
      </c>
      <c r="H1701" s="1">
        <v>-8.9734039999999998E-7</v>
      </c>
      <c r="I1701">
        <v>284.4452</v>
      </c>
      <c r="J1701">
        <v>-350.39229999999998</v>
      </c>
      <c r="K1701">
        <v>1.110692</v>
      </c>
      <c r="L1701">
        <v>285.15289999999999</v>
      </c>
      <c r="M1701">
        <v>-0.99992639999999999</v>
      </c>
      <c r="N1701">
        <v>-1.12742E-2</v>
      </c>
      <c r="O1701">
        <v>4.5005699999999997E-3</v>
      </c>
      <c r="P1701">
        <v>-0.92992969999999997</v>
      </c>
      <c r="Q1701">
        <v>0.36435970000000001</v>
      </c>
      <c r="R1701">
        <v>-4.9730419999999997E-2</v>
      </c>
      <c r="S1701">
        <v>-3.2878720000000001</v>
      </c>
      <c r="T1701">
        <v>-0.1730015</v>
      </c>
      <c r="U1701">
        <v>-0.1100159</v>
      </c>
      <c r="V1701">
        <v>-5.390118E-2</v>
      </c>
      <c r="W1701">
        <v>0.37482019999999999</v>
      </c>
      <c r="X1701">
        <v>0.9255293</v>
      </c>
      <c r="Y1701">
        <v>-3.7872990000000002E-2</v>
      </c>
      <c r="Z1701">
        <v>-1.395061E-3</v>
      </c>
      <c r="AA1701">
        <v>0.99928159999999999</v>
      </c>
      <c r="AB1701">
        <v>30</v>
      </c>
      <c r="AC1701">
        <v>-20.8093</v>
      </c>
      <c r="AD1701">
        <v>-1.1106928973404</v>
      </c>
      <c r="AE1701">
        <v>-0.70769999999998801</v>
      </c>
      <c r="AF1701">
        <v>-0.79907864439538701</v>
      </c>
      <c r="AG1701">
        <v>-1.1106928973404</v>
      </c>
      <c r="AH1701">
        <v>20.746867067562999</v>
      </c>
      <c r="AI1701">
        <v>93.0621639445759</v>
      </c>
      <c r="AJ1701">
        <v>92.205692763337197</v>
      </c>
      <c r="AK1701">
        <v>20.791937343866302</v>
      </c>
      <c r="AL1701">
        <v>67.986799516563906</v>
      </c>
      <c r="AM1701">
        <v>93.333039464363296</v>
      </c>
      <c r="AN1701">
        <v>1.0000000023459601</v>
      </c>
    </row>
    <row r="1702" spans="1:40" x14ac:dyDescent="0.25">
      <c r="A1702" t="str">
        <f>"20190304164631641"</f>
        <v>20190304164631641</v>
      </c>
      <c r="B1702" t="str">
        <f>"1551689191630006"</f>
        <v>1551689191630006</v>
      </c>
      <c r="C1702" t="s">
        <v>40</v>
      </c>
      <c r="D1702">
        <v>3.8110270000000002</v>
      </c>
      <c r="E1702">
        <v>0.5378098</v>
      </c>
      <c r="F1702" t="s">
        <v>49</v>
      </c>
      <c r="G1702">
        <v>-371.37099999999998</v>
      </c>
      <c r="H1702" s="1">
        <v>-8.0722039999999997E-7</v>
      </c>
      <c r="I1702">
        <v>285.01639999999998</v>
      </c>
      <c r="J1702">
        <v>-350.69170000000003</v>
      </c>
      <c r="K1702">
        <v>1.1106879999999999</v>
      </c>
      <c r="L1702">
        <v>285.15429999999998</v>
      </c>
      <c r="M1702">
        <v>-0.99992720000000002</v>
      </c>
      <c r="N1702">
        <v>-1.1209240000000001E-2</v>
      </c>
      <c r="O1702">
        <v>4.5002200000000001E-3</v>
      </c>
      <c r="P1702">
        <v>-0.9299499</v>
      </c>
      <c r="Q1702">
        <v>0.36442020000000003</v>
      </c>
      <c r="R1702">
        <v>-4.8900109999999997E-2</v>
      </c>
      <c r="S1702">
        <v>-3.2932429999999999</v>
      </c>
      <c r="T1702">
        <v>-0.17435719999999999</v>
      </c>
      <c r="U1702">
        <v>-2.1423339999999999E-2</v>
      </c>
      <c r="V1702">
        <v>-5.3071019999999997E-2</v>
      </c>
      <c r="W1702">
        <v>0.37482110000000002</v>
      </c>
      <c r="X1702">
        <v>0.92557690000000004</v>
      </c>
      <c r="Y1702">
        <v>-1.098289E-2</v>
      </c>
      <c r="Z1702">
        <v>-5.3981459999999999E-4</v>
      </c>
      <c r="AA1702">
        <v>0.99993960000000004</v>
      </c>
      <c r="AB1702">
        <v>30</v>
      </c>
      <c r="AC1702">
        <v>-20.679299999999898</v>
      </c>
      <c r="AD1702">
        <v>-1.1106888072204</v>
      </c>
      <c r="AE1702">
        <v>-0.13790000000000099</v>
      </c>
      <c r="AF1702">
        <v>-0.23030149546708101</v>
      </c>
      <c r="AG1702">
        <v>-1.1106888072204</v>
      </c>
      <c r="AH1702">
        <v>20.618991288140499</v>
      </c>
      <c r="AI1702">
        <v>93.0831953474258</v>
      </c>
      <c r="AJ1702">
        <v>90.639932130280897</v>
      </c>
      <c r="AK1702">
        <v>20.650168767971699</v>
      </c>
      <c r="AL1702">
        <v>67.986743701904103</v>
      </c>
      <c r="AM1702">
        <v>93.281650269530402</v>
      </c>
      <c r="AN1702">
        <v>0.99999999399132999</v>
      </c>
    </row>
    <row r="1703" spans="1:40" x14ac:dyDescent="0.25">
      <c r="A1703" t="str">
        <f>"20190304164631676"</f>
        <v>20190304164631676</v>
      </c>
      <c r="B1703" t="str">
        <f>"1551689191670023"</f>
        <v>1551689191670023</v>
      </c>
      <c r="C1703" t="s">
        <v>40</v>
      </c>
      <c r="D1703">
        <v>3.8062499999999999</v>
      </c>
      <c r="E1703">
        <v>0.54120449999999998</v>
      </c>
      <c r="F1703" t="s">
        <v>49</v>
      </c>
      <c r="G1703">
        <v>-371.30599999999998</v>
      </c>
      <c r="H1703" s="1">
        <v>-8.4181349999999998E-7</v>
      </c>
      <c r="I1703">
        <v>285.2552</v>
      </c>
      <c r="J1703">
        <v>-351.14139999999998</v>
      </c>
      <c r="K1703">
        <v>1.1106769999999999</v>
      </c>
      <c r="L1703">
        <v>285.15629999999999</v>
      </c>
      <c r="M1703">
        <v>-0.99992800000000004</v>
      </c>
      <c r="N1703">
        <v>-1.1126270000000001E-2</v>
      </c>
      <c r="O1703">
        <v>4.4994889999999997E-3</v>
      </c>
      <c r="P1703">
        <v>-0.93003340000000001</v>
      </c>
      <c r="Q1703">
        <v>0.36428660000000002</v>
      </c>
      <c r="R1703">
        <v>-4.8300620000000002E-2</v>
      </c>
      <c r="S1703">
        <v>-3.2964169999999999</v>
      </c>
      <c r="T1703">
        <v>-0.17760919999999999</v>
      </c>
      <c r="U1703">
        <v>1.61438E-2</v>
      </c>
      <c r="V1703">
        <v>-5.2471589999999999E-2</v>
      </c>
      <c r="W1703">
        <v>0.37461149999999999</v>
      </c>
      <c r="X1703">
        <v>0.92569590000000002</v>
      </c>
      <c r="Y1703">
        <v>4.0096210000000002E-4</v>
      </c>
      <c r="Z1703">
        <v>-1.7918989999999999E-4</v>
      </c>
      <c r="AA1703">
        <v>0.99999990000000005</v>
      </c>
      <c r="AB1703">
        <v>30</v>
      </c>
      <c r="AC1703">
        <v>-20.1646</v>
      </c>
      <c r="AD1703">
        <v>-1.1106778418134999</v>
      </c>
      <c r="AE1703">
        <v>9.8900000000014601E-2</v>
      </c>
      <c r="AF1703">
        <v>8.1382984617112495E-3</v>
      </c>
      <c r="AG1703">
        <v>-1.1106778418134999</v>
      </c>
      <c r="AH1703">
        <v>20.103849877117501</v>
      </c>
      <c r="AI1703">
        <v>93.162206298205305</v>
      </c>
      <c r="AJ1703">
        <v>89.976805928632899</v>
      </c>
      <c r="AK1703">
        <v>20.134508967985099</v>
      </c>
      <c r="AL1703">
        <v>67.999696134765799</v>
      </c>
      <c r="AM1703">
        <v>93.244247902110502</v>
      </c>
      <c r="AN1703">
        <v>0.99999997148309305</v>
      </c>
    </row>
    <row r="1704" spans="1:40" x14ac:dyDescent="0.25">
      <c r="A1704" t="str">
        <f>"20190304164631698"</f>
        <v>20190304164631698</v>
      </c>
      <c r="B1704" t="str">
        <f>"1551689191689542"</f>
        <v>1551689191689542</v>
      </c>
      <c r="C1704" t="s">
        <v>40</v>
      </c>
      <c r="D1704">
        <v>3.7835359999999998</v>
      </c>
      <c r="E1704">
        <v>0.54188349999999996</v>
      </c>
      <c r="F1704" t="s">
        <v>49</v>
      </c>
      <c r="G1704">
        <v>-371.97359999999998</v>
      </c>
      <c r="H1704" s="1">
        <v>-4.8653419999999999E-7</v>
      </c>
      <c r="I1704">
        <v>285.44439999999997</v>
      </c>
      <c r="J1704">
        <v>-351.43340000000001</v>
      </c>
      <c r="K1704">
        <v>1.1106799999999999</v>
      </c>
      <c r="L1704">
        <v>285.1576</v>
      </c>
      <c r="M1704">
        <v>-0.9999287</v>
      </c>
      <c r="N1704">
        <v>-1.1081830000000001E-2</v>
      </c>
      <c r="O1704">
        <v>4.490806E-3</v>
      </c>
      <c r="P1704">
        <v>-0.93007669999999998</v>
      </c>
      <c r="Q1704">
        <v>0.36423179999999999</v>
      </c>
      <c r="R1704">
        <v>-4.7884299999999998E-2</v>
      </c>
      <c r="S1704">
        <v>-3.2969059999999999</v>
      </c>
      <c r="T1704">
        <v>-0.17577599999999999</v>
      </c>
      <c r="U1704">
        <v>4.5593259999999997E-2</v>
      </c>
      <c r="V1704">
        <v>-5.2050020000000002E-2</v>
      </c>
      <c r="W1704">
        <v>0.37451509999999999</v>
      </c>
      <c r="X1704">
        <v>0.92575870000000005</v>
      </c>
      <c r="Y1704">
        <v>9.3249969999999998E-3</v>
      </c>
      <c r="Z1704">
        <v>1.1060469999999999E-4</v>
      </c>
      <c r="AA1704">
        <v>0.99995650000000003</v>
      </c>
      <c r="AB1704">
        <v>30</v>
      </c>
      <c r="AC1704">
        <v>-20.540199999999899</v>
      </c>
      <c r="AD1704">
        <v>-1.1106804865341999</v>
      </c>
      <c r="AE1704">
        <v>0.28679999999997102</v>
      </c>
      <c r="AF1704">
        <v>0.19398232446973501</v>
      </c>
      <c r="AG1704">
        <v>-1.1106804865341999</v>
      </c>
      <c r="AH1704">
        <v>20.481406098033499</v>
      </c>
      <c r="AI1704">
        <v>93.103897632068197</v>
      </c>
      <c r="AJ1704">
        <v>89.457359708221006</v>
      </c>
      <c r="AK1704">
        <v>20.512416630858901</v>
      </c>
      <c r="AL1704">
        <v>68.005653019422098</v>
      </c>
      <c r="AM1704">
        <v>93.218019950228197</v>
      </c>
      <c r="AN1704">
        <v>0.99999996766784904</v>
      </c>
    </row>
    <row r="1705" spans="1:40" x14ac:dyDescent="0.25">
      <c r="A1705" t="str">
        <f>"20190304164631721"</f>
        <v>20190304164631721</v>
      </c>
      <c r="B1705" t="str">
        <f>"1551689191710039"</f>
        <v>1551689191710039</v>
      </c>
      <c r="C1705" t="s">
        <v>40</v>
      </c>
      <c r="D1705">
        <v>3.7927430000000002</v>
      </c>
      <c r="E1705">
        <v>0.54232550000000002</v>
      </c>
      <c r="F1705" t="s">
        <v>49</v>
      </c>
      <c r="G1705">
        <v>-372.16419999999999</v>
      </c>
      <c r="H1705" s="1">
        <v>-3.851112E-7</v>
      </c>
      <c r="I1705">
        <v>285.48410000000001</v>
      </c>
      <c r="J1705">
        <v>-351.74340000000001</v>
      </c>
      <c r="K1705">
        <v>1.110687</v>
      </c>
      <c r="L1705">
        <v>285.15899999999999</v>
      </c>
      <c r="M1705">
        <v>-0.99992910000000002</v>
      </c>
      <c r="N1705">
        <v>-1.103985E-2</v>
      </c>
      <c r="O1705">
        <v>4.4702520000000001E-3</v>
      </c>
      <c r="P1705">
        <v>-0.9302011</v>
      </c>
      <c r="Q1705">
        <v>0.36396460000000003</v>
      </c>
      <c r="R1705">
        <v>-4.7497249999999998E-2</v>
      </c>
      <c r="S1705">
        <v>-3.2973940000000002</v>
      </c>
      <c r="T1705">
        <v>-0.17666270000000001</v>
      </c>
      <c r="U1705">
        <v>5.1940920000000002E-2</v>
      </c>
      <c r="V1705">
        <v>-5.1651660000000002E-2</v>
      </c>
      <c r="W1705">
        <v>0.37420959999999998</v>
      </c>
      <c r="X1705">
        <v>0.92590459999999997</v>
      </c>
      <c r="Y1705">
        <v>1.126459E-2</v>
      </c>
      <c r="Z1705">
        <v>1.737733E-4</v>
      </c>
      <c r="AA1705">
        <v>0.99993650000000001</v>
      </c>
      <c r="AB1705">
        <v>30</v>
      </c>
      <c r="AC1705">
        <v>-20.4207999999999</v>
      </c>
      <c r="AD1705">
        <v>-1.1106873851112</v>
      </c>
      <c r="AE1705">
        <v>0.32510000000001998</v>
      </c>
      <c r="AF1705">
        <v>0.233115624113168</v>
      </c>
      <c r="AG1705">
        <v>-1.1106873851112</v>
      </c>
      <c r="AH1705">
        <v>20.361828730585401</v>
      </c>
      <c r="AI1705">
        <v>93.122044609636404</v>
      </c>
      <c r="AJ1705">
        <v>89.344068842360798</v>
      </c>
      <c r="AK1705">
        <v>20.393431261446501</v>
      </c>
      <c r="AL1705">
        <v>68.0245308248426</v>
      </c>
      <c r="AM1705">
        <v>93.192940136305197</v>
      </c>
      <c r="AN1705">
        <v>1.0000000235070301</v>
      </c>
    </row>
    <row r="1706" spans="1:40" x14ac:dyDescent="0.25">
      <c r="A1706" t="str">
        <f>"20190304164631741"</f>
        <v>20190304164631741</v>
      </c>
      <c r="B1706" t="str">
        <f>"1551689191729558"</f>
        <v>1551689191729558</v>
      </c>
      <c r="C1706" t="s">
        <v>40</v>
      </c>
      <c r="D1706">
        <v>3.7926519999999999</v>
      </c>
      <c r="E1706">
        <v>0.54269820000000002</v>
      </c>
      <c r="F1706" t="s">
        <v>49</v>
      </c>
      <c r="G1706">
        <v>-372.37560000000002</v>
      </c>
      <c r="H1706" s="1">
        <v>-2.72608E-7</v>
      </c>
      <c r="I1706">
        <v>285.51569999999998</v>
      </c>
      <c r="J1706">
        <v>-352.00819999999999</v>
      </c>
      <c r="K1706">
        <v>1.1106849999999999</v>
      </c>
      <c r="L1706">
        <v>285.1601</v>
      </c>
      <c r="M1706">
        <v>-0.99992970000000003</v>
      </c>
      <c r="N1706">
        <v>-1.100405E-2</v>
      </c>
      <c r="O1706">
        <v>4.4354870000000001E-3</v>
      </c>
      <c r="P1706">
        <v>-0.93031189999999997</v>
      </c>
      <c r="Q1706">
        <v>0.36365009999999998</v>
      </c>
      <c r="R1706">
        <v>-4.7735710000000001E-2</v>
      </c>
      <c r="S1706">
        <v>-3.2974549999999998</v>
      </c>
      <c r="T1706">
        <v>-0.17751120000000001</v>
      </c>
      <c r="U1706">
        <v>5.7006840000000003E-2</v>
      </c>
      <c r="V1706">
        <v>-5.1869209999999999E-2</v>
      </c>
      <c r="W1706">
        <v>0.37386200000000003</v>
      </c>
      <c r="X1706">
        <v>0.92603279999999999</v>
      </c>
      <c r="Y1706">
        <v>1.283198E-2</v>
      </c>
      <c r="Z1706">
        <v>2.259831E-4</v>
      </c>
      <c r="AA1706">
        <v>0.99991759999999996</v>
      </c>
      <c r="AB1706">
        <v>30</v>
      </c>
      <c r="AC1706">
        <v>-20.3674</v>
      </c>
      <c r="AD1706">
        <v>-1.1106852726080001</v>
      </c>
      <c r="AE1706">
        <v>0.35559999999998099</v>
      </c>
      <c r="AF1706">
        <v>0.26446547509072499</v>
      </c>
      <c r="AG1706">
        <v>-1.1106852726080001</v>
      </c>
      <c r="AH1706">
        <v>20.3084023839744</v>
      </c>
      <c r="AI1706">
        <v>93.130175529545696</v>
      </c>
      <c r="AJ1706">
        <v>89.253909845185504</v>
      </c>
      <c r="AK1706">
        <v>20.340471261790402</v>
      </c>
      <c r="AL1706">
        <v>68.046004556415198</v>
      </c>
      <c r="AM1706">
        <v>93.205917416717895</v>
      </c>
      <c r="AN1706">
        <v>0.99999997833293097</v>
      </c>
    </row>
    <row r="1707" spans="1:40" x14ac:dyDescent="0.25">
      <c r="A1707" t="str">
        <f>"20190304164631762"</f>
        <v>20190304164631762</v>
      </c>
      <c r="B1707" t="str">
        <f>"1551689191759815"</f>
        <v>1551689191759815</v>
      </c>
      <c r="C1707" t="s">
        <v>40</v>
      </c>
      <c r="D1707">
        <v>3.7903410000000002</v>
      </c>
      <c r="E1707">
        <v>0.54311999999999905</v>
      </c>
      <c r="F1707" t="s">
        <v>49</v>
      </c>
      <c r="G1707">
        <v>-372.42739999999998</v>
      </c>
      <c r="H1707" s="1">
        <v>-2.4505290000000003E-7</v>
      </c>
      <c r="I1707">
        <v>285.53070000000002</v>
      </c>
      <c r="J1707">
        <v>-352.30309999999997</v>
      </c>
      <c r="K1707">
        <v>1.1106959999999999</v>
      </c>
      <c r="L1707">
        <v>285.16129999999998</v>
      </c>
      <c r="M1707">
        <v>-0.9999304</v>
      </c>
      <c r="N1707">
        <v>-1.0963799999999999E-2</v>
      </c>
      <c r="O1707">
        <v>4.3737189999999999E-3</v>
      </c>
      <c r="P1707">
        <v>-0.93039519999999998</v>
      </c>
      <c r="Q1707">
        <v>0.36339700000000003</v>
      </c>
      <c r="R1707">
        <v>-4.8037349999999999E-2</v>
      </c>
      <c r="S1707">
        <v>-3.2979129999999999</v>
      </c>
      <c r="T1707">
        <v>-0.179387299999999</v>
      </c>
      <c r="U1707">
        <v>5.9844969999999997E-2</v>
      </c>
      <c r="V1707">
        <v>-5.2129700000000001E-2</v>
      </c>
      <c r="W1707">
        <v>0.37357050000000003</v>
      </c>
      <c r="X1707">
        <v>0.92613579999999995</v>
      </c>
      <c r="Y1707">
        <v>1.3749600000000001E-2</v>
      </c>
      <c r="Z1707">
        <v>2.5930719999999998E-4</v>
      </c>
      <c r="AA1707">
        <v>0.99990540000000006</v>
      </c>
      <c r="AB1707">
        <v>30</v>
      </c>
      <c r="AC1707">
        <v>-20.124300000000002</v>
      </c>
      <c r="AD1707">
        <v>-1.1106962450529001</v>
      </c>
      <c r="AE1707">
        <v>0.36940000000004097</v>
      </c>
      <c r="AF1707">
        <v>0.28051893810162398</v>
      </c>
      <c r="AG1707">
        <v>-1.1106962450529001</v>
      </c>
      <c r="AH1707">
        <v>20.064624288849298</v>
      </c>
      <c r="AI1707">
        <v>93.1681193827513</v>
      </c>
      <c r="AJ1707">
        <v>89.199012952985598</v>
      </c>
      <c r="AK1707">
        <v>20.0973004375236</v>
      </c>
      <c r="AL1707">
        <v>68.064010821041293</v>
      </c>
      <c r="AM1707">
        <v>93.221626294721403</v>
      </c>
      <c r="AN1707">
        <v>0.99999997206698898</v>
      </c>
    </row>
    <row r="1708" spans="1:40" x14ac:dyDescent="0.25">
      <c r="A1708" t="str">
        <f>"20190304164631787"</f>
        <v>20190304164631787</v>
      </c>
      <c r="B1708" t="str">
        <f>"1551689191780310"</f>
        <v>1551689191780310</v>
      </c>
      <c r="C1708" t="s">
        <v>40</v>
      </c>
      <c r="D1708">
        <v>3.7823199999999999</v>
      </c>
      <c r="E1708">
        <v>0.54334139999999997</v>
      </c>
      <c r="F1708" t="s">
        <v>49</v>
      </c>
      <c r="G1708">
        <v>-372.58260000000001</v>
      </c>
      <c r="H1708" s="1">
        <v>-1.624426E-7</v>
      </c>
      <c r="I1708">
        <v>285.5462</v>
      </c>
      <c r="J1708">
        <v>-352.61840000000001</v>
      </c>
      <c r="K1708">
        <v>1.110711</v>
      </c>
      <c r="L1708">
        <v>285.16269999999997</v>
      </c>
      <c r="M1708">
        <v>-0.99993129999999997</v>
      </c>
      <c r="N1708">
        <v>-1.0919649999999999E-2</v>
      </c>
      <c r="O1708">
        <v>4.2797979999999996E-3</v>
      </c>
      <c r="P1708">
        <v>-0.93041680000000004</v>
      </c>
      <c r="Q1708">
        <v>0.36335509999999999</v>
      </c>
      <c r="R1708">
        <v>-4.7936520000000003E-2</v>
      </c>
      <c r="S1708">
        <v>-3.2981569999999998</v>
      </c>
      <c r="T1708">
        <v>-0.1806381</v>
      </c>
      <c r="U1708">
        <v>6.2591549999999996E-2</v>
      </c>
      <c r="V1708">
        <v>-5.1961180000000003E-2</v>
      </c>
      <c r="W1708">
        <v>0.3734847</v>
      </c>
      <c r="X1708">
        <v>0.92617989999999994</v>
      </c>
      <c r="Y1708">
        <v>1.4672599999999999E-2</v>
      </c>
      <c r="Z1708">
        <v>2.9416039999999999E-4</v>
      </c>
      <c r="AA1708">
        <v>0.99989229999999996</v>
      </c>
      <c r="AB1708">
        <v>30</v>
      </c>
      <c r="AC1708">
        <v>-19.964200000000002</v>
      </c>
      <c r="AD1708">
        <v>-1.1107111624426</v>
      </c>
      <c r="AE1708">
        <v>0.38350000000002599</v>
      </c>
      <c r="AF1708">
        <v>0.29712930047875802</v>
      </c>
      <c r="AG1708">
        <v>-1.1107111624426</v>
      </c>
      <c r="AH1708">
        <v>19.904072797255498</v>
      </c>
      <c r="AI1708">
        <v>93.193620755459506</v>
      </c>
      <c r="AJ1708">
        <v>89.144748382533805</v>
      </c>
      <c r="AK1708">
        <v>19.9372535477188</v>
      </c>
      <c r="AL1708">
        <v>68.069310944741602</v>
      </c>
      <c r="AM1708">
        <v>93.211080972156495</v>
      </c>
      <c r="AN1708">
        <v>0.99999999626254599</v>
      </c>
    </row>
    <row r="1709" spans="1:40" x14ac:dyDescent="0.25">
      <c r="A1709" t="str">
        <f>"20190304164631821"</f>
        <v>20190304164631821</v>
      </c>
      <c r="B1709" t="str">
        <f>"1551689191809590"</f>
        <v>1551689191809590</v>
      </c>
      <c r="C1709" t="s">
        <v>40</v>
      </c>
      <c r="D1709">
        <v>3.7719100000000001</v>
      </c>
      <c r="E1709">
        <v>0.54357359999999999</v>
      </c>
      <c r="F1709" t="s">
        <v>49</v>
      </c>
      <c r="G1709">
        <v>-372.87259999999998</v>
      </c>
      <c r="H1709" s="1">
        <v>-8.1625590000000001E-9</v>
      </c>
      <c r="I1709">
        <v>285.56029999999998</v>
      </c>
      <c r="J1709">
        <v>-353.06310000000002</v>
      </c>
      <c r="K1709">
        <v>1.1107279999999999</v>
      </c>
      <c r="L1709">
        <v>285.1644</v>
      </c>
      <c r="M1709">
        <v>-0.9999325</v>
      </c>
      <c r="N1709">
        <v>-1.08618E-2</v>
      </c>
      <c r="O1709">
        <v>4.1050039999999998E-3</v>
      </c>
      <c r="P1709">
        <v>-0.93010320000000002</v>
      </c>
      <c r="Q1709">
        <v>0.36389949999999999</v>
      </c>
      <c r="R1709">
        <v>-4.9851119999999999E-2</v>
      </c>
      <c r="S1709">
        <v>-3.2983090000000002</v>
      </c>
      <c r="T1709">
        <v>-0.18087510000000001</v>
      </c>
      <c r="U1709">
        <v>6.4758300000000005E-2</v>
      </c>
      <c r="V1709">
        <v>-5.3736199999999998E-2</v>
      </c>
      <c r="W1709">
        <v>0.37396859999999998</v>
      </c>
      <c r="X1709">
        <v>0.92588329999999996</v>
      </c>
      <c r="Y1709">
        <v>1.550145E-2</v>
      </c>
      <c r="Z1709">
        <v>3.2859160000000003E-4</v>
      </c>
      <c r="AA1709">
        <v>0.99987979999999999</v>
      </c>
      <c r="AB1709">
        <v>30</v>
      </c>
      <c r="AC1709">
        <v>-19.8094999999999</v>
      </c>
      <c r="AD1709">
        <v>-1.1107280081625499</v>
      </c>
      <c r="AE1709">
        <v>0.39589999999998299</v>
      </c>
      <c r="AF1709">
        <v>0.31358828722205601</v>
      </c>
      <c r="AG1709">
        <v>-1.1107280081625499</v>
      </c>
      <c r="AH1709">
        <v>19.7488946241258</v>
      </c>
      <c r="AI1709">
        <v>93.218663962916906</v>
      </c>
      <c r="AJ1709">
        <v>89.090289564600099</v>
      </c>
      <c r="AK1709">
        <v>19.782590659385999</v>
      </c>
      <c r="AL1709">
        <v>68.039419387468101</v>
      </c>
      <c r="AM1709">
        <v>93.321593027599505</v>
      </c>
      <c r="AN1709">
        <v>0.99999998909764398</v>
      </c>
    </row>
    <row r="1710" spans="1:40" x14ac:dyDescent="0.25">
      <c r="A1710" t="str">
        <f>"20190304164631842"</f>
        <v>20190304164631842</v>
      </c>
      <c r="B1710" t="str">
        <f>"1551689191839846"</f>
        <v>1551689191839846</v>
      </c>
      <c r="C1710" t="s">
        <v>40</v>
      </c>
      <c r="D1710">
        <v>3.7884760000000002</v>
      </c>
      <c r="E1710">
        <v>0.54379429999999995</v>
      </c>
      <c r="F1710" t="s">
        <v>49</v>
      </c>
      <c r="G1710">
        <v>-373.62180000000001</v>
      </c>
      <c r="H1710" s="1">
        <v>3.9055989999999998E-7</v>
      </c>
      <c r="I1710">
        <v>285.55169999999998</v>
      </c>
      <c r="J1710">
        <v>-353.3614</v>
      </c>
      <c r="K1710">
        <v>1.11073</v>
      </c>
      <c r="L1710">
        <v>285.16550000000001</v>
      </c>
      <c r="M1710">
        <v>-0.99993359999999998</v>
      </c>
      <c r="N1710">
        <v>-1.082792E-2</v>
      </c>
      <c r="O1710">
        <v>3.9668739999999996E-3</v>
      </c>
      <c r="P1710">
        <v>-0.93016589999999999</v>
      </c>
      <c r="Q1710">
        <v>0.36358449999999998</v>
      </c>
      <c r="R1710">
        <v>-5.0970120000000001E-2</v>
      </c>
      <c r="S1710">
        <v>-3.2984619999999998</v>
      </c>
      <c r="T1710">
        <v>-0.17820629999999901</v>
      </c>
      <c r="U1710">
        <v>6.2133790000000001E-2</v>
      </c>
      <c r="V1710">
        <v>-5.4737790000000001E-2</v>
      </c>
      <c r="W1710">
        <v>0.37362139999999999</v>
      </c>
      <c r="X1710">
        <v>0.92596480000000003</v>
      </c>
      <c r="Y1710">
        <v>1.484502E-2</v>
      </c>
      <c r="Z1710">
        <v>3.0992390000000002E-4</v>
      </c>
      <c r="AA1710">
        <v>0.99988969999999999</v>
      </c>
      <c r="AB1710">
        <v>30</v>
      </c>
      <c r="AC1710">
        <v>-20.260400000000001</v>
      </c>
      <c r="AD1710">
        <v>-1.1107296094401</v>
      </c>
      <c r="AE1710">
        <v>0.38619999999997301</v>
      </c>
      <c r="AF1710">
        <v>0.30490573290001799</v>
      </c>
      <c r="AG1710">
        <v>-1.1107296094401</v>
      </c>
      <c r="AH1710">
        <v>20.201079824700699</v>
      </c>
      <c r="AI1710">
        <v>93.146805867212905</v>
      </c>
      <c r="AJ1710">
        <v>89.135269730630299</v>
      </c>
      <c r="AK1710">
        <v>20.233890230382599</v>
      </c>
      <c r="AL1710">
        <v>68.060867307983898</v>
      </c>
      <c r="AM1710">
        <v>93.383064649084403</v>
      </c>
      <c r="AN1710">
        <v>0.99999999351554203</v>
      </c>
    </row>
    <row r="1711" spans="1:40" x14ac:dyDescent="0.25">
      <c r="A1711" t="str">
        <f>"20190304164631888"</f>
        <v>20190304164631888</v>
      </c>
      <c r="B1711" t="str">
        <f>"1551689191879862"</f>
        <v>1551689191879862</v>
      </c>
      <c r="C1711" t="s">
        <v>40</v>
      </c>
      <c r="D1711">
        <v>3.7444760000000001</v>
      </c>
      <c r="E1711">
        <v>0.54425389999999996</v>
      </c>
      <c r="F1711" t="s">
        <v>49</v>
      </c>
      <c r="G1711">
        <v>-373.82130000000001</v>
      </c>
      <c r="H1711" s="1">
        <v>4.9671509999999998E-7</v>
      </c>
      <c r="I1711">
        <v>285.53039999999999</v>
      </c>
      <c r="J1711">
        <v>-353.96600000000001</v>
      </c>
      <c r="K1711">
        <v>1.110735</v>
      </c>
      <c r="L1711">
        <v>285.16750000000002</v>
      </c>
      <c r="M1711">
        <v>-0.99993560000000004</v>
      </c>
      <c r="N1711">
        <v>-1.076006E-2</v>
      </c>
      <c r="O1711">
        <v>3.662411E-3</v>
      </c>
      <c r="P1711">
        <v>-0.93021759999999998</v>
      </c>
      <c r="Q1711">
        <v>0.36338930000000003</v>
      </c>
      <c r="R1711">
        <v>-5.1419590000000001E-2</v>
      </c>
      <c r="S1711">
        <v>-3.298492</v>
      </c>
      <c r="T1711">
        <v>-0.179068899999999</v>
      </c>
      <c r="U1711">
        <v>5.8837889999999997E-2</v>
      </c>
      <c r="V1711">
        <v>-5.4913969999999999E-2</v>
      </c>
      <c r="W1711">
        <v>0.37336219999999998</v>
      </c>
      <c r="X1711">
        <v>0.92605890000000002</v>
      </c>
      <c r="Y1711">
        <v>1.415132E-2</v>
      </c>
      <c r="Z1711">
        <v>3.0074250000000001E-4</v>
      </c>
      <c r="AA1711">
        <v>0.99989980000000001</v>
      </c>
      <c r="AB1711">
        <v>30</v>
      </c>
      <c r="AC1711">
        <v>-19.8553</v>
      </c>
      <c r="AD1711">
        <v>-1.1107345032848901</v>
      </c>
      <c r="AE1711">
        <v>0.36289999999996703</v>
      </c>
      <c r="AF1711">
        <v>0.289270147845401</v>
      </c>
      <c r="AG1711">
        <v>-1.1107345032848901</v>
      </c>
      <c r="AH1711">
        <v>19.794570612156399</v>
      </c>
      <c r="AI1711">
        <v>93.211332992444397</v>
      </c>
      <c r="AJ1711">
        <v>89.162761382661799</v>
      </c>
      <c r="AK1711">
        <v>19.8278197004832</v>
      </c>
      <c r="AL1711">
        <v>68.076876655357793</v>
      </c>
      <c r="AM1711">
        <v>93.393583964471503</v>
      </c>
      <c r="AN1711">
        <v>0.999999981379605</v>
      </c>
    </row>
    <row r="1712" spans="1:40" x14ac:dyDescent="0.25">
      <c r="A1712" t="str">
        <f>"20190304164631910"</f>
        <v>20190304164631910</v>
      </c>
      <c r="B1712" t="str">
        <f>"1551689191900358"</f>
        <v>1551689191900358</v>
      </c>
      <c r="C1712" t="s">
        <v>40</v>
      </c>
      <c r="D1712">
        <v>3.795131</v>
      </c>
      <c r="E1712">
        <v>0.54459139999999995</v>
      </c>
      <c r="F1712" t="s">
        <v>49</v>
      </c>
      <c r="G1712">
        <v>-374.34829999999999</v>
      </c>
      <c r="H1712" s="1">
        <v>7.7715149999999998E-7</v>
      </c>
      <c r="I1712">
        <v>285.5231</v>
      </c>
      <c r="J1712">
        <v>-354.26209999999998</v>
      </c>
      <c r="K1712">
        <v>1.110733</v>
      </c>
      <c r="L1712">
        <v>285.16840000000002</v>
      </c>
      <c r="M1712">
        <v>-0.99993650000000001</v>
      </c>
      <c r="N1712">
        <v>-1.0727489999999999E-2</v>
      </c>
      <c r="O1712">
        <v>3.5102760000000001E-3</v>
      </c>
      <c r="P1712">
        <v>-0.9300273</v>
      </c>
      <c r="Q1712">
        <v>0.36377029999999999</v>
      </c>
      <c r="R1712">
        <v>-5.216353E-2</v>
      </c>
      <c r="S1712">
        <v>-3.2984309999999999</v>
      </c>
      <c r="T1712">
        <v>-0.17974849999999901</v>
      </c>
      <c r="U1712">
        <v>5.755615E-2</v>
      </c>
      <c r="V1712">
        <v>-5.5518459999999999E-2</v>
      </c>
      <c r="W1712">
        <v>0.37371070000000001</v>
      </c>
      <c r="X1712">
        <v>0.92588230000000005</v>
      </c>
      <c r="Y1712">
        <v>1.3915500000000001E-2</v>
      </c>
      <c r="Z1712">
        <v>3.0006459999999999E-4</v>
      </c>
      <c r="AA1712">
        <v>0.99990310000000004</v>
      </c>
      <c r="AB1712">
        <v>30</v>
      </c>
      <c r="AC1712">
        <v>-20.086200000000002</v>
      </c>
      <c r="AD1712">
        <v>-1.1107322228484999</v>
      </c>
      <c r="AE1712">
        <v>0.35469999999997898</v>
      </c>
      <c r="AF1712">
        <v>0.28331957293022703</v>
      </c>
      <c r="AG1712">
        <v>-1.1107322228484999</v>
      </c>
      <c r="AH1712">
        <v>20.026102685473401</v>
      </c>
      <c r="AI1712">
        <v>93.174296212827599</v>
      </c>
      <c r="AJ1712">
        <v>89.189461217544704</v>
      </c>
      <c r="AK1712">
        <v>20.058882940493099</v>
      </c>
      <c r="AL1712">
        <v>68.055351610493204</v>
      </c>
      <c r="AM1712">
        <v>93.4315044311316</v>
      </c>
      <c r="AN1712">
        <v>1.0000000100742701</v>
      </c>
    </row>
    <row r="1713" spans="1:40" x14ac:dyDescent="0.25">
      <c r="A1713" t="str">
        <f>"20190304164631930"</f>
        <v>20190304164631930</v>
      </c>
      <c r="B1713" t="str">
        <f>"1551689191919878"</f>
        <v>1551689191919878</v>
      </c>
      <c r="C1713" t="s">
        <v>40</v>
      </c>
      <c r="D1713">
        <v>3.744669</v>
      </c>
      <c r="E1713">
        <v>0.54494750000000003</v>
      </c>
      <c r="F1713" t="s">
        <v>49</v>
      </c>
      <c r="G1713">
        <v>-374.84719999999999</v>
      </c>
      <c r="H1713" s="1">
        <v>1.0426420000000001E-6</v>
      </c>
      <c r="I1713">
        <v>285.5394</v>
      </c>
      <c r="J1713">
        <v>-354.5333</v>
      </c>
      <c r="K1713">
        <v>1.1107279999999999</v>
      </c>
      <c r="L1713">
        <v>285.16930000000002</v>
      </c>
      <c r="M1713">
        <v>-0.99993710000000002</v>
      </c>
      <c r="N1713">
        <v>-1.0700619999999999E-2</v>
      </c>
      <c r="O1713">
        <v>3.372898E-3</v>
      </c>
      <c r="P1713">
        <v>-0.92995070000000002</v>
      </c>
      <c r="Q1713">
        <v>0.36399389999999998</v>
      </c>
      <c r="R1713">
        <v>-5.1966209999999999E-2</v>
      </c>
      <c r="S1713">
        <v>-3.2987060000000001</v>
      </c>
      <c r="T1713">
        <v>-0.17799200000000001</v>
      </c>
      <c r="U1713">
        <v>5.9448239999999999E-2</v>
      </c>
      <c r="V1713">
        <v>-5.5194500000000001E-2</v>
      </c>
      <c r="W1713">
        <v>0.37390889999999999</v>
      </c>
      <c r="X1713">
        <v>0.92582169999999997</v>
      </c>
      <c r="Y1713">
        <v>1.4623779999999999E-2</v>
      </c>
      <c r="Z1713">
        <v>3.2675839999999999E-4</v>
      </c>
      <c r="AA1713">
        <v>0.99989300000000003</v>
      </c>
      <c r="AB1713">
        <v>30</v>
      </c>
      <c r="AC1713">
        <v>-20.313899999999901</v>
      </c>
      <c r="AD1713">
        <v>-1.1107269573580001</v>
      </c>
      <c r="AE1713">
        <v>0.370099999999979</v>
      </c>
      <c r="AF1713">
        <v>0.30067862030187897</v>
      </c>
      <c r="AG1713">
        <v>-1.1107269573580001</v>
      </c>
      <c r="AH1713">
        <v>20.254497983647099</v>
      </c>
      <c r="AI1713">
        <v>93.138527429147601</v>
      </c>
      <c r="AJ1713">
        <v>89.149504934511697</v>
      </c>
      <c r="AK1713">
        <v>20.287158760557698</v>
      </c>
      <c r="AL1713">
        <v>68.043109126680307</v>
      </c>
      <c r="AM1713">
        <v>93.411751204052905</v>
      </c>
      <c r="AN1713">
        <v>1.0000000592601701</v>
      </c>
    </row>
    <row r="1714" spans="1:40" x14ac:dyDescent="0.25">
      <c r="A1714" t="str">
        <f>"20190304164631955"</f>
        <v>20190304164631955</v>
      </c>
      <c r="B1714" t="str">
        <f>"1551689191950136"</f>
        <v>1551689191950136</v>
      </c>
      <c r="C1714" t="s">
        <v>40</v>
      </c>
      <c r="D1714">
        <v>3.7345790000000001</v>
      </c>
      <c r="E1714">
        <v>0.55173249999999996</v>
      </c>
      <c r="F1714" t="s">
        <v>49</v>
      </c>
      <c r="G1714">
        <v>-375.20929999999998</v>
      </c>
      <c r="H1714" s="1">
        <v>1.2353339999999999E-6</v>
      </c>
      <c r="I1714">
        <v>285.57319999999999</v>
      </c>
      <c r="J1714">
        <v>-354.85219999999998</v>
      </c>
      <c r="K1714">
        <v>1.110722</v>
      </c>
      <c r="L1714">
        <v>285.17020000000002</v>
      </c>
      <c r="M1714">
        <v>-0.99993799999999999</v>
      </c>
      <c r="N1714">
        <v>-1.067237E-2</v>
      </c>
      <c r="O1714">
        <v>3.2132990000000002E-3</v>
      </c>
      <c r="P1714">
        <v>-0.93000519999999998</v>
      </c>
      <c r="Q1714">
        <v>0.36391679999999998</v>
      </c>
      <c r="R1714">
        <v>-5.1527610000000001E-2</v>
      </c>
      <c r="S1714">
        <v>-3.29895</v>
      </c>
      <c r="T1714">
        <v>-0.1772213</v>
      </c>
      <c r="U1714">
        <v>6.4453129999999997E-2</v>
      </c>
      <c r="V1714">
        <v>-5.4608469999999999E-2</v>
      </c>
      <c r="W1714">
        <v>0.37380590000000002</v>
      </c>
      <c r="X1714">
        <v>0.925898</v>
      </c>
      <c r="Y1714">
        <v>1.629558E-2</v>
      </c>
      <c r="Z1714">
        <v>3.8618270000000002E-4</v>
      </c>
      <c r="AA1714">
        <v>0.99986710000000001</v>
      </c>
      <c r="AB1714">
        <v>30</v>
      </c>
      <c r="AC1714">
        <v>-20.357099999999999</v>
      </c>
      <c r="AD1714">
        <v>-1.110720764666</v>
      </c>
      <c r="AE1714">
        <v>0.402999999999963</v>
      </c>
      <c r="AF1714">
        <v>0.336579150433579</v>
      </c>
      <c r="AG1714">
        <v>-1.110720764666</v>
      </c>
      <c r="AH1714">
        <v>20.297886908608699</v>
      </c>
      <c r="AI1714">
        <v>93.131729145196502</v>
      </c>
      <c r="AJ1714">
        <v>89.050009606297493</v>
      </c>
      <c r="AK1714">
        <v>20.331040285638</v>
      </c>
      <c r="AL1714">
        <v>68.049471106440294</v>
      </c>
      <c r="AM1714">
        <v>93.375333472319596</v>
      </c>
      <c r="AN1714">
        <v>1.0000000211372699</v>
      </c>
    </row>
    <row r="1715" spans="1:40" x14ac:dyDescent="0.25">
      <c r="A1715" t="str">
        <f>"20190304164631975"</f>
        <v>20190304164631975</v>
      </c>
      <c r="B1715" t="str">
        <f>"1551689191969654"</f>
        <v>1551689191969654</v>
      </c>
      <c r="C1715" t="s">
        <v>40</v>
      </c>
      <c r="D1715">
        <v>3.7732610000000002</v>
      </c>
      <c r="E1715">
        <v>0.55114960000000002</v>
      </c>
      <c r="F1715" t="s">
        <v>49</v>
      </c>
      <c r="G1715">
        <v>-377.59910000000002</v>
      </c>
      <c r="H1715" s="1">
        <v>2.5070790000000002E-6</v>
      </c>
      <c r="I1715">
        <v>286.01209999999998</v>
      </c>
      <c r="J1715">
        <v>-355.13729999999998</v>
      </c>
      <c r="K1715">
        <v>1.1107119999999999</v>
      </c>
      <c r="L1715">
        <v>285.17099999999999</v>
      </c>
      <c r="M1715">
        <v>-0.99993860000000001</v>
      </c>
      <c r="N1715">
        <v>-1.0650369999999999E-2</v>
      </c>
      <c r="O1715">
        <v>3.0725050000000001E-3</v>
      </c>
      <c r="P1715">
        <v>-0.93010139999999997</v>
      </c>
      <c r="Q1715">
        <v>0.36372009999999999</v>
      </c>
      <c r="R1715">
        <v>-5.1178649999999999E-2</v>
      </c>
      <c r="S1715">
        <v>-3.295563</v>
      </c>
      <c r="T1715">
        <v>-0.16092039999999999</v>
      </c>
      <c r="U1715">
        <v>0.1219788</v>
      </c>
      <c r="V1715">
        <v>-5.4130520000000001E-2</v>
      </c>
      <c r="W1715">
        <v>0.37358999999999998</v>
      </c>
      <c r="X1715">
        <v>0.92601319999999998</v>
      </c>
      <c r="Y1715">
        <v>3.3870079999999997E-2</v>
      </c>
      <c r="Z1715">
        <v>8.89528E-4</v>
      </c>
      <c r="AA1715">
        <v>0.99942580000000003</v>
      </c>
      <c r="AB1715">
        <v>30</v>
      </c>
      <c r="AC1715">
        <v>-22.4618</v>
      </c>
      <c r="AD1715">
        <v>-1.110709492921</v>
      </c>
      <c r="AE1715">
        <v>0.84109999999998297</v>
      </c>
      <c r="AF1715">
        <v>0.77019748580807501</v>
      </c>
      <c r="AG1715">
        <v>-1.110709492921</v>
      </c>
      <c r="AH1715">
        <v>22.409559585622802</v>
      </c>
      <c r="AI1715">
        <v>92.835819672118703</v>
      </c>
      <c r="AJ1715">
        <v>88.031567652378399</v>
      </c>
      <c r="AK1715">
        <v>22.450283752469399</v>
      </c>
      <c r="AL1715">
        <v>68.062807543697403</v>
      </c>
      <c r="AM1715">
        <v>93.345443640213304</v>
      </c>
      <c r="AN1715">
        <v>1.0000000239348501</v>
      </c>
    </row>
    <row r="1716" spans="1:40" x14ac:dyDescent="0.25">
      <c r="A1716" t="str">
        <f>"20190304164631997"</f>
        <v>20190304164631997</v>
      </c>
      <c r="B1716" t="str">
        <f>"1551689191990150"</f>
        <v>1551689191990150</v>
      </c>
      <c r="C1716" t="s">
        <v>40</v>
      </c>
      <c r="D1716">
        <v>3.7543220000000002</v>
      </c>
      <c r="E1716">
        <v>0.55088939999999997</v>
      </c>
      <c r="F1716" t="s">
        <v>49</v>
      </c>
      <c r="G1716">
        <v>-376.36059999999998</v>
      </c>
      <c r="H1716" s="1">
        <v>1.84801E-6</v>
      </c>
      <c r="I1716">
        <v>285.92500000000001</v>
      </c>
      <c r="J1716">
        <v>-355.4359</v>
      </c>
      <c r="K1716">
        <v>1.1107089999999999</v>
      </c>
      <c r="L1716">
        <v>285.17169999999999</v>
      </c>
      <c r="M1716">
        <v>-0.99993929999999998</v>
      </c>
      <c r="N1716">
        <v>-1.0629939999999999E-2</v>
      </c>
      <c r="O1716">
        <v>2.9258690000000002E-3</v>
      </c>
      <c r="P1716">
        <v>-0.93020139999999996</v>
      </c>
      <c r="Q1716">
        <v>0.36353350000000001</v>
      </c>
      <c r="R1716">
        <v>-5.0685670000000002E-2</v>
      </c>
      <c r="S1716">
        <v>-3.2994080000000001</v>
      </c>
      <c r="T1716">
        <v>-0.17267299999999999</v>
      </c>
      <c r="U1716">
        <v>0.117218</v>
      </c>
      <c r="V1716">
        <v>-5.3501170000000001E-2</v>
      </c>
      <c r="W1716">
        <v>0.3733861</v>
      </c>
      <c r="X1716">
        <v>0.92613199999999996</v>
      </c>
      <c r="Y1716">
        <v>3.2529269999999999E-2</v>
      </c>
      <c r="Z1716">
        <v>9.0155349999999999E-4</v>
      </c>
      <c r="AA1716">
        <v>0.99947039999999998</v>
      </c>
      <c r="AB1716">
        <v>30</v>
      </c>
      <c r="AC1716">
        <v>-20.924699999999898</v>
      </c>
      <c r="AD1716">
        <v>-1.11070715199</v>
      </c>
      <c r="AE1716">
        <v>0.75330000000002395</v>
      </c>
      <c r="AF1716">
        <v>0.69012839504962598</v>
      </c>
      <c r="AG1716">
        <v>-1.11070715199</v>
      </c>
      <c r="AH1716">
        <v>20.868092595843599</v>
      </c>
      <c r="AI1716">
        <v>93.045039471938907</v>
      </c>
      <c r="AJ1716">
        <v>88.105862418092599</v>
      </c>
      <c r="AK1716">
        <v>20.909022841056899</v>
      </c>
      <c r="AL1716">
        <v>68.075401382213101</v>
      </c>
      <c r="AM1716">
        <v>93.306211341090105</v>
      </c>
      <c r="AN1716">
        <v>1.0000000181442801</v>
      </c>
    </row>
    <row r="1717" spans="1:40" x14ac:dyDescent="0.25">
      <c r="A1717" t="str">
        <f>"20190304164632020"</f>
        <v>20190304164632020</v>
      </c>
      <c r="B1717" t="str">
        <f>"1551689192009670"</f>
        <v>1551689192009670</v>
      </c>
      <c r="C1717" t="s">
        <v>40</v>
      </c>
      <c r="D1717">
        <v>3.7647759999999999</v>
      </c>
      <c r="E1717">
        <v>0.55076939999999996</v>
      </c>
      <c r="F1717" t="s">
        <v>49</v>
      </c>
      <c r="G1717">
        <v>-376.21089999999998</v>
      </c>
      <c r="H1717" s="1">
        <v>1.768366E-6</v>
      </c>
      <c r="I1717">
        <v>285.90320000000003</v>
      </c>
      <c r="J1717">
        <v>-355.733</v>
      </c>
      <c r="K1717">
        <v>1.110708</v>
      </c>
      <c r="L1717">
        <v>285.17239999999998</v>
      </c>
      <c r="M1717">
        <v>-0.99993989999999999</v>
      </c>
      <c r="N1717">
        <v>-1.061226E-2</v>
      </c>
      <c r="O1717">
        <v>2.7801739999999998E-3</v>
      </c>
      <c r="P1717">
        <v>-0.93020000000000003</v>
      </c>
      <c r="Q1717">
        <v>0.36355749999999998</v>
      </c>
      <c r="R1717">
        <v>-5.0538840000000002E-2</v>
      </c>
      <c r="S1717">
        <v>-3.3003849999999999</v>
      </c>
      <c r="T1717">
        <v>-0.17644979999999999</v>
      </c>
      <c r="U1717">
        <v>0.11621090000000001</v>
      </c>
      <c r="V1717">
        <v>-5.3218809999999998E-2</v>
      </c>
      <c r="W1717">
        <v>0.3733937</v>
      </c>
      <c r="X1717">
        <v>0.9261452</v>
      </c>
      <c r="Y1717">
        <v>3.2357990000000003E-2</v>
      </c>
      <c r="Z1717">
        <v>9.1699589999999997E-4</v>
      </c>
      <c r="AA1717">
        <v>0.99947589999999997</v>
      </c>
      <c r="AB1717">
        <v>30</v>
      </c>
      <c r="AC1717">
        <v>-20.477899999999899</v>
      </c>
      <c r="AD1717">
        <v>-1.110706231634</v>
      </c>
      <c r="AE1717">
        <v>0.73080000000004397</v>
      </c>
      <c r="AF1717">
        <v>0.67188773758041298</v>
      </c>
      <c r="AG1717">
        <v>-1.110706231634</v>
      </c>
      <c r="AH1717">
        <v>20.4198559969836</v>
      </c>
      <c r="AI1717">
        <v>93.111765781350897</v>
      </c>
      <c r="AJ1717">
        <v>88.115439795034206</v>
      </c>
      <c r="AK1717">
        <v>20.461075739130798</v>
      </c>
      <c r="AL1717">
        <v>68.074931894178306</v>
      </c>
      <c r="AM1717">
        <v>93.288753974832403</v>
      </c>
      <c r="AN1717">
        <v>1.0000000142102701</v>
      </c>
    </row>
    <row r="1718" spans="1:40" x14ac:dyDescent="0.25">
      <c r="A1718" t="str">
        <f>"20190304164632041"</f>
        <v>20190304164632041</v>
      </c>
      <c r="B1718" t="str">
        <f>"1551689192030167"</f>
        <v>1551689192030167</v>
      </c>
      <c r="C1718" t="s">
        <v>40</v>
      </c>
      <c r="D1718">
        <v>3.7439070000000001</v>
      </c>
      <c r="E1718">
        <v>0.55055600000000005</v>
      </c>
      <c r="F1718" t="s">
        <v>49</v>
      </c>
      <c r="G1718">
        <v>-376.9683</v>
      </c>
      <c r="H1718" s="1">
        <v>2.1713880000000002E-6</v>
      </c>
      <c r="I1718">
        <v>285.91559999999998</v>
      </c>
      <c r="J1718">
        <v>-356.02800000000002</v>
      </c>
      <c r="K1718">
        <v>1.1107049999999901</v>
      </c>
      <c r="L1718">
        <v>285.17309999999998</v>
      </c>
      <c r="M1718">
        <v>-0.9999403</v>
      </c>
      <c r="N1718">
        <v>-1.05971E-2</v>
      </c>
      <c r="O1718">
        <v>2.6364890000000001E-3</v>
      </c>
      <c r="P1718">
        <v>-0.93014839999999999</v>
      </c>
      <c r="Q1718">
        <v>0.36369780000000002</v>
      </c>
      <c r="R1718">
        <v>-5.0478990000000001E-2</v>
      </c>
      <c r="S1718">
        <v>-3.2988279999999999</v>
      </c>
      <c r="T1718">
        <v>-0.172544</v>
      </c>
      <c r="U1718">
        <v>0.115448</v>
      </c>
      <c r="V1718">
        <v>-5.3025580000000003E-2</v>
      </c>
      <c r="W1718">
        <v>0.3735193</v>
      </c>
      <c r="X1718">
        <v>0.92610559999999997</v>
      </c>
      <c r="Y1718">
        <v>3.2289360000000003E-2</v>
      </c>
      <c r="Z1718">
        <v>9.0504579999999999E-4</v>
      </c>
      <c r="AA1718">
        <v>0.99947819999999998</v>
      </c>
      <c r="AB1718">
        <v>30</v>
      </c>
      <c r="AC1718">
        <v>-20.940299999999901</v>
      </c>
      <c r="AD1718">
        <v>-1.11070282861199</v>
      </c>
      <c r="AE1718">
        <v>0.74250000000000604</v>
      </c>
      <c r="AF1718">
        <v>0.685359681303229</v>
      </c>
      <c r="AG1718">
        <v>-1.11070282861199</v>
      </c>
      <c r="AH1718">
        <v>20.8835052447774</v>
      </c>
      <c r="AI1718">
        <v>93.042809807216599</v>
      </c>
      <c r="AJ1718">
        <v>88.120328552793694</v>
      </c>
      <c r="AK1718">
        <v>20.9242483729975</v>
      </c>
      <c r="AL1718">
        <v>68.0671734951095</v>
      </c>
      <c r="AM1718">
        <v>93.276978852506005</v>
      </c>
      <c r="AN1718">
        <v>0.99999998097909304</v>
      </c>
    </row>
    <row r="1719" spans="1:40" x14ac:dyDescent="0.25">
      <c r="A1719" t="str">
        <f>"20190304164632065"</f>
        <v>20190304164632065</v>
      </c>
      <c r="B1719" t="str">
        <f>"1551689192059447"</f>
        <v>1551689192059447</v>
      </c>
      <c r="C1719" t="s">
        <v>40</v>
      </c>
      <c r="D1719">
        <v>3.7629380000000001</v>
      </c>
      <c r="E1719">
        <v>0.55058719999999906</v>
      </c>
      <c r="F1719" t="s">
        <v>49</v>
      </c>
      <c r="G1719">
        <v>-377.06880000000001</v>
      </c>
      <c r="H1719" s="1">
        <v>2.2248810000000002E-6</v>
      </c>
      <c r="I1719">
        <v>285.89780000000002</v>
      </c>
      <c r="J1719">
        <v>-356.3374</v>
      </c>
      <c r="K1719">
        <v>1.1107070000000001</v>
      </c>
      <c r="L1719">
        <v>285.1737</v>
      </c>
      <c r="M1719">
        <v>-0.99994099999999997</v>
      </c>
      <c r="N1719">
        <v>-1.0583560000000001E-2</v>
      </c>
      <c r="O1719">
        <v>2.4859999999999999E-3</v>
      </c>
      <c r="P1719">
        <v>-0.93004929999999997</v>
      </c>
      <c r="Q1719">
        <v>0.3639192</v>
      </c>
      <c r="R1719">
        <v>-5.0708030000000001E-2</v>
      </c>
      <c r="S1719">
        <v>-3.2995610000000002</v>
      </c>
      <c r="T1719">
        <v>-0.1741769</v>
      </c>
      <c r="U1719">
        <v>0.113647499999999</v>
      </c>
      <c r="V1719">
        <v>-5.3114830000000002E-2</v>
      </c>
      <c r="W1719">
        <v>0.37372759999999999</v>
      </c>
      <c r="X1719">
        <v>0.92601639999999996</v>
      </c>
      <c r="Y1719">
        <v>3.1886980000000002E-2</v>
      </c>
      <c r="Z1719">
        <v>9.0491400000000004E-4</v>
      </c>
      <c r="AA1719">
        <v>0.99949109999999997</v>
      </c>
      <c r="AB1719">
        <v>30</v>
      </c>
      <c r="AC1719">
        <v>-20.731400000000001</v>
      </c>
      <c r="AD1719">
        <v>-1.11070477511899</v>
      </c>
      <c r="AE1719">
        <v>0.72410000000002095</v>
      </c>
      <c r="AF1719">
        <v>0.67063398852056</v>
      </c>
      <c r="AG1719">
        <v>-1.11070477511899</v>
      </c>
      <c r="AH1719">
        <v>20.673866511835701</v>
      </c>
      <c r="AI1719">
        <v>93.073649198664299</v>
      </c>
      <c r="AJ1719">
        <v>88.142049144187794</v>
      </c>
      <c r="AK1719">
        <v>20.714540100934801</v>
      </c>
      <c r="AL1719">
        <v>68.054306020268299</v>
      </c>
      <c r="AM1719">
        <v>93.282797947183695</v>
      </c>
      <c r="AN1719">
        <v>0.99999993861832204</v>
      </c>
    </row>
    <row r="1720" spans="1:40" x14ac:dyDescent="0.25">
      <c r="A1720" t="str">
        <f>"20190304164632088"</f>
        <v>20190304164632088</v>
      </c>
      <c r="B1720" t="str">
        <f>"1551689192080195"</f>
        <v>1551689192080195</v>
      </c>
      <c r="C1720" t="s">
        <v>40</v>
      </c>
      <c r="D1720">
        <v>3.755236</v>
      </c>
      <c r="E1720">
        <v>0.55052089999999998</v>
      </c>
      <c r="F1720" t="s">
        <v>49</v>
      </c>
      <c r="G1720">
        <v>-377.96809999999999</v>
      </c>
      <c r="H1720" s="1">
        <v>2.703454E-6</v>
      </c>
      <c r="I1720">
        <v>285.91750000000002</v>
      </c>
      <c r="J1720">
        <v>-356.65089999999998</v>
      </c>
      <c r="K1720">
        <v>1.110711</v>
      </c>
      <c r="L1720">
        <v>285.17430000000002</v>
      </c>
      <c r="M1720">
        <v>-0.99994150000000004</v>
      </c>
      <c r="N1720">
        <v>-1.0572E-2</v>
      </c>
      <c r="O1720">
        <v>2.3333569999999999E-3</v>
      </c>
      <c r="P1720">
        <v>-0.93001820000000002</v>
      </c>
      <c r="Q1720">
        <v>0.36400870000000002</v>
      </c>
      <c r="R1720">
        <v>-5.063488E-2</v>
      </c>
      <c r="S1720">
        <v>-3.2980649999999998</v>
      </c>
      <c r="T1720">
        <v>-0.16935049999999999</v>
      </c>
      <c r="U1720">
        <v>0.1134033</v>
      </c>
      <c r="V1720">
        <v>-5.2900200000000001E-2</v>
      </c>
      <c r="W1720">
        <v>0.37380580000000002</v>
      </c>
      <c r="X1720">
        <v>0.92599719999999996</v>
      </c>
      <c r="Y1720">
        <v>3.1983459999999998E-2</v>
      </c>
      <c r="Z1720">
        <v>8.9457130000000003E-4</v>
      </c>
      <c r="AA1720">
        <v>0.99948800000000004</v>
      </c>
      <c r="AB1720">
        <v>30</v>
      </c>
      <c r="AC1720">
        <v>-21.3172</v>
      </c>
      <c r="AD1720">
        <v>-1.110708296546</v>
      </c>
      <c r="AE1720">
        <v>0.74320000000000097</v>
      </c>
      <c r="AF1720">
        <v>0.69157933581556497</v>
      </c>
      <c r="AG1720">
        <v>-1.110708296546</v>
      </c>
      <c r="AH1720">
        <v>21.261226057650902</v>
      </c>
      <c r="AI1720">
        <v>92.988893999280606</v>
      </c>
      <c r="AJ1720">
        <v>88.136955463842696</v>
      </c>
      <c r="AK1720">
        <v>21.301448034635499</v>
      </c>
      <c r="AL1720">
        <v>68.0494770460746</v>
      </c>
      <c r="AM1720">
        <v>93.269629077737406</v>
      </c>
      <c r="AN1720">
        <v>1.0000000108407501</v>
      </c>
    </row>
    <row r="1721" spans="1:40" x14ac:dyDescent="0.25">
      <c r="A1721" t="str">
        <f>"20190304164632110"</f>
        <v>20190304164632110</v>
      </c>
      <c r="B1721" t="str">
        <f>"1551689192099715"</f>
        <v>1551689192099715</v>
      </c>
      <c r="C1721" t="s">
        <v>40</v>
      </c>
      <c r="D1721">
        <v>3.7250239999999999</v>
      </c>
      <c r="E1721">
        <v>0.55058669999999899</v>
      </c>
      <c r="F1721" t="s">
        <v>49</v>
      </c>
      <c r="G1721">
        <v>-378.19740000000002</v>
      </c>
      <c r="H1721" s="1">
        <v>2.8254909999999998E-6</v>
      </c>
      <c r="I1721">
        <v>285.90940000000001</v>
      </c>
      <c r="J1721">
        <v>-356.94690000000003</v>
      </c>
      <c r="K1721">
        <v>1.1106990000000001</v>
      </c>
      <c r="L1721">
        <v>285.17489999999998</v>
      </c>
      <c r="M1721">
        <v>-0.99994179999999999</v>
      </c>
      <c r="N1721">
        <v>-1.056286E-2</v>
      </c>
      <c r="O1721">
        <v>2.1894649999999998E-3</v>
      </c>
      <c r="P1721">
        <v>-0.93000590000000005</v>
      </c>
      <c r="Q1721">
        <v>0.36404140000000001</v>
      </c>
      <c r="R1721">
        <v>-5.0623550000000003E-2</v>
      </c>
      <c r="S1721">
        <v>-3.2984619999999998</v>
      </c>
      <c r="T1721">
        <v>-0.1700332</v>
      </c>
      <c r="U1721">
        <v>0.1125183</v>
      </c>
      <c r="V1721">
        <v>-5.2755249999999997E-2</v>
      </c>
      <c r="W1721">
        <v>0.3738301</v>
      </c>
      <c r="X1721">
        <v>0.92599560000000003</v>
      </c>
      <c r="Y1721">
        <v>3.1855040000000001E-2</v>
      </c>
      <c r="Z1721">
        <v>8.9904949999999905E-4</v>
      </c>
      <c r="AA1721">
        <v>0.99949209999999999</v>
      </c>
      <c r="AB1721">
        <v>30</v>
      </c>
      <c r="AC1721">
        <v>-21.250499999999899</v>
      </c>
      <c r="AD1721">
        <v>-1.1106961745089901</v>
      </c>
      <c r="AE1721">
        <v>0.73450000000002502</v>
      </c>
      <c r="AF1721">
        <v>0.68609636080742997</v>
      </c>
      <c r="AG1721">
        <v>-1.1106961745089901</v>
      </c>
      <c r="AH1721">
        <v>21.194227561354801</v>
      </c>
      <c r="AI1721">
        <v>92.998307638619295</v>
      </c>
      <c r="AJ1721">
        <v>88.145877092488206</v>
      </c>
      <c r="AK1721">
        <v>21.234397946042002</v>
      </c>
      <c r="AL1721">
        <v>68.047974656280402</v>
      </c>
      <c r="AM1721">
        <v>93.260695060332594</v>
      </c>
      <c r="AN1721">
        <v>0.99999995564396504</v>
      </c>
    </row>
    <row r="1722" spans="1:40" x14ac:dyDescent="0.25">
      <c r="A1722" t="str">
        <f>"20190304164632130"</f>
        <v>20190304164632130</v>
      </c>
      <c r="B1722" t="str">
        <f>"1551689192120212"</f>
        <v>1551689192120212</v>
      </c>
      <c r="C1722" t="s">
        <v>40</v>
      </c>
      <c r="D1722">
        <v>3.7242199999999999</v>
      </c>
      <c r="E1722">
        <v>0.55058209999999996</v>
      </c>
      <c r="F1722" t="s">
        <v>49</v>
      </c>
      <c r="G1722">
        <v>-378.45319999999998</v>
      </c>
      <c r="H1722" s="1">
        <v>2.9615919999999999E-6</v>
      </c>
      <c r="I1722">
        <v>285.9042</v>
      </c>
      <c r="J1722">
        <v>-357.22390000000001</v>
      </c>
      <c r="K1722">
        <v>1.110697</v>
      </c>
      <c r="L1722">
        <v>285.17540000000002</v>
      </c>
      <c r="M1722">
        <v>-0.9999422</v>
      </c>
      <c r="N1722">
        <v>-1.0555699999999999E-2</v>
      </c>
      <c r="O1722">
        <v>2.0544410000000002E-3</v>
      </c>
      <c r="P1722">
        <v>-0.92989750000000004</v>
      </c>
      <c r="Q1722">
        <v>0.36429630000000002</v>
      </c>
      <c r="R1722">
        <v>-5.078121E-2</v>
      </c>
      <c r="S1722">
        <v>-3.2985530000000001</v>
      </c>
      <c r="T1722">
        <v>-0.17035410000000001</v>
      </c>
      <c r="U1722">
        <v>0.1118469</v>
      </c>
      <c r="V1722">
        <v>-5.2787559999999997E-2</v>
      </c>
      <c r="W1722">
        <v>0.3740774</v>
      </c>
      <c r="X1722">
        <v>0.92589399999999999</v>
      </c>
      <c r="Y1722">
        <v>3.17857E-2</v>
      </c>
      <c r="Z1722">
        <v>9.0362280000000003E-4</v>
      </c>
      <c r="AA1722">
        <v>0.99949429999999995</v>
      </c>
      <c r="AB1722">
        <v>30</v>
      </c>
      <c r="AC1722">
        <v>-21.229299999999899</v>
      </c>
      <c r="AD1722">
        <v>-1.110694038408</v>
      </c>
      <c r="AE1722">
        <v>0.72879999999997802</v>
      </c>
      <c r="AF1722">
        <v>0.68331347721112801</v>
      </c>
      <c r="AG1722">
        <v>-1.110694038408</v>
      </c>
      <c r="AH1722">
        <v>21.172864942365699</v>
      </c>
      <c r="AI1722">
        <v>93.001331082278696</v>
      </c>
      <c r="AJ1722">
        <v>88.151530539798799</v>
      </c>
      <c r="AK1722">
        <v>21.212985844117998</v>
      </c>
      <c r="AL1722">
        <v>68.032699464546894</v>
      </c>
      <c r="AM1722">
        <v>93.263045009867398</v>
      </c>
      <c r="AN1722">
        <v>1.00000006345875</v>
      </c>
    </row>
    <row r="1723" spans="1:40" x14ac:dyDescent="0.25">
      <c r="A1723" t="str">
        <f>"20190304164632154"</f>
        <v>20190304164632154</v>
      </c>
      <c r="B1723" t="str">
        <f>"1551689192149491"</f>
        <v>1551689192149491</v>
      </c>
      <c r="C1723" t="s">
        <v>40</v>
      </c>
      <c r="D1723">
        <v>3.7550720000000002</v>
      </c>
      <c r="E1723">
        <v>0.55066660000000001</v>
      </c>
      <c r="F1723" t="s">
        <v>49</v>
      </c>
      <c r="G1723">
        <v>-378.82569999999998</v>
      </c>
      <c r="H1723" s="1">
        <v>3.159838E-6</v>
      </c>
      <c r="I1723">
        <v>285.911</v>
      </c>
      <c r="J1723">
        <v>-357.53469999999999</v>
      </c>
      <c r="K1723">
        <v>1.1106959999999999</v>
      </c>
      <c r="L1723">
        <v>285.17579999999998</v>
      </c>
      <c r="M1723">
        <v>-0.99994260000000001</v>
      </c>
      <c r="N1723">
        <v>-1.0549019999999999E-2</v>
      </c>
      <c r="O1723">
        <v>1.902372E-3</v>
      </c>
      <c r="P1723">
        <v>-0.92977069999999995</v>
      </c>
      <c r="Q1723">
        <v>0.3645408</v>
      </c>
      <c r="R1723">
        <v>-5.1348779999999997E-2</v>
      </c>
      <c r="S1723">
        <v>-3.298737</v>
      </c>
      <c r="T1723">
        <v>-0.16960989999999901</v>
      </c>
      <c r="U1723">
        <v>0.112335199999999</v>
      </c>
      <c r="V1723">
        <v>-5.3212959999999997E-2</v>
      </c>
      <c r="W1723">
        <v>0.37431439999999999</v>
      </c>
      <c r="X1723">
        <v>0.92577379999999998</v>
      </c>
      <c r="Y1723">
        <v>3.2083390000000003E-2</v>
      </c>
      <c r="Z1723">
        <v>9.1577189999999999E-4</v>
      </c>
      <c r="AA1723">
        <v>0.99948479999999995</v>
      </c>
      <c r="AB1723">
        <v>30</v>
      </c>
      <c r="AC1723">
        <v>-21.291</v>
      </c>
      <c r="AD1723">
        <v>-1.110692840162</v>
      </c>
      <c r="AE1723">
        <v>0.73520000000001995</v>
      </c>
      <c r="AF1723">
        <v>0.69280983337964597</v>
      </c>
      <c r="AG1723">
        <v>-1.110692840162</v>
      </c>
      <c r="AH1723">
        <v>21.2346405862152</v>
      </c>
      <c r="AI1723">
        <v>92.992578093772593</v>
      </c>
      <c r="AJ1723">
        <v>88.131307973466505</v>
      </c>
      <c r="AK1723">
        <v>21.274952053439499</v>
      </c>
      <c r="AL1723">
        <v>68.018055293196795</v>
      </c>
      <c r="AM1723">
        <v>93.289709590638793</v>
      </c>
      <c r="AN1723">
        <v>1.00000000896288</v>
      </c>
    </row>
    <row r="1724" spans="1:40" x14ac:dyDescent="0.25">
      <c r="A1724" t="str">
        <f>"20190304164632177"</f>
        <v>20190304164632177</v>
      </c>
      <c r="B1724" t="str">
        <f>"1551689192169993"</f>
        <v>1551689192169993</v>
      </c>
      <c r="C1724" t="s">
        <v>40</v>
      </c>
      <c r="D1724">
        <v>3.754413</v>
      </c>
      <c r="E1724">
        <v>0.55078260000000001</v>
      </c>
      <c r="F1724" t="s">
        <v>49</v>
      </c>
      <c r="G1724">
        <v>-379.2921</v>
      </c>
      <c r="H1724" s="1">
        <v>3.4080240000000001E-6</v>
      </c>
      <c r="I1724">
        <v>285.91419999999999</v>
      </c>
      <c r="J1724">
        <v>-357.84649999999999</v>
      </c>
      <c r="K1724">
        <v>1.1106990000000001</v>
      </c>
      <c r="L1724">
        <v>285.17630000000003</v>
      </c>
      <c r="M1724">
        <v>-0.99994300000000003</v>
      </c>
      <c r="N1724">
        <v>-1.0543729999999999E-2</v>
      </c>
      <c r="O1724">
        <v>1.750824E-3</v>
      </c>
      <c r="P1724">
        <v>-0.92984750000000005</v>
      </c>
      <c r="Q1724">
        <v>0.36434810000000001</v>
      </c>
      <c r="R1724">
        <v>-5.1324219999999997E-2</v>
      </c>
      <c r="S1724">
        <v>-3.2987669999999998</v>
      </c>
      <c r="T1724">
        <v>-0.1683981</v>
      </c>
      <c r="U1724">
        <v>0.1119385</v>
      </c>
      <c r="V1724">
        <v>-5.3048440000000002E-2</v>
      </c>
      <c r="W1724">
        <v>0.37411759999999999</v>
      </c>
      <c r="X1724">
        <v>0.92586279999999999</v>
      </c>
      <c r="Y1724">
        <v>3.2114959999999998E-2</v>
      </c>
      <c r="Z1724">
        <v>9.1759160000000003E-4</v>
      </c>
      <c r="AA1724">
        <v>0.99948380000000003</v>
      </c>
      <c r="AB1724">
        <v>30</v>
      </c>
      <c r="AC1724">
        <v>-21.445599999999999</v>
      </c>
      <c r="AD1724">
        <v>-1.110695591976</v>
      </c>
      <c r="AE1724">
        <v>0.73789999999996703</v>
      </c>
      <c r="AF1724">
        <v>0.69847797560992297</v>
      </c>
      <c r="AG1724">
        <v>-1.110695591976</v>
      </c>
      <c r="AH1724">
        <v>21.389552940892301</v>
      </c>
      <c r="AI1724">
        <v>92.970948096054997</v>
      </c>
      <c r="AJ1724">
        <v>88.129665254591302</v>
      </c>
      <c r="AK1724">
        <v>21.4297571426202</v>
      </c>
      <c r="AL1724">
        <v>68.030214832577101</v>
      </c>
      <c r="AM1724">
        <v>93.279246373557697</v>
      </c>
      <c r="AN1724">
        <v>1.0000000200200101</v>
      </c>
    </row>
    <row r="1725" spans="1:40" x14ac:dyDescent="0.25">
      <c r="A1725" t="str">
        <f>"20190304164632197"</f>
        <v>20190304164632197</v>
      </c>
      <c r="B1725" t="str">
        <f>"1551689192189986"</f>
        <v>1551689192189986</v>
      </c>
      <c r="C1725" t="s">
        <v>40</v>
      </c>
      <c r="D1725">
        <v>3.7400449999999998</v>
      </c>
      <c r="E1725">
        <v>0.55072149999999997</v>
      </c>
      <c r="F1725" t="s">
        <v>49</v>
      </c>
      <c r="G1725">
        <v>-379.59440000000001</v>
      </c>
      <c r="H1725" s="1">
        <v>3.5688909999999998E-6</v>
      </c>
      <c r="I1725">
        <v>285.91849999999999</v>
      </c>
      <c r="J1725">
        <v>-358.13679999999999</v>
      </c>
      <c r="K1725">
        <v>1.1106940000000001</v>
      </c>
      <c r="L1725">
        <v>285.17660000000001</v>
      </c>
      <c r="M1725">
        <v>-0.99994309999999997</v>
      </c>
      <c r="N1725">
        <v>-1.053984E-2</v>
      </c>
      <c r="O1725">
        <v>1.6093450000000001E-3</v>
      </c>
      <c r="P1725">
        <v>-0.9299598</v>
      </c>
      <c r="Q1725">
        <v>0.36400640000000001</v>
      </c>
      <c r="R1725">
        <v>-5.1714959999999997E-2</v>
      </c>
      <c r="S1725">
        <v>-3.2985229999999999</v>
      </c>
      <c r="T1725">
        <v>-0.1684599</v>
      </c>
      <c r="U1725">
        <v>0.11257929999999999</v>
      </c>
      <c r="V1725">
        <v>-5.3307180000000003E-2</v>
      </c>
      <c r="W1725">
        <v>0.37377359999999998</v>
      </c>
      <c r="X1725">
        <v>0.92598689999999995</v>
      </c>
      <c r="Y1725">
        <v>3.2452160000000001E-2</v>
      </c>
      <c r="Z1725">
        <v>9.3395190000000001E-4</v>
      </c>
      <c r="AA1725">
        <v>0.9994729</v>
      </c>
      <c r="AB1725">
        <v>30</v>
      </c>
      <c r="AC1725">
        <v>-21.457599999999999</v>
      </c>
      <c r="AD1725">
        <v>-1.110690431109</v>
      </c>
      <c r="AE1725">
        <v>0.74189999999998602</v>
      </c>
      <c r="AF1725">
        <v>0.70547650073961699</v>
      </c>
      <c r="AG1725">
        <v>-1.110690431109</v>
      </c>
      <c r="AH1725">
        <v>21.401493373696098</v>
      </c>
      <c r="AI1725">
        <v>92.969249727672405</v>
      </c>
      <c r="AJ1725">
        <v>88.111991803425099</v>
      </c>
      <c r="AK1725">
        <v>21.441904042113698</v>
      </c>
      <c r="AL1725">
        <v>68.051467040100306</v>
      </c>
      <c r="AM1725">
        <v>93.294764856729998</v>
      </c>
      <c r="AN1725">
        <v>1.0000000492340599</v>
      </c>
    </row>
    <row r="1726" spans="1:40" x14ac:dyDescent="0.25">
      <c r="A1726" t="str">
        <f>"20190304164632220"</f>
        <v>20190304164632220</v>
      </c>
      <c r="B1726" t="str">
        <f>"1551689192209505"</f>
        <v>1551689192209505</v>
      </c>
      <c r="C1726" t="s">
        <v>40</v>
      </c>
      <c r="D1726">
        <v>3.736281</v>
      </c>
      <c r="E1726">
        <v>0.55073879999999997</v>
      </c>
      <c r="F1726" t="s">
        <v>49</v>
      </c>
      <c r="G1726">
        <v>-379.83589999999998</v>
      </c>
      <c r="H1726" s="1">
        <v>3.6973760000000001E-6</v>
      </c>
      <c r="I1726">
        <v>285.90640000000002</v>
      </c>
      <c r="J1726">
        <v>-358.43020000000001</v>
      </c>
      <c r="K1726">
        <v>1.1106910000000001</v>
      </c>
      <c r="L1726">
        <v>285.17700000000002</v>
      </c>
      <c r="M1726">
        <v>-0.99994349999999999</v>
      </c>
      <c r="N1726">
        <v>-1.0536770000000001E-2</v>
      </c>
      <c r="O1726">
        <v>1.466193E-3</v>
      </c>
      <c r="P1726">
        <v>-0.93009439999999999</v>
      </c>
      <c r="Q1726">
        <v>0.36367460000000001</v>
      </c>
      <c r="R1726">
        <v>-5.1628159999999999E-2</v>
      </c>
      <c r="S1726">
        <v>-3.298187</v>
      </c>
      <c r="T1726">
        <v>-0.16882130000000001</v>
      </c>
      <c r="U1726">
        <v>0.1109314</v>
      </c>
      <c r="V1726">
        <v>-5.3087889999999999E-2</v>
      </c>
      <c r="W1726">
        <v>0.37344050000000001</v>
      </c>
      <c r="X1726">
        <v>0.92613380000000001</v>
      </c>
      <c r="Y1726">
        <v>3.2100129999999998E-2</v>
      </c>
      <c r="Z1726">
        <v>9.3053190000000005E-4</v>
      </c>
      <c r="AA1726">
        <v>0.99948419999999905</v>
      </c>
      <c r="AB1726">
        <v>30</v>
      </c>
      <c r="AC1726">
        <v>-21.4056999999999</v>
      </c>
      <c r="AD1726">
        <v>-1.1106873026240001</v>
      </c>
      <c r="AE1726">
        <v>0.72939999999999805</v>
      </c>
      <c r="AF1726">
        <v>0.696140537703</v>
      </c>
      <c r="AG1726">
        <v>-1.1106873026240001</v>
      </c>
      <c r="AH1726">
        <v>21.3493341680255</v>
      </c>
      <c r="AI1726">
        <v>92.976517309034904</v>
      </c>
      <c r="AJ1726">
        <v>88.132410708692206</v>
      </c>
      <c r="AK1726">
        <v>21.389537333716799</v>
      </c>
      <c r="AL1726">
        <v>68.072040417311001</v>
      </c>
      <c r="AM1726">
        <v>93.280721521219903</v>
      </c>
      <c r="AN1726">
        <v>0.99999997330366996</v>
      </c>
    </row>
    <row r="1727" spans="1:40" x14ac:dyDescent="0.25">
      <c r="A1727" t="str">
        <f>"20190304164632242"</f>
        <v>20190304164632242</v>
      </c>
      <c r="B1727" t="str">
        <f>"1551689192239760"</f>
        <v>1551689192239760</v>
      </c>
      <c r="C1727" t="s">
        <v>40</v>
      </c>
      <c r="D1727">
        <v>3.7118449999999998</v>
      </c>
      <c r="E1727">
        <v>0.55080929999999995</v>
      </c>
      <c r="F1727" t="s">
        <v>49</v>
      </c>
      <c r="G1727">
        <v>-379.87670000000003</v>
      </c>
      <c r="H1727" s="1">
        <v>3.7190809999999998E-6</v>
      </c>
      <c r="I1727">
        <v>285.90359999999998</v>
      </c>
      <c r="J1727">
        <v>-358.73579999999998</v>
      </c>
      <c r="K1727">
        <v>1.110689</v>
      </c>
      <c r="L1727">
        <v>285.1773</v>
      </c>
      <c r="M1727">
        <v>-0.99994369999999999</v>
      </c>
      <c r="N1727">
        <v>-1.053424E-2</v>
      </c>
      <c r="O1727">
        <v>1.3172559999999999E-3</v>
      </c>
      <c r="P1727">
        <v>-0.93011149999999998</v>
      </c>
      <c r="Q1727">
        <v>0.36358020000000002</v>
      </c>
      <c r="R1727">
        <v>-5.197972E-2</v>
      </c>
      <c r="S1727">
        <v>-3.2984309999999999</v>
      </c>
      <c r="T1727">
        <v>-0.17082169999999999</v>
      </c>
      <c r="U1727">
        <v>0.1117554</v>
      </c>
      <c r="V1727">
        <v>-5.3301660000000001E-2</v>
      </c>
      <c r="W1727">
        <v>0.3733436</v>
      </c>
      <c r="X1727">
        <v>0.9261606</v>
      </c>
      <c r="Y1727">
        <v>3.2494090000000003E-2</v>
      </c>
      <c r="Z1727">
        <v>9.57664E-4</v>
      </c>
      <c r="AA1727">
        <v>0.99947149999999996</v>
      </c>
      <c r="AB1727">
        <v>30</v>
      </c>
      <c r="AC1727">
        <v>-21.140899999999998</v>
      </c>
      <c r="AD1727">
        <v>-1.110685280919</v>
      </c>
      <c r="AE1727">
        <v>0.72629999999997996</v>
      </c>
      <c r="AF1727">
        <v>0.69652957836579399</v>
      </c>
      <c r="AG1727">
        <v>-1.110685280919</v>
      </c>
      <c r="AH1727">
        <v>21.083712506143399</v>
      </c>
      <c r="AI1727">
        <v>93.013900227912501</v>
      </c>
      <c r="AJ1727">
        <v>88.107842914473295</v>
      </c>
      <c r="AK1727">
        <v>21.124433916403401</v>
      </c>
      <c r="AL1727">
        <v>68.078025481066405</v>
      </c>
      <c r="AM1727">
        <v>93.293807929050701</v>
      </c>
      <c r="AN1727">
        <v>0.99999998380603705</v>
      </c>
    </row>
    <row r="1728" spans="1:40" x14ac:dyDescent="0.25">
      <c r="A1728" t="str">
        <f>"20190304164632265"</f>
        <v>20190304164632265</v>
      </c>
      <c r="B1728" t="str">
        <f>"1551689192260257"</f>
        <v>1551689192260257</v>
      </c>
      <c r="C1728" t="s">
        <v>40</v>
      </c>
      <c r="D1728">
        <v>3.766858</v>
      </c>
      <c r="E1728">
        <v>0.55084119999999903</v>
      </c>
      <c r="F1728" t="s">
        <v>49</v>
      </c>
      <c r="G1728">
        <v>-380.1164</v>
      </c>
      <c r="H1728" s="1">
        <v>-1.4748329999999999E-6</v>
      </c>
      <c r="I1728">
        <v>285.90140000000002</v>
      </c>
      <c r="J1728">
        <v>-359.0446</v>
      </c>
      <c r="K1728">
        <v>1.1106860000000001</v>
      </c>
      <c r="L1728">
        <v>285.17750000000001</v>
      </c>
      <c r="M1728">
        <v>-0.99994400000000006</v>
      </c>
      <c r="N1728">
        <v>-1.053232E-2</v>
      </c>
      <c r="O1728">
        <v>1.1663509999999999E-3</v>
      </c>
      <c r="P1728">
        <v>-0.93002649999999998</v>
      </c>
      <c r="Q1728">
        <v>0.3637978</v>
      </c>
      <c r="R1728">
        <v>-5.1984389999999998E-2</v>
      </c>
      <c r="S1728">
        <v>-3.2986759999999999</v>
      </c>
      <c r="T1728">
        <v>-0.1713614</v>
      </c>
      <c r="U1728">
        <v>0.1117249</v>
      </c>
      <c r="V1728">
        <v>-5.3165089999999998E-2</v>
      </c>
      <c r="W1728">
        <v>0.37355860000000002</v>
      </c>
      <c r="X1728">
        <v>0.92608179999999996</v>
      </c>
      <c r="Y1728">
        <v>3.2632540000000002E-2</v>
      </c>
      <c r="Z1728">
        <v>9.7057779999999998E-4</v>
      </c>
      <c r="AA1728">
        <v>0.99946699999999999</v>
      </c>
      <c r="AB1728">
        <v>30</v>
      </c>
      <c r="AC1728">
        <v>-21.0718</v>
      </c>
      <c r="AD1728">
        <v>-1.110687474833</v>
      </c>
      <c r="AE1728">
        <v>0.72390000000001398</v>
      </c>
      <c r="AF1728">
        <v>0.69738576403504404</v>
      </c>
      <c r="AG1728">
        <v>-1.110687474833</v>
      </c>
      <c r="AH1728">
        <v>21.014314607195899</v>
      </c>
      <c r="AI1728">
        <v>93.023825926864006</v>
      </c>
      <c r="AJ1728">
        <v>88.099266963804496</v>
      </c>
      <c r="AK1728">
        <v>21.055198692504302</v>
      </c>
      <c r="AL1728">
        <v>68.064747129974293</v>
      </c>
      <c r="AM1728">
        <v>93.285665954911593</v>
      </c>
      <c r="AN1728">
        <v>1.0000000273599501</v>
      </c>
    </row>
    <row r="1729" spans="1:40" x14ac:dyDescent="0.25">
      <c r="A1729" t="str">
        <f>"20190304164632288"</f>
        <v>20190304164632288</v>
      </c>
      <c r="B1729" t="str">
        <f>"1551689192279776"</f>
        <v>1551689192279776</v>
      </c>
      <c r="C1729" t="s">
        <v>40</v>
      </c>
      <c r="D1729">
        <v>3.7682069999999999</v>
      </c>
      <c r="E1729">
        <v>0.55085580000000001</v>
      </c>
      <c r="F1729" t="s">
        <v>49</v>
      </c>
      <c r="G1729">
        <v>-380.47239999999999</v>
      </c>
      <c r="H1729" s="1">
        <v>-1.2853880000000001E-6</v>
      </c>
      <c r="I1729">
        <v>285.90620000000001</v>
      </c>
      <c r="J1729">
        <v>-359.35939999999999</v>
      </c>
      <c r="K1729">
        <v>1.110689</v>
      </c>
      <c r="L1729">
        <v>285.17770000000002</v>
      </c>
      <c r="M1729">
        <v>-0.99994400000000006</v>
      </c>
      <c r="N1729">
        <v>-1.0537980000000001E-2</v>
      </c>
      <c r="O1729">
        <v>1.0129570000000001E-3</v>
      </c>
      <c r="P1729">
        <v>-0.92991889999999999</v>
      </c>
      <c r="Q1729">
        <v>0.36402479999999998</v>
      </c>
      <c r="R1729">
        <v>-5.2316960000000003E-2</v>
      </c>
      <c r="S1729">
        <v>-3.298889</v>
      </c>
      <c r="T1729">
        <v>-0.170993799999999</v>
      </c>
      <c r="U1729">
        <v>0.11218259999999999</v>
      </c>
      <c r="V1729">
        <v>-5.3355800000000002E-2</v>
      </c>
      <c r="W1729">
        <v>0.3737895</v>
      </c>
      <c r="X1729">
        <v>0.92597759999999996</v>
      </c>
      <c r="Y1729">
        <v>3.2921810000000003E-2</v>
      </c>
      <c r="Z1729">
        <v>9.842834E-4</v>
      </c>
      <c r="AA1729">
        <v>0.99945740000000005</v>
      </c>
      <c r="AB1729">
        <v>30</v>
      </c>
      <c r="AC1729">
        <v>-21.113</v>
      </c>
      <c r="AD1729">
        <v>-1.1106902853880001</v>
      </c>
      <c r="AE1729">
        <v>0.72849999999999604</v>
      </c>
      <c r="AF1729">
        <v>0.70516266842751996</v>
      </c>
      <c r="AG1729">
        <v>-1.1106902853880001</v>
      </c>
      <c r="AH1729">
        <v>21.055525485899899</v>
      </c>
      <c r="AI1729">
        <v>93.017895588719497</v>
      </c>
      <c r="AJ1729">
        <v>88.081845576133901</v>
      </c>
      <c r="AK1729">
        <v>21.096588368415802</v>
      </c>
      <c r="AL1729">
        <v>68.050483100510704</v>
      </c>
      <c r="AM1729">
        <v>93.297796338782902</v>
      </c>
      <c r="AN1729">
        <v>0.99999997370282401</v>
      </c>
    </row>
    <row r="1730" spans="1:40" x14ac:dyDescent="0.25">
      <c r="A1730" t="str">
        <f>"20190304164632310"</f>
        <v>20190304164632310</v>
      </c>
      <c r="B1730" t="str">
        <f>"1551689192300273"</f>
        <v>1551689192300273</v>
      </c>
      <c r="C1730" t="s">
        <v>40</v>
      </c>
      <c r="D1730">
        <v>3.7787329999999999</v>
      </c>
      <c r="E1730">
        <v>0.55089189999999999</v>
      </c>
      <c r="F1730" t="s">
        <v>49</v>
      </c>
      <c r="G1730">
        <v>-380.81810000000002</v>
      </c>
      <c r="H1730" s="1">
        <v>-1.1014459999999999E-6</v>
      </c>
      <c r="I1730">
        <v>285.90280000000001</v>
      </c>
      <c r="J1730">
        <v>-359.65050000000002</v>
      </c>
      <c r="K1730">
        <v>1.110692</v>
      </c>
      <c r="L1730">
        <v>285.17779999999999</v>
      </c>
      <c r="M1730">
        <v>-0.99994400000000006</v>
      </c>
      <c r="N1730">
        <v>-1.055296E-2</v>
      </c>
      <c r="O1730">
        <v>8.7131479999999896E-4</v>
      </c>
      <c r="P1730">
        <v>-0.92990010000000001</v>
      </c>
      <c r="Q1730">
        <v>0.36399979999999998</v>
      </c>
      <c r="R1730">
        <v>-5.2821960000000001E-2</v>
      </c>
      <c r="S1730">
        <v>-3.2992249999999999</v>
      </c>
      <c r="T1730">
        <v>-0.17076639999999901</v>
      </c>
      <c r="U1730">
        <v>0.1114807</v>
      </c>
      <c r="V1730">
        <v>-5.3729159999999998E-2</v>
      </c>
      <c r="W1730">
        <v>0.37377840000000001</v>
      </c>
      <c r="X1730">
        <v>0.92596049999999996</v>
      </c>
      <c r="Y1730">
        <v>3.2847670000000002E-2</v>
      </c>
      <c r="Z1730">
        <v>9.8692529999999993E-4</v>
      </c>
      <c r="AA1730">
        <v>0.99945989999999996</v>
      </c>
      <c r="AB1730">
        <v>30</v>
      </c>
      <c r="AC1730">
        <v>-21.1676</v>
      </c>
      <c r="AD1730">
        <v>-1.110693101446</v>
      </c>
      <c r="AE1730">
        <v>0.72500000000002196</v>
      </c>
      <c r="AF1730">
        <v>0.70461734441914603</v>
      </c>
      <c r="AG1730">
        <v>-1.110693101446</v>
      </c>
      <c r="AH1730">
        <v>21.110170326905799</v>
      </c>
      <c r="AI1730">
        <v>93.010116893330803</v>
      </c>
      <c r="AJ1730">
        <v>88.088285562663103</v>
      </c>
      <c r="AK1730">
        <v>21.1511090961828</v>
      </c>
      <c r="AL1730">
        <v>68.051168959245999</v>
      </c>
      <c r="AM1730">
        <v>93.320882563738493</v>
      </c>
      <c r="AN1730">
        <v>0.999999981250557</v>
      </c>
    </row>
    <row r="1731" spans="1:40" x14ac:dyDescent="0.25">
      <c r="A1731" t="str">
        <f>"20190304164632333"</f>
        <v>20190304164632333</v>
      </c>
      <c r="B1731" t="str">
        <f>"1551689192329553"</f>
        <v>1551689192329553</v>
      </c>
      <c r="C1731" t="s">
        <v>40</v>
      </c>
      <c r="D1731">
        <v>3.7813140000000001</v>
      </c>
      <c r="E1731">
        <v>0.55091319999999999</v>
      </c>
      <c r="F1731" t="s">
        <v>49</v>
      </c>
      <c r="G1731">
        <v>-380.97820000000002</v>
      </c>
      <c r="H1731" s="1">
        <v>-1.01625E-6</v>
      </c>
      <c r="I1731">
        <v>285.8913</v>
      </c>
      <c r="J1731">
        <v>-359.9579</v>
      </c>
      <c r="K1731">
        <v>1.110692</v>
      </c>
      <c r="L1731">
        <v>285.178</v>
      </c>
      <c r="M1731">
        <v>-0.99994400000000006</v>
      </c>
      <c r="N1731">
        <v>-1.057658E-2</v>
      </c>
      <c r="O1731">
        <v>7.217581E-4</v>
      </c>
      <c r="P1731">
        <v>-0.92984800000000001</v>
      </c>
      <c r="Q1731">
        <v>0.36408750000000001</v>
      </c>
      <c r="R1731">
        <v>-5.3136389999999999E-2</v>
      </c>
      <c r="S1731">
        <v>-3.2996829999999999</v>
      </c>
      <c r="T1731">
        <v>-0.17183970000000001</v>
      </c>
      <c r="U1731">
        <v>0.1103821</v>
      </c>
      <c r="V1731">
        <v>-5.390499E-2</v>
      </c>
      <c r="W1731">
        <v>0.37388769999999999</v>
      </c>
      <c r="X1731">
        <v>0.92590620000000001</v>
      </c>
      <c r="Y1731">
        <v>3.2659649999999998E-2</v>
      </c>
      <c r="Z1731">
        <v>9.9258960000000009E-4</v>
      </c>
      <c r="AA1731">
        <v>0.99946610000000002</v>
      </c>
      <c r="AB1731">
        <v>30</v>
      </c>
      <c r="AC1731">
        <v>-21.020299999999999</v>
      </c>
      <c r="AD1731">
        <v>-1.1106930162499999</v>
      </c>
      <c r="AE1731">
        <v>0.71330000000000304</v>
      </c>
      <c r="AF1731">
        <v>0.69618590434901195</v>
      </c>
      <c r="AG1731">
        <v>-1.1106930162499999</v>
      </c>
      <c r="AH1731">
        <v>20.962350510456901</v>
      </c>
      <c r="AI1731">
        <v>93.031320386618603</v>
      </c>
      <c r="AJ1731">
        <v>88.097834579852005</v>
      </c>
      <c r="AK1731">
        <v>21.0032962344726</v>
      </c>
      <c r="AL1731">
        <v>68.044418011527597</v>
      </c>
      <c r="AM1731">
        <v>93.331920741354807</v>
      </c>
      <c r="AN1731">
        <v>1.0000000256783099</v>
      </c>
    </row>
    <row r="1732" spans="1:40" x14ac:dyDescent="0.25">
      <c r="A1732" t="str">
        <f>"20190304164632355"</f>
        <v>20190304164632355</v>
      </c>
      <c r="B1732" t="str">
        <f>"1551689192350049"</f>
        <v>1551689192350049</v>
      </c>
      <c r="C1732" t="s">
        <v>40</v>
      </c>
      <c r="D1732">
        <v>3.7987489999999999</v>
      </c>
      <c r="E1732">
        <v>0.55101489999999997</v>
      </c>
      <c r="F1732" t="s">
        <v>49</v>
      </c>
      <c r="G1732">
        <v>-381.19529999999997</v>
      </c>
      <c r="H1732" s="1">
        <v>-9.007143E-7</v>
      </c>
      <c r="I1732">
        <v>285.88569999999999</v>
      </c>
      <c r="J1732">
        <v>-360.26479999999998</v>
      </c>
      <c r="K1732">
        <v>1.110703</v>
      </c>
      <c r="L1732">
        <v>285.178</v>
      </c>
      <c r="M1732">
        <v>-0.99994360000000004</v>
      </c>
      <c r="N1732">
        <v>-1.0609510000000001E-2</v>
      </c>
      <c r="O1732">
        <v>5.7292499999999995E-4</v>
      </c>
      <c r="P1732">
        <v>-0.929844</v>
      </c>
      <c r="Q1732">
        <v>0.36401529999999999</v>
      </c>
      <c r="R1732">
        <v>-5.3697300000000003E-2</v>
      </c>
      <c r="S1732">
        <v>-3.3002319999999998</v>
      </c>
      <c r="T1732">
        <v>-0.17259849999999999</v>
      </c>
      <c r="U1732">
        <v>0.1099854</v>
      </c>
      <c r="V1732">
        <v>-5.4327609999999998E-2</v>
      </c>
      <c r="W1732">
        <v>0.3738456</v>
      </c>
      <c r="X1732">
        <v>0.92589840000000001</v>
      </c>
      <c r="Y1732">
        <v>3.268223E-2</v>
      </c>
      <c r="Z1732">
        <v>1.003508E-3</v>
      </c>
      <c r="AA1732">
        <v>0.9994653</v>
      </c>
      <c r="AB1732">
        <v>30</v>
      </c>
      <c r="AC1732">
        <v>-20.930499999999899</v>
      </c>
      <c r="AD1732">
        <v>-1.1107039007143</v>
      </c>
      <c r="AE1732">
        <v>0.70769999999998801</v>
      </c>
      <c r="AF1732">
        <v>0.69375619491023999</v>
      </c>
      <c r="AG1732">
        <v>-1.1107039007143</v>
      </c>
      <c r="AH1732">
        <v>20.8721924307129</v>
      </c>
      <c r="AI1732">
        <v>93.044416740395505</v>
      </c>
      <c r="AJ1732">
        <v>88.096286546414106</v>
      </c>
      <c r="AK1732">
        <v>20.913234510179201</v>
      </c>
      <c r="AL1732">
        <v>68.047016657873499</v>
      </c>
      <c r="AM1732">
        <v>93.358011979390398</v>
      </c>
      <c r="AN1732">
        <v>0.99999993448511404</v>
      </c>
    </row>
    <row r="1733" spans="1:40" x14ac:dyDescent="0.25">
      <c r="A1733" t="str">
        <f>"20190304164632377"</f>
        <v>20190304164632377</v>
      </c>
      <c r="B1733" t="str">
        <f>"1551689192369568"</f>
        <v>1551689192369568</v>
      </c>
      <c r="C1733" t="s">
        <v>40</v>
      </c>
      <c r="D1733">
        <v>3.795944</v>
      </c>
      <c r="E1733">
        <v>0.55103179999999996</v>
      </c>
      <c r="F1733" t="s">
        <v>49</v>
      </c>
      <c r="G1733">
        <v>-381.46249999999998</v>
      </c>
      <c r="H1733" s="1">
        <v>-7.5851550000000003E-7</v>
      </c>
      <c r="I1733">
        <v>285.87900000000002</v>
      </c>
      <c r="J1733">
        <v>-360.5677</v>
      </c>
      <c r="K1733">
        <v>1.1107149999999999</v>
      </c>
      <c r="L1733">
        <v>285.178</v>
      </c>
      <c r="M1733">
        <v>-0.99994329999999998</v>
      </c>
      <c r="N1733">
        <v>-1.0646299999999999E-2</v>
      </c>
      <c r="O1733">
        <v>4.2538249999999998E-4</v>
      </c>
      <c r="P1733">
        <v>-0.92984140000000004</v>
      </c>
      <c r="Q1733">
        <v>0.36394769999999999</v>
      </c>
      <c r="R1733">
        <v>-5.4195189999999997E-2</v>
      </c>
      <c r="S1733">
        <v>-3.3003230000000001</v>
      </c>
      <c r="T1733">
        <v>-0.1729282</v>
      </c>
      <c r="U1733">
        <v>0.1091309</v>
      </c>
      <c r="V1733">
        <v>-5.468866E-2</v>
      </c>
      <c r="W1733">
        <v>0.37381199999999998</v>
      </c>
      <c r="X1733">
        <v>0.92589080000000001</v>
      </c>
      <c r="Y1733">
        <v>3.2570130000000003E-2</v>
      </c>
      <c r="Z1733">
        <v>1.0083049999999999E-3</v>
      </c>
      <c r="AA1733">
        <v>0.99946889999999999</v>
      </c>
      <c r="AB1733">
        <v>30</v>
      </c>
      <c r="AC1733">
        <v>-20.894799999999901</v>
      </c>
      <c r="AD1733">
        <v>-1.1107157585155001</v>
      </c>
      <c r="AE1733">
        <v>0.70100000000002105</v>
      </c>
      <c r="AF1733">
        <v>0.690163134542634</v>
      </c>
      <c r="AG1733">
        <v>-1.1107157585155001</v>
      </c>
      <c r="AH1733">
        <v>20.836284965229002</v>
      </c>
      <c r="AI1733">
        <v>93.0496974470352</v>
      </c>
      <c r="AJ1733">
        <v>88.102877611233396</v>
      </c>
      <c r="AK1733">
        <v>20.8772791761936</v>
      </c>
      <c r="AL1733">
        <v>68.049094193875703</v>
      </c>
      <c r="AM1733">
        <v>93.380304732869305</v>
      </c>
      <c r="AN1733">
        <v>1.00000001720061</v>
      </c>
    </row>
    <row r="1734" spans="1:40" x14ac:dyDescent="0.25">
      <c r="A1734" t="str">
        <f>"20190304164632398"</f>
        <v>20190304164632398</v>
      </c>
      <c r="B1734" t="str">
        <f>"1551689192390065"</f>
        <v>1551689192390065</v>
      </c>
      <c r="C1734" t="s">
        <v>40</v>
      </c>
      <c r="D1734">
        <v>3.8037960000000002</v>
      </c>
      <c r="E1734">
        <v>0.55103859999999905</v>
      </c>
      <c r="F1734" t="s">
        <v>49</v>
      </c>
      <c r="G1734">
        <v>-381.67529999999999</v>
      </c>
      <c r="H1734" s="1">
        <v>-6.4527459999999901E-7</v>
      </c>
      <c r="I1734">
        <v>285.8716</v>
      </c>
      <c r="J1734">
        <v>-360.8578</v>
      </c>
      <c r="K1734">
        <v>1.1107199999999999</v>
      </c>
      <c r="L1734">
        <v>285.178</v>
      </c>
      <c r="M1734">
        <v>-0.99994300000000003</v>
      </c>
      <c r="N1734">
        <v>-1.068201E-2</v>
      </c>
      <c r="O1734">
        <v>2.8398779999999998E-4</v>
      </c>
      <c r="P1734">
        <v>-0.92985399999999996</v>
      </c>
      <c r="Q1734">
        <v>0.36388749999999997</v>
      </c>
      <c r="R1734">
        <v>-5.4384589999999997E-2</v>
      </c>
      <c r="S1734">
        <v>-3.300659</v>
      </c>
      <c r="T1734">
        <v>-0.17368629999999999</v>
      </c>
      <c r="U1734">
        <v>0.1084595</v>
      </c>
      <c r="V1734">
        <v>-5.4746709999999997E-2</v>
      </c>
      <c r="W1734">
        <v>0.37378460000000002</v>
      </c>
      <c r="X1734">
        <v>0.92589840000000001</v>
      </c>
      <c r="Y1734">
        <v>3.250455E-2</v>
      </c>
      <c r="Z1734">
        <v>1.016306E-3</v>
      </c>
      <c r="AA1734">
        <v>0.99947109999999995</v>
      </c>
      <c r="AB1734">
        <v>30</v>
      </c>
      <c r="AC1734">
        <v>-20.8174999999999</v>
      </c>
      <c r="AD1734">
        <v>-1.1107206452745999</v>
      </c>
      <c r="AE1734">
        <v>0.69360000000000299</v>
      </c>
      <c r="AF1734">
        <v>0.68573774553405398</v>
      </c>
      <c r="AG1734">
        <v>-1.1107206452745999</v>
      </c>
      <c r="AH1734">
        <v>20.758666503238199</v>
      </c>
      <c r="AI1734">
        <v>93.061101345761898</v>
      </c>
      <c r="AJ1734">
        <v>88.107990387806893</v>
      </c>
      <c r="AK1734">
        <v>20.7996675838858</v>
      </c>
      <c r="AL1734">
        <v>68.050786127221201</v>
      </c>
      <c r="AM1734">
        <v>93.383856757326399</v>
      </c>
      <c r="AN1734">
        <v>0.99999998828777203</v>
      </c>
    </row>
    <row r="1735" spans="1:40" x14ac:dyDescent="0.25">
      <c r="A1735" t="str">
        <f>"20190304164632421"</f>
        <v>20190304164632421</v>
      </c>
      <c r="B1735" t="str">
        <f>"1551689192409588"</f>
        <v>1551689192409588</v>
      </c>
      <c r="C1735" t="s">
        <v>40</v>
      </c>
      <c r="D1735">
        <v>3.8166899999999999</v>
      </c>
      <c r="E1735">
        <v>0.55104449999999905</v>
      </c>
      <c r="F1735" t="s">
        <v>49</v>
      </c>
      <c r="G1735">
        <v>-381.89789999999999</v>
      </c>
      <c r="H1735" s="1">
        <v>-5.2684210000000002E-7</v>
      </c>
      <c r="I1735">
        <v>285.86540000000002</v>
      </c>
      <c r="J1735">
        <v>-361.16449999999998</v>
      </c>
      <c r="K1735">
        <v>1.1107209999999901</v>
      </c>
      <c r="L1735">
        <v>285.17790000000002</v>
      </c>
      <c r="M1735">
        <v>-0.99994260000000001</v>
      </c>
      <c r="N1735">
        <v>-1.07248E-2</v>
      </c>
      <c r="O1735">
        <v>1.352181E-4</v>
      </c>
      <c r="P1735">
        <v>-0.92997410000000003</v>
      </c>
      <c r="Q1735">
        <v>0.3634867</v>
      </c>
      <c r="R1735">
        <v>-5.5007149999999998E-2</v>
      </c>
      <c r="S1735">
        <v>-3.3008120000000001</v>
      </c>
      <c r="T1735">
        <v>-0.17425270000000001</v>
      </c>
      <c r="U1735">
        <v>0.1078491</v>
      </c>
      <c r="V1735">
        <v>-5.5231259999999997E-2</v>
      </c>
      <c r="W1735">
        <v>0.37342500000000001</v>
      </c>
      <c r="X1735">
        <v>0.92601469999999997</v>
      </c>
      <c r="Y1735">
        <v>3.2466689999999999E-2</v>
      </c>
      <c r="Z1735">
        <v>1.024762E-3</v>
      </c>
      <c r="AA1735">
        <v>0.99947229999999998</v>
      </c>
      <c r="AB1735">
        <v>30</v>
      </c>
      <c r="AC1735">
        <v>-20.7334</v>
      </c>
      <c r="AD1735">
        <v>-1.11072152684209</v>
      </c>
      <c r="AE1735">
        <v>0.6875</v>
      </c>
      <c r="AF1735">
        <v>0.68273904954522502</v>
      </c>
      <c r="AG1735">
        <v>-1.11072152684209</v>
      </c>
      <c r="AH1735">
        <v>20.674224637746001</v>
      </c>
      <c r="AI1735">
        <v>93.0735836529187</v>
      </c>
      <c r="AJ1735">
        <v>88.108569690843694</v>
      </c>
      <c r="AK1735">
        <v>20.7152938500024</v>
      </c>
      <c r="AL1735">
        <v>68.072997766864702</v>
      </c>
      <c r="AM1735">
        <v>93.413308218981996</v>
      </c>
      <c r="AN1735">
        <v>0.99999997366113802</v>
      </c>
    </row>
    <row r="1736" spans="1:40" x14ac:dyDescent="0.25">
      <c r="A1736" t="str">
        <f>"20190304164632444"</f>
        <v>20190304164632444</v>
      </c>
      <c r="B1736" t="str">
        <f>"1551689192439840"</f>
        <v>1551689192439840</v>
      </c>
      <c r="C1736" t="s">
        <v>40</v>
      </c>
      <c r="D1736">
        <v>3.8360910000000001</v>
      </c>
      <c r="E1736">
        <v>0.55107950000000006</v>
      </c>
      <c r="F1736" t="s">
        <v>49</v>
      </c>
      <c r="G1736">
        <v>-382.02440000000001</v>
      </c>
      <c r="H1736" s="1">
        <v>-4.5951400000000002E-7</v>
      </c>
      <c r="I1736">
        <v>285.85730000000001</v>
      </c>
      <c r="J1736">
        <v>-361.47919999999999</v>
      </c>
      <c r="K1736">
        <v>1.1107279999999999</v>
      </c>
      <c r="L1736">
        <v>285.17779999999999</v>
      </c>
      <c r="M1736">
        <v>-0.99994190000000005</v>
      </c>
      <c r="N1736">
        <v>-1.077941E-2</v>
      </c>
      <c r="O1736" s="1">
        <v>-1.7608199999999999E-5</v>
      </c>
      <c r="P1736">
        <v>-0.93004260000000005</v>
      </c>
      <c r="Q1736">
        <v>0.36323709999999998</v>
      </c>
      <c r="R1736">
        <v>-5.549482E-2</v>
      </c>
      <c r="S1736">
        <v>-3.3009339999999998</v>
      </c>
      <c r="T1736">
        <v>-0.17576420000000001</v>
      </c>
      <c r="U1736">
        <v>0.1075134</v>
      </c>
      <c r="V1736">
        <v>-5.5576489999999999E-2</v>
      </c>
      <c r="W1736">
        <v>0.37322689999999997</v>
      </c>
      <c r="X1736">
        <v>0.92607399999999995</v>
      </c>
      <c r="Y1736">
        <v>3.2515589999999997E-2</v>
      </c>
      <c r="Z1736">
        <v>1.041031E-3</v>
      </c>
      <c r="AA1736">
        <v>0.99947070000000005</v>
      </c>
      <c r="AB1736">
        <v>30</v>
      </c>
      <c r="AC1736">
        <v>-20.545200000000001</v>
      </c>
      <c r="AD1736">
        <v>-1.1107284595139999</v>
      </c>
      <c r="AE1736">
        <v>0.67950000000001798</v>
      </c>
      <c r="AF1736">
        <v>0.67788265282113402</v>
      </c>
      <c r="AG1736">
        <v>-1.1107284595139999</v>
      </c>
      <c r="AH1736">
        <v>20.485379344193898</v>
      </c>
      <c r="AI1736">
        <v>93.101874965623196</v>
      </c>
      <c r="AJ1736">
        <v>88.104714249674998</v>
      </c>
      <c r="AK1736">
        <v>20.526665814917301</v>
      </c>
      <c r="AL1736">
        <v>68.085234613495899</v>
      </c>
      <c r="AM1736">
        <v>93.434373215648705</v>
      </c>
      <c r="AN1736">
        <v>1.0000000593001599</v>
      </c>
    </row>
    <row r="1737" spans="1:40" x14ac:dyDescent="0.25">
      <c r="A1737" t="str">
        <f>"20190304164632467"</f>
        <v>20190304164632467</v>
      </c>
      <c r="B1737" t="str">
        <f>"1551689192460336"</f>
        <v>1551689192460336</v>
      </c>
      <c r="C1737" t="s">
        <v>40</v>
      </c>
      <c r="D1737">
        <v>3.845018</v>
      </c>
      <c r="E1737">
        <v>0.5511009</v>
      </c>
      <c r="F1737" t="s">
        <v>49</v>
      </c>
      <c r="G1737">
        <v>-382.20690000000002</v>
      </c>
      <c r="H1737" s="1">
        <v>-3.6239670000000001E-7</v>
      </c>
      <c r="I1737">
        <v>285.84739999999999</v>
      </c>
      <c r="J1737">
        <v>-361.79090000000002</v>
      </c>
      <c r="K1737">
        <v>1.1107389999999999</v>
      </c>
      <c r="L1737">
        <v>285.17759999999998</v>
      </c>
      <c r="M1737">
        <v>-0.99994130000000003</v>
      </c>
      <c r="N1737">
        <v>-1.0846929999999999E-2</v>
      </c>
      <c r="O1737">
        <v>-1.669822E-4</v>
      </c>
      <c r="P1737">
        <v>-0.93004240000000005</v>
      </c>
      <c r="Q1737">
        <v>0.36319119999999999</v>
      </c>
      <c r="R1737">
        <v>-5.57999E-2</v>
      </c>
      <c r="S1737">
        <v>-3.3011469999999998</v>
      </c>
      <c r="T1737">
        <v>-0.1768981</v>
      </c>
      <c r="U1737">
        <v>0.106628399999999</v>
      </c>
      <c r="V1737">
        <v>-5.5742119999999999E-2</v>
      </c>
      <c r="W1737">
        <v>0.37324370000000001</v>
      </c>
      <c r="X1737">
        <v>0.92605720000000002</v>
      </c>
      <c r="Y1737">
        <v>3.2394480000000003E-2</v>
      </c>
      <c r="Z1737">
        <v>1.050133E-3</v>
      </c>
      <c r="AA1737">
        <v>0.99947459999999999</v>
      </c>
      <c r="AB1737">
        <v>30</v>
      </c>
      <c r="AC1737">
        <v>-20.416</v>
      </c>
      <c r="AD1737">
        <v>-1.1107393623966999</v>
      </c>
      <c r="AE1737">
        <v>0.66980000000000905</v>
      </c>
      <c r="AF1737">
        <v>0.67122465032432699</v>
      </c>
      <c r="AG1737">
        <v>-1.1107393623966999</v>
      </c>
      <c r="AH1737">
        <v>20.355700977652699</v>
      </c>
      <c r="AI1737">
        <v>93.121639397930394</v>
      </c>
      <c r="AJ1737">
        <v>88.111368915511406</v>
      </c>
      <c r="AK1737">
        <v>20.397030341547101</v>
      </c>
      <c r="AL1737">
        <v>68.084195484447605</v>
      </c>
      <c r="AM1737">
        <v>93.4446461243367</v>
      </c>
      <c r="AN1737">
        <v>0.99999999060181199</v>
      </c>
    </row>
    <row r="1738" spans="1:40" x14ac:dyDescent="0.25">
      <c r="A1738" t="str">
        <f>"20190304164632489"</f>
        <v>20190304164632489</v>
      </c>
      <c r="B1738" t="str">
        <f>"1551689192479860"</f>
        <v>1551689192479860</v>
      </c>
      <c r="C1738" t="s">
        <v>40</v>
      </c>
      <c r="D1738">
        <v>3.842333</v>
      </c>
      <c r="E1738">
        <v>0.55114249999999998</v>
      </c>
      <c r="F1738" t="s">
        <v>49</v>
      </c>
      <c r="G1738">
        <v>-382.49799999999999</v>
      </c>
      <c r="H1738" s="1">
        <v>-2.0745339999999999E-7</v>
      </c>
      <c r="I1738">
        <v>285.8415</v>
      </c>
      <c r="J1738">
        <v>-362.09699999999998</v>
      </c>
      <c r="K1738">
        <v>1.110751</v>
      </c>
      <c r="L1738">
        <v>285.17739999999998</v>
      </c>
      <c r="M1738">
        <v>-0.99994039999999995</v>
      </c>
      <c r="N1738">
        <v>-1.0926389999999999E-2</v>
      </c>
      <c r="O1738">
        <v>-3.0877090000000002E-4</v>
      </c>
      <c r="P1738">
        <v>-0.92996029999999996</v>
      </c>
      <c r="Q1738">
        <v>0.36336309999999999</v>
      </c>
      <c r="R1738">
        <v>-5.6050790000000003E-2</v>
      </c>
      <c r="S1738">
        <v>-3.3011780000000002</v>
      </c>
      <c r="T1738">
        <v>-0.17707609999999999</v>
      </c>
      <c r="U1738">
        <v>0.105834999999999</v>
      </c>
      <c r="V1738">
        <v>-5.5858949999999997E-2</v>
      </c>
      <c r="W1738">
        <v>0.3734884</v>
      </c>
      <c r="X1738">
        <v>0.92595150000000004</v>
      </c>
      <c r="Y1738">
        <v>3.2295789999999998E-2</v>
      </c>
      <c r="Z1738">
        <v>1.0551499999999999E-3</v>
      </c>
      <c r="AA1738">
        <v>0.99947779999999997</v>
      </c>
      <c r="AB1738">
        <v>31</v>
      </c>
      <c r="AC1738">
        <v>-20.401</v>
      </c>
      <c r="AD1738">
        <v>-1.1107512074533901</v>
      </c>
      <c r="AE1738">
        <v>0.66410000000001901</v>
      </c>
      <c r="AF1738">
        <v>0.66842023904438497</v>
      </c>
      <c r="AG1738">
        <v>-1.1107512074533901</v>
      </c>
      <c r="AH1738">
        <v>20.340561078000299</v>
      </c>
      <c r="AI1738">
        <v>93.124003165096497</v>
      </c>
      <c r="AJ1738">
        <v>88.117855163364496</v>
      </c>
      <c r="AK1738">
        <v>20.3818296241698</v>
      </c>
      <c r="AL1738">
        <v>68.0690823557605</v>
      </c>
      <c r="AM1738">
        <v>93.452241410415397</v>
      </c>
      <c r="AN1738">
        <v>0.99999999379095605</v>
      </c>
    </row>
    <row r="1739" spans="1:40" x14ac:dyDescent="0.25">
      <c r="A1739" t="str">
        <f>"20190304164632512"</f>
        <v>20190304164632512</v>
      </c>
      <c r="B1739" t="str">
        <f>"1551689192500354"</f>
        <v>1551689192500354</v>
      </c>
      <c r="C1739" t="s">
        <v>40</v>
      </c>
      <c r="D1739">
        <v>3.8165439999999999</v>
      </c>
      <c r="E1739">
        <v>0.55121769999999903</v>
      </c>
      <c r="F1739" t="s">
        <v>49</v>
      </c>
      <c r="G1739">
        <v>-382.87119999999999</v>
      </c>
      <c r="H1739" s="1">
        <v>-8.9082019999999993E-9</v>
      </c>
      <c r="I1739">
        <v>285.83730000000003</v>
      </c>
      <c r="J1739">
        <v>-362.39980000000003</v>
      </c>
      <c r="K1739">
        <v>1.1107629999999999</v>
      </c>
      <c r="L1739">
        <v>285.17720000000003</v>
      </c>
      <c r="M1739">
        <v>-0.99993929999999998</v>
      </c>
      <c r="N1739">
        <v>-1.102027E-2</v>
      </c>
      <c r="O1739">
        <v>-4.402408E-4</v>
      </c>
      <c r="P1739">
        <v>-0.92988879999999996</v>
      </c>
      <c r="Q1739">
        <v>0.36347089999999999</v>
      </c>
      <c r="R1739">
        <v>-5.6532220000000001E-2</v>
      </c>
      <c r="S1739">
        <v>-3.3012389999999998</v>
      </c>
      <c r="T1739">
        <v>-0.1765109</v>
      </c>
      <c r="U1739">
        <v>0.10485839999999901</v>
      </c>
      <c r="V1739">
        <v>-5.6214029999999998E-2</v>
      </c>
      <c r="W1739">
        <v>0.37368289999999998</v>
      </c>
      <c r="X1739">
        <v>0.92585150000000005</v>
      </c>
      <c r="Y1739">
        <v>3.2131659999999999E-2</v>
      </c>
      <c r="Z1739">
        <v>1.0541000000000001E-3</v>
      </c>
      <c r="AA1739">
        <v>0.99948309999999996</v>
      </c>
      <c r="AB1739">
        <v>31</v>
      </c>
      <c r="AC1739">
        <v>-20.4713999999999</v>
      </c>
      <c r="AD1739">
        <v>-1.1107630089081999</v>
      </c>
      <c r="AE1739">
        <v>0.66009999999999902</v>
      </c>
      <c r="AF1739">
        <v>0.66715073118840795</v>
      </c>
      <c r="AG1739">
        <v>-1.1107630089081999</v>
      </c>
      <c r="AH1739">
        <v>20.4110782228815</v>
      </c>
      <c r="AI1739">
        <v>93.113282368818503</v>
      </c>
      <c r="AJ1739">
        <v>88.127912847682893</v>
      </c>
      <c r="AK1739">
        <v>20.4521636699072</v>
      </c>
      <c r="AL1739">
        <v>68.057067769865697</v>
      </c>
      <c r="AM1739">
        <v>93.474507097935501</v>
      </c>
      <c r="AN1739">
        <v>0.99999996348674902</v>
      </c>
    </row>
    <row r="1740" spans="1:40" x14ac:dyDescent="0.25">
      <c r="A1740" t="str">
        <f>"20190304164632533"</f>
        <v>20190304164632533</v>
      </c>
      <c r="B1740" t="str">
        <f>"1551689192529633"</f>
        <v>1551689192529633</v>
      </c>
      <c r="C1740" t="s">
        <v>40</v>
      </c>
      <c r="D1740">
        <v>3.8334679999999999</v>
      </c>
      <c r="E1740">
        <v>0.55128949999999999</v>
      </c>
      <c r="F1740" t="s">
        <v>49</v>
      </c>
      <c r="G1740">
        <v>-383.3109</v>
      </c>
      <c r="H1740" s="1">
        <v>2.25099E-7</v>
      </c>
      <c r="I1740">
        <v>285.84719999999999</v>
      </c>
      <c r="J1740">
        <v>-362.69119999999998</v>
      </c>
      <c r="K1740">
        <v>1.1107750000000001</v>
      </c>
      <c r="L1740">
        <v>285.17689999999999</v>
      </c>
      <c r="M1740">
        <v>-0.99993799999999999</v>
      </c>
      <c r="N1740">
        <v>-1.113078E-2</v>
      </c>
      <c r="O1740">
        <v>-5.5676580000000003E-4</v>
      </c>
      <c r="P1740">
        <v>-0.93005870000000002</v>
      </c>
      <c r="Q1740">
        <v>0.36296</v>
      </c>
      <c r="R1740">
        <v>-5.7017739999999997E-2</v>
      </c>
      <c r="S1740">
        <v>-3.3011469999999998</v>
      </c>
      <c r="T1740">
        <v>-0.1753517</v>
      </c>
      <c r="U1740">
        <v>0.1057739</v>
      </c>
      <c r="V1740">
        <v>-5.6585570000000002E-2</v>
      </c>
      <c r="W1740">
        <v>0.37327729999999998</v>
      </c>
      <c r="X1740">
        <v>0.9259925</v>
      </c>
      <c r="Y1740">
        <v>3.2525720000000001E-2</v>
      </c>
      <c r="Z1740">
        <v>1.067606E-3</v>
      </c>
      <c r="AA1740">
        <v>0.99947039999999998</v>
      </c>
      <c r="AB1740">
        <v>31</v>
      </c>
      <c r="AC1740">
        <v>-20.619700000000002</v>
      </c>
      <c r="AD1740">
        <v>-1.110774774901</v>
      </c>
      <c r="AE1740">
        <v>0.67029999999999701</v>
      </c>
      <c r="AF1740">
        <v>0.67981026879961504</v>
      </c>
      <c r="AG1740">
        <v>-1.110774774901</v>
      </c>
      <c r="AH1740">
        <v>20.5597236291648</v>
      </c>
      <c r="AI1740">
        <v>93.0908115878497</v>
      </c>
      <c r="AJ1740">
        <v>88.106196636928004</v>
      </c>
      <c r="AK1740">
        <v>20.600927122577801</v>
      </c>
      <c r="AL1740">
        <v>68.082120350830607</v>
      </c>
      <c r="AM1740">
        <v>93.496883400957302</v>
      </c>
      <c r="AN1740">
        <v>0.99999998974188198</v>
      </c>
    </row>
    <row r="1741" spans="1:40" x14ac:dyDescent="0.25">
      <c r="A1741" t="str">
        <f>"20190304164632556"</f>
        <v>20190304164632556</v>
      </c>
      <c r="B1741" t="str">
        <f>"1551689192550129"</f>
        <v>1551689192550129</v>
      </c>
      <c r="C1741" t="s">
        <v>40</v>
      </c>
      <c r="D1741">
        <v>3.8333870000000001</v>
      </c>
      <c r="E1741">
        <v>0.55132809999999999</v>
      </c>
      <c r="F1741" t="s">
        <v>49</v>
      </c>
      <c r="G1741">
        <v>-383.42579999999998</v>
      </c>
      <c r="H1741" s="1">
        <v>2.8623170000000002E-7</v>
      </c>
      <c r="I1741">
        <v>285.83629999999999</v>
      </c>
      <c r="J1741">
        <v>-363.01220000000001</v>
      </c>
      <c r="K1741">
        <v>1.1107830000000001</v>
      </c>
      <c r="L1741">
        <v>285.17660000000001</v>
      </c>
      <c r="M1741">
        <v>-0.9999363</v>
      </c>
      <c r="N1741">
        <v>-1.1274889999999999E-2</v>
      </c>
      <c r="O1741">
        <v>-6.5575509999999998E-4</v>
      </c>
      <c r="P1741">
        <v>-0.93015720000000002</v>
      </c>
      <c r="Q1741">
        <v>0.36275170000000001</v>
      </c>
      <c r="R1741">
        <v>-5.6735920000000002E-2</v>
      </c>
      <c r="S1741">
        <v>-3.3010250000000001</v>
      </c>
      <c r="T1741">
        <v>-0.17683940000000001</v>
      </c>
      <c r="U1741">
        <v>0.1049805</v>
      </c>
      <c r="V1741">
        <v>-5.6199640000000002E-2</v>
      </c>
      <c r="W1741">
        <v>0.37320520000000001</v>
      </c>
      <c r="X1741">
        <v>0.92604509999999995</v>
      </c>
      <c r="Y1741">
        <v>3.2385009999999999E-2</v>
      </c>
      <c r="Z1741">
        <v>1.077096E-3</v>
      </c>
      <c r="AA1741">
        <v>0.99947490000000005</v>
      </c>
      <c r="AB1741">
        <v>31</v>
      </c>
      <c r="AC1741">
        <v>-20.413599999999899</v>
      </c>
      <c r="AD1741">
        <v>-1.1107827137683</v>
      </c>
      <c r="AE1741">
        <v>0.65969999999998596</v>
      </c>
      <c r="AF1741">
        <v>0.67110205886881502</v>
      </c>
      <c r="AG1741">
        <v>-1.1107827137683</v>
      </c>
      <c r="AH1741">
        <v>20.352963416819499</v>
      </c>
      <c r="AI1741">
        <v>93.122180214888999</v>
      </c>
      <c r="AJ1741">
        <v>88.111459803790893</v>
      </c>
      <c r="AK1741">
        <v>20.394296655119501</v>
      </c>
      <c r="AL1741">
        <v>68.086573952492799</v>
      </c>
      <c r="AM1741">
        <v>93.472895429946604</v>
      </c>
      <c r="AN1741">
        <v>1.00000002403858</v>
      </c>
    </row>
    <row r="1742" spans="1:40" x14ac:dyDescent="0.25">
      <c r="A1742" t="str">
        <f>"20190304164632578"</f>
        <v>20190304164632578</v>
      </c>
      <c r="B1742" t="str">
        <f>"1551689192569652"</f>
        <v>1551689192569652</v>
      </c>
      <c r="C1742" t="s">
        <v>40</v>
      </c>
      <c r="D1742">
        <v>3.82639</v>
      </c>
      <c r="E1742">
        <v>0.55134879999999997</v>
      </c>
      <c r="F1742" t="s">
        <v>49</v>
      </c>
      <c r="G1742">
        <v>-383.6053</v>
      </c>
      <c r="H1742" s="1">
        <v>3.8180269999999999E-7</v>
      </c>
      <c r="I1742">
        <v>285.83080000000001</v>
      </c>
      <c r="J1742">
        <v>-363.31040000000002</v>
      </c>
      <c r="K1742">
        <v>1.1107880000000001</v>
      </c>
      <c r="L1742">
        <v>285.17630000000003</v>
      </c>
      <c r="M1742">
        <v>-0.99993449999999995</v>
      </c>
      <c r="N1742">
        <v>-1.142721E-2</v>
      </c>
      <c r="O1742">
        <v>-7.2042440000000003E-4</v>
      </c>
      <c r="P1742">
        <v>-0.93029240000000002</v>
      </c>
      <c r="Q1742">
        <v>0.36236249999999998</v>
      </c>
      <c r="R1742">
        <v>-5.7001490000000002E-2</v>
      </c>
      <c r="S1742">
        <v>-3.3011170000000001</v>
      </c>
      <c r="T1742">
        <v>-0.17806029999999901</v>
      </c>
      <c r="U1742">
        <v>0.10485839999999901</v>
      </c>
      <c r="V1742">
        <v>-5.6390620000000002E-2</v>
      </c>
      <c r="W1742">
        <v>0.37296099999999999</v>
      </c>
      <c r="X1742">
        <v>0.92613179999999995</v>
      </c>
      <c r="Y1742">
        <v>3.2410899999999999E-2</v>
      </c>
      <c r="Z1742">
        <v>1.089252E-3</v>
      </c>
      <c r="AA1742">
        <v>0.99947399999999997</v>
      </c>
      <c r="AB1742">
        <v>31</v>
      </c>
      <c r="AC1742">
        <v>-20.294899999999899</v>
      </c>
      <c r="AD1742">
        <v>-1.1107876181973</v>
      </c>
      <c r="AE1742">
        <v>0.65449999999998398</v>
      </c>
      <c r="AF1742">
        <v>0.667125340575913</v>
      </c>
      <c r="AG1742">
        <v>-1.1107876181973</v>
      </c>
      <c r="AH1742">
        <v>20.233872953279999</v>
      </c>
      <c r="AI1742">
        <v>93.140533840747693</v>
      </c>
      <c r="AJ1742">
        <v>88.111601025176995</v>
      </c>
      <c r="AK1742">
        <v>20.275318001014298</v>
      </c>
      <c r="AL1742">
        <v>68.101652953751994</v>
      </c>
      <c r="AM1742">
        <v>93.484342724291395</v>
      </c>
      <c r="AN1742">
        <v>0.999999960258111</v>
      </c>
    </row>
    <row r="1743" spans="1:40" x14ac:dyDescent="0.25">
      <c r="A1743" t="str">
        <f>"20190304164632599"</f>
        <v>20190304164632599</v>
      </c>
      <c r="B1743" t="str">
        <f>"1551689192590145"</f>
        <v>1551689192590145</v>
      </c>
      <c r="C1743" t="s">
        <v>40</v>
      </c>
      <c r="D1743">
        <v>3.8560159999999999</v>
      </c>
      <c r="E1743">
        <v>0.5513614</v>
      </c>
      <c r="F1743" t="s">
        <v>49</v>
      </c>
      <c r="G1743">
        <v>-383.72930000000002</v>
      </c>
      <c r="H1743" s="1">
        <v>4.477564E-7</v>
      </c>
      <c r="I1743">
        <v>285.81509999999997</v>
      </c>
      <c r="J1743">
        <v>-363.60270000000003</v>
      </c>
      <c r="K1743">
        <v>1.110792</v>
      </c>
      <c r="L1743">
        <v>285.17599999999999</v>
      </c>
      <c r="M1743">
        <v>-0.99993270000000001</v>
      </c>
      <c r="N1743">
        <v>-1.1579819999999999E-2</v>
      </c>
      <c r="O1743">
        <v>-7.7062399999999905E-4</v>
      </c>
      <c r="P1743">
        <v>-0.93044530000000003</v>
      </c>
      <c r="Q1743">
        <v>0.36198960000000002</v>
      </c>
      <c r="R1743">
        <v>-5.6879579999999999E-2</v>
      </c>
      <c r="S1743">
        <v>-3.3010559999999902</v>
      </c>
      <c r="T1743">
        <v>-0.17957709999999999</v>
      </c>
      <c r="U1743">
        <v>0.1032715</v>
      </c>
      <c r="V1743">
        <v>-5.6204509999999999E-2</v>
      </c>
      <c r="W1743">
        <v>0.3727335</v>
      </c>
      <c r="X1743">
        <v>0.92623469999999997</v>
      </c>
      <c r="Y1743">
        <v>3.1981349999999999E-2</v>
      </c>
      <c r="Z1743">
        <v>1.087387E-3</v>
      </c>
      <c r="AA1743">
        <v>0.99948789999999998</v>
      </c>
      <c r="AB1743">
        <v>30</v>
      </c>
      <c r="AC1743">
        <v>-20.1266</v>
      </c>
      <c r="AD1743">
        <v>-1.1107915522436</v>
      </c>
      <c r="AE1743">
        <v>0.63909999999998401</v>
      </c>
      <c r="AF1743">
        <v>0.65262502266084199</v>
      </c>
      <c r="AG1743">
        <v>-1.1107915522436</v>
      </c>
      <c r="AH1743">
        <v>20.065045705670599</v>
      </c>
      <c r="AI1743">
        <v>93.166961949581307</v>
      </c>
      <c r="AJ1743">
        <v>88.137084642606894</v>
      </c>
      <c r="AK1743">
        <v>20.106363083944</v>
      </c>
      <c r="AL1743">
        <v>68.115700779232299</v>
      </c>
      <c r="AM1743">
        <v>93.472486415913707</v>
      </c>
      <c r="AN1743">
        <v>0.99999996422533899</v>
      </c>
    </row>
    <row r="1744" spans="1:40" x14ac:dyDescent="0.25">
      <c r="A1744" t="str">
        <f>"20190304164632623"</f>
        <v>20190304164632623</v>
      </c>
      <c r="B1744" t="str">
        <f>"1551689192620402"</f>
        <v>1551689192620402</v>
      </c>
      <c r="C1744" t="s">
        <v>40</v>
      </c>
      <c r="D1744">
        <v>3.842263</v>
      </c>
      <c r="E1744">
        <v>0.55141200000000001</v>
      </c>
      <c r="F1744" t="s">
        <v>49</v>
      </c>
      <c r="G1744">
        <v>-383.86360000000002</v>
      </c>
      <c r="H1744" s="1">
        <v>5.1923850000000005E-7</v>
      </c>
      <c r="I1744">
        <v>285.81849999999997</v>
      </c>
      <c r="J1744">
        <v>-363.9135</v>
      </c>
      <c r="K1744">
        <v>1.110795</v>
      </c>
      <c r="L1744">
        <v>285.17570000000001</v>
      </c>
      <c r="M1744">
        <v>-0.99993089999999996</v>
      </c>
      <c r="N1744">
        <v>-1.17424E-2</v>
      </c>
      <c r="O1744">
        <v>-8.0834720000000002E-4</v>
      </c>
      <c r="P1744">
        <v>-0.93046899999999999</v>
      </c>
      <c r="Q1744">
        <v>0.36190250000000002</v>
      </c>
      <c r="R1744">
        <v>-5.7047439999999998E-2</v>
      </c>
      <c r="S1744">
        <v>-3.3010860000000002</v>
      </c>
      <c r="T1744">
        <v>-0.1809801</v>
      </c>
      <c r="U1744">
        <v>0.1046753</v>
      </c>
      <c r="V1744">
        <v>-5.6317699999999998E-2</v>
      </c>
      <c r="W1744">
        <v>0.37280029999999997</v>
      </c>
      <c r="X1744">
        <v>0.92620100000000005</v>
      </c>
      <c r="Y1744">
        <v>3.2441539999999998E-2</v>
      </c>
      <c r="Z1744">
        <v>1.1138910000000001E-3</v>
      </c>
      <c r="AA1744">
        <v>0.99947299999999994</v>
      </c>
      <c r="AB1744">
        <v>30</v>
      </c>
      <c r="AC1744">
        <v>-19.950099999999999</v>
      </c>
      <c r="AD1744">
        <v>-1.1107944807615</v>
      </c>
      <c r="AE1744">
        <v>0.64279999999996495</v>
      </c>
      <c r="AF1744">
        <v>0.65689317664144897</v>
      </c>
      <c r="AG1744">
        <v>-1.1107944807615</v>
      </c>
      <c r="AH1744">
        <v>19.887982822417399</v>
      </c>
      <c r="AI1744">
        <v>93.195055049254805</v>
      </c>
      <c r="AJ1744">
        <v>88.108228017387802</v>
      </c>
      <c r="AK1744">
        <v>19.9298076701402</v>
      </c>
      <c r="AL1744">
        <v>68.111577414675807</v>
      </c>
      <c r="AM1744">
        <v>93.479588766271803</v>
      </c>
      <c r="AN1744">
        <v>1.0000000197071801</v>
      </c>
    </row>
    <row r="1745" spans="1:40" x14ac:dyDescent="0.25">
      <c r="A1745" t="str">
        <f>"20190304164632646"</f>
        <v>20190304164632646</v>
      </c>
      <c r="B1745" t="str">
        <f>"1551689192639922"</f>
        <v>1551689192639922</v>
      </c>
      <c r="C1745" t="s">
        <v>40</v>
      </c>
      <c r="D1745">
        <v>3.8682370000000001</v>
      </c>
      <c r="E1745">
        <v>0.55143980000000004</v>
      </c>
      <c r="F1745" t="s">
        <v>49</v>
      </c>
      <c r="G1745">
        <v>-384.15550000000002</v>
      </c>
      <c r="H1745" s="1">
        <v>6.7455029999999999E-7</v>
      </c>
      <c r="I1745">
        <v>285.82659999999998</v>
      </c>
      <c r="J1745">
        <v>-364.2296</v>
      </c>
      <c r="K1745">
        <v>1.110797</v>
      </c>
      <c r="L1745">
        <v>285.1755</v>
      </c>
      <c r="M1745">
        <v>-0.99992879999999995</v>
      </c>
      <c r="N1745">
        <v>-1.191478E-2</v>
      </c>
      <c r="O1745">
        <v>-8.2961410000000004E-4</v>
      </c>
      <c r="P1745">
        <v>-0.93059910000000001</v>
      </c>
      <c r="Q1745">
        <v>0.36157159999999999</v>
      </c>
      <c r="R1745">
        <v>-5.702144E-2</v>
      </c>
      <c r="S1745">
        <v>-3.3011170000000001</v>
      </c>
      <c r="T1745">
        <v>-0.1811517</v>
      </c>
      <c r="U1745">
        <v>0.1061401</v>
      </c>
      <c r="V1745">
        <v>-5.6255520000000003E-2</v>
      </c>
      <c r="W1745">
        <v>0.37263350000000001</v>
      </c>
      <c r="X1745">
        <v>0.92627190000000004</v>
      </c>
      <c r="Y1745">
        <v>3.2904429999999998E-2</v>
      </c>
      <c r="Z1745">
        <v>1.1337840000000001E-3</v>
      </c>
      <c r="AA1745">
        <v>0.99945779999999995</v>
      </c>
      <c r="AB1745">
        <v>30</v>
      </c>
      <c r="AC1745">
        <v>-19.925899999999999</v>
      </c>
      <c r="AD1745">
        <v>-1.1107963254497</v>
      </c>
      <c r="AE1745">
        <v>0.65109999999998502</v>
      </c>
      <c r="AF1745">
        <v>0.66556561181713003</v>
      </c>
      <c r="AG1745">
        <v>-1.1107963254497</v>
      </c>
      <c r="AH1745">
        <v>19.863689263380898</v>
      </c>
      <c r="AI1745">
        <v>93.198909233936106</v>
      </c>
      <c r="AJ1745">
        <v>88.080928539822906</v>
      </c>
      <c r="AK1745">
        <v>19.905853340473001</v>
      </c>
      <c r="AL1745">
        <v>68.121876471100805</v>
      </c>
      <c r="AM1745">
        <v>93.475491004842297</v>
      </c>
      <c r="AN1745">
        <v>1.0000000207911599</v>
      </c>
    </row>
    <row r="1746" spans="1:40" x14ac:dyDescent="0.25">
      <c r="A1746" t="str">
        <f>"20190304164632669"</f>
        <v>20190304164632669</v>
      </c>
      <c r="B1746" t="str">
        <f>"1551689192660417"</f>
        <v>1551689192660417</v>
      </c>
      <c r="C1746" t="s">
        <v>40</v>
      </c>
      <c r="D1746">
        <v>3.8774570000000002</v>
      </c>
      <c r="E1746">
        <v>0.5514597</v>
      </c>
      <c r="F1746" t="s">
        <v>49</v>
      </c>
      <c r="G1746">
        <v>-384.32979999999998</v>
      </c>
      <c r="H1746" s="1">
        <v>7.6730479999999999E-7</v>
      </c>
      <c r="I1746">
        <v>285.82310000000001</v>
      </c>
      <c r="J1746">
        <v>-364.53949999999998</v>
      </c>
      <c r="K1746">
        <v>1.1108070000000001</v>
      </c>
      <c r="L1746">
        <v>285.17520000000002</v>
      </c>
      <c r="M1746">
        <v>-0.9999266</v>
      </c>
      <c r="N1746">
        <v>-1.209002E-2</v>
      </c>
      <c r="O1746">
        <v>-8.3704250000000003E-4</v>
      </c>
      <c r="P1746">
        <v>-0.93080529999999995</v>
      </c>
      <c r="Q1746">
        <v>0.3610796</v>
      </c>
      <c r="R1746">
        <v>-5.6772490000000002E-2</v>
      </c>
      <c r="S1746">
        <v>-3.3011170000000001</v>
      </c>
      <c r="T1746">
        <v>-0.18242920000000001</v>
      </c>
      <c r="U1746">
        <v>0.1063538</v>
      </c>
      <c r="V1746">
        <v>-5.5988209999999997E-2</v>
      </c>
      <c r="W1746">
        <v>0.37230829999999998</v>
      </c>
      <c r="X1746">
        <v>0.92641879999999999</v>
      </c>
      <c r="Y1746">
        <v>3.297539E-2</v>
      </c>
      <c r="Z1746">
        <v>1.145907E-3</v>
      </c>
      <c r="AA1746">
        <v>0.99945550000000005</v>
      </c>
      <c r="AB1746">
        <v>30</v>
      </c>
      <c r="AC1746">
        <v>-19.790299999999998</v>
      </c>
      <c r="AD1746">
        <v>-1.1108062326952</v>
      </c>
      <c r="AE1746">
        <v>0.64789999999999204</v>
      </c>
      <c r="AF1746">
        <v>0.66238174253483795</v>
      </c>
      <c r="AG1746">
        <v>-1.1108062326952</v>
      </c>
      <c r="AH1746">
        <v>19.727666326478499</v>
      </c>
      <c r="AI1746">
        <v>93.220940709925401</v>
      </c>
      <c r="AJ1746">
        <v>88.076943037093201</v>
      </c>
      <c r="AK1746">
        <v>19.770014131211699</v>
      </c>
      <c r="AL1746">
        <v>68.141952606837194</v>
      </c>
      <c r="AM1746">
        <v>93.458469510774805</v>
      </c>
      <c r="AN1746">
        <v>0.99999997145066599</v>
      </c>
    </row>
    <row r="1747" spans="1:40" x14ac:dyDescent="0.25">
      <c r="A1747" t="str">
        <f>"20190304164632691"</f>
        <v>20190304164632691</v>
      </c>
      <c r="B1747" t="str">
        <f>"1551689192679938"</f>
        <v>1551689192679938</v>
      </c>
      <c r="C1747" t="s">
        <v>40</v>
      </c>
      <c r="D1747">
        <v>3.8713320000000002</v>
      </c>
      <c r="E1747">
        <v>0.55148640000000004</v>
      </c>
      <c r="F1747" t="s">
        <v>49</v>
      </c>
      <c r="G1747">
        <v>-384.42930000000001</v>
      </c>
      <c r="H1747" s="1">
        <v>8.2025889999999999E-7</v>
      </c>
      <c r="I1747">
        <v>285.82220000000001</v>
      </c>
      <c r="J1747">
        <v>-364.83859999999999</v>
      </c>
      <c r="K1747">
        <v>1.110824</v>
      </c>
      <c r="L1747">
        <v>285.17489999999998</v>
      </c>
      <c r="M1747">
        <v>-0.99992449999999999</v>
      </c>
      <c r="N1747">
        <v>-1.226294E-2</v>
      </c>
      <c r="O1747">
        <v>-8.3560809999999998E-4</v>
      </c>
      <c r="P1747">
        <v>-0.93091959999999996</v>
      </c>
      <c r="Q1747">
        <v>0.360763</v>
      </c>
      <c r="R1747">
        <v>-5.6911400000000001E-2</v>
      </c>
      <c r="S1747">
        <v>-3.3011170000000001</v>
      </c>
      <c r="T1747">
        <v>-0.1843612</v>
      </c>
      <c r="U1747">
        <v>0.1073914</v>
      </c>
      <c r="V1747">
        <v>-5.6122279999999997E-2</v>
      </c>
      <c r="W1747">
        <v>0.37215379999999998</v>
      </c>
      <c r="X1747">
        <v>0.92647279999999999</v>
      </c>
      <c r="Y1747">
        <v>3.3285830000000002E-2</v>
      </c>
      <c r="Z1747">
        <v>1.1692339999999999E-3</v>
      </c>
      <c r="AA1747">
        <v>0.99944520000000003</v>
      </c>
      <c r="AB1747">
        <v>30</v>
      </c>
      <c r="AC1747">
        <v>-19.590699999999998</v>
      </c>
      <c r="AD1747">
        <v>-1.1108231797410999</v>
      </c>
      <c r="AE1747">
        <v>0.64730000000002896</v>
      </c>
      <c r="AF1747">
        <v>0.66154655521100103</v>
      </c>
      <c r="AG1747">
        <v>-1.1108231797410999</v>
      </c>
      <c r="AH1747">
        <v>19.5274386815612</v>
      </c>
      <c r="AI1747">
        <v>93.253913077359101</v>
      </c>
      <c r="AJ1747">
        <v>88.059687429703501</v>
      </c>
      <c r="AK1747">
        <v>19.570192473338</v>
      </c>
      <c r="AL1747">
        <v>68.151490947929304</v>
      </c>
      <c r="AM1747">
        <v>93.466529459465903</v>
      </c>
      <c r="AN1747">
        <v>1.00000000515333</v>
      </c>
    </row>
    <row r="1748" spans="1:40" x14ac:dyDescent="0.25">
      <c r="A1748" t="str">
        <f>"20190304164632714"</f>
        <v>20190304164632714</v>
      </c>
      <c r="B1748" t="str">
        <f>"1551689192710193"</f>
        <v>1551689192710193</v>
      </c>
      <c r="C1748" t="s">
        <v>40</v>
      </c>
      <c r="D1748">
        <v>3.9213140000000002</v>
      </c>
      <c r="E1748">
        <v>0.56334719999999905</v>
      </c>
      <c r="F1748" t="s">
        <v>49</v>
      </c>
      <c r="G1748">
        <v>-384.59559999999999</v>
      </c>
      <c r="H1748" s="1">
        <v>9.0873790000000003E-7</v>
      </c>
      <c r="I1748">
        <v>285.81580000000002</v>
      </c>
      <c r="J1748">
        <v>-365.13529999999997</v>
      </c>
      <c r="K1748">
        <v>1.110838</v>
      </c>
      <c r="L1748">
        <v>285.17469999999997</v>
      </c>
      <c r="M1748">
        <v>-0.99992230000000004</v>
      </c>
      <c r="N1748">
        <v>-1.243581E-2</v>
      </c>
      <c r="O1748">
        <v>-8.2802590000000001E-4</v>
      </c>
      <c r="P1748">
        <v>-0.93109580000000003</v>
      </c>
      <c r="Q1748">
        <v>0.36035840000000002</v>
      </c>
      <c r="R1748">
        <v>-5.658871E-2</v>
      </c>
      <c r="S1748">
        <v>-3.3010860000000002</v>
      </c>
      <c r="T1748">
        <v>-0.1856015</v>
      </c>
      <c r="U1748">
        <v>0.10708620000000001</v>
      </c>
      <c r="V1748">
        <v>-5.5802949999999997E-2</v>
      </c>
      <c r="W1748">
        <v>0.37191259999999998</v>
      </c>
      <c r="X1748">
        <v>0.926589</v>
      </c>
      <c r="Y1748">
        <v>3.3185520000000003E-2</v>
      </c>
      <c r="Z1748">
        <v>1.17476E-3</v>
      </c>
      <c r="AA1748">
        <v>0.99944849999999996</v>
      </c>
      <c r="AB1748">
        <v>30</v>
      </c>
      <c r="AC1748">
        <v>-19.4603</v>
      </c>
      <c r="AD1748">
        <v>-1.1108370912621</v>
      </c>
      <c r="AE1748">
        <v>0.64110000000005096</v>
      </c>
      <c r="AF1748">
        <v>0.65508246592743302</v>
      </c>
      <c r="AG1748">
        <v>-1.1108370912621</v>
      </c>
      <c r="AH1748">
        <v>19.3966293757926</v>
      </c>
      <c r="AI1748">
        <v>93.275862083210399</v>
      </c>
      <c r="AJ1748">
        <v>88.065684550566502</v>
      </c>
      <c r="AK1748">
        <v>19.439452750073698</v>
      </c>
      <c r="AL1748">
        <v>68.166380721019095</v>
      </c>
      <c r="AM1748">
        <v>93.446421738987794</v>
      </c>
      <c r="AN1748">
        <v>1.0000000630942201</v>
      </c>
    </row>
    <row r="1749" spans="1:40" x14ac:dyDescent="0.25">
      <c r="A1749" t="str">
        <f>"20190304164632735"</f>
        <v>20190304164632735</v>
      </c>
      <c r="B1749" t="str">
        <f>"1551689192729714"</f>
        <v>1551689192729714</v>
      </c>
      <c r="C1749" t="s">
        <v>40</v>
      </c>
      <c r="D1749">
        <v>3.8665889999999998</v>
      </c>
      <c r="E1749">
        <v>0.56439729999999999</v>
      </c>
      <c r="F1749" t="s">
        <v>49</v>
      </c>
      <c r="G1749">
        <v>-381.70049999999998</v>
      </c>
      <c r="H1749" s="1">
        <v>-6.3185499999999996E-7</v>
      </c>
      <c r="I1749">
        <v>286.16489999999999</v>
      </c>
      <c r="J1749">
        <v>-365.43430000000001</v>
      </c>
      <c r="K1749">
        <v>1.110851</v>
      </c>
      <c r="L1749">
        <v>285.17450000000002</v>
      </c>
      <c r="M1749">
        <v>-0.99992020000000004</v>
      </c>
      <c r="N1749">
        <v>-1.2607739999999999E-2</v>
      </c>
      <c r="O1749">
        <v>-8.1292449999999998E-4</v>
      </c>
      <c r="P1749">
        <v>-0.93120519999999996</v>
      </c>
      <c r="Q1749">
        <v>0.36013220000000001</v>
      </c>
      <c r="R1749">
        <v>-5.6230599999999999E-2</v>
      </c>
      <c r="S1749">
        <v>-3.3202210000000001</v>
      </c>
      <c r="T1749">
        <v>-0.22264909999999999</v>
      </c>
      <c r="U1749">
        <v>0.19845579999999999</v>
      </c>
      <c r="V1749">
        <v>-5.5454120000000003E-2</v>
      </c>
      <c r="W1749">
        <v>0.37184790000000001</v>
      </c>
      <c r="X1749">
        <v>0.92663589999999996</v>
      </c>
      <c r="Y1749">
        <v>6.0315220000000003E-2</v>
      </c>
      <c r="Z1749">
        <v>2.443513E-3</v>
      </c>
      <c r="AA1749">
        <v>0.99817639999999996</v>
      </c>
      <c r="AB1749">
        <v>30</v>
      </c>
      <c r="AC1749">
        <v>-16.266199999999898</v>
      </c>
      <c r="AD1749">
        <v>-1.1108516318549999</v>
      </c>
      <c r="AE1749">
        <v>0.99039999999996498</v>
      </c>
      <c r="AF1749">
        <v>0.99898207210432399</v>
      </c>
      <c r="AG1749">
        <v>-1.1108516318549999</v>
      </c>
      <c r="AH1749">
        <v>16.190160662094598</v>
      </c>
      <c r="AI1749">
        <v>93.917642602369597</v>
      </c>
      <c r="AJ1749">
        <v>86.469152849322796</v>
      </c>
      <c r="AK1749">
        <v>16.258943963025899</v>
      </c>
      <c r="AL1749">
        <v>68.170373994086603</v>
      </c>
      <c r="AM1749">
        <v>93.424756311618196</v>
      </c>
      <c r="AN1749">
        <v>1.00000005566409</v>
      </c>
    </row>
    <row r="1750" spans="1:40" x14ac:dyDescent="0.25">
      <c r="A1750" t="str">
        <f>"20190304164632757"</f>
        <v>20190304164632757</v>
      </c>
      <c r="B1750" t="str">
        <f>"1551689192750209"</f>
        <v>1551689192750209</v>
      </c>
      <c r="C1750" t="s">
        <v>40</v>
      </c>
      <c r="D1750">
        <v>3.9596309999999999</v>
      </c>
      <c r="E1750">
        <v>0.5650096</v>
      </c>
      <c r="F1750" t="s">
        <v>41</v>
      </c>
      <c r="G1750">
        <v>-366.42910000000001</v>
      </c>
      <c r="H1750">
        <v>1.044916</v>
      </c>
      <c r="I1750">
        <v>285.2371</v>
      </c>
      <c r="J1750">
        <v>-365.73849999999999</v>
      </c>
      <c r="K1750">
        <v>1.1108659999999999</v>
      </c>
      <c r="L1750">
        <v>285.17430000000002</v>
      </c>
      <c r="M1750">
        <v>-0.99991810000000003</v>
      </c>
      <c r="N1750">
        <v>-1.277785E-2</v>
      </c>
      <c r="O1750">
        <v>-7.886026E-4</v>
      </c>
      <c r="P1750">
        <v>-0.93135330000000005</v>
      </c>
      <c r="Q1750">
        <v>0.35977049999999999</v>
      </c>
      <c r="R1750">
        <v>-5.6092990000000002E-2</v>
      </c>
      <c r="S1750">
        <v>-3.3193049999999999</v>
      </c>
      <c r="T1750">
        <v>-0.22005930000000001</v>
      </c>
      <c r="U1750">
        <v>0.2082214</v>
      </c>
      <c r="V1750">
        <v>-5.533122E-2</v>
      </c>
      <c r="W1750">
        <v>0.37164649999999999</v>
      </c>
      <c r="X1750">
        <v>0.92672399999999999</v>
      </c>
      <c r="Y1750">
        <v>6.3228279999999998E-2</v>
      </c>
      <c r="Z1750">
        <v>2.5385849999999999E-3</v>
      </c>
      <c r="AA1750">
        <v>0.99799590000000005</v>
      </c>
      <c r="AB1750">
        <v>30</v>
      </c>
      <c r="AC1750">
        <v>-0.69060000000001698</v>
      </c>
      <c r="AD1750">
        <v>-6.5949999999999898E-2</v>
      </c>
      <c r="AE1750">
        <v>6.2799999999981496E-2</v>
      </c>
      <c r="AF1750">
        <v>6.2776828745401997E-2</v>
      </c>
      <c r="AG1750">
        <v>-6.5949999999999898E-2</v>
      </c>
      <c r="AH1750">
        <v>0.68436034083133801</v>
      </c>
      <c r="AI1750">
        <v>95.481572716300093</v>
      </c>
      <c r="AJ1750">
        <v>84.758887709560199</v>
      </c>
      <c r="AK1750">
        <v>0.69039076531346699</v>
      </c>
      <c r="AL1750">
        <v>68.182803333533499</v>
      </c>
      <c r="AM1750">
        <v>93.416860124934701</v>
      </c>
      <c r="AN1750">
        <v>1.00000001852246</v>
      </c>
    </row>
    <row r="1751" spans="1:40" x14ac:dyDescent="0.25">
      <c r="A1751" t="str">
        <f>"20190304164632779"</f>
        <v>20190304164632779</v>
      </c>
      <c r="B1751" t="str">
        <f>"1551689192769729"</f>
        <v>1551689192769729</v>
      </c>
      <c r="C1751" t="s">
        <v>40</v>
      </c>
      <c r="D1751">
        <v>3.9337170000000001</v>
      </c>
      <c r="E1751">
        <v>0.5652218</v>
      </c>
      <c r="F1751" t="s">
        <v>41</v>
      </c>
      <c r="G1751">
        <v>-366.7004</v>
      </c>
      <c r="H1751">
        <v>1.045857</v>
      </c>
      <c r="I1751">
        <v>285.23630000000003</v>
      </c>
      <c r="J1751">
        <v>-366.04140000000001</v>
      </c>
      <c r="K1751">
        <v>1.110868</v>
      </c>
      <c r="L1751">
        <v>285.17399999999998</v>
      </c>
      <c r="M1751">
        <v>-0.99991620000000003</v>
      </c>
      <c r="N1751">
        <v>-1.293619E-2</v>
      </c>
      <c r="O1751">
        <v>-7.5728869999999997E-4</v>
      </c>
      <c r="P1751">
        <v>-0.931334</v>
      </c>
      <c r="Q1751">
        <v>0.35990429999999901</v>
      </c>
      <c r="R1751">
        <v>-5.5552280000000002E-2</v>
      </c>
      <c r="S1751">
        <v>-3.3207089999999901</v>
      </c>
      <c r="T1751">
        <v>-0.22466929999999999</v>
      </c>
      <c r="U1751">
        <v>0.21270749999999999</v>
      </c>
      <c r="V1751">
        <v>-5.481196E-2</v>
      </c>
      <c r="W1751">
        <v>0.37192809999999998</v>
      </c>
      <c r="X1751">
        <v>0.92664190000000002</v>
      </c>
      <c r="Y1751">
        <v>6.4503389999999994E-2</v>
      </c>
      <c r="Z1751">
        <v>2.636911E-3</v>
      </c>
      <c r="AA1751">
        <v>0.99791399999999997</v>
      </c>
      <c r="AB1751">
        <v>30</v>
      </c>
      <c r="AC1751">
        <v>-0.65899999999999104</v>
      </c>
      <c r="AD1751">
        <v>-6.5010999999999902E-2</v>
      </c>
      <c r="AE1751">
        <v>6.2299999999993298E-2</v>
      </c>
      <c r="AF1751">
        <v>6.2199116221010098E-2</v>
      </c>
      <c r="AG1751">
        <v>-6.5010999999999902E-2</v>
      </c>
      <c r="AH1751">
        <v>0.65265722054918696</v>
      </c>
      <c r="AI1751">
        <v>95.662961561529201</v>
      </c>
      <c r="AJ1751">
        <v>84.5560761615681</v>
      </c>
      <c r="AK1751">
        <v>0.65882972588876498</v>
      </c>
      <c r="AL1751">
        <v>68.1654233998904</v>
      </c>
      <c r="AM1751">
        <v>93.385168452540995</v>
      </c>
      <c r="AN1751">
        <v>1.00000003668213</v>
      </c>
    </row>
    <row r="1752" spans="1:40" x14ac:dyDescent="0.25">
      <c r="A1752" t="str">
        <f>"20190304164632800"</f>
        <v>20190304164632800</v>
      </c>
      <c r="B1752" t="str">
        <f>"1551689192790225"</f>
        <v>1551689192790225</v>
      </c>
      <c r="C1752" t="s">
        <v>40</v>
      </c>
      <c r="D1752">
        <v>3.9464739999999998</v>
      </c>
      <c r="E1752">
        <v>0.56538650000000001</v>
      </c>
      <c r="F1752" t="s">
        <v>41</v>
      </c>
      <c r="G1752">
        <v>-366.97199999999998</v>
      </c>
      <c r="H1752">
        <v>1.047312</v>
      </c>
      <c r="I1752">
        <v>285.2346</v>
      </c>
      <c r="J1752">
        <v>-366.32940000000002</v>
      </c>
      <c r="K1752">
        <v>1.1108709999999999</v>
      </c>
      <c r="L1752">
        <v>285.1739</v>
      </c>
      <c r="M1752">
        <v>-0.99991430000000003</v>
      </c>
      <c r="N1752">
        <v>-1.3074880000000001E-2</v>
      </c>
      <c r="O1752">
        <v>-7.1727789999999998E-4</v>
      </c>
      <c r="P1752">
        <v>-0.93147489999999999</v>
      </c>
      <c r="Q1752">
        <v>0.35968919999999999</v>
      </c>
      <c r="R1752">
        <v>-5.4575129999999999E-2</v>
      </c>
      <c r="S1752">
        <v>-3.3217469999999998</v>
      </c>
      <c r="T1752">
        <v>-0.2269748</v>
      </c>
      <c r="U1752">
        <v>0.21530150000000001</v>
      </c>
      <c r="V1752">
        <v>-5.386432E-2</v>
      </c>
      <c r="W1752">
        <v>0.37184440000000002</v>
      </c>
      <c r="X1752">
        <v>0.92673110000000003</v>
      </c>
      <c r="Y1752">
        <v>6.5214190000000005E-2</v>
      </c>
      <c r="Z1752">
        <v>2.6900549999999998E-3</v>
      </c>
      <c r="AA1752">
        <v>0.99786759999999997</v>
      </c>
      <c r="AB1752">
        <v>30</v>
      </c>
      <c r="AC1752">
        <v>-0.64259999999995898</v>
      </c>
      <c r="AD1752">
        <v>-6.3558999999999893E-2</v>
      </c>
      <c r="AE1752">
        <v>6.0699999999996999E-2</v>
      </c>
      <c r="AF1752">
        <v>6.0573594985189001E-2</v>
      </c>
      <c r="AG1752">
        <v>-6.3558999999999893E-2</v>
      </c>
      <c r="AH1752">
        <v>0.63638558254876298</v>
      </c>
      <c r="AI1752">
        <v>95.678006667410699</v>
      </c>
      <c r="AJ1752">
        <v>84.562751179827103</v>
      </c>
      <c r="AK1752">
        <v>0.64241382034196504</v>
      </c>
      <c r="AL1752">
        <v>68.170590514814805</v>
      </c>
      <c r="AM1752">
        <v>93.326455633782899</v>
      </c>
      <c r="AN1752">
        <v>1.00000007724381</v>
      </c>
    </row>
    <row r="1753" spans="1:40" x14ac:dyDescent="0.25">
      <c r="A1753" t="str">
        <f>"20190304164632824"</f>
        <v>20190304164632824</v>
      </c>
      <c r="B1753" t="str">
        <f>"1551689192820481"</f>
        <v>1551689192820481</v>
      </c>
      <c r="C1753" t="s">
        <v>40</v>
      </c>
      <c r="D1753">
        <v>3.9622709999999999</v>
      </c>
      <c r="E1753">
        <v>0.56546200000000002</v>
      </c>
      <c r="F1753" t="s">
        <v>41</v>
      </c>
      <c r="G1753">
        <v>-367.24200000000002</v>
      </c>
      <c r="H1753">
        <v>1.0475110000000001</v>
      </c>
      <c r="I1753">
        <v>285.23399999999998</v>
      </c>
      <c r="J1753">
        <v>-366.64429999999999</v>
      </c>
      <c r="K1753">
        <v>1.110876</v>
      </c>
      <c r="L1753">
        <v>285.1737</v>
      </c>
      <c r="M1753">
        <v>-0.99991249999999998</v>
      </c>
      <c r="N1753">
        <v>-1.321755E-2</v>
      </c>
      <c r="O1753">
        <v>-6.5808350000000002E-4</v>
      </c>
      <c r="P1753">
        <v>-0.931593</v>
      </c>
      <c r="Q1753">
        <v>0.35953259999999998</v>
      </c>
      <c r="R1753">
        <v>-5.3581320000000002E-2</v>
      </c>
      <c r="S1753">
        <v>-3.3226010000000001</v>
      </c>
      <c r="T1753">
        <v>-0.23075599999999999</v>
      </c>
      <c r="U1753">
        <v>0.21841430000000001</v>
      </c>
      <c r="V1753">
        <v>-5.2916020000000001E-2</v>
      </c>
      <c r="W1753">
        <v>0.37182270000000001</v>
      </c>
      <c r="X1753">
        <v>0.92679440000000002</v>
      </c>
      <c r="Y1753">
        <v>6.6061270000000005E-2</v>
      </c>
      <c r="Z1753">
        <v>2.763387E-3</v>
      </c>
      <c r="AA1753">
        <v>0.99781169999999997</v>
      </c>
      <c r="AB1753">
        <v>30</v>
      </c>
      <c r="AC1753">
        <v>-0.59769999999997403</v>
      </c>
      <c r="AD1753">
        <v>-6.3364999999999894E-2</v>
      </c>
      <c r="AE1753">
        <v>6.0300000000040599E-2</v>
      </c>
      <c r="AF1753">
        <v>6.0025520990435399E-2</v>
      </c>
      <c r="AG1753">
        <v>-6.3364999999999894E-2</v>
      </c>
      <c r="AH1753">
        <v>0.59108385611492098</v>
      </c>
      <c r="AI1753">
        <v>96.087744911476193</v>
      </c>
      <c r="AJ1753">
        <v>84.201399591850105</v>
      </c>
      <c r="AK1753">
        <v>0.59749335674537696</v>
      </c>
      <c r="AL1753">
        <v>68.171929071189496</v>
      </c>
      <c r="AM1753">
        <v>93.267797575967805</v>
      </c>
      <c r="AN1753">
        <v>1.00000004263964</v>
      </c>
    </row>
    <row r="1754" spans="1:40" x14ac:dyDescent="0.25">
      <c r="A1754" t="str">
        <f>"20190304164632846"</f>
        <v>20190304164632846</v>
      </c>
      <c r="B1754" t="str">
        <f>"1551689192840001"</f>
        <v>1551689192840001</v>
      </c>
      <c r="C1754" t="s">
        <v>40</v>
      </c>
      <c r="D1754">
        <v>3.9392450000000001</v>
      </c>
      <c r="E1754">
        <v>0.56542130000000002</v>
      </c>
      <c r="F1754" t="s">
        <v>41</v>
      </c>
      <c r="G1754">
        <v>-367.51389999999998</v>
      </c>
      <c r="H1754">
        <v>1.0501510000000001</v>
      </c>
      <c r="I1754">
        <v>285.2319</v>
      </c>
      <c r="J1754">
        <v>-366.9495</v>
      </c>
      <c r="K1754">
        <v>1.1108800000000001</v>
      </c>
      <c r="L1754">
        <v>285.17360000000002</v>
      </c>
      <c r="M1754">
        <v>-0.99991079999999999</v>
      </c>
      <c r="N1754">
        <v>-1.334596E-2</v>
      </c>
      <c r="O1754">
        <v>-5.8508319999999998E-4</v>
      </c>
      <c r="P1754">
        <v>-0.93174250000000003</v>
      </c>
      <c r="Q1754">
        <v>0.35919139999999999</v>
      </c>
      <c r="R1754">
        <v>-5.327134E-2</v>
      </c>
      <c r="S1754">
        <v>-3.322632</v>
      </c>
      <c r="T1754">
        <v>-0.2320622</v>
      </c>
      <c r="U1754">
        <v>0.2219238</v>
      </c>
      <c r="V1754">
        <v>-5.2664240000000001E-2</v>
      </c>
      <c r="W1754">
        <v>0.37160349999999998</v>
      </c>
      <c r="X1754">
        <v>0.92689659999999996</v>
      </c>
      <c r="Y1754">
        <v>6.7032159999999993E-2</v>
      </c>
      <c r="Z1754">
        <v>2.816865E-3</v>
      </c>
      <c r="AA1754">
        <v>0.99774680000000004</v>
      </c>
      <c r="AB1754">
        <v>30</v>
      </c>
      <c r="AC1754">
        <v>-0.56439999999997703</v>
      </c>
      <c r="AD1754">
        <v>-6.0728999999999797E-2</v>
      </c>
      <c r="AE1754">
        <v>5.8299999999974199E-2</v>
      </c>
      <c r="AF1754">
        <v>5.7966216279610502E-2</v>
      </c>
      <c r="AG1754">
        <v>-6.0728999999999797E-2</v>
      </c>
      <c r="AH1754">
        <v>0.55797399484960597</v>
      </c>
      <c r="AI1754">
        <v>96.178539221889096</v>
      </c>
      <c r="AJ1754">
        <v>84.068991977017603</v>
      </c>
      <c r="AK1754">
        <v>0.564254439591929</v>
      </c>
      <c r="AL1754">
        <v>68.185456573559506</v>
      </c>
      <c r="AM1754">
        <v>93.251924679023901</v>
      </c>
      <c r="AN1754">
        <v>0.99999999523929295</v>
      </c>
    </row>
    <row r="1755" spans="1:40" x14ac:dyDescent="0.25">
      <c r="A1755" t="str">
        <f>"20190304164632868"</f>
        <v>20190304164632868</v>
      </c>
      <c r="B1755" t="str">
        <f>"1551689192859521"</f>
        <v>1551689192859521</v>
      </c>
      <c r="C1755" t="s">
        <v>40</v>
      </c>
      <c r="D1755">
        <v>3.9584459999999999</v>
      </c>
      <c r="E1755">
        <v>0.56542550000000003</v>
      </c>
      <c r="F1755" t="s">
        <v>41</v>
      </c>
      <c r="G1755">
        <v>-367.78530000000001</v>
      </c>
      <c r="H1755">
        <v>1.0525040000000001</v>
      </c>
      <c r="I1755">
        <v>285.23020000000002</v>
      </c>
      <c r="J1755">
        <v>-367.2398</v>
      </c>
      <c r="K1755">
        <v>1.110876</v>
      </c>
      <c r="L1755">
        <v>285.17349999999999</v>
      </c>
      <c r="M1755">
        <v>-0.99990939999999995</v>
      </c>
      <c r="N1755">
        <v>-1.3456070000000001E-2</v>
      </c>
      <c r="O1755">
        <v>-5.0063959999999998E-4</v>
      </c>
      <c r="P1755">
        <v>-0.93178269999999996</v>
      </c>
      <c r="Q1755">
        <v>0.35911300000000002</v>
      </c>
      <c r="R1755">
        <v>-5.3092590000000002E-2</v>
      </c>
      <c r="S1755">
        <v>-3.3220519999999998</v>
      </c>
      <c r="T1755">
        <v>-0.23215169999999999</v>
      </c>
      <c r="U1755">
        <v>0.2236938</v>
      </c>
      <c r="V1755">
        <v>-5.2554049999999998E-2</v>
      </c>
      <c r="W1755">
        <v>0.3716293</v>
      </c>
      <c r="X1755">
        <v>0.92689250000000001</v>
      </c>
      <c r="Y1755">
        <v>6.7487069999999996E-2</v>
      </c>
      <c r="Z1755">
        <v>2.8359689999999998E-3</v>
      </c>
      <c r="AA1755">
        <v>0.99771609999999999</v>
      </c>
      <c r="AB1755">
        <v>30</v>
      </c>
      <c r="AC1755">
        <v>-0.54550000000000398</v>
      </c>
      <c r="AD1755">
        <v>-5.8371999999999799E-2</v>
      </c>
      <c r="AE1755">
        <v>5.6700000000034799E-2</v>
      </c>
      <c r="AF1755">
        <v>5.6334954826990302E-2</v>
      </c>
      <c r="AG1755">
        <v>-5.8371999999999799E-2</v>
      </c>
      <c r="AH1755">
        <v>0.53936166050392897</v>
      </c>
      <c r="AI1755">
        <v>96.143588908799899</v>
      </c>
      <c r="AJ1755">
        <v>84.037221895726901</v>
      </c>
      <c r="AK1755">
        <v>0.54542819723673497</v>
      </c>
      <c r="AL1755">
        <v>68.183864095620606</v>
      </c>
      <c r="AM1755">
        <v>93.245149520069106</v>
      </c>
      <c r="AN1755">
        <v>0.99999998567307102</v>
      </c>
    </row>
    <row r="1756" spans="1:40" x14ac:dyDescent="0.25">
      <c r="A1756" t="str">
        <f>"20190304164632890"</f>
        <v>20190304164632890</v>
      </c>
      <c r="B1756" t="str">
        <f>"1551689192880021"</f>
        <v>1551689192880021</v>
      </c>
      <c r="C1756" t="s">
        <v>40</v>
      </c>
      <c r="D1756">
        <v>3.9234960000000001</v>
      </c>
      <c r="E1756">
        <v>0.5653802</v>
      </c>
      <c r="F1756" t="s">
        <v>41</v>
      </c>
      <c r="G1756">
        <v>-368.0607</v>
      </c>
      <c r="H1756">
        <v>1.052956</v>
      </c>
      <c r="I1756">
        <v>285.22890000000001</v>
      </c>
      <c r="J1756">
        <v>-367.5335</v>
      </c>
      <c r="K1756">
        <v>1.1108739999999999</v>
      </c>
      <c r="L1756">
        <v>285.17349999999999</v>
      </c>
      <c r="M1756">
        <v>-0.99990809999999997</v>
      </c>
      <c r="N1756">
        <v>-1.355523E-2</v>
      </c>
      <c r="O1756">
        <v>-3.9941990000000001E-4</v>
      </c>
      <c r="P1756">
        <v>-0.93189920000000004</v>
      </c>
      <c r="Q1756">
        <v>0.35886839999999998</v>
      </c>
      <c r="R1756">
        <v>-5.270234E-2</v>
      </c>
      <c r="S1756">
        <v>-3.3227839999999902</v>
      </c>
      <c r="T1756">
        <v>-0.2344881</v>
      </c>
      <c r="U1756">
        <v>0.2241821</v>
      </c>
      <c r="V1756">
        <v>-5.2246710000000002E-2</v>
      </c>
      <c r="W1756">
        <v>0.37147960000000002</v>
      </c>
      <c r="X1756">
        <v>0.92696990000000001</v>
      </c>
      <c r="Y1756">
        <v>6.751356E-2</v>
      </c>
      <c r="Z1756">
        <v>2.8580720000000001E-3</v>
      </c>
      <c r="AA1756">
        <v>0.99771430000000005</v>
      </c>
      <c r="AB1756">
        <v>30</v>
      </c>
      <c r="AC1756">
        <v>-0.52719999999999301</v>
      </c>
      <c r="AD1756">
        <v>-5.79179999999999E-2</v>
      </c>
      <c r="AE1756">
        <v>5.54000000000201E-2</v>
      </c>
      <c r="AF1756">
        <v>5.49545786255684E-2</v>
      </c>
      <c r="AG1756">
        <v>-5.79179999999999E-2</v>
      </c>
      <c r="AH1756">
        <v>0.520958973389404</v>
      </c>
      <c r="AI1756">
        <v>96.309128652745798</v>
      </c>
      <c r="AJ1756">
        <v>83.978290167144806</v>
      </c>
      <c r="AK1756">
        <v>0.52704150917252801</v>
      </c>
      <c r="AL1756">
        <v>68.193103065002205</v>
      </c>
      <c r="AM1756">
        <v>93.225943037246296</v>
      </c>
      <c r="AN1756">
        <v>1.00000000371399</v>
      </c>
    </row>
    <row r="1757" spans="1:40" x14ac:dyDescent="0.25">
      <c r="A1757" t="str">
        <f>"20190304164632913"</f>
        <v>20190304164632913</v>
      </c>
      <c r="B1757" t="str">
        <f>"1551689192910273"</f>
        <v>1551689192910273</v>
      </c>
      <c r="C1757" t="s">
        <v>40</v>
      </c>
      <c r="D1757">
        <v>3.9832990000000001</v>
      </c>
      <c r="E1757">
        <v>0.56543699999999997</v>
      </c>
      <c r="F1757" t="s">
        <v>49</v>
      </c>
      <c r="G1757">
        <v>-383.29500000000002</v>
      </c>
      <c r="H1757" s="1">
        <v>2.1666769999999999E-7</v>
      </c>
      <c r="I1757">
        <v>286.23750000000001</v>
      </c>
      <c r="J1757">
        <v>-367.8372</v>
      </c>
      <c r="K1757">
        <v>1.1108610000000001</v>
      </c>
      <c r="L1757">
        <v>285.17349999999999</v>
      </c>
      <c r="M1757">
        <v>-0.99990679999999998</v>
      </c>
      <c r="N1757">
        <v>-1.3646109999999999E-2</v>
      </c>
      <c r="O1757">
        <v>-2.7809770000000001E-4</v>
      </c>
      <c r="P1757">
        <v>-0.9320522</v>
      </c>
      <c r="Q1757">
        <v>0.35844419999999999</v>
      </c>
      <c r="R1757">
        <v>-5.2883979999999997E-2</v>
      </c>
      <c r="S1757">
        <v>-3.3220830000000001</v>
      </c>
      <c r="T1757">
        <v>-0.23414019999999999</v>
      </c>
      <c r="U1757">
        <v>0.22427369999999999</v>
      </c>
      <c r="V1757">
        <v>-5.25288E-2</v>
      </c>
      <c r="W1757">
        <v>0.37114360000000002</v>
      </c>
      <c r="X1757">
        <v>0.92708860000000004</v>
      </c>
      <c r="Y1757">
        <v>6.7434720000000004E-2</v>
      </c>
      <c r="Z1757">
        <v>2.8478650000000002E-3</v>
      </c>
      <c r="AA1757">
        <v>0.99771960000000004</v>
      </c>
      <c r="AB1757">
        <v>30</v>
      </c>
      <c r="AC1757">
        <v>-15.457800000000001</v>
      </c>
      <c r="AD1757">
        <v>-1.1108607833323001</v>
      </c>
      <c r="AE1757">
        <v>1.06400000000002</v>
      </c>
      <c r="AF1757">
        <v>1.0628360601442499</v>
      </c>
      <c r="AG1757">
        <v>-1.1108607833323001</v>
      </c>
      <c r="AH1757">
        <v>15.378456756746701</v>
      </c>
      <c r="AI1757">
        <v>94.121778940995</v>
      </c>
      <c r="AJ1757">
        <v>86.046460159293105</v>
      </c>
      <c r="AK1757">
        <v>15.455114505878599</v>
      </c>
      <c r="AL1757">
        <v>68.213838008101305</v>
      </c>
      <c r="AM1757">
        <v>93.242909064552904</v>
      </c>
      <c r="AN1757">
        <v>1.0000000594501699</v>
      </c>
    </row>
    <row r="1758" spans="1:40" x14ac:dyDescent="0.25">
      <c r="A1758" t="str">
        <f>"20190304164632948"</f>
        <v>20190304164632948</v>
      </c>
      <c r="B1758" t="str">
        <f>"1551689192939556"</f>
        <v>1551689192939556</v>
      </c>
      <c r="C1758" t="s">
        <v>40</v>
      </c>
      <c r="D1758">
        <v>3.8926699999999999</v>
      </c>
      <c r="E1758">
        <v>0.56546260000000004</v>
      </c>
      <c r="F1758" t="s">
        <v>49</v>
      </c>
      <c r="G1758">
        <v>-383.423</v>
      </c>
      <c r="H1758" s="1">
        <v>2.8476280000000001E-7</v>
      </c>
      <c r="I1758">
        <v>286.22300000000001</v>
      </c>
      <c r="J1758">
        <v>-368.29730000000001</v>
      </c>
      <c r="K1758">
        <v>1.110852</v>
      </c>
      <c r="L1758">
        <v>285.17360000000002</v>
      </c>
      <c r="M1758">
        <v>-0.99990540000000006</v>
      </c>
      <c r="N1758">
        <v>-1.376118E-2</v>
      </c>
      <c r="O1758" s="1">
        <v>-5.87294199999999E-5</v>
      </c>
      <c r="P1758">
        <v>-0.9319655</v>
      </c>
      <c r="Q1758">
        <v>0.35867520000000003</v>
      </c>
      <c r="R1758">
        <v>-5.2848150000000003E-2</v>
      </c>
      <c r="S1758">
        <v>-3.3224490000000002</v>
      </c>
      <c r="T1758">
        <v>-0.23680399999999999</v>
      </c>
      <c r="U1758">
        <v>0.22372439999999999</v>
      </c>
      <c r="V1758">
        <v>-5.2679370000000003E-2</v>
      </c>
      <c r="W1758">
        <v>0.37148229999999999</v>
      </c>
      <c r="X1758">
        <v>0.92694430000000005</v>
      </c>
      <c r="Y1758">
        <v>6.7041340000000005E-2</v>
      </c>
      <c r="Z1758">
        <v>2.849327E-3</v>
      </c>
      <c r="AA1758">
        <v>0.99774609999999997</v>
      </c>
      <c r="AB1758">
        <v>30</v>
      </c>
      <c r="AC1758">
        <v>-15.125699999999901</v>
      </c>
      <c r="AD1758">
        <v>-1.1108517152371999</v>
      </c>
      <c r="AE1758">
        <v>1.0493999999999899</v>
      </c>
      <c r="AF1758">
        <v>1.0446807751370699</v>
      </c>
      <c r="AG1758">
        <v>-1.1108517152371999</v>
      </c>
      <c r="AH1758">
        <v>15.044880525412401</v>
      </c>
      <c r="AI1758">
        <v>94.212713355999895</v>
      </c>
      <c r="AJ1758">
        <v>86.027892898040307</v>
      </c>
      <c r="AK1758">
        <v>15.121963479625199</v>
      </c>
      <c r="AL1758">
        <v>68.192935790943395</v>
      </c>
      <c r="AM1758">
        <v>93.252689893478603</v>
      </c>
      <c r="AN1758">
        <v>0.99999997526968798</v>
      </c>
    </row>
    <row r="1759" spans="1:40" x14ac:dyDescent="0.25">
      <c r="A1759" t="str">
        <f>"20190304164632968"</f>
        <v>20190304164632968</v>
      </c>
      <c r="B1759" t="str">
        <f>"1551689192960049"</f>
        <v>1551689192960049</v>
      </c>
      <c r="C1759" t="s">
        <v>40</v>
      </c>
      <c r="D1759">
        <v>3.8669229999999999</v>
      </c>
      <c r="E1759">
        <v>0.5655</v>
      </c>
      <c r="F1759" t="s">
        <v>41</v>
      </c>
      <c r="G1759">
        <v>-369.12869999999998</v>
      </c>
      <c r="H1759">
        <v>1.0525880000000001</v>
      </c>
      <c r="I1759">
        <v>285.22980000000001</v>
      </c>
      <c r="J1759">
        <v>-368.57810000000001</v>
      </c>
      <c r="K1759">
        <v>1.110846</v>
      </c>
      <c r="L1759">
        <v>285.1737</v>
      </c>
      <c r="M1759">
        <v>-0.99990449999999997</v>
      </c>
      <c r="N1759">
        <v>-1.3820870000000001E-2</v>
      </c>
      <c r="O1759" s="1">
        <v>9.1606180000000003E-5</v>
      </c>
      <c r="P1759">
        <v>-0.93186290000000005</v>
      </c>
      <c r="Q1759">
        <v>0.35896830000000002</v>
      </c>
      <c r="R1759">
        <v>-5.2664610000000001E-2</v>
      </c>
      <c r="S1759">
        <v>-3.3212589999999902</v>
      </c>
      <c r="T1759">
        <v>-0.2327796</v>
      </c>
      <c r="U1759">
        <v>0.223938</v>
      </c>
      <c r="V1759">
        <v>-5.2625940000000003E-2</v>
      </c>
      <c r="W1759">
        <v>0.37183060000000001</v>
      </c>
      <c r="X1759">
        <v>0.92680770000000001</v>
      </c>
      <c r="Y1759">
        <v>6.6985589999999998E-2</v>
      </c>
      <c r="Z1759">
        <v>2.8008920000000001E-3</v>
      </c>
      <c r="AA1759">
        <v>0.99775000000000003</v>
      </c>
      <c r="AB1759">
        <v>30</v>
      </c>
      <c r="AC1759">
        <v>-0.550599999999974</v>
      </c>
      <c r="AD1759">
        <v>-5.8258000000000101E-2</v>
      </c>
      <c r="AE1759">
        <v>5.6100000000014902E-2</v>
      </c>
      <c r="AF1759">
        <v>5.5435313997286399E-2</v>
      </c>
      <c r="AG1759">
        <v>-5.8258000000000101E-2</v>
      </c>
      <c r="AH1759">
        <v>0.54457109982402396</v>
      </c>
      <c r="AI1759">
        <v>96.075096949686596</v>
      </c>
      <c r="AJ1759">
        <v>84.187524637774104</v>
      </c>
      <c r="AK1759">
        <v>0.55047683999013497</v>
      </c>
      <c r="AL1759">
        <v>68.171440466981693</v>
      </c>
      <c r="AM1759">
        <v>93.249875823408601</v>
      </c>
      <c r="AN1759">
        <v>0.99999999871826595</v>
      </c>
    </row>
    <row r="1760" spans="1:40" x14ac:dyDescent="0.25">
      <c r="A1760" t="str">
        <f>"20190304164632991"</f>
        <v>20190304164632991</v>
      </c>
      <c r="B1760" t="str">
        <f>"1551689192979570"</f>
        <v>1551689192979570</v>
      </c>
      <c r="C1760" t="s">
        <v>40</v>
      </c>
      <c r="D1760">
        <v>3.9241329999999999</v>
      </c>
      <c r="E1760">
        <v>0.56555290000000003</v>
      </c>
      <c r="F1760" t="s">
        <v>49</v>
      </c>
      <c r="G1760">
        <v>-384.6696</v>
      </c>
      <c r="H1760" s="1">
        <v>9.481362E-7</v>
      </c>
      <c r="I1760">
        <v>286.26369999999997</v>
      </c>
      <c r="J1760">
        <v>-368.8784</v>
      </c>
      <c r="K1760">
        <v>1.1108359999999999</v>
      </c>
      <c r="L1760">
        <v>285.17399999999998</v>
      </c>
      <c r="M1760">
        <v>-0.99990369999999995</v>
      </c>
      <c r="N1760">
        <v>-1.387627E-2</v>
      </c>
      <c r="O1760">
        <v>2.6436979999999998E-4</v>
      </c>
      <c r="P1760">
        <v>-0.93176590000000004</v>
      </c>
      <c r="Q1760">
        <v>0.35923759999999999</v>
      </c>
      <c r="R1760">
        <v>-5.2542869999999998E-2</v>
      </c>
      <c r="S1760">
        <v>-3.3204039999999999</v>
      </c>
      <c r="T1760">
        <v>-0.22921710000000001</v>
      </c>
      <c r="U1760">
        <v>0.22491459999999999</v>
      </c>
      <c r="V1760">
        <v>-5.2655760000000003E-2</v>
      </c>
      <c r="W1760">
        <v>0.37215160000000003</v>
      </c>
      <c r="X1760">
        <v>0.92667719999999998</v>
      </c>
      <c r="Y1760">
        <v>6.7127649999999997E-2</v>
      </c>
      <c r="Z1760">
        <v>2.7640260000000002E-3</v>
      </c>
      <c r="AA1760">
        <v>0.99774059999999998</v>
      </c>
      <c r="AB1760">
        <v>30</v>
      </c>
      <c r="AC1760">
        <v>-15.7912</v>
      </c>
      <c r="AD1760">
        <v>-1.1108350518637999</v>
      </c>
      <c r="AE1760">
        <v>1.0896999999999299</v>
      </c>
      <c r="AF1760">
        <v>1.0802048412193399</v>
      </c>
      <c r="AG1760">
        <v>-1.1108350518637999</v>
      </c>
      <c r="AH1760">
        <v>15.714095731971</v>
      </c>
      <c r="AI1760">
        <v>94.034044414875297</v>
      </c>
      <c r="AJ1760">
        <v>86.067609029440803</v>
      </c>
      <c r="AK1760">
        <v>15.790300873795699</v>
      </c>
      <c r="AL1760">
        <v>68.151627501528594</v>
      </c>
      <c r="AM1760">
        <v>93.252170326848102</v>
      </c>
      <c r="AN1760">
        <v>1.0000000377217799</v>
      </c>
    </row>
    <row r="1761" spans="1:40" x14ac:dyDescent="0.25">
      <c r="A1761" t="str">
        <f>"20190304164633013"</f>
        <v>20190304164633013</v>
      </c>
      <c r="B1761" t="str">
        <f>"1551689193009825"</f>
        <v>1551689193009825</v>
      </c>
      <c r="C1761" t="s">
        <v>40</v>
      </c>
      <c r="D1761">
        <v>3.918142</v>
      </c>
      <c r="E1761">
        <v>0.56541509999999995</v>
      </c>
      <c r="F1761" t="s">
        <v>49</v>
      </c>
      <c r="G1761">
        <v>-385.07670000000002</v>
      </c>
      <c r="H1761" s="1">
        <v>1.164774E-6</v>
      </c>
      <c r="I1761">
        <v>286.28030000000001</v>
      </c>
      <c r="J1761">
        <v>-369.17090000000002</v>
      </c>
      <c r="K1761">
        <v>1.1108370000000001</v>
      </c>
      <c r="L1761">
        <v>285.17419999999998</v>
      </c>
      <c r="M1761">
        <v>-0.99990299999999999</v>
      </c>
      <c r="N1761">
        <v>-1.3922840000000001E-2</v>
      </c>
      <c r="O1761">
        <v>4.4468459999999997E-4</v>
      </c>
      <c r="P1761">
        <v>-0.93180249999999998</v>
      </c>
      <c r="Q1761">
        <v>0.35917969999999999</v>
      </c>
      <c r="R1761">
        <v>-5.2289929999999998E-2</v>
      </c>
      <c r="S1761">
        <v>-3.3203429999999998</v>
      </c>
      <c r="T1761">
        <v>-0.22769990000000001</v>
      </c>
      <c r="U1761">
        <v>0.22677610000000001</v>
      </c>
      <c r="V1761">
        <v>-5.2562409999999997E-2</v>
      </c>
      <c r="W1761">
        <v>0.37213780000000002</v>
      </c>
      <c r="X1761">
        <v>0.92668799999999996</v>
      </c>
      <c r="Y1761">
        <v>6.7507159999999997E-2</v>
      </c>
      <c r="Z1761">
        <v>2.7562620000000002E-3</v>
      </c>
      <c r="AA1761">
        <v>0.99771500000000002</v>
      </c>
      <c r="AB1761">
        <v>30</v>
      </c>
      <c r="AC1761">
        <v>-15.905799999999999</v>
      </c>
      <c r="AD1761">
        <v>-1.1108358352259999</v>
      </c>
      <c r="AE1761">
        <v>1.1061000000000201</v>
      </c>
      <c r="AF1761">
        <v>1.09371731266495</v>
      </c>
      <c r="AG1761">
        <v>-1.1108358352259999</v>
      </c>
      <c r="AH1761">
        <v>15.8294552594054</v>
      </c>
      <c r="AI1761">
        <v>94.004647974297797</v>
      </c>
      <c r="AJ1761">
        <v>86.047498219012198</v>
      </c>
      <c r="AK1761">
        <v>15.906031171299899</v>
      </c>
      <c r="AL1761">
        <v>68.152478484834006</v>
      </c>
      <c r="AM1761">
        <v>93.246379352687896</v>
      </c>
      <c r="AN1761">
        <v>0.99999999923892402</v>
      </c>
    </row>
    <row r="1762" spans="1:40" x14ac:dyDescent="0.25">
      <c r="A1762" t="str">
        <f>"20190304164633037"</f>
        <v>20190304164633037</v>
      </c>
      <c r="B1762" t="str">
        <f>"1551689193030321"</f>
        <v>1551689193030321</v>
      </c>
      <c r="C1762" t="s">
        <v>40</v>
      </c>
      <c r="D1762">
        <v>3.9154469999999999</v>
      </c>
      <c r="E1762">
        <v>0.56523540000000005</v>
      </c>
      <c r="F1762" t="s">
        <v>49</v>
      </c>
      <c r="G1762">
        <v>-385.38290000000001</v>
      </c>
      <c r="H1762" s="1">
        <v>1.327709E-6</v>
      </c>
      <c r="I1762">
        <v>286.28750000000002</v>
      </c>
      <c r="J1762">
        <v>-369.4914</v>
      </c>
      <c r="K1762">
        <v>1.1108340000000001</v>
      </c>
      <c r="L1762">
        <v>285.1746</v>
      </c>
      <c r="M1762">
        <v>-0.99990230000000002</v>
      </c>
      <c r="N1762">
        <v>-1.396654E-2</v>
      </c>
      <c r="O1762">
        <v>6.5692149999999896E-4</v>
      </c>
      <c r="P1762">
        <v>-0.93174710000000005</v>
      </c>
      <c r="Q1762">
        <v>0.35939559999999998</v>
      </c>
      <c r="R1762">
        <v>-5.179156E-2</v>
      </c>
      <c r="S1762">
        <v>-3.3200989999999999</v>
      </c>
      <c r="T1762">
        <v>-0.22749130000000001</v>
      </c>
      <c r="U1762">
        <v>0.2279968</v>
      </c>
      <c r="V1762">
        <v>-5.2252140000000002E-2</v>
      </c>
      <c r="W1762">
        <v>0.37239460000000002</v>
      </c>
      <c r="X1762">
        <v>0.92660240000000005</v>
      </c>
      <c r="Y1762">
        <v>6.766556E-2</v>
      </c>
      <c r="Z1762">
        <v>2.7507930000000001E-3</v>
      </c>
      <c r="AA1762">
        <v>0.99770429999999999</v>
      </c>
      <c r="AB1762">
        <v>30</v>
      </c>
      <c r="AC1762">
        <v>-15.891500000000001</v>
      </c>
      <c r="AD1762">
        <v>-1.110832672291</v>
      </c>
      <c r="AE1762">
        <v>1.11290000000002</v>
      </c>
      <c r="AF1762">
        <v>1.0971247119653</v>
      </c>
      <c r="AG1762">
        <v>-1.110832672291</v>
      </c>
      <c r="AH1762">
        <v>15.8153286758057</v>
      </c>
      <c r="AI1762">
        <v>94.008125684975496</v>
      </c>
      <c r="AJ1762">
        <v>86.031693576553593</v>
      </c>
      <c r="AK1762">
        <v>15.892207303681801</v>
      </c>
      <c r="AL1762">
        <v>68.136625896574699</v>
      </c>
      <c r="AM1762">
        <v>93.2275544713128</v>
      </c>
      <c r="AN1762">
        <v>1.00000001596474</v>
      </c>
    </row>
    <row r="1763" spans="1:40" x14ac:dyDescent="0.25">
      <c r="A1763" t="str">
        <f>"20190304164633057"</f>
        <v>20190304164633057</v>
      </c>
      <c r="B1763" t="str">
        <f>"1551689193049844"</f>
        <v>1551689193049844</v>
      </c>
      <c r="C1763" t="s">
        <v>40</v>
      </c>
      <c r="D1763">
        <v>3.9236209999999998</v>
      </c>
      <c r="E1763">
        <v>0.56507469999999904</v>
      </c>
      <c r="F1763" t="s">
        <v>41</v>
      </c>
      <c r="G1763">
        <v>-370.45249999999999</v>
      </c>
      <c r="H1763">
        <v>1.045334</v>
      </c>
      <c r="I1763">
        <v>285.24099999999999</v>
      </c>
      <c r="J1763">
        <v>-369.7697</v>
      </c>
      <c r="K1763">
        <v>1.110827</v>
      </c>
      <c r="L1763">
        <v>285.17500000000001</v>
      </c>
      <c r="M1763">
        <v>-0.99990179999999995</v>
      </c>
      <c r="N1763">
        <v>-1.399921E-2</v>
      </c>
      <c r="O1763">
        <v>8.536638E-4</v>
      </c>
      <c r="P1763">
        <v>-0.93159689999999995</v>
      </c>
      <c r="Q1763">
        <v>0.35974139999999999</v>
      </c>
      <c r="R1763">
        <v>-5.209482E-2</v>
      </c>
      <c r="S1763">
        <v>-3.3198240000000001</v>
      </c>
      <c r="T1763">
        <v>-0.2264951</v>
      </c>
      <c r="U1763">
        <v>0.22836300000000001</v>
      </c>
      <c r="V1763">
        <v>-5.2729600000000001E-2</v>
      </c>
      <c r="W1763">
        <v>0.37276979999999998</v>
      </c>
      <c r="X1763">
        <v>0.92642440000000004</v>
      </c>
      <c r="Y1763">
        <v>6.7586350000000003E-2</v>
      </c>
      <c r="Z1763">
        <v>2.7282959999999998E-3</v>
      </c>
      <c r="AA1763">
        <v>0.99770970000000003</v>
      </c>
      <c r="AB1763">
        <v>30</v>
      </c>
      <c r="AC1763">
        <v>-0.68279999999998597</v>
      </c>
      <c r="AD1763">
        <v>-6.5492999999999996E-2</v>
      </c>
      <c r="AE1763">
        <v>6.5999999999973996E-2</v>
      </c>
      <c r="AF1763">
        <v>6.48261372871866E-2</v>
      </c>
      <c r="AG1763">
        <v>-6.5492999999999996E-2</v>
      </c>
      <c r="AH1763">
        <v>0.67668798578505995</v>
      </c>
      <c r="AI1763">
        <v>95.503094004479706</v>
      </c>
      <c r="AJ1763">
        <v>84.527812254541502</v>
      </c>
      <c r="AK1763">
        <v>0.68293366532220301</v>
      </c>
      <c r="AL1763">
        <v>68.113459121361998</v>
      </c>
      <c r="AM1763">
        <v>93.2576078575417</v>
      </c>
      <c r="AN1763">
        <v>0.99999995171177802</v>
      </c>
    </row>
    <row r="1764" spans="1:40" x14ac:dyDescent="0.25">
      <c r="A1764" t="str">
        <f>"20190304164633080"</f>
        <v>20190304164633080</v>
      </c>
      <c r="B1764" t="str">
        <f>"1551689193070337"</f>
        <v>1551689193070337</v>
      </c>
      <c r="C1764" t="s">
        <v>40</v>
      </c>
      <c r="D1764">
        <v>3.8684020000000001</v>
      </c>
      <c r="E1764">
        <v>0.56496759999999902</v>
      </c>
      <c r="F1764" t="s">
        <v>41</v>
      </c>
      <c r="G1764">
        <v>-370.7192</v>
      </c>
      <c r="H1764">
        <v>1.0465530000000001</v>
      </c>
      <c r="I1764">
        <v>285.24020000000002</v>
      </c>
      <c r="J1764">
        <v>-370.06270000000001</v>
      </c>
      <c r="K1764">
        <v>1.1108290000000001</v>
      </c>
      <c r="L1764">
        <v>285.17540000000002</v>
      </c>
      <c r="M1764">
        <v>-0.99990109999999999</v>
      </c>
      <c r="N1764">
        <v>-1.402871E-2</v>
      </c>
      <c r="O1764">
        <v>1.0711760000000001E-3</v>
      </c>
      <c r="P1764">
        <v>-0.93148940000000002</v>
      </c>
      <c r="Q1764">
        <v>0.3600256</v>
      </c>
      <c r="R1764">
        <v>-5.2051159999999999E-2</v>
      </c>
      <c r="S1764">
        <v>-3.319855</v>
      </c>
      <c r="T1764">
        <v>-0.22495689999999999</v>
      </c>
      <c r="U1764">
        <v>0.22689819999999999</v>
      </c>
      <c r="V1764">
        <v>-5.2878849999999998E-2</v>
      </c>
      <c r="W1764">
        <v>0.3730813</v>
      </c>
      <c r="X1764">
        <v>0.92629059999999996</v>
      </c>
      <c r="Y1764">
        <v>6.6934850000000004E-2</v>
      </c>
      <c r="Z1764">
        <v>2.675864E-3</v>
      </c>
      <c r="AA1764">
        <v>0.99775369999999997</v>
      </c>
      <c r="AB1764">
        <v>30</v>
      </c>
      <c r="AC1764">
        <v>-0.65649999999999398</v>
      </c>
      <c r="AD1764">
        <v>-6.4276E-2</v>
      </c>
      <c r="AE1764">
        <v>6.4799999999991004E-2</v>
      </c>
      <c r="AF1764">
        <v>6.3493899588581093E-2</v>
      </c>
      <c r="AG1764">
        <v>-6.4276E-2</v>
      </c>
      <c r="AH1764">
        <v>0.65039464677699699</v>
      </c>
      <c r="AI1764">
        <v>95.617462002575706</v>
      </c>
      <c r="AJ1764">
        <v>84.424245076681203</v>
      </c>
      <c r="AK1764">
        <v>0.65663998965730097</v>
      </c>
      <c r="AL1764">
        <v>68.094226199145496</v>
      </c>
      <c r="AM1764">
        <v>93.267279363069903</v>
      </c>
      <c r="AN1764">
        <v>1.00000005241768</v>
      </c>
    </row>
    <row r="1765" spans="1:40" x14ac:dyDescent="0.25">
      <c r="A1765" t="str">
        <f>"20190304164633103"</f>
        <v>20190304164633103</v>
      </c>
      <c r="B1765" t="str">
        <f>"1551689193099617"</f>
        <v>1551689193099617</v>
      </c>
      <c r="C1765" t="s">
        <v>40</v>
      </c>
      <c r="D1765">
        <v>3.876112</v>
      </c>
      <c r="E1765">
        <v>0.56475819999999999</v>
      </c>
      <c r="F1765" t="s">
        <v>41</v>
      </c>
      <c r="G1765">
        <v>-370.98649999999998</v>
      </c>
      <c r="H1765">
        <v>1.0486310000000001</v>
      </c>
      <c r="I1765">
        <v>285.23860000000002</v>
      </c>
      <c r="J1765">
        <v>-370.3655</v>
      </c>
      <c r="K1765">
        <v>1.110824</v>
      </c>
      <c r="L1765">
        <v>285.17599999999999</v>
      </c>
      <c r="M1765">
        <v>-0.99990049999999997</v>
      </c>
      <c r="N1765">
        <v>-1.4054789999999999E-2</v>
      </c>
      <c r="O1765">
        <v>1.308865E-3</v>
      </c>
      <c r="P1765">
        <v>-0.9316622</v>
      </c>
      <c r="Q1765">
        <v>0.359566099999999</v>
      </c>
      <c r="R1765">
        <v>-5.2137650000000001E-2</v>
      </c>
      <c r="S1765">
        <v>-3.3197329999999998</v>
      </c>
      <c r="T1765">
        <v>-0.22367609999999999</v>
      </c>
      <c r="U1765">
        <v>0.22604369999999999</v>
      </c>
      <c r="V1765">
        <v>-5.317765E-2</v>
      </c>
      <c r="W1765">
        <v>0.37264989999999998</v>
      </c>
      <c r="X1765">
        <v>0.92644709999999997</v>
      </c>
      <c r="Y1765">
        <v>6.6448030000000005E-2</v>
      </c>
      <c r="Z1765">
        <v>2.6319770000000002E-3</v>
      </c>
      <c r="AA1765">
        <v>0.99778639999999996</v>
      </c>
      <c r="AB1765">
        <v>30</v>
      </c>
      <c r="AC1765">
        <v>-0.62099999999998001</v>
      </c>
      <c r="AD1765">
        <v>-6.2193000000000102E-2</v>
      </c>
      <c r="AE1765">
        <v>6.26000000000317E-2</v>
      </c>
      <c r="AF1765">
        <v>6.1179603957111202E-2</v>
      </c>
      <c r="AG1765">
        <v>-6.2193000000000102E-2</v>
      </c>
      <c r="AH1765">
        <v>0.61497527353190096</v>
      </c>
      <c r="AI1765">
        <v>95.746564664071101</v>
      </c>
      <c r="AJ1765">
        <v>84.318735256721695</v>
      </c>
      <c r="AK1765">
        <v>0.62113243374097404</v>
      </c>
      <c r="AL1765">
        <v>68.120863865819103</v>
      </c>
      <c r="AM1765">
        <v>93.285147465156101</v>
      </c>
      <c r="AN1765">
        <v>1.00000001976397</v>
      </c>
    </row>
    <row r="1766" spans="1:40" x14ac:dyDescent="0.25">
      <c r="A1766" t="str">
        <f>"20190304164633125"</f>
        <v>20190304164633125</v>
      </c>
      <c r="B1766" t="str">
        <f>"1551689193120113"</f>
        <v>1551689193120113</v>
      </c>
      <c r="C1766" t="s">
        <v>40</v>
      </c>
      <c r="D1766">
        <v>3.854355</v>
      </c>
      <c r="E1766">
        <v>0.56462990000000002</v>
      </c>
      <c r="F1766" t="s">
        <v>41</v>
      </c>
      <c r="G1766">
        <v>-371.2534</v>
      </c>
      <c r="H1766">
        <v>1.050597</v>
      </c>
      <c r="I1766">
        <v>285.23630000000003</v>
      </c>
      <c r="J1766">
        <v>-370.66910000000001</v>
      </c>
      <c r="K1766">
        <v>1.1108129999999901</v>
      </c>
      <c r="L1766">
        <v>285.17660000000001</v>
      </c>
      <c r="M1766">
        <v>-0.99989969999999995</v>
      </c>
      <c r="N1766">
        <v>-1.407695E-2</v>
      </c>
      <c r="O1766">
        <v>1.563463E-3</v>
      </c>
      <c r="P1766">
        <v>-0.93161769999999999</v>
      </c>
      <c r="Q1766">
        <v>0.35963430000000002</v>
      </c>
      <c r="R1766">
        <v>-5.245288E-2</v>
      </c>
      <c r="S1766">
        <v>-3.3195800000000002</v>
      </c>
      <c r="T1766">
        <v>-0.2252855</v>
      </c>
      <c r="U1766">
        <v>0.22500609999999999</v>
      </c>
      <c r="V1766">
        <v>-5.3720249999999997E-2</v>
      </c>
      <c r="W1766">
        <v>0.3727393</v>
      </c>
      <c r="X1766">
        <v>0.92637979999999998</v>
      </c>
      <c r="Y1766">
        <v>6.5886109999999998E-2</v>
      </c>
      <c r="Z1766">
        <v>2.6116210000000002E-3</v>
      </c>
      <c r="AA1766">
        <v>0.99782369999999998</v>
      </c>
      <c r="AB1766">
        <v>30</v>
      </c>
      <c r="AC1766">
        <v>-0.58429999999998405</v>
      </c>
      <c r="AD1766">
        <v>-6.0215999999999797E-2</v>
      </c>
      <c r="AE1766">
        <v>5.9700000000020702E-2</v>
      </c>
      <c r="AF1766">
        <v>5.8174832626231701E-2</v>
      </c>
      <c r="AG1766">
        <v>-6.0215999999999797E-2</v>
      </c>
      <c r="AH1766">
        <v>0.57831400721858395</v>
      </c>
      <c r="AI1766">
        <v>95.914771023520004</v>
      </c>
      <c r="AJ1766">
        <v>84.255720617666498</v>
      </c>
      <c r="AK1766">
        <v>0.584343536588115</v>
      </c>
      <c r="AL1766">
        <v>68.115343305660602</v>
      </c>
      <c r="AM1766">
        <v>93.318833592148295</v>
      </c>
      <c r="AN1766">
        <v>0.999999992436296</v>
      </c>
    </row>
    <row r="1767" spans="1:40" x14ac:dyDescent="0.25">
      <c r="A1767" t="str">
        <f>"20190304164633148"</f>
        <v>20190304164633148</v>
      </c>
      <c r="B1767" t="str">
        <f>"1551689193139633"</f>
        <v>1551689193139633</v>
      </c>
      <c r="C1767" t="s">
        <v>40</v>
      </c>
      <c r="D1767">
        <v>3.846956</v>
      </c>
      <c r="E1767">
        <v>0.56256490000000003</v>
      </c>
      <c r="F1767" t="s">
        <v>49</v>
      </c>
      <c r="G1767">
        <v>-387.202</v>
      </c>
      <c r="H1767" s="1">
        <v>2.2957739999999998E-6</v>
      </c>
      <c r="I1767">
        <v>286.29289999999997</v>
      </c>
      <c r="J1767">
        <v>-370.96100000000001</v>
      </c>
      <c r="K1767">
        <v>1.110806</v>
      </c>
      <c r="L1767">
        <v>285.17739999999998</v>
      </c>
      <c r="M1767">
        <v>-0.99989910000000004</v>
      </c>
      <c r="N1767">
        <v>-1.409494E-2</v>
      </c>
      <c r="O1767">
        <v>1.8259719999999999E-3</v>
      </c>
      <c r="P1767">
        <v>-0.9317704</v>
      </c>
      <c r="Q1767">
        <v>0.35919000000000001</v>
      </c>
      <c r="R1767">
        <v>-5.2790429999999999E-2</v>
      </c>
      <c r="S1767">
        <v>-3.3189090000000001</v>
      </c>
      <c r="T1767">
        <v>-0.22299040000000001</v>
      </c>
      <c r="U1767">
        <v>0.2240906</v>
      </c>
      <c r="V1767">
        <v>-5.4291199999999901E-2</v>
      </c>
      <c r="W1767">
        <v>0.37231540000000002</v>
      </c>
      <c r="X1767">
        <v>0.92651700000000003</v>
      </c>
      <c r="Y1767">
        <v>6.5368750000000003E-2</v>
      </c>
      <c r="Z1767">
        <v>2.556174E-3</v>
      </c>
      <c r="AA1767">
        <v>0.99785789999999996</v>
      </c>
      <c r="AB1767">
        <v>30</v>
      </c>
      <c r="AC1767">
        <v>-16.2409999999999</v>
      </c>
      <c r="AD1767">
        <v>-1.1108037042259999</v>
      </c>
      <c r="AE1767">
        <v>1.1154999999999899</v>
      </c>
      <c r="AF1767">
        <v>1.08080743706335</v>
      </c>
      <c r="AG1767">
        <v>-1.1108037042259999</v>
      </c>
      <c r="AH1767">
        <v>16.1677343810703</v>
      </c>
      <c r="AI1767">
        <v>93.921602958482794</v>
      </c>
      <c r="AJ1767">
        <v>86.175487325156993</v>
      </c>
      <c r="AK1767">
        <v>16.241849174345202</v>
      </c>
      <c r="AL1767">
        <v>68.141515443225401</v>
      </c>
      <c r="AM1767">
        <v>93.353531205232997</v>
      </c>
      <c r="AN1767">
        <v>1.0000000213817899</v>
      </c>
    </row>
    <row r="1768" spans="1:40" x14ac:dyDescent="0.25">
      <c r="A1768" t="str">
        <f>"20190304164633168"</f>
        <v>20190304164633168</v>
      </c>
      <c r="B1768" t="str">
        <f>"1551689193160129"</f>
        <v>1551689193160129</v>
      </c>
      <c r="C1768" t="s">
        <v>40</v>
      </c>
      <c r="D1768">
        <v>3.8221949999999998</v>
      </c>
      <c r="E1768">
        <v>0.56341219999999903</v>
      </c>
      <c r="F1768" t="s">
        <v>49</v>
      </c>
      <c r="G1768">
        <v>-391.31569999999999</v>
      </c>
      <c r="H1768" s="1">
        <v>-8.3663700000000003E-7</v>
      </c>
      <c r="I1768">
        <v>286.47989999999999</v>
      </c>
      <c r="J1768">
        <v>-371.2441</v>
      </c>
      <c r="K1768">
        <v>1.110797</v>
      </c>
      <c r="L1768">
        <v>285.1782</v>
      </c>
      <c r="M1768">
        <v>-0.99989830000000002</v>
      </c>
      <c r="N1768">
        <v>-1.4109750000000001E-2</v>
      </c>
      <c r="O1768">
        <v>2.0997339999999998E-3</v>
      </c>
      <c r="P1768">
        <v>-0.93169480000000005</v>
      </c>
      <c r="Q1768">
        <v>0.35936810000000002</v>
      </c>
      <c r="R1768">
        <v>-5.2911909999999999E-2</v>
      </c>
      <c r="S1768">
        <v>-3.3010860000000002</v>
      </c>
      <c r="T1768">
        <v>-0.18014849999999999</v>
      </c>
      <c r="U1768">
        <v>0.21124270000000001</v>
      </c>
      <c r="V1768">
        <v>-5.4654660000000001E-2</v>
      </c>
      <c r="W1768">
        <v>0.37250830000000001</v>
      </c>
      <c r="X1768">
        <v>0.92641810000000002</v>
      </c>
      <c r="Y1768">
        <v>6.1652070000000003E-2</v>
      </c>
      <c r="Z1768">
        <v>2.0303069999999999E-3</v>
      </c>
      <c r="AA1768">
        <v>0.99809559999999997</v>
      </c>
      <c r="AB1768">
        <v>30</v>
      </c>
      <c r="AC1768">
        <v>-20.071599999999901</v>
      </c>
      <c r="AD1768">
        <v>-1.1107978366369999</v>
      </c>
      <c r="AE1768">
        <v>1.3016999999999801</v>
      </c>
      <c r="AF1768">
        <v>1.2557181208884101</v>
      </c>
      <c r="AG1768">
        <v>-1.1107978366369999</v>
      </c>
      <c r="AH1768">
        <v>20.013251148824999</v>
      </c>
      <c r="AI1768">
        <v>93.170612668512902</v>
      </c>
      <c r="AJ1768">
        <v>86.409720984220499</v>
      </c>
      <c r="AK1768">
        <v>20.083349356592599</v>
      </c>
      <c r="AL1768">
        <v>68.129606659092403</v>
      </c>
      <c r="AM1768">
        <v>93.376289698357695</v>
      </c>
      <c r="AN1768">
        <v>1.0000000307181001</v>
      </c>
    </row>
    <row r="1769" spans="1:40" x14ac:dyDescent="0.25">
      <c r="A1769" t="str">
        <f>"20190304164633192"</f>
        <v>20190304164633192</v>
      </c>
      <c r="B1769" t="str">
        <f>"1551689193179649"</f>
        <v>1551689193179649</v>
      </c>
      <c r="C1769" t="s">
        <v>40</v>
      </c>
      <c r="D1769">
        <v>3.8068070000000001</v>
      </c>
      <c r="E1769">
        <v>0.56325829999999999</v>
      </c>
      <c r="F1769" t="s">
        <v>49</v>
      </c>
      <c r="G1769">
        <v>-392.23880000000003</v>
      </c>
      <c r="H1769" s="1">
        <v>-3.4539959999999999E-7</v>
      </c>
      <c r="I1769">
        <v>286.56490000000002</v>
      </c>
      <c r="J1769">
        <v>-371.54070000000002</v>
      </c>
      <c r="K1769">
        <v>1.110773</v>
      </c>
      <c r="L1769">
        <v>285.17910000000001</v>
      </c>
      <c r="M1769">
        <v>-0.99989749999999999</v>
      </c>
      <c r="N1769">
        <v>-1.41227E-2</v>
      </c>
      <c r="O1769">
        <v>2.4077590000000002E-3</v>
      </c>
      <c r="P1769">
        <v>-0.93172569999999999</v>
      </c>
      <c r="Q1769">
        <v>0.35920340000000001</v>
      </c>
      <c r="R1769">
        <v>-5.3484379999999998E-2</v>
      </c>
      <c r="S1769">
        <v>-3.2996829999999999</v>
      </c>
      <c r="T1769">
        <v>-0.17458109999999999</v>
      </c>
      <c r="U1769">
        <v>0.2179565</v>
      </c>
      <c r="V1769">
        <v>-5.5499319999999998E-2</v>
      </c>
      <c r="W1769">
        <v>0.37235829999999998</v>
      </c>
      <c r="X1769">
        <v>0.92642820000000003</v>
      </c>
      <c r="Y1769">
        <v>6.3397040000000002E-2</v>
      </c>
      <c r="Z1769">
        <v>2.029491E-3</v>
      </c>
      <c r="AA1769">
        <v>0.99798629999999999</v>
      </c>
      <c r="AB1769">
        <v>30</v>
      </c>
      <c r="AC1769">
        <v>-20.6981</v>
      </c>
      <c r="AD1769">
        <v>-1.1107733453996</v>
      </c>
      <c r="AE1769">
        <v>1.3858000000000099</v>
      </c>
      <c r="AF1769">
        <v>1.3321355748131201</v>
      </c>
      <c r="AG1769">
        <v>-1.1107733453996</v>
      </c>
      <c r="AH1769">
        <v>20.6421931328161</v>
      </c>
      <c r="AI1769">
        <v>93.073780452504593</v>
      </c>
      <c r="AJ1769">
        <v>86.307560375394502</v>
      </c>
      <c r="AK1769">
        <v>20.7149351905096</v>
      </c>
      <c r="AL1769">
        <v>68.138867545295497</v>
      </c>
      <c r="AM1769">
        <v>93.428307740643007</v>
      </c>
      <c r="AN1769">
        <v>1.00000004392729</v>
      </c>
    </row>
    <row r="1770" spans="1:40" x14ac:dyDescent="0.25">
      <c r="A1770" t="str">
        <f>"20190304164633214"</f>
        <v>20190304164633214</v>
      </c>
      <c r="B1770" t="str">
        <f>"1551689193209905"</f>
        <v>1551689193209905</v>
      </c>
      <c r="C1770" t="s">
        <v>40</v>
      </c>
      <c r="D1770">
        <v>3.7985890000000002</v>
      </c>
      <c r="E1770">
        <v>0.56309129999999996</v>
      </c>
      <c r="F1770" t="s">
        <v>49</v>
      </c>
      <c r="G1770">
        <v>-391.64510000000001</v>
      </c>
      <c r="H1770" s="1">
        <v>-6.6133240000000003E-7</v>
      </c>
      <c r="I1770">
        <v>286.48840000000001</v>
      </c>
      <c r="J1770">
        <v>-371.83760000000001</v>
      </c>
      <c r="K1770">
        <v>1.1107590000000001</v>
      </c>
      <c r="L1770">
        <v>285.18020000000001</v>
      </c>
      <c r="M1770">
        <v>-0.99989629999999996</v>
      </c>
      <c r="N1770">
        <v>-1.4133450000000001E-2</v>
      </c>
      <c r="O1770">
        <v>2.7360599999999998E-3</v>
      </c>
      <c r="P1770">
        <v>-0.93189259999999996</v>
      </c>
      <c r="Q1770">
        <v>0.35868359999999999</v>
      </c>
      <c r="R1770">
        <v>-5.4057849999999998E-2</v>
      </c>
      <c r="S1770">
        <v>-3.3025509999999998</v>
      </c>
      <c r="T1770">
        <v>-0.18246660000000001</v>
      </c>
      <c r="U1770">
        <v>0.2150879</v>
      </c>
      <c r="V1770">
        <v>-5.6365070000000003E-2</v>
      </c>
      <c r="W1770">
        <v>0.3718533</v>
      </c>
      <c r="X1770">
        <v>0.92657869999999998</v>
      </c>
      <c r="Y1770">
        <v>6.2142990000000002E-2</v>
      </c>
      <c r="Z1770">
        <v>2.0413609999999998E-3</v>
      </c>
      <c r="AA1770">
        <v>0.99806519999999999</v>
      </c>
      <c r="AB1770">
        <v>30</v>
      </c>
      <c r="AC1770">
        <v>-19.807500000000001</v>
      </c>
      <c r="AD1770">
        <v>-1.11075966133239</v>
      </c>
      <c r="AE1770">
        <v>1.30819999999999</v>
      </c>
      <c r="AF1770">
        <v>1.2500811046472899</v>
      </c>
      <c r="AG1770">
        <v>-1.11075966133239</v>
      </c>
      <c r="AH1770">
        <v>19.749169796229399</v>
      </c>
      <c r="AI1770">
        <v>93.212699539034304</v>
      </c>
      <c r="AJ1770">
        <v>86.378129103480305</v>
      </c>
      <c r="AK1770">
        <v>19.8198435269741</v>
      </c>
      <c r="AL1770">
        <v>68.170039248821197</v>
      </c>
      <c r="AM1770">
        <v>93.481092242944598</v>
      </c>
      <c r="AN1770">
        <v>0.999999992565342</v>
      </c>
    </row>
    <row r="1771" spans="1:40" x14ac:dyDescent="0.25">
      <c r="A1771" t="str">
        <f>"20190304164633237"</f>
        <v>20190304164633237</v>
      </c>
      <c r="B1771" t="str">
        <f>"1551689193230401"</f>
        <v>1551689193230401</v>
      </c>
      <c r="C1771" t="s">
        <v>40</v>
      </c>
      <c r="D1771">
        <v>3.850873</v>
      </c>
      <c r="E1771">
        <v>0.56305590000000005</v>
      </c>
      <c r="F1771" t="s">
        <v>41</v>
      </c>
      <c r="G1771">
        <v>-372.84930000000003</v>
      </c>
      <c r="H1771">
        <v>1.052951</v>
      </c>
      <c r="I1771">
        <v>285.24529999999999</v>
      </c>
      <c r="J1771">
        <v>-372.13979999999998</v>
      </c>
      <c r="K1771">
        <v>1.110749</v>
      </c>
      <c r="L1771">
        <v>285.1814</v>
      </c>
      <c r="M1771">
        <v>-0.99989530000000004</v>
      </c>
      <c r="N1771">
        <v>-1.4142409999999999E-2</v>
      </c>
      <c r="O1771">
        <v>3.089367E-3</v>
      </c>
      <c r="P1771">
        <v>-0.93180169999999996</v>
      </c>
      <c r="Q1771">
        <v>0.35893960000000003</v>
      </c>
      <c r="R1771">
        <v>-5.392752E-2</v>
      </c>
      <c r="S1771">
        <v>-3.30423</v>
      </c>
      <c r="T1771">
        <v>-0.18885930000000001</v>
      </c>
      <c r="U1771">
        <v>0.21209720000000001</v>
      </c>
      <c r="V1771">
        <v>-5.6550789999999997E-2</v>
      </c>
      <c r="W1771">
        <v>0.37211840000000002</v>
      </c>
      <c r="X1771">
        <v>0.92646099999999998</v>
      </c>
      <c r="Y1771">
        <v>6.0853459999999998E-2</v>
      </c>
      <c r="Z1771">
        <v>2.0344769999999998E-3</v>
      </c>
      <c r="AA1771">
        <v>0.99814460000000005</v>
      </c>
      <c r="AB1771">
        <v>29</v>
      </c>
      <c r="AC1771">
        <v>-0.70950000000004798</v>
      </c>
      <c r="AD1771">
        <v>-5.7798000000000002E-2</v>
      </c>
      <c r="AE1771">
        <v>6.3899999999989604E-2</v>
      </c>
      <c r="AF1771">
        <v>6.1304016470560801E-2</v>
      </c>
      <c r="AG1771">
        <v>-5.7798000000000002E-2</v>
      </c>
      <c r="AH1771">
        <v>0.70505280480811205</v>
      </c>
      <c r="AI1771">
        <v>94.668910209600696</v>
      </c>
      <c r="AJ1771">
        <v>85.030656341295995</v>
      </c>
      <c r="AK1771">
        <v>0.71006918592994095</v>
      </c>
      <c r="AL1771">
        <v>68.153676965094306</v>
      </c>
      <c r="AM1771">
        <v>93.492976519562205</v>
      </c>
      <c r="AN1771">
        <v>1.0000000399945901</v>
      </c>
    </row>
    <row r="1772" spans="1:40" x14ac:dyDescent="0.25">
      <c r="A1772" t="str">
        <f>"20190304164633258"</f>
        <v>20190304164633258</v>
      </c>
      <c r="B1772" t="str">
        <f>"1551689193249925"</f>
        <v>1551689193249925</v>
      </c>
      <c r="C1772" t="s">
        <v>40</v>
      </c>
      <c r="D1772">
        <v>3.843086</v>
      </c>
      <c r="E1772">
        <v>0.5528573</v>
      </c>
      <c r="F1772" t="s">
        <v>49</v>
      </c>
      <c r="G1772">
        <v>-391.81869999999998</v>
      </c>
      <c r="H1772" s="1">
        <v>-5.6898449999999997E-7</v>
      </c>
      <c r="I1772">
        <v>286.4357</v>
      </c>
      <c r="J1772">
        <v>-372.42360000000002</v>
      </c>
      <c r="K1772">
        <v>1.110744</v>
      </c>
      <c r="L1772">
        <v>285.18270000000001</v>
      </c>
      <c r="M1772">
        <v>-0.99989410000000001</v>
      </c>
      <c r="N1772">
        <v>-1.414929E-2</v>
      </c>
      <c r="O1772">
        <v>3.432662E-3</v>
      </c>
      <c r="P1772">
        <v>-0.93179350000000005</v>
      </c>
      <c r="Q1772">
        <v>0.35912529999999998</v>
      </c>
      <c r="R1772">
        <v>-5.2824330000000003E-2</v>
      </c>
      <c r="S1772">
        <v>-3.3035580000000002</v>
      </c>
      <c r="T1772">
        <v>-0.1864653</v>
      </c>
      <c r="U1772">
        <v>0.21057129999999999</v>
      </c>
      <c r="V1772">
        <v>-5.57589E-2</v>
      </c>
      <c r="W1772">
        <v>0.37231049999999999</v>
      </c>
      <c r="X1772">
        <v>0.92643180000000003</v>
      </c>
      <c r="Y1772">
        <v>6.0069079999999997E-2</v>
      </c>
      <c r="Z1772">
        <v>1.9731409999999999E-3</v>
      </c>
      <c r="AA1772">
        <v>0.99819230000000003</v>
      </c>
      <c r="AB1772">
        <v>29</v>
      </c>
      <c r="AC1772">
        <v>-19.3950999999999</v>
      </c>
      <c r="AD1772">
        <v>-1.1107445689844999</v>
      </c>
      <c r="AE1772">
        <v>1.2529999999999799</v>
      </c>
      <c r="AF1772">
        <v>1.18254676498823</v>
      </c>
      <c r="AG1772">
        <v>-1.1107445689844999</v>
      </c>
      <c r="AH1772">
        <v>19.336132642994599</v>
      </c>
      <c r="AI1772">
        <v>93.281567261710705</v>
      </c>
      <c r="AJ1772">
        <v>86.500300438606104</v>
      </c>
      <c r="AK1772">
        <v>19.404076786500202</v>
      </c>
      <c r="AL1772">
        <v>68.141817947059096</v>
      </c>
      <c r="AM1772">
        <v>93.444290668969799</v>
      </c>
      <c r="AN1772">
        <v>1.00000002169534</v>
      </c>
    </row>
    <row r="1773" spans="1:40" x14ac:dyDescent="0.25">
      <c r="A1773" t="str">
        <f>"20190304164633282"</f>
        <v>20190304164633282</v>
      </c>
      <c r="B1773" t="str">
        <f>"1551689193270417"</f>
        <v>1551689193270417</v>
      </c>
      <c r="C1773" t="s">
        <v>40</v>
      </c>
      <c r="D1773">
        <v>3.823922</v>
      </c>
      <c r="E1773">
        <v>0.551647</v>
      </c>
      <c r="F1773" t="s">
        <v>49</v>
      </c>
      <c r="G1773">
        <v>-390.51179999999999</v>
      </c>
      <c r="H1773" s="1">
        <v>-1.2644459999999999E-6</v>
      </c>
      <c r="I1773">
        <v>285.88420000000002</v>
      </c>
      <c r="J1773">
        <v>-372.71960000000001</v>
      </c>
      <c r="K1773">
        <v>1.1107469999999999</v>
      </c>
      <c r="L1773">
        <v>285.1841</v>
      </c>
      <c r="M1773">
        <v>-0.99989260000000002</v>
      </c>
      <c r="N1773">
        <v>-1.4155030000000001E-2</v>
      </c>
      <c r="O1773">
        <v>3.7988539999999999E-3</v>
      </c>
      <c r="P1773">
        <v>-0.93174860000000004</v>
      </c>
      <c r="Q1773">
        <v>0.3592979</v>
      </c>
      <c r="R1773">
        <v>-5.2434979999999999E-2</v>
      </c>
      <c r="S1773">
        <v>-3.3050839999999901</v>
      </c>
      <c r="T1773">
        <v>-0.20295659999999999</v>
      </c>
      <c r="U1773">
        <v>0.1281738</v>
      </c>
      <c r="V1773">
        <v>-5.5704700000000003E-2</v>
      </c>
      <c r="W1773">
        <v>0.3724884</v>
      </c>
      <c r="X1773">
        <v>0.92636350000000001</v>
      </c>
      <c r="Y1773">
        <v>3.4878480000000003E-2</v>
      </c>
      <c r="Z1773">
        <v>1.1374849999999999E-3</v>
      </c>
      <c r="AA1773">
        <v>0.99939089999999997</v>
      </c>
      <c r="AB1773">
        <v>29</v>
      </c>
      <c r="AC1773">
        <v>-17.792199999999902</v>
      </c>
      <c r="AD1773">
        <v>-1.1107482644459901</v>
      </c>
      <c r="AE1773">
        <v>0.70010000000002004</v>
      </c>
      <c r="AF1773">
        <v>0.63004647495348198</v>
      </c>
      <c r="AG1773">
        <v>-1.1107482644459901</v>
      </c>
      <c r="AH1773">
        <v>17.725754356204199</v>
      </c>
      <c r="AI1773">
        <v>93.5833779845523</v>
      </c>
      <c r="AJ1773">
        <v>87.964328491369002</v>
      </c>
      <c r="AK1773">
        <v>17.7716934410895</v>
      </c>
      <c r="AL1773">
        <v>68.130834050408794</v>
      </c>
      <c r="AM1773">
        <v>93.441203810351595</v>
      </c>
      <c r="AN1773">
        <v>0.99999997793444895</v>
      </c>
    </row>
    <row r="1774" spans="1:40" x14ac:dyDescent="0.25">
      <c r="A1774" t="str">
        <f>"20190304164633304"</f>
        <v>20190304164633304</v>
      </c>
      <c r="B1774" t="str">
        <f>"1551689193299697"</f>
        <v>1551689193299697</v>
      </c>
      <c r="C1774" t="s">
        <v>40</v>
      </c>
      <c r="D1774">
        <v>3.793901</v>
      </c>
      <c r="E1774">
        <v>0.55099109999999996</v>
      </c>
      <c r="F1774" t="s">
        <v>49</v>
      </c>
      <c r="G1774">
        <v>-391.68669999999997</v>
      </c>
      <c r="H1774" s="1">
        <v>-6.392102E-7</v>
      </c>
      <c r="I1774">
        <v>285.88369999999998</v>
      </c>
      <c r="J1774">
        <v>-373.01659999999998</v>
      </c>
      <c r="K1774">
        <v>1.1107479999999901</v>
      </c>
      <c r="L1774">
        <v>285.18560000000002</v>
      </c>
      <c r="M1774">
        <v>-0.99989110000000003</v>
      </c>
      <c r="N1774">
        <v>-1.415956E-2</v>
      </c>
      <c r="O1774">
        <v>4.170549E-3</v>
      </c>
      <c r="P1774">
        <v>-0.93171139999999997</v>
      </c>
      <c r="Q1774">
        <v>0.35961029999999999</v>
      </c>
      <c r="R1774">
        <v>-5.0935479999999998E-2</v>
      </c>
      <c r="S1774">
        <v>-3.3011469999999998</v>
      </c>
      <c r="T1774">
        <v>-0.19332089999999999</v>
      </c>
      <c r="U1774">
        <v>0.1217651</v>
      </c>
      <c r="V1774">
        <v>-5.4548279999999998E-2</v>
      </c>
      <c r="W1774">
        <v>0.37280390000000002</v>
      </c>
      <c r="X1774">
        <v>0.9263055</v>
      </c>
      <c r="Y1774">
        <v>3.2626929999999998E-2</v>
      </c>
      <c r="Z1774">
        <v>1.000592E-3</v>
      </c>
      <c r="AA1774">
        <v>0.99946710000000005</v>
      </c>
      <c r="AB1774">
        <v>29</v>
      </c>
      <c r="AC1774">
        <v>-18.670099999999898</v>
      </c>
      <c r="AD1774">
        <v>-1.1107486392102</v>
      </c>
      <c r="AE1774">
        <v>0.69809999999995398</v>
      </c>
      <c r="AF1774">
        <v>0.61803708780471101</v>
      </c>
      <c r="AG1774">
        <v>-1.1107486392102</v>
      </c>
      <c r="AH1774">
        <v>18.607082082500298</v>
      </c>
      <c r="AI1774">
        <v>93.414335614366706</v>
      </c>
      <c r="AJ1774">
        <v>88.097611283288202</v>
      </c>
      <c r="AK1774">
        <v>18.650448681099199</v>
      </c>
      <c r="AL1774">
        <v>68.111356306379605</v>
      </c>
      <c r="AM1774">
        <v>93.370141910335207</v>
      </c>
      <c r="AN1774">
        <v>1.0000000710182</v>
      </c>
    </row>
    <row r="1775" spans="1:40" x14ac:dyDescent="0.25">
      <c r="A1775" t="str">
        <f>"20190304164633328"</f>
        <v>20190304164633328</v>
      </c>
      <c r="B1775" t="str">
        <f>"1551689193320193"</f>
        <v>1551689193320193</v>
      </c>
      <c r="C1775" t="s">
        <v>40</v>
      </c>
      <c r="D1775">
        <v>3.8070680000000001</v>
      </c>
      <c r="E1775">
        <v>0.55079690000000003</v>
      </c>
      <c r="F1775" t="s">
        <v>49</v>
      </c>
      <c r="G1775">
        <v>-392.1893</v>
      </c>
      <c r="H1775" s="1">
        <v>-3.7173130000000001E-7</v>
      </c>
      <c r="I1775">
        <v>285.90570000000002</v>
      </c>
      <c r="J1775">
        <v>-373.32929999999999</v>
      </c>
      <c r="K1775">
        <v>1.110744</v>
      </c>
      <c r="L1775">
        <v>285.18740000000003</v>
      </c>
      <c r="M1775">
        <v>-0.99988929999999998</v>
      </c>
      <c r="N1775">
        <v>-1.4163190000000001E-2</v>
      </c>
      <c r="O1775">
        <v>4.5623119999999998E-3</v>
      </c>
      <c r="P1775">
        <v>-0.93189699999999998</v>
      </c>
      <c r="Q1775">
        <v>0.3593615</v>
      </c>
      <c r="R1775">
        <v>-4.9267169999999999E-2</v>
      </c>
      <c r="S1775">
        <v>-3.300446</v>
      </c>
      <c r="T1775">
        <v>-0.19120719999999999</v>
      </c>
      <c r="U1775">
        <v>0.1239624</v>
      </c>
      <c r="V1775">
        <v>-5.3244659999999999E-2</v>
      </c>
      <c r="W1775">
        <v>0.37256</v>
      </c>
      <c r="X1775">
        <v>0.92647939999999995</v>
      </c>
      <c r="Y1775">
        <v>3.2908640000000003E-2</v>
      </c>
      <c r="Z1775">
        <v>9.860762999999999E-4</v>
      </c>
      <c r="AA1775">
        <v>0.99945790000000001</v>
      </c>
      <c r="AB1775">
        <v>29</v>
      </c>
      <c r="AC1775">
        <v>-18.86</v>
      </c>
      <c r="AD1775">
        <v>-1.1107443717312999</v>
      </c>
      <c r="AE1775">
        <v>0.71829999999999905</v>
      </c>
      <c r="AF1775">
        <v>0.63005648657310398</v>
      </c>
      <c r="AG1775">
        <v>-1.1107443717312999</v>
      </c>
      <c r="AH1775">
        <v>18.797974304878501</v>
      </c>
      <c r="AI1775">
        <v>93.379697134061502</v>
      </c>
      <c r="AJ1775">
        <v>88.080321427725593</v>
      </c>
      <c r="AK1775">
        <v>18.841299376701201</v>
      </c>
      <c r="AL1775">
        <v>68.126414298697199</v>
      </c>
      <c r="AM1775">
        <v>93.289163624843596</v>
      </c>
      <c r="AN1775">
        <v>1.0000000130214299</v>
      </c>
    </row>
    <row r="1776" spans="1:40" x14ac:dyDescent="0.25">
      <c r="A1776" t="str">
        <f>"20190304164633350"</f>
        <v>20190304164633350</v>
      </c>
      <c r="B1776" t="str">
        <f>"1551689193339714"</f>
        <v>1551689193339714</v>
      </c>
      <c r="C1776" t="s">
        <v>40</v>
      </c>
      <c r="D1776">
        <v>3.8026749999999998</v>
      </c>
      <c r="E1776">
        <v>0.55074579999999995</v>
      </c>
      <c r="F1776" t="s">
        <v>49</v>
      </c>
      <c r="G1776">
        <v>-392.18799999999999</v>
      </c>
      <c r="H1776" s="1">
        <v>-3.7242170000000002E-7</v>
      </c>
      <c r="I1776">
        <v>285.92380000000003</v>
      </c>
      <c r="J1776">
        <v>-373.61369999999999</v>
      </c>
      <c r="K1776">
        <v>1.1107400000000001</v>
      </c>
      <c r="L1776">
        <v>285.1891</v>
      </c>
      <c r="M1776">
        <v>-0.99988759999999999</v>
      </c>
      <c r="N1776">
        <v>-1.416561E-2</v>
      </c>
      <c r="O1776">
        <v>4.9161470000000001E-3</v>
      </c>
      <c r="P1776">
        <v>-0.93224530000000005</v>
      </c>
      <c r="Q1776">
        <v>0.35863979999999901</v>
      </c>
      <c r="R1776">
        <v>-4.7920459999999998E-2</v>
      </c>
      <c r="S1776">
        <v>-3.3010250000000001</v>
      </c>
      <c r="T1776">
        <v>-0.19442429999999999</v>
      </c>
      <c r="U1776">
        <v>0.1289063</v>
      </c>
      <c r="V1776">
        <v>-5.2230079999999998E-2</v>
      </c>
      <c r="W1776">
        <v>0.37184489999999998</v>
      </c>
      <c r="X1776">
        <v>0.92682439999999999</v>
      </c>
      <c r="Y1776">
        <v>3.4039060000000003E-2</v>
      </c>
      <c r="Z1776">
        <v>1.0230149999999999E-3</v>
      </c>
      <c r="AA1776">
        <v>0.99941999999999998</v>
      </c>
      <c r="AB1776">
        <v>29</v>
      </c>
      <c r="AC1776">
        <v>-18.574300000000001</v>
      </c>
      <c r="AD1776">
        <v>-1.1107403724217</v>
      </c>
      <c r="AE1776">
        <v>0.73470000000003199</v>
      </c>
      <c r="AF1776">
        <v>0.64107903794757903</v>
      </c>
      <c r="AG1776">
        <v>-1.1107403724217</v>
      </c>
      <c r="AH1776">
        <v>18.5115932939187</v>
      </c>
      <c r="AI1776">
        <v>93.431716121545307</v>
      </c>
      <c r="AJ1776">
        <v>88.016569992457505</v>
      </c>
      <c r="AK1776">
        <v>18.555964345387199</v>
      </c>
      <c r="AL1776">
        <v>68.170558791799493</v>
      </c>
      <c r="AM1776">
        <v>93.225423598671298</v>
      </c>
      <c r="AN1776">
        <v>1.00000003967408</v>
      </c>
    </row>
    <row r="1777" spans="1:40" x14ac:dyDescent="0.25">
      <c r="A1777" t="str">
        <f>"20190304164633370"</f>
        <v>20190304164633370</v>
      </c>
      <c r="B1777" t="str">
        <f>"1551689193360210"</f>
        <v>1551689193360210</v>
      </c>
      <c r="C1777" t="s">
        <v>40</v>
      </c>
      <c r="D1777">
        <v>3.8095289999999999</v>
      </c>
      <c r="E1777">
        <v>0.55068209999999995</v>
      </c>
      <c r="F1777" t="s">
        <v>49</v>
      </c>
      <c r="G1777">
        <v>-392.10379999999998</v>
      </c>
      <c r="H1777" s="1">
        <v>-4.172603E-7</v>
      </c>
      <c r="I1777">
        <v>285.92939999999999</v>
      </c>
      <c r="J1777">
        <v>-373.88380000000001</v>
      </c>
      <c r="K1777">
        <v>1.1107469999999999</v>
      </c>
      <c r="L1777">
        <v>285.19080000000002</v>
      </c>
      <c r="M1777">
        <v>-0.99988600000000005</v>
      </c>
      <c r="N1777">
        <v>-1.4167239999999999E-2</v>
      </c>
      <c r="O1777">
        <v>5.2470030000000001E-3</v>
      </c>
      <c r="P1777">
        <v>-0.93225250000000004</v>
      </c>
      <c r="Q1777">
        <v>0.35864410000000002</v>
      </c>
      <c r="R1777">
        <v>-4.774871E-2</v>
      </c>
      <c r="S1777">
        <v>-3.3011170000000001</v>
      </c>
      <c r="T1777">
        <v>-0.1983056</v>
      </c>
      <c r="U1777">
        <v>0.1321716</v>
      </c>
      <c r="V1777">
        <v>-5.2368730000000002E-2</v>
      </c>
      <c r="W1777">
        <v>0.37185020000000002</v>
      </c>
      <c r="X1777">
        <v>0.92681440000000004</v>
      </c>
      <c r="Y1777">
        <v>3.4690829999999999E-2</v>
      </c>
      <c r="Z1777">
        <v>1.046225E-3</v>
      </c>
      <c r="AA1777">
        <v>0.99939750000000005</v>
      </c>
      <c r="AB1777">
        <v>29</v>
      </c>
      <c r="AC1777">
        <v>-18.219999999999899</v>
      </c>
      <c r="AD1777">
        <v>-1.1107474172603</v>
      </c>
      <c r="AE1777">
        <v>0.73859999999996195</v>
      </c>
      <c r="AF1777">
        <v>0.64060295925456801</v>
      </c>
      <c r="AG1777">
        <v>-1.1107474172603</v>
      </c>
      <c r="AH1777">
        <v>18.156257977906101</v>
      </c>
      <c r="AI1777">
        <v>93.498655591625294</v>
      </c>
      <c r="AJ1777">
        <v>87.979284785874597</v>
      </c>
      <c r="AK1777">
        <v>18.201478943663801</v>
      </c>
      <c r="AL1777">
        <v>68.170230609523699</v>
      </c>
      <c r="AM1777">
        <v>93.234002479538901</v>
      </c>
      <c r="AN1777">
        <v>0.99999999358460601</v>
      </c>
    </row>
    <row r="1778" spans="1:40" x14ac:dyDescent="0.25">
      <c r="A1778" t="str">
        <f>"20190304164633393"</f>
        <v>20190304164633393</v>
      </c>
      <c r="B1778" t="str">
        <f>"1551689193390465"</f>
        <v>1551689193390465</v>
      </c>
      <c r="C1778" t="s">
        <v>40</v>
      </c>
      <c r="D1778">
        <v>3.7934619999999999</v>
      </c>
      <c r="E1778">
        <v>0.55059239999999998</v>
      </c>
      <c r="F1778" t="s">
        <v>49</v>
      </c>
      <c r="G1778">
        <v>-392.39589999999998</v>
      </c>
      <c r="H1778" s="1">
        <v>-2.618091E-7</v>
      </c>
      <c r="I1778">
        <v>285.92529999999999</v>
      </c>
      <c r="J1778">
        <v>-374.17700000000002</v>
      </c>
      <c r="K1778">
        <v>1.110757</v>
      </c>
      <c r="L1778">
        <v>285.1927</v>
      </c>
      <c r="M1778">
        <v>-0.99988410000000005</v>
      </c>
      <c r="N1778">
        <v>-1.416833E-2</v>
      </c>
      <c r="O1778">
        <v>5.5967119999999898E-3</v>
      </c>
      <c r="P1778">
        <v>-0.93205879999999997</v>
      </c>
      <c r="Q1778">
        <v>0.35910540000000002</v>
      </c>
      <c r="R1778">
        <v>-4.8061079999999999E-2</v>
      </c>
      <c r="S1778">
        <v>-3.3009029999999999</v>
      </c>
      <c r="T1778">
        <v>-0.19805809999999999</v>
      </c>
      <c r="U1778">
        <v>0.1309814</v>
      </c>
      <c r="V1778">
        <v>-5.3010519999999998E-2</v>
      </c>
      <c r="W1778">
        <v>0.3723091</v>
      </c>
      <c r="X1778">
        <v>0.92659369999999996</v>
      </c>
      <c r="Y1778">
        <v>3.3986170000000003E-2</v>
      </c>
      <c r="Z1778">
        <v>1.0032789999999999E-3</v>
      </c>
      <c r="AA1778">
        <v>0.99942180000000003</v>
      </c>
      <c r="AB1778">
        <v>29</v>
      </c>
      <c r="AC1778">
        <v>-18.218900000000001</v>
      </c>
      <c r="AD1778">
        <v>-1.1107572618090999</v>
      </c>
      <c r="AE1778">
        <v>0.73259999999999004</v>
      </c>
      <c r="AF1778">
        <v>0.628280808265962</v>
      </c>
      <c r="AG1778">
        <v>-1.1107572618090999</v>
      </c>
      <c r="AH1778">
        <v>18.155340478549899</v>
      </c>
      <c r="AI1778">
        <v>93.498945352716106</v>
      </c>
      <c r="AJ1778">
        <v>88.018022349151707</v>
      </c>
      <c r="AK1778">
        <v>18.2001347896319</v>
      </c>
      <c r="AL1778">
        <v>68.141904634987299</v>
      </c>
      <c r="AM1778">
        <v>93.274328209680704</v>
      </c>
      <c r="AN1778">
        <v>1.0000000330265799</v>
      </c>
    </row>
    <row r="1779" spans="1:40" x14ac:dyDescent="0.25">
      <c r="A1779" t="str">
        <f>"20190304164633415"</f>
        <v>20190304164633415</v>
      </c>
      <c r="B1779" t="str">
        <f>"1551689193409989"</f>
        <v>1551689193409989</v>
      </c>
      <c r="C1779" t="s">
        <v>40</v>
      </c>
      <c r="D1779">
        <v>3.7892950000000001</v>
      </c>
      <c r="E1779">
        <v>0.55053909999999995</v>
      </c>
      <c r="F1779" t="s">
        <v>49</v>
      </c>
      <c r="G1779">
        <v>-392.9572</v>
      </c>
      <c r="H1779" s="1">
        <v>3.6914100000000001E-8</v>
      </c>
      <c r="I1779">
        <v>285.92860000000002</v>
      </c>
      <c r="J1779">
        <v>-374.4742</v>
      </c>
      <c r="K1779">
        <v>1.110773</v>
      </c>
      <c r="L1779">
        <v>285.19470000000001</v>
      </c>
      <c r="M1779">
        <v>-0.99988200000000005</v>
      </c>
      <c r="N1779">
        <v>-1.416865E-2</v>
      </c>
      <c r="O1779">
        <v>5.9398150000000002E-3</v>
      </c>
      <c r="P1779">
        <v>-0.93192200000000003</v>
      </c>
      <c r="Q1779">
        <v>0.35934460000000001</v>
      </c>
      <c r="R1779">
        <v>-4.8919949999999997E-2</v>
      </c>
      <c r="S1779">
        <v>-3.3005369999999998</v>
      </c>
      <c r="T1779">
        <v>-0.19520989999999999</v>
      </c>
      <c r="U1779">
        <v>0.12933349999999999</v>
      </c>
      <c r="V1779">
        <v>-5.4196109999999999E-2</v>
      </c>
      <c r="W1779">
        <v>0.37254589999999999</v>
      </c>
      <c r="X1779">
        <v>0.92642990000000003</v>
      </c>
      <c r="Y1779">
        <v>3.315324E-2</v>
      </c>
      <c r="Z1779">
        <v>9.4763680000000002E-4</v>
      </c>
      <c r="AA1779">
        <v>0.99944980000000005</v>
      </c>
      <c r="AB1779">
        <v>29</v>
      </c>
      <c r="AC1779">
        <v>-18.483000000000001</v>
      </c>
      <c r="AD1779">
        <v>-1.1107729630859</v>
      </c>
      <c r="AE1779">
        <v>0.73390000000000499</v>
      </c>
      <c r="AF1779">
        <v>0.62184806893511901</v>
      </c>
      <c r="AG1779">
        <v>-1.1107729630859</v>
      </c>
      <c r="AH1779">
        <v>18.420609475548201</v>
      </c>
      <c r="AI1779">
        <v>93.448828904877004</v>
      </c>
      <c r="AJ1779">
        <v>88.066527358023393</v>
      </c>
      <c r="AK1779">
        <v>18.464543456230299</v>
      </c>
      <c r="AL1779">
        <v>68.127284832968499</v>
      </c>
      <c r="AM1779">
        <v>93.347984951108202</v>
      </c>
      <c r="AN1779">
        <v>1.00000001277997</v>
      </c>
    </row>
    <row r="1780" spans="1:40" x14ac:dyDescent="0.25">
      <c r="A1780" t="str">
        <f>"20190304164633438"</f>
        <v>20190304164633438</v>
      </c>
      <c r="B1780" t="str">
        <f>"1551689193429505"</f>
        <v>1551689193429505</v>
      </c>
      <c r="C1780" t="s">
        <v>40</v>
      </c>
      <c r="D1780">
        <v>3.7822260000000001</v>
      </c>
      <c r="E1780">
        <v>0.55045929999999998</v>
      </c>
      <c r="F1780" t="s">
        <v>49</v>
      </c>
      <c r="G1780">
        <v>-393.35980000000001</v>
      </c>
      <c r="H1780" s="1">
        <v>2.5112059999999999E-7</v>
      </c>
      <c r="I1780">
        <v>285.91379999999998</v>
      </c>
      <c r="J1780">
        <v>-374.76060000000001</v>
      </c>
      <c r="K1780">
        <v>1.1107880000000001</v>
      </c>
      <c r="L1780">
        <v>285.19670000000002</v>
      </c>
      <c r="M1780">
        <v>-0.99987999999999999</v>
      </c>
      <c r="N1780">
        <v>-1.416861E-2</v>
      </c>
      <c r="O1780">
        <v>6.2584629999999997E-3</v>
      </c>
      <c r="P1780">
        <v>-0.931778</v>
      </c>
      <c r="Q1780">
        <v>0.35969570000000001</v>
      </c>
      <c r="R1780">
        <v>-4.9083109999999999E-2</v>
      </c>
      <c r="S1780">
        <v>-3.3005979999999999</v>
      </c>
      <c r="T1780">
        <v>-0.19412760000000001</v>
      </c>
      <c r="U1780">
        <v>0.12567139999999999</v>
      </c>
      <c r="V1780">
        <v>-5.4663650000000001E-2</v>
      </c>
      <c r="W1780">
        <v>0.37289369999999999</v>
      </c>
      <c r="X1780">
        <v>0.92626249999999999</v>
      </c>
      <c r="Y1780">
        <v>3.1730700000000001E-2</v>
      </c>
      <c r="Z1780">
        <v>8.7807279999999998E-4</v>
      </c>
      <c r="AA1780">
        <v>0.99949600000000005</v>
      </c>
      <c r="AB1780">
        <v>29</v>
      </c>
      <c r="AC1780">
        <v>-18.5992</v>
      </c>
      <c r="AD1780">
        <v>-1.11078774887939</v>
      </c>
      <c r="AE1780">
        <v>0.71709999999995899</v>
      </c>
      <c r="AF1780">
        <v>0.59854017949480298</v>
      </c>
      <c r="AG1780">
        <v>-1.11078774887939</v>
      </c>
      <c r="AH1780">
        <v>18.537304131509799</v>
      </c>
      <c r="AI1780">
        <v>93.427381300316696</v>
      </c>
      <c r="AJ1780">
        <v>88.150652555633002</v>
      </c>
      <c r="AK1780">
        <v>18.5801976370979</v>
      </c>
      <c r="AL1780">
        <v>68.105810190904805</v>
      </c>
      <c r="AM1780">
        <v>93.377409722837299</v>
      </c>
      <c r="AN1780">
        <v>1.0000000225186301</v>
      </c>
    </row>
    <row r="1781" spans="1:40" x14ac:dyDescent="0.25">
      <c r="A1781" t="str">
        <f>"20190304164633460"</f>
        <v>20190304164633460</v>
      </c>
      <c r="B1781" t="str">
        <f>"1551689193450002"</f>
        <v>1551689193450002</v>
      </c>
      <c r="C1781" t="s">
        <v>40</v>
      </c>
      <c r="D1781">
        <v>3.768059</v>
      </c>
      <c r="E1781">
        <v>0.55043799999999998</v>
      </c>
      <c r="F1781" t="s">
        <v>49</v>
      </c>
      <c r="G1781">
        <v>-393.73219999999998</v>
      </c>
      <c r="H1781" s="1">
        <v>4.4929059999999997E-7</v>
      </c>
      <c r="I1781">
        <v>285.9162</v>
      </c>
      <c r="J1781">
        <v>-375.04899999999998</v>
      </c>
      <c r="K1781">
        <v>1.1108</v>
      </c>
      <c r="L1781">
        <v>285.19889999999998</v>
      </c>
      <c r="M1781">
        <v>-0.99987820000000005</v>
      </c>
      <c r="N1781">
        <v>-1.4168160000000001E-2</v>
      </c>
      <c r="O1781">
        <v>6.5690210000000004E-3</v>
      </c>
      <c r="P1781">
        <v>-0.93149599999999999</v>
      </c>
      <c r="Q1781">
        <v>0.36043979999999998</v>
      </c>
      <c r="R1781">
        <v>-4.8976840000000001E-2</v>
      </c>
      <c r="S1781">
        <v>-3.3009029999999999</v>
      </c>
      <c r="T1781">
        <v>-0.19326840000000001</v>
      </c>
      <c r="U1781">
        <v>0.12518309999999999</v>
      </c>
      <c r="V1781">
        <v>-5.4852779999999997E-2</v>
      </c>
      <c r="W1781">
        <v>0.37363200000000002</v>
      </c>
      <c r="X1781">
        <v>0.92595369999999999</v>
      </c>
      <c r="Y1781">
        <v>3.1270869999999999E-2</v>
      </c>
      <c r="Z1781">
        <v>8.4504640000000004E-4</v>
      </c>
      <c r="AA1781">
        <v>0.99951060000000003</v>
      </c>
      <c r="AB1781">
        <v>29</v>
      </c>
      <c r="AC1781">
        <v>-18.6831999999999</v>
      </c>
      <c r="AD1781">
        <v>-1.1107995507094</v>
      </c>
      <c r="AE1781">
        <v>0.71730000000002203</v>
      </c>
      <c r="AF1781">
        <v>0.592450753680826</v>
      </c>
      <c r="AG1781">
        <v>-1.1107995507094</v>
      </c>
      <c r="AH1781">
        <v>18.621781238820301</v>
      </c>
      <c r="AI1781">
        <v>93.411957677670799</v>
      </c>
      <c r="AJ1781">
        <v>88.177753171713107</v>
      </c>
      <c r="AK1781">
        <v>18.6642870221145</v>
      </c>
      <c r="AL1781">
        <v>68.060212167340794</v>
      </c>
      <c r="AM1781">
        <v>93.390195583069897</v>
      </c>
      <c r="AN1781">
        <v>0.99999997672070895</v>
      </c>
    </row>
    <row r="1782" spans="1:40" x14ac:dyDescent="0.25">
      <c r="A1782" t="str">
        <f>"20190304164633482"</f>
        <v>20190304164633482</v>
      </c>
      <c r="B1782" t="str">
        <f>"1551689193469522"</f>
        <v>1551689193469522</v>
      </c>
      <c r="C1782" t="s">
        <v>40</v>
      </c>
      <c r="D1782">
        <v>3.7731020000000002</v>
      </c>
      <c r="E1782">
        <v>0.55043059999999999</v>
      </c>
      <c r="F1782" t="s">
        <v>49</v>
      </c>
      <c r="G1782">
        <v>-394.29410000000001</v>
      </c>
      <c r="H1782" s="1">
        <v>7.4831930000000002E-7</v>
      </c>
      <c r="I1782">
        <v>285.92970000000003</v>
      </c>
      <c r="J1782">
        <v>-375.3365</v>
      </c>
      <c r="K1782">
        <v>1.110819</v>
      </c>
      <c r="L1782">
        <v>285.20119999999997</v>
      </c>
      <c r="M1782">
        <v>-0.99987610000000005</v>
      </c>
      <c r="N1782">
        <v>-1.416734E-2</v>
      </c>
      <c r="O1782">
        <v>6.8716849999999998E-3</v>
      </c>
      <c r="P1782">
        <v>-0.931284</v>
      </c>
      <c r="Q1782">
        <v>0.36104000000000003</v>
      </c>
      <c r="R1782">
        <v>-4.8582609999999998E-2</v>
      </c>
      <c r="S1782">
        <v>-3.3009339999999998</v>
      </c>
      <c r="T1782">
        <v>-0.19052540000000001</v>
      </c>
      <c r="U1782">
        <v>0.12533569999999999</v>
      </c>
      <c r="V1782">
        <v>-5.4745009999999997E-2</v>
      </c>
      <c r="W1782">
        <v>0.37422729999999998</v>
      </c>
      <c r="X1782">
        <v>0.92571970000000003</v>
      </c>
      <c r="Y1782">
        <v>3.101638E-2</v>
      </c>
      <c r="Z1782">
        <v>8.1520249999999996E-4</v>
      </c>
      <c r="AA1782">
        <v>0.99951860000000003</v>
      </c>
      <c r="AB1782">
        <v>29</v>
      </c>
      <c r="AC1782">
        <v>-18.957599999999999</v>
      </c>
      <c r="AD1782">
        <v>-1.1108182516806999</v>
      </c>
      <c r="AE1782">
        <v>0.72850000000005299</v>
      </c>
      <c r="AF1782">
        <v>0.59615527766186205</v>
      </c>
      <c r="AG1782">
        <v>-1.1108182516806999</v>
      </c>
      <c r="AH1782">
        <v>18.897373030666301</v>
      </c>
      <c r="AI1782">
        <v>93.362398965638604</v>
      </c>
      <c r="AJ1782">
        <v>88.193089757497006</v>
      </c>
      <c r="AK1782">
        <v>18.939377649846499</v>
      </c>
      <c r="AL1782">
        <v>68.023437277428101</v>
      </c>
      <c r="AM1782">
        <v>93.384403603520894</v>
      </c>
      <c r="AN1782">
        <v>1.0000000255766399</v>
      </c>
    </row>
    <row r="1783" spans="1:40" x14ac:dyDescent="0.25">
      <c r="A1783" t="str">
        <f>"20190304164633506"</f>
        <v>20190304164633506</v>
      </c>
      <c r="B1783" t="str">
        <f>"1551689193499777"</f>
        <v>1551689193499777</v>
      </c>
      <c r="C1783" t="s">
        <v>40</v>
      </c>
      <c r="D1783">
        <v>3.7899370000000001</v>
      </c>
      <c r="E1783">
        <v>0.55045339999999998</v>
      </c>
      <c r="F1783" t="s">
        <v>49</v>
      </c>
      <c r="G1783">
        <v>-394.74759999999998</v>
      </c>
      <c r="H1783" s="1">
        <v>9.8965199999999997E-7</v>
      </c>
      <c r="I1783">
        <v>285.93689999999998</v>
      </c>
      <c r="J1783">
        <v>-375.64069999999998</v>
      </c>
      <c r="K1783">
        <v>1.110833</v>
      </c>
      <c r="L1783">
        <v>285.20359999999999</v>
      </c>
      <c r="M1783">
        <v>-0.99987380000000003</v>
      </c>
      <c r="N1783">
        <v>-1.4166160000000001E-2</v>
      </c>
      <c r="O1783">
        <v>7.1863659999999996E-3</v>
      </c>
      <c r="P1783">
        <v>-0.93094549999999998</v>
      </c>
      <c r="Q1783">
        <v>0.361925</v>
      </c>
      <c r="R1783">
        <v>-4.8483169999999999E-2</v>
      </c>
      <c r="S1783">
        <v>-3.3011170000000001</v>
      </c>
      <c r="T1783">
        <v>-0.18890989999999999</v>
      </c>
      <c r="U1783">
        <v>0.12512210000000001</v>
      </c>
      <c r="V1783">
        <v>-5.4940269999999999E-2</v>
      </c>
      <c r="W1783">
        <v>0.37510529999999997</v>
      </c>
      <c r="X1783">
        <v>0.92535270000000003</v>
      </c>
      <c r="Y1783">
        <v>3.0637020000000001E-2</v>
      </c>
      <c r="Z1783">
        <v>7.8386809999999999E-4</v>
      </c>
      <c r="AA1783">
        <v>0.99953029999999998</v>
      </c>
      <c r="AB1783">
        <v>29</v>
      </c>
      <c r="AC1783">
        <v>-19.1069</v>
      </c>
      <c r="AD1783">
        <v>-1.1108320103479901</v>
      </c>
      <c r="AE1783">
        <v>0.73329999999998496</v>
      </c>
      <c r="AF1783">
        <v>0.593953492045736</v>
      </c>
      <c r="AG1783">
        <v>-1.1108320103479901</v>
      </c>
      <c r="AH1783">
        <v>19.047391371759002</v>
      </c>
      <c r="AI1783">
        <v>93.336055762319205</v>
      </c>
      <c r="AJ1783">
        <v>88.213928417861595</v>
      </c>
      <c r="AK1783">
        <v>19.0889980505758</v>
      </c>
      <c r="AL1783">
        <v>67.969179281309096</v>
      </c>
      <c r="AM1783">
        <v>93.397790501052498</v>
      </c>
      <c r="AN1783">
        <v>1.0000000193765199</v>
      </c>
    </row>
    <row r="1784" spans="1:40" x14ac:dyDescent="0.25">
      <c r="A1784" t="str">
        <f>"20190304164633529"</f>
        <v>20190304164633529</v>
      </c>
      <c r="B1784" t="str">
        <f>"1551689193520273"</f>
        <v>1551689193520273</v>
      </c>
      <c r="C1784" t="s">
        <v>40</v>
      </c>
      <c r="D1784">
        <v>3.7829790000000001</v>
      </c>
      <c r="E1784">
        <v>0.55043560000000002</v>
      </c>
      <c r="F1784" t="s">
        <v>49</v>
      </c>
      <c r="G1784">
        <v>-395.31400000000002</v>
      </c>
      <c r="H1784" s="1">
        <v>1.291055E-6</v>
      </c>
      <c r="I1784">
        <v>285.95229999999998</v>
      </c>
      <c r="J1784">
        <v>-375.93830000000003</v>
      </c>
      <c r="K1784">
        <v>1.1108420000000001</v>
      </c>
      <c r="L1784">
        <v>285.20609999999999</v>
      </c>
      <c r="M1784">
        <v>-0.99987159999999997</v>
      </c>
      <c r="N1784">
        <v>-1.416472E-2</v>
      </c>
      <c r="O1784">
        <v>7.4910100000000002E-3</v>
      </c>
      <c r="P1784">
        <v>-0.93075989999999997</v>
      </c>
      <c r="Q1784">
        <v>0.3624404</v>
      </c>
      <c r="R1784">
        <v>-4.8198560000000001E-2</v>
      </c>
      <c r="S1784">
        <v>-3.3015439999999998</v>
      </c>
      <c r="T1784">
        <v>-0.18641869999999999</v>
      </c>
      <c r="U1784">
        <v>0.1256409</v>
      </c>
      <c r="V1784">
        <v>-5.4940360000000001E-2</v>
      </c>
      <c r="W1784">
        <v>0.37561620000000001</v>
      </c>
      <c r="X1784">
        <v>0.92514540000000001</v>
      </c>
      <c r="Y1784">
        <v>3.0486249999999999E-2</v>
      </c>
      <c r="Z1784">
        <v>7.5946249999999998E-4</v>
      </c>
      <c r="AA1784">
        <v>0.9995349</v>
      </c>
      <c r="AB1784">
        <v>29</v>
      </c>
      <c r="AC1784">
        <v>-19.375699999999899</v>
      </c>
      <c r="AD1784">
        <v>-1.1108407089450001</v>
      </c>
      <c r="AE1784">
        <v>0.74619999999998698</v>
      </c>
      <c r="AF1784">
        <v>0.59905480397088695</v>
      </c>
      <c r="AG1784">
        <v>-1.1108407089450001</v>
      </c>
      <c r="AH1784">
        <v>19.317346116431001</v>
      </c>
      <c r="AI1784">
        <v>93.289581591358996</v>
      </c>
      <c r="AJ1784">
        <v>88.223756243288406</v>
      </c>
      <c r="AK1784">
        <v>19.358530283076799</v>
      </c>
      <c r="AL1784">
        <v>67.937596939663706</v>
      </c>
      <c r="AM1784">
        <v>93.3985556236767</v>
      </c>
      <c r="AN1784">
        <v>0.99999999200026402</v>
      </c>
    </row>
    <row r="1785" spans="1:40" x14ac:dyDescent="0.25">
      <c r="A1785" t="str">
        <f>"20190304164633549"</f>
        <v>20190304164633549</v>
      </c>
      <c r="B1785" t="str">
        <f>"1551689193539794"</f>
        <v>1551689193539794</v>
      </c>
      <c r="C1785" t="s">
        <v>40</v>
      </c>
      <c r="D1785">
        <v>3.8039809999999998</v>
      </c>
      <c r="E1785">
        <v>0.5504175</v>
      </c>
      <c r="F1785" t="s">
        <v>49</v>
      </c>
      <c r="G1785">
        <v>-395.74689999999998</v>
      </c>
      <c r="H1785" s="1">
        <v>1.5213960000000001E-6</v>
      </c>
      <c r="I1785">
        <v>285.9665</v>
      </c>
      <c r="J1785">
        <v>-376.20920000000001</v>
      </c>
      <c r="K1785">
        <v>1.1108450000000001</v>
      </c>
      <c r="L1785">
        <v>285.20839999999998</v>
      </c>
      <c r="M1785">
        <v>-0.99986960000000003</v>
      </c>
      <c r="N1785">
        <v>-1.4163200000000001E-2</v>
      </c>
      <c r="O1785">
        <v>7.7677229999999998E-3</v>
      </c>
      <c r="P1785">
        <v>-0.93085289999999998</v>
      </c>
      <c r="Q1785">
        <v>0.36224010000000001</v>
      </c>
      <c r="R1785">
        <v>-4.7907289999999998E-2</v>
      </c>
      <c r="S1785">
        <v>-3.3018489999999998</v>
      </c>
      <c r="T1785">
        <v>-0.1851642</v>
      </c>
      <c r="U1785">
        <v>0.1267395</v>
      </c>
      <c r="V1785">
        <v>-5.4908999999999999E-2</v>
      </c>
      <c r="W1785">
        <v>0.37541560000000002</v>
      </c>
      <c r="X1785">
        <v>0.92522870000000002</v>
      </c>
      <c r="Y1785">
        <v>3.0538969999999999E-2</v>
      </c>
      <c r="Z1785">
        <v>7.4671470000000002E-4</v>
      </c>
      <c r="AA1785">
        <v>0.99953329999999996</v>
      </c>
      <c r="AB1785">
        <v>29</v>
      </c>
      <c r="AC1785">
        <v>-19.537699999999901</v>
      </c>
      <c r="AD1785">
        <v>-1.110843478604</v>
      </c>
      <c r="AE1785">
        <v>0.75810000000001299</v>
      </c>
      <c r="AF1785">
        <v>0.60434776140313995</v>
      </c>
      <c r="AG1785">
        <v>-1.110843478604</v>
      </c>
      <c r="AH1785">
        <v>19.4801219714392</v>
      </c>
      <c r="AI1785">
        <v>93.262160316124294</v>
      </c>
      <c r="AJ1785">
        <v>88.223036105700501</v>
      </c>
      <c r="AK1785">
        <v>19.521126029838001</v>
      </c>
      <c r="AL1785">
        <v>67.949998433663495</v>
      </c>
      <c r="AM1785">
        <v>93.396315180678599</v>
      </c>
      <c r="AN1785">
        <v>1.00000000915402</v>
      </c>
    </row>
    <row r="1786" spans="1:40" x14ac:dyDescent="0.25">
      <c r="A1786" t="str">
        <f>"20190304164633572"</f>
        <v>20190304164633572</v>
      </c>
      <c r="B1786" t="str">
        <f>"1551689193560290"</f>
        <v>1551689193560290</v>
      </c>
      <c r="C1786" t="s">
        <v>40</v>
      </c>
      <c r="D1786">
        <v>3.7962929999999999</v>
      </c>
      <c r="E1786">
        <v>0.5504175</v>
      </c>
      <c r="F1786" t="s">
        <v>49</v>
      </c>
      <c r="G1786">
        <v>-395.88080000000002</v>
      </c>
      <c r="H1786" s="1">
        <v>1.5926560000000001E-6</v>
      </c>
      <c r="I1786">
        <v>285.96730000000002</v>
      </c>
      <c r="J1786">
        <v>-376.49509999999998</v>
      </c>
      <c r="K1786">
        <v>1.110846</v>
      </c>
      <c r="L1786">
        <v>285.21100000000001</v>
      </c>
      <c r="M1786">
        <v>-0.99986730000000001</v>
      </c>
      <c r="N1786">
        <v>-1.4161409999999999E-2</v>
      </c>
      <c r="O1786">
        <v>8.0598860000000005E-3</v>
      </c>
      <c r="P1786">
        <v>-0.93094840000000001</v>
      </c>
      <c r="Q1786">
        <v>0.36199239999999999</v>
      </c>
      <c r="R1786">
        <v>-4.792569E-2</v>
      </c>
      <c r="S1786">
        <v>-3.3019409999999998</v>
      </c>
      <c r="T1786">
        <v>-0.18645909999999999</v>
      </c>
      <c r="U1786">
        <v>0.12738039999999901</v>
      </c>
      <c r="V1786">
        <v>-5.5201319999999998E-2</v>
      </c>
      <c r="W1786">
        <v>0.37516719999999998</v>
      </c>
      <c r="X1786">
        <v>0.92531200000000002</v>
      </c>
      <c r="Y1786">
        <v>3.043939E-2</v>
      </c>
      <c r="Z1786">
        <v>7.3373860000000004E-4</v>
      </c>
      <c r="AA1786">
        <v>0.99953630000000004</v>
      </c>
      <c r="AB1786">
        <v>29</v>
      </c>
      <c r="AC1786">
        <v>-19.3857</v>
      </c>
      <c r="AD1786">
        <v>-1.110844407344</v>
      </c>
      <c r="AE1786">
        <v>0.75630000000000996</v>
      </c>
      <c r="AF1786">
        <v>0.59805248722606097</v>
      </c>
      <c r="AG1786">
        <v>-1.110844407344</v>
      </c>
      <c r="AH1786">
        <v>19.327799175035899</v>
      </c>
      <c r="AI1786">
        <v>93.287824280171407</v>
      </c>
      <c r="AJ1786">
        <v>88.227684719059994</v>
      </c>
      <c r="AK1786">
        <v>19.3689303531538</v>
      </c>
      <c r="AL1786">
        <v>67.965351775949699</v>
      </c>
      <c r="AM1786">
        <v>93.414046894697904</v>
      </c>
      <c r="AN1786">
        <v>0.99999995551479004</v>
      </c>
    </row>
    <row r="1787" spans="1:40" x14ac:dyDescent="0.25">
      <c r="A1787" t="str">
        <f>"20190304164633596"</f>
        <v>20190304164633596</v>
      </c>
      <c r="B1787" t="str">
        <f>"1551689193589570"</f>
        <v>1551689193589570</v>
      </c>
      <c r="C1787" t="s">
        <v>40</v>
      </c>
      <c r="D1787">
        <v>3.7805719999999998</v>
      </c>
      <c r="E1787">
        <v>0.55032009999999998</v>
      </c>
      <c r="F1787" t="s">
        <v>49</v>
      </c>
      <c r="G1787">
        <v>-396.13690000000003</v>
      </c>
      <c r="H1787" s="1">
        <v>1.7289779999999999E-6</v>
      </c>
      <c r="I1787">
        <v>285.96499999999997</v>
      </c>
      <c r="J1787">
        <v>-376.79730000000001</v>
      </c>
      <c r="K1787">
        <v>1.110849</v>
      </c>
      <c r="L1787">
        <v>285.21379999999999</v>
      </c>
      <c r="M1787">
        <v>-0.9998648</v>
      </c>
      <c r="N1787">
        <v>-1.415949E-2</v>
      </c>
      <c r="O1787">
        <v>8.3679500000000007E-3</v>
      </c>
      <c r="P1787">
        <v>-0.93111540000000004</v>
      </c>
      <c r="Q1787">
        <v>0.36161569999999998</v>
      </c>
      <c r="R1787">
        <v>-4.7522490000000001E-2</v>
      </c>
      <c r="S1787">
        <v>-3.3016969999999999</v>
      </c>
      <c r="T1787">
        <v>-0.18672749999999999</v>
      </c>
      <c r="U1787">
        <v>0.1267395</v>
      </c>
      <c r="V1787">
        <v>-5.5088140000000001E-2</v>
      </c>
      <c r="W1787">
        <v>0.37479099999999999</v>
      </c>
      <c r="X1787">
        <v>0.92547120000000005</v>
      </c>
      <c r="Y1787">
        <v>2.9941679999999998E-2</v>
      </c>
      <c r="Z1787">
        <v>7.0367740000000002E-4</v>
      </c>
      <c r="AA1787">
        <v>0.99955139999999998</v>
      </c>
      <c r="AB1787">
        <v>29</v>
      </c>
      <c r="AC1787">
        <v>-19.339600000000001</v>
      </c>
      <c r="AD1787">
        <v>-1.1108472710220001</v>
      </c>
      <c r="AE1787">
        <v>0.75119999999998199</v>
      </c>
      <c r="AF1787">
        <v>0.58738965399671605</v>
      </c>
      <c r="AG1787">
        <v>-1.1108472710220001</v>
      </c>
      <c r="AH1787">
        <v>19.281690318273</v>
      </c>
      <c r="AI1787">
        <v>93.2957260333541</v>
      </c>
      <c r="AJ1787">
        <v>88.255104070289406</v>
      </c>
      <c r="AK1787">
        <v>19.322592729624599</v>
      </c>
      <c r="AL1787">
        <v>67.988603339184806</v>
      </c>
      <c r="AM1787">
        <v>93.406478830886201</v>
      </c>
      <c r="AN1787">
        <v>0.99999996943954905</v>
      </c>
    </row>
    <row r="1788" spans="1:40" x14ac:dyDescent="0.25">
      <c r="A1788" t="str">
        <f>"20190304164633617"</f>
        <v>20190304164633617</v>
      </c>
      <c r="B1788" t="str">
        <f>"1551689193610066"</f>
        <v>1551689193610066</v>
      </c>
      <c r="C1788" t="s">
        <v>40</v>
      </c>
      <c r="D1788">
        <v>3.7993399999999999</v>
      </c>
      <c r="E1788">
        <v>0.55026640000000004</v>
      </c>
      <c r="F1788" t="s">
        <v>49</v>
      </c>
      <c r="G1788">
        <v>-396.1524</v>
      </c>
      <c r="H1788" s="1">
        <v>1.7372230000000001E-6</v>
      </c>
      <c r="I1788">
        <v>285.9572</v>
      </c>
      <c r="J1788">
        <v>-377.08109999999999</v>
      </c>
      <c r="K1788">
        <v>1.1108439999999999</v>
      </c>
      <c r="L1788">
        <v>285.2165</v>
      </c>
      <c r="M1788">
        <v>-0.99986240000000004</v>
      </c>
      <c r="N1788">
        <v>-1.4157380000000001E-2</v>
      </c>
      <c r="O1788">
        <v>8.6532789999999998E-3</v>
      </c>
      <c r="P1788">
        <v>-0.93118230000000002</v>
      </c>
      <c r="Q1788">
        <v>0.3614946</v>
      </c>
      <c r="R1788">
        <v>-4.7131520000000003E-2</v>
      </c>
      <c r="S1788">
        <v>-3.3020320000000001</v>
      </c>
      <c r="T1788">
        <v>-0.18951370000000001</v>
      </c>
      <c r="U1788">
        <v>0.1268311</v>
      </c>
      <c r="V1788">
        <v>-5.4966199999999903E-2</v>
      </c>
      <c r="W1788">
        <v>0.3746681</v>
      </c>
      <c r="X1788">
        <v>0.92552820000000002</v>
      </c>
      <c r="Y1788">
        <v>2.967972E-2</v>
      </c>
      <c r="Z1788">
        <v>6.8746569999999997E-4</v>
      </c>
      <c r="AA1788">
        <v>0.99955919999999998</v>
      </c>
      <c r="AB1788">
        <v>29</v>
      </c>
      <c r="AC1788">
        <v>-19.071300000000001</v>
      </c>
      <c r="AD1788">
        <v>-1.110842262777</v>
      </c>
      <c r="AE1788">
        <v>0.74070000000000302</v>
      </c>
      <c r="AF1788">
        <v>0.57368305493316396</v>
      </c>
      <c r="AG1788">
        <v>-1.110842262777</v>
      </c>
      <c r="AH1788">
        <v>19.012589276201801</v>
      </c>
      <c r="AI1788">
        <v>93.342282413604906</v>
      </c>
      <c r="AJ1788">
        <v>88.271690021340703</v>
      </c>
      <c r="AK1788">
        <v>19.053651454926801</v>
      </c>
      <c r="AL1788">
        <v>67.996198162183703</v>
      </c>
      <c r="AM1788">
        <v>93.398747300450395</v>
      </c>
      <c r="AN1788">
        <v>0.99999995864764402</v>
      </c>
    </row>
    <row r="1789" spans="1:40" x14ac:dyDescent="0.25">
      <c r="A1789" t="str">
        <f>"20190304164633639"</f>
        <v>20190304164633639</v>
      </c>
      <c r="B1789" t="str">
        <f>"1551689193629585"</f>
        <v>1551689193629585</v>
      </c>
      <c r="C1789" t="s">
        <v>40</v>
      </c>
      <c r="D1789">
        <v>3.8347129999999998</v>
      </c>
      <c r="E1789">
        <v>0.55023630000000001</v>
      </c>
      <c r="F1789" t="s">
        <v>49</v>
      </c>
      <c r="G1789">
        <v>-396.32709999999997</v>
      </c>
      <c r="H1789" s="1">
        <v>1.8301930000000001E-6</v>
      </c>
      <c r="I1789">
        <v>285.96069999999997</v>
      </c>
      <c r="J1789">
        <v>-377.35950000000003</v>
      </c>
      <c r="K1789">
        <v>1.110849</v>
      </c>
      <c r="L1789">
        <v>285.2192</v>
      </c>
      <c r="M1789">
        <v>-0.99985990000000002</v>
      </c>
      <c r="N1789">
        <v>-1.415517E-2</v>
      </c>
      <c r="O1789">
        <v>8.9287600000000009E-3</v>
      </c>
      <c r="P1789">
        <v>-0.93137800000000004</v>
      </c>
      <c r="Q1789">
        <v>0.36104320000000001</v>
      </c>
      <c r="R1789">
        <v>-4.6720999999999999E-2</v>
      </c>
      <c r="S1789">
        <v>-3.302155</v>
      </c>
      <c r="T1789">
        <v>-0.19059380000000001</v>
      </c>
      <c r="U1789">
        <v>0.12768550000000001</v>
      </c>
      <c r="V1789">
        <v>-5.481809E-2</v>
      </c>
      <c r="W1789">
        <v>0.37421660000000001</v>
      </c>
      <c r="X1789">
        <v>0.92571970000000003</v>
      </c>
      <c r="Y1789">
        <v>2.966098E-2</v>
      </c>
      <c r="Z1789">
        <v>6.7676279999999997E-4</v>
      </c>
      <c r="AA1789">
        <v>0.9995598</v>
      </c>
      <c r="AB1789">
        <v>29</v>
      </c>
      <c r="AC1789">
        <v>-18.967599999999901</v>
      </c>
      <c r="AD1789">
        <v>-1.1108471698069999</v>
      </c>
      <c r="AE1789">
        <v>0.74149999999997296</v>
      </c>
      <c r="AF1789">
        <v>0.57014374824402603</v>
      </c>
      <c r="AG1789">
        <v>-1.1108471698069999</v>
      </c>
      <c r="AH1789">
        <v>18.9087087236725</v>
      </c>
      <c r="AI1789">
        <v>93.360619230209196</v>
      </c>
      <c r="AJ1789">
        <v>88.272915593233094</v>
      </c>
      <c r="AK1789">
        <v>18.949889469994801</v>
      </c>
      <c r="AL1789">
        <v>68.0240983613064</v>
      </c>
      <c r="AM1789">
        <v>93.388910975965103</v>
      </c>
      <c r="AN1789">
        <v>1.0000000248374401</v>
      </c>
    </row>
    <row r="1790" spans="1:40" x14ac:dyDescent="0.25">
      <c r="A1790" t="str">
        <f>"20190304164633661"</f>
        <v>20190304164633661</v>
      </c>
      <c r="B1790" t="str">
        <f>"1551689193650082"</f>
        <v>1551689193650082</v>
      </c>
      <c r="C1790" t="s">
        <v>40</v>
      </c>
      <c r="D1790">
        <v>3.8157209999999999</v>
      </c>
      <c r="E1790">
        <v>0.55022550000000003</v>
      </c>
      <c r="F1790" t="s">
        <v>49</v>
      </c>
      <c r="G1790">
        <v>-396.40410000000003</v>
      </c>
      <c r="H1790" s="1">
        <v>1.8711660000000001E-6</v>
      </c>
      <c r="I1790">
        <v>285.96069999999997</v>
      </c>
      <c r="J1790">
        <v>-377.64780000000002</v>
      </c>
      <c r="K1790">
        <v>1.110852</v>
      </c>
      <c r="L1790">
        <v>285.22210000000001</v>
      </c>
      <c r="M1790">
        <v>-0.99985749999999995</v>
      </c>
      <c r="N1790">
        <v>-1.415276E-2</v>
      </c>
      <c r="O1790">
        <v>9.2060530000000005E-3</v>
      </c>
      <c r="P1790">
        <v>-0.93142930000000002</v>
      </c>
      <c r="Q1790">
        <v>0.36098950000000002</v>
      </c>
      <c r="R1790">
        <v>-4.6113870000000001E-2</v>
      </c>
      <c r="S1790">
        <v>-3.3021240000000001</v>
      </c>
      <c r="T1790">
        <v>-0.1926081</v>
      </c>
      <c r="U1790">
        <v>0.12857060000000001</v>
      </c>
      <c r="V1790">
        <v>-5.4475999999999997E-2</v>
      </c>
      <c r="W1790">
        <v>0.3741601</v>
      </c>
      <c r="X1790">
        <v>0.92576270000000005</v>
      </c>
      <c r="Y1790">
        <v>2.965098E-2</v>
      </c>
      <c r="Z1790">
        <v>6.6770600000000001E-4</v>
      </c>
      <c r="AA1790">
        <v>0.99956009999999995</v>
      </c>
      <c r="AB1790">
        <v>29</v>
      </c>
      <c r="AC1790">
        <v>-18.7563</v>
      </c>
      <c r="AD1790">
        <v>-1.110850128834</v>
      </c>
      <c r="AE1790">
        <v>0.73859999999996195</v>
      </c>
      <c r="AF1790">
        <v>0.56390499259322102</v>
      </c>
      <c r="AG1790">
        <v>-1.110850128834</v>
      </c>
      <c r="AH1790">
        <v>18.696824853788499</v>
      </c>
      <c r="AI1790">
        <v>93.398623264607096</v>
      </c>
      <c r="AJ1790">
        <v>88.272456155773796</v>
      </c>
      <c r="AK1790">
        <v>18.738282644432601</v>
      </c>
      <c r="AL1790">
        <v>68.027588500652499</v>
      </c>
      <c r="AM1790">
        <v>93.367655380517206</v>
      </c>
      <c r="AN1790">
        <v>0.99999999585965005</v>
      </c>
    </row>
    <row r="1791" spans="1:40" x14ac:dyDescent="0.25">
      <c r="A1791" t="str">
        <f>"20190304164633686"</f>
        <v>20190304164633686</v>
      </c>
      <c r="B1791" t="str">
        <f>"1551689193680337"</f>
        <v>1551689193680337</v>
      </c>
      <c r="C1791" t="s">
        <v>40</v>
      </c>
      <c r="D1791">
        <v>3.8287490000000002</v>
      </c>
      <c r="E1791">
        <v>0.55017569999999905</v>
      </c>
      <c r="F1791" t="s">
        <v>49</v>
      </c>
      <c r="G1791">
        <v>-396.64179999999999</v>
      </c>
      <c r="H1791" s="1">
        <v>1.9976550000000002E-6</v>
      </c>
      <c r="I1791">
        <v>285.97480000000002</v>
      </c>
      <c r="J1791">
        <v>-377.94240000000002</v>
      </c>
      <c r="K1791">
        <v>1.110862</v>
      </c>
      <c r="L1791">
        <v>285.2251</v>
      </c>
      <c r="M1791">
        <v>-0.99985500000000005</v>
      </c>
      <c r="N1791">
        <v>-1.415012E-2</v>
      </c>
      <c r="O1791">
        <v>9.4754330000000001E-3</v>
      </c>
      <c r="P1791">
        <v>-0.93131830000000004</v>
      </c>
      <c r="Q1791">
        <v>0.36133720000000003</v>
      </c>
      <c r="R1791">
        <v>-4.5625989999999998E-2</v>
      </c>
      <c r="S1791">
        <v>-3.3021850000000001</v>
      </c>
      <c r="T1791">
        <v>-0.19312599999999999</v>
      </c>
      <c r="U1791">
        <v>0.13085939999999999</v>
      </c>
      <c r="V1791">
        <v>-5.4246339999999997E-2</v>
      </c>
      <c r="W1791">
        <v>0.3745019</v>
      </c>
      <c r="X1791">
        <v>0.92563799999999996</v>
      </c>
      <c r="Y1791">
        <v>3.0071850000000001E-2</v>
      </c>
      <c r="Z1791">
        <v>6.7186239999999999E-4</v>
      </c>
      <c r="AA1791">
        <v>0.99954750000000003</v>
      </c>
      <c r="AB1791">
        <v>29</v>
      </c>
      <c r="AC1791">
        <v>-18.699399999999901</v>
      </c>
      <c r="AD1791">
        <v>-1.1108600023449999</v>
      </c>
      <c r="AE1791">
        <v>0.74970000000001802</v>
      </c>
      <c r="AF1791">
        <v>0.57045373226150597</v>
      </c>
      <c r="AG1791">
        <v>-1.1108600023449999</v>
      </c>
      <c r="AH1791">
        <v>18.639988088440099</v>
      </c>
      <c r="AI1791">
        <v>93.4089463584898</v>
      </c>
      <c r="AJ1791">
        <v>88.247080801811094</v>
      </c>
      <c r="AK1791">
        <v>18.681771418756</v>
      </c>
      <c r="AL1791">
        <v>68.006469960317204</v>
      </c>
      <c r="AM1791">
        <v>93.353941228014904</v>
      </c>
      <c r="AN1791">
        <v>1.0000000227754999</v>
      </c>
    </row>
    <row r="1792" spans="1:40" x14ac:dyDescent="0.25">
      <c r="A1792" t="str">
        <f>"20190304164633707"</f>
        <v>20190304164633707</v>
      </c>
      <c r="B1792" t="str">
        <f>"1551689193699861"</f>
        <v>1551689193699861</v>
      </c>
      <c r="C1792" t="s">
        <v>40</v>
      </c>
      <c r="D1792">
        <v>3.843521</v>
      </c>
      <c r="E1792">
        <v>0.55013239999999997</v>
      </c>
      <c r="F1792" t="s">
        <v>49</v>
      </c>
      <c r="G1792">
        <v>-396.98430000000002</v>
      </c>
      <c r="H1792" s="1">
        <v>2.1799250000000001E-6</v>
      </c>
      <c r="I1792">
        <v>285.98840000000001</v>
      </c>
      <c r="J1792">
        <v>-378.23039999999997</v>
      </c>
      <c r="K1792">
        <v>1.1108750000000001</v>
      </c>
      <c r="L1792">
        <v>285.22809999999998</v>
      </c>
      <c r="M1792">
        <v>-0.99985279999999999</v>
      </c>
      <c r="N1792">
        <v>-1.4147369999999999E-2</v>
      </c>
      <c r="O1792">
        <v>9.7196690000000002E-3</v>
      </c>
      <c r="P1792">
        <v>-0.93136350000000001</v>
      </c>
      <c r="Q1792">
        <v>0.36133359999999998</v>
      </c>
      <c r="R1792">
        <v>-4.4726540000000002E-2</v>
      </c>
      <c r="S1792">
        <v>-3.3024900000000001</v>
      </c>
      <c r="T1792">
        <v>-0.19265959999999999</v>
      </c>
      <c r="U1792">
        <v>0.13238529999999901</v>
      </c>
      <c r="V1792">
        <v>-5.3586639999999998E-2</v>
      </c>
      <c r="W1792">
        <v>0.37449440000000001</v>
      </c>
      <c r="X1792">
        <v>0.92567940000000004</v>
      </c>
      <c r="Y1792">
        <v>3.028515E-2</v>
      </c>
      <c r="Z1792">
        <v>6.6792839999999995E-4</v>
      </c>
      <c r="AA1792">
        <v>0.99954109999999996</v>
      </c>
      <c r="AB1792">
        <v>29</v>
      </c>
      <c r="AC1792">
        <v>-18.753900000000002</v>
      </c>
      <c r="AD1792">
        <v>-1.110872820075</v>
      </c>
      <c r="AE1792">
        <v>0.76030000000002895</v>
      </c>
      <c r="AF1792">
        <v>0.57594665098561904</v>
      </c>
      <c r="AG1792">
        <v>-1.110872820075</v>
      </c>
      <c r="AH1792">
        <v>18.694917434438299</v>
      </c>
      <c r="AI1792">
        <v>93.398971636984399</v>
      </c>
      <c r="AJ1792">
        <v>88.235409256558398</v>
      </c>
      <c r="AK1792">
        <v>18.736747072200899</v>
      </c>
      <c r="AL1792">
        <v>68.006932127787607</v>
      </c>
      <c r="AM1792">
        <v>93.313096888716302</v>
      </c>
      <c r="AN1792">
        <v>0.99999996760110399</v>
      </c>
    </row>
    <row r="1793" spans="1:40" x14ac:dyDescent="0.25">
      <c r="A1793" t="str">
        <f>"20190304164633730"</f>
        <v>20190304164633730</v>
      </c>
      <c r="B1793" t="str">
        <f>"1551689193720354"</f>
        <v>1551689193720354</v>
      </c>
      <c r="C1793" t="s">
        <v>40</v>
      </c>
      <c r="D1793">
        <v>3.8463590000000001</v>
      </c>
      <c r="E1793">
        <v>0.5500874</v>
      </c>
      <c r="F1793" t="s">
        <v>49</v>
      </c>
      <c r="G1793">
        <v>-397.2337</v>
      </c>
      <c r="H1793" s="1">
        <v>2.3126390000000001E-6</v>
      </c>
      <c r="I1793">
        <v>286.01139999999998</v>
      </c>
      <c r="J1793">
        <v>-378.5145</v>
      </c>
      <c r="K1793">
        <v>1.110889</v>
      </c>
      <c r="L1793">
        <v>285.23110000000003</v>
      </c>
      <c r="M1793">
        <v>-0.99985069999999998</v>
      </c>
      <c r="N1793">
        <v>-1.414469E-2</v>
      </c>
      <c r="O1793">
        <v>9.9389920000000007E-3</v>
      </c>
      <c r="P1793">
        <v>-0.93142170000000002</v>
      </c>
      <c r="Q1793">
        <v>0.36126140000000001</v>
      </c>
      <c r="R1793">
        <v>-4.409428E-2</v>
      </c>
      <c r="S1793">
        <v>-3.302521</v>
      </c>
      <c r="T1793">
        <v>-0.19305439999999999</v>
      </c>
      <c r="U1793">
        <v>0.13613889999999901</v>
      </c>
      <c r="V1793">
        <v>-5.3173039999999998E-2</v>
      </c>
      <c r="W1793">
        <v>0.37441780000000002</v>
      </c>
      <c r="X1793">
        <v>0.92573430000000001</v>
      </c>
      <c r="Y1793">
        <v>3.1197820000000001E-2</v>
      </c>
      <c r="Z1793">
        <v>6.9190440000000005E-4</v>
      </c>
      <c r="AA1793">
        <v>0.99951299999999998</v>
      </c>
      <c r="AB1793">
        <v>29</v>
      </c>
      <c r="AC1793">
        <v>-18.719200000000001</v>
      </c>
      <c r="AD1793">
        <v>-1.1108866873609999</v>
      </c>
      <c r="AE1793">
        <v>0.78029999999995403</v>
      </c>
      <c r="AF1793">
        <v>0.59211120186775201</v>
      </c>
      <c r="AG1793">
        <v>-1.1108866873609999</v>
      </c>
      <c r="AH1793">
        <v>18.660427049541699</v>
      </c>
      <c r="AI1793">
        <v>93.405183679316394</v>
      </c>
      <c r="AJ1793">
        <v>88.182566040168496</v>
      </c>
      <c r="AK1793">
        <v>18.702839425573899</v>
      </c>
      <c r="AL1793">
        <v>68.011666741761402</v>
      </c>
      <c r="AM1793">
        <v>93.287387042503198</v>
      </c>
      <c r="AN1793">
        <v>1.00000002766808</v>
      </c>
    </row>
    <row r="1794" spans="1:40" x14ac:dyDescent="0.25">
      <c r="A1794" t="str">
        <f>"20190304164633751"</f>
        <v>20190304164633751</v>
      </c>
      <c r="B1794" t="str">
        <f>"1551689193739874"</f>
        <v>1551689193739874</v>
      </c>
      <c r="C1794" t="s">
        <v>40</v>
      </c>
      <c r="D1794">
        <v>3.856125</v>
      </c>
      <c r="E1794">
        <v>0.55004019999999898</v>
      </c>
      <c r="F1794" t="s">
        <v>49</v>
      </c>
      <c r="G1794">
        <v>-397.46539999999999</v>
      </c>
      <c r="H1794" s="1">
        <v>2.4359050000000002E-6</v>
      </c>
      <c r="I1794">
        <v>286.02339999999998</v>
      </c>
      <c r="J1794">
        <v>-378.78719999999998</v>
      </c>
      <c r="K1794">
        <v>1.11091299999999</v>
      </c>
      <c r="L1794">
        <v>285.23399999999998</v>
      </c>
      <c r="M1794">
        <v>-0.99984879999999998</v>
      </c>
      <c r="N1794">
        <v>-1.4141910000000001E-2</v>
      </c>
      <c r="O1794">
        <v>1.012705E-2</v>
      </c>
      <c r="P1794">
        <v>-0.93156689999999998</v>
      </c>
      <c r="Q1794">
        <v>0.36092629999999998</v>
      </c>
      <c r="R1794">
        <v>-4.3771200000000003E-2</v>
      </c>
      <c r="S1794">
        <v>-3.302521</v>
      </c>
      <c r="T1794">
        <v>-0.19359180000000001</v>
      </c>
      <c r="U1794">
        <v>0.1380615</v>
      </c>
      <c r="V1794">
        <v>-5.3043119999999999E-2</v>
      </c>
      <c r="W1794">
        <v>0.37408010000000003</v>
      </c>
      <c r="X1794">
        <v>0.92587830000000004</v>
      </c>
      <c r="Y1794">
        <v>3.1589799999999897E-2</v>
      </c>
      <c r="Z1794">
        <v>6.9864850000000002E-4</v>
      </c>
      <c r="AA1794">
        <v>0.99950070000000002</v>
      </c>
      <c r="AB1794">
        <v>29</v>
      </c>
      <c r="AC1794">
        <v>-18.6782</v>
      </c>
      <c r="AD1794">
        <v>-1.1109105640950001</v>
      </c>
      <c r="AE1794">
        <v>0.78939999999994304</v>
      </c>
      <c r="AF1794">
        <v>0.59807367192806005</v>
      </c>
      <c r="AG1794">
        <v>-1.1109105640950001</v>
      </c>
      <c r="AH1794">
        <v>18.619489336692201</v>
      </c>
      <c r="AI1794">
        <v>93.412683635061498</v>
      </c>
      <c r="AJ1794">
        <v>88.160243876640706</v>
      </c>
      <c r="AK1794">
        <v>18.6621863016546</v>
      </c>
      <c r="AL1794">
        <v>68.032532577523298</v>
      </c>
      <c r="AM1794">
        <v>93.278863457476106</v>
      </c>
      <c r="AN1794">
        <v>1.00000006010311</v>
      </c>
    </row>
    <row r="1795" spans="1:40" x14ac:dyDescent="0.25">
      <c r="A1795" t="str">
        <f>"20190304164633773"</f>
        <v>20190304164633773</v>
      </c>
      <c r="B1795" t="str">
        <f>"1551689193770130"</f>
        <v>1551689193770130</v>
      </c>
      <c r="C1795" t="s">
        <v>40</v>
      </c>
      <c r="D1795">
        <v>3.8546360000000002</v>
      </c>
      <c r="E1795">
        <v>0.5499908</v>
      </c>
      <c r="F1795" t="s">
        <v>49</v>
      </c>
      <c r="G1795">
        <v>-397.57659999999998</v>
      </c>
      <c r="H1795" s="1">
        <v>2.4950950000000001E-6</v>
      </c>
      <c r="I1795">
        <v>286.029</v>
      </c>
      <c r="J1795">
        <v>-379.06810000000002</v>
      </c>
      <c r="K1795">
        <v>1.110924</v>
      </c>
      <c r="L1795">
        <v>285.2371</v>
      </c>
      <c r="M1795">
        <v>-0.99984709999999999</v>
      </c>
      <c r="N1795">
        <v>-1.413915E-2</v>
      </c>
      <c r="O1795">
        <v>1.029835E-2</v>
      </c>
      <c r="P1795">
        <v>-0.93153609999999998</v>
      </c>
      <c r="Q1795">
        <v>0.36100450000000001</v>
      </c>
      <c r="R1795">
        <v>-4.3774599999999997E-2</v>
      </c>
      <c r="S1795">
        <v>-3.3025820000000001</v>
      </c>
      <c r="T1795">
        <v>-0.19526270000000001</v>
      </c>
      <c r="U1795">
        <v>0.13974</v>
      </c>
      <c r="V1795">
        <v>-5.3223760000000002E-2</v>
      </c>
      <c r="W1795">
        <v>0.37415350000000003</v>
      </c>
      <c r="X1795">
        <v>0.92583819999999994</v>
      </c>
      <c r="Y1795">
        <v>3.1923510000000002E-2</v>
      </c>
      <c r="Z1795">
        <v>7.0595140000000005E-4</v>
      </c>
      <c r="AA1795">
        <v>0.99949010000000005</v>
      </c>
      <c r="AB1795">
        <v>29</v>
      </c>
      <c r="AC1795">
        <v>-18.508499999999898</v>
      </c>
      <c r="AD1795">
        <v>-1.1109215049050001</v>
      </c>
      <c r="AE1795">
        <v>0.79189999999999805</v>
      </c>
      <c r="AF1795">
        <v>0.59907761543845195</v>
      </c>
      <c r="AG1795">
        <v>-1.1109215049050001</v>
      </c>
      <c r="AH1795">
        <v>18.449329023757901</v>
      </c>
      <c r="AI1795">
        <v>93.444078760048995</v>
      </c>
      <c r="AJ1795">
        <v>88.140172870335803</v>
      </c>
      <c r="AK1795">
        <v>18.492452027956102</v>
      </c>
      <c r="AL1795">
        <v>68.027996167575694</v>
      </c>
      <c r="AM1795">
        <v>93.290147425837105</v>
      </c>
      <c r="AN1795">
        <v>0.99999999138501305</v>
      </c>
    </row>
    <row r="1796" spans="1:40" x14ac:dyDescent="0.25">
      <c r="A1796" t="str">
        <f>"20190304164633796"</f>
        <v>20190304164633796</v>
      </c>
      <c r="B1796" t="str">
        <f>"1551689193790158"</f>
        <v>1551689193790158</v>
      </c>
      <c r="C1796" t="s">
        <v>40</v>
      </c>
      <c r="D1796">
        <v>3.867229</v>
      </c>
      <c r="E1796">
        <v>0.54996750000000005</v>
      </c>
      <c r="F1796" t="s">
        <v>49</v>
      </c>
      <c r="G1796">
        <v>-397.87630000000001</v>
      </c>
      <c r="H1796" s="1">
        <v>2.6545709999999998E-6</v>
      </c>
      <c r="I1796">
        <v>286.03269999999998</v>
      </c>
      <c r="J1796">
        <v>-379.3639</v>
      </c>
      <c r="K1796">
        <v>1.110938</v>
      </c>
      <c r="L1796">
        <v>285.24029999999999</v>
      </c>
      <c r="M1796">
        <v>-0.99984550000000005</v>
      </c>
      <c r="N1796">
        <v>-1.41365E-2</v>
      </c>
      <c r="O1796">
        <v>1.045686E-2</v>
      </c>
      <c r="P1796">
        <v>-0.93170900000000001</v>
      </c>
      <c r="Q1796">
        <v>0.36045680000000002</v>
      </c>
      <c r="R1796">
        <v>-4.4606300000000002E-2</v>
      </c>
      <c r="S1796">
        <v>-3.3026430000000002</v>
      </c>
      <c r="T1796">
        <v>-0.19507369999999999</v>
      </c>
      <c r="U1796">
        <v>0.13970949999999999</v>
      </c>
      <c r="V1796">
        <v>-5.4219860000000002E-2</v>
      </c>
      <c r="W1796">
        <v>0.37360280000000001</v>
      </c>
      <c r="X1796">
        <v>0.92600280000000001</v>
      </c>
      <c r="Y1796">
        <v>3.175567E-2</v>
      </c>
      <c r="Z1796">
        <v>6.9230339999999896E-4</v>
      </c>
      <c r="AA1796">
        <v>0.99949540000000003</v>
      </c>
      <c r="AB1796">
        <v>29</v>
      </c>
      <c r="AC1796">
        <v>-18.5124</v>
      </c>
      <c r="AD1796">
        <v>-1.1109353454289901</v>
      </c>
      <c r="AE1796">
        <v>0.792399999999986</v>
      </c>
      <c r="AF1796">
        <v>0.59661115604041104</v>
      </c>
      <c r="AG1796">
        <v>-1.1109353454289901</v>
      </c>
      <c r="AH1796">
        <v>18.4533411008352</v>
      </c>
      <c r="AI1796">
        <v>93.443390200962597</v>
      </c>
      <c r="AJ1796">
        <v>88.148227025493995</v>
      </c>
      <c r="AK1796">
        <v>18.496375861152</v>
      </c>
      <c r="AL1796">
        <v>68.062016714234602</v>
      </c>
      <c r="AM1796">
        <v>93.350990122205801</v>
      </c>
      <c r="AN1796">
        <v>1.0000000154970401</v>
      </c>
    </row>
    <row r="1797" spans="1:40" x14ac:dyDescent="0.25">
      <c r="A1797" t="str">
        <f>"20190304164633819"</f>
        <v>20190304164633819</v>
      </c>
      <c r="B1797" t="str">
        <f>"1551689193809682"</f>
        <v>1551689193809682</v>
      </c>
      <c r="C1797" t="s">
        <v>40</v>
      </c>
      <c r="D1797">
        <v>3.8757609999999998</v>
      </c>
      <c r="E1797">
        <v>0.54995519999999998</v>
      </c>
      <c r="F1797" t="s">
        <v>49</v>
      </c>
      <c r="G1797">
        <v>-397.96010000000001</v>
      </c>
      <c r="H1797" s="1">
        <v>2.699202E-6</v>
      </c>
      <c r="I1797">
        <v>286.01319999999998</v>
      </c>
      <c r="J1797">
        <v>-379.65140000000002</v>
      </c>
      <c r="K1797">
        <v>1.1109530000000001</v>
      </c>
      <c r="L1797">
        <v>285.24349999999998</v>
      </c>
      <c r="M1797">
        <v>-0.99984399999999996</v>
      </c>
      <c r="N1797">
        <v>-1.413391E-2</v>
      </c>
      <c r="O1797">
        <v>1.059651E-2</v>
      </c>
      <c r="P1797">
        <v>-0.93165779999999998</v>
      </c>
      <c r="Q1797">
        <v>0.3604755</v>
      </c>
      <c r="R1797">
        <v>-4.550908E-2</v>
      </c>
      <c r="S1797">
        <v>-3.3027950000000001</v>
      </c>
      <c r="T1797">
        <v>-0.1973085</v>
      </c>
      <c r="U1797">
        <v>0.1372681</v>
      </c>
      <c r="V1797">
        <v>-5.526242E-2</v>
      </c>
      <c r="W1797">
        <v>0.37361739999999999</v>
      </c>
      <c r="X1797">
        <v>0.92593530000000002</v>
      </c>
      <c r="Y1797">
        <v>3.087757E-2</v>
      </c>
      <c r="Z1797">
        <v>6.5711570000000002E-4</v>
      </c>
      <c r="AA1797">
        <v>0.99952300000000005</v>
      </c>
      <c r="AB1797">
        <v>28</v>
      </c>
      <c r="AC1797">
        <v>-18.308699999999899</v>
      </c>
      <c r="AD1797">
        <v>-1.1109503007979999</v>
      </c>
      <c r="AE1797">
        <v>0.76970000000000005</v>
      </c>
      <c r="AF1797">
        <v>0.57352114763444595</v>
      </c>
      <c r="AG1797">
        <v>-1.1109503007979999</v>
      </c>
      <c r="AH1797">
        <v>18.248756902454598</v>
      </c>
      <c r="AI1797">
        <v>93.4820457345336</v>
      </c>
      <c r="AJ1797">
        <v>88.199903209658999</v>
      </c>
      <c r="AK1797">
        <v>18.291535352794</v>
      </c>
      <c r="AL1797">
        <v>68.061115415424894</v>
      </c>
      <c r="AM1797">
        <v>93.4155215259008</v>
      </c>
      <c r="AN1797">
        <v>1.0000000382165499</v>
      </c>
    </row>
    <row r="1798" spans="1:40" x14ac:dyDescent="0.25">
      <c r="A1798" t="str">
        <f>"20190304164633839"</f>
        <v>20190304164633839</v>
      </c>
      <c r="B1798" t="str">
        <f>"1551689193830175"</f>
        <v>1551689193830175</v>
      </c>
      <c r="C1798" t="s">
        <v>40</v>
      </c>
      <c r="D1798">
        <v>3.9042029999999999</v>
      </c>
      <c r="E1798">
        <v>0.54994809999999905</v>
      </c>
      <c r="F1798" t="s">
        <v>49</v>
      </c>
      <c r="G1798">
        <v>-398.24599999999998</v>
      </c>
      <c r="H1798" s="1">
        <v>2.85134E-6</v>
      </c>
      <c r="I1798">
        <v>286.0034</v>
      </c>
      <c r="J1798">
        <v>-379.91640000000001</v>
      </c>
      <c r="K1798">
        <v>1.1109639999999901</v>
      </c>
      <c r="L1798">
        <v>285.24650000000003</v>
      </c>
      <c r="M1798">
        <v>-0.99984280000000003</v>
      </c>
      <c r="N1798">
        <v>-1.413146E-2</v>
      </c>
      <c r="O1798">
        <v>1.0717829999999999E-2</v>
      </c>
      <c r="P1798">
        <v>-0.93147720000000001</v>
      </c>
      <c r="Q1798">
        <v>0.36083939999999998</v>
      </c>
      <c r="R1798">
        <v>-4.6317320000000002E-2</v>
      </c>
      <c r="S1798">
        <v>-3.3029790000000001</v>
      </c>
      <c r="T1798">
        <v>-0.1973393</v>
      </c>
      <c r="U1798">
        <v>0.13497919999999999</v>
      </c>
      <c r="V1798">
        <v>-5.6187920000000002E-2</v>
      </c>
      <c r="W1798">
        <v>0.37397530000000001</v>
      </c>
      <c r="X1798">
        <v>0.92573510000000003</v>
      </c>
      <c r="Y1798">
        <v>3.0064440000000001E-2</v>
      </c>
      <c r="Z1798">
        <v>6.2154549999999999E-4</v>
      </c>
      <c r="AA1798">
        <v>0.99954779999999999</v>
      </c>
      <c r="AB1798">
        <v>28</v>
      </c>
      <c r="AC1798">
        <v>-18.3295999999999</v>
      </c>
      <c r="AD1798">
        <v>-1.11096114865999</v>
      </c>
      <c r="AE1798">
        <v>0.75689999999997304</v>
      </c>
      <c r="AF1798">
        <v>0.55833577026786296</v>
      </c>
      <c r="AG1798">
        <v>-1.11096114865999</v>
      </c>
      <c r="AH1798">
        <v>18.2696589620497</v>
      </c>
      <c r="AI1798">
        <v>93.478198799346004</v>
      </c>
      <c r="AJ1798">
        <v>88.249538780325693</v>
      </c>
      <c r="AK1798">
        <v>18.311919945647301</v>
      </c>
      <c r="AL1798">
        <v>68.039006679678906</v>
      </c>
      <c r="AM1798">
        <v>93.473332833633506</v>
      </c>
      <c r="AN1798">
        <v>1.0000000413680099</v>
      </c>
    </row>
    <row r="1799" spans="1:40" x14ac:dyDescent="0.25">
      <c r="A1799" t="str">
        <f>"20190304164633862"</f>
        <v>20190304164633862</v>
      </c>
      <c r="B1799" t="str">
        <f>"1551689193849694"</f>
        <v>1551689193849694</v>
      </c>
      <c r="C1799" t="s">
        <v>40</v>
      </c>
      <c r="D1799">
        <v>3.9775209999999999</v>
      </c>
      <c r="E1799">
        <v>0.54976069999999999</v>
      </c>
      <c r="F1799" t="s">
        <v>49</v>
      </c>
      <c r="G1799">
        <v>-398.55770000000001</v>
      </c>
      <c r="H1799" s="1">
        <v>3.0172149999999999E-6</v>
      </c>
      <c r="I1799">
        <v>285.9796</v>
      </c>
      <c r="J1799">
        <v>-380.20240000000001</v>
      </c>
      <c r="K1799">
        <v>1.1109709999999999</v>
      </c>
      <c r="L1799">
        <v>285.24970000000002</v>
      </c>
      <c r="M1799">
        <v>-0.99984150000000005</v>
      </c>
      <c r="N1799">
        <v>-1.41288E-2</v>
      </c>
      <c r="O1799">
        <v>1.08442E-2</v>
      </c>
      <c r="P1799">
        <v>-0.93121080000000001</v>
      </c>
      <c r="Q1799">
        <v>0.36147180000000001</v>
      </c>
      <c r="R1799">
        <v>-4.6741949999999997E-2</v>
      </c>
      <c r="S1799">
        <v>-3.3034059999999998</v>
      </c>
      <c r="T1799">
        <v>-0.1968722</v>
      </c>
      <c r="U1799">
        <v>0.12991330000000001</v>
      </c>
      <c r="V1799">
        <v>-5.6729960000000003E-2</v>
      </c>
      <c r="W1799">
        <v>0.37460139999999997</v>
      </c>
      <c r="X1799">
        <v>0.92544879999999996</v>
      </c>
      <c r="Y1799">
        <v>2.8406379999999998E-2</v>
      </c>
      <c r="Z1799">
        <v>5.5402649999999995E-4</v>
      </c>
      <c r="AA1799">
        <v>0.99959629999999999</v>
      </c>
      <c r="AB1799">
        <v>28</v>
      </c>
      <c r="AC1799">
        <v>-18.3553</v>
      </c>
      <c r="AD1799">
        <v>-1.1109679827850001</v>
      </c>
      <c r="AE1799">
        <v>0.729899999999986</v>
      </c>
      <c r="AF1799">
        <v>0.52885435557210303</v>
      </c>
      <c r="AG1799">
        <v>-1.1109679827850001</v>
      </c>
      <c r="AH1799">
        <v>18.295220217656201</v>
      </c>
      <c r="AI1799">
        <v>93.473542703981593</v>
      </c>
      <c r="AJ1799">
        <v>88.344229444784702</v>
      </c>
      <c r="AK1799">
        <v>18.3365487374456</v>
      </c>
      <c r="AL1799">
        <v>68.000320682373797</v>
      </c>
      <c r="AM1799">
        <v>93.507838711390704</v>
      </c>
      <c r="AN1799">
        <v>0.99999998933250001</v>
      </c>
    </row>
    <row r="1800" spans="1:40" x14ac:dyDescent="0.25">
      <c r="A1800" t="str">
        <f>"20190304164633885"</f>
        <v>20190304164633885</v>
      </c>
      <c r="B1800" t="str">
        <f>"1551689193879950"</f>
        <v>1551689193879950</v>
      </c>
      <c r="C1800" t="s">
        <v>40</v>
      </c>
      <c r="D1800">
        <v>3.9459559999999998</v>
      </c>
      <c r="E1800">
        <v>0.51715059999999902</v>
      </c>
      <c r="F1800" t="s">
        <v>49</v>
      </c>
      <c r="G1800">
        <v>-399.15260000000001</v>
      </c>
      <c r="H1800" s="1">
        <v>3.3337450000000001E-6</v>
      </c>
      <c r="I1800">
        <v>285.97609999999997</v>
      </c>
      <c r="J1800">
        <v>-380.48719999999997</v>
      </c>
      <c r="K1800">
        <v>1.110973</v>
      </c>
      <c r="L1800">
        <v>285.25290000000001</v>
      </c>
      <c r="M1800">
        <v>-0.99984019999999996</v>
      </c>
      <c r="N1800">
        <v>-1.4126130000000001E-2</v>
      </c>
      <c r="O1800">
        <v>1.0969599999999999E-2</v>
      </c>
      <c r="P1800">
        <v>-0.93137009999999998</v>
      </c>
      <c r="Q1800">
        <v>0.36102250000000002</v>
      </c>
      <c r="R1800">
        <v>-4.7038299999999998E-2</v>
      </c>
      <c r="S1800">
        <v>-3.303131</v>
      </c>
      <c r="T1800">
        <v>-0.1936486</v>
      </c>
      <c r="U1800">
        <v>0.12661739999999999</v>
      </c>
      <c r="V1800">
        <v>-5.7146259999999997E-2</v>
      </c>
      <c r="W1800">
        <v>0.37415120000000002</v>
      </c>
      <c r="X1800">
        <v>0.92560529999999996</v>
      </c>
      <c r="Y1800">
        <v>2.7292190000000001E-2</v>
      </c>
      <c r="Z1800">
        <v>5.0463340000000002E-4</v>
      </c>
      <c r="AA1800">
        <v>0.99962740000000005</v>
      </c>
      <c r="AB1800">
        <v>28</v>
      </c>
      <c r="AC1800">
        <v>-18.665400000000002</v>
      </c>
      <c r="AD1800">
        <v>-1.1109696662549999</v>
      </c>
      <c r="AE1800">
        <v>0.72319999999996298</v>
      </c>
      <c r="AF1800">
        <v>0.51655686177920501</v>
      </c>
      <c r="AG1800">
        <v>-1.1109696662549999</v>
      </c>
      <c r="AH1800">
        <v>18.6063933548464</v>
      </c>
      <c r="AI1800">
        <v>93.415705470885598</v>
      </c>
      <c r="AJ1800">
        <v>88.409744048922605</v>
      </c>
      <c r="AK1800">
        <v>18.646687595014299</v>
      </c>
      <c r="AL1800">
        <v>68.0281383166149</v>
      </c>
      <c r="AM1800">
        <v>93.532919281929495</v>
      </c>
      <c r="AN1800">
        <v>0.99999999344075796</v>
      </c>
    </row>
    <row r="1801" spans="1:40" x14ac:dyDescent="0.25">
      <c r="A1801" t="str">
        <f>"20190304164633908"</f>
        <v>20190304164633908</v>
      </c>
      <c r="B1801" t="str">
        <f>"1551689193899978"</f>
        <v>1551689193899978</v>
      </c>
      <c r="C1801" t="s">
        <v>40</v>
      </c>
      <c r="D1801">
        <v>3.9695260000000001</v>
      </c>
      <c r="E1801">
        <v>0.51594620000000002</v>
      </c>
      <c r="F1801" t="s">
        <v>50</v>
      </c>
      <c r="G1801">
        <v>-400.2364</v>
      </c>
      <c r="H1801" s="1">
        <v>8.3323990000000007E-6</v>
      </c>
      <c r="I1801">
        <v>284.447</v>
      </c>
      <c r="J1801">
        <v>-380.78190000000001</v>
      </c>
      <c r="K1801">
        <v>1.110973</v>
      </c>
      <c r="L1801">
        <v>285.25630000000001</v>
      </c>
      <c r="M1801">
        <v>-0.99983869999999997</v>
      </c>
      <c r="N1801">
        <v>-1.412334E-2</v>
      </c>
      <c r="O1801">
        <v>1.110157E-2</v>
      </c>
      <c r="P1801">
        <v>-0.93141980000000002</v>
      </c>
      <c r="Q1801">
        <v>0.36096309999999998</v>
      </c>
      <c r="R1801">
        <v>-4.6506840000000001E-2</v>
      </c>
      <c r="S1801">
        <v>-3.2859189999999998</v>
      </c>
      <c r="T1801">
        <v>-0.18484410000000001</v>
      </c>
      <c r="U1801">
        <v>-0.1340942</v>
      </c>
      <c r="V1801">
        <v>-5.67386E-2</v>
      </c>
      <c r="W1801">
        <v>0.37409019999999998</v>
      </c>
      <c r="X1801">
        <v>0.92565509999999995</v>
      </c>
      <c r="Y1801">
        <v>-5.1753639999999997E-2</v>
      </c>
      <c r="Z1801">
        <v>-2.2870439999999998E-3</v>
      </c>
      <c r="AA1801">
        <v>0.99865729999999997</v>
      </c>
      <c r="AB1801">
        <v>28</v>
      </c>
      <c r="AC1801">
        <v>-19.454499999999999</v>
      </c>
      <c r="AD1801">
        <v>-1.1109646676010001</v>
      </c>
      <c r="AE1801">
        <v>-0.80930000000000701</v>
      </c>
      <c r="AF1801">
        <v>-1.0219203409956099</v>
      </c>
      <c r="AG1801">
        <v>-1.1109646676010001</v>
      </c>
      <c r="AH1801">
        <v>19.381221129279002</v>
      </c>
      <c r="AI1801">
        <v>93.276160724049205</v>
      </c>
      <c r="AJ1801">
        <v>93.018259333424396</v>
      </c>
      <c r="AK1801">
        <v>19.439915023939999</v>
      </c>
      <c r="AL1801">
        <v>68.031908474045395</v>
      </c>
      <c r="AM1801">
        <v>93.507591667018005</v>
      </c>
      <c r="AN1801">
        <v>1.000000055311</v>
      </c>
    </row>
    <row r="1802" spans="1:40" x14ac:dyDescent="0.25">
      <c r="A1802" t="str">
        <f>"20190304164633930"</f>
        <v>20190304164633930</v>
      </c>
      <c r="B1802" t="str">
        <f>"1551689193920474"</f>
        <v>1551689193920474</v>
      </c>
      <c r="C1802" t="s">
        <v>40</v>
      </c>
      <c r="D1802">
        <v>3.9488590000000001</v>
      </c>
      <c r="E1802">
        <v>0.51569770000000004</v>
      </c>
      <c r="F1802" t="s">
        <v>50</v>
      </c>
      <c r="G1802">
        <v>-400.12939999999998</v>
      </c>
      <c r="H1802" s="1">
        <v>8.3858339999999999E-6</v>
      </c>
      <c r="I1802">
        <v>284.41809999999998</v>
      </c>
      <c r="J1802">
        <v>-381.05239999999998</v>
      </c>
      <c r="K1802">
        <v>1.110981</v>
      </c>
      <c r="L1802">
        <v>285.2595</v>
      </c>
      <c r="M1802">
        <v>-0.99983750000000005</v>
      </c>
      <c r="N1802">
        <v>-1.412074E-2</v>
      </c>
      <c r="O1802">
        <v>1.122532E-2</v>
      </c>
      <c r="P1802">
        <v>-0.93128040000000001</v>
      </c>
      <c r="Q1802">
        <v>0.3614289</v>
      </c>
      <c r="R1802">
        <v>-4.5678499999999997E-2</v>
      </c>
      <c r="S1802">
        <v>-3.2869259999999998</v>
      </c>
      <c r="T1802">
        <v>-0.18874079999999999</v>
      </c>
      <c r="U1802">
        <v>-0.14239499999999999</v>
      </c>
      <c r="V1802">
        <v>-5.6023789999999997E-2</v>
      </c>
      <c r="W1802">
        <v>0.37455090000000002</v>
      </c>
      <c r="X1802">
        <v>0.92551229999999995</v>
      </c>
      <c r="Y1802">
        <v>-5.4372259999999999E-2</v>
      </c>
      <c r="Z1802">
        <v>-2.4289759999999998E-3</v>
      </c>
      <c r="AA1802">
        <v>0.99851780000000001</v>
      </c>
      <c r="AB1802">
        <v>28</v>
      </c>
      <c r="AC1802">
        <v>-19.077000000000002</v>
      </c>
      <c r="AD1802">
        <v>-1.1109726141659999</v>
      </c>
      <c r="AE1802">
        <v>-0.84140000000002102</v>
      </c>
      <c r="AF1802">
        <v>-1.05195298435444</v>
      </c>
      <c r="AG1802">
        <v>-1.1109726141659999</v>
      </c>
      <c r="AH1802">
        <v>19.002032383376299</v>
      </c>
      <c r="AI1802">
        <v>93.3409412987628</v>
      </c>
      <c r="AJ1802">
        <v>93.168661384116902</v>
      </c>
      <c r="AK1802">
        <v>19.0635280032213</v>
      </c>
      <c r="AL1802">
        <v>68.003442245054998</v>
      </c>
      <c r="AM1802">
        <v>93.464043318694195</v>
      </c>
      <c r="AN1802">
        <v>1.0000000295940299</v>
      </c>
    </row>
    <row r="1803" spans="1:40" x14ac:dyDescent="0.25">
      <c r="A1803" t="str">
        <f>"20190304164633952"</f>
        <v>20190304164633952</v>
      </c>
      <c r="B1803" t="str">
        <f>"1551689193939993"</f>
        <v>1551689193939993</v>
      </c>
      <c r="C1803" t="s">
        <v>40</v>
      </c>
      <c r="D1803">
        <v>3.9709150000000002</v>
      </c>
      <c r="E1803">
        <v>0.51581309999999903</v>
      </c>
      <c r="F1803" t="s">
        <v>50</v>
      </c>
      <c r="G1803">
        <v>-400.90890000000002</v>
      </c>
      <c r="H1803" s="1">
        <v>8.0450399999999995E-6</v>
      </c>
      <c r="I1803">
        <v>284.39449999999999</v>
      </c>
      <c r="J1803">
        <v>-381.33620000000002</v>
      </c>
      <c r="K1803">
        <v>1.110975</v>
      </c>
      <c r="L1803">
        <v>285.26280000000003</v>
      </c>
      <c r="M1803">
        <v>-0.99983599999999995</v>
      </c>
      <c r="N1803">
        <v>-1.4117869999999999E-2</v>
      </c>
      <c r="O1803">
        <v>1.135742E-2</v>
      </c>
      <c r="P1803">
        <v>-0.93124580000000001</v>
      </c>
      <c r="Q1803">
        <v>0.36162749999999999</v>
      </c>
      <c r="R1803">
        <v>-4.4801239999999999E-2</v>
      </c>
      <c r="S1803">
        <v>-3.2856749999999999</v>
      </c>
      <c r="T1803">
        <v>-0.18383360000000001</v>
      </c>
      <c r="U1803">
        <v>-0.14312739999999999</v>
      </c>
      <c r="V1803">
        <v>-5.5269260000000001E-2</v>
      </c>
      <c r="W1803">
        <v>0.37474639999999998</v>
      </c>
      <c r="X1803">
        <v>0.92547849999999998</v>
      </c>
      <c r="Y1803">
        <v>-5.4747740000000003E-2</v>
      </c>
      <c r="Z1803">
        <v>-2.3911959999999999E-3</v>
      </c>
      <c r="AA1803">
        <v>0.99849739999999998</v>
      </c>
      <c r="AB1803">
        <v>28</v>
      </c>
      <c r="AC1803">
        <v>-19.572700000000001</v>
      </c>
      <c r="AD1803">
        <v>-1.1109669549600001</v>
      </c>
      <c r="AE1803">
        <v>-0.86830000000003305</v>
      </c>
      <c r="AF1803">
        <v>-1.08706603169952</v>
      </c>
      <c r="AG1803">
        <v>-1.1109669549600001</v>
      </c>
      <c r="AH1803">
        <v>19.4988763203792</v>
      </c>
      <c r="AI1803">
        <v>93.255910750835099</v>
      </c>
      <c r="AJ1803">
        <v>93.190947337206595</v>
      </c>
      <c r="AK1803">
        <v>19.560729482555899</v>
      </c>
      <c r="AL1803">
        <v>67.991360429156003</v>
      </c>
      <c r="AM1803">
        <v>93.417625328917595</v>
      </c>
      <c r="AN1803">
        <v>1.0000000046880699</v>
      </c>
    </row>
    <row r="1804" spans="1:40" x14ac:dyDescent="0.25">
      <c r="A1804" t="str">
        <f>"20190304164633986"</f>
        <v>20190304164633986</v>
      </c>
      <c r="B1804" t="str">
        <f>"1551689193980010"</f>
        <v>1551689193980010</v>
      </c>
      <c r="C1804" t="s">
        <v>40</v>
      </c>
      <c r="D1804">
        <v>3.9597790000000002</v>
      </c>
      <c r="E1804">
        <v>0.51598270000000002</v>
      </c>
      <c r="F1804" t="s">
        <v>50</v>
      </c>
      <c r="G1804">
        <v>-401.04930000000002</v>
      </c>
      <c r="H1804" s="1">
        <v>7.9762119999999995E-6</v>
      </c>
      <c r="I1804">
        <v>284.42630000000003</v>
      </c>
      <c r="J1804">
        <v>-381.75970000000001</v>
      </c>
      <c r="K1804">
        <v>1.1109800000000001</v>
      </c>
      <c r="L1804">
        <v>285.2679</v>
      </c>
      <c r="M1804">
        <v>-0.99983370000000005</v>
      </c>
      <c r="N1804">
        <v>-1.411336E-2</v>
      </c>
      <c r="O1804">
        <v>1.155689E-2</v>
      </c>
      <c r="P1804">
        <v>-0.93135860000000004</v>
      </c>
      <c r="Q1804">
        <v>0.36146299999999998</v>
      </c>
      <c r="R1804">
        <v>-4.3767060000000003E-2</v>
      </c>
      <c r="S1804">
        <v>-3.2867130000000002</v>
      </c>
      <c r="T1804">
        <v>-0.18522910000000001</v>
      </c>
      <c r="U1804">
        <v>-0.13946529999999999</v>
      </c>
      <c r="V1804">
        <v>-5.4421509999999999E-2</v>
      </c>
      <c r="W1804">
        <v>0.37457879999999999</v>
      </c>
      <c r="X1804">
        <v>0.92559659999999999</v>
      </c>
      <c r="Y1804">
        <v>-5.3822780000000001E-2</v>
      </c>
      <c r="Z1804">
        <v>-2.3827319999999998E-3</v>
      </c>
      <c r="AA1804">
        <v>0.99854770000000004</v>
      </c>
      <c r="AB1804">
        <v>28</v>
      </c>
      <c r="AC1804">
        <v>-19.2896</v>
      </c>
      <c r="AD1804">
        <v>-1.1109720237880001</v>
      </c>
      <c r="AE1804">
        <v>-0.84159999999997104</v>
      </c>
      <c r="AF1804">
        <v>-1.06098105166971</v>
      </c>
      <c r="AG1804">
        <v>-1.1109720237880001</v>
      </c>
      <c r="AH1804">
        <v>19.2149672270791</v>
      </c>
      <c r="AI1804">
        <v>93.304024759292702</v>
      </c>
      <c r="AJ1804">
        <v>93.160456579128393</v>
      </c>
      <c r="AK1804">
        <v>19.276278301771999</v>
      </c>
      <c r="AL1804">
        <v>68.001718007617001</v>
      </c>
      <c r="AM1804">
        <v>93.364896942562396</v>
      </c>
      <c r="AN1804">
        <v>1.0000000220458301</v>
      </c>
    </row>
    <row r="1805" spans="1:40" x14ac:dyDescent="0.25">
      <c r="A1805" t="str">
        <f>"20190304164634007"</f>
        <v>20190304164634007</v>
      </c>
      <c r="B1805" t="str">
        <f>"1551689194000037"</f>
        <v>1551689194000037</v>
      </c>
      <c r="C1805" t="s">
        <v>40</v>
      </c>
      <c r="D1805">
        <v>3.9833280000000002</v>
      </c>
      <c r="E1805">
        <v>0.51603399999999999</v>
      </c>
      <c r="F1805" t="s">
        <v>50</v>
      </c>
      <c r="G1805">
        <v>-401.47120000000001</v>
      </c>
      <c r="H1805" s="1">
        <v>7.7802099999999995E-6</v>
      </c>
      <c r="I1805">
        <v>284.46929999999998</v>
      </c>
      <c r="J1805">
        <v>-382.04140000000001</v>
      </c>
      <c r="K1805">
        <v>1.1109770000000001</v>
      </c>
      <c r="L1805">
        <v>285.27120000000002</v>
      </c>
      <c r="M1805">
        <v>-0.99983219999999995</v>
      </c>
      <c r="N1805">
        <v>-1.41104E-2</v>
      </c>
      <c r="O1805">
        <v>1.168983E-2</v>
      </c>
      <c r="P1805">
        <v>-0.93141479999999999</v>
      </c>
      <c r="Q1805">
        <v>0.36137599999999998</v>
      </c>
      <c r="R1805">
        <v>-4.3289599999999998E-2</v>
      </c>
      <c r="S1805">
        <v>-3.2867739999999999</v>
      </c>
      <c r="T1805">
        <v>-0.1852483</v>
      </c>
      <c r="U1805">
        <v>-0.13314819999999999</v>
      </c>
      <c r="V1805">
        <v>-5.4068289999999998E-2</v>
      </c>
      <c r="W1805">
        <v>0.37448989999999999</v>
      </c>
      <c r="X1805">
        <v>0.92565319999999995</v>
      </c>
      <c r="Y1805">
        <v>-5.2042169999999999E-2</v>
      </c>
      <c r="Z1805">
        <v>-2.3258430000000002E-3</v>
      </c>
      <c r="AA1805">
        <v>0.99864219999999904</v>
      </c>
      <c r="AB1805">
        <v>28</v>
      </c>
      <c r="AC1805">
        <v>-19.4298</v>
      </c>
      <c r="AD1805">
        <v>-1.1109692197900001</v>
      </c>
      <c r="AE1805">
        <v>-0.80190000000004502</v>
      </c>
      <c r="AF1805">
        <v>-1.0256512921474401</v>
      </c>
      <c r="AG1805">
        <v>-1.1109692197900001</v>
      </c>
      <c r="AH1805">
        <v>19.355922573632601</v>
      </c>
      <c r="AI1805">
        <v>93.280401646815406</v>
      </c>
      <c r="AJ1805">
        <v>93.033210184697495</v>
      </c>
      <c r="AK1805">
        <v>19.414889952221301</v>
      </c>
      <c r="AL1805">
        <v>68.007209923507801</v>
      </c>
      <c r="AM1805">
        <v>93.342902995201499</v>
      </c>
      <c r="AN1805">
        <v>0.99999995592788604</v>
      </c>
    </row>
    <row r="1806" spans="1:40" x14ac:dyDescent="0.25">
      <c r="A1806" t="str">
        <f>"20190304164634029"</f>
        <v>20190304164634029</v>
      </c>
      <c r="B1806" t="str">
        <f>"1551689194019558"</f>
        <v>1551689194019558</v>
      </c>
      <c r="C1806" t="s">
        <v>40</v>
      </c>
      <c r="D1806">
        <v>3.9947759999999999</v>
      </c>
      <c r="E1806">
        <v>0.51607919999999996</v>
      </c>
      <c r="F1806" t="s">
        <v>50</v>
      </c>
      <c r="G1806">
        <v>-401.71140000000003</v>
      </c>
      <c r="H1806" s="1">
        <v>7.6704239999999993E-6</v>
      </c>
      <c r="I1806">
        <v>284.48520000000002</v>
      </c>
      <c r="J1806">
        <v>-382.31139999999999</v>
      </c>
      <c r="K1806">
        <v>1.110973</v>
      </c>
      <c r="L1806">
        <v>285.27449999999999</v>
      </c>
      <c r="M1806">
        <v>-0.99983069999999996</v>
      </c>
      <c r="N1806">
        <v>-1.4107639999999999E-2</v>
      </c>
      <c r="O1806">
        <v>1.18177E-2</v>
      </c>
      <c r="P1806">
        <v>-0.93139439999999996</v>
      </c>
      <c r="Q1806">
        <v>0.36145169999999999</v>
      </c>
      <c r="R1806">
        <v>-4.310046E-2</v>
      </c>
      <c r="S1806">
        <v>-3.286835</v>
      </c>
      <c r="T1806">
        <v>-0.18564140000000001</v>
      </c>
      <c r="U1806">
        <v>-0.13134770000000001</v>
      </c>
      <c r="V1806">
        <v>-5.3997280000000002E-2</v>
      </c>
      <c r="W1806">
        <v>0.37456329999999999</v>
      </c>
      <c r="X1806">
        <v>0.92562770000000005</v>
      </c>
      <c r="Y1806">
        <v>-5.1623229999999999E-2</v>
      </c>
      <c r="Z1806">
        <v>-2.3209160000000001E-3</v>
      </c>
      <c r="AA1806">
        <v>0.998664</v>
      </c>
      <c r="AB1806">
        <v>28</v>
      </c>
      <c r="AC1806">
        <v>-19.399999999999999</v>
      </c>
      <c r="AD1806">
        <v>-1.110965329576</v>
      </c>
      <c r="AE1806">
        <v>-0.78929999999996803</v>
      </c>
      <c r="AF1806">
        <v>-1.0152072632417</v>
      </c>
      <c r="AG1806">
        <v>-1.110965329576</v>
      </c>
      <c r="AH1806">
        <v>19.326042813563799</v>
      </c>
      <c r="AI1806">
        <v>93.285529935347697</v>
      </c>
      <c r="AJ1806">
        <v>93.007013763658193</v>
      </c>
      <c r="AK1806">
        <v>19.384551080243298</v>
      </c>
      <c r="AL1806">
        <v>68.002675439422205</v>
      </c>
      <c r="AM1806">
        <v>93.338614331600297</v>
      </c>
      <c r="AN1806">
        <v>1.0000000054807801</v>
      </c>
    </row>
    <row r="1807" spans="1:40" x14ac:dyDescent="0.25">
      <c r="A1807" t="str">
        <f>"20190304164634051"</f>
        <v>20190304164634051</v>
      </c>
      <c r="B1807" t="str">
        <f>"1551689194040054"</f>
        <v>1551689194040054</v>
      </c>
      <c r="C1807" t="s">
        <v>40</v>
      </c>
      <c r="D1807">
        <v>4.0090680000000001</v>
      </c>
      <c r="E1807">
        <v>0.51618929999999996</v>
      </c>
      <c r="F1807" t="s">
        <v>50</v>
      </c>
      <c r="G1807">
        <v>-401.99759999999998</v>
      </c>
      <c r="H1807" s="1">
        <v>7.5429740000000002E-6</v>
      </c>
      <c r="I1807">
        <v>284.48770000000002</v>
      </c>
      <c r="J1807">
        <v>-382.59059999999999</v>
      </c>
      <c r="K1807">
        <v>1.110973</v>
      </c>
      <c r="L1807">
        <v>285.27800000000002</v>
      </c>
      <c r="M1807">
        <v>-0.99982919999999997</v>
      </c>
      <c r="N1807">
        <v>-1.4104729999999999E-2</v>
      </c>
      <c r="O1807">
        <v>1.1950809999999999E-2</v>
      </c>
      <c r="P1807">
        <v>-0.93138350000000003</v>
      </c>
      <c r="Q1807">
        <v>0.36144890000000002</v>
      </c>
      <c r="R1807">
        <v>-4.3356510000000001E-2</v>
      </c>
      <c r="S1807">
        <v>-3.2869259999999998</v>
      </c>
      <c r="T1807">
        <v>-0.1854932</v>
      </c>
      <c r="U1807">
        <v>-0.1313782</v>
      </c>
      <c r="V1807">
        <v>-5.4377439999999999E-2</v>
      </c>
      <c r="W1807">
        <v>0.37455709999999998</v>
      </c>
      <c r="X1807">
        <v>0.92560790000000004</v>
      </c>
      <c r="Y1807">
        <v>-5.1764099999999903E-2</v>
      </c>
      <c r="Z1807">
        <v>-2.3297159999999999E-3</v>
      </c>
      <c r="AA1807">
        <v>0.99865660000000001</v>
      </c>
      <c r="AB1807">
        <v>28</v>
      </c>
      <c r="AC1807">
        <v>-19.406999999999901</v>
      </c>
      <c r="AD1807">
        <v>-1.1109654570259999</v>
      </c>
      <c r="AE1807">
        <v>-0.790300000000002</v>
      </c>
      <c r="AF1807">
        <v>-1.0188626261722999</v>
      </c>
      <c r="AG1807">
        <v>-1.1109654570259999</v>
      </c>
      <c r="AH1807">
        <v>19.332917909705301</v>
      </c>
      <c r="AI1807">
        <v>93.2843351824216</v>
      </c>
      <c r="AJ1807">
        <v>93.016749659616707</v>
      </c>
      <c r="AK1807">
        <v>19.391597154466702</v>
      </c>
      <c r="AL1807">
        <v>68.0030574147913</v>
      </c>
      <c r="AM1807">
        <v>93.362137383903104</v>
      </c>
      <c r="AN1807">
        <v>0.99999995584188495</v>
      </c>
    </row>
    <row r="1808" spans="1:40" x14ac:dyDescent="0.25">
      <c r="A1808" t="str">
        <f>"20190304164634075"</f>
        <v>20190304164634075</v>
      </c>
      <c r="B1808" t="str">
        <f>"1551689194070310"</f>
        <v>1551689194070310</v>
      </c>
      <c r="C1808" t="s">
        <v>40</v>
      </c>
      <c r="D1808">
        <v>3.959727</v>
      </c>
      <c r="E1808">
        <v>0.51629199999999997</v>
      </c>
      <c r="F1808" t="s">
        <v>50</v>
      </c>
      <c r="G1808">
        <v>-402.28910000000002</v>
      </c>
      <c r="H1808" s="1">
        <v>7.4143849999999902E-6</v>
      </c>
      <c r="I1808">
        <v>284.48439999999999</v>
      </c>
      <c r="J1808">
        <v>-382.87209999999999</v>
      </c>
      <c r="K1808">
        <v>1.1109739999999999</v>
      </c>
      <c r="L1808">
        <v>285.28149999999999</v>
      </c>
      <c r="M1808">
        <v>-0.99982749999999998</v>
      </c>
      <c r="N1808">
        <v>-1.410175E-2</v>
      </c>
      <c r="O1808">
        <v>1.2084869999999999E-2</v>
      </c>
      <c r="P1808">
        <v>-0.9313671</v>
      </c>
      <c r="Q1808">
        <v>0.36145310000000003</v>
      </c>
      <c r="R1808">
        <v>-4.367103E-2</v>
      </c>
      <c r="S1808">
        <v>-3.2867739999999999</v>
      </c>
      <c r="T1808">
        <v>-0.18536939999999999</v>
      </c>
      <c r="U1808">
        <v>-0.1324158</v>
      </c>
      <c r="V1808">
        <v>-5.481656E-2</v>
      </c>
      <c r="W1808">
        <v>0.37455840000000001</v>
      </c>
      <c r="X1808">
        <v>0.92558149999999995</v>
      </c>
      <c r="Y1808">
        <v>-5.221373E-2</v>
      </c>
      <c r="Z1808">
        <v>-2.3498439999999998E-3</v>
      </c>
      <c r="AA1808">
        <v>0.99863310000000005</v>
      </c>
      <c r="AB1808">
        <v>28</v>
      </c>
      <c r="AC1808">
        <v>-19.417000000000002</v>
      </c>
      <c r="AD1808">
        <v>-1.1109665856149999</v>
      </c>
      <c r="AE1808">
        <v>-0.79710000000000003</v>
      </c>
      <c r="AF1808">
        <v>-1.02835618697688</v>
      </c>
      <c r="AG1808">
        <v>-1.1109665856149999</v>
      </c>
      <c r="AH1808">
        <v>19.342732386399099</v>
      </c>
      <c r="AI1808">
        <v>93.282595452938097</v>
      </c>
      <c r="AJ1808">
        <v>93.043264462783497</v>
      </c>
      <c r="AK1808">
        <v>19.401882882171499</v>
      </c>
      <c r="AL1808">
        <v>68.002977680896507</v>
      </c>
      <c r="AM1808">
        <v>93.389321420163597</v>
      </c>
      <c r="AN1808">
        <v>0.99999998170152105</v>
      </c>
    </row>
    <row r="1809" spans="1:40" x14ac:dyDescent="0.25">
      <c r="A1809" t="str">
        <f>"20190304164634098"</f>
        <v>20190304164634098</v>
      </c>
      <c r="B1809" t="str">
        <f>"1551689194090338"</f>
        <v>1551689194090338</v>
      </c>
      <c r="C1809" t="s">
        <v>40</v>
      </c>
      <c r="D1809">
        <v>3.972861</v>
      </c>
      <c r="E1809">
        <v>0.51635379999999997</v>
      </c>
      <c r="F1809" t="s">
        <v>50</v>
      </c>
      <c r="G1809">
        <v>-402.69990000000001</v>
      </c>
      <c r="H1809" s="1">
        <v>7.2331350000000002E-6</v>
      </c>
      <c r="I1809">
        <v>284.48</v>
      </c>
      <c r="J1809">
        <v>-383.16199999999998</v>
      </c>
      <c r="K1809">
        <v>1.1109770000000001</v>
      </c>
      <c r="L1809">
        <v>285.28519999999997</v>
      </c>
      <c r="M1809">
        <v>-0.99982590000000005</v>
      </c>
      <c r="N1809">
        <v>-1.4098670000000001E-2</v>
      </c>
      <c r="O1809">
        <v>1.222257E-2</v>
      </c>
      <c r="P1809">
        <v>-0.93139300000000003</v>
      </c>
      <c r="Q1809">
        <v>0.36136160000000001</v>
      </c>
      <c r="R1809">
        <v>-4.3876680000000001E-2</v>
      </c>
      <c r="S1809">
        <v>-3.286346</v>
      </c>
      <c r="T1809">
        <v>-0.18413650000000001</v>
      </c>
      <c r="U1809">
        <v>-0.13284299999999999</v>
      </c>
      <c r="V1809">
        <v>-5.5151159999999998E-2</v>
      </c>
      <c r="W1809">
        <v>0.37446430000000003</v>
      </c>
      <c r="X1809">
        <v>0.92559970000000003</v>
      </c>
      <c r="Y1809">
        <v>-5.248684E-2</v>
      </c>
      <c r="Z1809">
        <v>-2.3511199999999999E-3</v>
      </c>
      <c r="AA1809">
        <v>0.99861880000000003</v>
      </c>
      <c r="AB1809">
        <v>28</v>
      </c>
      <c r="AC1809">
        <v>-19.5379</v>
      </c>
      <c r="AD1809">
        <v>-1.110969766865</v>
      </c>
      <c r="AE1809">
        <v>-0.80519999999995595</v>
      </c>
      <c r="AF1809">
        <v>-1.0406080153281201</v>
      </c>
      <c r="AG1809">
        <v>-1.110969766865</v>
      </c>
      <c r="AH1809">
        <v>19.463771768204001</v>
      </c>
      <c r="AI1809">
        <v>93.262183802072997</v>
      </c>
      <c r="AJ1809">
        <v>93.060338840084697</v>
      </c>
      <c r="AK1809">
        <v>19.523204918998101</v>
      </c>
      <c r="AL1809">
        <v>68.008792437583594</v>
      </c>
      <c r="AM1809">
        <v>93.409894258406695</v>
      </c>
      <c r="AN1809">
        <v>0.99999998353196196</v>
      </c>
    </row>
    <row r="1810" spans="1:40" x14ac:dyDescent="0.25">
      <c r="A1810" t="str">
        <f>"20190304164634119"</f>
        <v>20190304164634119</v>
      </c>
      <c r="B1810" t="str">
        <f>"1551689194109858"</f>
        <v>1551689194109858</v>
      </c>
      <c r="C1810" t="s">
        <v>40</v>
      </c>
      <c r="D1810">
        <v>3.968801</v>
      </c>
      <c r="E1810">
        <v>0.51633809999999902</v>
      </c>
      <c r="F1810" t="s">
        <v>50</v>
      </c>
      <c r="G1810">
        <v>-403.04610000000002</v>
      </c>
      <c r="H1810" s="1">
        <v>7.0793470000000004E-6</v>
      </c>
      <c r="I1810">
        <v>284.48129999999998</v>
      </c>
      <c r="J1810">
        <v>-383.43259999999998</v>
      </c>
      <c r="K1810">
        <v>1.1109849999999999</v>
      </c>
      <c r="L1810">
        <v>285.28859999999997</v>
      </c>
      <c r="M1810">
        <v>-0.9998245</v>
      </c>
      <c r="N1810">
        <v>-1.409587E-2</v>
      </c>
      <c r="O1810">
        <v>1.235061E-2</v>
      </c>
      <c r="P1810">
        <v>-0.93148949999999997</v>
      </c>
      <c r="Q1810">
        <v>0.36113699999999999</v>
      </c>
      <c r="R1810">
        <v>-4.3672839999999997E-2</v>
      </c>
      <c r="S1810">
        <v>-3.2859500000000001</v>
      </c>
      <c r="T1810">
        <v>-0.18359400000000001</v>
      </c>
      <c r="U1810">
        <v>-0.13284299999999999</v>
      </c>
      <c r="V1810">
        <v>-5.5067850000000002E-2</v>
      </c>
      <c r="W1810">
        <v>0.37423879999999998</v>
      </c>
      <c r="X1810">
        <v>0.92569590000000002</v>
      </c>
      <c r="Y1810">
        <v>-5.2619829999999999E-2</v>
      </c>
      <c r="Z1810">
        <v>-2.3549959999999998E-3</v>
      </c>
      <c r="AA1810">
        <v>0.9986119</v>
      </c>
      <c r="AB1810">
        <v>28</v>
      </c>
      <c r="AC1810">
        <v>-19.613499999999998</v>
      </c>
      <c r="AD1810">
        <v>-1.1109779206529999</v>
      </c>
      <c r="AE1810">
        <v>-0.80729999999999702</v>
      </c>
      <c r="AF1810">
        <v>-1.04615025499734</v>
      </c>
      <c r="AG1810">
        <v>-1.1109779206529999</v>
      </c>
      <c r="AH1810">
        <v>19.539446031196899</v>
      </c>
      <c r="AI1810">
        <v>93.249587378582802</v>
      </c>
      <c r="AJ1810">
        <v>93.064714237712707</v>
      </c>
      <c r="AK1810">
        <v>19.598945214022699</v>
      </c>
      <c r="AL1810">
        <v>68.022726694655304</v>
      </c>
      <c r="AM1810">
        <v>93.404402485608003</v>
      </c>
      <c r="AN1810">
        <v>1.00000002340293</v>
      </c>
    </row>
    <row r="1811" spans="1:40" x14ac:dyDescent="0.25">
      <c r="A1811" t="str">
        <f>"20190304164634143"</f>
        <v>20190304164634143</v>
      </c>
      <c r="B1811" t="str">
        <f>"1551689194130355"</f>
        <v>1551689194130355</v>
      </c>
      <c r="C1811" t="s">
        <v>40</v>
      </c>
      <c r="D1811">
        <v>3.969878</v>
      </c>
      <c r="E1811">
        <v>0.51530730000000002</v>
      </c>
      <c r="F1811" t="s">
        <v>50</v>
      </c>
      <c r="G1811">
        <v>-403.35160000000002</v>
      </c>
      <c r="H1811" s="1">
        <v>6.9420499999999999E-6</v>
      </c>
      <c r="I1811">
        <v>284.49009999999998</v>
      </c>
      <c r="J1811">
        <v>-383.7217</v>
      </c>
      <c r="K1811">
        <v>1.1109880000000001</v>
      </c>
      <c r="L1811">
        <v>285.29239999999999</v>
      </c>
      <c r="M1811">
        <v>-0.99982269999999895</v>
      </c>
      <c r="N1811">
        <v>-1.4092729999999999E-2</v>
      </c>
      <c r="O1811">
        <v>1.2487359999999999E-2</v>
      </c>
      <c r="P1811">
        <v>-0.93109549999999996</v>
      </c>
      <c r="Q1811">
        <v>0.36217729999999998</v>
      </c>
      <c r="R1811">
        <v>-4.3462059999999997E-2</v>
      </c>
      <c r="S1811">
        <v>-3.2855219999999998</v>
      </c>
      <c r="T1811">
        <v>-0.18325</v>
      </c>
      <c r="U1811">
        <v>-0.13171389999999999</v>
      </c>
      <c r="V1811">
        <v>-5.4979559999999997E-2</v>
      </c>
      <c r="W1811">
        <v>0.3752702</v>
      </c>
      <c r="X1811">
        <v>0.92528350000000004</v>
      </c>
      <c r="Y1811">
        <v>-5.241966E-2</v>
      </c>
      <c r="Z1811">
        <v>-2.3499089999999999E-3</v>
      </c>
      <c r="AA1811">
        <v>0.99862240000000002</v>
      </c>
      <c r="AB1811">
        <v>28</v>
      </c>
      <c r="AC1811">
        <v>-19.629899999999999</v>
      </c>
      <c r="AD1811">
        <v>-1.1109810579499999</v>
      </c>
      <c r="AE1811">
        <v>-0.80230000000000201</v>
      </c>
      <c r="AF1811">
        <v>-1.04404874252005</v>
      </c>
      <c r="AG1811">
        <v>-1.1109810579499999</v>
      </c>
      <c r="AH1811">
        <v>19.5558138253799</v>
      </c>
      <c r="AI1811">
        <v>93.246908816908302</v>
      </c>
      <c r="AJ1811">
        <v>93.056014421214101</v>
      </c>
      <c r="AK1811">
        <v>19.615151568642101</v>
      </c>
      <c r="AL1811">
        <v>67.958986524963706</v>
      </c>
      <c r="AM1811">
        <v>93.400468397015402</v>
      </c>
      <c r="AN1811">
        <v>1.00000001519904</v>
      </c>
    </row>
    <row r="1812" spans="1:40" x14ac:dyDescent="0.25">
      <c r="A1812" t="str">
        <f>"20190304164634167"</f>
        <v>20190304164634167</v>
      </c>
      <c r="B1812" t="str">
        <f>"1551689194159634"</f>
        <v>1551689194159634</v>
      </c>
      <c r="C1812" t="s">
        <v>40</v>
      </c>
      <c r="D1812">
        <v>3.963441</v>
      </c>
      <c r="E1812">
        <v>0.51355589999999995</v>
      </c>
      <c r="F1812" t="s">
        <v>50</v>
      </c>
      <c r="G1812">
        <v>-404.04320000000001</v>
      </c>
      <c r="H1812" s="1">
        <v>6.6487159999999898E-6</v>
      </c>
      <c r="I1812">
        <v>284.42540000000002</v>
      </c>
      <c r="J1812">
        <v>-384.01530000000002</v>
      </c>
      <c r="K1812">
        <v>1.110989</v>
      </c>
      <c r="L1812">
        <v>285.2962</v>
      </c>
      <c r="M1812">
        <v>-0.99982099999999996</v>
      </c>
      <c r="N1812">
        <v>-1.4089519999999999E-2</v>
      </c>
      <c r="O1812">
        <v>1.2626190000000001E-2</v>
      </c>
      <c r="P1812">
        <v>-0.93112209999999995</v>
      </c>
      <c r="Q1812">
        <v>0.36222529999999997</v>
      </c>
      <c r="R1812">
        <v>-4.2481110000000002E-2</v>
      </c>
      <c r="S1812">
        <v>-3.285339</v>
      </c>
      <c r="T1812">
        <v>-0.1796104</v>
      </c>
      <c r="U1812">
        <v>-0.14016719999999999</v>
      </c>
      <c r="V1812">
        <v>-5.4128259999999997E-2</v>
      </c>
      <c r="W1812">
        <v>0.37531520000000002</v>
      </c>
      <c r="X1812">
        <v>0.92531540000000001</v>
      </c>
      <c r="Y1812">
        <v>-5.512446E-2</v>
      </c>
      <c r="Z1812">
        <v>-2.4056889999999999E-3</v>
      </c>
      <c r="AA1812">
        <v>0.99847660000000005</v>
      </c>
      <c r="AB1812">
        <v>28</v>
      </c>
      <c r="AC1812">
        <v>-20.027899999999899</v>
      </c>
      <c r="AD1812">
        <v>-1.110982351284</v>
      </c>
      <c r="AE1812">
        <v>-0.87079999999997404</v>
      </c>
      <c r="AF1812">
        <v>-1.1201912984946201</v>
      </c>
      <c r="AG1812">
        <v>-1.110982351284</v>
      </c>
      <c r="AH1812">
        <v>19.954022279156799</v>
      </c>
      <c r="AI1812">
        <v>93.181773876270796</v>
      </c>
      <c r="AJ1812">
        <v>93.213133450870799</v>
      </c>
      <c r="AK1812">
        <v>20.0162962469877</v>
      </c>
      <c r="AL1812">
        <v>67.956204048237495</v>
      </c>
      <c r="AM1812">
        <v>93.347821311104397</v>
      </c>
      <c r="AN1812">
        <v>0.99999997867941304</v>
      </c>
    </row>
    <row r="1813" spans="1:40" x14ac:dyDescent="0.25">
      <c r="A1813" t="str">
        <f>"20190304164634189"</f>
        <v>20190304164634189</v>
      </c>
      <c r="B1813" t="str">
        <f>"1551689194180130"</f>
        <v>1551689194180130</v>
      </c>
      <c r="C1813" t="s">
        <v>40</v>
      </c>
      <c r="D1813">
        <v>3.9800219999999999</v>
      </c>
      <c r="E1813">
        <v>0.51253159999999998</v>
      </c>
      <c r="F1813" t="s">
        <v>50</v>
      </c>
      <c r="G1813">
        <v>-404.5136</v>
      </c>
      <c r="H1813" s="1">
        <v>6.4564700000000004E-6</v>
      </c>
      <c r="I1813">
        <v>284.34609999999998</v>
      </c>
      <c r="J1813">
        <v>-384.29969999999997</v>
      </c>
      <c r="K1813">
        <v>1.1109910000000001</v>
      </c>
      <c r="L1813">
        <v>285.3</v>
      </c>
      <c r="M1813">
        <v>-0.99981940000000002</v>
      </c>
      <c r="N1813">
        <v>-1.4086400000000001E-2</v>
      </c>
      <c r="O1813">
        <v>1.27609E-2</v>
      </c>
      <c r="P1813">
        <v>-0.93108480000000005</v>
      </c>
      <c r="Q1813">
        <v>0.36235089999999998</v>
      </c>
      <c r="R1813">
        <v>-4.2229089999999997E-2</v>
      </c>
      <c r="S1813">
        <v>-3.2842099999999999</v>
      </c>
      <c r="T1813">
        <v>-0.17799949999999901</v>
      </c>
      <c r="U1813">
        <v>-0.15222169999999999</v>
      </c>
      <c r="V1813">
        <v>-5.4001390000000003E-2</v>
      </c>
      <c r="W1813">
        <v>0.37543720000000003</v>
      </c>
      <c r="X1813">
        <v>0.92527340000000002</v>
      </c>
      <c r="Y1813">
        <v>-5.892551E-2</v>
      </c>
      <c r="Z1813">
        <v>-2.521686E-3</v>
      </c>
      <c r="AA1813">
        <v>0.99825920000000001</v>
      </c>
      <c r="AB1813">
        <v>28</v>
      </c>
      <c r="AC1813">
        <v>-20.213899999999999</v>
      </c>
      <c r="AD1813">
        <v>-1.1109845435299901</v>
      </c>
      <c r="AE1813">
        <v>-0.95390000000003194</v>
      </c>
      <c r="AF1813">
        <v>-1.20815402321595</v>
      </c>
      <c r="AG1813">
        <v>-1.1109845435299901</v>
      </c>
      <c r="AH1813">
        <v>20.139378959345301</v>
      </c>
      <c r="AI1813">
        <v>93.151854289646906</v>
      </c>
      <c r="AJ1813">
        <v>93.433038707539694</v>
      </c>
      <c r="AK1813">
        <v>20.2061502436237</v>
      </c>
      <c r="AL1813">
        <v>67.948664191273394</v>
      </c>
      <c r="AM1813">
        <v>93.340143479790598</v>
      </c>
      <c r="AN1813">
        <v>1.00000005300666</v>
      </c>
    </row>
    <row r="1814" spans="1:40" x14ac:dyDescent="0.25">
      <c r="A1814" t="str">
        <f>"20190304164634208"</f>
        <v>20190304164634208</v>
      </c>
      <c r="B1814" t="str">
        <f>"1551689194200157"</f>
        <v>1551689194200157</v>
      </c>
      <c r="C1814" t="s">
        <v>40</v>
      </c>
      <c r="D1814">
        <v>3.9619239999999998</v>
      </c>
      <c r="E1814">
        <v>0.51166829999999996</v>
      </c>
      <c r="F1814" t="s">
        <v>50</v>
      </c>
      <c r="G1814">
        <v>-404.87060000000002</v>
      </c>
      <c r="H1814" s="1">
        <v>6.3077380000000004E-6</v>
      </c>
      <c r="I1814">
        <v>284.29969999999997</v>
      </c>
      <c r="J1814">
        <v>-384.54719999999998</v>
      </c>
      <c r="K1814">
        <v>1.110989</v>
      </c>
      <c r="L1814">
        <v>285.30329999999998</v>
      </c>
      <c r="M1814">
        <v>-0.99981799999999998</v>
      </c>
      <c r="N1814">
        <v>-1.4083709999999999E-2</v>
      </c>
      <c r="O1814">
        <v>1.2877970000000001E-2</v>
      </c>
      <c r="P1814">
        <v>-0.930952</v>
      </c>
      <c r="Q1814">
        <v>0.36271799999999998</v>
      </c>
      <c r="R1814">
        <v>-4.2006080000000001E-2</v>
      </c>
      <c r="S1814">
        <v>-3.2838440000000002</v>
      </c>
      <c r="T1814">
        <v>-0.1773525</v>
      </c>
      <c r="U1814">
        <v>-0.159668</v>
      </c>
      <c r="V1814">
        <v>-5.3885629999999997E-2</v>
      </c>
      <c r="W1814">
        <v>0.37580010000000003</v>
      </c>
      <c r="X1814">
        <v>0.92513279999999998</v>
      </c>
      <c r="Y1814">
        <v>-6.1302229999999999E-2</v>
      </c>
      <c r="Z1814">
        <v>-2.5990359999999999E-3</v>
      </c>
      <c r="AA1814">
        <v>0.9981158</v>
      </c>
      <c r="AB1814">
        <v>28</v>
      </c>
      <c r="AC1814">
        <v>-20.323399999999999</v>
      </c>
      <c r="AD1814">
        <v>-1.1109826922620001</v>
      </c>
      <c r="AE1814">
        <v>-1.0036</v>
      </c>
      <c r="AF1814">
        <v>-1.26150625826679</v>
      </c>
      <c r="AG1814">
        <v>-1.1109826922620001</v>
      </c>
      <c r="AH1814">
        <v>20.248427887803299</v>
      </c>
      <c r="AI1814">
        <v>93.134467977380297</v>
      </c>
      <c r="AJ1814">
        <v>93.565001973739896</v>
      </c>
      <c r="AK1814">
        <v>20.3180833867203</v>
      </c>
      <c r="AL1814">
        <v>67.926228326837204</v>
      </c>
      <c r="AM1814">
        <v>93.333504946449906</v>
      </c>
      <c r="AN1814">
        <v>1.0000000369581701</v>
      </c>
    </row>
    <row r="1815" spans="1:40" x14ac:dyDescent="0.25">
      <c r="A1815" t="str">
        <f>"20190304164634231"</f>
        <v>20190304164634231</v>
      </c>
      <c r="B1815" t="str">
        <f>"1551689194219678"</f>
        <v>1551689194219678</v>
      </c>
      <c r="C1815" t="s">
        <v>40</v>
      </c>
      <c r="D1815">
        <v>3.9371619999999998</v>
      </c>
      <c r="E1815">
        <v>0.51091070000000005</v>
      </c>
      <c r="F1815" t="s">
        <v>50</v>
      </c>
      <c r="G1815">
        <v>-405.327</v>
      </c>
      <c r="H1815" s="1">
        <v>6.1132180000000003E-6</v>
      </c>
      <c r="I1815">
        <v>284.26170000000002</v>
      </c>
      <c r="J1815">
        <v>-384.82339999999999</v>
      </c>
      <c r="K1815">
        <v>1.110992</v>
      </c>
      <c r="L1815">
        <v>285.30689999999998</v>
      </c>
      <c r="M1815">
        <v>-0.99981629999999999</v>
      </c>
      <c r="N1815">
        <v>-1.408073E-2</v>
      </c>
      <c r="O1815">
        <v>1.3008820000000001E-2</v>
      </c>
      <c r="P1815">
        <v>-0.9311469</v>
      </c>
      <c r="Q1815">
        <v>0.36224970000000001</v>
      </c>
      <c r="R1815">
        <v>-4.1721899999999999E-2</v>
      </c>
      <c r="S1815">
        <v>-3.2834469999999998</v>
      </c>
      <c r="T1815">
        <v>-0.17554819999999999</v>
      </c>
      <c r="U1815">
        <v>-0.16458130000000001</v>
      </c>
      <c r="V1815">
        <v>-5.3726360000000001E-2</v>
      </c>
      <c r="W1815">
        <v>0.37533159999999999</v>
      </c>
      <c r="X1815">
        <v>0.92533220000000005</v>
      </c>
      <c r="Y1815">
        <v>-6.2927839999999999E-2</v>
      </c>
      <c r="Z1815">
        <v>-2.635348E-3</v>
      </c>
      <c r="AA1815">
        <v>0.99801459999999997</v>
      </c>
      <c r="AB1815">
        <v>28</v>
      </c>
      <c r="AC1815">
        <v>-20.503599999999999</v>
      </c>
      <c r="AD1815">
        <v>-1.1109858867819999</v>
      </c>
      <c r="AE1815">
        <v>-1.0451999999999599</v>
      </c>
      <c r="AF1815">
        <v>-1.30803516494547</v>
      </c>
      <c r="AG1815">
        <v>-1.1109858867819999</v>
      </c>
      <c r="AH1815">
        <v>20.428443944829201</v>
      </c>
      <c r="AI1815">
        <v>93.106573001436502</v>
      </c>
      <c r="AJ1815">
        <v>93.6636527386772</v>
      </c>
      <c r="AK1815">
        <v>20.500404084807499</v>
      </c>
      <c r="AL1815">
        <v>67.955190919921293</v>
      </c>
      <c r="AM1815">
        <v>93.322959598145005</v>
      </c>
      <c r="AN1815">
        <v>1.0000000060371199</v>
      </c>
    </row>
    <row r="1816" spans="1:40" x14ac:dyDescent="0.25">
      <c r="A1816" t="str">
        <f>"20190304164634253"</f>
        <v>20190304164634253</v>
      </c>
      <c r="B1816" t="str">
        <f>"1551689194249933"</f>
        <v>1551689194249933</v>
      </c>
      <c r="C1816" t="s">
        <v>40</v>
      </c>
      <c r="D1816">
        <v>3.951311</v>
      </c>
      <c r="E1816">
        <v>0.50995249999999903</v>
      </c>
      <c r="F1816" t="s">
        <v>50</v>
      </c>
      <c r="G1816">
        <v>-405.40980000000002</v>
      </c>
      <c r="H1816" s="1">
        <v>6.0808000000000003E-6</v>
      </c>
      <c r="I1816">
        <v>284.24090000000001</v>
      </c>
      <c r="J1816">
        <v>-385.1028</v>
      </c>
      <c r="K1816">
        <v>1.1109910000000001</v>
      </c>
      <c r="L1816">
        <v>285.3107</v>
      </c>
      <c r="M1816">
        <v>-0.9998146</v>
      </c>
      <c r="N1816">
        <v>-1.40777E-2</v>
      </c>
      <c r="O1816">
        <v>1.3141450000000001E-2</v>
      </c>
      <c r="P1816">
        <v>-0.93124709999999999</v>
      </c>
      <c r="Q1816">
        <v>0.36198760000000002</v>
      </c>
      <c r="R1816">
        <v>-4.176328E-2</v>
      </c>
      <c r="S1816">
        <v>-3.283112</v>
      </c>
      <c r="T1816">
        <v>-0.17717910000000001</v>
      </c>
      <c r="U1816">
        <v>-0.17001340000000001</v>
      </c>
      <c r="V1816">
        <v>-5.3892290000000002E-2</v>
      </c>
      <c r="W1816">
        <v>0.3750677</v>
      </c>
      <c r="X1816">
        <v>0.92542950000000002</v>
      </c>
      <c r="Y1816">
        <v>-6.4706710000000001E-2</v>
      </c>
      <c r="Z1816">
        <v>-2.7232599999999999E-3</v>
      </c>
      <c r="AA1816">
        <v>0.99790060000000003</v>
      </c>
      <c r="AB1816">
        <v>28</v>
      </c>
      <c r="AC1816">
        <v>-20.306999999999999</v>
      </c>
      <c r="AD1816">
        <v>-1.1109849192000001</v>
      </c>
      <c r="AE1816">
        <v>-1.0697999999999801</v>
      </c>
      <c r="AF1816">
        <v>-1.3326198015605499</v>
      </c>
      <c r="AG1816">
        <v>-1.1109849192000001</v>
      </c>
      <c r="AH1816">
        <v>20.230800259867799</v>
      </c>
      <c r="AI1816">
        <v>93.136486759288502</v>
      </c>
      <c r="AJ1816">
        <v>93.768676680201494</v>
      </c>
      <c r="AK1816">
        <v>20.3050595217268</v>
      </c>
      <c r="AL1816">
        <v>67.971501878050205</v>
      </c>
      <c r="AM1816">
        <v>93.332849552158706</v>
      </c>
      <c r="AN1816">
        <v>0.99999995898749106</v>
      </c>
    </row>
    <row r="1817" spans="1:40" x14ac:dyDescent="0.25">
      <c r="A1817" t="str">
        <f>"20190304164634277"</f>
        <v>20190304164634277</v>
      </c>
      <c r="B1817" t="str">
        <f>"1551689194270430"</f>
        <v>1551689194270430</v>
      </c>
      <c r="C1817" t="s">
        <v>40</v>
      </c>
      <c r="D1817">
        <v>3.9166859999999999</v>
      </c>
      <c r="E1817">
        <v>0.50938899999999998</v>
      </c>
      <c r="F1817" t="s">
        <v>50</v>
      </c>
      <c r="G1817">
        <v>-405.642</v>
      </c>
      <c r="H1817" s="1">
        <v>5.9858910000000001E-6</v>
      </c>
      <c r="I1817">
        <v>284.20190000000002</v>
      </c>
      <c r="J1817">
        <v>-385.38600000000002</v>
      </c>
      <c r="K1817">
        <v>1.1109849999999999</v>
      </c>
      <c r="L1817">
        <v>285.31459999999998</v>
      </c>
      <c r="M1817">
        <v>-0.99981279999999995</v>
      </c>
      <c r="N1817">
        <v>-1.407461E-2</v>
      </c>
      <c r="O1817">
        <v>1.327563E-2</v>
      </c>
      <c r="P1817">
        <v>-0.93134939999999999</v>
      </c>
      <c r="Q1817">
        <v>0.36173949999999999</v>
      </c>
      <c r="R1817">
        <v>-4.1628159999999997E-2</v>
      </c>
      <c r="S1817">
        <v>-3.282562</v>
      </c>
      <c r="T1817">
        <v>-0.1775571</v>
      </c>
      <c r="U1817">
        <v>-0.1772156</v>
      </c>
      <c r="V1817">
        <v>-5.3884029999999999E-2</v>
      </c>
      <c r="W1817">
        <v>0.3748184</v>
      </c>
      <c r="X1817">
        <v>0.92553099999999999</v>
      </c>
      <c r="Y1817">
        <v>-6.7027519999999993E-2</v>
      </c>
      <c r="Z1817">
        <v>-2.8131330000000002E-3</v>
      </c>
      <c r="AA1817">
        <v>0.99774719999999995</v>
      </c>
      <c r="AB1817">
        <v>28</v>
      </c>
      <c r="AC1817">
        <v>-20.256</v>
      </c>
      <c r="AD1817">
        <v>-1.1109790141089999</v>
      </c>
      <c r="AE1817">
        <v>-1.1126999999999601</v>
      </c>
      <c r="AF1817">
        <v>-1.3774086949808899</v>
      </c>
      <c r="AG1817">
        <v>-1.1109790141089999</v>
      </c>
      <c r="AH1817">
        <v>20.178922043965901</v>
      </c>
      <c r="AI1817">
        <v>93.144017050729602</v>
      </c>
      <c r="AJ1817">
        <v>93.904939694142101</v>
      </c>
      <c r="AK1817">
        <v>20.2563674912175</v>
      </c>
      <c r="AL1817">
        <v>67.986910167336603</v>
      </c>
      <c r="AM1817">
        <v>93.331975258420499</v>
      </c>
      <c r="AN1817">
        <v>0.99999997681429997</v>
      </c>
    </row>
    <row r="1818" spans="1:40" x14ac:dyDescent="0.25">
      <c r="A1818" t="str">
        <f>"20190304164634299"</f>
        <v>20190304164634299</v>
      </c>
      <c r="B1818" t="str">
        <f>"1551689194290455"</f>
        <v>1551689194290455</v>
      </c>
      <c r="C1818" t="s">
        <v>40</v>
      </c>
      <c r="D1818">
        <v>3.9255610000000001</v>
      </c>
      <c r="E1818">
        <v>0.50885239999999998</v>
      </c>
      <c r="F1818" t="s">
        <v>50</v>
      </c>
      <c r="G1818">
        <v>-405.82209999999998</v>
      </c>
      <c r="H1818" s="1">
        <v>5.9101889999999997E-6</v>
      </c>
      <c r="I1818">
        <v>284.18180000000001</v>
      </c>
      <c r="J1818">
        <v>-385.65730000000002</v>
      </c>
      <c r="K1818">
        <v>1.1109819999999999</v>
      </c>
      <c r="L1818">
        <v>285.3184</v>
      </c>
      <c r="M1818">
        <v>-0.99981120000000001</v>
      </c>
      <c r="N1818">
        <v>-1.407167E-2</v>
      </c>
      <c r="O1818">
        <v>1.340409E-2</v>
      </c>
      <c r="P1818">
        <v>-0.9313998</v>
      </c>
      <c r="Q1818">
        <v>0.36159819999999998</v>
      </c>
      <c r="R1818">
        <v>-4.1726609999999997E-2</v>
      </c>
      <c r="S1818">
        <v>-3.282349</v>
      </c>
      <c r="T1818">
        <v>-0.1784405</v>
      </c>
      <c r="U1818">
        <v>-0.18194579999999999</v>
      </c>
      <c r="V1818">
        <v>-5.4103209999999999E-2</v>
      </c>
      <c r="W1818">
        <v>0.37467470000000003</v>
      </c>
      <c r="X1818">
        <v>0.92557639999999997</v>
      </c>
      <c r="Y1818">
        <v>-6.8588440000000001E-2</v>
      </c>
      <c r="Z1818">
        <v>-2.8842609999999999E-3</v>
      </c>
      <c r="AA1818">
        <v>0.99764079999999999</v>
      </c>
      <c r="AB1818">
        <v>28</v>
      </c>
      <c r="AC1818">
        <v>-20.1647999999999</v>
      </c>
      <c r="AD1818">
        <v>-1.1109760898109999</v>
      </c>
      <c r="AE1818">
        <v>-1.1365999999999801</v>
      </c>
      <c r="AF1818">
        <v>-1.4025714739161499</v>
      </c>
      <c r="AG1818">
        <v>-1.1109760898109999</v>
      </c>
      <c r="AH1818">
        <v>20.086971775882098</v>
      </c>
      <c r="AI1818">
        <v>93.158032782816406</v>
      </c>
      <c r="AJ1818">
        <v>93.994191173107097</v>
      </c>
      <c r="AK1818">
        <v>20.166504648467502</v>
      </c>
      <c r="AL1818">
        <v>67.995790799316495</v>
      </c>
      <c r="AM1818">
        <v>93.345334034566406</v>
      </c>
      <c r="AN1818">
        <v>0.99999998019467595</v>
      </c>
    </row>
    <row r="1819" spans="1:40" x14ac:dyDescent="0.25">
      <c r="A1819" t="str">
        <f>"20190304164634320"</f>
        <v>20190304164634320</v>
      </c>
      <c r="B1819" t="str">
        <f>"1551689194309976"</f>
        <v>1551689194309976</v>
      </c>
      <c r="C1819" t="s">
        <v>40</v>
      </c>
      <c r="D1819">
        <v>3.908725</v>
      </c>
      <c r="E1819">
        <v>0.508382</v>
      </c>
      <c r="F1819" t="s">
        <v>50</v>
      </c>
      <c r="G1819">
        <v>-406.05829999999997</v>
      </c>
      <c r="H1819" s="1">
        <v>5.8109310000000004E-6</v>
      </c>
      <c r="I1819">
        <v>284.1551</v>
      </c>
      <c r="J1819">
        <v>-385.9212</v>
      </c>
      <c r="K1819">
        <v>1.110989</v>
      </c>
      <c r="L1819">
        <v>285.32209999999998</v>
      </c>
      <c r="M1819">
        <v>-0.99980959999999997</v>
      </c>
      <c r="N1819">
        <v>-1.4068829999999999E-2</v>
      </c>
      <c r="O1819">
        <v>1.3528790000000001E-2</v>
      </c>
      <c r="P1819">
        <v>-0.93140489999999998</v>
      </c>
      <c r="Q1819">
        <v>0.36157440000000002</v>
      </c>
      <c r="R1819">
        <v>-4.182205E-2</v>
      </c>
      <c r="S1819">
        <v>-3.2819519999999902</v>
      </c>
      <c r="T1819">
        <v>-0.17872460000000001</v>
      </c>
      <c r="U1819">
        <v>-0.18713379999999999</v>
      </c>
      <c r="V1819">
        <v>-5.4314809999999998E-2</v>
      </c>
      <c r="W1819">
        <v>0.3746486</v>
      </c>
      <c r="X1819">
        <v>0.92557460000000003</v>
      </c>
      <c r="Y1819">
        <v>-7.0287820000000001E-2</v>
      </c>
      <c r="Z1819">
        <v>-2.9517549999999999E-3</v>
      </c>
      <c r="AA1819">
        <v>0.99752240000000003</v>
      </c>
      <c r="AB1819">
        <v>28</v>
      </c>
      <c r="AC1819">
        <v>-20.137099999999901</v>
      </c>
      <c r="AD1819">
        <v>-1.1109831890690001</v>
      </c>
      <c r="AE1819">
        <v>-1.1669999999999701</v>
      </c>
      <c r="AF1819">
        <v>-1.43499743775846</v>
      </c>
      <c r="AG1819">
        <v>-1.1109831890690001</v>
      </c>
      <c r="AH1819">
        <v>20.058616311873401</v>
      </c>
      <c r="AI1819">
        <v>93.162127468106604</v>
      </c>
      <c r="AJ1819">
        <v>94.091980152127107</v>
      </c>
      <c r="AK1819">
        <v>20.1405459121574</v>
      </c>
      <c r="AL1819">
        <v>67.997404300446803</v>
      </c>
      <c r="AM1819">
        <v>93.358394407988996</v>
      </c>
      <c r="AN1819">
        <v>1.00000000611622</v>
      </c>
    </row>
    <row r="1820" spans="1:40" x14ac:dyDescent="0.25">
      <c r="A1820" t="str">
        <f>"20190304164634344"</f>
        <v>20190304164634344</v>
      </c>
      <c r="B1820" t="str">
        <f>"1551689194340232"</f>
        <v>1551689194340232</v>
      </c>
      <c r="C1820" t="s">
        <v>40</v>
      </c>
      <c r="D1820">
        <v>3.9168970000000001</v>
      </c>
      <c r="E1820">
        <v>0.50774710000000001</v>
      </c>
      <c r="F1820" t="s">
        <v>50</v>
      </c>
      <c r="G1820">
        <v>-406.2928</v>
      </c>
      <c r="H1820" s="1">
        <v>5.7106629999999998E-6</v>
      </c>
      <c r="I1820">
        <v>284.13709999999998</v>
      </c>
      <c r="J1820">
        <v>-386.20639999999997</v>
      </c>
      <c r="K1820">
        <v>1.110981</v>
      </c>
      <c r="L1820">
        <v>285.32600000000002</v>
      </c>
      <c r="M1820">
        <v>-0.99980789999999997</v>
      </c>
      <c r="N1820">
        <v>-1.406574E-2</v>
      </c>
      <c r="O1820">
        <v>1.366381E-2</v>
      </c>
      <c r="P1820">
        <v>-0.9313015</v>
      </c>
      <c r="Q1820">
        <v>0.36186790000000002</v>
      </c>
      <c r="R1820">
        <v>-4.1588510000000002E-2</v>
      </c>
      <c r="S1820">
        <v>-3.2818299999999998</v>
      </c>
      <c r="T1820">
        <v>-0.178977</v>
      </c>
      <c r="U1820">
        <v>-0.19088749999999999</v>
      </c>
      <c r="V1820">
        <v>-5.4205589999999998E-2</v>
      </c>
      <c r="W1820">
        <v>0.37493729999999997</v>
      </c>
      <c r="X1820">
        <v>0.92546410000000001</v>
      </c>
      <c r="Y1820">
        <v>-7.1558910000000003E-2</v>
      </c>
      <c r="Z1820">
        <v>-3.004474E-3</v>
      </c>
      <c r="AA1820">
        <v>0.99743190000000004</v>
      </c>
      <c r="AB1820">
        <v>28</v>
      </c>
      <c r="AC1820">
        <v>-20.086400000000001</v>
      </c>
      <c r="AD1820">
        <v>-1.110975289337</v>
      </c>
      <c r="AE1820">
        <v>-1.1888999999999801</v>
      </c>
      <c r="AF1820">
        <v>-1.45882561876157</v>
      </c>
      <c r="AG1820">
        <v>-1.110975289337</v>
      </c>
      <c r="AH1820">
        <v>20.007285824375401</v>
      </c>
      <c r="AI1820">
        <v>93.169888723391693</v>
      </c>
      <c r="AJ1820">
        <v>94.170325507473194</v>
      </c>
      <c r="AK1820">
        <v>20.091140443930101</v>
      </c>
      <c r="AL1820">
        <v>67.9795626450545</v>
      </c>
      <c r="AM1820">
        <v>93.352055799797597</v>
      </c>
      <c r="AN1820">
        <v>1.0000000126536699</v>
      </c>
    </row>
    <row r="1821" spans="1:40" x14ac:dyDescent="0.25">
      <c r="A1821" t="str">
        <f>"20190304164634366"</f>
        <v>20190304164634366</v>
      </c>
      <c r="B1821" t="str">
        <f>"1551689194359751"</f>
        <v>1551689194359751</v>
      </c>
      <c r="C1821" t="s">
        <v>40</v>
      </c>
      <c r="D1821">
        <v>3.8996249999999999</v>
      </c>
      <c r="E1821">
        <v>0.50735940000000002</v>
      </c>
      <c r="F1821" t="s">
        <v>50</v>
      </c>
      <c r="G1821">
        <v>-406.66890000000001</v>
      </c>
      <c r="H1821" s="1">
        <v>5.5491719999999901E-6</v>
      </c>
      <c r="I1821">
        <v>284.11169999999998</v>
      </c>
      <c r="J1821">
        <v>-386.49040000000002</v>
      </c>
      <c r="K1821">
        <v>1.1109830000000001</v>
      </c>
      <c r="L1821">
        <v>285.33</v>
      </c>
      <c r="M1821">
        <v>-0.99980590000000003</v>
      </c>
      <c r="N1821">
        <v>-1.4062669999999999E-2</v>
      </c>
      <c r="O1821">
        <v>1.3798879999999999E-2</v>
      </c>
      <c r="P1821">
        <v>-0.93119390000000002</v>
      </c>
      <c r="Q1821">
        <v>0.36207850000000003</v>
      </c>
      <c r="R1821">
        <v>-4.215178E-2</v>
      </c>
      <c r="S1821">
        <v>-3.2818299999999998</v>
      </c>
      <c r="T1821">
        <v>-0.17818149999999999</v>
      </c>
      <c r="U1821">
        <v>-0.1947632</v>
      </c>
      <c r="V1821">
        <v>-5.489347E-2</v>
      </c>
      <c r="W1821">
        <v>0.37514380000000003</v>
      </c>
      <c r="X1821">
        <v>0.92533989999999999</v>
      </c>
      <c r="Y1821">
        <v>-7.2866130000000001E-2</v>
      </c>
      <c r="Z1821">
        <v>-3.0424499999999999E-3</v>
      </c>
      <c r="AA1821">
        <v>0.99733709999999998</v>
      </c>
      <c r="AB1821">
        <v>28</v>
      </c>
      <c r="AC1821">
        <v>-20.1784999999999</v>
      </c>
      <c r="AD1821">
        <v>-1.1109774508279999</v>
      </c>
      <c r="AE1821">
        <v>-1.2182999999999899</v>
      </c>
      <c r="AF1821">
        <v>-1.4921454673985</v>
      </c>
      <c r="AG1821">
        <v>-1.1109774508279999</v>
      </c>
      <c r="AH1821">
        <v>20.0990600787806</v>
      </c>
      <c r="AI1821">
        <v>93.1551448482642</v>
      </c>
      <c r="AJ1821">
        <v>94.245824844794498</v>
      </c>
      <c r="AK1821">
        <v>20.1849692851527</v>
      </c>
      <c r="AL1821">
        <v>67.966800261040802</v>
      </c>
      <c r="AM1821">
        <v>93.394949770482597</v>
      </c>
      <c r="AN1821">
        <v>1.00000004712954</v>
      </c>
    </row>
    <row r="1822" spans="1:40" x14ac:dyDescent="0.25">
      <c r="A1822" t="str">
        <f>"20190304164634387"</f>
        <v>20190304164634387</v>
      </c>
      <c r="B1822" t="str">
        <f>"1551689194380248"</f>
        <v>1551689194380248</v>
      </c>
      <c r="C1822" t="s">
        <v>40</v>
      </c>
      <c r="D1822">
        <v>3.9048759999999998</v>
      </c>
      <c r="E1822">
        <v>0.50699079999999996</v>
      </c>
      <c r="F1822" t="s">
        <v>50</v>
      </c>
      <c r="G1822">
        <v>-407.0265</v>
      </c>
      <c r="H1822" s="1">
        <v>5.3974540000000004E-6</v>
      </c>
      <c r="I1822">
        <v>284.07839999999999</v>
      </c>
      <c r="J1822">
        <v>-386.75220000000002</v>
      </c>
      <c r="K1822">
        <v>1.110981</v>
      </c>
      <c r="L1822">
        <v>285.3338</v>
      </c>
      <c r="M1822">
        <v>-0.99980429999999998</v>
      </c>
      <c r="N1822">
        <v>-1.405987E-2</v>
      </c>
      <c r="O1822">
        <v>1.392214E-2</v>
      </c>
      <c r="P1822">
        <v>-0.93110190000000004</v>
      </c>
      <c r="Q1822">
        <v>0.36229489999999998</v>
      </c>
      <c r="R1822">
        <v>-4.2332920000000003E-2</v>
      </c>
      <c r="S1822">
        <v>-3.281647</v>
      </c>
      <c r="T1822">
        <v>-0.17753279999999999</v>
      </c>
      <c r="U1822">
        <v>-0.2000122</v>
      </c>
      <c r="V1822">
        <v>-5.5188809999999998E-2</v>
      </c>
      <c r="W1822">
        <v>0.37535629999999998</v>
      </c>
      <c r="X1822">
        <v>0.92523610000000001</v>
      </c>
      <c r="Y1822">
        <v>-7.4579530000000005E-2</v>
      </c>
      <c r="Z1822">
        <v>-3.095806E-3</v>
      </c>
      <c r="AA1822">
        <v>0.99721029999999999</v>
      </c>
      <c r="AB1822">
        <v>28</v>
      </c>
      <c r="AC1822">
        <v>-20.274299999999901</v>
      </c>
      <c r="AD1822">
        <v>-1.110975602546</v>
      </c>
      <c r="AE1822">
        <v>-1.2554000000000001</v>
      </c>
      <c r="AF1822">
        <v>-1.53298227017112</v>
      </c>
      <c r="AG1822">
        <v>-1.110975602546</v>
      </c>
      <c r="AH1822">
        <v>20.194448085748999</v>
      </c>
      <c r="AI1822">
        <v>93.139875226952199</v>
      </c>
      <c r="AJ1822">
        <v>94.341058572861101</v>
      </c>
      <c r="AK1822">
        <v>20.282998666817601</v>
      </c>
      <c r="AL1822">
        <v>67.953663910456896</v>
      </c>
      <c r="AM1822">
        <v>93.413554355235107</v>
      </c>
      <c r="AN1822">
        <v>0.99999999872105805</v>
      </c>
    </row>
    <row r="1823" spans="1:40" x14ac:dyDescent="0.25">
      <c r="A1823" t="str">
        <f>"20190304164634409"</f>
        <v>20190304164634409</v>
      </c>
      <c r="B1823" t="str">
        <f>"1551689194400276"</f>
        <v>1551689194400276</v>
      </c>
      <c r="C1823" t="s">
        <v>40</v>
      </c>
      <c r="D1823">
        <v>3.9230580000000002</v>
      </c>
      <c r="E1823">
        <v>0.50663630000000004</v>
      </c>
      <c r="F1823" t="s">
        <v>50</v>
      </c>
      <c r="G1823">
        <v>-407.36200000000002</v>
      </c>
      <c r="H1823" s="1">
        <v>5.2535749999999999E-6</v>
      </c>
      <c r="I1823">
        <v>284.05470000000003</v>
      </c>
      <c r="J1823">
        <v>-387.01690000000002</v>
      </c>
      <c r="K1823">
        <v>1.1109929999999999</v>
      </c>
      <c r="L1823">
        <v>285.33760000000001</v>
      </c>
      <c r="M1823">
        <v>-0.99980259999999999</v>
      </c>
      <c r="N1823">
        <v>-1.4057E-2</v>
      </c>
      <c r="O1823">
        <v>1.404264E-2</v>
      </c>
      <c r="P1823">
        <v>-0.93108650000000004</v>
      </c>
      <c r="Q1823">
        <v>0.36234250000000001</v>
      </c>
      <c r="R1823">
        <v>-4.2259669999999999E-2</v>
      </c>
      <c r="S1823">
        <v>-3.2815249999999998</v>
      </c>
      <c r="T1823">
        <v>-0.17689170000000001</v>
      </c>
      <c r="U1823">
        <v>-0.2036743</v>
      </c>
      <c r="V1823">
        <v>-5.5229229999999997E-2</v>
      </c>
      <c r="W1823">
        <v>0.37540059999999997</v>
      </c>
      <c r="X1823">
        <v>0.92521569999999997</v>
      </c>
      <c r="Y1823">
        <v>-7.5809230000000005E-2</v>
      </c>
      <c r="Z1823">
        <v>-3.1323369999999998E-3</v>
      </c>
      <c r="AA1823">
        <v>0.99711740000000004</v>
      </c>
      <c r="AB1823">
        <v>27</v>
      </c>
      <c r="AC1823">
        <v>-20.345099999999899</v>
      </c>
      <c r="AD1823">
        <v>-1.110987746425</v>
      </c>
      <c r="AE1823">
        <v>-1.2828999999999799</v>
      </c>
      <c r="AF1823">
        <v>-1.5638557638411099</v>
      </c>
      <c r="AG1823">
        <v>-1.110987746425</v>
      </c>
      <c r="AH1823">
        <v>20.2648870875386</v>
      </c>
      <c r="AI1823">
        <v>93.128717837191701</v>
      </c>
      <c r="AJ1823">
        <v>94.412810067275004</v>
      </c>
      <c r="AK1823">
        <v>20.355480522294101</v>
      </c>
      <c r="AL1823">
        <v>67.950925128020501</v>
      </c>
      <c r="AM1823">
        <v>93.416123648339493</v>
      </c>
      <c r="AN1823">
        <v>0.99999998492662101</v>
      </c>
    </row>
    <row r="1824" spans="1:40" x14ac:dyDescent="0.25">
      <c r="A1824" t="str">
        <f>"20190304164634432"</f>
        <v>20190304164634432</v>
      </c>
      <c r="B1824" t="str">
        <f>"1551689194419797"</f>
        <v>1551689194419797</v>
      </c>
      <c r="C1824" t="s">
        <v>40</v>
      </c>
      <c r="D1824">
        <v>3.930593</v>
      </c>
      <c r="E1824">
        <v>0.50631610000000005</v>
      </c>
      <c r="F1824" t="s">
        <v>50</v>
      </c>
      <c r="G1824">
        <v>-407.6361</v>
      </c>
      <c r="H1824" s="1">
        <v>5.1350669999999999E-6</v>
      </c>
      <c r="I1824">
        <v>284.03980000000001</v>
      </c>
      <c r="J1824">
        <v>-387.29199999999997</v>
      </c>
      <c r="K1824">
        <v>1.1109979999999999</v>
      </c>
      <c r="L1824">
        <v>285.34160000000003</v>
      </c>
      <c r="M1824">
        <v>-0.99980089999999999</v>
      </c>
      <c r="N1824">
        <v>-1.4053990000000001E-2</v>
      </c>
      <c r="O1824">
        <v>1.416071E-2</v>
      </c>
      <c r="P1824">
        <v>-0.93104830000000005</v>
      </c>
      <c r="Q1824">
        <v>0.36246080000000003</v>
      </c>
      <c r="R1824">
        <v>-4.2087289999999999E-2</v>
      </c>
      <c r="S1824">
        <v>-3.2814640000000002</v>
      </c>
      <c r="T1824">
        <v>-0.176809299999999</v>
      </c>
      <c r="U1824">
        <v>-0.206543</v>
      </c>
      <c r="V1824">
        <v>-5.5170440000000001E-2</v>
      </c>
      <c r="W1824">
        <v>0.37551459999999998</v>
      </c>
      <c r="X1824">
        <v>0.92517300000000002</v>
      </c>
      <c r="Y1824">
        <v>-7.6794619999999994E-2</v>
      </c>
      <c r="Z1824">
        <v>-3.1690970000000001E-3</v>
      </c>
      <c r="AA1824">
        <v>0.99704190000000004</v>
      </c>
      <c r="AB1824">
        <v>27</v>
      </c>
      <c r="AC1824">
        <v>-20.344100000000001</v>
      </c>
      <c r="AD1824">
        <v>-1.1109928649330001</v>
      </c>
      <c r="AE1824">
        <v>-1.3018000000000101</v>
      </c>
      <c r="AF1824">
        <v>-1.58507698221875</v>
      </c>
      <c r="AG1824">
        <v>-1.1109928649330001</v>
      </c>
      <c r="AH1824">
        <v>20.263439080076399</v>
      </c>
      <c r="AI1824">
        <v>93.128701464568096</v>
      </c>
      <c r="AJ1824">
        <v>94.472768009156297</v>
      </c>
      <c r="AK1824">
        <v>20.355680719088198</v>
      </c>
      <c r="AL1824">
        <v>67.943879013210505</v>
      </c>
      <c r="AM1824">
        <v>93.412653002964007</v>
      </c>
      <c r="AN1824">
        <v>1.00000003609597</v>
      </c>
    </row>
    <row r="1825" spans="1:40" x14ac:dyDescent="0.25">
      <c r="A1825" t="str">
        <f>"20190304164634454"</f>
        <v>20190304164634454</v>
      </c>
      <c r="B1825" t="str">
        <f>"1551689194450052"</f>
        <v>1551689194450052</v>
      </c>
      <c r="C1825" t="s">
        <v>40</v>
      </c>
      <c r="D1825">
        <v>3.930069</v>
      </c>
      <c r="E1825">
        <v>0.50587360000000003</v>
      </c>
      <c r="F1825" t="s">
        <v>50</v>
      </c>
      <c r="G1825">
        <v>-407.94490000000002</v>
      </c>
      <c r="H1825" s="1">
        <v>5.0005179999999999E-6</v>
      </c>
      <c r="I1825">
        <v>284.0283</v>
      </c>
      <c r="J1825">
        <v>-387.56549999999999</v>
      </c>
      <c r="K1825">
        <v>1.111008</v>
      </c>
      <c r="L1825">
        <v>285.34570000000002</v>
      </c>
      <c r="M1825">
        <v>-0.99979960000000001</v>
      </c>
      <c r="N1825">
        <v>-1.4050999999999999E-2</v>
      </c>
      <c r="O1825">
        <v>1.426639E-2</v>
      </c>
      <c r="P1825">
        <v>-0.93121189999999998</v>
      </c>
      <c r="Q1825">
        <v>0.36208509999999999</v>
      </c>
      <c r="R1825">
        <v>-4.1698079999999998E-2</v>
      </c>
      <c r="S1825">
        <v>-3.2814640000000002</v>
      </c>
      <c r="T1825">
        <v>-0.17652119999999999</v>
      </c>
      <c r="U1825">
        <v>-0.20867920000000001</v>
      </c>
      <c r="V1825">
        <v>-5.4890069999999999E-2</v>
      </c>
      <c r="W1825">
        <v>0.37513750000000001</v>
      </c>
      <c r="X1825">
        <v>0.92534260000000002</v>
      </c>
      <c r="Y1825">
        <v>-7.754548E-2</v>
      </c>
      <c r="Z1825">
        <v>-3.1940190000000002E-3</v>
      </c>
      <c r="AA1825">
        <v>0.99698370000000003</v>
      </c>
      <c r="AB1825">
        <v>27</v>
      </c>
      <c r="AC1825">
        <v>-20.3794</v>
      </c>
      <c r="AD1825">
        <v>-1.1110029994820001</v>
      </c>
      <c r="AE1825">
        <v>-1.3174000000000201</v>
      </c>
      <c r="AF1825">
        <v>-1.60328990936522</v>
      </c>
      <c r="AG1825">
        <v>-1.1110029994820001</v>
      </c>
      <c r="AH1825">
        <v>20.2984533797013</v>
      </c>
      <c r="AI1825">
        <v>93.1231580312745</v>
      </c>
      <c r="AJ1825">
        <v>94.516177706357496</v>
      </c>
      <c r="AK1825">
        <v>20.391961058373901</v>
      </c>
      <c r="AL1825">
        <v>67.967188466912802</v>
      </c>
      <c r="AM1825">
        <v>93.394730103222798</v>
      </c>
      <c r="AN1825">
        <v>0.99999999553280705</v>
      </c>
    </row>
    <row r="1826" spans="1:40" x14ac:dyDescent="0.25">
      <c r="A1826" t="str">
        <f>"20190304164634477"</f>
        <v>20190304164634477</v>
      </c>
      <c r="B1826" t="str">
        <f>"1551689194469572"</f>
        <v>1551689194469572</v>
      </c>
      <c r="C1826" t="s">
        <v>40</v>
      </c>
      <c r="D1826">
        <v>3.9508960000000002</v>
      </c>
      <c r="E1826">
        <v>0.50561719999999999</v>
      </c>
      <c r="F1826" t="s">
        <v>50</v>
      </c>
      <c r="G1826">
        <v>-408.04919999999998</v>
      </c>
      <c r="H1826" s="1">
        <v>4.9535479999999997E-6</v>
      </c>
      <c r="I1826">
        <v>284.03179999999998</v>
      </c>
      <c r="J1826">
        <v>-387.8476</v>
      </c>
      <c r="K1826">
        <v>1.111027</v>
      </c>
      <c r="L1826">
        <v>285.34980000000002</v>
      </c>
      <c r="M1826">
        <v>-0.99979830000000003</v>
      </c>
      <c r="N1826">
        <v>-1.404793E-2</v>
      </c>
      <c r="O1826">
        <v>1.435673E-2</v>
      </c>
      <c r="P1826">
        <v>-0.93128420000000001</v>
      </c>
      <c r="Q1826">
        <v>0.36190080000000002</v>
      </c>
      <c r="R1826">
        <v>-4.1684239999999997E-2</v>
      </c>
      <c r="S1826">
        <v>-3.2813720000000002</v>
      </c>
      <c r="T1826">
        <v>-0.17797639999999901</v>
      </c>
      <c r="U1826">
        <v>-0.21047969999999999</v>
      </c>
      <c r="V1826">
        <v>-5.4972689999999998E-2</v>
      </c>
      <c r="W1826">
        <v>0.3749498</v>
      </c>
      <c r="X1826">
        <v>0.92541379999999995</v>
      </c>
      <c r="Y1826">
        <v>-7.8178579999999998E-2</v>
      </c>
      <c r="Z1826">
        <v>-3.2426629999999998E-3</v>
      </c>
      <c r="AA1826">
        <v>0.99693410000000005</v>
      </c>
      <c r="AB1826">
        <v>27</v>
      </c>
      <c r="AC1826">
        <v>-20.2015999999999</v>
      </c>
      <c r="AD1826">
        <v>-1.111022046452</v>
      </c>
      <c r="AE1826">
        <v>-1.31800000000004</v>
      </c>
      <c r="AF1826">
        <v>-1.6030934298778301</v>
      </c>
      <c r="AG1826">
        <v>-1.111022046452</v>
      </c>
      <c r="AH1826">
        <v>20.119995688950102</v>
      </c>
      <c r="AI1826">
        <v>93.150686500049204</v>
      </c>
      <c r="AJ1826">
        <v>94.555510811603</v>
      </c>
      <c r="AK1826">
        <v>20.214314360274301</v>
      </c>
      <c r="AL1826">
        <v>67.978790378662794</v>
      </c>
      <c r="AM1826">
        <v>93.399566876801799</v>
      </c>
      <c r="AN1826">
        <v>1.00000002519815</v>
      </c>
    </row>
    <row r="1827" spans="1:40" x14ac:dyDescent="0.25">
      <c r="A1827" t="str">
        <f>"20190304164634499"</f>
        <v>20190304164634499</v>
      </c>
      <c r="B1827" t="str">
        <f>"1551689194489599"</f>
        <v>1551689194489599</v>
      </c>
      <c r="C1827" t="s">
        <v>40</v>
      </c>
      <c r="D1827">
        <v>3.9223089999999998</v>
      </c>
      <c r="E1827">
        <v>0.50536199999999998</v>
      </c>
      <c r="F1827" t="s">
        <v>50</v>
      </c>
      <c r="G1827">
        <v>-408.24200000000002</v>
      </c>
      <c r="H1827" s="1">
        <v>4.8678750000000004E-6</v>
      </c>
      <c r="I1827">
        <v>284.03269999999998</v>
      </c>
      <c r="J1827">
        <v>-388.1121</v>
      </c>
      <c r="K1827">
        <v>1.1110390000000001</v>
      </c>
      <c r="L1827">
        <v>285.3537</v>
      </c>
      <c r="M1827">
        <v>-0.9997973</v>
      </c>
      <c r="N1827">
        <v>-1.404507E-2</v>
      </c>
      <c r="O1827">
        <v>1.4426970000000001E-2</v>
      </c>
      <c r="P1827">
        <v>-0.93132800000000004</v>
      </c>
      <c r="Q1827">
        <v>0.36184810000000001</v>
      </c>
      <c r="R1827">
        <v>-4.1160240000000001E-2</v>
      </c>
      <c r="S1827">
        <v>-3.281342</v>
      </c>
      <c r="T1827">
        <v>-0.17875679999999999</v>
      </c>
      <c r="U1827">
        <v>-0.21191409999999999</v>
      </c>
      <c r="V1827">
        <v>-5.4527010000000001E-2</v>
      </c>
      <c r="W1827">
        <v>0.37489309999999998</v>
      </c>
      <c r="X1827">
        <v>0.92546309999999998</v>
      </c>
      <c r="Y1827">
        <v>-7.8680920000000001E-2</v>
      </c>
      <c r="Z1827">
        <v>-3.2752940000000002E-3</v>
      </c>
      <c r="AA1827">
        <v>0.99689450000000002</v>
      </c>
      <c r="AB1827">
        <v>27</v>
      </c>
      <c r="AC1827">
        <v>-20.1298999999999</v>
      </c>
      <c r="AD1827">
        <v>-1.1110341321249999</v>
      </c>
      <c r="AE1827">
        <v>-1.3210000000000199</v>
      </c>
      <c r="AF1827">
        <v>-1.6064319194102299</v>
      </c>
      <c r="AG1827">
        <v>-1.1110341321249999</v>
      </c>
      <c r="AH1827">
        <v>20.047934686241501</v>
      </c>
      <c r="AI1827">
        <v>93.161909352175002</v>
      </c>
      <c r="AJ1827">
        <v>94.581296463370506</v>
      </c>
      <c r="AK1827">
        <v>20.142857432307199</v>
      </c>
      <c r="AL1827">
        <v>67.982293856485995</v>
      </c>
      <c r="AM1827">
        <v>93.371890214728495</v>
      </c>
      <c r="AN1827">
        <v>0.99999999035437903</v>
      </c>
    </row>
    <row r="1828" spans="1:40" x14ac:dyDescent="0.25">
      <c r="A1828" t="str">
        <f>"20190304164634520"</f>
        <v>20190304164634520</v>
      </c>
      <c r="B1828" t="str">
        <f>"1551689194510095"</f>
        <v>1551689194510095</v>
      </c>
      <c r="C1828" t="s">
        <v>40</v>
      </c>
      <c r="D1828">
        <v>3.917567</v>
      </c>
      <c r="E1828">
        <v>0.50514840000000005</v>
      </c>
      <c r="F1828" t="s">
        <v>50</v>
      </c>
      <c r="G1828">
        <v>-408.46370000000002</v>
      </c>
      <c r="H1828" s="1">
        <v>4.7687169999999996E-6</v>
      </c>
      <c r="I1828">
        <v>284.0367</v>
      </c>
      <c r="J1828">
        <v>-388.3777</v>
      </c>
      <c r="K1828">
        <v>1.1110500000000001</v>
      </c>
      <c r="L1828">
        <v>285.35759999999999</v>
      </c>
      <c r="M1828">
        <v>-0.99979660000000004</v>
      </c>
      <c r="N1828">
        <v>-1.4042209999999999E-2</v>
      </c>
      <c r="O1828">
        <v>1.4480170000000001E-2</v>
      </c>
      <c r="P1828">
        <v>-0.93151150000000005</v>
      </c>
      <c r="Q1828">
        <v>0.36142200000000002</v>
      </c>
      <c r="R1828">
        <v>-4.0750269999999998E-2</v>
      </c>
      <c r="S1828">
        <v>-3.2814030000000001</v>
      </c>
      <c r="T1828">
        <v>-0.17913780000000001</v>
      </c>
      <c r="U1828">
        <v>-0.21234130000000001</v>
      </c>
      <c r="V1828">
        <v>-5.4181890000000003E-2</v>
      </c>
      <c r="W1828">
        <v>0.37446479999999999</v>
      </c>
      <c r="X1828">
        <v>0.92565679999999995</v>
      </c>
      <c r="Y1828">
        <v>-7.8861020000000004E-2</v>
      </c>
      <c r="Z1828">
        <v>-3.2897130000000001E-3</v>
      </c>
      <c r="AA1828">
        <v>0.99688019999999999</v>
      </c>
      <c r="AB1828">
        <v>27</v>
      </c>
      <c r="AC1828">
        <v>-20.085999999999999</v>
      </c>
      <c r="AD1828">
        <v>-1.1110452312829999</v>
      </c>
      <c r="AE1828">
        <v>-1.32089999999999</v>
      </c>
      <c r="AF1828">
        <v>-1.60674388561027</v>
      </c>
      <c r="AG1828">
        <v>-1.1110452312829999</v>
      </c>
      <c r="AH1828">
        <v>20.0038231410424</v>
      </c>
      <c r="AI1828">
        <v>93.168850778298903</v>
      </c>
      <c r="AJ1828">
        <v>94.592243609298905</v>
      </c>
      <c r="AK1828">
        <v>20.098979767092899</v>
      </c>
      <c r="AL1828">
        <v>68.008762790844798</v>
      </c>
      <c r="AM1828">
        <v>93.349897613202401</v>
      </c>
      <c r="AN1828">
        <v>1.0000000375146201</v>
      </c>
    </row>
    <row r="1829" spans="1:40" x14ac:dyDescent="0.25">
      <c r="A1829" t="str">
        <f>"20190304164634545"</f>
        <v>20190304164634545</v>
      </c>
      <c r="B1829" t="str">
        <f>"1551689194540352"</f>
        <v>1551689194540352</v>
      </c>
      <c r="C1829" t="s">
        <v>40</v>
      </c>
      <c r="D1829">
        <v>3.936922</v>
      </c>
      <c r="E1829">
        <v>0.50531170000000003</v>
      </c>
      <c r="F1829" t="s">
        <v>50</v>
      </c>
      <c r="G1829">
        <v>-408.56959999999998</v>
      </c>
      <c r="H1829" s="1">
        <v>4.71883E-6</v>
      </c>
      <c r="I1829">
        <v>284.05090000000001</v>
      </c>
      <c r="J1829">
        <v>-388.66090000000003</v>
      </c>
      <c r="K1829">
        <v>1.1110690000000001</v>
      </c>
      <c r="L1829">
        <v>285.36169999999998</v>
      </c>
      <c r="M1829">
        <v>-0.99979609999999997</v>
      </c>
      <c r="N1829">
        <v>-1.403916E-2</v>
      </c>
      <c r="O1829">
        <v>1.451559E-2</v>
      </c>
      <c r="P1829">
        <v>-0.93120970000000003</v>
      </c>
      <c r="Q1829">
        <v>0.36218139999999999</v>
      </c>
      <c r="R1829">
        <v>-4.0903759999999997E-2</v>
      </c>
      <c r="S1829">
        <v>-3.281342</v>
      </c>
      <c r="T1829">
        <v>-0.18055379999999999</v>
      </c>
      <c r="U1829">
        <v>-0.21234130000000001</v>
      </c>
      <c r="V1829">
        <v>-5.4376389999999997E-2</v>
      </c>
      <c r="W1829">
        <v>0.37521539999999998</v>
      </c>
      <c r="X1829">
        <v>0.92534139999999998</v>
      </c>
      <c r="Y1829">
        <v>-7.8895110000000004E-2</v>
      </c>
      <c r="Z1829">
        <v>-3.315513E-3</v>
      </c>
      <c r="AA1829">
        <v>0.99687740000000002</v>
      </c>
      <c r="AB1829">
        <v>27</v>
      </c>
      <c r="AC1829">
        <v>-19.9086999999999</v>
      </c>
      <c r="AD1829">
        <v>-1.11106428117</v>
      </c>
      <c r="AE1829">
        <v>-1.31079999999997</v>
      </c>
      <c r="AF1829">
        <v>-1.59473147393752</v>
      </c>
      <c r="AG1829">
        <v>-1.11106428117</v>
      </c>
      <c r="AH1829">
        <v>19.826090724587299</v>
      </c>
      <c r="AI1829">
        <v>93.197225111741105</v>
      </c>
      <c r="AJ1829">
        <v>94.598742612570803</v>
      </c>
      <c r="AK1829">
        <v>19.921132139776201</v>
      </c>
      <c r="AL1829">
        <v>67.962374603833396</v>
      </c>
      <c r="AM1829">
        <v>93.363038672591699</v>
      </c>
      <c r="AN1829">
        <v>1.0000000473702699</v>
      </c>
    </row>
    <row r="1830" spans="1:40" x14ac:dyDescent="0.25">
      <c r="A1830" t="str">
        <f>"20190304164634567"</f>
        <v>20190304164634567</v>
      </c>
      <c r="B1830" t="str">
        <f>"1551689194559871"</f>
        <v>1551689194559871</v>
      </c>
      <c r="C1830" t="s">
        <v>40</v>
      </c>
      <c r="D1830">
        <v>3.9117310000000001</v>
      </c>
      <c r="E1830">
        <v>0.50545779999999996</v>
      </c>
      <c r="F1830" t="s">
        <v>50</v>
      </c>
      <c r="G1830">
        <v>-409.06020000000001</v>
      </c>
      <c r="H1830" s="1">
        <v>4.4998980000000003E-6</v>
      </c>
      <c r="I1830">
        <v>284.05759999999998</v>
      </c>
      <c r="J1830">
        <v>-388.94439999999997</v>
      </c>
      <c r="K1830">
        <v>1.1110819999999999</v>
      </c>
      <c r="L1830">
        <v>285.36590000000001</v>
      </c>
      <c r="M1830">
        <v>-0.99979589999999996</v>
      </c>
      <c r="N1830">
        <v>-1.403594E-2</v>
      </c>
      <c r="O1830">
        <v>1.453233E-2</v>
      </c>
      <c r="P1830">
        <v>-0.93127349999999998</v>
      </c>
      <c r="Q1830">
        <v>0.36192239999999998</v>
      </c>
      <c r="R1830">
        <v>-4.17376E-2</v>
      </c>
      <c r="S1830">
        <v>-3.2819820000000002</v>
      </c>
      <c r="T1830">
        <v>-0.17875639999999901</v>
      </c>
      <c r="U1830">
        <v>-0.2098083</v>
      </c>
      <c r="V1830">
        <v>-5.5238259999999997E-2</v>
      </c>
      <c r="W1830">
        <v>0.37495279999999998</v>
      </c>
      <c r="X1830">
        <v>0.92539669999999896</v>
      </c>
      <c r="Y1830">
        <v>-7.8137449999999997E-2</v>
      </c>
      <c r="Z1830">
        <v>-3.2601890000000001E-3</v>
      </c>
      <c r="AA1830">
        <v>0.99693730000000003</v>
      </c>
      <c r="AB1830">
        <v>27</v>
      </c>
      <c r="AC1830">
        <v>-20.1158</v>
      </c>
      <c r="AD1830">
        <v>-1.1110775001019999</v>
      </c>
      <c r="AE1830">
        <v>-1.30830000000003</v>
      </c>
      <c r="AF1830">
        <v>-1.5956724782576901</v>
      </c>
      <c r="AG1830">
        <v>-1.1110775001019999</v>
      </c>
      <c r="AH1830">
        <v>20.033799116540699</v>
      </c>
      <c r="AI1830">
        <v>93.164379536315096</v>
      </c>
      <c r="AJ1830">
        <v>94.553938947352293</v>
      </c>
      <c r="AK1830">
        <v>20.127935088106</v>
      </c>
      <c r="AL1830">
        <v>67.978603453053694</v>
      </c>
      <c r="AM1830">
        <v>93.416014170722704</v>
      </c>
      <c r="AN1830">
        <v>0.99999995998327695</v>
      </c>
    </row>
    <row r="1831" spans="1:40" x14ac:dyDescent="0.25">
      <c r="A1831" t="str">
        <f>"20190304164634587"</f>
        <v>20190304164634587</v>
      </c>
      <c r="B1831" t="str">
        <f>"1551689194580367"</f>
        <v>1551689194580367</v>
      </c>
      <c r="C1831" t="s">
        <v>40</v>
      </c>
      <c r="D1831">
        <v>3.8988700000000001</v>
      </c>
      <c r="E1831">
        <v>0.50556239999999997</v>
      </c>
      <c r="F1831" t="s">
        <v>50</v>
      </c>
      <c r="G1831">
        <v>-409.17450000000002</v>
      </c>
      <c r="H1831" s="1">
        <v>4.4464110000000004E-6</v>
      </c>
      <c r="I1831">
        <v>284.0711</v>
      </c>
      <c r="J1831">
        <v>-389.19470000000001</v>
      </c>
      <c r="K1831">
        <v>1.111097</v>
      </c>
      <c r="L1831">
        <v>285.36950000000002</v>
      </c>
      <c r="M1831">
        <v>-0.99979589999999996</v>
      </c>
      <c r="N1831">
        <v>-1.403311E-2</v>
      </c>
      <c r="O1831">
        <v>1.4536179999999999E-2</v>
      </c>
      <c r="P1831">
        <v>-0.93099860000000001</v>
      </c>
      <c r="Q1831">
        <v>0.36259269999999999</v>
      </c>
      <c r="R1831">
        <v>-4.2051089999999999E-2</v>
      </c>
      <c r="S1831">
        <v>-3.2820429999999998</v>
      </c>
      <c r="T1831">
        <v>-0.18025659999999999</v>
      </c>
      <c r="U1831">
        <v>-0.2100525</v>
      </c>
      <c r="V1831">
        <v>-5.5559749999999998E-2</v>
      </c>
      <c r="W1831">
        <v>0.37561489999999997</v>
      </c>
      <c r="X1831">
        <v>0.92510899999999996</v>
      </c>
      <c r="Y1831">
        <v>-7.8211370000000002E-2</v>
      </c>
      <c r="Z1831">
        <v>-3.287196E-3</v>
      </c>
      <c r="AA1831">
        <v>0.99693140000000002</v>
      </c>
      <c r="AB1831">
        <v>27</v>
      </c>
      <c r="AC1831">
        <v>-19.979800000000001</v>
      </c>
      <c r="AD1831">
        <v>-1.1110925535889999</v>
      </c>
      <c r="AE1831">
        <v>-1.29840000000001</v>
      </c>
      <c r="AF1831">
        <v>-1.58384381522205</v>
      </c>
      <c r="AG1831">
        <v>-1.1110925535889999</v>
      </c>
      <c r="AH1831">
        <v>19.897537404680101</v>
      </c>
      <c r="AI1831">
        <v>93.186060663802294</v>
      </c>
      <c r="AJ1831">
        <v>94.551147505521399</v>
      </c>
      <c r="AK1831">
        <v>19.991375206931099</v>
      </c>
      <c r="AL1831">
        <v>67.937678665356998</v>
      </c>
      <c r="AM1831">
        <v>93.436914042533502</v>
      </c>
      <c r="AN1831">
        <v>1.0000000504015301</v>
      </c>
    </row>
    <row r="1832" spans="1:40" x14ac:dyDescent="0.25">
      <c r="A1832" t="str">
        <f>"20190304164634610"</f>
        <v>20190304164634610</v>
      </c>
      <c r="B1832" t="str">
        <f>"1551689194600396"</f>
        <v>1551689194600396</v>
      </c>
      <c r="C1832" t="s">
        <v>40</v>
      </c>
      <c r="D1832">
        <v>3.908166</v>
      </c>
      <c r="E1832">
        <v>0.5056621</v>
      </c>
      <c r="F1832" t="s">
        <v>50</v>
      </c>
      <c r="G1832">
        <v>-409.65539999999999</v>
      </c>
      <c r="H1832" s="1">
        <v>4.2383219999999999E-6</v>
      </c>
      <c r="I1832">
        <v>284.04599999999999</v>
      </c>
      <c r="J1832">
        <v>-389.46300000000002</v>
      </c>
      <c r="K1832">
        <v>1.111097</v>
      </c>
      <c r="L1832">
        <v>285.3734</v>
      </c>
      <c r="M1832">
        <v>-0.99979589999999996</v>
      </c>
      <c r="N1832">
        <v>-1.4030330000000001E-2</v>
      </c>
      <c r="O1832">
        <v>1.453423E-2</v>
      </c>
      <c r="P1832">
        <v>-0.93108990000000003</v>
      </c>
      <c r="Q1832">
        <v>0.36223850000000002</v>
      </c>
      <c r="R1832">
        <v>-4.3068259999999997E-2</v>
      </c>
      <c r="S1832">
        <v>-3.2821349999999998</v>
      </c>
      <c r="T1832">
        <v>-0.17823169999999999</v>
      </c>
      <c r="U1832">
        <v>-0.21231079999999999</v>
      </c>
      <c r="V1832">
        <v>-5.6582680000000003E-2</v>
      </c>
      <c r="W1832">
        <v>0.37525819999999999</v>
      </c>
      <c r="X1832">
        <v>0.92519169999999995</v>
      </c>
      <c r="Y1832">
        <v>-7.8892829999999997E-2</v>
      </c>
      <c r="Z1832">
        <v>-3.2771800000000002E-3</v>
      </c>
      <c r="AA1832">
        <v>0.99687769999999998</v>
      </c>
      <c r="AB1832">
        <v>27</v>
      </c>
      <c r="AC1832">
        <v>-20.1923999999999</v>
      </c>
      <c r="AD1832">
        <v>-1.111092761678</v>
      </c>
      <c r="AE1832">
        <v>-1.3274000000000099</v>
      </c>
      <c r="AF1832">
        <v>-1.6158981109800401</v>
      </c>
      <c r="AG1832">
        <v>-1.111092761678</v>
      </c>
      <c r="AH1832">
        <v>20.110344309399501</v>
      </c>
      <c r="AI1832">
        <v>93.152226940935606</v>
      </c>
      <c r="AJ1832">
        <v>94.593937132928701</v>
      </c>
      <c r="AK1832">
        <v>20.2057319113344</v>
      </c>
      <c r="AL1832">
        <v>67.9597279089067</v>
      </c>
      <c r="AM1832">
        <v>93.499724302709197</v>
      </c>
      <c r="AN1832">
        <v>0.99999999904605597</v>
      </c>
    </row>
    <row r="1833" spans="1:40" x14ac:dyDescent="0.25">
      <c r="A1833" t="str">
        <f>"20190304164634634"</f>
        <v>20190304164634634</v>
      </c>
      <c r="B1833" t="str">
        <f>"1551689194629676"</f>
        <v>1551689194629676</v>
      </c>
      <c r="C1833" t="s">
        <v>40</v>
      </c>
      <c r="D1833">
        <v>3.9068040000000002</v>
      </c>
      <c r="E1833">
        <v>0.50583919999999905</v>
      </c>
      <c r="F1833" t="s">
        <v>50</v>
      </c>
      <c r="G1833">
        <v>-409.78179999999998</v>
      </c>
      <c r="H1833" s="1">
        <v>4.1846980000000003E-6</v>
      </c>
      <c r="I1833">
        <v>284.0342</v>
      </c>
      <c r="J1833">
        <v>-389.74369999999999</v>
      </c>
      <c r="K1833">
        <v>1.1111009999999999</v>
      </c>
      <c r="L1833">
        <v>285.3775</v>
      </c>
      <c r="M1833">
        <v>-0.99979609999999997</v>
      </c>
      <c r="N1833">
        <v>-1.402755E-2</v>
      </c>
      <c r="O1833">
        <v>1.452787E-2</v>
      </c>
      <c r="P1833">
        <v>-0.93113040000000002</v>
      </c>
      <c r="Q1833">
        <v>0.3620409</v>
      </c>
      <c r="R1833">
        <v>-4.3847690000000002E-2</v>
      </c>
      <c r="S1833">
        <v>-3.28186</v>
      </c>
      <c r="T1833">
        <v>-0.1794617</v>
      </c>
      <c r="U1833">
        <v>-0.21630859999999999</v>
      </c>
      <c r="V1833">
        <v>-5.7360590000000003E-2</v>
      </c>
      <c r="W1833">
        <v>0.37505840000000001</v>
      </c>
      <c r="X1833">
        <v>0.92522479999999996</v>
      </c>
      <c r="Y1833">
        <v>-8.0096730000000005E-2</v>
      </c>
      <c r="Z1833">
        <v>-3.338504E-3</v>
      </c>
      <c r="AA1833">
        <v>0.99678149999999999</v>
      </c>
      <c r="AB1833">
        <v>27</v>
      </c>
      <c r="AC1833">
        <v>-20.038099999999901</v>
      </c>
      <c r="AD1833">
        <v>-1.111096815302</v>
      </c>
      <c r="AE1833">
        <v>-1.3432999999999899</v>
      </c>
      <c r="AF1833">
        <v>-1.62931066274338</v>
      </c>
      <c r="AG1833">
        <v>-1.111096815302</v>
      </c>
      <c r="AH1833">
        <v>19.955387020412701</v>
      </c>
      <c r="AI1833">
        <v>93.176335575195296</v>
      </c>
      <c r="AJ1833">
        <v>94.667712535938904</v>
      </c>
      <c r="AK1833">
        <v>20.0525973505469</v>
      </c>
      <c r="AL1833">
        <v>67.972077307811006</v>
      </c>
      <c r="AM1833">
        <v>93.547590558855106</v>
      </c>
      <c r="AN1833">
        <v>0.99999998561537295</v>
      </c>
    </row>
    <row r="1834" spans="1:40" x14ac:dyDescent="0.25">
      <c r="A1834" t="str">
        <f>"20190304164634656"</f>
        <v>20190304164634656</v>
      </c>
      <c r="B1834" t="str">
        <f>"1551689194650172"</f>
        <v>1551689194650172</v>
      </c>
      <c r="C1834" t="s">
        <v>40</v>
      </c>
      <c r="D1834">
        <v>3.9950230000000002</v>
      </c>
      <c r="E1834">
        <v>0.50577550000000004</v>
      </c>
      <c r="F1834" t="s">
        <v>50</v>
      </c>
      <c r="G1834">
        <v>-410.00220000000002</v>
      </c>
      <c r="H1834" s="1">
        <v>2.2564760000000001E-6</v>
      </c>
      <c r="I1834">
        <v>284.04050000000001</v>
      </c>
      <c r="J1834">
        <v>-390.01060000000001</v>
      </c>
      <c r="K1834">
        <v>1.11111</v>
      </c>
      <c r="L1834">
        <v>285.38139999999999</v>
      </c>
      <c r="M1834">
        <v>-0.99979629999999997</v>
      </c>
      <c r="N1834">
        <v>-1.402489E-2</v>
      </c>
      <c r="O1834">
        <v>1.4520119999999999E-2</v>
      </c>
      <c r="P1834">
        <v>-0.93080039999999997</v>
      </c>
      <c r="Q1834">
        <v>0.36280449999999997</v>
      </c>
      <c r="R1834">
        <v>-4.4541480000000001E-2</v>
      </c>
      <c r="S1834">
        <v>-3.2817080000000001</v>
      </c>
      <c r="T1834">
        <v>-0.17998929999999999</v>
      </c>
      <c r="U1834">
        <v>-0.21658330000000001</v>
      </c>
      <c r="V1834">
        <v>-5.8043320000000002E-2</v>
      </c>
      <c r="W1834">
        <v>0.37581419999999999</v>
      </c>
      <c r="X1834">
        <v>0.92487549999999996</v>
      </c>
      <c r="Y1834">
        <v>-8.0174049999999997E-2</v>
      </c>
      <c r="Z1834">
        <v>-3.3496609999999999E-3</v>
      </c>
      <c r="AA1834">
        <v>0.99677530000000003</v>
      </c>
      <c r="AB1834">
        <v>27</v>
      </c>
      <c r="AC1834">
        <v>-19.991599999999998</v>
      </c>
      <c r="AD1834">
        <v>-1.111107743524</v>
      </c>
      <c r="AE1834">
        <v>-1.34089999999997</v>
      </c>
      <c r="AF1834">
        <v>-1.6260671522180501</v>
      </c>
      <c r="AG1834">
        <v>-1.111107743524</v>
      </c>
      <c r="AH1834">
        <v>19.908797327961501</v>
      </c>
      <c r="AI1834">
        <v>93.183777416712203</v>
      </c>
      <c r="AJ1834">
        <v>94.669314716880393</v>
      </c>
      <c r="AK1834">
        <v>20.005970754929301</v>
      </c>
      <c r="AL1834">
        <v>67.925356048208599</v>
      </c>
      <c r="AM1834">
        <v>93.591057904437207</v>
      </c>
      <c r="AN1834">
        <v>1.0000000152092501</v>
      </c>
    </row>
    <row r="1835" spans="1:40" x14ac:dyDescent="0.25">
      <c r="A1835" t="str">
        <f>"20190304164634678"</f>
        <v>20190304164634678</v>
      </c>
      <c r="B1835" t="str">
        <f>"1551689194669691"</f>
        <v>1551689194669691</v>
      </c>
      <c r="C1835" t="s">
        <v>40</v>
      </c>
      <c r="D1835">
        <v>3.8381959999999999</v>
      </c>
      <c r="E1835">
        <v>0.47547810000000001</v>
      </c>
      <c r="F1835" t="s">
        <v>50</v>
      </c>
      <c r="G1835">
        <v>-410.59559999999999</v>
      </c>
      <c r="H1835" s="1">
        <v>2.3643840000000002E-6</v>
      </c>
      <c r="I1835">
        <v>284.0102</v>
      </c>
      <c r="J1835">
        <v>-390.28399999999999</v>
      </c>
      <c r="K1835">
        <v>1.111111</v>
      </c>
      <c r="L1835">
        <v>285.3854</v>
      </c>
      <c r="M1835">
        <v>-0.99979640000000003</v>
      </c>
      <c r="N1835">
        <v>-1.4022110000000001E-2</v>
      </c>
      <c r="O1835">
        <v>1.451329E-2</v>
      </c>
      <c r="P1835">
        <v>-0.93080490000000005</v>
      </c>
      <c r="Q1835">
        <v>0.36275809999999997</v>
      </c>
      <c r="R1835">
        <v>-4.4820609999999997E-2</v>
      </c>
      <c r="S1835">
        <v>-3.2816160000000001</v>
      </c>
      <c r="T1835">
        <v>-0.1771306</v>
      </c>
      <c r="U1835">
        <v>-0.2185974</v>
      </c>
      <c r="V1835">
        <v>-5.8316220000000002E-2</v>
      </c>
      <c r="W1835">
        <v>0.37576559999999998</v>
      </c>
      <c r="X1835">
        <v>0.92487810000000004</v>
      </c>
      <c r="Y1835">
        <v>-8.0781870000000006E-2</v>
      </c>
      <c r="Z1835">
        <v>-3.3225669999999998E-3</v>
      </c>
      <c r="AA1835">
        <v>0.99672629999999995</v>
      </c>
      <c r="AB1835">
        <v>27</v>
      </c>
      <c r="AC1835">
        <v>-20.311599999999999</v>
      </c>
      <c r="AD1835">
        <v>-1.111108635616</v>
      </c>
      <c r="AE1835">
        <v>-1.3752</v>
      </c>
      <c r="AF1835">
        <v>-1.66491283249889</v>
      </c>
      <c r="AG1835">
        <v>-1.111108635616</v>
      </c>
      <c r="AH1835">
        <v>20.229241183902001</v>
      </c>
      <c r="AI1835">
        <v>93.133288653690798</v>
      </c>
      <c r="AJ1835">
        <v>94.704969565389007</v>
      </c>
      <c r="AK1835">
        <v>20.328027351822399</v>
      </c>
      <c r="AL1835">
        <v>67.928361292097193</v>
      </c>
      <c r="AM1835">
        <v>93.607887232184297</v>
      </c>
      <c r="AN1835">
        <v>1.00000003375902</v>
      </c>
    </row>
    <row r="1836" spans="1:40" x14ac:dyDescent="0.25">
      <c r="A1836" t="str">
        <f>"20190304164634699"</f>
        <v>20190304164634699</v>
      </c>
      <c r="B1836" t="str">
        <f>"1551689194689720"</f>
        <v>1551689194689720</v>
      </c>
      <c r="C1836" t="s">
        <v>40</v>
      </c>
      <c r="D1836">
        <v>3.8848370000000001</v>
      </c>
      <c r="E1836">
        <v>0.47373729999999997</v>
      </c>
      <c r="F1836" t="s">
        <v>50</v>
      </c>
      <c r="G1836">
        <v>-416.95479999999998</v>
      </c>
      <c r="H1836" s="1">
        <v>3.6994239999999999E-6</v>
      </c>
      <c r="I1836">
        <v>281.64229999999998</v>
      </c>
      <c r="J1836">
        <v>-390.54090000000002</v>
      </c>
      <c r="K1836">
        <v>1.111108</v>
      </c>
      <c r="L1836">
        <v>285.38909999999998</v>
      </c>
      <c r="M1836">
        <v>-0.99979660000000004</v>
      </c>
      <c r="N1836">
        <v>-1.401957E-2</v>
      </c>
      <c r="O1836">
        <v>1.450831E-2</v>
      </c>
      <c r="P1836">
        <v>-0.93097430000000003</v>
      </c>
      <c r="Q1836">
        <v>0.36233939999999998</v>
      </c>
      <c r="R1836">
        <v>-4.4691630000000003E-2</v>
      </c>
      <c r="S1836">
        <v>-3.253876</v>
      </c>
      <c r="T1836">
        <v>-0.1355566</v>
      </c>
      <c r="U1836">
        <v>-0.45666499999999999</v>
      </c>
      <c r="V1836">
        <v>-5.8183980000000003E-2</v>
      </c>
      <c r="W1836">
        <v>0.37534659999999997</v>
      </c>
      <c r="X1836">
        <v>0.92505649999999995</v>
      </c>
      <c r="Y1836">
        <v>-0.15315680000000001</v>
      </c>
      <c r="Z1836">
        <v>-4.6518769999999996E-3</v>
      </c>
      <c r="AA1836">
        <v>0.98819089999999998</v>
      </c>
      <c r="AB1836">
        <v>27</v>
      </c>
      <c r="AC1836">
        <v>-26.413899999999899</v>
      </c>
      <c r="AD1836">
        <v>-1.111104300576</v>
      </c>
      <c r="AE1836">
        <v>-3.7467999999999999</v>
      </c>
      <c r="AF1836">
        <v>-4.1225134260452396</v>
      </c>
      <c r="AG1836">
        <v>-1.111104300576</v>
      </c>
      <c r="AH1836">
        <v>26.311115719626201</v>
      </c>
      <c r="AI1836">
        <v>92.389020632281202</v>
      </c>
      <c r="AJ1836">
        <v>98.904894244658493</v>
      </c>
      <c r="AK1836">
        <v>26.655289908876298</v>
      </c>
      <c r="AL1836">
        <v>67.954263247877506</v>
      </c>
      <c r="AM1836">
        <v>93.5990349976761</v>
      </c>
      <c r="AN1836">
        <v>0.99999998692622505</v>
      </c>
    </row>
    <row r="1837" spans="1:40" x14ac:dyDescent="0.25">
      <c r="A1837" t="str">
        <f>"20190304164634722"</f>
        <v>20190304164634722</v>
      </c>
      <c r="B1837" t="str">
        <f>"1551689194719975"</f>
        <v>1551689194719975</v>
      </c>
      <c r="C1837" t="s">
        <v>40</v>
      </c>
      <c r="D1837">
        <v>3.8469419999999999</v>
      </c>
      <c r="E1837">
        <v>0.47272540000000002</v>
      </c>
      <c r="F1837" t="s">
        <v>50</v>
      </c>
      <c r="G1837">
        <v>-416.38249999999999</v>
      </c>
      <c r="H1837" s="1">
        <v>3.5968730000000001E-6</v>
      </c>
      <c r="I1837">
        <v>281.654</v>
      </c>
      <c r="J1837">
        <v>-390.81180000000001</v>
      </c>
      <c r="K1837">
        <v>1.111102</v>
      </c>
      <c r="L1837">
        <v>285.39299999999997</v>
      </c>
      <c r="M1837">
        <v>-0.99979669999999998</v>
      </c>
      <c r="N1837">
        <v>-1.4016880000000001E-2</v>
      </c>
      <c r="O1837">
        <v>1.450501E-2</v>
      </c>
      <c r="P1837">
        <v>-0.93118140000000005</v>
      </c>
      <c r="Q1837">
        <v>0.3618017</v>
      </c>
      <c r="R1837">
        <v>-4.473071E-2</v>
      </c>
      <c r="S1837">
        <v>-3.2543030000000002</v>
      </c>
      <c r="T1837">
        <v>-0.13992460000000001</v>
      </c>
      <c r="U1837">
        <v>-0.47036739999999999</v>
      </c>
      <c r="V1837">
        <v>-5.8222780000000002E-2</v>
      </c>
      <c r="W1837">
        <v>0.37480960000000002</v>
      </c>
      <c r="X1837">
        <v>0.92527179999999998</v>
      </c>
      <c r="Y1837">
        <v>-0.15719720000000001</v>
      </c>
      <c r="Z1837">
        <v>-4.8867590000000001E-3</v>
      </c>
      <c r="AA1837">
        <v>0.98755510000000002</v>
      </c>
      <c r="AB1837">
        <v>27</v>
      </c>
      <c r="AC1837">
        <v>-25.570699999999899</v>
      </c>
      <c r="AD1837">
        <v>-1.1110984031269999</v>
      </c>
      <c r="AE1837">
        <v>-3.7389999999999701</v>
      </c>
      <c r="AF1837">
        <v>-4.1019635113663098</v>
      </c>
      <c r="AG1837">
        <v>-1.1110984031269999</v>
      </c>
      <c r="AH1837">
        <v>25.466693248669799</v>
      </c>
      <c r="AI1837">
        <v>92.466450313981198</v>
      </c>
      <c r="AJ1837">
        <v>99.150137935900503</v>
      </c>
      <c r="AK1837">
        <v>25.8188518205565</v>
      </c>
      <c r="AL1837">
        <v>67.987454927262903</v>
      </c>
      <c r="AM1837">
        <v>93.600592894617705</v>
      </c>
      <c r="AN1837">
        <v>1.00000001611916</v>
      </c>
    </row>
    <row r="1838" spans="1:40" x14ac:dyDescent="0.25">
      <c r="A1838" t="str">
        <f>"20190304164634745"</f>
        <v>20190304164634745</v>
      </c>
      <c r="B1838" t="str">
        <f>"1551689194729736"</f>
        <v>1551689194729736</v>
      </c>
      <c r="C1838" t="s">
        <v>40</v>
      </c>
      <c r="D1838">
        <v>3.8746809999999998</v>
      </c>
      <c r="E1838">
        <v>0.47268470000000001</v>
      </c>
      <c r="F1838" t="s">
        <v>50</v>
      </c>
      <c r="G1838">
        <v>-415.71109999999999</v>
      </c>
      <c r="H1838" s="1">
        <v>3.471795E-6</v>
      </c>
      <c r="I1838">
        <v>281.72250000000003</v>
      </c>
      <c r="J1838">
        <v>-391.08510000000001</v>
      </c>
      <c r="K1838">
        <v>1.1111</v>
      </c>
      <c r="L1838">
        <v>285.39690000000002</v>
      </c>
      <c r="M1838">
        <v>-0.99979660000000004</v>
      </c>
      <c r="N1838">
        <v>-1.401411E-2</v>
      </c>
      <c r="O1838">
        <v>1.4504380000000001E-2</v>
      </c>
      <c r="P1838">
        <v>-0.93113500000000005</v>
      </c>
      <c r="Q1838">
        <v>0.36196919999999999</v>
      </c>
      <c r="R1838">
        <v>-4.433935E-2</v>
      </c>
      <c r="S1838">
        <v>-3.2550349999999999</v>
      </c>
      <c r="T1838">
        <v>-0.1452513</v>
      </c>
      <c r="U1838">
        <v>-0.47982789999999997</v>
      </c>
      <c r="V1838">
        <v>-5.7829039999999998E-2</v>
      </c>
      <c r="W1838">
        <v>0.37497399999999997</v>
      </c>
      <c r="X1838">
        <v>0.92522979999999999</v>
      </c>
      <c r="Y1838">
        <v>-0.15995799999999999</v>
      </c>
      <c r="Z1838">
        <v>-5.1171949999999997E-3</v>
      </c>
      <c r="AA1838">
        <v>0.98711059999999995</v>
      </c>
      <c r="AB1838">
        <v>27</v>
      </c>
      <c r="AC1838">
        <v>-24.625999999999902</v>
      </c>
      <c r="AD1838">
        <v>-1.111096528205</v>
      </c>
      <c r="AE1838">
        <v>-3.6743999999999901</v>
      </c>
      <c r="AF1838">
        <v>-4.0232215934853803</v>
      </c>
      <c r="AG1838">
        <v>-1.111096528205</v>
      </c>
      <c r="AH1838">
        <v>24.521277783120599</v>
      </c>
      <c r="AI1838">
        <v>92.560200715802196</v>
      </c>
      <c r="AJ1838">
        <v>99.317539899478504</v>
      </c>
      <c r="AK1838">
        <v>24.873960512999101</v>
      </c>
      <c r="AL1838">
        <v>67.977292737333897</v>
      </c>
      <c r="AM1838">
        <v>93.576468694155807</v>
      </c>
      <c r="AN1838">
        <v>0.99999994067567899</v>
      </c>
    </row>
    <row r="1839" spans="1:40" x14ac:dyDescent="0.25">
      <c r="A1839" t="str">
        <f>"20190304164634767"</f>
        <v>20190304164634767</v>
      </c>
      <c r="B1839" t="str">
        <f>"1551689194759991"</f>
        <v>1551689194759991</v>
      </c>
      <c r="C1839" t="s">
        <v>40</v>
      </c>
      <c r="D1839">
        <v>3.858374</v>
      </c>
      <c r="E1839">
        <v>0.47253299999999998</v>
      </c>
      <c r="F1839" t="s">
        <v>50</v>
      </c>
      <c r="G1839">
        <v>-416.09059999999999</v>
      </c>
      <c r="H1839" s="1">
        <v>3.5390930000000002E-6</v>
      </c>
      <c r="I1839">
        <v>281.72269999999997</v>
      </c>
      <c r="J1839">
        <v>-391.36009999999999</v>
      </c>
      <c r="K1839">
        <v>1.1110979999999999</v>
      </c>
      <c r="L1839">
        <v>285.40100000000001</v>
      </c>
      <c r="M1839">
        <v>-0.99979660000000004</v>
      </c>
      <c r="N1839">
        <v>-1.401119E-2</v>
      </c>
      <c r="O1839">
        <v>1.450453E-2</v>
      </c>
      <c r="P1839">
        <v>-0.93108829999999998</v>
      </c>
      <c r="Q1839">
        <v>0.36215049999999999</v>
      </c>
      <c r="R1839">
        <v>-4.3833360000000002E-2</v>
      </c>
      <c r="S1839">
        <v>-3.2553709999999998</v>
      </c>
      <c r="T1839">
        <v>-0.14464929999999901</v>
      </c>
      <c r="U1839">
        <v>-0.47833249999999999</v>
      </c>
      <c r="V1839">
        <v>-5.7322070000000003E-2</v>
      </c>
      <c r="W1839">
        <v>0.37515219999999999</v>
      </c>
      <c r="X1839">
        <v>0.92518920000000004</v>
      </c>
      <c r="Y1839">
        <v>-0.159501799999999</v>
      </c>
      <c r="Z1839">
        <v>-5.0860209999999996E-3</v>
      </c>
      <c r="AA1839">
        <v>0.98718450000000002</v>
      </c>
      <c r="AB1839">
        <v>27</v>
      </c>
      <c r="AC1839">
        <v>-24.730499999999999</v>
      </c>
      <c r="AD1839">
        <v>-1.1110944609069999</v>
      </c>
      <c r="AE1839">
        <v>-3.6783000000000299</v>
      </c>
      <c r="AF1839">
        <v>-4.0286964286716902</v>
      </c>
      <c r="AG1839">
        <v>-1.1110944609069999</v>
      </c>
      <c r="AH1839">
        <v>24.625908292675302</v>
      </c>
      <c r="AI1839">
        <v>92.549525454175495</v>
      </c>
      <c r="AJ1839">
        <v>99.291047926415999</v>
      </c>
      <c r="AK1839">
        <v>24.977996017589302</v>
      </c>
      <c r="AL1839">
        <v>67.966280527810198</v>
      </c>
      <c r="AM1839">
        <v>93.545350350693397</v>
      </c>
      <c r="AN1839">
        <v>1.00000002433528</v>
      </c>
    </row>
    <row r="1840" spans="1:40" x14ac:dyDescent="0.25">
      <c r="A1840" t="str">
        <f>"20190304164634789"</f>
        <v>20190304164634789</v>
      </c>
      <c r="B1840" t="str">
        <f>"1551689194780488"</f>
        <v>1551689194780488</v>
      </c>
      <c r="C1840" t="s">
        <v>40</v>
      </c>
      <c r="D1840">
        <v>3.853297</v>
      </c>
      <c r="E1840">
        <v>0.47242879999999998</v>
      </c>
      <c r="F1840" t="s">
        <v>50</v>
      </c>
      <c r="G1840">
        <v>-416.55279999999999</v>
      </c>
      <c r="H1840" s="1">
        <v>3.6228759999999998E-6</v>
      </c>
      <c r="I1840">
        <v>281.70209999999997</v>
      </c>
      <c r="J1840">
        <v>-391.61950000000002</v>
      </c>
      <c r="K1840">
        <v>1.1111</v>
      </c>
      <c r="L1840">
        <v>285.40469999999999</v>
      </c>
      <c r="M1840">
        <v>-0.99979669999999998</v>
      </c>
      <c r="N1840">
        <v>-1.4008369999999999E-2</v>
      </c>
      <c r="O1840">
        <v>1.4505280000000001E-2</v>
      </c>
      <c r="P1840">
        <v>-0.93114949999999996</v>
      </c>
      <c r="Q1840">
        <v>0.36202040000000002</v>
      </c>
      <c r="R1840">
        <v>-4.3612020000000001E-2</v>
      </c>
      <c r="S1840">
        <v>-3.2553709999999998</v>
      </c>
      <c r="T1840">
        <v>-0.1435746</v>
      </c>
      <c r="U1840">
        <v>-0.47796630000000001</v>
      </c>
      <c r="V1840">
        <v>-5.7101680000000002E-2</v>
      </c>
      <c r="W1840">
        <v>0.37502039999999998</v>
      </c>
      <c r="X1840">
        <v>0.92525619999999997</v>
      </c>
      <c r="Y1840">
        <v>-0.15939679999999901</v>
      </c>
      <c r="Z1840">
        <v>-5.051921E-3</v>
      </c>
      <c r="AA1840">
        <v>0.98720169999999996</v>
      </c>
      <c r="AB1840">
        <v>27</v>
      </c>
      <c r="AC1840">
        <v>-24.9332999999999</v>
      </c>
      <c r="AD1840">
        <v>-1.1110963771239999</v>
      </c>
      <c r="AE1840">
        <v>-3.7026000000000101</v>
      </c>
      <c r="AF1840">
        <v>-4.0560295286893497</v>
      </c>
      <c r="AG1840">
        <v>-1.1110963771239999</v>
      </c>
      <c r="AH1840">
        <v>24.828721821089498</v>
      </c>
      <c r="AI1840">
        <v>92.528825828982406</v>
      </c>
      <c r="AJ1840">
        <v>99.277907815356002</v>
      </c>
      <c r="AK1840">
        <v>25.182361643934499</v>
      </c>
      <c r="AL1840">
        <v>67.974425593551402</v>
      </c>
      <c r="AM1840">
        <v>93.531498777660204</v>
      </c>
      <c r="AN1840">
        <v>0.99999996895670995</v>
      </c>
    </row>
    <row r="1841" spans="1:40" x14ac:dyDescent="0.25">
      <c r="A1841" t="str">
        <f>"20190304164634811"</f>
        <v>20190304164634811</v>
      </c>
      <c r="B1841" t="str">
        <f>"1551689194800021"</f>
        <v>1551689194800021</v>
      </c>
      <c r="C1841" t="s">
        <v>40</v>
      </c>
      <c r="D1841">
        <v>3.8635100000000002</v>
      </c>
      <c r="E1841">
        <v>0.47233249999999999</v>
      </c>
      <c r="F1841" t="s">
        <v>50</v>
      </c>
      <c r="G1841">
        <v>-416.8972</v>
      </c>
      <c r="H1841" s="1">
        <v>3.6852209999999998E-6</v>
      </c>
      <c r="I1841">
        <v>281.68779999999998</v>
      </c>
      <c r="J1841">
        <v>-391.8809</v>
      </c>
      <c r="K1841">
        <v>1.1110990000000001</v>
      </c>
      <c r="L1841">
        <v>285.4085</v>
      </c>
      <c r="M1841">
        <v>-0.99979669999999998</v>
      </c>
      <c r="N1841">
        <v>-1.40056E-2</v>
      </c>
      <c r="O1841">
        <v>1.450596E-2</v>
      </c>
      <c r="P1841">
        <v>-0.93097759999999996</v>
      </c>
      <c r="Q1841">
        <v>0.36251280000000002</v>
      </c>
      <c r="R1841">
        <v>-4.318785E-2</v>
      </c>
      <c r="S1841">
        <v>-3.2550349999999999</v>
      </c>
      <c r="T1841">
        <v>-0.14307739999999999</v>
      </c>
      <c r="U1841">
        <v>-0.4786377</v>
      </c>
      <c r="V1841">
        <v>-5.6675740000000002E-2</v>
      </c>
      <c r="W1841">
        <v>0.37550840000000002</v>
      </c>
      <c r="X1841">
        <v>0.92508449999999998</v>
      </c>
      <c r="Y1841">
        <v>-0.15961239999999999</v>
      </c>
      <c r="Z1841">
        <v>-5.0440720000000001E-3</v>
      </c>
      <c r="AA1841">
        <v>0.98716689999999996</v>
      </c>
      <c r="AB1841">
        <v>27</v>
      </c>
      <c r="AC1841">
        <v>-25.016300000000001</v>
      </c>
      <c r="AD1841">
        <v>-1.1110953147789999</v>
      </c>
      <c r="AE1841">
        <v>-3.7207000000000199</v>
      </c>
      <c r="AF1841">
        <v>-4.0753640857653401</v>
      </c>
      <c r="AG1841">
        <v>-1.1110953147789999</v>
      </c>
      <c r="AH1841">
        <v>24.911610660406499</v>
      </c>
      <c r="AI1841">
        <v>92.520326873157501</v>
      </c>
      <c r="AJ1841">
        <v>99.290886499995295</v>
      </c>
      <c r="AK1841">
        <v>25.267201485834399</v>
      </c>
      <c r="AL1841">
        <v>67.944261808193204</v>
      </c>
      <c r="AM1841">
        <v>93.505871067956804</v>
      </c>
      <c r="AN1841">
        <v>1.00000001505767</v>
      </c>
    </row>
    <row r="1842" spans="1:40" x14ac:dyDescent="0.25">
      <c r="A1842" t="str">
        <f>"20190304164634834"</f>
        <v>20190304164634834</v>
      </c>
      <c r="B1842" t="str">
        <f>"1551689194830264"</f>
        <v>1551689194830264</v>
      </c>
      <c r="C1842" t="s">
        <v>40</v>
      </c>
      <c r="D1842">
        <v>3.8685290000000001</v>
      </c>
      <c r="E1842">
        <v>0.47257959999999899</v>
      </c>
      <c r="F1842" t="s">
        <v>50</v>
      </c>
      <c r="G1842">
        <v>-417.322</v>
      </c>
      <c r="H1842" s="1">
        <v>3.7618269999999998E-6</v>
      </c>
      <c r="I1842">
        <v>281.67340000000002</v>
      </c>
      <c r="J1842">
        <v>-392.14699999999999</v>
      </c>
      <c r="K1842">
        <v>1.1111009999999999</v>
      </c>
      <c r="L1842">
        <v>285.41239999999999</v>
      </c>
      <c r="M1842">
        <v>-0.99979680000000004</v>
      </c>
      <c r="N1842">
        <v>-1.4002830000000001E-2</v>
      </c>
      <c r="O1842">
        <v>1.450647E-2</v>
      </c>
      <c r="P1842">
        <v>-0.93101389999999995</v>
      </c>
      <c r="Q1842">
        <v>0.36250060000000001</v>
      </c>
      <c r="R1842">
        <v>-4.2503640000000002E-2</v>
      </c>
      <c r="S1842">
        <v>-3.255585</v>
      </c>
      <c r="T1842">
        <v>-0.142182</v>
      </c>
      <c r="U1842">
        <v>-0.47796630000000001</v>
      </c>
      <c r="V1842">
        <v>-5.5991489999999998E-2</v>
      </c>
      <c r="W1842">
        <v>0.37549379999999999</v>
      </c>
      <c r="X1842">
        <v>0.92513210000000001</v>
      </c>
      <c r="Y1842">
        <v>-0.15939220000000001</v>
      </c>
      <c r="Z1842">
        <v>-5.011153E-3</v>
      </c>
      <c r="AA1842">
        <v>0.98720260000000004</v>
      </c>
      <c r="AB1842">
        <v>27</v>
      </c>
      <c r="AC1842">
        <v>-25.174999999999901</v>
      </c>
      <c r="AD1842">
        <v>-1.111097238173</v>
      </c>
      <c r="AE1842">
        <v>-3.7389999999999701</v>
      </c>
      <c r="AF1842">
        <v>-4.0960362068350697</v>
      </c>
      <c r="AG1842">
        <v>-1.111097238173</v>
      </c>
      <c r="AH1842">
        <v>25.0703250855106</v>
      </c>
      <c r="AI1842">
        <v>92.504480054299194</v>
      </c>
      <c r="AJ1842">
        <v>99.279106012811695</v>
      </c>
      <c r="AK1842">
        <v>25.427018102277799</v>
      </c>
      <c r="AL1842">
        <v>67.945164526956106</v>
      </c>
      <c r="AM1842">
        <v>93.463470346071006</v>
      </c>
      <c r="AN1842">
        <v>1.00000002162063</v>
      </c>
    </row>
    <row r="1843" spans="1:40" x14ac:dyDescent="0.25">
      <c r="A1843" t="str">
        <f>"20190304164634857"</f>
        <v>20190304164634857</v>
      </c>
      <c r="B1843" t="str">
        <f>"1551689194849787"</f>
        <v>1551689194849787</v>
      </c>
      <c r="C1843" t="s">
        <v>40</v>
      </c>
      <c r="D1843">
        <v>3.8847879999999999</v>
      </c>
      <c r="E1843">
        <v>0.47233530000000001</v>
      </c>
      <c r="F1843" t="s">
        <v>50</v>
      </c>
      <c r="G1843">
        <v>-417.5557</v>
      </c>
      <c r="H1843" s="1">
        <v>3.8010359999999998E-6</v>
      </c>
      <c r="I1843">
        <v>281.69920000000002</v>
      </c>
      <c r="J1843">
        <v>-392.42910000000001</v>
      </c>
      <c r="K1843">
        <v>1.1111040000000001</v>
      </c>
      <c r="L1843">
        <v>285.41649999999998</v>
      </c>
      <c r="M1843">
        <v>-0.99979680000000004</v>
      </c>
      <c r="N1843">
        <v>-1.3999579999999999E-2</v>
      </c>
      <c r="O1843">
        <v>1.4506679999999999E-2</v>
      </c>
      <c r="P1843">
        <v>-0.93109010000000003</v>
      </c>
      <c r="Q1843">
        <v>0.36234470000000002</v>
      </c>
      <c r="R1843">
        <v>-4.2161860000000002E-2</v>
      </c>
      <c r="S1843">
        <v>-3.2560120000000001</v>
      </c>
      <c r="T1843">
        <v>-0.14238210000000001</v>
      </c>
      <c r="U1843">
        <v>-0.47583009999999898</v>
      </c>
      <c r="V1843">
        <v>-5.5650770000000002E-2</v>
      </c>
      <c r="W1843">
        <v>0.37533650000000002</v>
      </c>
      <c r="X1843">
        <v>0.9252165</v>
      </c>
      <c r="Y1843">
        <v>-0.15873999999999999</v>
      </c>
      <c r="Z1843">
        <v>-4.9975260000000004E-3</v>
      </c>
      <c r="AA1843">
        <v>0.98730779999999996</v>
      </c>
      <c r="AB1843">
        <v>27</v>
      </c>
      <c r="AC1843">
        <v>-25.1266</v>
      </c>
      <c r="AD1843">
        <v>-1.1111001989639999</v>
      </c>
      <c r="AE1843">
        <v>-3.7172999999999599</v>
      </c>
      <c r="AF1843">
        <v>-4.0736529464759101</v>
      </c>
      <c r="AG1843">
        <v>-1.1111001989639999</v>
      </c>
      <c r="AH1843">
        <v>25.022143797067599</v>
      </c>
      <c r="AI1843">
        <v>92.509533969549594</v>
      </c>
      <c r="AJ1843">
        <v>99.246738899540006</v>
      </c>
      <c r="AK1843">
        <v>25.375911258151799</v>
      </c>
      <c r="AL1843">
        <v>67.954888678235505</v>
      </c>
      <c r="AM1843">
        <v>93.442131967417097</v>
      </c>
      <c r="AN1843">
        <v>1.00000003415304</v>
      </c>
    </row>
    <row r="1844" spans="1:40" x14ac:dyDescent="0.25">
      <c r="A1844" t="str">
        <f>"20190304164634879"</f>
        <v>20190304164634879</v>
      </c>
      <c r="B1844" t="str">
        <f>"1551689194870280"</f>
        <v>1551689194870280</v>
      </c>
      <c r="C1844" t="s">
        <v>40</v>
      </c>
      <c r="D1844">
        <v>3.9020320000000002</v>
      </c>
      <c r="E1844">
        <v>0.4722537</v>
      </c>
      <c r="F1844" t="s">
        <v>50</v>
      </c>
      <c r="G1844">
        <v>-417.69029999999998</v>
      </c>
      <c r="H1844" s="1">
        <v>3.8230709999999997E-6</v>
      </c>
      <c r="I1844">
        <v>281.72019999999998</v>
      </c>
      <c r="J1844">
        <v>-392.6841</v>
      </c>
      <c r="K1844">
        <v>1.111102</v>
      </c>
      <c r="L1844">
        <v>285.42020000000002</v>
      </c>
      <c r="M1844">
        <v>-0.99979700000000005</v>
      </c>
      <c r="N1844">
        <v>-1.3994680000000001E-2</v>
      </c>
      <c r="O1844">
        <v>1.4506710000000001E-2</v>
      </c>
      <c r="P1844">
        <v>-0.93095930000000005</v>
      </c>
      <c r="Q1844">
        <v>0.36265160000000002</v>
      </c>
      <c r="R1844">
        <v>-4.2418360000000002E-2</v>
      </c>
      <c r="S1844">
        <v>-3.2562259999999998</v>
      </c>
      <c r="T1844">
        <v>-0.14322379999999901</v>
      </c>
      <c r="U1844">
        <v>-0.47647089999999998</v>
      </c>
      <c r="V1844">
        <v>-5.5905059999999999E-2</v>
      </c>
      <c r="W1844">
        <v>0.37563659999999999</v>
      </c>
      <c r="X1844">
        <v>0.92507930000000005</v>
      </c>
      <c r="Y1844">
        <v>-0.1589187</v>
      </c>
      <c r="Z1844">
        <v>-5.0261780000000001E-3</v>
      </c>
      <c r="AA1844">
        <v>0.98727889999999996</v>
      </c>
      <c r="AB1844">
        <v>27</v>
      </c>
      <c r="AC1844">
        <v>-25.0061999999999</v>
      </c>
      <c r="AD1844">
        <v>-1.111098176929</v>
      </c>
      <c r="AE1844">
        <v>-3.7000000000000401</v>
      </c>
      <c r="AF1844">
        <v>-4.0545703663568098</v>
      </c>
      <c r="AG1844">
        <v>-1.111098176929</v>
      </c>
      <c r="AH1844">
        <v>24.901778173785001</v>
      </c>
      <c r="AI1844">
        <v>92.521635657267396</v>
      </c>
      <c r="AJ1844">
        <v>99.247889155802895</v>
      </c>
      <c r="AK1844">
        <v>25.254160770671199</v>
      </c>
      <c r="AL1844">
        <v>67.936335265915403</v>
      </c>
      <c r="AM1844">
        <v>93.458333920809906</v>
      </c>
      <c r="AN1844">
        <v>0.99999997114082595</v>
      </c>
    </row>
    <row r="1845" spans="1:40" x14ac:dyDescent="0.25">
      <c r="A1845" t="str">
        <f>"20190304164634900"</f>
        <v>20190304164634900</v>
      </c>
      <c r="B1845" t="str">
        <f>"1551689194889803"</f>
        <v>1551689194889803</v>
      </c>
      <c r="C1845" t="s">
        <v>40</v>
      </c>
      <c r="D1845">
        <v>3.964108</v>
      </c>
      <c r="E1845">
        <v>0.4722036</v>
      </c>
      <c r="F1845" t="s">
        <v>50</v>
      </c>
      <c r="G1845">
        <v>-418.06889999999999</v>
      </c>
      <c r="H1845" s="1">
        <v>3.8920969999999997E-6</v>
      </c>
      <c r="I1845">
        <v>281.69880000000001</v>
      </c>
      <c r="J1845">
        <v>-392.94049999999999</v>
      </c>
      <c r="K1845">
        <v>1.1110979999999999</v>
      </c>
      <c r="L1845">
        <v>285.4239</v>
      </c>
      <c r="M1845">
        <v>-0.99979700000000005</v>
      </c>
      <c r="N1845">
        <v>-1.398683E-2</v>
      </c>
      <c r="O1845">
        <v>1.4506949999999999E-2</v>
      </c>
      <c r="P1845">
        <v>-0.93105919999999998</v>
      </c>
      <c r="Q1845">
        <v>0.36237989999999998</v>
      </c>
      <c r="R1845">
        <v>-4.2540849999999998E-2</v>
      </c>
      <c r="S1845">
        <v>-3.2562259999999998</v>
      </c>
      <c r="T1845">
        <v>-0.14252590000000001</v>
      </c>
      <c r="U1845">
        <v>-0.477356</v>
      </c>
      <c r="V1845">
        <v>-5.6029629999999997E-2</v>
      </c>
      <c r="W1845">
        <v>0.375359</v>
      </c>
      <c r="X1845">
        <v>0.92518449999999997</v>
      </c>
      <c r="Y1845">
        <v>-0.15918309999999999</v>
      </c>
      <c r="Z1845">
        <v>-5.0132179999999998E-3</v>
      </c>
      <c r="AA1845">
        <v>0.98723629999999996</v>
      </c>
      <c r="AB1845">
        <v>27</v>
      </c>
      <c r="AC1845">
        <v>-25.128399999999999</v>
      </c>
      <c r="AD1845">
        <v>-1.1110941079029999</v>
      </c>
      <c r="AE1845">
        <v>-3.7250999999999901</v>
      </c>
      <c r="AF1845">
        <v>-4.0814718579085199</v>
      </c>
      <c r="AG1845">
        <v>-1.1110941079029999</v>
      </c>
      <c r="AH1845">
        <v>25.0238376556463</v>
      </c>
      <c r="AI1845">
        <v>92.509230662943395</v>
      </c>
      <c r="AJ1845">
        <v>99.263563305197906</v>
      </c>
      <c r="AK1845">
        <v>25.378837515923699</v>
      </c>
      <c r="AL1845">
        <v>67.953497703080799</v>
      </c>
      <c r="AM1845">
        <v>93.465628009789995</v>
      </c>
      <c r="AN1845">
        <v>1.00000002867959</v>
      </c>
    </row>
    <row r="1846" spans="1:40" x14ac:dyDescent="0.25">
      <c r="A1846" t="str">
        <f>"20190304164634923"</f>
        <v>20190304164634923</v>
      </c>
      <c r="B1846" t="str">
        <f>"1551689194920055"</f>
        <v>1551689194920055</v>
      </c>
      <c r="C1846" t="s">
        <v>40</v>
      </c>
      <c r="D1846">
        <v>3.9059729999999999</v>
      </c>
      <c r="E1846">
        <v>0.47209669999999998</v>
      </c>
      <c r="F1846" t="s">
        <v>50</v>
      </c>
      <c r="G1846">
        <v>-418.1934</v>
      </c>
      <c r="H1846" s="1">
        <v>3.9127849999999998E-6</v>
      </c>
      <c r="I1846">
        <v>281.71480000000003</v>
      </c>
      <c r="J1846">
        <v>-393.21120000000002</v>
      </c>
      <c r="K1846">
        <v>1.1110949999999999</v>
      </c>
      <c r="L1846">
        <v>285.42779999999999</v>
      </c>
      <c r="M1846">
        <v>-0.99979720000000005</v>
      </c>
      <c r="N1846">
        <v>-1.3972770000000001E-2</v>
      </c>
      <c r="O1846">
        <v>1.4507050000000001E-2</v>
      </c>
      <c r="P1846">
        <v>-0.93128200000000005</v>
      </c>
      <c r="Q1846">
        <v>0.36178640000000001</v>
      </c>
      <c r="R1846">
        <v>-4.2714820000000001E-2</v>
      </c>
      <c r="S1846">
        <v>-3.2560120000000001</v>
      </c>
      <c r="T1846">
        <v>-0.1432602</v>
      </c>
      <c r="U1846">
        <v>-0.47824100000000003</v>
      </c>
      <c r="V1846">
        <v>-5.6206779999999998E-2</v>
      </c>
      <c r="W1846">
        <v>0.37475570000000002</v>
      </c>
      <c r="X1846">
        <v>0.92541830000000003</v>
      </c>
      <c r="Y1846">
        <v>-0.15945299999999901</v>
      </c>
      <c r="Z1846">
        <v>-5.0413960000000001E-3</v>
      </c>
      <c r="AA1846">
        <v>0.98719259999999998</v>
      </c>
      <c r="AB1846">
        <v>27</v>
      </c>
      <c r="AC1846">
        <v>-24.982199999999899</v>
      </c>
      <c r="AD1846">
        <v>-1.1110910872149999</v>
      </c>
      <c r="AE1846">
        <v>-3.7129999999999601</v>
      </c>
      <c r="AF1846">
        <v>-4.0671913309624204</v>
      </c>
      <c r="AG1846">
        <v>-1.1110910872149999</v>
      </c>
      <c r="AH1846">
        <v>24.877555000228998</v>
      </c>
      <c r="AI1846">
        <v>92.523804961397602</v>
      </c>
      <c r="AJ1846">
        <v>99.285051054257295</v>
      </c>
      <c r="AK1846">
        <v>25.2323069004037</v>
      </c>
      <c r="AL1846">
        <v>67.990786359601202</v>
      </c>
      <c r="AM1846">
        <v>93.475682349266194</v>
      </c>
      <c r="AN1846">
        <v>1.00000003338767</v>
      </c>
    </row>
    <row r="1847" spans="1:40" x14ac:dyDescent="0.25">
      <c r="A1847" t="str">
        <f>"20190304164634947"</f>
        <v>20190304164634947</v>
      </c>
      <c r="B1847" t="str">
        <f>"1551689194940553"</f>
        <v>1551689194940553</v>
      </c>
      <c r="C1847" t="s">
        <v>40</v>
      </c>
      <c r="D1847">
        <v>3.8932859999999998</v>
      </c>
      <c r="E1847">
        <v>0.47200809999999999</v>
      </c>
      <c r="F1847" t="s">
        <v>50</v>
      </c>
      <c r="G1847">
        <v>-418.1515</v>
      </c>
      <c r="H1847" s="1">
        <v>3.901876E-6</v>
      </c>
      <c r="I1847">
        <v>281.75450000000001</v>
      </c>
      <c r="J1847">
        <v>-393.49209999999999</v>
      </c>
      <c r="K1847">
        <v>1.111086</v>
      </c>
      <c r="L1847">
        <v>285.43189999999998</v>
      </c>
      <c r="M1847">
        <v>-0.99979750000000001</v>
      </c>
      <c r="N1847">
        <v>-1.3955270000000001E-2</v>
      </c>
      <c r="O1847">
        <v>1.450717E-2</v>
      </c>
      <c r="P1847">
        <v>-0.93139419999999995</v>
      </c>
      <c r="Q1847">
        <v>0.3614832</v>
      </c>
      <c r="R1847">
        <v>-4.2837890000000003E-2</v>
      </c>
      <c r="S1847">
        <v>-3.2557369999999999</v>
      </c>
      <c r="T1847">
        <v>-0.14504359999999999</v>
      </c>
      <c r="U1847">
        <v>-0.47952270000000002</v>
      </c>
      <c r="V1847">
        <v>-5.6331510000000001E-2</v>
      </c>
      <c r="W1847">
        <v>0.3744382</v>
      </c>
      <c r="X1847">
        <v>0.92553920000000001</v>
      </c>
      <c r="Y1847">
        <v>-0.15984039999999999</v>
      </c>
      <c r="Z1847">
        <v>-5.1030980000000004E-3</v>
      </c>
      <c r="AA1847">
        <v>0.9871297</v>
      </c>
      <c r="AB1847">
        <v>27</v>
      </c>
      <c r="AC1847">
        <v>-24.659400000000002</v>
      </c>
      <c r="AD1847">
        <v>-1.1110820981239999</v>
      </c>
      <c r="AE1847">
        <v>-3.6773999999999698</v>
      </c>
      <c r="AF1847">
        <v>-4.0267887176714598</v>
      </c>
      <c r="AG1847">
        <v>-1.1110820981239999</v>
      </c>
      <c r="AH1847">
        <v>24.554685511205101</v>
      </c>
      <c r="AI1847">
        <v>92.556720707876394</v>
      </c>
      <c r="AJ1847">
        <v>99.313190566149203</v>
      </c>
      <c r="AK1847">
        <v>24.907470994858599</v>
      </c>
      <c r="AL1847">
        <v>68.010405749609902</v>
      </c>
      <c r="AM1847">
        <v>93.4829224587493</v>
      </c>
      <c r="AN1847">
        <v>1.0000000076873801</v>
      </c>
    </row>
    <row r="1848" spans="1:40" x14ac:dyDescent="0.25">
      <c r="A1848" t="str">
        <f>"20190304164634968"</f>
        <v>20190304164634968</v>
      </c>
      <c r="B1848" t="str">
        <f>"1551689194960073"</f>
        <v>1551689194960073</v>
      </c>
      <c r="C1848" t="s">
        <v>40</v>
      </c>
      <c r="D1848">
        <v>3.8994300000000002</v>
      </c>
      <c r="E1848">
        <v>0.47192840000000003</v>
      </c>
      <c r="F1848" t="s">
        <v>50</v>
      </c>
      <c r="G1848">
        <v>-418.30200000000002</v>
      </c>
      <c r="H1848" s="1">
        <v>3.9276259999999998E-6</v>
      </c>
      <c r="I1848">
        <v>281.7654</v>
      </c>
      <c r="J1848">
        <v>-393.75049999999999</v>
      </c>
      <c r="K1848">
        <v>1.1110819999999999</v>
      </c>
      <c r="L1848">
        <v>285.4357</v>
      </c>
      <c r="M1848">
        <v>-0.99979770000000001</v>
      </c>
      <c r="N1848">
        <v>-1.3939719999999999E-2</v>
      </c>
      <c r="O1848">
        <v>1.45071E-2</v>
      </c>
      <c r="P1848">
        <v>-0.93137829999999999</v>
      </c>
      <c r="Q1848">
        <v>0.36149690000000001</v>
      </c>
      <c r="R1848">
        <v>-4.3064909999999998E-2</v>
      </c>
      <c r="S1848">
        <v>-3.2554319999999999</v>
      </c>
      <c r="T1848">
        <v>-0.1457907</v>
      </c>
      <c r="U1848">
        <v>-0.48110960000000003</v>
      </c>
      <c r="V1848">
        <v>-5.6558820000000003E-2</v>
      </c>
      <c r="W1848">
        <v>0.37443729999999997</v>
      </c>
      <c r="X1848">
        <v>0.92552570000000001</v>
      </c>
      <c r="Y1848">
        <v>-0.1603221</v>
      </c>
      <c r="Z1848">
        <v>-5.1379870000000001E-3</v>
      </c>
      <c r="AA1848">
        <v>0.98705140000000002</v>
      </c>
      <c r="AB1848">
        <v>27</v>
      </c>
      <c r="AC1848">
        <v>-24.551499999999901</v>
      </c>
      <c r="AD1848">
        <v>-1.1110780723739999</v>
      </c>
      <c r="AE1848">
        <v>-3.6702999999999899</v>
      </c>
      <c r="AF1848">
        <v>-4.0180701435256099</v>
      </c>
      <c r="AG1848">
        <v>-1.1110780723739999</v>
      </c>
      <c r="AH1848">
        <v>24.446692555753501</v>
      </c>
      <c r="AI1848">
        <v>92.567839821662901</v>
      </c>
      <c r="AJ1848">
        <v>99.333710820495298</v>
      </c>
      <c r="AK1848">
        <v>24.799599978159598</v>
      </c>
      <c r="AL1848">
        <v>68.010461335277299</v>
      </c>
      <c r="AM1848">
        <v>93.496992889505705</v>
      </c>
      <c r="AN1848">
        <v>1.0000000065557799</v>
      </c>
    </row>
    <row r="1849" spans="1:40" x14ac:dyDescent="0.25">
      <c r="A1849" t="str">
        <f>"20190304164634990"</f>
        <v>20190304164634990</v>
      </c>
      <c r="B1849" t="str">
        <f>"1551689194980568"</f>
        <v>1551689194980568</v>
      </c>
      <c r="C1849" t="s">
        <v>40</v>
      </c>
      <c r="D1849">
        <v>3.918647</v>
      </c>
      <c r="E1849">
        <v>0.47182390000000002</v>
      </c>
      <c r="F1849" t="s">
        <v>50</v>
      </c>
      <c r="G1849">
        <v>-418.61559999999997</v>
      </c>
      <c r="H1849" s="1">
        <v>3.984993E-6</v>
      </c>
      <c r="I1849">
        <v>281.74549999999999</v>
      </c>
      <c r="J1849">
        <v>-394.00189999999998</v>
      </c>
      <c r="K1849">
        <v>1.111081</v>
      </c>
      <c r="L1849">
        <v>285.4393</v>
      </c>
      <c r="M1849">
        <v>-0.99979779999999996</v>
      </c>
      <c r="N1849">
        <v>-1.392183E-2</v>
      </c>
      <c r="O1849">
        <v>1.4507229999999999E-2</v>
      </c>
      <c r="P1849">
        <v>-0.93137510000000001</v>
      </c>
      <c r="Q1849">
        <v>0.36148269999999999</v>
      </c>
      <c r="R1849">
        <v>-4.325238E-2</v>
      </c>
      <c r="S1849">
        <v>-3.2551269999999999</v>
      </c>
      <c r="T1849">
        <v>-0.1454532</v>
      </c>
      <c r="U1849">
        <v>-0.4830933</v>
      </c>
      <c r="V1849">
        <v>-5.6745810000000001E-2</v>
      </c>
      <c r="W1849">
        <v>0.37440630000000003</v>
      </c>
      <c r="X1849">
        <v>0.92552679999999998</v>
      </c>
      <c r="Y1849">
        <v>-0.16092419999999999</v>
      </c>
      <c r="Z1849">
        <v>-5.1449109999999899E-3</v>
      </c>
      <c r="AA1849">
        <v>0.98695339999999998</v>
      </c>
      <c r="AB1849">
        <v>27</v>
      </c>
      <c r="AC1849">
        <v>-24.613699999999898</v>
      </c>
      <c r="AD1849">
        <v>-1.111077015007</v>
      </c>
      <c r="AE1849">
        <v>-3.6938</v>
      </c>
      <c r="AF1849">
        <v>-4.0424666378110299</v>
      </c>
      <c r="AG1849">
        <v>-1.111077015007</v>
      </c>
      <c r="AH1849">
        <v>24.508676546196401</v>
      </c>
      <c r="AI1849">
        <v>92.561114105079994</v>
      </c>
      <c r="AJ1849">
        <v>99.366051011189299</v>
      </c>
      <c r="AK1849">
        <v>24.864658748858201</v>
      </c>
      <c r="AL1849">
        <v>68.0123769434568</v>
      </c>
      <c r="AM1849">
        <v>93.508521360136896</v>
      </c>
      <c r="AN1849">
        <v>1.0000000109752401</v>
      </c>
    </row>
    <row r="1850" spans="1:40" x14ac:dyDescent="0.25">
      <c r="A1850" t="str">
        <f>"20190304164635012"</f>
        <v>20190304164635012</v>
      </c>
      <c r="B1850" t="str">
        <f>"1551689195009849"</f>
        <v>1551689195009849</v>
      </c>
      <c r="C1850" t="s">
        <v>40</v>
      </c>
      <c r="D1850">
        <v>3.9272480000000001</v>
      </c>
      <c r="E1850">
        <v>0.47174280000000002</v>
      </c>
      <c r="F1850" t="s">
        <v>50</v>
      </c>
      <c r="G1850">
        <v>-418.92750000000001</v>
      </c>
      <c r="H1850" s="1">
        <v>4.041747E-6</v>
      </c>
      <c r="I1850">
        <v>281.72910000000002</v>
      </c>
      <c r="J1850">
        <v>-394.2663</v>
      </c>
      <c r="K1850">
        <v>1.111081</v>
      </c>
      <c r="L1850">
        <v>285.44319999999999</v>
      </c>
      <c r="M1850">
        <v>-0.99979819999999997</v>
      </c>
      <c r="N1850">
        <v>-1.389425E-2</v>
      </c>
      <c r="O1850">
        <v>1.450712E-2</v>
      </c>
      <c r="P1850">
        <v>-0.93133370000000004</v>
      </c>
      <c r="Q1850">
        <v>0.36163089999999998</v>
      </c>
      <c r="R1850">
        <v>-4.2903799999999999E-2</v>
      </c>
      <c r="S1850">
        <v>-3.2548520000000001</v>
      </c>
      <c r="T1850">
        <v>-0.14508750000000001</v>
      </c>
      <c r="U1850">
        <v>-0.48449710000000001</v>
      </c>
      <c r="V1850">
        <v>-5.6396809999999999E-2</v>
      </c>
      <c r="W1850">
        <v>0.3745289</v>
      </c>
      <c r="X1850">
        <v>0.9254985</v>
      </c>
      <c r="Y1850">
        <v>-0.1613532</v>
      </c>
      <c r="Z1850">
        <v>-5.1452349999999997E-3</v>
      </c>
      <c r="AA1850">
        <v>0.98688330000000002</v>
      </c>
      <c r="AB1850">
        <v>26</v>
      </c>
      <c r="AC1850">
        <v>-24.661200000000001</v>
      </c>
      <c r="AD1850">
        <v>-1.111076958253</v>
      </c>
      <c r="AE1850">
        <v>-3.71409999999997</v>
      </c>
      <c r="AF1850">
        <v>-4.0634414446751004</v>
      </c>
      <c r="AG1850">
        <v>-1.111076958253</v>
      </c>
      <c r="AH1850">
        <v>24.555979214015</v>
      </c>
      <c r="AI1850">
        <v>92.555966782344797</v>
      </c>
      <c r="AJ1850">
        <v>99.395969888677499</v>
      </c>
      <c r="AK1850">
        <v>24.9146977413053</v>
      </c>
      <c r="AL1850">
        <v>68.004800681323403</v>
      </c>
      <c r="AM1850">
        <v>93.487102902921194</v>
      </c>
      <c r="AN1850">
        <v>0.99999998530781797</v>
      </c>
    </row>
    <row r="1851" spans="1:40" x14ac:dyDescent="0.25">
      <c r="A1851" t="str">
        <f>"20190304164635035"</f>
        <v>20190304164635035</v>
      </c>
      <c r="B1851" t="str">
        <f>"1551689195030344"</f>
        <v>1551689195030344</v>
      </c>
      <c r="C1851" t="s">
        <v>40</v>
      </c>
      <c r="D1851">
        <v>3.903575</v>
      </c>
      <c r="E1851">
        <v>0.47156690000000001</v>
      </c>
      <c r="F1851" t="s">
        <v>50</v>
      </c>
      <c r="G1851">
        <v>-419.3252</v>
      </c>
      <c r="H1851" s="1">
        <v>4.1133339999999997E-6</v>
      </c>
      <c r="I1851">
        <v>281.71710000000002</v>
      </c>
      <c r="J1851">
        <v>-394.53620000000001</v>
      </c>
      <c r="K1851">
        <v>1.1110789999999999</v>
      </c>
      <c r="L1851">
        <v>285.44709999999998</v>
      </c>
      <c r="M1851">
        <v>-0.99979879999999999</v>
      </c>
      <c r="N1851">
        <v>-1.3849449999999999E-2</v>
      </c>
      <c r="O1851">
        <v>1.450708E-2</v>
      </c>
      <c r="P1851">
        <v>-0.93132610000000005</v>
      </c>
      <c r="Q1851">
        <v>0.3617262</v>
      </c>
      <c r="R1851">
        <v>-4.2256969999999998E-2</v>
      </c>
      <c r="S1851">
        <v>-3.2549130000000002</v>
      </c>
      <c r="T1851">
        <v>-0.1443188</v>
      </c>
      <c r="U1851">
        <v>-0.48397829999999997</v>
      </c>
      <c r="V1851">
        <v>-5.5749399999999998E-2</v>
      </c>
      <c r="W1851">
        <v>0.37458229999999998</v>
      </c>
      <c r="X1851">
        <v>0.92551609999999995</v>
      </c>
      <c r="Y1851">
        <v>-0.16119890000000001</v>
      </c>
      <c r="Z1851">
        <v>-5.1153919999999999E-3</v>
      </c>
      <c r="AA1851">
        <v>0.98690869999999997</v>
      </c>
      <c r="AB1851">
        <v>26</v>
      </c>
      <c r="AC1851">
        <v>-24.788999999999898</v>
      </c>
      <c r="AD1851">
        <v>-1.1110748866660001</v>
      </c>
      <c r="AE1851">
        <v>-3.72999999999996</v>
      </c>
      <c r="AF1851">
        <v>-4.0812404480986997</v>
      </c>
      <c r="AG1851">
        <v>-1.1110748866660001</v>
      </c>
      <c r="AH1851">
        <v>24.6837837238817</v>
      </c>
      <c r="AI1851">
        <v>92.542800990673996</v>
      </c>
      <c r="AJ1851">
        <v>99.388401752165606</v>
      </c>
      <c r="AK1851">
        <v>25.0435658388805</v>
      </c>
      <c r="AL1851">
        <v>68.001500595599396</v>
      </c>
      <c r="AM1851">
        <v>93.447104224749694</v>
      </c>
      <c r="AN1851">
        <v>0.99999997321642897</v>
      </c>
    </row>
    <row r="1852" spans="1:40" x14ac:dyDescent="0.25">
      <c r="A1852" t="str">
        <f>"20190304164635057"</f>
        <v>20190304164635057</v>
      </c>
      <c r="B1852" t="str">
        <f>"1551689195049867"</f>
        <v>1551689195049867</v>
      </c>
      <c r="C1852" t="s">
        <v>40</v>
      </c>
      <c r="D1852">
        <v>3.889618</v>
      </c>
      <c r="E1852">
        <v>0.47136289999999997</v>
      </c>
      <c r="F1852" t="s">
        <v>50</v>
      </c>
      <c r="G1852">
        <v>-419.55309999999997</v>
      </c>
      <c r="H1852" s="1">
        <v>4.1521049999999999E-6</v>
      </c>
      <c r="I1852">
        <v>281.73610000000002</v>
      </c>
      <c r="J1852">
        <v>-394.79989999999998</v>
      </c>
      <c r="K1852">
        <v>1.111073</v>
      </c>
      <c r="L1852">
        <v>285.45089999999999</v>
      </c>
      <c r="M1852">
        <v>-0.99979969999999996</v>
      </c>
      <c r="N1852">
        <v>-1.379155E-2</v>
      </c>
      <c r="O1852">
        <v>1.4507010000000001E-2</v>
      </c>
      <c r="P1852">
        <v>-0.93108400000000002</v>
      </c>
      <c r="Q1852">
        <v>0.36234129999999998</v>
      </c>
      <c r="R1852">
        <v>-4.2322230000000002E-2</v>
      </c>
      <c r="S1852">
        <v>-3.2554630000000002</v>
      </c>
      <c r="T1852">
        <v>-0.14458480000000001</v>
      </c>
      <c r="U1852">
        <v>-0.48291020000000001</v>
      </c>
      <c r="V1852">
        <v>-5.581129E-2</v>
      </c>
      <c r="W1852">
        <v>0.37514059999999999</v>
      </c>
      <c r="X1852">
        <v>0.92528619999999995</v>
      </c>
      <c r="Y1852">
        <v>-0.1608578</v>
      </c>
      <c r="Z1852">
        <v>-5.1087160000000001E-3</v>
      </c>
      <c r="AA1852">
        <v>0.98696439999999996</v>
      </c>
      <c r="AB1852">
        <v>26</v>
      </c>
      <c r="AC1852">
        <v>-24.7532</v>
      </c>
      <c r="AD1852">
        <v>-1.1110688478949999</v>
      </c>
      <c r="AE1852">
        <v>-3.7147999999999599</v>
      </c>
      <c r="AF1852">
        <v>-4.0655274963553403</v>
      </c>
      <c r="AG1852">
        <v>-1.1110688478949999</v>
      </c>
      <c r="AH1852">
        <v>24.6481331028168</v>
      </c>
      <c r="AI1852">
        <v>92.546623050801301</v>
      </c>
      <c r="AJ1852">
        <v>99.366184216310401</v>
      </c>
      <c r="AK1852">
        <v>25.005868376494199</v>
      </c>
      <c r="AL1852">
        <v>67.966996053012494</v>
      </c>
      <c r="AM1852">
        <v>93.451777128122799</v>
      </c>
      <c r="AN1852">
        <v>0.99999996088513099</v>
      </c>
    </row>
    <row r="1853" spans="1:40" x14ac:dyDescent="0.25">
      <c r="A1853" t="str">
        <f>"20190304164635079"</f>
        <v>20190304164635079</v>
      </c>
      <c r="B1853" t="str">
        <f>"1551689195070360"</f>
        <v>1551689195070360</v>
      </c>
      <c r="C1853" t="s">
        <v>40</v>
      </c>
      <c r="D1853">
        <v>3.9598080000000002</v>
      </c>
      <c r="E1853">
        <v>0.47136739999999999</v>
      </c>
      <c r="F1853" t="s">
        <v>50</v>
      </c>
      <c r="G1853">
        <v>-420.13780000000003</v>
      </c>
      <c r="H1853" s="1">
        <v>4.1971760000000004E-6</v>
      </c>
      <c r="I1853">
        <v>281.67630000000003</v>
      </c>
      <c r="J1853">
        <v>-395.05759999999998</v>
      </c>
      <c r="K1853">
        <v>1.1110610000000001</v>
      </c>
      <c r="L1853">
        <v>285.45460000000003</v>
      </c>
      <c r="M1853">
        <v>-0.99980060000000004</v>
      </c>
      <c r="N1853">
        <v>-1.3730920000000001E-2</v>
      </c>
      <c r="O1853">
        <v>1.4506710000000001E-2</v>
      </c>
      <c r="P1853">
        <v>-0.93106279999999997</v>
      </c>
      <c r="Q1853">
        <v>0.36239860000000002</v>
      </c>
      <c r="R1853">
        <v>-4.2301690000000003E-2</v>
      </c>
      <c r="S1853">
        <v>-3.255585</v>
      </c>
      <c r="T1853">
        <v>-0.14275769999999999</v>
      </c>
      <c r="U1853">
        <v>-0.48498540000000001</v>
      </c>
      <c r="V1853">
        <v>-5.5790079999999999E-2</v>
      </c>
      <c r="W1853">
        <v>0.37514150000000002</v>
      </c>
      <c r="X1853">
        <v>0.92528710000000003</v>
      </c>
      <c r="Y1853">
        <v>-0.161471799999999</v>
      </c>
      <c r="Z1853">
        <v>-5.069077E-3</v>
      </c>
      <c r="AA1853">
        <v>0.98686430000000003</v>
      </c>
      <c r="AB1853">
        <v>26</v>
      </c>
      <c r="AC1853">
        <v>-25.080200000000001</v>
      </c>
      <c r="AD1853">
        <v>-1.111056802824</v>
      </c>
      <c r="AE1853">
        <v>-3.7783000000000002</v>
      </c>
      <c r="AF1853">
        <v>-4.1338351569701199</v>
      </c>
      <c r="AG1853">
        <v>-1.111056802824</v>
      </c>
      <c r="AH1853">
        <v>24.974818994076202</v>
      </c>
      <c r="AI1853">
        <v>92.513094306897997</v>
      </c>
      <c r="AJ1853">
        <v>99.398393798825097</v>
      </c>
      <c r="AK1853">
        <v>25.338994141657899</v>
      </c>
      <c r="AL1853">
        <v>67.966940119244299</v>
      </c>
      <c r="AM1853">
        <v>93.450465168924495</v>
      </c>
      <c r="AN1853">
        <v>0.99999994773753098</v>
      </c>
    </row>
    <row r="1854" spans="1:40" x14ac:dyDescent="0.25">
      <c r="A1854" t="str">
        <f>"20190304164635100"</f>
        <v>20190304164635100</v>
      </c>
      <c r="B1854" t="str">
        <f>"1551689195089880"</f>
        <v>1551689195089880</v>
      </c>
      <c r="C1854" t="s">
        <v>40</v>
      </c>
      <c r="D1854">
        <v>3.9681829999999998</v>
      </c>
      <c r="E1854">
        <v>0.47268490000000002</v>
      </c>
      <c r="F1854" t="s">
        <v>50</v>
      </c>
      <c r="G1854">
        <v>-420.42160000000001</v>
      </c>
      <c r="H1854" s="1">
        <v>4.1462290000000004E-6</v>
      </c>
      <c r="I1854">
        <v>281.68329999999997</v>
      </c>
      <c r="J1854">
        <v>-395.30959999999999</v>
      </c>
      <c r="K1854">
        <v>1.1110530000000001</v>
      </c>
      <c r="L1854">
        <v>285.45830000000001</v>
      </c>
      <c r="M1854">
        <v>-0.99980150000000001</v>
      </c>
      <c r="N1854">
        <v>-1.3660149999999999E-2</v>
      </c>
      <c r="O1854">
        <v>1.450655E-2</v>
      </c>
      <c r="P1854">
        <v>-0.93112220000000001</v>
      </c>
      <c r="Q1854">
        <v>0.36220479999999999</v>
      </c>
      <c r="R1854">
        <v>-4.264797E-2</v>
      </c>
      <c r="S1854">
        <v>-3.255646</v>
      </c>
      <c r="T1854">
        <v>-0.14261219999999999</v>
      </c>
      <c r="U1854">
        <v>-0.48406979999999999</v>
      </c>
      <c r="V1854">
        <v>-5.6137479999999997E-2</v>
      </c>
      <c r="W1854">
        <v>0.37488250000000001</v>
      </c>
      <c r="X1854">
        <v>0.9253711</v>
      </c>
      <c r="Y1854">
        <v>-0.16119829999999999</v>
      </c>
      <c r="Z1854">
        <v>-5.0522639999999999E-3</v>
      </c>
      <c r="AA1854">
        <v>0.98690909999999998</v>
      </c>
      <c r="AB1854">
        <v>26</v>
      </c>
      <c r="AC1854">
        <v>-25.111999999999998</v>
      </c>
      <c r="AD1854">
        <v>-1.1110488537709999</v>
      </c>
      <c r="AE1854">
        <v>-3.7750000000000301</v>
      </c>
      <c r="AF1854">
        <v>-4.1310173600313203</v>
      </c>
      <c r="AG1854">
        <v>-1.1110488537709999</v>
      </c>
      <c r="AH1854">
        <v>25.006720625294101</v>
      </c>
      <c r="AI1854">
        <v>92.510005126264303</v>
      </c>
      <c r="AJ1854">
        <v>99.380333015854205</v>
      </c>
      <c r="AK1854">
        <v>25.369978526121201</v>
      </c>
      <c r="AL1854">
        <v>67.982948939717105</v>
      </c>
      <c r="AM1854">
        <v>93.471584133427399</v>
      </c>
      <c r="AN1854">
        <v>0.99999998909110499</v>
      </c>
    </row>
    <row r="1855" spans="1:40" x14ac:dyDescent="0.25">
      <c r="A1855" t="str">
        <f>"20190304164635125"</f>
        <v>20190304164635125</v>
      </c>
      <c r="B1855" t="str">
        <f>"1551689195120137"</f>
        <v>1551689195120137</v>
      </c>
      <c r="C1855" t="s">
        <v>40</v>
      </c>
      <c r="D1855">
        <v>3.9205410000000001</v>
      </c>
      <c r="E1855">
        <v>0.54205689999999995</v>
      </c>
      <c r="F1855" t="s">
        <v>50</v>
      </c>
      <c r="G1855">
        <v>-420.15320000000003</v>
      </c>
      <c r="H1855" s="1">
        <v>4.1805720000000003E-6</v>
      </c>
      <c r="I1855">
        <v>281.83510000000001</v>
      </c>
      <c r="J1855">
        <v>-395.58949999999999</v>
      </c>
      <c r="K1855">
        <v>1.1110329999999999</v>
      </c>
      <c r="L1855">
        <v>285.46230000000003</v>
      </c>
      <c r="M1855">
        <v>-0.99980279999999999</v>
      </c>
      <c r="N1855">
        <v>-1.3555680000000001E-2</v>
      </c>
      <c r="O1855">
        <v>1.450661E-2</v>
      </c>
      <c r="P1855">
        <v>-0.93110550000000003</v>
      </c>
      <c r="Q1855">
        <v>0.36222090000000001</v>
      </c>
      <c r="R1855">
        <v>-4.2880179999999997E-2</v>
      </c>
      <c r="S1855">
        <v>-3.2568359999999998</v>
      </c>
      <c r="T1855">
        <v>-0.14565149999999999</v>
      </c>
      <c r="U1855">
        <v>-0.4749756</v>
      </c>
      <c r="V1855">
        <v>-5.636936E-2</v>
      </c>
      <c r="W1855">
        <v>0.37480160000000001</v>
      </c>
      <c r="X1855">
        <v>0.92538980000000004</v>
      </c>
      <c r="Y1855">
        <v>-0.1584439</v>
      </c>
      <c r="Z1855">
        <v>-5.052544E-3</v>
      </c>
      <c r="AA1855">
        <v>0.98735510000000004</v>
      </c>
      <c r="AB1855">
        <v>26</v>
      </c>
      <c r="AC1855">
        <v>-24.563700000000001</v>
      </c>
      <c r="AD1855">
        <v>-1.111028819428</v>
      </c>
      <c r="AE1855">
        <v>-3.62720000000001</v>
      </c>
      <c r="AF1855">
        <v>-3.9752280670769502</v>
      </c>
      <c r="AG1855">
        <v>-1.111028819428</v>
      </c>
      <c r="AH1855">
        <v>24.4595201051069</v>
      </c>
      <c r="AI1855">
        <v>92.567131225385694</v>
      </c>
      <c r="AJ1855">
        <v>99.231155261464593</v>
      </c>
      <c r="AK1855">
        <v>24.805341098138602</v>
      </c>
      <c r="AL1855">
        <v>67.987949262420898</v>
      </c>
      <c r="AM1855">
        <v>93.485818212413406</v>
      </c>
      <c r="AN1855">
        <v>1.0000000130266999</v>
      </c>
    </row>
    <row r="1856" spans="1:40" x14ac:dyDescent="0.25">
      <c r="A1856" t="str">
        <f>"20190304164635147"</f>
        <v>20190304164635147</v>
      </c>
      <c r="B1856" t="str">
        <f>"1551689195139656"</f>
        <v>1551689195139656</v>
      </c>
      <c r="C1856" t="s">
        <v>40</v>
      </c>
      <c r="D1856">
        <v>3.8701560000000002</v>
      </c>
      <c r="E1856">
        <v>0.54309540000000001</v>
      </c>
      <c r="F1856" t="s">
        <v>50</v>
      </c>
      <c r="G1856">
        <v>-412.99700000000001</v>
      </c>
      <c r="H1856" s="1">
        <v>2.6300409999999999E-6</v>
      </c>
      <c r="I1856">
        <v>285.84410000000003</v>
      </c>
      <c r="J1856">
        <v>-395.85950000000003</v>
      </c>
      <c r="K1856">
        <v>1.111005</v>
      </c>
      <c r="L1856">
        <v>285.46620000000001</v>
      </c>
      <c r="M1856">
        <v>-0.99980460000000004</v>
      </c>
      <c r="N1856">
        <v>-1.343251E-2</v>
      </c>
      <c r="O1856">
        <v>1.450661E-2</v>
      </c>
      <c r="P1856">
        <v>-0.9311178</v>
      </c>
      <c r="Q1856">
        <v>0.36214000000000002</v>
      </c>
      <c r="R1856">
        <v>-4.329421E-2</v>
      </c>
      <c r="S1856">
        <v>-3.3074340000000002</v>
      </c>
      <c r="T1856">
        <v>-0.2110957</v>
      </c>
      <c r="U1856">
        <v>7.2540279999999999E-2</v>
      </c>
      <c r="V1856">
        <v>-5.6783649999999998E-2</v>
      </c>
      <c r="W1856">
        <v>0.37460710000000003</v>
      </c>
      <c r="X1856">
        <v>0.92544320000000002</v>
      </c>
      <c r="Y1856">
        <v>7.4205919999999898E-3</v>
      </c>
      <c r="Z1856">
        <v>-4.4361649999999998E-4</v>
      </c>
      <c r="AA1856">
        <v>0.99997230000000004</v>
      </c>
      <c r="AB1856">
        <v>26</v>
      </c>
      <c r="AC1856">
        <v>-17.1374999999999</v>
      </c>
      <c r="AD1856">
        <v>-1.1110023699589999</v>
      </c>
      <c r="AE1856">
        <v>0.37790000000001001</v>
      </c>
      <c r="AF1856">
        <v>0.12869018976921701</v>
      </c>
      <c r="AG1856">
        <v>-1.1110023699589999</v>
      </c>
      <c r="AH1856">
        <v>17.0694747862246</v>
      </c>
      <c r="AI1856">
        <v>93.723857069446794</v>
      </c>
      <c r="AJ1856">
        <v>89.568043824704304</v>
      </c>
      <c r="AK1856">
        <v>17.106076607701599</v>
      </c>
      <c r="AL1856">
        <v>67.999968448893895</v>
      </c>
      <c r="AM1856">
        <v>93.511171469248893</v>
      </c>
      <c r="AN1856">
        <v>0.99999998935198597</v>
      </c>
    </row>
    <row r="1857" spans="1:40" x14ac:dyDescent="0.25">
      <c r="A1857" t="str">
        <f>"20190304164635169"</f>
        <v>20190304164635169</v>
      </c>
      <c r="B1857" t="str">
        <f>"1551689195160152"</f>
        <v>1551689195160152</v>
      </c>
      <c r="C1857" t="s">
        <v>40</v>
      </c>
      <c r="D1857">
        <v>3.8740009999999998</v>
      </c>
      <c r="E1857">
        <v>0.54341079999999997</v>
      </c>
      <c r="F1857" t="s">
        <v>50</v>
      </c>
      <c r="G1857">
        <v>-413.66750000000002</v>
      </c>
      <c r="H1857" s="1">
        <v>2.744294E-6</v>
      </c>
      <c r="I1857">
        <v>285.89760000000001</v>
      </c>
      <c r="J1857">
        <v>-396.12020000000001</v>
      </c>
      <c r="K1857">
        <v>1.110981</v>
      </c>
      <c r="L1857">
        <v>285.47000000000003</v>
      </c>
      <c r="M1857">
        <v>-0.99980639999999998</v>
      </c>
      <c r="N1857">
        <v>-1.329461E-2</v>
      </c>
      <c r="O1857">
        <v>1.4506710000000001E-2</v>
      </c>
      <c r="P1857">
        <v>-0.93120139999999996</v>
      </c>
      <c r="Q1857">
        <v>0.36188819999999999</v>
      </c>
      <c r="R1857">
        <v>-4.3597530000000002E-2</v>
      </c>
      <c r="S1857">
        <v>-3.3058779999999999</v>
      </c>
      <c r="T1857">
        <v>-0.20624609999999999</v>
      </c>
      <c r="U1857">
        <v>8.0078129999999997E-2</v>
      </c>
      <c r="V1857">
        <v>-5.7088279999999998E-2</v>
      </c>
      <c r="W1857">
        <v>0.37422899999999998</v>
      </c>
      <c r="X1857">
        <v>0.92557739999999999</v>
      </c>
      <c r="Y1857">
        <v>9.7041269999999999E-3</v>
      </c>
      <c r="Z1857">
        <v>-3.4429289999999998E-4</v>
      </c>
      <c r="AA1857">
        <v>0.99995290000000003</v>
      </c>
      <c r="AB1857">
        <v>26</v>
      </c>
      <c r="AC1857">
        <v>-17.5473</v>
      </c>
      <c r="AD1857">
        <v>-1.110978255706</v>
      </c>
      <c r="AE1857">
        <v>0.42759999999998399</v>
      </c>
      <c r="AF1857">
        <v>0.172288686115699</v>
      </c>
      <c r="AG1857">
        <v>-1.110978255706</v>
      </c>
      <c r="AH1857">
        <v>17.481621940708699</v>
      </c>
      <c r="AI1857">
        <v>93.636149948927397</v>
      </c>
      <c r="AJ1857">
        <v>89.435344442104395</v>
      </c>
      <c r="AK1857">
        <v>17.5177356343188</v>
      </c>
      <c r="AL1857">
        <v>68.023330952117007</v>
      </c>
      <c r="AM1857">
        <v>93.529450001099903</v>
      </c>
      <c r="AN1857">
        <v>0.99999996977255801</v>
      </c>
    </row>
    <row r="1858" spans="1:40" x14ac:dyDescent="0.25">
      <c r="A1858" t="str">
        <f>"20190304164635193"</f>
        <v>20190304164635193</v>
      </c>
      <c r="B1858" t="str">
        <f>"1551689195190410"</f>
        <v>1551689195190410</v>
      </c>
      <c r="C1858" t="s">
        <v>40</v>
      </c>
      <c r="D1858">
        <v>3.8511630000000001</v>
      </c>
      <c r="E1858">
        <v>0.54349969999999903</v>
      </c>
      <c r="F1858" t="s">
        <v>50</v>
      </c>
      <c r="G1858">
        <v>-413.9633</v>
      </c>
      <c r="H1858" s="1">
        <v>2.79525E-6</v>
      </c>
      <c r="I1858">
        <v>285.91480000000001</v>
      </c>
      <c r="J1858">
        <v>-396.38690000000003</v>
      </c>
      <c r="K1858">
        <v>1.110954</v>
      </c>
      <c r="L1858">
        <v>285.47379999999998</v>
      </c>
      <c r="M1858">
        <v>-0.99980849999999999</v>
      </c>
      <c r="N1858">
        <v>-1.313522E-2</v>
      </c>
      <c r="O1858">
        <v>1.4506410000000001E-2</v>
      </c>
      <c r="P1858">
        <v>-0.93112459999999997</v>
      </c>
      <c r="Q1858">
        <v>0.36211900000000002</v>
      </c>
      <c r="R1858">
        <v>-4.3323630000000002E-2</v>
      </c>
      <c r="S1858">
        <v>-3.30545</v>
      </c>
      <c r="T1858">
        <v>-0.20581079999999999</v>
      </c>
      <c r="U1858">
        <v>8.2397460000000006E-2</v>
      </c>
      <c r="V1858">
        <v>-5.6812599999999998E-2</v>
      </c>
      <c r="W1858">
        <v>0.3743108</v>
      </c>
      <c r="X1858">
        <v>0.92556130000000003</v>
      </c>
      <c r="Y1858">
        <v>1.0407309999999999E-2</v>
      </c>
      <c r="Z1858">
        <v>-3.1967630000000001E-4</v>
      </c>
      <c r="AA1858">
        <v>0.9999458</v>
      </c>
      <c r="AB1858">
        <v>26</v>
      </c>
      <c r="AC1858">
        <v>-17.5763999999999</v>
      </c>
      <c r="AD1858">
        <v>-1.1109512047499901</v>
      </c>
      <c r="AE1858">
        <v>0.44100000000002998</v>
      </c>
      <c r="AF1858">
        <v>0.18522160867354201</v>
      </c>
      <c r="AG1858">
        <v>-1.1109512047499901</v>
      </c>
      <c r="AH1858">
        <v>17.511033397124798</v>
      </c>
      <c r="AI1858">
        <v>93.629944178416096</v>
      </c>
      <c r="AJ1858">
        <v>89.393980900013801</v>
      </c>
      <c r="AK1858">
        <v>17.547216595770301</v>
      </c>
      <c r="AL1858">
        <v>68.018277134635497</v>
      </c>
      <c r="AM1858">
        <v>93.512509962668602</v>
      </c>
      <c r="AN1858">
        <v>0.99999998328654405</v>
      </c>
    </row>
    <row r="1859" spans="1:40" x14ac:dyDescent="0.25">
      <c r="A1859" t="str">
        <f>"20190304164635213"</f>
        <v>20190304164635213</v>
      </c>
      <c r="B1859" t="str">
        <f>"1551689195209929"</f>
        <v>1551689195209929</v>
      </c>
      <c r="C1859" t="s">
        <v>40</v>
      </c>
      <c r="D1859">
        <v>3.8485390000000002</v>
      </c>
      <c r="E1859">
        <v>0.54351899999999997</v>
      </c>
      <c r="F1859" t="s">
        <v>50</v>
      </c>
      <c r="G1859">
        <v>-414.73849999999999</v>
      </c>
      <c r="H1859" s="1">
        <v>2.9304689999999999E-6</v>
      </c>
      <c r="I1859">
        <v>285.94110000000001</v>
      </c>
      <c r="J1859">
        <v>-396.63679999999999</v>
      </c>
      <c r="K1859">
        <v>1.11093</v>
      </c>
      <c r="L1859">
        <v>285.47750000000002</v>
      </c>
      <c r="M1859">
        <v>-0.99981070000000005</v>
      </c>
      <c r="N1859">
        <v>-1.2976440000000001E-2</v>
      </c>
      <c r="O1859">
        <v>1.4506150000000001E-2</v>
      </c>
      <c r="P1859">
        <v>-0.93083179999999999</v>
      </c>
      <c r="Q1859">
        <v>0.36280230000000002</v>
      </c>
      <c r="R1859">
        <v>-4.3892750000000001E-2</v>
      </c>
      <c r="S1859">
        <v>-3.3035890000000001</v>
      </c>
      <c r="T1859">
        <v>-0.19998920000000001</v>
      </c>
      <c r="U1859">
        <v>8.4106449999999999E-2</v>
      </c>
      <c r="V1859">
        <v>-5.7376999999999997E-2</v>
      </c>
      <c r="W1859">
        <v>0.3748436</v>
      </c>
      <c r="X1859">
        <v>0.92531090000000005</v>
      </c>
      <c r="Y1859">
        <v>1.0937590000000001E-2</v>
      </c>
      <c r="Z1859">
        <v>-2.8728869999999999E-4</v>
      </c>
      <c r="AA1859">
        <v>0.99994019999999995</v>
      </c>
      <c r="AB1859">
        <v>26</v>
      </c>
      <c r="AC1859">
        <v>-18.101699999999902</v>
      </c>
      <c r="AD1859">
        <v>-1.1109270695310001</v>
      </c>
      <c r="AE1859">
        <v>0.46359999999998502</v>
      </c>
      <c r="AF1859">
        <v>0.20018964829299901</v>
      </c>
      <c r="AG1859">
        <v>-1.1109270695310001</v>
      </c>
      <c r="AH1859">
        <v>18.038623575344499</v>
      </c>
      <c r="AI1859">
        <v>93.523951651026806</v>
      </c>
      <c r="AJ1859">
        <v>89.364167058183796</v>
      </c>
      <c r="AK1859">
        <v>18.0739086902108</v>
      </c>
      <c r="AL1859">
        <v>67.985354536432794</v>
      </c>
      <c r="AM1859">
        <v>93.548273524804202</v>
      </c>
      <c r="AN1859">
        <v>1.00000005312438</v>
      </c>
    </row>
    <row r="1860" spans="1:40" x14ac:dyDescent="0.25">
      <c r="A1860" t="str">
        <f>"20190304164635237"</f>
        <v>20190304164635237</v>
      </c>
      <c r="B1860" t="str">
        <f>"1551689195230424"</f>
        <v>1551689195230424</v>
      </c>
      <c r="C1860" t="s">
        <v>40</v>
      </c>
      <c r="D1860">
        <v>3.867292</v>
      </c>
      <c r="E1860">
        <v>0.54352409999999995</v>
      </c>
      <c r="F1860" t="s">
        <v>50</v>
      </c>
      <c r="G1860">
        <v>-415.34640000000002</v>
      </c>
      <c r="H1860" s="1">
        <v>3.0372610000000001E-6</v>
      </c>
      <c r="I1860">
        <v>285.95299999999997</v>
      </c>
      <c r="J1860">
        <v>-396.91309999999999</v>
      </c>
      <c r="K1860">
        <v>1.110903</v>
      </c>
      <c r="L1860">
        <v>285.48140000000001</v>
      </c>
      <c r="M1860">
        <v>-0.99981299999999995</v>
      </c>
      <c r="N1860">
        <v>-1.279458E-2</v>
      </c>
      <c r="O1860">
        <v>1.4505840000000001E-2</v>
      </c>
      <c r="P1860">
        <v>-0.93070649999999999</v>
      </c>
      <c r="Q1860">
        <v>0.3630932</v>
      </c>
      <c r="R1860">
        <v>-4.4147699999999998E-2</v>
      </c>
      <c r="S1860">
        <v>-3.3033450000000002</v>
      </c>
      <c r="T1860">
        <v>-0.19614429999999999</v>
      </c>
      <c r="U1860">
        <v>8.3953860000000005E-2</v>
      </c>
      <c r="V1860">
        <v>-5.7630309999999997E-2</v>
      </c>
      <c r="W1860">
        <v>0.37496429999999997</v>
      </c>
      <c r="X1860">
        <v>0.92524620000000002</v>
      </c>
      <c r="Y1860">
        <v>1.0893979999999999E-2</v>
      </c>
      <c r="Z1860">
        <v>-2.8203000000000001E-4</v>
      </c>
      <c r="AA1860">
        <v>0.99994059999999996</v>
      </c>
      <c r="AB1860">
        <v>26</v>
      </c>
      <c r="AC1860">
        <v>-18.433299999999999</v>
      </c>
      <c r="AD1860">
        <v>-1.1108999627389999</v>
      </c>
      <c r="AE1860">
        <v>0.47159999999996599</v>
      </c>
      <c r="AF1860">
        <v>0.203399742914042</v>
      </c>
      <c r="AG1860">
        <v>-1.1108999627389999</v>
      </c>
      <c r="AH1860">
        <v>18.371520342096499</v>
      </c>
      <c r="AI1860">
        <v>93.460170083714701</v>
      </c>
      <c r="AJ1860">
        <v>89.365677392471895</v>
      </c>
      <c r="AK1860">
        <v>18.406200853590001</v>
      </c>
      <c r="AL1860">
        <v>67.977893733516296</v>
      </c>
      <c r="AM1860">
        <v>93.564146852866898</v>
      </c>
      <c r="AN1860">
        <v>1.0000000047598101</v>
      </c>
    </row>
    <row r="1861" spans="1:40" x14ac:dyDescent="0.25">
      <c r="A1861" t="str">
        <f>"20190304164635257"</f>
        <v>20190304164635257</v>
      </c>
      <c r="B1861" t="str">
        <f>"1551689195249954"</f>
        <v>1551689195249954</v>
      </c>
      <c r="C1861" t="s">
        <v>40</v>
      </c>
      <c r="D1861">
        <v>3.8495919999999999</v>
      </c>
      <c r="E1861">
        <v>0.54363240000000002</v>
      </c>
      <c r="F1861" t="s">
        <v>50</v>
      </c>
      <c r="G1861">
        <v>-415.97120000000001</v>
      </c>
      <c r="H1861" s="1">
        <v>3.1469240000000001E-6</v>
      </c>
      <c r="I1861">
        <v>285.96629999999999</v>
      </c>
      <c r="J1861">
        <v>-397.16500000000002</v>
      </c>
      <c r="K1861">
        <v>1.1108849999999999</v>
      </c>
      <c r="L1861">
        <v>285.48509999999999</v>
      </c>
      <c r="M1861">
        <v>-0.99981520000000002</v>
      </c>
      <c r="N1861">
        <v>-1.262774E-2</v>
      </c>
      <c r="O1861">
        <v>1.450572E-2</v>
      </c>
      <c r="P1861">
        <v>-0.93085189999999995</v>
      </c>
      <c r="Q1861">
        <v>0.36270560000000002</v>
      </c>
      <c r="R1861">
        <v>-4.4271280000000003E-2</v>
      </c>
      <c r="S1861">
        <v>-3.30246</v>
      </c>
      <c r="T1861">
        <v>-0.19250120000000001</v>
      </c>
      <c r="U1861">
        <v>8.4014889999999995E-2</v>
      </c>
      <c r="V1861">
        <v>-5.7755969999999997E-2</v>
      </c>
      <c r="W1861">
        <v>0.37442399999999998</v>
      </c>
      <c r="X1861">
        <v>0.92545710000000003</v>
      </c>
      <c r="Y1861">
        <v>1.091956E-2</v>
      </c>
      <c r="Z1861">
        <v>-2.7462279999999998E-4</v>
      </c>
      <c r="AA1861">
        <v>0.9999403</v>
      </c>
      <c r="AB1861">
        <v>26</v>
      </c>
      <c r="AC1861">
        <v>-18.806199999999901</v>
      </c>
      <c r="AD1861">
        <v>-1.1108818530760001</v>
      </c>
      <c r="AE1861">
        <v>0.48120000000000102</v>
      </c>
      <c r="AF1861">
        <v>0.207606262512217</v>
      </c>
      <c r="AG1861">
        <v>-1.1108818530760001</v>
      </c>
      <c r="AH1861">
        <v>18.745835382496299</v>
      </c>
      <c r="AI1861">
        <v>93.391185349980205</v>
      </c>
      <c r="AJ1861">
        <v>89.365486993478797</v>
      </c>
      <c r="AK1861">
        <v>18.7798696225341</v>
      </c>
      <c r="AL1861">
        <v>68.011282165253405</v>
      </c>
      <c r="AM1861">
        <v>93.571086314308204</v>
      </c>
      <c r="AN1861">
        <v>0.99999996389352397</v>
      </c>
    </row>
    <row r="1862" spans="1:40" x14ac:dyDescent="0.25">
      <c r="A1862" t="str">
        <f>"20190304164635280"</f>
        <v>20190304164635280</v>
      </c>
      <c r="B1862" t="str">
        <f>"1551689195270440"</f>
        <v>1551689195270440</v>
      </c>
      <c r="C1862" t="s">
        <v>40</v>
      </c>
      <c r="D1862">
        <v>3.8738649999999999</v>
      </c>
      <c r="E1862">
        <v>0.54381800000000002</v>
      </c>
      <c r="F1862" t="s">
        <v>50</v>
      </c>
      <c r="G1862">
        <v>-416.16520000000003</v>
      </c>
      <c r="H1862" s="1">
        <v>3.1813229999999999E-6</v>
      </c>
      <c r="I1862">
        <v>285.96640000000002</v>
      </c>
      <c r="J1862">
        <v>-397.42590000000001</v>
      </c>
      <c r="K1862">
        <v>1.11086</v>
      </c>
      <c r="L1862">
        <v>285.4889</v>
      </c>
      <c r="M1862">
        <v>-0.99981719999999996</v>
      </c>
      <c r="N1862">
        <v>-1.246182E-2</v>
      </c>
      <c r="O1862">
        <v>1.450593E-2</v>
      </c>
      <c r="P1862">
        <v>-0.93077840000000001</v>
      </c>
      <c r="Q1862">
        <v>0.36293779999999998</v>
      </c>
      <c r="R1862">
        <v>-4.3910379999999999E-2</v>
      </c>
      <c r="S1862">
        <v>-3.3020629999999902</v>
      </c>
      <c r="T1862">
        <v>-0.1930616</v>
      </c>
      <c r="U1862">
        <v>8.3648680000000003E-2</v>
      </c>
      <c r="V1862">
        <v>-5.7393930000000003E-2</v>
      </c>
      <c r="W1862">
        <v>0.3745019</v>
      </c>
      <c r="X1862">
        <v>0.92544820000000005</v>
      </c>
      <c r="Y1862">
        <v>1.081199E-2</v>
      </c>
      <c r="Z1862">
        <v>-2.8335399999999998E-4</v>
      </c>
      <c r="AA1862">
        <v>0.99994150000000004</v>
      </c>
      <c r="AB1862">
        <v>26</v>
      </c>
      <c r="AC1862">
        <v>-18.7393</v>
      </c>
      <c r="AD1862">
        <v>-1.110856818677</v>
      </c>
      <c r="AE1862">
        <v>0.47750000000002002</v>
      </c>
      <c r="AF1862">
        <v>0.204878200673141</v>
      </c>
      <c r="AG1862">
        <v>-1.110856818677</v>
      </c>
      <c r="AH1862">
        <v>18.678659747399699</v>
      </c>
      <c r="AI1862">
        <v>93.403280197054698</v>
      </c>
      <c r="AJ1862">
        <v>89.371572390735295</v>
      </c>
      <c r="AK1862">
        <v>18.712784611271601</v>
      </c>
      <c r="AL1862">
        <v>68.006470673498896</v>
      </c>
      <c r="AM1862">
        <v>93.548792590615605</v>
      </c>
      <c r="AN1862">
        <v>1.00000005359384</v>
      </c>
    </row>
    <row r="1863" spans="1:40" x14ac:dyDescent="0.25">
      <c r="A1863" t="str">
        <f>"20190304164635302"</f>
        <v>20190304164635302</v>
      </c>
      <c r="B1863" t="str">
        <f>"1551689195289960"</f>
        <v>1551689195289960</v>
      </c>
      <c r="C1863" t="s">
        <v>40</v>
      </c>
      <c r="D1863">
        <v>3.8988290000000001</v>
      </c>
      <c r="E1863">
        <v>0.5439659</v>
      </c>
      <c r="F1863" t="s">
        <v>50</v>
      </c>
      <c r="G1863">
        <v>-416.61079999999998</v>
      </c>
      <c r="H1863" s="1">
        <v>3.259152E-6</v>
      </c>
      <c r="I1863">
        <v>285.98039999999997</v>
      </c>
      <c r="J1863">
        <v>-397.68770000000001</v>
      </c>
      <c r="K1863">
        <v>1.1108450000000001</v>
      </c>
      <c r="L1863">
        <v>285.49270000000001</v>
      </c>
      <c r="M1863">
        <v>-0.99981900000000001</v>
      </c>
      <c r="N1863">
        <v>-1.230211E-2</v>
      </c>
      <c r="O1863">
        <v>1.450592E-2</v>
      </c>
      <c r="P1863">
        <v>-0.93081740000000002</v>
      </c>
      <c r="Q1863">
        <v>0.36281629999999998</v>
      </c>
      <c r="R1863">
        <v>-4.4080050000000003E-2</v>
      </c>
      <c r="S1863">
        <v>-3.3016049999999999</v>
      </c>
      <c r="T1863">
        <v>-0.1911716</v>
      </c>
      <c r="U1863">
        <v>8.4594730000000007E-2</v>
      </c>
      <c r="V1863">
        <v>-5.7564369999999997E-2</v>
      </c>
      <c r="W1863">
        <v>0.3742335</v>
      </c>
      <c r="X1863">
        <v>0.92554610000000004</v>
      </c>
      <c r="Y1863">
        <v>1.110146E-2</v>
      </c>
      <c r="Z1863">
        <v>-2.7125419999999998E-4</v>
      </c>
      <c r="AA1863">
        <v>0.99993840000000001</v>
      </c>
      <c r="AB1863">
        <v>26</v>
      </c>
      <c r="AC1863">
        <v>-18.923099999999899</v>
      </c>
      <c r="AD1863">
        <v>-1.110841740848</v>
      </c>
      <c r="AE1863">
        <v>0.487699999999961</v>
      </c>
      <c r="AF1863">
        <v>0.21239945137208899</v>
      </c>
      <c r="AG1863">
        <v>-1.110841740848</v>
      </c>
      <c r="AH1863">
        <v>18.863223552239699</v>
      </c>
      <c r="AI1863">
        <v>93.370002017037507</v>
      </c>
      <c r="AJ1863">
        <v>89.3548781402976</v>
      </c>
      <c r="AK1863">
        <v>18.8970972819087</v>
      </c>
      <c r="AL1863">
        <v>68.023053066945906</v>
      </c>
      <c r="AM1863">
        <v>93.558928698314304</v>
      </c>
      <c r="AN1863">
        <v>0.99999997622047798</v>
      </c>
    </row>
    <row r="1864" spans="1:40" x14ac:dyDescent="0.25">
      <c r="A1864" t="str">
        <f>"20190304164635326"</f>
        <v>20190304164635326</v>
      </c>
      <c r="B1864" t="str">
        <f>"1551689195320216"</f>
        <v>1551689195320216</v>
      </c>
      <c r="C1864" t="s">
        <v>40</v>
      </c>
      <c r="D1864">
        <v>3.8893949999999999</v>
      </c>
      <c r="E1864">
        <v>0.54411180000000003</v>
      </c>
      <c r="F1864" t="s">
        <v>50</v>
      </c>
      <c r="G1864">
        <v>-417.04230000000001</v>
      </c>
      <c r="H1864" s="1">
        <v>3.3346490000000001E-6</v>
      </c>
      <c r="I1864">
        <v>285.9923</v>
      </c>
      <c r="J1864">
        <v>-397.96280000000002</v>
      </c>
      <c r="K1864">
        <v>1.1108279999999999</v>
      </c>
      <c r="L1864">
        <v>285.4966</v>
      </c>
      <c r="M1864">
        <v>-0.99982110000000002</v>
      </c>
      <c r="N1864">
        <v>-1.2138319999999999E-2</v>
      </c>
      <c r="O1864">
        <v>1.450574E-2</v>
      </c>
      <c r="P1864">
        <v>-0.93069329999999995</v>
      </c>
      <c r="Q1864">
        <v>0.36314249999999998</v>
      </c>
      <c r="R1864">
        <v>-4.4020009999999998E-2</v>
      </c>
      <c r="S1864">
        <v>-3.3008120000000001</v>
      </c>
      <c r="T1864">
        <v>-0.18944730000000001</v>
      </c>
      <c r="U1864">
        <v>8.5205080000000002E-2</v>
      </c>
      <c r="V1864">
        <v>-5.7502230000000001E-2</v>
      </c>
      <c r="W1864">
        <v>0.37440630000000003</v>
      </c>
      <c r="X1864">
        <v>0.92548010000000003</v>
      </c>
      <c r="Y1864">
        <v>1.1292409999999999E-2</v>
      </c>
      <c r="Z1864">
        <v>-2.6335330000000002E-4</v>
      </c>
      <c r="AA1864">
        <v>0.99993620000000005</v>
      </c>
      <c r="AB1864">
        <v>26</v>
      </c>
      <c r="AC1864">
        <v>-19.079499999999999</v>
      </c>
      <c r="AD1864">
        <v>-1.1108246653509899</v>
      </c>
      <c r="AE1864">
        <v>0.49569999999999897</v>
      </c>
      <c r="AF1864">
        <v>0.21812630177988199</v>
      </c>
      <c r="AG1864">
        <v>-1.1108246653509899</v>
      </c>
      <c r="AH1864">
        <v>19.020254461313801</v>
      </c>
      <c r="AI1864">
        <v>93.342183524704296</v>
      </c>
      <c r="AJ1864">
        <v>89.342954707987403</v>
      </c>
      <c r="AK1864">
        <v>19.053912729248299</v>
      </c>
      <c r="AL1864">
        <v>68.012376682963307</v>
      </c>
      <c r="AM1864">
        <v>93.555349617760797</v>
      </c>
      <c r="AN1864">
        <v>0.99999999971533604</v>
      </c>
    </row>
    <row r="1865" spans="1:40" x14ac:dyDescent="0.25">
      <c r="A1865" t="str">
        <f>"20190304164635347"</f>
        <v>20190304164635347</v>
      </c>
      <c r="B1865" t="str">
        <f>"1551689195339736"</f>
        <v>1551689195339736</v>
      </c>
      <c r="C1865" t="s">
        <v>40</v>
      </c>
      <c r="D1865">
        <v>3.9076029999999999</v>
      </c>
      <c r="E1865">
        <v>0.54423549999999998</v>
      </c>
      <c r="F1865" t="s">
        <v>50</v>
      </c>
      <c r="G1865">
        <v>-417.57229999999998</v>
      </c>
      <c r="H1865" s="1">
        <v>3.4261710000000002E-6</v>
      </c>
      <c r="I1865">
        <v>286.02080000000001</v>
      </c>
      <c r="J1865">
        <v>-398.22739999999999</v>
      </c>
      <c r="K1865">
        <v>1.1108089999999999</v>
      </c>
      <c r="L1865">
        <v>285.50049999999999</v>
      </c>
      <c r="M1865">
        <v>-0.99982320000000002</v>
      </c>
      <c r="N1865">
        <v>-1.1984E-2</v>
      </c>
      <c r="O1865">
        <v>1.4505550000000001E-2</v>
      </c>
      <c r="P1865">
        <v>-0.93053280000000005</v>
      </c>
      <c r="Q1865">
        <v>0.36348439999999999</v>
      </c>
      <c r="R1865">
        <v>-4.4586260000000003E-2</v>
      </c>
      <c r="S1865">
        <v>-3.3005369999999998</v>
      </c>
      <c r="T1865">
        <v>-0.18696650000000001</v>
      </c>
      <c r="U1865">
        <v>8.8226319999999997E-2</v>
      </c>
      <c r="V1865">
        <v>-5.8066079999999999E-2</v>
      </c>
      <c r="W1865">
        <v>0.37460320000000003</v>
      </c>
      <c r="X1865">
        <v>0.92536529999999995</v>
      </c>
      <c r="Y1865">
        <v>1.2207880000000001E-2</v>
      </c>
      <c r="Z1865">
        <v>-2.28452E-4</v>
      </c>
      <c r="AA1865">
        <v>0.99992539999999996</v>
      </c>
      <c r="AB1865">
        <v>26</v>
      </c>
      <c r="AC1865">
        <v>-19.344899999999999</v>
      </c>
      <c r="AD1865">
        <v>-1.1108055738289999</v>
      </c>
      <c r="AE1865">
        <v>0.52030000000001997</v>
      </c>
      <c r="AF1865">
        <v>0.23882985225695599</v>
      </c>
      <c r="AG1865">
        <v>-1.1108055738289999</v>
      </c>
      <c r="AH1865">
        <v>19.286865822362898</v>
      </c>
      <c r="AI1865">
        <v>93.295993132326501</v>
      </c>
      <c r="AJ1865">
        <v>89.290540862521794</v>
      </c>
      <c r="AK1865">
        <v>19.320303361257299</v>
      </c>
      <c r="AL1865">
        <v>68.000211613672406</v>
      </c>
      <c r="AM1865">
        <v>93.590565815793994</v>
      </c>
      <c r="AN1865">
        <v>1.0000000827704401</v>
      </c>
    </row>
    <row r="1866" spans="1:40" x14ac:dyDescent="0.25">
      <c r="A1866" t="str">
        <f>"20190304164635369"</f>
        <v>20190304164635369</v>
      </c>
      <c r="B1866" t="str">
        <f>"1551689195360233"</f>
        <v>1551689195360233</v>
      </c>
      <c r="C1866" t="s">
        <v>40</v>
      </c>
      <c r="D1866">
        <v>3.898644</v>
      </c>
      <c r="E1866">
        <v>0.54425449999999997</v>
      </c>
      <c r="F1866" t="s">
        <v>50</v>
      </c>
      <c r="G1866">
        <v>-418.12049999999999</v>
      </c>
      <c r="H1866" s="1">
        <v>3.5221050000000001E-6</v>
      </c>
      <c r="I1866">
        <v>286.03579999999999</v>
      </c>
      <c r="J1866">
        <v>-398.48939999999999</v>
      </c>
      <c r="K1866">
        <v>1.1107880000000001</v>
      </c>
      <c r="L1866">
        <v>285.5043</v>
      </c>
      <c r="M1866">
        <v>-0.99982490000000002</v>
      </c>
      <c r="N1866">
        <v>-1.183087E-2</v>
      </c>
      <c r="O1866">
        <v>1.450545E-2</v>
      </c>
      <c r="P1866">
        <v>-0.93066110000000002</v>
      </c>
      <c r="Q1866">
        <v>0.36314619999999997</v>
      </c>
      <c r="R1866">
        <v>-4.4663630000000003E-2</v>
      </c>
      <c r="S1866">
        <v>-3.3002009999999999</v>
      </c>
      <c r="T1866">
        <v>-0.184279</v>
      </c>
      <c r="U1866">
        <v>8.880615E-2</v>
      </c>
      <c r="V1866">
        <v>-5.8145259999999997E-2</v>
      </c>
      <c r="W1866">
        <v>0.37412469999999998</v>
      </c>
      <c r="X1866">
        <v>0.92555379999999998</v>
      </c>
      <c r="Y1866">
        <v>1.238617E-2</v>
      </c>
      <c r="Z1866">
        <v>-2.1879690000000001E-4</v>
      </c>
      <c r="AA1866">
        <v>0.99992329999999996</v>
      </c>
      <c r="AB1866">
        <v>26</v>
      </c>
      <c r="AC1866">
        <v>-19.6311</v>
      </c>
      <c r="AD1866">
        <v>-1.11078447789499</v>
      </c>
      <c r="AE1866">
        <v>0.53149999999999398</v>
      </c>
      <c r="AF1866">
        <v>0.245879595245937</v>
      </c>
      <c r="AG1866">
        <v>-1.11078447789499</v>
      </c>
      <c r="AH1866">
        <v>19.574121443206099</v>
      </c>
      <c r="AI1866">
        <v>93.247659077739499</v>
      </c>
      <c r="AJ1866">
        <v>89.280319057448196</v>
      </c>
      <c r="AK1866">
        <v>19.607155051283499</v>
      </c>
      <c r="AL1866">
        <v>68.029775704244102</v>
      </c>
      <c r="AM1866">
        <v>93.594718808572907</v>
      </c>
      <c r="AN1866">
        <v>0.99999999955249796</v>
      </c>
    </row>
    <row r="1867" spans="1:40" x14ac:dyDescent="0.25">
      <c r="A1867" t="str">
        <f>"20190304164635393"</f>
        <v>20190304164635393</v>
      </c>
      <c r="B1867" t="str">
        <f>"1551689195379752"</f>
        <v>1551689195379752</v>
      </c>
      <c r="C1867" t="s">
        <v>40</v>
      </c>
      <c r="D1867">
        <v>3.8994949999999999</v>
      </c>
      <c r="E1867">
        <v>0.54423650000000001</v>
      </c>
      <c r="F1867" t="s">
        <v>50</v>
      </c>
      <c r="G1867">
        <v>-418.21289999999999</v>
      </c>
      <c r="H1867" s="1">
        <v>3.5391600000000001E-6</v>
      </c>
      <c r="I1867">
        <v>286.02809999999999</v>
      </c>
      <c r="J1867">
        <v>-398.75729999999999</v>
      </c>
      <c r="K1867">
        <v>1.110771</v>
      </c>
      <c r="L1867">
        <v>285.50819999999999</v>
      </c>
      <c r="M1867">
        <v>-0.99982660000000001</v>
      </c>
      <c r="N1867">
        <v>-1.167756E-2</v>
      </c>
      <c r="O1867">
        <v>1.4504990000000001E-2</v>
      </c>
      <c r="P1867">
        <v>-0.93066959999999999</v>
      </c>
      <c r="Q1867">
        <v>0.36312680000000003</v>
      </c>
      <c r="R1867">
        <v>-4.4643090000000003E-2</v>
      </c>
      <c r="S1867">
        <v>-3.3002319999999998</v>
      </c>
      <c r="T1867">
        <v>-0.18586169999999999</v>
      </c>
      <c r="U1867">
        <v>8.7646479999999999E-2</v>
      </c>
      <c r="V1867">
        <v>-5.8125040000000003E-2</v>
      </c>
      <c r="W1867">
        <v>0.37396370000000001</v>
      </c>
      <c r="X1867">
        <v>0.92562009999999995</v>
      </c>
      <c r="Y1867">
        <v>1.2036059999999999E-2</v>
      </c>
      <c r="Z1867">
        <v>-2.3782060000000001E-4</v>
      </c>
      <c r="AA1867">
        <v>0.99992749999999997</v>
      </c>
      <c r="AB1867">
        <v>26</v>
      </c>
      <c r="AC1867">
        <v>-19.4556</v>
      </c>
      <c r="AD1867">
        <v>-1.11076746084</v>
      </c>
      <c r="AE1867">
        <v>0.51990000000000602</v>
      </c>
      <c r="AF1867">
        <v>0.23685129272283401</v>
      </c>
      <c r="AG1867">
        <v>-1.11076746084</v>
      </c>
      <c r="AH1867">
        <v>19.397911338546301</v>
      </c>
      <c r="AI1867">
        <v>93.277060846015004</v>
      </c>
      <c r="AJ1867">
        <v>89.300445039317196</v>
      </c>
      <c r="AK1867">
        <v>19.4311313923052</v>
      </c>
      <c r="AL1867">
        <v>68.0397216449376</v>
      </c>
      <c r="AM1867">
        <v>93.593215304469993</v>
      </c>
      <c r="AN1867">
        <v>0.99999996935835</v>
      </c>
    </row>
    <row r="1868" spans="1:40" x14ac:dyDescent="0.25">
      <c r="A1868" t="str">
        <f>"20190304164635414"</f>
        <v>20190304164635414</v>
      </c>
      <c r="B1868" t="str">
        <f>"1551689195410009"</f>
        <v>1551689195410009</v>
      </c>
      <c r="C1868" t="s">
        <v>40</v>
      </c>
      <c r="D1868">
        <v>3.8930899999999999</v>
      </c>
      <c r="E1868">
        <v>0.54421909999999996</v>
      </c>
      <c r="F1868" t="s">
        <v>50</v>
      </c>
      <c r="G1868">
        <v>-418.3073</v>
      </c>
      <c r="H1868" s="1">
        <v>3.556388E-6</v>
      </c>
      <c r="I1868">
        <v>286.02260000000001</v>
      </c>
      <c r="J1868">
        <v>-399.0163</v>
      </c>
      <c r="K1868">
        <v>1.1107640000000001</v>
      </c>
      <c r="L1868">
        <v>285.512</v>
      </c>
      <c r="M1868">
        <v>-0.99982839999999995</v>
      </c>
      <c r="N1868">
        <v>-1.153594E-2</v>
      </c>
      <c r="O1868">
        <v>1.450451E-2</v>
      </c>
      <c r="P1868">
        <v>-0.93061879999999997</v>
      </c>
      <c r="Q1868">
        <v>0.36327330000000002</v>
      </c>
      <c r="R1868">
        <v>-4.4513230000000001E-2</v>
      </c>
      <c r="S1868">
        <v>-3.3008120000000001</v>
      </c>
      <c r="T1868">
        <v>-0.1875414</v>
      </c>
      <c r="U1868">
        <v>8.6853029999999998E-2</v>
      </c>
      <c r="V1868">
        <v>-5.7993169999999997E-2</v>
      </c>
      <c r="W1868">
        <v>0.37397829999999999</v>
      </c>
      <c r="X1868">
        <v>0.92562250000000001</v>
      </c>
      <c r="Y1868">
        <v>1.1792270000000001E-2</v>
      </c>
      <c r="Z1868">
        <v>-2.5325819999999998E-4</v>
      </c>
      <c r="AA1868">
        <v>0.9999304</v>
      </c>
      <c r="AB1868">
        <v>27</v>
      </c>
      <c r="AC1868">
        <v>-19.291</v>
      </c>
      <c r="AD1868">
        <v>-1.11076044361199</v>
      </c>
      <c r="AE1868">
        <v>0.51060000000001005</v>
      </c>
      <c r="AF1868">
        <v>0.22995933249615999</v>
      </c>
      <c r="AG1868">
        <v>-1.11076044361199</v>
      </c>
      <c r="AH1868">
        <v>19.2326582505343</v>
      </c>
      <c r="AI1868">
        <v>93.305145494592296</v>
      </c>
      <c r="AJ1868">
        <v>89.314963578355304</v>
      </c>
      <c r="AK1868">
        <v>19.266079347899002</v>
      </c>
      <c r="AL1868">
        <v>68.038820262863894</v>
      </c>
      <c r="AM1868">
        <v>93.585075284422601</v>
      </c>
      <c r="AN1868">
        <v>0.99999999457189404</v>
      </c>
    </row>
    <row r="1869" spans="1:40" x14ac:dyDescent="0.25">
      <c r="A1869" t="str">
        <f>"20190304164635437"</f>
        <v>20190304164635437</v>
      </c>
      <c r="B1869" t="str">
        <f>"1551689195430511"</f>
        <v>1551689195430511</v>
      </c>
      <c r="C1869" t="s">
        <v>40</v>
      </c>
      <c r="D1869">
        <v>3.9239030000000001</v>
      </c>
      <c r="E1869">
        <v>0.54420139999999995</v>
      </c>
      <c r="F1869" t="s">
        <v>50</v>
      </c>
      <c r="G1869">
        <v>-418.43049999999999</v>
      </c>
      <c r="H1869" s="1">
        <v>3.5780299999999999E-6</v>
      </c>
      <c r="I1869">
        <v>286.02499999999998</v>
      </c>
      <c r="J1869">
        <v>-399.2869</v>
      </c>
      <c r="K1869">
        <v>1.1107479999999901</v>
      </c>
      <c r="L1869">
        <v>285.51589999999999</v>
      </c>
      <c r="M1869">
        <v>-0.99982990000000005</v>
      </c>
      <c r="N1869">
        <v>-1.139359E-2</v>
      </c>
      <c r="O1869">
        <v>1.4504680000000001E-2</v>
      </c>
      <c r="P1869">
        <v>-0.93057199999999995</v>
      </c>
      <c r="Q1869">
        <v>0.36341180000000001</v>
      </c>
      <c r="R1869">
        <v>-4.4356279999999998E-2</v>
      </c>
      <c r="S1869">
        <v>-3.3015750000000001</v>
      </c>
      <c r="T1869">
        <v>-0.18889549999999999</v>
      </c>
      <c r="U1869">
        <v>8.7249759999999996E-2</v>
      </c>
      <c r="V1869">
        <v>-5.78363E-2</v>
      </c>
      <c r="W1869">
        <v>0.37398500000000001</v>
      </c>
      <c r="X1869">
        <v>0.92562960000000005</v>
      </c>
      <c r="Y1869">
        <v>1.190601E-2</v>
      </c>
      <c r="Z1869">
        <v>-2.5567930000000002E-4</v>
      </c>
      <c r="AA1869">
        <v>0.99992910000000002</v>
      </c>
      <c r="AB1869">
        <v>27</v>
      </c>
      <c r="AC1869">
        <v>-19.1435999999999</v>
      </c>
      <c r="AD1869">
        <v>-1.11074442196999</v>
      </c>
      <c r="AE1869">
        <v>0.50909999999998901</v>
      </c>
      <c r="AF1869">
        <v>0.23058091745614701</v>
      </c>
      <c r="AG1869">
        <v>-1.11074442196999</v>
      </c>
      <c r="AH1869">
        <v>19.084766852255601</v>
      </c>
      <c r="AI1869">
        <v>93.330647304298196</v>
      </c>
      <c r="AJ1869">
        <v>89.307789781626795</v>
      </c>
      <c r="AK1869">
        <v>19.118453037193799</v>
      </c>
      <c r="AL1869">
        <v>68.038406173280706</v>
      </c>
      <c r="AM1869">
        <v>93.575375585898001</v>
      </c>
      <c r="AN1869">
        <v>0.99999998710942495</v>
      </c>
    </row>
    <row r="1870" spans="1:40" x14ac:dyDescent="0.25">
      <c r="A1870" t="str">
        <f>"20190304164635458"</f>
        <v>20190304164635458</v>
      </c>
      <c r="B1870" t="str">
        <f>"1551689195450024"</f>
        <v>1551689195450024</v>
      </c>
      <c r="C1870" t="s">
        <v>40</v>
      </c>
      <c r="D1870">
        <v>3.9164340000000002</v>
      </c>
      <c r="E1870">
        <v>0.54418999999999995</v>
      </c>
      <c r="F1870" t="s">
        <v>50</v>
      </c>
      <c r="G1870">
        <v>-418.6456</v>
      </c>
      <c r="H1870" s="1">
        <v>3.616309E-6</v>
      </c>
      <c r="I1870">
        <v>286.02350000000001</v>
      </c>
      <c r="J1870">
        <v>-399.5421</v>
      </c>
      <c r="K1870">
        <v>1.1107370000000001</v>
      </c>
      <c r="L1870">
        <v>285.51960000000003</v>
      </c>
      <c r="M1870">
        <v>-0.99983160000000004</v>
      </c>
      <c r="N1870">
        <v>-1.126654E-2</v>
      </c>
      <c r="O1870">
        <v>1.450457E-2</v>
      </c>
      <c r="P1870">
        <v>-0.93065350000000002</v>
      </c>
      <c r="Q1870">
        <v>0.36321019999999998</v>
      </c>
      <c r="R1870">
        <v>-4.4302279999999999E-2</v>
      </c>
      <c r="S1870">
        <v>-3.3019409999999998</v>
      </c>
      <c r="T1870">
        <v>-0.1894556</v>
      </c>
      <c r="U1870">
        <v>8.6578370000000002E-2</v>
      </c>
      <c r="V1870">
        <v>-5.7783399999999999E-2</v>
      </c>
      <c r="W1870">
        <v>0.3736661</v>
      </c>
      <c r="X1870">
        <v>0.92576170000000002</v>
      </c>
      <c r="Y1870">
        <v>1.1700550000000001E-2</v>
      </c>
      <c r="Z1870">
        <v>-2.6671529999999999E-4</v>
      </c>
      <c r="AA1870">
        <v>0.99993149999999997</v>
      </c>
      <c r="AB1870">
        <v>27</v>
      </c>
      <c r="AC1870">
        <v>-19.1035</v>
      </c>
      <c r="AD1870">
        <v>-1.1107333836910001</v>
      </c>
      <c r="AE1870">
        <v>0.50389999999998702</v>
      </c>
      <c r="AF1870">
        <v>0.225978009453844</v>
      </c>
      <c r="AG1870">
        <v>-1.1107333836910001</v>
      </c>
      <c r="AH1870">
        <v>19.044462490335999</v>
      </c>
      <c r="AI1870">
        <v>93.337655655815297</v>
      </c>
      <c r="AJ1870">
        <v>89.3201709630913</v>
      </c>
      <c r="AK1870">
        <v>19.0781641217444</v>
      </c>
      <c r="AL1870">
        <v>68.058106365150493</v>
      </c>
      <c r="AM1870">
        <v>93.571605440964504</v>
      </c>
      <c r="AN1870">
        <v>1.00000000039583</v>
      </c>
    </row>
    <row r="1871" spans="1:40" x14ac:dyDescent="0.25">
      <c r="A1871" t="str">
        <f>"20190304164635481"</f>
        <v>20190304164635481</v>
      </c>
      <c r="B1871" t="str">
        <f>"1551689195470520"</f>
        <v>1551689195470520</v>
      </c>
      <c r="C1871" t="s">
        <v>40</v>
      </c>
      <c r="D1871">
        <v>3.9215819999999999</v>
      </c>
      <c r="E1871">
        <v>0.54416049999999905</v>
      </c>
      <c r="F1871" t="s">
        <v>50</v>
      </c>
      <c r="G1871">
        <v>-418.71789999999999</v>
      </c>
      <c r="H1871" s="1">
        <v>3.6292170000000002E-6</v>
      </c>
      <c r="I1871">
        <v>286.02269999999999</v>
      </c>
      <c r="J1871">
        <v>-399.81</v>
      </c>
      <c r="K1871">
        <v>1.1107279999999999</v>
      </c>
      <c r="L1871">
        <v>285.52350000000001</v>
      </c>
      <c r="M1871">
        <v>-0.99983279999999997</v>
      </c>
      <c r="N1871">
        <v>-1.113859E-2</v>
      </c>
      <c r="O1871">
        <v>1.450446E-2</v>
      </c>
      <c r="P1871">
        <v>-0.93024050000000003</v>
      </c>
      <c r="Q1871">
        <v>0.36433280000000001</v>
      </c>
      <c r="R1871">
        <v>-4.3756299999999998E-2</v>
      </c>
      <c r="S1871">
        <v>-3.3022770000000001</v>
      </c>
      <c r="T1871">
        <v>-0.19128049999999999</v>
      </c>
      <c r="U1871">
        <v>8.6639399999999894E-2</v>
      </c>
      <c r="V1871">
        <v>-5.7231410000000003E-2</v>
      </c>
      <c r="W1871">
        <v>0.3746659</v>
      </c>
      <c r="X1871">
        <v>0.92539190000000004</v>
      </c>
      <c r="Y1871">
        <v>1.1716549999999999E-2</v>
      </c>
      <c r="Z1871">
        <v>-2.7348249999999998E-4</v>
      </c>
      <c r="AA1871">
        <v>0.99993129999999997</v>
      </c>
      <c r="AB1871">
        <v>27</v>
      </c>
      <c r="AC1871">
        <v>-18.907899999999898</v>
      </c>
      <c r="AD1871">
        <v>-1.1107243707829999</v>
      </c>
      <c r="AE1871">
        <v>0.499199999999973</v>
      </c>
      <c r="AF1871">
        <v>0.22410876987428499</v>
      </c>
      <c r="AG1871">
        <v>-1.1107243707829999</v>
      </c>
      <c r="AH1871">
        <v>18.848154969468599</v>
      </c>
      <c r="AI1871">
        <v>93.372309951191099</v>
      </c>
      <c r="AJ1871">
        <v>89.318772494201795</v>
      </c>
      <c r="AK1871">
        <v>18.882184172433298</v>
      </c>
      <c r="AL1871">
        <v>67.996336688214797</v>
      </c>
      <c r="AM1871">
        <v>93.538983943266999</v>
      </c>
      <c r="AN1871">
        <v>1.0000000697495</v>
      </c>
    </row>
    <row r="1872" spans="1:40" x14ac:dyDescent="0.25">
      <c r="A1872" t="str">
        <f>"20190304164635504"</f>
        <v>20190304164635504</v>
      </c>
      <c r="B1872" t="str">
        <f>"1551689195500119"</f>
        <v>1551689195500119</v>
      </c>
      <c r="C1872" t="s">
        <v>40</v>
      </c>
      <c r="D1872">
        <v>3.9298389999999999</v>
      </c>
      <c r="E1872">
        <v>0.54410879999999995</v>
      </c>
      <c r="F1872" t="s">
        <v>50</v>
      </c>
      <c r="G1872">
        <v>-419.31</v>
      </c>
      <c r="H1872" s="1">
        <v>3.7322469999999998E-6</v>
      </c>
      <c r="I1872">
        <v>286.0455</v>
      </c>
      <c r="J1872">
        <v>-400.08359999999999</v>
      </c>
      <c r="K1872">
        <v>1.1107180000000001</v>
      </c>
      <c r="L1872">
        <v>285.52749999999997</v>
      </c>
      <c r="M1872">
        <v>-0.99983429999999995</v>
      </c>
      <c r="N1872">
        <v>-1.1010519999999999E-2</v>
      </c>
      <c r="O1872">
        <v>1.450399E-2</v>
      </c>
      <c r="P1872">
        <v>-0.9301007</v>
      </c>
      <c r="Q1872">
        <v>0.36477759999999998</v>
      </c>
      <c r="R1872">
        <v>-4.301489E-2</v>
      </c>
      <c r="S1872">
        <v>-3.3027950000000001</v>
      </c>
      <c r="T1872">
        <v>-0.1881282</v>
      </c>
      <c r="U1872">
        <v>8.8409420000000002E-2</v>
      </c>
      <c r="V1872">
        <v>-5.6487379999999997E-2</v>
      </c>
      <c r="W1872">
        <v>0.3749904</v>
      </c>
      <c r="X1872">
        <v>0.92530610000000002</v>
      </c>
      <c r="Y1872">
        <v>1.2247589999999999E-2</v>
      </c>
      <c r="Z1872">
        <v>-2.4971900000000003E-4</v>
      </c>
      <c r="AA1872">
        <v>0.99992499999999995</v>
      </c>
      <c r="AB1872">
        <v>27</v>
      </c>
      <c r="AC1872">
        <v>-19.226400000000002</v>
      </c>
      <c r="AD1872">
        <v>-1.110714267753</v>
      </c>
      <c r="AE1872">
        <v>0.51800000000002899</v>
      </c>
      <c r="AF1872">
        <v>0.23827447766670401</v>
      </c>
      <c r="AG1872">
        <v>-1.110714267753</v>
      </c>
      <c r="AH1872">
        <v>19.167966041668699</v>
      </c>
      <c r="AI1872">
        <v>93.316118879489395</v>
      </c>
      <c r="AJ1872">
        <v>89.287800345295196</v>
      </c>
      <c r="AK1872">
        <v>19.201598451323299</v>
      </c>
      <c r="AL1872">
        <v>67.976280533659803</v>
      </c>
      <c r="AM1872">
        <v>93.493413576365498</v>
      </c>
      <c r="AN1872">
        <v>1.00000000144431</v>
      </c>
    </row>
    <row r="1873" spans="1:40" x14ac:dyDescent="0.25">
      <c r="A1873" t="str">
        <f>"20190304164635526"</f>
        <v>20190304164635526</v>
      </c>
      <c r="B1873" t="str">
        <f>"1551689195519638"</f>
        <v>1551689195519638</v>
      </c>
      <c r="C1873" t="s">
        <v>40</v>
      </c>
      <c r="D1873">
        <v>3.9385949999999998</v>
      </c>
      <c r="E1873">
        <v>0.54411229999999999</v>
      </c>
      <c r="F1873" t="s">
        <v>50</v>
      </c>
      <c r="G1873">
        <v>-419.65820000000002</v>
      </c>
      <c r="H1873" s="1">
        <v>3.792988E-6</v>
      </c>
      <c r="I1873">
        <v>286.05720000000002</v>
      </c>
      <c r="J1873">
        <v>-400.35579999999999</v>
      </c>
      <c r="K1873">
        <v>1.110703</v>
      </c>
      <c r="L1873">
        <v>285.53140000000002</v>
      </c>
      <c r="M1873">
        <v>-0.99983569999999999</v>
      </c>
      <c r="N1873">
        <v>-1.0884359999999999E-2</v>
      </c>
      <c r="O1873">
        <v>1.450367E-2</v>
      </c>
      <c r="P1873">
        <v>-0.93015689999999995</v>
      </c>
      <c r="Q1873">
        <v>0.36470760000000002</v>
      </c>
      <c r="R1873">
        <v>-4.2386729999999997E-2</v>
      </c>
      <c r="S1873">
        <v>-3.3030699999999902</v>
      </c>
      <c r="T1873">
        <v>-0.18742490000000001</v>
      </c>
      <c r="U1873">
        <v>8.9385989999999999E-2</v>
      </c>
      <c r="V1873">
        <v>-5.5860079999999999E-2</v>
      </c>
      <c r="W1873">
        <v>0.37480429999999998</v>
      </c>
      <c r="X1873">
        <v>0.92541960000000001</v>
      </c>
      <c r="Y1873">
        <v>1.254071E-2</v>
      </c>
      <c r="Z1873">
        <v>-2.4058050000000001E-4</v>
      </c>
      <c r="AA1873">
        <v>0.99992130000000001</v>
      </c>
      <c r="AB1873">
        <v>27</v>
      </c>
      <c r="AC1873">
        <v>-19.302399999999999</v>
      </c>
      <c r="AD1873">
        <v>-1.1106992070119901</v>
      </c>
      <c r="AE1873">
        <v>0.52580000000000304</v>
      </c>
      <c r="AF1873">
        <v>0.244962010289625</v>
      </c>
      <c r="AG1873">
        <v>-1.1106992070119901</v>
      </c>
      <c r="AH1873">
        <v>19.244323600998499</v>
      </c>
      <c r="AI1873">
        <v>93.302933336250604</v>
      </c>
      <c r="AJ1873">
        <v>89.270718386625603</v>
      </c>
      <c r="AK1873">
        <v>19.277905746602499</v>
      </c>
      <c r="AL1873">
        <v>67.987782653343501</v>
      </c>
      <c r="AM1873">
        <v>93.454290547446803</v>
      </c>
      <c r="AN1873">
        <v>1.0000000239501201</v>
      </c>
    </row>
    <row r="1874" spans="1:40" x14ac:dyDescent="0.25">
      <c r="A1874" t="str">
        <f>"20190304164635547"</f>
        <v>20190304164635547</v>
      </c>
      <c r="B1874" t="str">
        <f>"1551689195540135"</f>
        <v>1551689195540135</v>
      </c>
      <c r="C1874" t="s">
        <v>40</v>
      </c>
      <c r="D1874">
        <v>3.9370820000000002</v>
      </c>
      <c r="E1874">
        <v>0.54408049999999997</v>
      </c>
      <c r="F1874" t="s">
        <v>50</v>
      </c>
      <c r="G1874">
        <v>-419.83589999999998</v>
      </c>
      <c r="H1874" s="1">
        <v>3.8238270000000002E-6</v>
      </c>
      <c r="I1874">
        <v>286.065</v>
      </c>
      <c r="J1874">
        <v>-400.6121</v>
      </c>
      <c r="K1874">
        <v>1.110687</v>
      </c>
      <c r="L1874">
        <v>285.5351</v>
      </c>
      <c r="M1874">
        <v>-0.99983690000000003</v>
      </c>
      <c r="N1874">
        <v>-1.0766670000000001E-2</v>
      </c>
      <c r="O1874">
        <v>1.4503479999999999E-2</v>
      </c>
      <c r="P1874">
        <v>-0.93014589999999997</v>
      </c>
      <c r="Q1874">
        <v>0.36474709999999999</v>
      </c>
      <c r="R1874">
        <v>-4.2288850000000003E-2</v>
      </c>
      <c r="S1874">
        <v>-3.3032840000000001</v>
      </c>
      <c r="T1874">
        <v>-0.18834409999999999</v>
      </c>
      <c r="U1874">
        <v>9.0484620000000002E-2</v>
      </c>
      <c r="V1874">
        <v>-5.5761579999999998E-2</v>
      </c>
      <c r="W1874">
        <v>0.37473479999999998</v>
      </c>
      <c r="X1874">
        <v>0.92545370000000005</v>
      </c>
      <c r="Y1874">
        <v>1.2870940000000001E-2</v>
      </c>
      <c r="Z1874">
        <v>-2.3408500000000001E-4</v>
      </c>
      <c r="AA1874">
        <v>0.9999171</v>
      </c>
      <c r="AB1874">
        <v>27</v>
      </c>
      <c r="AC1874">
        <v>-19.223799999999901</v>
      </c>
      <c r="AD1874">
        <v>-1.1106831761730001</v>
      </c>
      <c r="AE1874">
        <v>0.52989999999999704</v>
      </c>
      <c r="AF1874">
        <v>0.25018160946540802</v>
      </c>
      <c r="AG1874">
        <v>-1.1106831761730001</v>
      </c>
      <c r="AH1874">
        <v>19.1655353488595</v>
      </c>
      <c r="AI1874">
        <v>93.316419622725107</v>
      </c>
      <c r="AJ1874">
        <v>89.252119183379605</v>
      </c>
      <c r="AK1874">
        <v>19.199321684995301</v>
      </c>
      <c r="AL1874">
        <v>67.992078058312401</v>
      </c>
      <c r="AM1874">
        <v>93.448087439065006</v>
      </c>
      <c r="AN1874">
        <v>1.00000003748941</v>
      </c>
    </row>
    <row r="1875" spans="1:40" x14ac:dyDescent="0.25">
      <c r="A1875" t="str">
        <f>"20190304164635571"</f>
        <v>20190304164635571</v>
      </c>
      <c r="B1875" t="str">
        <f>"1551689195559655"</f>
        <v>1551689195559655</v>
      </c>
      <c r="C1875" t="s">
        <v>40</v>
      </c>
      <c r="D1875">
        <v>3.9807100000000002</v>
      </c>
      <c r="E1875">
        <v>0.5440642</v>
      </c>
      <c r="F1875" t="s">
        <v>50</v>
      </c>
      <c r="G1875">
        <v>-420.07080000000002</v>
      </c>
      <c r="H1875" s="1">
        <v>3.8246760000000002E-6</v>
      </c>
      <c r="I1875">
        <v>286.07319999999999</v>
      </c>
      <c r="J1875">
        <v>-400.88339999999999</v>
      </c>
      <c r="K1875">
        <v>1.110668</v>
      </c>
      <c r="L1875">
        <v>285.53910000000002</v>
      </c>
      <c r="M1875">
        <v>-0.99983820000000001</v>
      </c>
      <c r="N1875">
        <v>-1.06433E-2</v>
      </c>
      <c r="O1875">
        <v>1.4503139999999999E-2</v>
      </c>
      <c r="P1875">
        <v>-0.93008360000000001</v>
      </c>
      <c r="Q1875">
        <v>0.36489709999999997</v>
      </c>
      <c r="R1875">
        <v>-4.2362839999999999E-2</v>
      </c>
      <c r="S1875">
        <v>-3.3034059999999998</v>
      </c>
      <c r="T1875">
        <v>-0.18855440000000001</v>
      </c>
      <c r="U1875">
        <v>9.1339110000000001E-2</v>
      </c>
      <c r="V1875">
        <v>-5.5834870000000002E-2</v>
      </c>
      <c r="W1875">
        <v>0.3747702</v>
      </c>
      <c r="X1875">
        <v>0.92543489999999995</v>
      </c>
      <c r="Y1875">
        <v>1.312836E-2</v>
      </c>
      <c r="Z1875">
        <v>-2.284349E-4</v>
      </c>
      <c r="AA1875">
        <v>0.99991379999999996</v>
      </c>
      <c r="AB1875">
        <v>27</v>
      </c>
      <c r="AC1875">
        <v>-19.1874</v>
      </c>
      <c r="AD1875">
        <v>-1.1106641753240001</v>
      </c>
      <c r="AE1875">
        <v>0.53409999999996605</v>
      </c>
      <c r="AF1875">
        <v>0.25489709630157398</v>
      </c>
      <c r="AG1875">
        <v>-1.1106641753240001</v>
      </c>
      <c r="AH1875">
        <v>19.129082426790902</v>
      </c>
      <c r="AI1875">
        <v>93.322656759186401</v>
      </c>
      <c r="AJ1875">
        <v>89.236572711205298</v>
      </c>
      <c r="AK1875">
        <v>19.1629940753268</v>
      </c>
      <c r="AL1875">
        <v>67.989889370884498</v>
      </c>
      <c r="AM1875">
        <v>93.452678431822505</v>
      </c>
      <c r="AN1875">
        <v>0.99999999482698299</v>
      </c>
    </row>
    <row r="1876" spans="1:40" x14ac:dyDescent="0.25">
      <c r="A1876" t="str">
        <f>"20190304164635593"</f>
        <v>20190304164635593</v>
      </c>
      <c r="B1876" t="str">
        <f>"1551689195589911"</f>
        <v>1551689195589911</v>
      </c>
      <c r="C1876" t="s">
        <v>40</v>
      </c>
      <c r="D1876">
        <v>3.98367</v>
      </c>
      <c r="E1876">
        <v>0.54402019999999995</v>
      </c>
      <c r="F1876" t="s">
        <v>50</v>
      </c>
      <c r="G1876">
        <v>-420.32659999999998</v>
      </c>
      <c r="H1876" s="1">
        <v>3.7792479999999998E-6</v>
      </c>
      <c r="I1876">
        <v>286.07380000000001</v>
      </c>
      <c r="J1876">
        <v>-401.16160000000002</v>
      </c>
      <c r="K1876">
        <v>1.1106510000000001</v>
      </c>
      <c r="L1876">
        <v>285.54309999999998</v>
      </c>
      <c r="M1876">
        <v>-0.99983949999999999</v>
      </c>
      <c r="N1876">
        <v>-1.051732E-2</v>
      </c>
      <c r="O1876">
        <v>1.45028E-2</v>
      </c>
      <c r="P1876">
        <v>-0.93029640000000002</v>
      </c>
      <c r="Q1876">
        <v>0.36432989999999998</v>
      </c>
      <c r="R1876">
        <v>-4.2576120000000002E-2</v>
      </c>
      <c r="S1876">
        <v>-3.3037109999999998</v>
      </c>
      <c r="T1876">
        <v>-0.188719</v>
      </c>
      <c r="U1876">
        <v>9.0850829999999994E-2</v>
      </c>
      <c r="V1876">
        <v>-5.605052E-2</v>
      </c>
      <c r="W1876">
        <v>0.37408849999999999</v>
      </c>
      <c r="X1876">
        <v>0.92569769999999896</v>
      </c>
      <c r="Y1876">
        <v>1.297891E-2</v>
      </c>
      <c r="Z1876">
        <v>-2.364783E-4</v>
      </c>
      <c r="AA1876">
        <v>0.99991569999999996</v>
      </c>
      <c r="AB1876">
        <v>27</v>
      </c>
      <c r="AC1876">
        <v>-19.1649999999999</v>
      </c>
      <c r="AD1876">
        <v>-1.110647220752</v>
      </c>
      <c r="AE1876">
        <v>0.53070000000002404</v>
      </c>
      <c r="AF1876">
        <v>0.25183751247848501</v>
      </c>
      <c r="AG1876">
        <v>-1.110647220752</v>
      </c>
      <c r="AH1876">
        <v>19.1065625950753</v>
      </c>
      <c r="AI1876">
        <v>93.326519883251706</v>
      </c>
      <c r="AJ1876">
        <v>89.244846318894702</v>
      </c>
      <c r="AK1876">
        <v>19.140472658249301</v>
      </c>
      <c r="AL1876">
        <v>68.0320133615933</v>
      </c>
      <c r="AM1876">
        <v>93.464999628984799</v>
      </c>
      <c r="AN1876">
        <v>1.0000000492048999</v>
      </c>
    </row>
    <row r="1877" spans="1:40" x14ac:dyDescent="0.25">
      <c r="A1877" t="str">
        <f>"20190304164635616"</f>
        <v>20190304164635616</v>
      </c>
      <c r="B1877" t="str">
        <f>"1551689195610407"</f>
        <v>1551689195610407</v>
      </c>
      <c r="C1877" t="s">
        <v>40</v>
      </c>
      <c r="D1877">
        <v>4.0015039999999997</v>
      </c>
      <c r="E1877">
        <v>0.543975599999999</v>
      </c>
      <c r="F1877" t="s">
        <v>50</v>
      </c>
      <c r="G1877">
        <v>-420.34089999999998</v>
      </c>
      <c r="H1877" s="1">
        <v>3.777761E-6</v>
      </c>
      <c r="I1877">
        <v>286.06180000000001</v>
      </c>
      <c r="J1877">
        <v>-401.42500000000001</v>
      </c>
      <c r="K1877">
        <v>1.1106290000000001</v>
      </c>
      <c r="L1877">
        <v>285.54689999999999</v>
      </c>
      <c r="M1877">
        <v>-0.99984070000000003</v>
      </c>
      <c r="N1877">
        <v>-1.040436E-2</v>
      </c>
      <c r="O1877">
        <v>1.4502559999999999E-2</v>
      </c>
      <c r="P1877">
        <v>-0.93024260000000003</v>
      </c>
      <c r="Q1877">
        <v>0.36445810000000001</v>
      </c>
      <c r="R1877">
        <v>-4.2654659999999997E-2</v>
      </c>
      <c r="S1877">
        <v>-3.3038020000000001</v>
      </c>
      <c r="T1877">
        <v>-0.19131889999999999</v>
      </c>
      <c r="U1877">
        <v>8.9355470000000006E-2</v>
      </c>
      <c r="V1877">
        <v>-5.6127629999999998E-2</v>
      </c>
      <c r="W1877">
        <v>0.37411179999999999</v>
      </c>
      <c r="X1877">
        <v>0.92568360000000005</v>
      </c>
      <c r="Y1877">
        <v>1.252707E-2</v>
      </c>
      <c r="Z1877">
        <v>-2.6054160000000003E-4</v>
      </c>
      <c r="AA1877">
        <v>0.99992150000000002</v>
      </c>
      <c r="AB1877">
        <v>27</v>
      </c>
      <c r="AC1877">
        <v>-18.915899999999901</v>
      </c>
      <c r="AD1877">
        <v>-1.1106252222390001</v>
      </c>
      <c r="AE1877">
        <v>0.51490000000001102</v>
      </c>
      <c r="AF1877">
        <v>0.239676390886469</v>
      </c>
      <c r="AG1877">
        <v>-1.1106252222390001</v>
      </c>
      <c r="AH1877">
        <v>18.8564223066859</v>
      </c>
      <c r="AI1877">
        <v>93.370500687538893</v>
      </c>
      <c r="AJ1877">
        <v>89.271775633767106</v>
      </c>
      <c r="AK1877">
        <v>18.8906218893054</v>
      </c>
      <c r="AL1877">
        <v>68.030573597456396</v>
      </c>
      <c r="AM1877">
        <v>93.469807593420796</v>
      </c>
      <c r="AN1877">
        <v>1.0000000385287999</v>
      </c>
    </row>
    <row r="1878" spans="1:40" x14ac:dyDescent="0.25">
      <c r="A1878" t="str">
        <f>"20190304164635638"</f>
        <v>20190304164635638</v>
      </c>
      <c r="B1878" t="str">
        <f>"1551689195629927"</f>
        <v>1551689195629927</v>
      </c>
      <c r="C1878" t="s">
        <v>40</v>
      </c>
      <c r="D1878">
        <v>4.0757719999999997</v>
      </c>
      <c r="E1878">
        <v>0.52739060000000004</v>
      </c>
      <c r="F1878" t="s">
        <v>50</v>
      </c>
      <c r="G1878">
        <v>-420.55430000000001</v>
      </c>
      <c r="H1878" s="1">
        <v>3.7401E-6</v>
      </c>
      <c r="I1878">
        <v>286.05970000000002</v>
      </c>
      <c r="J1878">
        <v>-401.69659999999999</v>
      </c>
      <c r="K1878">
        <v>1.110614</v>
      </c>
      <c r="L1878">
        <v>285.55090000000001</v>
      </c>
      <c r="M1878">
        <v>-0.99984189999999995</v>
      </c>
      <c r="N1878">
        <v>-1.0293129999999999E-2</v>
      </c>
      <c r="O1878">
        <v>1.450248E-2</v>
      </c>
      <c r="P1878">
        <v>-0.93039050000000001</v>
      </c>
      <c r="Q1878">
        <v>0.36409370000000002</v>
      </c>
      <c r="R1878">
        <v>-4.2540710000000002E-2</v>
      </c>
      <c r="S1878">
        <v>-3.3041990000000001</v>
      </c>
      <c r="T1878">
        <v>-0.19183800000000001</v>
      </c>
      <c r="U1878">
        <v>8.8562009999999997E-2</v>
      </c>
      <c r="V1878">
        <v>-5.601627E-2</v>
      </c>
      <c r="W1878">
        <v>0.37364570000000003</v>
      </c>
      <c r="X1878">
        <v>0.92587850000000005</v>
      </c>
      <c r="Y1878">
        <v>1.228455E-2</v>
      </c>
      <c r="Z1878">
        <v>-2.7236600000000001E-4</v>
      </c>
      <c r="AA1878">
        <v>0.99992449999999999</v>
      </c>
      <c r="AB1878">
        <v>27</v>
      </c>
      <c r="AC1878">
        <v>-18.857700000000001</v>
      </c>
      <c r="AD1878">
        <v>-1.1106102598999901</v>
      </c>
      <c r="AE1878">
        <v>0.50880000000000702</v>
      </c>
      <c r="AF1878">
        <v>0.23443603508299099</v>
      </c>
      <c r="AG1878">
        <v>-1.1106102598999901</v>
      </c>
      <c r="AH1878">
        <v>18.797941979558701</v>
      </c>
      <c r="AI1878">
        <v>93.380926732047897</v>
      </c>
      <c r="AJ1878">
        <v>89.285480343355303</v>
      </c>
      <c r="AK1878">
        <v>18.8321809164737</v>
      </c>
      <c r="AL1878">
        <v>68.059365636415507</v>
      </c>
      <c r="AM1878">
        <v>93.462212907669596</v>
      </c>
      <c r="AN1878">
        <v>0.99999996419772497</v>
      </c>
    </row>
    <row r="1879" spans="1:40" x14ac:dyDescent="0.25">
      <c r="A1879" t="str">
        <f>"20190304164635660"</f>
        <v>20190304164635660</v>
      </c>
      <c r="B1879" t="str">
        <f>"1551689195650423"</f>
        <v>1551689195650423</v>
      </c>
      <c r="C1879" t="s">
        <v>40</v>
      </c>
      <c r="D1879">
        <v>4.0798920000000001</v>
      </c>
      <c r="E1879">
        <v>0.52438019999999996</v>
      </c>
      <c r="F1879" t="s">
        <v>50</v>
      </c>
      <c r="G1879">
        <v>-420.31970000000001</v>
      </c>
      <c r="H1879" s="1">
        <v>3.84811999999999E-6</v>
      </c>
      <c r="I1879">
        <v>285.30009999999999</v>
      </c>
      <c r="J1879">
        <v>-401.9615</v>
      </c>
      <c r="K1879">
        <v>1.1106039999999999</v>
      </c>
      <c r="L1879">
        <v>285.55470000000003</v>
      </c>
      <c r="M1879">
        <v>-0.99984300000000004</v>
      </c>
      <c r="N1879">
        <v>-1.01904E-2</v>
      </c>
      <c r="O1879">
        <v>1.4501999999999999E-2</v>
      </c>
      <c r="P1879">
        <v>-0.93040279999999997</v>
      </c>
      <c r="Q1879">
        <v>0.36409789999999997</v>
      </c>
      <c r="R1879">
        <v>-4.2232890000000002E-2</v>
      </c>
      <c r="S1879">
        <v>-3.2994379999999999</v>
      </c>
      <c r="T1879">
        <v>-0.196766</v>
      </c>
      <c r="U1879">
        <v>-4.4433590000000002E-2</v>
      </c>
      <c r="V1879">
        <v>-5.5708100000000003E-2</v>
      </c>
      <c r="W1879">
        <v>0.37355509999999997</v>
      </c>
      <c r="X1879">
        <v>0.92593369999999997</v>
      </c>
      <c r="Y1879">
        <v>-2.7890089999999999E-2</v>
      </c>
      <c r="Z1879">
        <v>-1.689484E-3</v>
      </c>
      <c r="AA1879">
        <v>0.99960959999999999</v>
      </c>
      <c r="AB1879">
        <v>27</v>
      </c>
      <c r="AC1879">
        <v>-18.3582</v>
      </c>
      <c r="AD1879">
        <v>-1.1106001518799999</v>
      </c>
      <c r="AE1879">
        <v>-0.25460000000003802</v>
      </c>
      <c r="AF1879">
        <v>-0.51891887582436902</v>
      </c>
      <c r="AG1879">
        <v>-1.1106001518799999</v>
      </c>
      <c r="AH1879">
        <v>18.2856681620076</v>
      </c>
      <c r="AI1879">
        <v>93.474257322169507</v>
      </c>
      <c r="AJ1879">
        <v>91.625529004635496</v>
      </c>
      <c r="AK1879">
        <v>18.326711915346401</v>
      </c>
      <c r="AL1879">
        <v>68.064962937245099</v>
      </c>
      <c r="AM1879">
        <v>93.443006937047201</v>
      </c>
      <c r="AN1879">
        <v>1.00000001096865</v>
      </c>
    </row>
    <row r="1880" spans="1:40" x14ac:dyDescent="0.25">
      <c r="A1880" t="str">
        <f>"20190304164635682"</f>
        <v>20190304164635682</v>
      </c>
      <c r="B1880" t="str">
        <f>"1551689195669944"</f>
        <v>1551689195669944</v>
      </c>
      <c r="C1880" t="s">
        <v>40</v>
      </c>
      <c r="D1880">
        <v>4.0567510000000002</v>
      </c>
      <c r="E1880">
        <v>0.52290630000000005</v>
      </c>
      <c r="F1880" t="s">
        <v>50</v>
      </c>
      <c r="G1880">
        <v>-419.4923</v>
      </c>
      <c r="H1880" s="1">
        <v>3.8395890000000004E-6</v>
      </c>
      <c r="I1880">
        <v>285.1875</v>
      </c>
      <c r="J1880">
        <v>-402.23020000000002</v>
      </c>
      <c r="K1880">
        <v>1.1105959999999999</v>
      </c>
      <c r="L1880">
        <v>285.55860000000001</v>
      </c>
      <c r="M1880">
        <v>-0.99984410000000001</v>
      </c>
      <c r="N1880">
        <v>-1.009088E-2</v>
      </c>
      <c r="O1880">
        <v>1.450186E-2</v>
      </c>
      <c r="P1880">
        <v>-0.93026509999999996</v>
      </c>
      <c r="Q1880">
        <v>0.36446709999999999</v>
      </c>
      <c r="R1880">
        <v>-4.2081939999999998E-2</v>
      </c>
      <c r="S1880">
        <v>-3.303131</v>
      </c>
      <c r="T1880">
        <v>-0.20925859999999999</v>
      </c>
      <c r="U1880">
        <v>-6.9183350000000005E-2</v>
      </c>
      <c r="V1880">
        <v>-5.5555309999999997E-2</v>
      </c>
      <c r="W1880">
        <v>0.37383060000000001</v>
      </c>
      <c r="X1880">
        <v>0.92583170000000004</v>
      </c>
      <c r="Y1880">
        <v>-3.5334749999999998E-2</v>
      </c>
      <c r="Z1880">
        <v>-2.0680300000000002E-3</v>
      </c>
      <c r="AA1880">
        <v>0.99937339999999997</v>
      </c>
      <c r="AB1880">
        <v>27</v>
      </c>
      <c r="AC1880">
        <v>-17.262099999999901</v>
      </c>
      <c r="AD1880">
        <v>-1.1105921604109901</v>
      </c>
      <c r="AE1880">
        <v>-0.37110000000001198</v>
      </c>
      <c r="AF1880">
        <v>-0.61884585527913105</v>
      </c>
      <c r="AG1880">
        <v>-1.1105921604109901</v>
      </c>
      <c r="AH1880">
        <v>17.183807397942601</v>
      </c>
      <c r="AI1880">
        <v>93.695503111079702</v>
      </c>
      <c r="AJ1880">
        <v>92.062519551505403</v>
      </c>
      <c r="AK1880">
        <v>17.230775427384199</v>
      </c>
      <c r="AL1880">
        <v>68.047945332411302</v>
      </c>
      <c r="AM1880">
        <v>93.433963839894602</v>
      </c>
      <c r="AN1880">
        <v>1.00000002334522</v>
      </c>
    </row>
    <row r="1881" spans="1:40" x14ac:dyDescent="0.25">
      <c r="A1881" t="str">
        <f>"20190304164635705"</f>
        <v>20190304164635705</v>
      </c>
      <c r="B1881" t="str">
        <f>"1551689195699734"</f>
        <v>1551689195699734</v>
      </c>
      <c r="C1881" t="s">
        <v>40</v>
      </c>
      <c r="D1881">
        <v>4.0485410000000002</v>
      </c>
      <c r="E1881">
        <v>0.52200079999999904</v>
      </c>
      <c r="F1881" t="s">
        <v>50</v>
      </c>
      <c r="G1881">
        <v>-420.04809999999998</v>
      </c>
      <c r="H1881" s="1">
        <v>3.9113610000000003E-6</v>
      </c>
      <c r="I1881">
        <v>285.1277</v>
      </c>
      <c r="J1881">
        <v>-402.51319999999998</v>
      </c>
      <c r="K1881">
        <v>1.1105879999999999</v>
      </c>
      <c r="L1881">
        <v>285.56270000000001</v>
      </c>
      <c r="M1881">
        <v>-0.99984499999999998</v>
      </c>
      <c r="N1881">
        <v>-9.9939220000000006E-3</v>
      </c>
      <c r="O1881">
        <v>1.4501689999999999E-2</v>
      </c>
      <c r="P1881">
        <v>-0.93009830000000004</v>
      </c>
      <c r="Q1881">
        <v>0.36491770000000001</v>
      </c>
      <c r="R1881">
        <v>-4.1865470000000002E-2</v>
      </c>
      <c r="S1881">
        <v>-3.3019099999999999</v>
      </c>
      <c r="T1881">
        <v>-0.20580780000000001</v>
      </c>
      <c r="U1881">
        <v>-7.9864500000000005E-2</v>
      </c>
      <c r="V1881">
        <v>-5.5336080000000003E-2</v>
      </c>
      <c r="W1881">
        <v>0.37418970000000001</v>
      </c>
      <c r="X1881">
        <v>0.92569970000000001</v>
      </c>
      <c r="Y1881">
        <v>-3.8569260000000001E-2</v>
      </c>
      <c r="Z1881">
        <v>-2.151755E-3</v>
      </c>
      <c r="AA1881">
        <v>0.99925359999999996</v>
      </c>
      <c r="AB1881">
        <v>27</v>
      </c>
      <c r="AC1881">
        <v>-17.534899999999901</v>
      </c>
      <c r="AD1881">
        <v>-1.1105840886389999</v>
      </c>
      <c r="AE1881">
        <v>-0.435000000000002</v>
      </c>
      <c r="AF1881">
        <v>-0.68650047472050202</v>
      </c>
      <c r="AG1881">
        <v>-1.1105840886389999</v>
      </c>
      <c r="AH1881">
        <v>17.456764333808799</v>
      </c>
      <c r="AI1881">
        <v>93.637397591174704</v>
      </c>
      <c r="AJ1881">
        <v>92.252039451196794</v>
      </c>
      <c r="AK1881">
        <v>17.505522012378499</v>
      </c>
      <c r="AL1881">
        <v>68.025759191620295</v>
      </c>
      <c r="AM1881">
        <v>93.4209316938352</v>
      </c>
      <c r="AN1881">
        <v>0.99999997395797202</v>
      </c>
    </row>
    <row r="1882" spans="1:40" x14ac:dyDescent="0.25">
      <c r="A1882" t="str">
        <f>"20190304164635728"</f>
        <v>20190304164635728</v>
      </c>
      <c r="B1882" t="str">
        <f>"1551689195720227"</f>
        <v>1551689195720227</v>
      </c>
      <c r="C1882" t="s">
        <v>40</v>
      </c>
      <c r="D1882">
        <v>4.0613640000000002</v>
      </c>
      <c r="E1882">
        <v>0.52174229999999999</v>
      </c>
      <c r="F1882" t="s">
        <v>50</v>
      </c>
      <c r="G1882">
        <v>-420.21019999999999</v>
      </c>
      <c r="H1882" s="1">
        <v>3.8850909999999998E-6</v>
      </c>
      <c r="I1882">
        <v>285.09930000000003</v>
      </c>
      <c r="J1882">
        <v>-402.7817</v>
      </c>
      <c r="K1882">
        <v>1.1105780000000001</v>
      </c>
      <c r="L1882">
        <v>285.56659999999999</v>
      </c>
      <c r="M1882">
        <v>-0.99984580000000001</v>
      </c>
      <c r="N1882">
        <v>-9.9118279999999993E-3</v>
      </c>
      <c r="O1882">
        <v>1.4501450000000001E-2</v>
      </c>
      <c r="P1882">
        <v>-0.93000419999999995</v>
      </c>
      <c r="Q1882">
        <v>0.36518469999999997</v>
      </c>
      <c r="R1882">
        <v>-4.1624109999999999E-2</v>
      </c>
      <c r="S1882">
        <v>-3.3028870000000001</v>
      </c>
      <c r="T1882">
        <v>-0.20727490000000001</v>
      </c>
      <c r="U1882">
        <v>-8.6486820000000006E-2</v>
      </c>
      <c r="V1882">
        <v>-5.5093589999999998E-2</v>
      </c>
      <c r="W1882">
        <v>0.37437979999999998</v>
      </c>
      <c r="X1882">
        <v>0.9256373</v>
      </c>
      <c r="Y1882">
        <v>-4.0558110000000001E-2</v>
      </c>
      <c r="Z1882">
        <v>-2.237855E-3</v>
      </c>
      <c r="AA1882">
        <v>0.99917469999999997</v>
      </c>
      <c r="AB1882">
        <v>27</v>
      </c>
      <c r="AC1882">
        <v>-17.4284999999999</v>
      </c>
      <c r="AD1882">
        <v>-1.110574114909</v>
      </c>
      <c r="AE1882">
        <v>-0.46729999999996602</v>
      </c>
      <c r="AF1882">
        <v>-0.71709214380452102</v>
      </c>
      <c r="AG1882">
        <v>-1.110574114909</v>
      </c>
      <c r="AH1882">
        <v>17.349494034797399</v>
      </c>
      <c r="AI1882">
        <v>93.659498724327605</v>
      </c>
      <c r="AJ1882">
        <v>92.366811426192896</v>
      </c>
      <c r="AK1882">
        <v>17.3997856099115</v>
      </c>
      <c r="AL1882">
        <v>68.014013533104105</v>
      </c>
      <c r="AM1882">
        <v>93.406205155367303</v>
      </c>
      <c r="AN1882">
        <v>0.99999997472920799</v>
      </c>
    </row>
    <row r="1883" spans="1:40" x14ac:dyDescent="0.25">
      <c r="A1883" t="str">
        <f>"20190304164635749"</f>
        <v>20190304164635749</v>
      </c>
      <c r="B1883" t="str">
        <f>"1551689195739750"</f>
        <v>1551689195739750</v>
      </c>
      <c r="C1883" t="s">
        <v>40</v>
      </c>
      <c r="D1883">
        <v>4.0653110000000003</v>
      </c>
      <c r="E1883">
        <v>0.52159199999999994</v>
      </c>
      <c r="F1883" t="s">
        <v>50</v>
      </c>
      <c r="G1883">
        <v>-420.42599999999999</v>
      </c>
      <c r="H1883" s="1">
        <v>3.8467720000000002E-6</v>
      </c>
      <c r="I1883">
        <v>285.09980000000002</v>
      </c>
      <c r="J1883">
        <v>-403.04059999999998</v>
      </c>
      <c r="K1883">
        <v>1.110574</v>
      </c>
      <c r="L1883">
        <v>285.57040000000001</v>
      </c>
      <c r="M1883">
        <v>-0.99984640000000002</v>
      </c>
      <c r="N1883">
        <v>-9.8416670000000001E-3</v>
      </c>
      <c r="O1883">
        <v>1.450126E-2</v>
      </c>
      <c r="P1883">
        <v>-0.9299811</v>
      </c>
      <c r="Q1883">
        <v>0.36524649999999997</v>
      </c>
      <c r="R1883">
        <v>-4.1595680000000003E-2</v>
      </c>
      <c r="S1883">
        <v>-3.303528</v>
      </c>
      <c r="T1883">
        <v>-0.20793220000000001</v>
      </c>
      <c r="U1883">
        <v>-8.7402339999999995E-2</v>
      </c>
      <c r="V1883">
        <v>-5.5064549999999997E-2</v>
      </c>
      <c r="W1883">
        <v>0.3743763</v>
      </c>
      <c r="X1883">
        <v>0.92564049999999998</v>
      </c>
      <c r="Y1883">
        <v>-4.0828320000000001E-2</v>
      </c>
      <c r="Z1883">
        <v>-2.2537339999999999E-3</v>
      </c>
      <c r="AA1883">
        <v>0.99916360000000004</v>
      </c>
      <c r="AB1883">
        <v>27</v>
      </c>
      <c r="AC1883">
        <v>-17.385400000000001</v>
      </c>
      <c r="AD1883">
        <v>-1.1105701532279999</v>
      </c>
      <c r="AE1883">
        <v>-0.47059999999999003</v>
      </c>
      <c r="AF1883">
        <v>-0.71973812859722797</v>
      </c>
      <c r="AG1883">
        <v>-1.1105701532279999</v>
      </c>
      <c r="AH1883">
        <v>17.306179483671499</v>
      </c>
      <c r="AI1883">
        <v>93.668581004348795</v>
      </c>
      <c r="AJ1883">
        <v>92.3814734324489</v>
      </c>
      <c r="AK1883">
        <v>17.356705832618399</v>
      </c>
      <c r="AL1883">
        <v>68.014231003886096</v>
      </c>
      <c r="AM1883">
        <v>93.404402216579101</v>
      </c>
      <c r="AN1883">
        <v>1.0000000269543201</v>
      </c>
    </row>
    <row r="1884" spans="1:40" x14ac:dyDescent="0.25">
      <c r="A1884" t="str">
        <f>"20190304164635771"</f>
        <v>20190304164635771</v>
      </c>
      <c r="B1884" t="str">
        <f>"1551689195760242"</f>
        <v>1551689195760242</v>
      </c>
      <c r="C1884" t="s">
        <v>40</v>
      </c>
      <c r="D1884">
        <v>4.0635149999999998</v>
      </c>
      <c r="E1884">
        <v>0.52150920000000001</v>
      </c>
      <c r="F1884" t="s">
        <v>50</v>
      </c>
      <c r="G1884">
        <v>-420.68079999999998</v>
      </c>
      <c r="H1884" s="1">
        <v>3.8017739999999999E-6</v>
      </c>
      <c r="I1884">
        <v>285.09750000000003</v>
      </c>
      <c r="J1884">
        <v>-403.31810000000002</v>
      </c>
      <c r="K1884">
        <v>1.1105670000000001</v>
      </c>
      <c r="L1884">
        <v>285.57440000000003</v>
      </c>
      <c r="M1884">
        <v>-0.99984720000000005</v>
      </c>
      <c r="N1884">
        <v>-9.7750849999999993E-3</v>
      </c>
      <c r="O1884">
        <v>1.450094E-2</v>
      </c>
      <c r="P1884">
        <v>-0.92994370000000004</v>
      </c>
      <c r="Q1884">
        <v>0.365315</v>
      </c>
      <c r="R1884">
        <v>-4.1835249999999997E-2</v>
      </c>
      <c r="S1884">
        <v>-3.3035890000000001</v>
      </c>
      <c r="T1884">
        <v>-0.2079831</v>
      </c>
      <c r="U1884">
        <v>-8.8562009999999997E-2</v>
      </c>
      <c r="V1884">
        <v>-5.5302740000000003E-2</v>
      </c>
      <c r="W1884">
        <v>0.37438300000000002</v>
      </c>
      <c r="X1884">
        <v>0.92562359999999999</v>
      </c>
      <c r="Y1884">
        <v>-4.1177169999999999E-2</v>
      </c>
      <c r="Z1884">
        <v>-2.2664830000000001E-3</v>
      </c>
      <c r="AA1884">
        <v>0.99914930000000002</v>
      </c>
      <c r="AB1884">
        <v>27</v>
      </c>
      <c r="AC1884">
        <v>-17.362699999999901</v>
      </c>
      <c r="AD1884">
        <v>-1.110563198226</v>
      </c>
      <c r="AE1884">
        <v>-0.47689999999999999</v>
      </c>
      <c r="AF1884">
        <v>-0.725670685968128</v>
      </c>
      <c r="AG1884">
        <v>-1.110563198226</v>
      </c>
      <c r="AH1884">
        <v>17.283302056488701</v>
      </c>
      <c r="AI1884">
        <v>93.673339907272506</v>
      </c>
      <c r="AJ1884">
        <v>92.404254746361502</v>
      </c>
      <c r="AK1884">
        <v>17.334141990232801</v>
      </c>
      <c r="AL1884">
        <v>68.013817231444705</v>
      </c>
      <c r="AM1884">
        <v>93.419155887750094</v>
      </c>
      <c r="AN1884">
        <v>1.00000003630873</v>
      </c>
    </row>
    <row r="1885" spans="1:40" x14ac:dyDescent="0.25">
      <c r="A1885" t="str">
        <f>"20190304164635796"</f>
        <v>20190304164635796</v>
      </c>
      <c r="B1885" t="str">
        <f>"1551689195790499"</f>
        <v>1551689195790499</v>
      </c>
      <c r="C1885" t="s">
        <v>40</v>
      </c>
      <c r="D1885">
        <v>4.1068429999999996</v>
      </c>
      <c r="E1885">
        <v>0.5216132</v>
      </c>
      <c r="F1885" t="s">
        <v>50</v>
      </c>
      <c r="G1885">
        <v>-420.8596</v>
      </c>
      <c r="H1885" s="1">
        <v>3.7703079999999999E-6</v>
      </c>
      <c r="I1885">
        <v>285.09469999999999</v>
      </c>
      <c r="J1885">
        <v>-403.59949999999998</v>
      </c>
      <c r="K1885">
        <v>1.1105640000000001</v>
      </c>
      <c r="L1885">
        <v>285.57850000000002</v>
      </c>
      <c r="M1885">
        <v>-0.99984779999999995</v>
      </c>
      <c r="N1885">
        <v>-9.7163079999999999E-3</v>
      </c>
      <c r="O1885">
        <v>1.4500870000000001E-2</v>
      </c>
      <c r="P1885">
        <v>-0.92998020000000003</v>
      </c>
      <c r="Q1885">
        <v>0.36518469999999997</v>
      </c>
      <c r="R1885">
        <v>-4.2157590000000002E-2</v>
      </c>
      <c r="S1885">
        <v>-3.3041079999999998</v>
      </c>
      <c r="T1885">
        <v>-0.2091856</v>
      </c>
      <c r="U1885">
        <v>-9.036255E-2</v>
      </c>
      <c r="V1885">
        <v>-5.5625859999999999E-2</v>
      </c>
      <c r="W1885">
        <v>0.37419849999999999</v>
      </c>
      <c r="X1885">
        <v>0.92567880000000002</v>
      </c>
      <c r="Y1885">
        <v>-4.171449E-2</v>
      </c>
      <c r="Z1885">
        <v>-2.2980969999999998E-3</v>
      </c>
      <c r="AA1885">
        <v>0.99912690000000004</v>
      </c>
      <c r="AB1885">
        <v>27</v>
      </c>
      <c r="AC1885">
        <v>-17.260100000000001</v>
      </c>
      <c r="AD1885">
        <v>-1.1105602296920001</v>
      </c>
      <c r="AE1885">
        <v>-0.48380000000002998</v>
      </c>
      <c r="AF1885">
        <v>-0.731023328574682</v>
      </c>
      <c r="AG1885">
        <v>-1.1105602296920001</v>
      </c>
      <c r="AH1885">
        <v>17.1801994551499</v>
      </c>
      <c r="AI1885">
        <v>93.695226153187704</v>
      </c>
      <c r="AJ1885">
        <v>92.436485165423093</v>
      </c>
      <c r="AK1885">
        <v>17.231569645549602</v>
      </c>
      <c r="AL1885">
        <v>68.025216027153604</v>
      </c>
      <c r="AM1885">
        <v>93.438880759044096</v>
      </c>
      <c r="AN1885">
        <v>0.99999999723621402</v>
      </c>
    </row>
    <row r="1886" spans="1:40" x14ac:dyDescent="0.25">
      <c r="A1886" t="str">
        <f>"20190304164635819"</f>
        <v>20190304164635819</v>
      </c>
      <c r="B1886" t="str">
        <f>"1551689195810019"</f>
        <v>1551689195810019</v>
      </c>
      <c r="C1886" t="s">
        <v>40</v>
      </c>
      <c r="D1886">
        <v>4.1290019999999998</v>
      </c>
      <c r="E1886">
        <v>0.52163749999999998</v>
      </c>
      <c r="F1886" t="s">
        <v>50</v>
      </c>
      <c r="G1886">
        <v>-420.85270000000003</v>
      </c>
      <c r="H1886" s="1">
        <v>3.7704599999999999E-6</v>
      </c>
      <c r="I1886">
        <v>285.10680000000002</v>
      </c>
      <c r="J1886">
        <v>-403.88600000000002</v>
      </c>
      <c r="K1886">
        <v>1.1105529999999999</v>
      </c>
      <c r="L1886">
        <v>285.58260000000001</v>
      </c>
      <c r="M1886">
        <v>-0.99984819999999996</v>
      </c>
      <c r="N1886">
        <v>-9.6654219999999999E-3</v>
      </c>
      <c r="O1886">
        <v>1.450046E-2</v>
      </c>
      <c r="P1886">
        <v>-0.92991590000000002</v>
      </c>
      <c r="Q1886">
        <v>0.36534990000000001</v>
      </c>
      <c r="R1886">
        <v>-4.214445E-2</v>
      </c>
      <c r="S1886">
        <v>-3.3053279999999998</v>
      </c>
      <c r="T1886">
        <v>-0.21275759999999999</v>
      </c>
      <c r="U1886">
        <v>-9.036255E-2</v>
      </c>
      <c r="V1886">
        <v>-5.5611099999999997E-2</v>
      </c>
      <c r="W1886">
        <v>0.37431619999999999</v>
      </c>
      <c r="X1886">
        <v>0.92563209999999996</v>
      </c>
      <c r="Y1886">
        <v>-4.1700210000000001E-2</v>
      </c>
      <c r="Z1886">
        <v>-2.334497E-3</v>
      </c>
      <c r="AA1886">
        <v>0.9991274</v>
      </c>
      <c r="AB1886">
        <v>27</v>
      </c>
      <c r="AC1886">
        <v>-16.966699999999999</v>
      </c>
      <c r="AD1886">
        <v>-1.1105492295399999</v>
      </c>
      <c r="AE1886">
        <v>-0.47579999999999201</v>
      </c>
      <c r="AF1886">
        <v>-0.71870965009033105</v>
      </c>
      <c r="AG1886">
        <v>-1.1105492295399999</v>
      </c>
      <c r="AH1886">
        <v>16.885729512563799</v>
      </c>
      <c r="AI1886">
        <v>93.759444742455102</v>
      </c>
      <c r="AJ1886">
        <v>92.437217159073697</v>
      </c>
      <c r="AK1886">
        <v>16.937465109154701</v>
      </c>
      <c r="AL1886">
        <v>68.0179438285396</v>
      </c>
      <c r="AM1886">
        <v>93.438143497353295</v>
      </c>
      <c r="AN1886">
        <v>0.99999999828802899</v>
      </c>
    </row>
    <row r="1887" spans="1:40" x14ac:dyDescent="0.25">
      <c r="A1887" t="str">
        <f>"20190304164635839"</f>
        <v>20190304164635839</v>
      </c>
      <c r="B1887" t="str">
        <f>"1551689195830514"</f>
        <v>1551689195830514</v>
      </c>
      <c r="C1887" t="s">
        <v>40</v>
      </c>
      <c r="D1887">
        <v>4.0934549999999996</v>
      </c>
      <c r="E1887">
        <v>0.52171279999999998</v>
      </c>
      <c r="F1887" t="s">
        <v>50</v>
      </c>
      <c r="G1887">
        <v>-421.07049999999998</v>
      </c>
      <c r="H1887" s="1">
        <v>3.730871E-6</v>
      </c>
      <c r="I1887">
        <v>285.11790000000002</v>
      </c>
      <c r="J1887">
        <v>-404.13819999999998</v>
      </c>
      <c r="K1887">
        <v>1.11054599999999</v>
      </c>
      <c r="L1887">
        <v>285.58620000000002</v>
      </c>
      <c r="M1887">
        <v>-0.99984850000000003</v>
      </c>
      <c r="N1887">
        <v>-9.625359E-3</v>
      </c>
      <c r="O1887">
        <v>1.450018E-2</v>
      </c>
      <c r="P1887">
        <v>-0.92988119999999996</v>
      </c>
      <c r="Q1887">
        <v>0.36538549999999997</v>
      </c>
      <c r="R1887">
        <v>-4.2593640000000002E-2</v>
      </c>
      <c r="S1887">
        <v>-3.3059690000000002</v>
      </c>
      <c r="T1887">
        <v>-0.21364939999999999</v>
      </c>
      <c r="U1887">
        <v>-8.9416499999999996E-2</v>
      </c>
      <c r="V1887">
        <v>-5.6059579999999998E-2</v>
      </c>
      <c r="W1887">
        <v>0.37431439999999999</v>
      </c>
      <c r="X1887">
        <v>0.92560580000000003</v>
      </c>
      <c r="Y1887">
        <v>-4.14087E-2</v>
      </c>
      <c r="Z1887">
        <v>-2.3324880000000002E-3</v>
      </c>
      <c r="AA1887">
        <v>0.99913949999999996</v>
      </c>
      <c r="AB1887">
        <v>27</v>
      </c>
      <c r="AC1887">
        <v>-16.932299999999898</v>
      </c>
      <c r="AD1887">
        <v>-1.1105422691289999</v>
      </c>
      <c r="AE1887">
        <v>-0.46829999999999899</v>
      </c>
      <c r="AF1887">
        <v>-0.71072855157252901</v>
      </c>
      <c r="AG1887">
        <v>-1.1105422691289999</v>
      </c>
      <c r="AH1887">
        <v>16.851295435772599</v>
      </c>
      <c r="AI1887">
        <v>93.767142608325997</v>
      </c>
      <c r="AJ1887">
        <v>92.415103706968907</v>
      </c>
      <c r="AK1887">
        <v>16.9027984981551</v>
      </c>
      <c r="AL1887">
        <v>68.018055589524394</v>
      </c>
      <c r="AM1887">
        <v>93.465901590059602</v>
      </c>
      <c r="AN1887">
        <v>1.0000000217753799</v>
      </c>
    </row>
    <row r="1888" spans="1:40" x14ac:dyDescent="0.25">
      <c r="A1888" t="str">
        <f>"20190304164635860"</f>
        <v>20190304164635860</v>
      </c>
      <c r="B1888" t="str">
        <f>"1551689195850035"</f>
        <v>1551689195850035</v>
      </c>
      <c r="C1888" t="s">
        <v>40</v>
      </c>
      <c r="D1888">
        <v>4.1135859999999997</v>
      </c>
      <c r="E1888">
        <v>0.52179900000000001</v>
      </c>
      <c r="F1888" t="s">
        <v>50</v>
      </c>
      <c r="G1888">
        <v>-421.31580000000002</v>
      </c>
      <c r="H1888" s="1">
        <v>3.6872390000000001E-6</v>
      </c>
      <c r="I1888">
        <v>285.1191</v>
      </c>
      <c r="J1888">
        <v>-404.40379999999999</v>
      </c>
      <c r="K1888">
        <v>1.1105370000000001</v>
      </c>
      <c r="L1888">
        <v>285.59010000000001</v>
      </c>
      <c r="M1888">
        <v>-0.99984899999999999</v>
      </c>
      <c r="N1888">
        <v>-9.5837530000000004E-3</v>
      </c>
      <c r="O1888">
        <v>1.4499669999999999E-2</v>
      </c>
      <c r="P1888">
        <v>-0.92978939999999999</v>
      </c>
      <c r="Q1888">
        <v>0.36557669999999998</v>
      </c>
      <c r="R1888">
        <v>-4.2957799999999997E-2</v>
      </c>
      <c r="S1888">
        <v>-3.3061219999999998</v>
      </c>
      <c r="T1888">
        <v>-0.21374190000000001</v>
      </c>
      <c r="U1888">
        <v>-8.9904789999999998E-2</v>
      </c>
      <c r="V1888">
        <v>-5.6421730000000003E-2</v>
      </c>
      <c r="W1888">
        <v>0.37446610000000002</v>
      </c>
      <c r="X1888">
        <v>0.92552239999999997</v>
      </c>
      <c r="Y1888">
        <v>-4.1553970000000003E-2</v>
      </c>
      <c r="Z1888">
        <v>-2.3384600000000001E-3</v>
      </c>
      <c r="AA1888">
        <v>0.99913350000000001</v>
      </c>
      <c r="AB1888">
        <v>27</v>
      </c>
      <c r="AC1888">
        <v>-16.911999999999999</v>
      </c>
      <c r="AD1888">
        <v>-1.110533312761</v>
      </c>
      <c r="AE1888">
        <v>-0.47100000000000303</v>
      </c>
      <c r="AF1888">
        <v>-0.71310765075424598</v>
      </c>
      <c r="AG1888">
        <v>-1.110533312761</v>
      </c>
      <c r="AH1888">
        <v>16.830874728029698</v>
      </c>
      <c r="AI1888">
        <v>93.771639171326299</v>
      </c>
      <c r="AJ1888">
        <v>92.426114930183999</v>
      </c>
      <c r="AK1888">
        <v>16.882539822874602</v>
      </c>
      <c r="AL1888">
        <v>68.008681415055804</v>
      </c>
      <c r="AM1888">
        <v>93.488550075253897</v>
      </c>
      <c r="AN1888">
        <v>0.99999999228358105</v>
      </c>
    </row>
    <row r="1889" spans="1:40" x14ac:dyDescent="0.25">
      <c r="A1889" t="str">
        <f>"20190304164635883"</f>
        <v>20190304164635883</v>
      </c>
      <c r="B1889" t="str">
        <f>"1551689195880291"</f>
        <v>1551689195880291</v>
      </c>
      <c r="C1889" t="s">
        <v>40</v>
      </c>
      <c r="D1889">
        <v>4.1422840000000001</v>
      </c>
      <c r="E1889">
        <v>0.52180689999999996</v>
      </c>
      <c r="F1889" t="s">
        <v>50</v>
      </c>
      <c r="G1889">
        <v>-421.69459999999998</v>
      </c>
      <c r="H1889" s="1">
        <v>3.620649E-6</v>
      </c>
      <c r="I1889">
        <v>285.11219999999997</v>
      </c>
      <c r="J1889">
        <v>-404.67989999999998</v>
      </c>
      <c r="K1889">
        <v>1.1105240000000001</v>
      </c>
      <c r="L1889">
        <v>285.59410000000003</v>
      </c>
      <c r="M1889">
        <v>-0.9998494</v>
      </c>
      <c r="N1889">
        <v>-9.5426199999999999E-3</v>
      </c>
      <c r="O1889">
        <v>1.4499389999999999E-2</v>
      </c>
      <c r="P1889">
        <v>-0.9296082</v>
      </c>
      <c r="Q1889">
        <v>0.36598049999999999</v>
      </c>
      <c r="R1889">
        <v>-4.3439029999999997E-2</v>
      </c>
      <c r="S1889">
        <v>-3.3057560000000001</v>
      </c>
      <c r="T1889">
        <v>-0.21231810000000001</v>
      </c>
      <c r="U1889">
        <v>-9.1369629999999993E-2</v>
      </c>
      <c r="V1889">
        <v>-5.6900369999999999E-2</v>
      </c>
      <c r="W1889">
        <v>0.37482989999999999</v>
      </c>
      <c r="X1889">
        <v>0.9253458</v>
      </c>
      <c r="Y1889">
        <v>-4.199961E-2</v>
      </c>
      <c r="Z1889">
        <v>-2.3397000000000001E-3</v>
      </c>
      <c r="AA1889">
        <v>0.99911490000000003</v>
      </c>
      <c r="AB1889">
        <v>27</v>
      </c>
      <c r="AC1889">
        <v>-17.014700000000001</v>
      </c>
      <c r="AD1889">
        <v>-1.1105203793509999</v>
      </c>
      <c r="AE1889">
        <v>-0.48190000000005201</v>
      </c>
      <c r="AF1889">
        <v>-0.72547531597866</v>
      </c>
      <c r="AG1889">
        <v>-1.1105203793509999</v>
      </c>
      <c r="AH1889">
        <v>16.933844144875199</v>
      </c>
      <c r="AI1889">
        <v>93.748651924408804</v>
      </c>
      <c r="AJ1889">
        <v>92.453150664888298</v>
      </c>
      <c r="AK1889">
        <v>16.985718927086101</v>
      </c>
      <c r="AL1889">
        <v>67.986199474836098</v>
      </c>
      <c r="AM1889">
        <v>93.518740051623098</v>
      </c>
      <c r="AN1889">
        <v>0.99999997780889305</v>
      </c>
    </row>
    <row r="1890" spans="1:40" x14ac:dyDescent="0.25">
      <c r="A1890" t="str">
        <f>"20190304164635906"</f>
        <v>20190304164635906</v>
      </c>
      <c r="B1890" t="str">
        <f>"1551689195899814"</f>
        <v>1551689195899814</v>
      </c>
      <c r="C1890" t="s">
        <v>40</v>
      </c>
      <c r="D1890">
        <v>4.1200760000000001</v>
      </c>
      <c r="E1890">
        <v>0.52175689999999997</v>
      </c>
      <c r="F1890" t="s">
        <v>50</v>
      </c>
      <c r="G1890">
        <v>-422.0145</v>
      </c>
      <c r="H1890" s="1">
        <v>3.5642429999999998E-6</v>
      </c>
      <c r="I1890">
        <v>285.10849999999999</v>
      </c>
      <c r="J1890">
        <v>-404.9744</v>
      </c>
      <c r="K1890">
        <v>1.1105160000000001</v>
      </c>
      <c r="L1890">
        <v>285.59840000000003</v>
      </c>
      <c r="M1890">
        <v>-0.99984969999999995</v>
      </c>
      <c r="N1890">
        <v>-9.5040309999999996E-3</v>
      </c>
      <c r="O1890">
        <v>1.4499099999999999E-2</v>
      </c>
      <c r="P1890">
        <v>-0.92952769999999996</v>
      </c>
      <c r="Q1890">
        <v>0.36610680000000001</v>
      </c>
      <c r="R1890">
        <v>-4.4094840000000003E-2</v>
      </c>
      <c r="S1890">
        <v>-3.3062130000000001</v>
      </c>
      <c r="T1890">
        <v>-0.21180959999999999</v>
      </c>
      <c r="U1890">
        <v>-9.2620850000000005E-2</v>
      </c>
      <c r="V1890">
        <v>-5.7554660000000001E-2</v>
      </c>
      <c r="W1890">
        <v>0.37491960000000002</v>
      </c>
      <c r="X1890">
        <v>0.92526900000000001</v>
      </c>
      <c r="Y1890">
        <v>-4.2373059999999997E-2</v>
      </c>
      <c r="Z1890">
        <v>-2.3473890000000001E-3</v>
      </c>
      <c r="AA1890">
        <v>0.99909910000000002</v>
      </c>
      <c r="AB1890">
        <v>28</v>
      </c>
      <c r="AC1890">
        <v>-17.040099999999899</v>
      </c>
      <c r="AD1890">
        <v>-1.110512435757</v>
      </c>
      <c r="AE1890">
        <v>-0.48990000000003397</v>
      </c>
      <c r="AF1890">
        <v>-0.73381170446986999</v>
      </c>
      <c r="AG1890">
        <v>-1.110512435757</v>
      </c>
      <c r="AH1890">
        <v>16.959235440773998</v>
      </c>
      <c r="AI1890">
        <v>93.742960170176801</v>
      </c>
      <c r="AJ1890">
        <v>92.477594257105693</v>
      </c>
      <c r="AK1890">
        <v>17.0113898380819</v>
      </c>
      <c r="AL1890">
        <v>67.980655911417202</v>
      </c>
      <c r="AM1890">
        <v>93.559392829276405</v>
      </c>
      <c r="AN1890">
        <v>0.99999998385643696</v>
      </c>
    </row>
    <row r="1891" spans="1:40" x14ac:dyDescent="0.25">
      <c r="A1891" t="str">
        <f>"20190304164635928"</f>
        <v>20190304164635928</v>
      </c>
      <c r="B1891" t="str">
        <f>"1551689195920307"</f>
        <v>1551689195920307</v>
      </c>
      <c r="C1891" t="s">
        <v>40</v>
      </c>
      <c r="D1891">
        <v>4.2140259999999996</v>
      </c>
      <c r="E1891">
        <v>0.52176929999999999</v>
      </c>
      <c r="F1891" t="s">
        <v>50</v>
      </c>
      <c r="G1891">
        <v>-422.23090000000002</v>
      </c>
      <c r="H1891" s="1">
        <v>3.5261800000000001E-6</v>
      </c>
      <c r="I1891">
        <v>285.10469999999998</v>
      </c>
      <c r="J1891">
        <v>-405.2328</v>
      </c>
      <c r="K1891">
        <v>1.1105080000000001</v>
      </c>
      <c r="L1891">
        <v>285.60210000000001</v>
      </c>
      <c r="M1891">
        <v>-0.99985000000000002</v>
      </c>
      <c r="N1891">
        <v>-9.4748100000000002E-3</v>
      </c>
      <c r="O1891">
        <v>1.449871E-2</v>
      </c>
      <c r="P1891">
        <v>-0.9296816</v>
      </c>
      <c r="Q1891">
        <v>0.36572900000000003</v>
      </c>
      <c r="R1891">
        <v>-4.3983840000000003E-2</v>
      </c>
      <c r="S1891">
        <v>-3.3067929999999999</v>
      </c>
      <c r="T1891">
        <v>-0.2128024</v>
      </c>
      <c r="U1891">
        <v>-9.4604489999999999E-2</v>
      </c>
      <c r="V1891">
        <v>-5.7445629999999998E-2</v>
      </c>
      <c r="W1891">
        <v>0.37451640000000003</v>
      </c>
      <c r="X1891">
        <v>0.92543909999999996</v>
      </c>
      <c r="Y1891">
        <v>-4.2964139999999998E-2</v>
      </c>
      <c r="Z1891">
        <v>-2.3792370000000002E-3</v>
      </c>
      <c r="AA1891">
        <v>0.99907380000000001</v>
      </c>
      <c r="AB1891">
        <v>28</v>
      </c>
      <c r="AC1891">
        <v>-16.998100000000001</v>
      </c>
      <c r="AD1891">
        <v>-1.1105044738200001</v>
      </c>
      <c r="AE1891">
        <v>-0.49740000000002699</v>
      </c>
      <c r="AF1891">
        <v>-0.74065079165145098</v>
      </c>
      <c r="AG1891">
        <v>-1.1105044738200001</v>
      </c>
      <c r="AH1891">
        <v>16.916958780238499</v>
      </c>
      <c r="AI1891">
        <v>93.7521772862641</v>
      </c>
      <c r="AJ1891">
        <v>92.506897481826002</v>
      </c>
      <c r="AK1891">
        <v>16.969539715438199</v>
      </c>
      <c r="AL1891">
        <v>68.005574155098699</v>
      </c>
      <c r="AM1891">
        <v>93.552015972306506</v>
      </c>
      <c r="AN1891">
        <v>1.0000000310419299</v>
      </c>
    </row>
    <row r="1892" spans="1:40" x14ac:dyDescent="0.25">
      <c r="A1892" t="str">
        <f>"20190304164635950"</f>
        <v>20190304164635950</v>
      </c>
      <c r="B1892" t="str">
        <f>"1551689195939827"</f>
        <v>1551689195939827</v>
      </c>
      <c r="C1892" t="s">
        <v>40</v>
      </c>
      <c r="D1892">
        <v>4.1642549999999998</v>
      </c>
      <c r="E1892">
        <v>0.52178539999999995</v>
      </c>
      <c r="F1892" t="s">
        <v>50</v>
      </c>
      <c r="G1892">
        <v>-422.31119999999999</v>
      </c>
      <c r="H1892" s="1">
        <v>3.5110890000000001E-6</v>
      </c>
      <c r="I1892">
        <v>285.11450000000002</v>
      </c>
      <c r="J1892">
        <v>-405.50760000000002</v>
      </c>
      <c r="K1892">
        <v>1.1105119999999999</v>
      </c>
      <c r="L1892">
        <v>285.60610000000003</v>
      </c>
      <c r="M1892">
        <v>-0.99985029999999997</v>
      </c>
      <c r="N1892">
        <v>-9.4438660000000004E-3</v>
      </c>
      <c r="O1892">
        <v>1.4498199999999999E-2</v>
      </c>
      <c r="P1892">
        <v>-0.92948220000000004</v>
      </c>
      <c r="Q1892">
        <v>0.3662744</v>
      </c>
      <c r="R1892">
        <v>-4.3658490000000001E-2</v>
      </c>
      <c r="S1892">
        <v>-3.3070369999999998</v>
      </c>
      <c r="T1892">
        <v>-0.21503659999999999</v>
      </c>
      <c r="U1892">
        <v>-9.4421389999999994E-2</v>
      </c>
      <c r="V1892">
        <v>-5.7116849999999997E-2</v>
      </c>
      <c r="W1892">
        <v>0.37503150000000002</v>
      </c>
      <c r="X1892">
        <v>0.92525080000000004</v>
      </c>
      <c r="Y1892">
        <v>-4.290389E-2</v>
      </c>
      <c r="Z1892">
        <v>-2.400817E-3</v>
      </c>
      <c r="AA1892">
        <v>0.99907630000000003</v>
      </c>
      <c r="AB1892">
        <v>28</v>
      </c>
      <c r="AC1892">
        <v>-16.8035999999999</v>
      </c>
      <c r="AD1892">
        <v>-1.110508488911</v>
      </c>
      <c r="AE1892">
        <v>-0.49160000000000498</v>
      </c>
      <c r="AF1892">
        <v>-0.73198687912298799</v>
      </c>
      <c r="AG1892">
        <v>-1.110508488911</v>
      </c>
      <c r="AH1892">
        <v>16.721735313337401</v>
      </c>
      <c r="AI1892">
        <v>93.795870836757501</v>
      </c>
      <c r="AJ1892">
        <v>92.506498296592</v>
      </c>
      <c r="AK1892">
        <v>16.774548154405402</v>
      </c>
      <c r="AL1892">
        <v>67.973740297668499</v>
      </c>
      <c r="AM1892">
        <v>93.532455167045697</v>
      </c>
      <c r="AN1892">
        <v>1.0000000017234001</v>
      </c>
    </row>
    <row r="1893" spans="1:40" x14ac:dyDescent="0.25">
      <c r="A1893" t="str">
        <f>"20190304164635973"</f>
        <v>20190304164635973</v>
      </c>
      <c r="B1893" t="str">
        <f>"1551689195960323"</f>
        <v>1551689195960323</v>
      </c>
      <c r="C1893" t="s">
        <v>40</v>
      </c>
      <c r="D1893">
        <v>4.1659269999999999</v>
      </c>
      <c r="E1893">
        <v>0.5218083</v>
      </c>
      <c r="F1893" t="s">
        <v>50</v>
      </c>
      <c r="G1893">
        <v>-422.62369999999999</v>
      </c>
      <c r="H1893" s="1">
        <v>3.4556049999999999E-6</v>
      </c>
      <c r="I1893">
        <v>285.11500000000001</v>
      </c>
      <c r="J1893">
        <v>-405.78919999999999</v>
      </c>
      <c r="K1893">
        <v>1.110514</v>
      </c>
      <c r="L1893">
        <v>285.61020000000002</v>
      </c>
      <c r="M1893">
        <v>-0.99985080000000004</v>
      </c>
      <c r="N1893">
        <v>-9.4109659999999998E-3</v>
      </c>
      <c r="O1893">
        <v>1.4497700000000001E-2</v>
      </c>
      <c r="P1893">
        <v>-0.92950449999999996</v>
      </c>
      <c r="Q1893">
        <v>0.36620839999999999</v>
      </c>
      <c r="R1893">
        <v>-4.3740279999999999E-2</v>
      </c>
      <c r="S1893">
        <v>-3.3077390000000002</v>
      </c>
      <c r="T1893">
        <v>-0.21460950000000001</v>
      </c>
      <c r="U1893">
        <v>-9.4909670000000002E-2</v>
      </c>
      <c r="V1893">
        <v>-5.7198230000000003E-2</v>
      </c>
      <c r="W1893">
        <v>0.37493510000000002</v>
      </c>
      <c r="X1893">
        <v>0.92528489999999997</v>
      </c>
      <c r="Y1893">
        <v>-4.304492E-2</v>
      </c>
      <c r="Z1893">
        <v>-2.4006660000000001E-3</v>
      </c>
      <c r="AA1893">
        <v>0.99907020000000002</v>
      </c>
      <c r="AB1893">
        <v>28</v>
      </c>
      <c r="AC1893">
        <v>-16.834499999999899</v>
      </c>
      <c r="AD1893">
        <v>-1.1105105443950001</v>
      </c>
      <c r="AE1893">
        <v>-0.49520000000001102</v>
      </c>
      <c r="AF1893">
        <v>-0.736020178442231</v>
      </c>
      <c r="AG1893">
        <v>-1.1105105443950001</v>
      </c>
      <c r="AH1893">
        <v>16.7527136027045</v>
      </c>
      <c r="AI1893">
        <v>93.788852731028598</v>
      </c>
      <c r="AJ1893">
        <v>92.515637113576702</v>
      </c>
      <c r="AK1893">
        <v>16.8056053870882</v>
      </c>
      <c r="AL1893">
        <v>67.979699629486205</v>
      </c>
      <c r="AM1893">
        <v>93.537345394873796</v>
      </c>
      <c r="AN1893">
        <v>1.00000005644757</v>
      </c>
    </row>
    <row r="1894" spans="1:40" x14ac:dyDescent="0.25">
      <c r="A1894" t="str">
        <f>"20190304164635996"</f>
        <v>20190304164635996</v>
      </c>
      <c r="B1894" t="str">
        <f>"1551689195990578"</f>
        <v>1551689195990578</v>
      </c>
      <c r="C1894" t="s">
        <v>40</v>
      </c>
      <c r="D1894">
        <v>4.1588000000000003</v>
      </c>
      <c r="E1894">
        <v>0.52181489999999997</v>
      </c>
      <c r="F1894" t="s">
        <v>50</v>
      </c>
      <c r="G1894">
        <v>-422.78559999999999</v>
      </c>
      <c r="H1894" s="1">
        <v>3.426257E-6</v>
      </c>
      <c r="I1894">
        <v>285.1223</v>
      </c>
      <c r="J1894">
        <v>-406.07859999999999</v>
      </c>
      <c r="K1894">
        <v>1.110509</v>
      </c>
      <c r="L1894">
        <v>285.61439999999999</v>
      </c>
      <c r="M1894">
        <v>-0.99985089999999999</v>
      </c>
      <c r="N1894">
        <v>-9.3796639999999994E-3</v>
      </c>
      <c r="O1894">
        <v>1.449749E-2</v>
      </c>
      <c r="P1894">
        <v>-0.92942420000000003</v>
      </c>
      <c r="Q1894">
        <v>0.36639640000000001</v>
      </c>
      <c r="R1894">
        <v>-4.3867820000000002E-2</v>
      </c>
      <c r="S1894">
        <v>-3.3082280000000002</v>
      </c>
      <c r="T1894">
        <v>-0.21615300000000001</v>
      </c>
      <c r="U1894">
        <v>-9.4970700000000005E-2</v>
      </c>
      <c r="V1894">
        <v>-5.7324420000000001E-2</v>
      </c>
      <c r="W1894">
        <v>0.37509330000000002</v>
      </c>
      <c r="X1894">
        <v>0.9252129</v>
      </c>
      <c r="Y1894">
        <v>-4.3057140000000001E-2</v>
      </c>
      <c r="Z1894">
        <v>-2.4172999999999998E-3</v>
      </c>
      <c r="AA1894">
        <v>0.99906969999999995</v>
      </c>
      <c r="AB1894">
        <v>28</v>
      </c>
      <c r="AC1894">
        <v>-16.706999999999901</v>
      </c>
      <c r="AD1894">
        <v>-1.1105055737430001</v>
      </c>
      <c r="AE1894">
        <v>-0.49209999999999299</v>
      </c>
      <c r="AF1894">
        <v>-0.73104142077726197</v>
      </c>
      <c r="AG1894">
        <v>-1.1105055737430001</v>
      </c>
      <c r="AH1894">
        <v>16.624721972629199</v>
      </c>
      <c r="AI1894">
        <v>93.817913172332993</v>
      </c>
      <c r="AJ1894">
        <v>92.517853965798096</v>
      </c>
      <c r="AK1894">
        <v>16.6778003602222</v>
      </c>
      <c r="AL1894">
        <v>67.969920342085402</v>
      </c>
      <c r="AM1894">
        <v>93.545404737860807</v>
      </c>
      <c r="AN1894">
        <v>0.999999991579818</v>
      </c>
    </row>
    <row r="1895" spans="1:40" x14ac:dyDescent="0.25">
      <c r="A1895" t="str">
        <f>"20190304164636018"</f>
        <v>20190304164636018</v>
      </c>
      <c r="B1895" t="str">
        <f>"1551689196010099"</f>
        <v>1551689196010099</v>
      </c>
      <c r="C1895" t="s">
        <v>40</v>
      </c>
      <c r="D1895">
        <v>4.1358860000000002</v>
      </c>
      <c r="E1895">
        <v>0.52181940000000004</v>
      </c>
      <c r="F1895" t="s">
        <v>50</v>
      </c>
      <c r="G1895">
        <v>-422.99360000000001</v>
      </c>
      <c r="H1895" s="1">
        <v>3.3884640000000001E-6</v>
      </c>
      <c r="I1895">
        <v>285.13249999999999</v>
      </c>
      <c r="J1895">
        <v>-406.3544</v>
      </c>
      <c r="K1895">
        <v>1.1105020000000001</v>
      </c>
      <c r="L1895">
        <v>285.61840000000001</v>
      </c>
      <c r="M1895">
        <v>-0.99985119999999905</v>
      </c>
      <c r="N1895">
        <v>-9.3537619999999998E-3</v>
      </c>
      <c r="O1895">
        <v>1.449714E-2</v>
      </c>
      <c r="P1895">
        <v>-0.92942000000000002</v>
      </c>
      <c r="Q1895">
        <v>0.36640060000000002</v>
      </c>
      <c r="R1895">
        <v>-4.3920309999999997E-2</v>
      </c>
      <c r="S1895">
        <v>-3.3089900000000001</v>
      </c>
      <c r="T1895">
        <v>-0.21724209999999999</v>
      </c>
      <c r="U1895">
        <v>-9.42688E-2</v>
      </c>
      <c r="V1895">
        <v>-5.7376980000000001E-2</v>
      </c>
      <c r="W1895">
        <v>0.3750735</v>
      </c>
      <c r="X1895">
        <v>0.92521770000000003</v>
      </c>
      <c r="Y1895">
        <v>-4.2837779999999999E-2</v>
      </c>
      <c r="Z1895">
        <v>-2.4201629999999999E-3</v>
      </c>
      <c r="AA1895">
        <v>0.9990791</v>
      </c>
      <c r="AB1895">
        <v>28</v>
      </c>
      <c r="AC1895">
        <v>-16.639199999999999</v>
      </c>
      <c r="AD1895">
        <v>-1.110498611536</v>
      </c>
      <c r="AE1895">
        <v>-0.48590000000001499</v>
      </c>
      <c r="AF1895">
        <v>-0.72385881252157303</v>
      </c>
      <c r="AG1895">
        <v>-1.110498611536</v>
      </c>
      <c r="AH1895">
        <v>16.5567224185558</v>
      </c>
      <c r="AI1895">
        <v>93.833565325818</v>
      </c>
      <c r="AJ1895">
        <v>92.503373504936903</v>
      </c>
      <c r="AK1895">
        <v>16.609703067538401</v>
      </c>
      <c r="AL1895">
        <v>67.971144813385095</v>
      </c>
      <c r="AM1895">
        <v>93.548628806112404</v>
      </c>
      <c r="AN1895">
        <v>1.0000000203147299</v>
      </c>
    </row>
    <row r="1896" spans="1:40" x14ac:dyDescent="0.25">
      <c r="A1896" t="str">
        <f>"20190304164636039"</f>
        <v>20190304164636039</v>
      </c>
      <c r="B1896" t="str">
        <f>"1551689196030595"</f>
        <v>1551689196030595</v>
      </c>
      <c r="C1896" t="s">
        <v>40</v>
      </c>
      <c r="D1896">
        <v>4.1578150000000003</v>
      </c>
      <c r="E1896">
        <v>0.52179679999999995</v>
      </c>
      <c r="F1896" t="s">
        <v>50</v>
      </c>
      <c r="G1896">
        <v>-423.19349999999997</v>
      </c>
      <c r="H1896" s="1">
        <v>3.3520529999999998E-6</v>
      </c>
      <c r="I1896">
        <v>285.14319999999998</v>
      </c>
      <c r="J1896">
        <v>-406.61970000000002</v>
      </c>
      <c r="K1896">
        <v>1.110493</v>
      </c>
      <c r="L1896">
        <v>285.62220000000002</v>
      </c>
      <c r="M1896">
        <v>-0.99985139999999995</v>
      </c>
      <c r="N1896">
        <v>-9.3307029999999992E-3</v>
      </c>
      <c r="O1896">
        <v>1.449689E-2</v>
      </c>
      <c r="P1896">
        <v>-0.92935520000000005</v>
      </c>
      <c r="Q1896">
        <v>0.36653619999999998</v>
      </c>
      <c r="R1896">
        <v>-4.4163800000000003E-2</v>
      </c>
      <c r="S1896">
        <v>-3.3094790000000001</v>
      </c>
      <c r="T1896">
        <v>-0.21825169999999999</v>
      </c>
      <c r="U1896">
        <v>-9.3383789999999994E-2</v>
      </c>
      <c r="V1896">
        <v>-5.7618969999999999E-2</v>
      </c>
      <c r="W1896">
        <v>0.3751871</v>
      </c>
      <c r="X1896">
        <v>0.9251566</v>
      </c>
      <c r="Y1896">
        <v>-4.2565930000000002E-2</v>
      </c>
      <c r="Z1896">
        <v>-2.4203480000000001E-3</v>
      </c>
      <c r="AA1896">
        <v>0.9990907</v>
      </c>
      <c r="AB1896">
        <v>28</v>
      </c>
      <c r="AC1896">
        <v>-16.573799999999899</v>
      </c>
      <c r="AD1896">
        <v>-1.1104896479469999</v>
      </c>
      <c r="AE1896">
        <v>-0.479000000000041</v>
      </c>
      <c r="AF1896">
        <v>-0.71601689180325101</v>
      </c>
      <c r="AG1896">
        <v>-1.1104896479469999</v>
      </c>
      <c r="AH1896">
        <v>16.491140920391398</v>
      </c>
      <c r="AI1896">
        <v>93.848784174070602</v>
      </c>
      <c r="AJ1896">
        <v>92.4861224615982</v>
      </c>
      <c r="AK1896">
        <v>16.543989733548401</v>
      </c>
      <c r="AL1896">
        <v>67.964123237742697</v>
      </c>
      <c r="AM1896">
        <v>93.563791562818096</v>
      </c>
      <c r="AN1896">
        <v>1.0000000201169099</v>
      </c>
    </row>
    <row r="1897" spans="1:40" x14ac:dyDescent="0.25">
      <c r="A1897" t="str">
        <f>"20190304164636061"</f>
        <v>20190304164636061</v>
      </c>
      <c r="B1897" t="str">
        <f>"1551689196050115"</f>
        <v>1551689196050115</v>
      </c>
      <c r="C1897" t="s">
        <v>40</v>
      </c>
      <c r="D1897">
        <v>4.1475669999999996</v>
      </c>
      <c r="E1897">
        <v>0.52174750000000003</v>
      </c>
      <c r="F1897" t="s">
        <v>50</v>
      </c>
      <c r="G1897">
        <v>-423.43029999999999</v>
      </c>
      <c r="H1897" s="1">
        <v>3.3101159999999999E-6</v>
      </c>
      <c r="I1897">
        <v>285.14249999999998</v>
      </c>
      <c r="J1897">
        <v>-406.89440000000002</v>
      </c>
      <c r="K1897">
        <v>1.1104889999999901</v>
      </c>
      <c r="L1897">
        <v>285.62619999999998</v>
      </c>
      <c r="M1897">
        <v>-0.99985179999999996</v>
      </c>
      <c r="N1897">
        <v>-9.3045639999999995E-3</v>
      </c>
      <c r="O1897">
        <v>1.449635E-2</v>
      </c>
      <c r="P1897">
        <v>-0.92943719999999996</v>
      </c>
      <c r="Q1897">
        <v>0.36633149999999998</v>
      </c>
      <c r="R1897">
        <v>-4.4138150000000001E-2</v>
      </c>
      <c r="S1897">
        <v>-3.3098139999999998</v>
      </c>
      <c r="T1897">
        <v>-0.21864249999999999</v>
      </c>
      <c r="U1897">
        <v>-9.4451900000000005E-2</v>
      </c>
      <c r="V1897">
        <v>-5.759338E-2</v>
      </c>
      <c r="W1897">
        <v>0.37495849999999997</v>
      </c>
      <c r="X1897">
        <v>0.92525080000000004</v>
      </c>
      <c r="Y1897">
        <v>-4.2883499999999998E-2</v>
      </c>
      <c r="Z1897">
        <v>-2.4360580000000001E-3</v>
      </c>
      <c r="AA1897">
        <v>0.99907710000000005</v>
      </c>
      <c r="AB1897">
        <v>28</v>
      </c>
      <c r="AC1897">
        <v>-16.535899999999899</v>
      </c>
      <c r="AD1897">
        <v>-1.1104856898840001</v>
      </c>
      <c r="AE1897">
        <v>-0.48369999999999802</v>
      </c>
      <c r="AF1897">
        <v>-0.72012476063610398</v>
      </c>
      <c r="AG1897">
        <v>-1.1104856898840001</v>
      </c>
      <c r="AH1897">
        <v>16.453011538835799</v>
      </c>
      <c r="AI1897">
        <v>93.857604393492593</v>
      </c>
      <c r="AJ1897">
        <v>92.506154723870097</v>
      </c>
      <c r="AK1897">
        <v>16.5061608751212</v>
      </c>
      <c r="AL1897">
        <v>67.978251131258801</v>
      </c>
      <c r="AM1897">
        <v>93.561851135862796</v>
      </c>
      <c r="AN1897">
        <v>0.99999995852135604</v>
      </c>
    </row>
    <row r="1898" spans="1:40" x14ac:dyDescent="0.25">
      <c r="A1898" t="str">
        <f>"20190304164636085"</f>
        <v>20190304164636085</v>
      </c>
      <c r="B1898" t="str">
        <f>"1551689196080372"</f>
        <v>1551689196080372</v>
      </c>
      <c r="C1898" t="s">
        <v>40</v>
      </c>
      <c r="D1898">
        <v>4.1409599999999998</v>
      </c>
      <c r="E1898">
        <v>0.52173779999999903</v>
      </c>
      <c r="F1898" t="s">
        <v>50</v>
      </c>
      <c r="G1898">
        <v>-423.6266</v>
      </c>
      <c r="H1898" s="1">
        <v>3.2749409999999998E-6</v>
      </c>
      <c r="I1898">
        <v>285.14659999999998</v>
      </c>
      <c r="J1898">
        <v>-407.18189999999998</v>
      </c>
      <c r="K1898">
        <v>1.1104849999999999</v>
      </c>
      <c r="L1898">
        <v>285.63040000000001</v>
      </c>
      <c r="M1898">
        <v>-0.99985199999999996</v>
      </c>
      <c r="N1898">
        <v>-9.2768220000000005E-3</v>
      </c>
      <c r="O1898">
        <v>1.4495289999999999E-2</v>
      </c>
      <c r="P1898">
        <v>-0.92932389999999998</v>
      </c>
      <c r="Q1898">
        <v>0.36658249999999998</v>
      </c>
      <c r="R1898">
        <v>-4.4437530000000003E-2</v>
      </c>
      <c r="S1898">
        <v>-3.3098139999999998</v>
      </c>
      <c r="T1898">
        <v>-0.21966559999999999</v>
      </c>
      <c r="U1898">
        <v>-9.4879149999999995E-2</v>
      </c>
      <c r="V1898">
        <v>-5.7890810000000001E-2</v>
      </c>
      <c r="W1898">
        <v>0.37518309999999999</v>
      </c>
      <c r="X1898">
        <v>0.9251412</v>
      </c>
      <c r="Y1898">
        <v>-4.3009789999999999E-2</v>
      </c>
      <c r="Z1898">
        <v>-2.4516469999999999E-3</v>
      </c>
      <c r="AA1898">
        <v>0.99907170000000001</v>
      </c>
      <c r="AB1898">
        <v>28</v>
      </c>
      <c r="AC1898">
        <v>-16.444700000000001</v>
      </c>
      <c r="AD1898">
        <v>-1.110481725059</v>
      </c>
      <c r="AE1898">
        <v>-0.48380000000002998</v>
      </c>
      <c r="AF1898">
        <v>-0.71885490695868903</v>
      </c>
      <c r="AG1898">
        <v>-1.110481725059</v>
      </c>
      <c r="AH1898">
        <v>16.361414438365699</v>
      </c>
      <c r="AI1898">
        <v>93.879092757036901</v>
      </c>
      <c r="AJ1898">
        <v>92.515728745138105</v>
      </c>
      <c r="AK1898">
        <v>16.414804429627299</v>
      </c>
      <c r="AL1898">
        <v>67.964369370228596</v>
      </c>
      <c r="AM1898">
        <v>93.580620950547996</v>
      </c>
      <c r="AN1898">
        <v>0.99999997217275205</v>
      </c>
    </row>
    <row r="1899" spans="1:40" x14ac:dyDescent="0.25">
      <c r="A1899" t="str">
        <f>"20190304164636107"</f>
        <v>20190304164636107</v>
      </c>
      <c r="B1899" t="str">
        <f>"1551689196099891"</f>
        <v>1551689196099891</v>
      </c>
      <c r="C1899" t="s">
        <v>40</v>
      </c>
      <c r="D1899">
        <v>4.164212</v>
      </c>
      <c r="E1899">
        <v>0.52175020000000005</v>
      </c>
      <c r="F1899" t="s">
        <v>50</v>
      </c>
      <c r="G1899">
        <v>-423.89490000000001</v>
      </c>
      <c r="H1899" s="1">
        <v>3.227677E-6</v>
      </c>
      <c r="I1899">
        <v>285.1429</v>
      </c>
      <c r="J1899">
        <v>-407.4676</v>
      </c>
      <c r="K1899">
        <v>1.110484</v>
      </c>
      <c r="L1899">
        <v>285.6345</v>
      </c>
      <c r="M1899">
        <v>-0.99985219999999997</v>
      </c>
      <c r="N1899">
        <v>-9.2521140000000005E-3</v>
      </c>
      <c r="O1899">
        <v>1.449073E-2</v>
      </c>
      <c r="P1899">
        <v>-0.92937049999999999</v>
      </c>
      <c r="Q1899">
        <v>0.3663979</v>
      </c>
      <c r="R1899">
        <v>-4.4979180000000001E-2</v>
      </c>
      <c r="S1899">
        <v>-3.310333</v>
      </c>
      <c r="T1899">
        <v>-0.21995310000000001</v>
      </c>
      <c r="U1899">
        <v>-9.6557619999999997E-2</v>
      </c>
      <c r="V1899">
        <v>-5.8430309999999999E-2</v>
      </c>
      <c r="W1899">
        <v>0.37497619999999998</v>
      </c>
      <c r="X1899">
        <v>0.92519119999999999</v>
      </c>
      <c r="Y1899">
        <v>-4.3505389999999998E-2</v>
      </c>
      <c r="Z1899">
        <v>-2.4726800000000001E-3</v>
      </c>
      <c r="AA1899">
        <v>0.99905010000000005</v>
      </c>
      <c r="AB1899">
        <v>28</v>
      </c>
      <c r="AC1899">
        <v>-16.427299999999999</v>
      </c>
      <c r="AD1899">
        <v>-1.1104807723229999</v>
      </c>
      <c r="AE1899">
        <v>-0.49160000000000498</v>
      </c>
      <c r="AF1899">
        <v>-0.72628618117294497</v>
      </c>
      <c r="AG1899">
        <v>-1.1104807723229999</v>
      </c>
      <c r="AH1899">
        <v>16.3438311748857</v>
      </c>
      <c r="AI1899">
        <v>93.8831642398182</v>
      </c>
      <c r="AJ1899">
        <v>92.544432409388605</v>
      </c>
      <c r="AK1899">
        <v>16.3976058202357</v>
      </c>
      <c r="AL1899">
        <v>67.977158235883394</v>
      </c>
      <c r="AM1899">
        <v>93.613706904612897</v>
      </c>
      <c r="AN1899">
        <v>1.0000000041252799</v>
      </c>
    </row>
    <row r="1900" spans="1:40" x14ac:dyDescent="0.25">
      <c r="A1900" t="str">
        <f>"20190304164636129"</f>
        <v>20190304164636129</v>
      </c>
      <c r="B1900" t="str">
        <f>"1551689196120387"</f>
        <v>1551689196120387</v>
      </c>
      <c r="C1900" t="s">
        <v>40</v>
      </c>
      <c r="D1900">
        <v>4.1783700000000001</v>
      </c>
      <c r="E1900">
        <v>0.52177289999999998</v>
      </c>
      <c r="F1900" t="s">
        <v>50</v>
      </c>
      <c r="G1900">
        <v>-424.06729999999999</v>
      </c>
      <c r="H1900" s="1">
        <v>3.1975030000000002E-6</v>
      </c>
      <c r="I1900">
        <v>285.13830000000002</v>
      </c>
      <c r="J1900">
        <v>-407.74009999999998</v>
      </c>
      <c r="K1900">
        <v>1.1104810000000001</v>
      </c>
      <c r="L1900">
        <v>285.63850000000002</v>
      </c>
      <c r="M1900">
        <v>-0.99985279999999999</v>
      </c>
      <c r="N1900">
        <v>-9.2316550000000001E-3</v>
      </c>
      <c r="O1900">
        <v>1.448024E-2</v>
      </c>
      <c r="P1900">
        <v>-0.929257</v>
      </c>
      <c r="Q1900">
        <v>0.3666798</v>
      </c>
      <c r="R1900">
        <v>-4.503182E-2</v>
      </c>
      <c r="S1900">
        <v>-3.3105159999999998</v>
      </c>
      <c r="T1900">
        <v>-0.2214662</v>
      </c>
      <c r="U1900">
        <v>-9.8968509999999996E-2</v>
      </c>
      <c r="V1900">
        <v>-5.8475260000000001E-2</v>
      </c>
      <c r="W1900">
        <v>0.37523699999999999</v>
      </c>
      <c r="X1900">
        <v>0.92508259999999998</v>
      </c>
      <c r="Y1900">
        <v>-4.4216640000000001E-2</v>
      </c>
      <c r="Z1900">
        <v>-2.515331E-3</v>
      </c>
      <c r="AA1900">
        <v>0.99901879999999998</v>
      </c>
      <c r="AB1900">
        <v>28</v>
      </c>
      <c r="AC1900">
        <v>-16.327200000000001</v>
      </c>
      <c r="AD1900">
        <v>-1.1104778024969999</v>
      </c>
      <c r="AE1900">
        <v>-0.50020000000000597</v>
      </c>
      <c r="AF1900">
        <v>-0.73319085222954195</v>
      </c>
      <c r="AG1900">
        <v>-1.1104778024969999</v>
      </c>
      <c r="AH1900">
        <v>16.243175853225001</v>
      </c>
      <c r="AI1900">
        <v>93.907020671321604</v>
      </c>
      <c r="AJ1900">
        <v>92.584485080831797</v>
      </c>
      <c r="AK1900">
        <v>16.297591588158699</v>
      </c>
      <c r="AL1900">
        <v>67.961038118530396</v>
      </c>
      <c r="AM1900">
        <v>93.616902956575501</v>
      </c>
      <c r="AN1900">
        <v>0.99999998951191305</v>
      </c>
    </row>
    <row r="1901" spans="1:40" x14ac:dyDescent="0.25">
      <c r="A1901" t="str">
        <f>"20190304164636151"</f>
        <v>20190304164636151</v>
      </c>
      <c r="B1901" t="str">
        <f>"1551689196139908"</f>
        <v>1551689196139908</v>
      </c>
      <c r="C1901" t="s">
        <v>40</v>
      </c>
      <c r="D1901">
        <v>4.161492</v>
      </c>
      <c r="E1901">
        <v>0.5217984</v>
      </c>
      <c r="F1901" t="s">
        <v>50</v>
      </c>
      <c r="G1901">
        <v>-424.37079999999997</v>
      </c>
      <c r="H1901" s="1">
        <v>3.1431680000000002E-6</v>
      </c>
      <c r="I1901">
        <v>285.14400000000001</v>
      </c>
      <c r="J1901">
        <v>-408.01940000000002</v>
      </c>
      <c r="K1901">
        <v>1.110482</v>
      </c>
      <c r="L1901">
        <v>285.64249999999998</v>
      </c>
      <c r="M1901">
        <v>-0.99985310000000005</v>
      </c>
      <c r="N1901">
        <v>-9.2132389999999998E-3</v>
      </c>
      <c r="O1901">
        <v>1.4461659999999999E-2</v>
      </c>
      <c r="P1901">
        <v>-0.92896939999999995</v>
      </c>
      <c r="Q1901">
        <v>0.367421</v>
      </c>
      <c r="R1901">
        <v>-4.4921419999999997E-2</v>
      </c>
      <c r="S1901">
        <v>-3.3108520000000001</v>
      </c>
      <c r="T1901">
        <v>-0.2210742</v>
      </c>
      <c r="U1901">
        <v>-9.8449709999999996E-2</v>
      </c>
      <c r="V1901">
        <v>-5.8349239999999997E-2</v>
      </c>
      <c r="W1901">
        <v>0.37595780000000001</v>
      </c>
      <c r="X1901">
        <v>0.92479789999999995</v>
      </c>
      <c r="Y1901">
        <v>-4.4039630000000003E-2</v>
      </c>
      <c r="Z1901">
        <v>-2.5028429999999998E-3</v>
      </c>
      <c r="AA1901">
        <v>0.99902670000000005</v>
      </c>
      <c r="AB1901">
        <v>28</v>
      </c>
      <c r="AC1901">
        <v>-16.351399999999899</v>
      </c>
      <c r="AD1901">
        <v>-1.1104788568320001</v>
      </c>
      <c r="AE1901">
        <v>-0.49849999999997802</v>
      </c>
      <c r="AF1901">
        <v>-0.73155529377490602</v>
      </c>
      <c r="AG1901">
        <v>-1.1104788568320001</v>
      </c>
      <c r="AH1901">
        <v>16.2675206281546</v>
      </c>
      <c r="AI1901">
        <v>93.901224866088896</v>
      </c>
      <c r="AJ1901">
        <v>92.574873620510203</v>
      </c>
      <c r="AK1901">
        <v>16.321781882709899</v>
      </c>
      <c r="AL1901">
        <v>67.916477565662305</v>
      </c>
      <c r="AM1901">
        <v>93.610236932042397</v>
      </c>
      <c r="AN1901">
        <v>1.0000000285169099</v>
      </c>
    </row>
    <row r="1902" spans="1:40" x14ac:dyDescent="0.25">
      <c r="A1902" t="str">
        <f>"20190304164636174"</f>
        <v>20190304164636174</v>
      </c>
      <c r="B1902" t="str">
        <f>"1551689196170163"</f>
        <v>1551689196170163</v>
      </c>
      <c r="C1902" t="s">
        <v>40</v>
      </c>
      <c r="D1902">
        <v>4.1705209999999999</v>
      </c>
      <c r="E1902">
        <v>0.52179240000000005</v>
      </c>
      <c r="F1902" t="s">
        <v>50</v>
      </c>
      <c r="G1902">
        <v>-424.84480000000002</v>
      </c>
      <c r="H1902" s="1">
        <v>3.0586900000000002E-6</v>
      </c>
      <c r="I1902">
        <v>285.14839999999998</v>
      </c>
      <c r="J1902">
        <v>-408.30180000000001</v>
      </c>
      <c r="K1902">
        <v>1.11049</v>
      </c>
      <c r="L1902">
        <v>285.6465</v>
      </c>
      <c r="M1902">
        <v>-0.99985369999999996</v>
      </c>
      <c r="N1902">
        <v>-9.1970569999999998E-3</v>
      </c>
      <c r="O1902">
        <v>1.443201E-2</v>
      </c>
      <c r="P1902">
        <v>-0.92883550000000004</v>
      </c>
      <c r="Q1902">
        <v>0.36785810000000002</v>
      </c>
      <c r="R1902">
        <v>-4.4106600000000003E-2</v>
      </c>
      <c r="S1902">
        <v>-3.3110659999999998</v>
      </c>
      <c r="T1902">
        <v>-0.21853069999999999</v>
      </c>
      <c r="U1902">
        <v>-9.7228999999999996E-2</v>
      </c>
      <c r="V1902">
        <v>-5.7512679999999997E-2</v>
      </c>
      <c r="W1902">
        <v>0.37637749999999998</v>
      </c>
      <c r="X1902">
        <v>0.92467960000000005</v>
      </c>
      <c r="Y1902">
        <v>-4.3644179999999998E-2</v>
      </c>
      <c r="Z1902">
        <v>-2.4581030000000001E-3</v>
      </c>
      <c r="AA1902">
        <v>0.99904409999999999</v>
      </c>
      <c r="AB1902">
        <v>28</v>
      </c>
      <c r="AC1902">
        <v>-16.542999999999999</v>
      </c>
      <c r="AD1902">
        <v>-1.11048694131</v>
      </c>
      <c r="AE1902">
        <v>-0.49810000000002203</v>
      </c>
      <c r="AF1902">
        <v>-0.73350469178230904</v>
      </c>
      <c r="AG1902">
        <v>-1.11048694131</v>
      </c>
      <c r="AH1902">
        <v>16.459985324642801</v>
      </c>
      <c r="AI1902">
        <v>93.855844659511007</v>
      </c>
      <c r="AJ1902">
        <v>92.551578008437502</v>
      </c>
      <c r="AK1902">
        <v>16.513701198312301</v>
      </c>
      <c r="AL1902">
        <v>67.890524726934999</v>
      </c>
      <c r="AM1902">
        <v>93.559064614471396</v>
      </c>
      <c r="AN1902">
        <v>1.0000000467615899</v>
      </c>
    </row>
    <row r="1903" spans="1:40" x14ac:dyDescent="0.25">
      <c r="A1903" t="str">
        <f>"20190304164636198"</f>
        <v>20190304164636198</v>
      </c>
      <c r="B1903" t="str">
        <f>"1551689196189683"</f>
        <v>1551689196189683</v>
      </c>
      <c r="C1903" t="s">
        <v>40</v>
      </c>
      <c r="D1903">
        <v>4.1260760000000003</v>
      </c>
      <c r="E1903">
        <v>0.52173139999999996</v>
      </c>
      <c r="F1903" t="s">
        <v>50</v>
      </c>
      <c r="G1903">
        <v>-425.16140000000001</v>
      </c>
      <c r="H1903" s="1">
        <v>3.001663E-6</v>
      </c>
      <c r="I1903">
        <v>285.15839999999997</v>
      </c>
      <c r="J1903">
        <v>-408.6046</v>
      </c>
      <c r="K1903">
        <v>1.110498</v>
      </c>
      <c r="L1903">
        <v>285.65089999999998</v>
      </c>
      <c r="M1903">
        <v>-0.99985440000000003</v>
      </c>
      <c r="N1903">
        <v>-9.1826000000000008E-3</v>
      </c>
      <c r="O1903">
        <v>1.4384279999999999E-2</v>
      </c>
      <c r="P1903">
        <v>-0.92893300000000001</v>
      </c>
      <c r="Q1903">
        <v>0.3677009</v>
      </c>
      <c r="R1903">
        <v>-4.3357470000000002E-2</v>
      </c>
      <c r="S1903">
        <v>-3.3117070000000002</v>
      </c>
      <c r="T1903">
        <v>-0.21813070000000001</v>
      </c>
      <c r="U1903">
        <v>-9.5886230000000003E-2</v>
      </c>
      <c r="V1903">
        <v>-5.6730320000000001E-2</v>
      </c>
      <c r="W1903">
        <v>0.3762065</v>
      </c>
      <c r="X1903">
        <v>0.92479739999999999</v>
      </c>
      <c r="Y1903">
        <v>-4.318781E-2</v>
      </c>
      <c r="Z1903">
        <v>-2.4333689999999999E-3</v>
      </c>
      <c r="AA1903">
        <v>0.99906399999999995</v>
      </c>
      <c r="AB1903">
        <v>28</v>
      </c>
      <c r="AC1903">
        <v>-16.556799999999999</v>
      </c>
      <c r="AD1903">
        <v>-1.110494998337</v>
      </c>
      <c r="AE1903">
        <v>-0.49250000000000599</v>
      </c>
      <c r="AF1903">
        <v>-0.72734754891587905</v>
      </c>
      <c r="AG1903">
        <v>-1.110494998337</v>
      </c>
      <c r="AH1903">
        <v>16.473957601836101</v>
      </c>
      <c r="AI1903">
        <v>93.852682051513796</v>
      </c>
      <c r="AJ1903">
        <v>92.528044474841906</v>
      </c>
      <c r="AK1903">
        <v>16.527356493563602</v>
      </c>
      <c r="AL1903">
        <v>67.901097184763501</v>
      </c>
      <c r="AM1903">
        <v>93.510325573526501</v>
      </c>
      <c r="AN1903">
        <v>0.99999994544815396</v>
      </c>
    </row>
    <row r="1904" spans="1:40" x14ac:dyDescent="0.25">
      <c r="A1904" t="str">
        <f>"20190304164636218"</f>
        <v>20190304164636218</v>
      </c>
      <c r="B1904" t="str">
        <f>"1551689196210179"</f>
        <v>1551689196210179</v>
      </c>
      <c r="C1904" t="s">
        <v>40</v>
      </c>
      <c r="D1904">
        <v>4.1848380000000001</v>
      </c>
      <c r="E1904">
        <v>0.52170329999999998</v>
      </c>
      <c r="F1904" t="s">
        <v>50</v>
      </c>
      <c r="G1904">
        <v>-425.4085</v>
      </c>
      <c r="H1904" s="1">
        <v>2.9562499999999999E-6</v>
      </c>
      <c r="I1904">
        <v>285.17649999999998</v>
      </c>
      <c r="J1904">
        <v>-408.87369999999999</v>
      </c>
      <c r="K1904">
        <v>1.110501</v>
      </c>
      <c r="L1904">
        <v>285.65480000000002</v>
      </c>
      <c r="M1904">
        <v>-0.9998553</v>
      </c>
      <c r="N1904">
        <v>-9.1718300000000006E-3</v>
      </c>
      <c r="O1904">
        <v>1.4328489999999999E-2</v>
      </c>
      <c r="P1904">
        <v>-0.92884789999999995</v>
      </c>
      <c r="Q1904">
        <v>0.36787110000000001</v>
      </c>
      <c r="R1904">
        <v>-4.3735419999999997E-2</v>
      </c>
      <c r="S1904">
        <v>-3.3117679999999998</v>
      </c>
      <c r="T1904">
        <v>-0.2188601</v>
      </c>
      <c r="U1904">
        <v>-9.3505859999999996E-2</v>
      </c>
      <c r="V1904">
        <v>-5.7064150000000001E-2</v>
      </c>
      <c r="W1904">
        <v>0.3763647</v>
      </c>
      <c r="X1904">
        <v>0.92471250000000005</v>
      </c>
      <c r="Y1904">
        <v>-4.2415179999999997E-2</v>
      </c>
      <c r="Z1904">
        <v>-2.40895E-3</v>
      </c>
      <c r="AA1904">
        <v>0.99909720000000002</v>
      </c>
      <c r="AB1904">
        <v>28</v>
      </c>
      <c r="AC1904">
        <v>-16.534800000000001</v>
      </c>
      <c r="AD1904">
        <v>-1.1104980437500001</v>
      </c>
      <c r="AE1904">
        <v>-0.47830000000004702</v>
      </c>
      <c r="AF1904">
        <v>-0.71197081523643302</v>
      </c>
      <c r="AG1904">
        <v>-1.1104980437500001</v>
      </c>
      <c r="AH1904">
        <v>16.452101437767599</v>
      </c>
      <c r="AI1904">
        <v>93.857942335759006</v>
      </c>
      <c r="AJ1904">
        <v>92.477950095959599</v>
      </c>
      <c r="AK1904">
        <v>16.504900789326701</v>
      </c>
      <c r="AL1904">
        <v>67.891314210175693</v>
      </c>
      <c r="AM1904">
        <v>93.531253365944806</v>
      </c>
      <c r="AN1904">
        <v>0.99999995613878001</v>
      </c>
    </row>
    <row r="1905" spans="1:40" x14ac:dyDescent="0.25">
      <c r="A1905" t="str">
        <f>"20190304164636240"</f>
        <v>20190304164636240</v>
      </c>
      <c r="B1905" t="str">
        <f>"1551689196229700"</f>
        <v>1551689196229700</v>
      </c>
      <c r="C1905" t="s">
        <v>40</v>
      </c>
      <c r="D1905">
        <v>4.1685049999999997</v>
      </c>
      <c r="E1905">
        <v>0.52171889999999999</v>
      </c>
      <c r="F1905" t="s">
        <v>50</v>
      </c>
      <c r="G1905">
        <v>-425.70830000000001</v>
      </c>
      <c r="H1905" s="1">
        <v>2.9027760000000002E-6</v>
      </c>
      <c r="I1905">
        <v>285.17989999999998</v>
      </c>
      <c r="J1905">
        <v>-409.14789999999999</v>
      </c>
      <c r="K1905">
        <v>1.1105080000000001</v>
      </c>
      <c r="L1905">
        <v>285.65859999999998</v>
      </c>
      <c r="M1905">
        <v>-0.99985630000000003</v>
      </c>
      <c r="N1905">
        <v>-9.1627759999999992E-3</v>
      </c>
      <c r="O1905">
        <v>1.4260490000000001E-2</v>
      </c>
      <c r="P1905">
        <v>-0.92881970000000003</v>
      </c>
      <c r="Q1905">
        <v>0.36789329999999998</v>
      </c>
      <c r="R1905">
        <v>-4.4141140000000002E-2</v>
      </c>
      <c r="S1905">
        <v>-3.3119809999999998</v>
      </c>
      <c r="T1905">
        <v>-0.21847530000000001</v>
      </c>
      <c r="U1905">
        <v>-9.341431E-2</v>
      </c>
      <c r="V1905">
        <v>-5.7414380000000001E-2</v>
      </c>
      <c r="W1905">
        <v>0.37637710000000002</v>
      </c>
      <c r="X1905">
        <v>0.9246858</v>
      </c>
      <c r="Y1905">
        <v>-4.2318630000000003E-2</v>
      </c>
      <c r="Z1905">
        <v>-2.3971399999999999E-3</v>
      </c>
      <c r="AA1905">
        <v>0.99910129999999997</v>
      </c>
      <c r="AB1905">
        <v>28</v>
      </c>
      <c r="AC1905">
        <v>-16.560400000000001</v>
      </c>
      <c r="AD1905">
        <v>-1.110505097224</v>
      </c>
      <c r="AE1905">
        <v>-0.47870000000000301</v>
      </c>
      <c r="AF1905">
        <v>-0.71162333290325097</v>
      </c>
      <c r="AG1905">
        <v>-1.110505097224</v>
      </c>
      <c r="AH1905">
        <v>16.477854062998201</v>
      </c>
      <c r="AI1905">
        <v>93.851970161164402</v>
      </c>
      <c r="AJ1905">
        <v>92.472876222083201</v>
      </c>
      <c r="AK1905">
        <v>16.530556671218299</v>
      </c>
      <c r="AL1905">
        <v>67.890547923761901</v>
      </c>
      <c r="AM1905">
        <v>93.552973337173498</v>
      </c>
      <c r="AN1905">
        <v>0.99999998057841699</v>
      </c>
    </row>
    <row r="1906" spans="1:40" x14ac:dyDescent="0.25">
      <c r="A1906" t="str">
        <f>"20190304164636262"</f>
        <v>20190304164636262</v>
      </c>
      <c r="B1906" t="str">
        <f>"1551689196250195"</f>
        <v>1551689196250195</v>
      </c>
      <c r="C1906" t="s">
        <v>40</v>
      </c>
      <c r="D1906">
        <v>4.1502759999999999</v>
      </c>
      <c r="E1906">
        <v>0.5217465</v>
      </c>
      <c r="F1906" t="s">
        <v>50</v>
      </c>
      <c r="G1906">
        <v>-425.94099999999997</v>
      </c>
      <c r="H1906" s="1">
        <v>2.8613710000000001E-6</v>
      </c>
      <c r="I1906">
        <v>285.18119999999999</v>
      </c>
      <c r="J1906">
        <v>-409.43029999999999</v>
      </c>
      <c r="K1906">
        <v>1.1105130000000001</v>
      </c>
      <c r="L1906">
        <v>285.66250000000002</v>
      </c>
      <c r="M1906">
        <v>-0.99985760000000001</v>
      </c>
      <c r="N1906">
        <v>-9.1552620000000008E-3</v>
      </c>
      <c r="O1906">
        <v>1.4180089999999999E-2</v>
      </c>
      <c r="P1906">
        <v>-0.92887050000000004</v>
      </c>
      <c r="Q1906">
        <v>0.3677009</v>
      </c>
      <c r="R1906">
        <v>-4.4673789999999998E-2</v>
      </c>
      <c r="S1906">
        <v>-3.3122250000000002</v>
      </c>
      <c r="T1906">
        <v>-0.21903300000000001</v>
      </c>
      <c r="U1906">
        <v>-9.4146729999999998E-2</v>
      </c>
      <c r="V1906">
        <v>-5.7880210000000001E-2</v>
      </c>
      <c r="W1906">
        <v>0.37617699999999998</v>
      </c>
      <c r="X1906">
        <v>0.92473819999999995</v>
      </c>
      <c r="Y1906">
        <v>-4.2456149999999998E-2</v>
      </c>
      <c r="Z1906">
        <v>-2.4034529999999998E-3</v>
      </c>
      <c r="AA1906">
        <v>0.99909539999999997</v>
      </c>
      <c r="AB1906">
        <v>28</v>
      </c>
      <c r="AC1906">
        <v>-16.5106999999999</v>
      </c>
      <c r="AD1906">
        <v>-1.1105101386289999</v>
      </c>
      <c r="AE1906">
        <v>-0.48130000000003198</v>
      </c>
      <c r="AF1906">
        <v>-0.71216557754197196</v>
      </c>
      <c r="AG1906">
        <v>-1.1105101386289999</v>
      </c>
      <c r="AH1906">
        <v>16.427959140200301</v>
      </c>
      <c r="AI1906">
        <v>93.8636241424731</v>
      </c>
      <c r="AJ1906">
        <v>92.482265105934403</v>
      </c>
      <c r="AK1906">
        <v>16.480845066013</v>
      </c>
      <c r="AL1906">
        <v>67.902922597633605</v>
      </c>
      <c r="AM1906">
        <v>93.581523118214804</v>
      </c>
      <c r="AN1906">
        <v>0.99999999628894198</v>
      </c>
    </row>
    <row r="1907" spans="1:40" x14ac:dyDescent="0.25">
      <c r="A1907" t="str">
        <f>"20190304164636286"</f>
        <v>20190304164636286</v>
      </c>
      <c r="B1907" t="str">
        <f>"1551689196280451"</f>
        <v>1551689196280451</v>
      </c>
      <c r="C1907" t="s">
        <v>40</v>
      </c>
      <c r="D1907">
        <v>4.1360070000000002</v>
      </c>
      <c r="E1907">
        <v>0.52175499999999997</v>
      </c>
      <c r="F1907" t="s">
        <v>50</v>
      </c>
      <c r="G1907">
        <v>-426.18599999999998</v>
      </c>
      <c r="H1907" s="1">
        <v>2.8183050000000001E-6</v>
      </c>
      <c r="I1907">
        <v>285.17680000000001</v>
      </c>
      <c r="J1907">
        <v>-409.7319</v>
      </c>
      <c r="K1907">
        <v>1.110514</v>
      </c>
      <c r="L1907">
        <v>285.66669999999999</v>
      </c>
      <c r="M1907">
        <v>-0.99985889999999999</v>
      </c>
      <c r="N1907">
        <v>-9.1489529999999996E-3</v>
      </c>
      <c r="O1907">
        <v>1.4085820000000001E-2</v>
      </c>
      <c r="P1907">
        <v>-0.92875019999999997</v>
      </c>
      <c r="Q1907">
        <v>0.3678727</v>
      </c>
      <c r="R1907">
        <v>-4.5746429999999998E-2</v>
      </c>
      <c r="S1907">
        <v>-3.3120419999999999</v>
      </c>
      <c r="T1907">
        <v>-0.2195107</v>
      </c>
      <c r="U1907">
        <v>-9.6008300000000005E-2</v>
      </c>
      <c r="V1907">
        <v>-5.8869409999999997E-2</v>
      </c>
      <c r="W1907">
        <v>0.37634079999999998</v>
      </c>
      <c r="X1907">
        <v>0.92460909999999996</v>
      </c>
      <c r="Y1907">
        <v>-4.2923030000000001E-2</v>
      </c>
      <c r="Z1907">
        <v>-2.4208239999999998E-3</v>
      </c>
      <c r="AA1907">
        <v>0.99907550000000001</v>
      </c>
      <c r="AB1907">
        <v>28</v>
      </c>
      <c r="AC1907">
        <v>-16.454099999999901</v>
      </c>
      <c r="AD1907">
        <v>-1.110511181695</v>
      </c>
      <c r="AE1907">
        <v>-0.48989999999997702</v>
      </c>
      <c r="AF1907">
        <v>-0.71836128501540397</v>
      </c>
      <c r="AG1907">
        <v>-1.110511181695</v>
      </c>
      <c r="AH1907">
        <v>16.371060799787799</v>
      </c>
      <c r="AI1907">
        <v>93.876926056509703</v>
      </c>
      <c r="AJ1907">
        <v>92.512524032650802</v>
      </c>
      <c r="AK1907">
        <v>16.424399828633899</v>
      </c>
      <c r="AL1907">
        <v>67.892793189264196</v>
      </c>
      <c r="AM1907">
        <v>93.6430768434697</v>
      </c>
      <c r="AN1907">
        <v>0.99999999649059801</v>
      </c>
    </row>
    <row r="1908" spans="1:40" x14ac:dyDescent="0.25">
      <c r="A1908" t="str">
        <f>"20190304164636307"</f>
        <v>20190304164636307</v>
      </c>
      <c r="B1908" t="str">
        <f>"1551689196300476"</f>
        <v>1551689196300476</v>
      </c>
      <c r="C1908" t="s">
        <v>40</v>
      </c>
      <c r="D1908">
        <v>4.1646879999999999</v>
      </c>
      <c r="E1908">
        <v>0.52173019999999903</v>
      </c>
      <c r="F1908" t="s">
        <v>50</v>
      </c>
      <c r="G1908">
        <v>-426.50650000000002</v>
      </c>
      <c r="H1908" s="1">
        <v>2.762207E-6</v>
      </c>
      <c r="I1908">
        <v>285.16820000000001</v>
      </c>
      <c r="J1908">
        <v>-410.00490000000002</v>
      </c>
      <c r="K1908">
        <v>1.11052</v>
      </c>
      <c r="L1908">
        <v>285.67039999999997</v>
      </c>
      <c r="M1908">
        <v>-0.99986030000000004</v>
      </c>
      <c r="N1908">
        <v>-9.1446099999999992E-3</v>
      </c>
      <c r="O1908">
        <v>1.399537E-2</v>
      </c>
      <c r="P1908">
        <v>-0.92871269999999995</v>
      </c>
      <c r="Q1908">
        <v>0.36785600000000002</v>
      </c>
      <c r="R1908">
        <v>-4.6637320000000003E-2</v>
      </c>
      <c r="S1908">
        <v>-3.3121640000000001</v>
      </c>
      <c r="T1908">
        <v>-0.21927179999999999</v>
      </c>
      <c r="U1908">
        <v>-9.8419190000000004E-2</v>
      </c>
      <c r="V1908">
        <v>-5.9679429999999999E-2</v>
      </c>
      <c r="W1908">
        <v>0.37631870000000001</v>
      </c>
      <c r="X1908">
        <v>0.92456609999999995</v>
      </c>
      <c r="Y1908">
        <v>-4.3557029999999997E-2</v>
      </c>
      <c r="Z1908">
        <v>-2.436836E-3</v>
      </c>
      <c r="AA1908">
        <v>0.99904800000000005</v>
      </c>
      <c r="AB1908">
        <v>28</v>
      </c>
      <c r="AC1908">
        <v>-16.5015999999999</v>
      </c>
      <c r="AD1908">
        <v>-1.1105172377929999</v>
      </c>
      <c r="AE1908">
        <v>-0.50219999999995901</v>
      </c>
      <c r="AF1908">
        <v>-0.72980425588206299</v>
      </c>
      <c r="AG1908">
        <v>-1.1105172377929999</v>
      </c>
      <c r="AH1908">
        <v>16.4186642618983</v>
      </c>
      <c r="AI1908">
        <v>93.865643853121</v>
      </c>
      <c r="AJ1908">
        <v>92.545103357557295</v>
      </c>
      <c r="AK1908">
        <v>16.472352562165401</v>
      </c>
      <c r="AL1908">
        <v>67.894158486192495</v>
      </c>
      <c r="AM1908">
        <v>93.693237648791197</v>
      </c>
      <c r="AN1908">
        <v>0.99999993580200996</v>
      </c>
    </row>
    <row r="1909" spans="1:40" x14ac:dyDescent="0.25">
      <c r="A1909" t="str">
        <f>"20190304164636329"</f>
        <v>20190304164636329</v>
      </c>
      <c r="B1909" t="str">
        <f>"1551689196319997"</f>
        <v>1551689196319997</v>
      </c>
      <c r="C1909" t="s">
        <v>40</v>
      </c>
      <c r="D1909">
        <v>4.1490609999999997</v>
      </c>
      <c r="E1909">
        <v>0.51444400000000001</v>
      </c>
      <c r="F1909" t="s">
        <v>50</v>
      </c>
      <c r="G1909">
        <v>-426.73860000000002</v>
      </c>
      <c r="H1909" s="1">
        <v>2.7224049999999999E-6</v>
      </c>
      <c r="I1909">
        <v>285.15260000000001</v>
      </c>
      <c r="J1909">
        <v>-410.2869</v>
      </c>
      <c r="K1909">
        <v>1.1105240000000001</v>
      </c>
      <c r="L1909">
        <v>285.67430000000002</v>
      </c>
      <c r="M1909">
        <v>-0.99986180000000002</v>
      </c>
      <c r="N1909">
        <v>-9.1413390000000001E-3</v>
      </c>
      <c r="O1909">
        <v>1.389993E-2</v>
      </c>
      <c r="P1909">
        <v>-0.92859919999999996</v>
      </c>
      <c r="Q1909">
        <v>0.36808950000000001</v>
      </c>
      <c r="R1909">
        <v>-4.7051089999999997E-2</v>
      </c>
      <c r="S1909">
        <v>-3.3122250000000002</v>
      </c>
      <c r="T1909">
        <v>-0.21981329999999999</v>
      </c>
      <c r="U1909">
        <v>-0.1025085</v>
      </c>
      <c r="V1909">
        <v>-6.000581E-2</v>
      </c>
      <c r="W1909">
        <v>0.37654759999999998</v>
      </c>
      <c r="X1909">
        <v>0.92445180000000005</v>
      </c>
      <c r="Y1909">
        <v>-4.4690109999999998E-2</v>
      </c>
      <c r="Z1909">
        <v>-2.4798429999999998E-3</v>
      </c>
      <c r="AA1909">
        <v>0.99899780000000005</v>
      </c>
      <c r="AB1909">
        <v>29</v>
      </c>
      <c r="AC1909">
        <v>-16.451699999999999</v>
      </c>
      <c r="AD1909">
        <v>-1.110521277595</v>
      </c>
      <c r="AE1909">
        <v>-0.52170000000000905</v>
      </c>
      <c r="AF1909">
        <v>-0.74693657987316897</v>
      </c>
      <c r="AG1909">
        <v>-1.110521277595</v>
      </c>
      <c r="AH1909">
        <v>16.3683509855403</v>
      </c>
      <c r="AI1909">
        <v>93.877298388257103</v>
      </c>
      <c r="AJ1909">
        <v>92.612764400587096</v>
      </c>
      <c r="AK1909">
        <v>16.4229743270878</v>
      </c>
      <c r="AL1909">
        <v>67.880002794655994</v>
      </c>
      <c r="AM1909">
        <v>93.713837025664304</v>
      </c>
      <c r="AN1909">
        <v>0.99999996141137704</v>
      </c>
    </row>
    <row r="1910" spans="1:40" x14ac:dyDescent="0.25">
      <c r="A1910" t="str">
        <f>"20190304164636352"</f>
        <v>20190304164636352</v>
      </c>
      <c r="B1910" t="str">
        <f>"1551689196340492"</f>
        <v>1551689196340492</v>
      </c>
      <c r="C1910" t="s">
        <v>40</v>
      </c>
      <c r="D1910">
        <v>4.1913960000000001</v>
      </c>
      <c r="E1910">
        <v>0.51377059999999997</v>
      </c>
      <c r="F1910" t="s">
        <v>50</v>
      </c>
      <c r="G1910">
        <v>-428.08890000000002</v>
      </c>
      <c r="H1910" s="1">
        <v>2.513386E-6</v>
      </c>
      <c r="I1910">
        <v>284.80369999999999</v>
      </c>
      <c r="J1910">
        <v>-410.57139999999998</v>
      </c>
      <c r="K1910">
        <v>1.110527</v>
      </c>
      <c r="L1910">
        <v>285.6782</v>
      </c>
      <c r="M1910">
        <v>-0.9998631</v>
      </c>
      <c r="N1910">
        <v>-9.1391319999999995E-3</v>
      </c>
      <c r="O1910">
        <v>1.380265E-2</v>
      </c>
      <c r="P1910">
        <v>-0.92828049999999995</v>
      </c>
      <c r="Q1910">
        <v>0.36883579999999999</v>
      </c>
      <c r="R1910">
        <v>-4.7494410000000001E-2</v>
      </c>
      <c r="S1910">
        <v>-3.3041990000000001</v>
      </c>
      <c r="T1910">
        <v>-0.206122</v>
      </c>
      <c r="U1910">
        <v>-0.1615906</v>
      </c>
      <c r="V1910">
        <v>-6.0356010000000002E-2</v>
      </c>
      <c r="W1910">
        <v>0.37728869999999998</v>
      </c>
      <c r="X1910">
        <v>0.92412680000000003</v>
      </c>
      <c r="Y1910">
        <v>-6.2469860000000002E-2</v>
      </c>
      <c r="Z1910">
        <v>-2.9651740000000001E-3</v>
      </c>
      <c r="AA1910">
        <v>0.99804250000000005</v>
      </c>
      <c r="AB1910">
        <v>29</v>
      </c>
      <c r="AC1910">
        <v>-17.517499999999998</v>
      </c>
      <c r="AD1910">
        <v>-1.1105244866140001</v>
      </c>
      <c r="AE1910">
        <v>-0.87450000000001105</v>
      </c>
      <c r="AF1910">
        <v>-1.11175769071243</v>
      </c>
      <c r="AG1910">
        <v>-1.1105244866140001</v>
      </c>
      <c r="AH1910">
        <v>17.4338686321091</v>
      </c>
      <c r="AI1910">
        <v>93.637405701522596</v>
      </c>
      <c r="AJ1910">
        <v>93.648810744623503</v>
      </c>
      <c r="AK1910">
        <v>17.504543561026299</v>
      </c>
      <c r="AL1910">
        <v>67.834160170448598</v>
      </c>
      <c r="AM1910">
        <v>93.736760141365394</v>
      </c>
      <c r="AN1910">
        <v>0.99999997678452401</v>
      </c>
    </row>
    <row r="1911" spans="1:40" x14ac:dyDescent="0.25">
      <c r="A1911" t="str">
        <f>"20190304164636375"</f>
        <v>20190304164636375</v>
      </c>
      <c r="B1911" t="str">
        <f>"1551689196369776"</f>
        <v>1551689196369776</v>
      </c>
      <c r="C1911" t="s">
        <v>40</v>
      </c>
      <c r="D1911">
        <v>4.1763979999999998</v>
      </c>
      <c r="E1911">
        <v>0.51352059999999999</v>
      </c>
      <c r="F1911" t="s">
        <v>50</v>
      </c>
      <c r="G1911">
        <v>-428.82760000000002</v>
      </c>
      <c r="H1911" s="1">
        <v>2.387383E-6</v>
      </c>
      <c r="I1911">
        <v>284.74619999999999</v>
      </c>
      <c r="J1911">
        <v>-410.86660000000001</v>
      </c>
      <c r="K1911">
        <v>1.1105229999999999</v>
      </c>
      <c r="L1911">
        <v>285.68209999999999</v>
      </c>
      <c r="M1911">
        <v>-0.99986450000000004</v>
      </c>
      <c r="N1911">
        <v>-9.1330070000000003E-3</v>
      </c>
      <c r="O1911">
        <v>1.3702890000000001E-2</v>
      </c>
      <c r="P1911">
        <v>-0.9281935</v>
      </c>
      <c r="Q1911">
        <v>0.36904389999999998</v>
      </c>
      <c r="R1911">
        <v>-4.7577210000000002E-2</v>
      </c>
      <c r="S1911">
        <v>-3.3029790000000001</v>
      </c>
      <c r="T1911">
        <v>-0.2009205</v>
      </c>
      <c r="U1911">
        <v>-0.1686096</v>
      </c>
      <c r="V1911">
        <v>-6.0346230000000001E-2</v>
      </c>
      <c r="W1911">
        <v>0.37749050000000001</v>
      </c>
      <c r="X1911">
        <v>0.92404500000000001</v>
      </c>
      <c r="Y1911">
        <v>-6.4507099999999998E-2</v>
      </c>
      <c r="Z1911">
        <v>-2.9613119999999998E-3</v>
      </c>
      <c r="AA1911">
        <v>0.99791289999999999</v>
      </c>
      <c r="AB1911">
        <v>29</v>
      </c>
      <c r="AC1911">
        <v>-17.960999999999999</v>
      </c>
      <c r="AD1911">
        <v>-1.110520612617</v>
      </c>
      <c r="AE1911">
        <v>-0.93590000000000295</v>
      </c>
      <c r="AF1911">
        <v>-1.1774508889752999</v>
      </c>
      <c r="AG1911">
        <v>-1.110520612617</v>
      </c>
      <c r="AH1911">
        <v>17.878326580232201</v>
      </c>
      <c r="AI1911">
        <v>93.546723663196204</v>
      </c>
      <c r="AJ1911">
        <v>93.768008195867694</v>
      </c>
      <c r="AK1911">
        <v>17.951440274708698</v>
      </c>
      <c r="AL1911">
        <v>67.821674090764603</v>
      </c>
      <c r="AM1911">
        <v>93.736486159278797</v>
      </c>
      <c r="AN1911">
        <v>0.99999995354522997</v>
      </c>
    </row>
    <row r="1912" spans="1:40" x14ac:dyDescent="0.25">
      <c r="A1912" t="str">
        <f>"20190304164636398"</f>
        <v>20190304164636398</v>
      </c>
      <c r="B1912" t="str">
        <f>"1551689196390269"</f>
        <v>1551689196390269</v>
      </c>
      <c r="C1912" t="s">
        <v>40</v>
      </c>
      <c r="D1912">
        <v>4.1713459999999998</v>
      </c>
      <c r="E1912">
        <v>0.51346029999999998</v>
      </c>
      <c r="F1912" t="s">
        <v>50</v>
      </c>
      <c r="G1912">
        <v>-429.39569999999998</v>
      </c>
      <c r="H1912" s="1">
        <v>2.2884899999999999E-6</v>
      </c>
      <c r="I1912">
        <v>284.72469999999998</v>
      </c>
      <c r="J1912">
        <v>-411.16149999999999</v>
      </c>
      <c r="K1912">
        <v>1.110525</v>
      </c>
      <c r="L1912">
        <v>285.68610000000001</v>
      </c>
      <c r="M1912">
        <v>-0.99986589999999997</v>
      </c>
      <c r="N1912">
        <v>-9.1233140000000004E-3</v>
      </c>
      <c r="O1912">
        <v>1.3603509999999999E-2</v>
      </c>
      <c r="P1912">
        <v>-0.92800689999999997</v>
      </c>
      <c r="Q1912">
        <v>0.36955690000000002</v>
      </c>
      <c r="R1912">
        <v>-4.7232999999999997E-2</v>
      </c>
      <c r="S1912">
        <v>-3.3020320000000001</v>
      </c>
      <c r="T1912">
        <v>-0.1979041</v>
      </c>
      <c r="U1912">
        <v>-0.17062379999999999</v>
      </c>
      <c r="V1912">
        <v>-5.9907769999999999E-2</v>
      </c>
      <c r="W1912">
        <v>0.37799290000000002</v>
      </c>
      <c r="X1912">
        <v>0.92386820000000003</v>
      </c>
      <c r="Y1912">
        <v>-6.5032999999999994E-2</v>
      </c>
      <c r="Z1912">
        <v>-2.9331380000000001E-3</v>
      </c>
      <c r="AA1912">
        <v>0.99787879999999995</v>
      </c>
      <c r="AB1912">
        <v>29</v>
      </c>
      <c r="AC1912">
        <v>-18.234199999999898</v>
      </c>
      <c r="AD1912">
        <v>-1.11052271151</v>
      </c>
      <c r="AE1912">
        <v>-0.96140000000002501</v>
      </c>
      <c r="AF1912">
        <v>-1.2049135767014001</v>
      </c>
      <c r="AG1912">
        <v>-1.11052271151</v>
      </c>
      <c r="AH1912">
        <v>18.152289649779199</v>
      </c>
      <c r="AI1912">
        <v>93.493215923433496</v>
      </c>
      <c r="AJ1912">
        <v>93.797611131145302</v>
      </c>
      <c r="AK1912">
        <v>18.226099334459398</v>
      </c>
      <c r="AL1912">
        <v>67.790586727537502</v>
      </c>
      <c r="AM1912">
        <v>93.710121782135801</v>
      </c>
      <c r="AN1912">
        <v>1.00000001216401</v>
      </c>
    </row>
    <row r="1913" spans="1:40" x14ac:dyDescent="0.25">
      <c r="A1913" t="str">
        <f>"20190304164636421"</f>
        <v>20190304164636421</v>
      </c>
      <c r="B1913" t="str">
        <f>"1551689196410294"</f>
        <v>1551689196410294</v>
      </c>
      <c r="C1913" t="s">
        <v>40</v>
      </c>
      <c r="D1913">
        <v>4.143313</v>
      </c>
      <c r="E1913">
        <v>0.51357949999999997</v>
      </c>
      <c r="F1913" t="s">
        <v>50</v>
      </c>
      <c r="G1913">
        <v>-429.81959999999998</v>
      </c>
      <c r="H1913" s="1">
        <v>2.212884E-6</v>
      </c>
      <c r="I1913">
        <v>284.72930000000002</v>
      </c>
      <c r="J1913">
        <v>-411.44670000000002</v>
      </c>
      <c r="K1913">
        <v>1.1105290000000001</v>
      </c>
      <c r="L1913">
        <v>285.68979999999999</v>
      </c>
      <c r="M1913">
        <v>-0.99986730000000001</v>
      </c>
      <c r="N1913">
        <v>-9.1142189999999998E-3</v>
      </c>
      <c r="O1913">
        <v>1.350877E-2</v>
      </c>
      <c r="P1913">
        <v>-0.92787299999999995</v>
      </c>
      <c r="Q1913">
        <v>0.36995270000000002</v>
      </c>
      <c r="R1913">
        <v>-4.6768810000000001E-2</v>
      </c>
      <c r="S1913">
        <v>-3.3023989999999999</v>
      </c>
      <c r="T1913">
        <v>-0.1965567</v>
      </c>
      <c r="U1913">
        <v>-0.16934199999999999</v>
      </c>
      <c r="V1913">
        <v>-5.935489E-2</v>
      </c>
      <c r="W1913">
        <v>0.37837920000000003</v>
      </c>
      <c r="X1913">
        <v>0.92374579999999995</v>
      </c>
      <c r="Y1913">
        <v>-6.4549590000000004E-2</v>
      </c>
      <c r="Z1913">
        <v>-2.8925829999999998E-3</v>
      </c>
      <c r="AA1913">
        <v>0.99791030000000003</v>
      </c>
      <c r="AB1913">
        <v>29</v>
      </c>
      <c r="AC1913">
        <v>-18.372899999999898</v>
      </c>
      <c r="AD1913">
        <v>-1.1105267871160001</v>
      </c>
      <c r="AE1913">
        <v>-0.96049999999996705</v>
      </c>
      <c r="AF1913">
        <v>-1.20423031876932</v>
      </c>
      <c r="AG1913">
        <v>-1.1105267871160001</v>
      </c>
      <c r="AH1913">
        <v>18.291602432005099</v>
      </c>
      <c r="AI1913">
        <v>93.466812238756006</v>
      </c>
      <c r="AJ1913">
        <v>93.766640417045295</v>
      </c>
      <c r="AK1913">
        <v>18.3648076476744</v>
      </c>
      <c r="AL1913">
        <v>67.766678808640293</v>
      </c>
      <c r="AM1913">
        <v>93.676461677802095</v>
      </c>
      <c r="AN1913">
        <v>1.0000000624885901</v>
      </c>
    </row>
    <row r="1914" spans="1:40" x14ac:dyDescent="0.25">
      <c r="A1914" t="str">
        <f>"20190304164636441"</f>
        <v>20190304164636441</v>
      </c>
      <c r="B1914" t="str">
        <f>"1551689196429815"</f>
        <v>1551689196429815</v>
      </c>
      <c r="C1914" t="s">
        <v>40</v>
      </c>
      <c r="D1914">
        <v>4.1760289999999998</v>
      </c>
      <c r="E1914">
        <v>0.51250050000000003</v>
      </c>
      <c r="F1914" t="s">
        <v>50</v>
      </c>
      <c r="G1914">
        <v>-430.221</v>
      </c>
      <c r="H1914" s="1">
        <v>2.3043399999999999E-6</v>
      </c>
      <c r="I1914">
        <v>284.73809999999997</v>
      </c>
      <c r="J1914">
        <v>-411.72559999999999</v>
      </c>
      <c r="K1914">
        <v>1.110522</v>
      </c>
      <c r="L1914">
        <v>285.69349999999997</v>
      </c>
      <c r="M1914">
        <v>-0.9998686</v>
      </c>
      <c r="N1914">
        <v>-9.1065239999999995E-3</v>
      </c>
      <c r="O1914">
        <v>1.341636E-2</v>
      </c>
      <c r="P1914">
        <v>-0.92777790000000004</v>
      </c>
      <c r="Q1914">
        <v>0.37024279999999998</v>
      </c>
      <c r="R1914">
        <v>-4.634957E-2</v>
      </c>
      <c r="S1914">
        <v>-3.302673</v>
      </c>
      <c r="T1914">
        <v>-0.195358</v>
      </c>
      <c r="U1914">
        <v>-0.1674194</v>
      </c>
      <c r="V1914">
        <v>-5.8848919999999999E-2</v>
      </c>
      <c r="W1914">
        <v>0.37866169999999999</v>
      </c>
      <c r="X1914">
        <v>0.92366239999999999</v>
      </c>
      <c r="Y1914">
        <v>-6.3876920000000004E-2</v>
      </c>
      <c r="Z1914">
        <v>-2.8481270000000002E-3</v>
      </c>
      <c r="AA1914">
        <v>0.99795370000000005</v>
      </c>
      <c r="AB1914">
        <v>29</v>
      </c>
      <c r="AC1914">
        <v>-18.4954</v>
      </c>
      <c r="AD1914">
        <v>-1.1105196956600001</v>
      </c>
      <c r="AE1914">
        <v>-0.95539999999999703</v>
      </c>
      <c r="AF1914">
        <v>-1.1991535792328001</v>
      </c>
      <c r="AG1914">
        <v>-1.1105196956600001</v>
      </c>
      <c r="AH1914">
        <v>18.414705327239201</v>
      </c>
      <c r="AI1914">
        <v>93.443830839363201</v>
      </c>
      <c r="AJ1914">
        <v>93.725803209288699</v>
      </c>
      <c r="AK1914">
        <v>18.487092675434099</v>
      </c>
      <c r="AL1914">
        <v>67.749191374817997</v>
      </c>
      <c r="AM1914">
        <v>93.645534836648693</v>
      </c>
      <c r="AN1914">
        <v>1.0000000538028999</v>
      </c>
    </row>
    <row r="1915" spans="1:40" x14ac:dyDescent="0.25">
      <c r="A1915" t="str">
        <f>"20190304164636463"</f>
        <v>20190304164636463</v>
      </c>
      <c r="B1915" t="str">
        <f>"1551689196460071"</f>
        <v>1551689196460071</v>
      </c>
      <c r="C1915" t="s">
        <v>40</v>
      </c>
      <c r="D1915">
        <v>4.1803269999999904</v>
      </c>
      <c r="E1915">
        <v>0.51063689999999995</v>
      </c>
      <c r="F1915" t="s">
        <v>50</v>
      </c>
      <c r="G1915">
        <v>-430.74880000000002</v>
      </c>
      <c r="H1915" s="1">
        <v>2.5427950000000001E-6</v>
      </c>
      <c r="I1915">
        <v>284.68779999999998</v>
      </c>
      <c r="J1915">
        <v>-412.01260000000002</v>
      </c>
      <c r="K1915">
        <v>1.110519</v>
      </c>
      <c r="L1915">
        <v>285.69729999999998</v>
      </c>
      <c r="M1915">
        <v>-0.99986980000000003</v>
      </c>
      <c r="N1915">
        <v>-9.0996489999999996E-3</v>
      </c>
      <c r="O1915">
        <v>1.3321919999999999E-2</v>
      </c>
      <c r="P1915">
        <v>-0.92793870000000001</v>
      </c>
      <c r="Q1915">
        <v>0.3698649</v>
      </c>
      <c r="R1915">
        <v>-4.6149500000000003E-2</v>
      </c>
      <c r="S1915">
        <v>-3.301758</v>
      </c>
      <c r="T1915">
        <v>-0.1927469</v>
      </c>
      <c r="U1915">
        <v>-0.17456050000000001</v>
      </c>
      <c r="V1915">
        <v>-5.8563740000000003E-2</v>
      </c>
      <c r="W1915">
        <v>0.37827899999999998</v>
      </c>
      <c r="X1915">
        <v>0.92383720000000003</v>
      </c>
      <c r="Y1915">
        <v>-6.594883E-2</v>
      </c>
      <c r="Z1915">
        <v>-2.8780339999999998E-3</v>
      </c>
      <c r="AA1915">
        <v>0.99781880000000001</v>
      </c>
      <c r="AB1915">
        <v>29</v>
      </c>
      <c r="AC1915">
        <v>-18.7362</v>
      </c>
      <c r="AD1915">
        <v>-1.1105164572049999</v>
      </c>
      <c r="AE1915">
        <v>-1.0095000000000001</v>
      </c>
      <c r="AF1915">
        <v>-1.25462807451282</v>
      </c>
      <c r="AG1915">
        <v>-1.1105164572049999</v>
      </c>
      <c r="AH1915">
        <v>18.655738930559199</v>
      </c>
      <c r="AI1915">
        <v>93.398954920174603</v>
      </c>
      <c r="AJ1915">
        <v>93.847438787785407</v>
      </c>
      <c r="AK1915">
        <v>18.7308284240784</v>
      </c>
      <c r="AL1915">
        <v>67.772878032266505</v>
      </c>
      <c r="AM1915">
        <v>93.627231378096795</v>
      </c>
      <c r="AN1915">
        <v>0.99999994279381199</v>
      </c>
    </row>
    <row r="1916" spans="1:40" x14ac:dyDescent="0.25">
      <c r="A1916" t="str">
        <f>"20190304164636486"</f>
        <v>20190304164636486</v>
      </c>
      <c r="B1916" t="str">
        <f>"1551689196480566"</f>
        <v>1551689196480566</v>
      </c>
      <c r="C1916" t="s">
        <v>40</v>
      </c>
      <c r="D1916">
        <v>4.2062900000000001</v>
      </c>
      <c r="E1916">
        <v>0.50967980000000002</v>
      </c>
      <c r="F1916" t="s">
        <v>50</v>
      </c>
      <c r="G1916">
        <v>-430.79309999999998</v>
      </c>
      <c r="H1916" s="1">
        <v>2.5680280000000002E-6</v>
      </c>
      <c r="I1916">
        <v>284.6241</v>
      </c>
      <c r="J1916">
        <v>-412.30360000000002</v>
      </c>
      <c r="K1916">
        <v>1.1105160000000001</v>
      </c>
      <c r="L1916">
        <v>285.70100000000002</v>
      </c>
      <c r="M1916">
        <v>-0.99987130000000002</v>
      </c>
      <c r="N1916">
        <v>-9.09365E-3</v>
      </c>
      <c r="O1916">
        <v>1.322634E-2</v>
      </c>
      <c r="P1916">
        <v>-0.92804799999999998</v>
      </c>
      <c r="Q1916">
        <v>0.36962440000000002</v>
      </c>
      <c r="R1916">
        <v>-4.5880410000000003E-2</v>
      </c>
      <c r="S1916">
        <v>-3.3013919999999999</v>
      </c>
      <c r="T1916">
        <v>-0.1952159</v>
      </c>
      <c r="U1916">
        <v>-0.18865970000000001</v>
      </c>
      <c r="V1916">
        <v>-5.8207469999999997E-2</v>
      </c>
      <c r="W1916">
        <v>0.37803399999999998</v>
      </c>
      <c r="X1916">
        <v>0.92396</v>
      </c>
      <c r="Y1916">
        <v>-7.0095379999999999E-2</v>
      </c>
      <c r="Z1916">
        <v>-3.0489739999999999E-3</v>
      </c>
      <c r="AA1916">
        <v>0.99753559999999997</v>
      </c>
      <c r="AB1916">
        <v>29</v>
      </c>
      <c r="AC1916">
        <v>-18.4894999999999</v>
      </c>
      <c r="AD1916">
        <v>-1.110513431972</v>
      </c>
      <c r="AE1916">
        <v>-1.07689999999996</v>
      </c>
      <c r="AF1916">
        <v>-1.31663070064194</v>
      </c>
      <c r="AG1916">
        <v>-1.110513431972</v>
      </c>
      <c r="AH1916">
        <v>18.407459497621801</v>
      </c>
      <c r="AI1916">
        <v>93.443666499734505</v>
      </c>
      <c r="AJ1916">
        <v>94.091228724196498</v>
      </c>
      <c r="AK1916">
        <v>18.487869580918499</v>
      </c>
      <c r="AL1916">
        <v>67.788041639432805</v>
      </c>
      <c r="AM1916">
        <v>93.604745754154706</v>
      </c>
      <c r="AN1916">
        <v>0.99999994815989901</v>
      </c>
    </row>
    <row r="1917" spans="1:40" x14ac:dyDescent="0.25">
      <c r="A1917" t="str">
        <f>"20190304164636508"</f>
        <v>20190304164636508</v>
      </c>
      <c r="B1917" t="str">
        <f>"1551689196500593"</f>
        <v>1551689196500593</v>
      </c>
      <c r="C1917" t="s">
        <v>40</v>
      </c>
      <c r="D1917">
        <v>4.1976380000000004</v>
      </c>
      <c r="E1917">
        <v>0.50880720000000002</v>
      </c>
      <c r="F1917" t="s">
        <v>50</v>
      </c>
      <c r="G1917">
        <v>-431.01960000000003</v>
      </c>
      <c r="H1917" s="1">
        <v>2.671181E-6</v>
      </c>
      <c r="I1917">
        <v>284.59280000000001</v>
      </c>
      <c r="J1917">
        <v>-412.58789999999999</v>
      </c>
      <c r="K1917">
        <v>1.1105039999999999</v>
      </c>
      <c r="L1917">
        <v>285.7047</v>
      </c>
      <c r="M1917">
        <v>-0.9998726</v>
      </c>
      <c r="N1917">
        <v>-9.0888500000000007E-3</v>
      </c>
      <c r="O1917">
        <v>1.3133260000000001E-2</v>
      </c>
      <c r="P1917">
        <v>-0.92818279999999997</v>
      </c>
      <c r="Q1917">
        <v>0.36925380000000002</v>
      </c>
      <c r="R1917">
        <v>-4.6135910000000002E-2</v>
      </c>
      <c r="S1917">
        <v>-3.300964</v>
      </c>
      <c r="T1917">
        <v>-0.19586249999999999</v>
      </c>
      <c r="U1917">
        <v>-0.1954651</v>
      </c>
      <c r="V1917">
        <v>-5.8378329999999999E-2</v>
      </c>
      <c r="W1917">
        <v>0.3776601</v>
      </c>
      <c r="X1917">
        <v>0.92410219999999998</v>
      </c>
      <c r="Y1917">
        <v>-7.2054480000000004E-2</v>
      </c>
      <c r="Z1917">
        <v>-3.1207909999999999E-3</v>
      </c>
      <c r="AA1917">
        <v>0.99739580000000005</v>
      </c>
      <c r="AB1917">
        <v>29</v>
      </c>
      <c r="AC1917">
        <v>-18.431699999999999</v>
      </c>
      <c r="AD1917">
        <v>-1.110501328819</v>
      </c>
      <c r="AE1917">
        <v>-1.1118999999999899</v>
      </c>
      <c r="AF1917">
        <v>-1.3490032322319201</v>
      </c>
      <c r="AG1917">
        <v>-1.110501328819</v>
      </c>
      <c r="AH1917">
        <v>18.349140774361398</v>
      </c>
      <c r="AI1917">
        <v>93.454052304469201</v>
      </c>
      <c r="AJ1917">
        <v>94.204741147475005</v>
      </c>
      <c r="AK1917">
        <v>18.432145563639999</v>
      </c>
      <c r="AL1917">
        <v>67.811181683865101</v>
      </c>
      <c r="AM1917">
        <v>93.614744121730197</v>
      </c>
      <c r="AN1917">
        <v>1.00000002829521</v>
      </c>
    </row>
    <row r="1918" spans="1:40" x14ac:dyDescent="0.25">
      <c r="A1918" t="str">
        <f>"20190304164636530"</f>
        <v>20190304164636530</v>
      </c>
      <c r="B1918" t="str">
        <f>"1551689196520114"</f>
        <v>1551689196520114</v>
      </c>
      <c r="C1918" t="s">
        <v>40</v>
      </c>
      <c r="D1918">
        <v>4.1960169999999897</v>
      </c>
      <c r="E1918">
        <v>0.50813439999999999</v>
      </c>
      <c r="F1918" t="s">
        <v>50</v>
      </c>
      <c r="G1918">
        <v>-431.14550000000003</v>
      </c>
      <c r="H1918" s="1">
        <v>2.7298340000000002E-6</v>
      </c>
      <c r="I1918">
        <v>284.5609</v>
      </c>
      <c r="J1918">
        <v>-412.87950000000001</v>
      </c>
      <c r="K1918">
        <v>1.1104989999999999</v>
      </c>
      <c r="L1918">
        <v>285.70839999999998</v>
      </c>
      <c r="M1918">
        <v>-0.99987380000000003</v>
      </c>
      <c r="N1918">
        <v>-9.0812970000000003E-3</v>
      </c>
      <c r="O1918">
        <v>1.3037989999999999E-2</v>
      </c>
      <c r="P1918">
        <v>-0.92827990000000005</v>
      </c>
      <c r="Q1918">
        <v>0.36899759999999998</v>
      </c>
      <c r="R1918">
        <v>-4.6231050000000003E-2</v>
      </c>
      <c r="S1918">
        <v>-3.3005979999999999</v>
      </c>
      <c r="T1918">
        <v>-0.19750980000000001</v>
      </c>
      <c r="U1918">
        <v>-0.20343020000000001</v>
      </c>
      <c r="V1918">
        <v>-5.8386849999999997E-2</v>
      </c>
      <c r="W1918">
        <v>0.37739780000000001</v>
      </c>
      <c r="X1918">
        <v>0.92420880000000005</v>
      </c>
      <c r="Y1918">
        <v>-7.4356740000000004E-2</v>
      </c>
      <c r="Z1918">
        <v>-3.219623E-3</v>
      </c>
      <c r="AA1918">
        <v>0.99722650000000002</v>
      </c>
      <c r="AB1918">
        <v>29</v>
      </c>
      <c r="AC1918">
        <v>-18.265999999999998</v>
      </c>
      <c r="AD1918">
        <v>-1.1104962701659999</v>
      </c>
      <c r="AE1918">
        <v>-1.14749999999997</v>
      </c>
      <c r="AF1918">
        <v>-1.3804818106529</v>
      </c>
      <c r="AG1918">
        <v>-1.1104962701659999</v>
      </c>
      <c r="AH1918">
        <v>18.1825447120824</v>
      </c>
      <c r="AI1918">
        <v>93.484984988416997</v>
      </c>
      <c r="AJ1918">
        <v>94.341764422570407</v>
      </c>
      <c r="AK1918">
        <v>18.2686579748616</v>
      </c>
      <c r="AL1918">
        <v>67.827411087515699</v>
      </c>
      <c r="AM1918">
        <v>93.614854388531697</v>
      </c>
      <c r="AN1918">
        <v>1.0000000148476</v>
      </c>
    </row>
    <row r="1919" spans="1:40" x14ac:dyDescent="0.25">
      <c r="A1919" t="str">
        <f>"20190304164636553"</f>
        <v>20190304164636553</v>
      </c>
      <c r="B1919" t="str">
        <f>"1551689196550368"</f>
        <v>1551689196550368</v>
      </c>
      <c r="C1919" t="s">
        <v>40</v>
      </c>
      <c r="D1919">
        <v>4.184088</v>
      </c>
      <c r="E1919">
        <v>0.50724320000000001</v>
      </c>
      <c r="F1919" t="s">
        <v>50</v>
      </c>
      <c r="G1919">
        <v>-431.38470000000001</v>
      </c>
      <c r="H1919" s="1">
        <v>2.8389800000000001E-6</v>
      </c>
      <c r="I1919">
        <v>284.52539999999999</v>
      </c>
      <c r="J1919">
        <v>-413.1739</v>
      </c>
      <c r="K1919">
        <v>1.110495</v>
      </c>
      <c r="L1919">
        <v>285.7122</v>
      </c>
      <c r="M1919">
        <v>-0.99987510000000002</v>
      </c>
      <c r="N1919">
        <v>-9.0700969999999992E-3</v>
      </c>
      <c r="O1919">
        <v>1.294142E-2</v>
      </c>
      <c r="P1919">
        <v>-0.92818659999999997</v>
      </c>
      <c r="Q1919">
        <v>0.36917470000000002</v>
      </c>
      <c r="R1919">
        <v>-4.6689939999999999E-2</v>
      </c>
      <c r="S1919">
        <v>-3.3000180000000001</v>
      </c>
      <c r="T1919">
        <v>-0.1980344</v>
      </c>
      <c r="U1919">
        <v>-0.21096799999999999</v>
      </c>
      <c r="V1919">
        <v>-5.875495E-2</v>
      </c>
      <c r="W1919">
        <v>0.37756339999999999</v>
      </c>
      <c r="X1919">
        <v>0.92411779999999999</v>
      </c>
      <c r="Y1919">
        <v>-7.6534649999999996E-2</v>
      </c>
      <c r="Z1919">
        <v>-3.2978650000000001E-3</v>
      </c>
      <c r="AA1919">
        <v>0.99706150000000004</v>
      </c>
      <c r="AB1919">
        <v>29</v>
      </c>
      <c r="AC1919">
        <v>-18.210799999999999</v>
      </c>
      <c r="AD1919">
        <v>-1.11049216102</v>
      </c>
      <c r="AE1919">
        <v>-1.1868000000000001</v>
      </c>
      <c r="AF1919">
        <v>-1.4171365169185199</v>
      </c>
      <c r="AG1919">
        <v>-1.11049216102</v>
      </c>
      <c r="AH1919">
        <v>18.1267951066162</v>
      </c>
      <c r="AI1919">
        <v>93.495061334909295</v>
      </c>
      <c r="AJ1919">
        <v>94.470239913133597</v>
      </c>
      <c r="AK1919">
        <v>18.215986648669801</v>
      </c>
      <c r="AL1919">
        <v>67.817164208321202</v>
      </c>
      <c r="AM1919">
        <v>93.637940484548693</v>
      </c>
      <c r="AN1919">
        <v>0.99999998672295098</v>
      </c>
    </row>
    <row r="1920" spans="1:40" x14ac:dyDescent="0.25">
      <c r="A1920" t="str">
        <f>"20190304164636575"</f>
        <v>20190304164636575</v>
      </c>
      <c r="B1920" t="str">
        <f>"1551689196569892"</f>
        <v>1551689196569892</v>
      </c>
      <c r="C1920" t="s">
        <v>40</v>
      </c>
      <c r="D1920">
        <v>4.2032959999999999</v>
      </c>
      <c r="E1920">
        <v>0.50675209999999904</v>
      </c>
      <c r="F1920" t="s">
        <v>50</v>
      </c>
      <c r="G1920">
        <v>-431.7663</v>
      </c>
      <c r="H1920" s="1">
        <v>3.0122819999999999E-6</v>
      </c>
      <c r="I1920">
        <v>284.4787</v>
      </c>
      <c r="J1920">
        <v>-413.47070000000002</v>
      </c>
      <c r="K1920">
        <v>1.110492</v>
      </c>
      <c r="L1920">
        <v>285.71589999999998</v>
      </c>
      <c r="M1920">
        <v>-0.99987649999999995</v>
      </c>
      <c r="N1920">
        <v>-9.058567E-3</v>
      </c>
      <c r="O1920">
        <v>1.284449E-2</v>
      </c>
      <c r="P1920">
        <v>-0.92825150000000001</v>
      </c>
      <c r="Q1920">
        <v>0.36895099999999997</v>
      </c>
      <c r="R1920">
        <v>-4.7164690000000002E-2</v>
      </c>
      <c r="S1920">
        <v>-3.2994690000000002</v>
      </c>
      <c r="T1920">
        <v>-0.19707160000000001</v>
      </c>
      <c r="U1920">
        <v>-0.2189026</v>
      </c>
      <c r="V1920">
        <v>-5.9140869999999998E-2</v>
      </c>
      <c r="W1920">
        <v>0.37732979999999999</v>
      </c>
      <c r="X1920">
        <v>0.92418860000000003</v>
      </c>
      <c r="Y1920">
        <v>-7.8833009999999995E-2</v>
      </c>
      <c r="Z1920">
        <v>-3.357021E-3</v>
      </c>
      <c r="AA1920">
        <v>0.99688220000000005</v>
      </c>
      <c r="AB1920">
        <v>29</v>
      </c>
      <c r="AC1920">
        <v>-18.295599999999901</v>
      </c>
      <c r="AD1920">
        <v>-1.110488987718</v>
      </c>
      <c r="AE1920">
        <v>-1.2371999999999701</v>
      </c>
      <c r="AF1920">
        <v>-1.4667262016734901</v>
      </c>
      <c r="AG1920">
        <v>-1.110488987718</v>
      </c>
      <c r="AH1920">
        <v>18.211410912966699</v>
      </c>
      <c r="AI1920">
        <v>93.4782065157424</v>
      </c>
      <c r="AJ1920">
        <v>94.604597781240102</v>
      </c>
      <c r="AK1920">
        <v>18.304096781416</v>
      </c>
      <c r="AL1920">
        <v>67.831617780280794</v>
      </c>
      <c r="AM1920">
        <v>93.6614910019631</v>
      </c>
      <c r="AN1920">
        <v>0.99999999442117804</v>
      </c>
    </row>
    <row r="1921" spans="1:40" x14ac:dyDescent="0.25">
      <c r="A1921" t="str">
        <f>"20190304164636599"</f>
        <v>20190304164636599</v>
      </c>
      <c r="B1921" t="str">
        <f>"1551689196590385"</f>
        <v>1551689196590385</v>
      </c>
      <c r="C1921" t="s">
        <v>40</v>
      </c>
      <c r="D1921">
        <v>4.1970239999999999</v>
      </c>
      <c r="E1921">
        <v>0.50634860000000004</v>
      </c>
      <c r="F1921" t="s">
        <v>50</v>
      </c>
      <c r="G1921">
        <v>-432.06220000000002</v>
      </c>
      <c r="H1921" s="1">
        <v>3.145462E-6</v>
      </c>
      <c r="I1921">
        <v>284.4563</v>
      </c>
      <c r="J1921">
        <v>-413.76740000000001</v>
      </c>
      <c r="K1921">
        <v>1.110492</v>
      </c>
      <c r="L1921">
        <v>285.71969999999999</v>
      </c>
      <c r="M1921">
        <v>-0.99987789999999999</v>
      </c>
      <c r="N1921">
        <v>-9.0486590000000006E-3</v>
      </c>
      <c r="O1921">
        <v>1.274721E-2</v>
      </c>
      <c r="P1921">
        <v>-0.92834220000000001</v>
      </c>
      <c r="Q1921">
        <v>0.36871490000000001</v>
      </c>
      <c r="R1921">
        <v>-4.7221649999999997E-2</v>
      </c>
      <c r="S1921">
        <v>-3.2988590000000002</v>
      </c>
      <c r="T1921">
        <v>-0.19704430000000001</v>
      </c>
      <c r="U1921">
        <v>-0.22351070000000001</v>
      </c>
      <c r="V1921">
        <v>-5.9108889999999997E-2</v>
      </c>
      <c r="W1921">
        <v>0.37708510000000001</v>
      </c>
      <c r="X1921">
        <v>0.92429050000000001</v>
      </c>
      <c r="Y1921">
        <v>-8.0131930000000004E-2</v>
      </c>
      <c r="Z1921">
        <v>-3.3964619999999998E-3</v>
      </c>
      <c r="AA1921">
        <v>0.99677850000000001</v>
      </c>
      <c r="AB1921">
        <v>29</v>
      </c>
      <c r="AC1921">
        <v>-18.294799999999999</v>
      </c>
      <c r="AD1921">
        <v>-1.1104888545379901</v>
      </c>
      <c r="AE1921">
        <v>-1.2633999999999901</v>
      </c>
      <c r="AF1921">
        <v>-1.49104690760929</v>
      </c>
      <c r="AG1921">
        <v>-1.1104888545379901</v>
      </c>
      <c r="AH1921">
        <v>18.210430935263901</v>
      </c>
      <c r="AI1921">
        <v>93.478017758148397</v>
      </c>
      <c r="AJ1921">
        <v>94.680863771699705</v>
      </c>
      <c r="AK1921">
        <v>18.305086758187201</v>
      </c>
      <c r="AL1921">
        <v>67.846756048936101</v>
      </c>
      <c r="AM1921">
        <v>93.659114105236696</v>
      </c>
      <c r="AN1921">
        <v>0.99999998095464504</v>
      </c>
    </row>
    <row r="1922" spans="1:40" x14ac:dyDescent="0.25">
      <c r="A1922" t="str">
        <f>"20190304164636620"</f>
        <v>20190304164636620</v>
      </c>
      <c r="B1922" t="str">
        <f>"1551689196609905"</f>
        <v>1551689196609905</v>
      </c>
      <c r="C1922" t="s">
        <v>40</v>
      </c>
      <c r="D1922">
        <v>4.2168809999999999</v>
      </c>
      <c r="E1922">
        <v>0.50594729999999999</v>
      </c>
      <c r="F1922" t="s">
        <v>50</v>
      </c>
      <c r="G1922">
        <v>-432.31939999999997</v>
      </c>
      <c r="H1922" s="1">
        <v>3.2614199999999999E-6</v>
      </c>
      <c r="I1922">
        <v>284.43470000000002</v>
      </c>
      <c r="J1922">
        <v>-414.05180000000001</v>
      </c>
      <c r="K1922">
        <v>1.1104940000000001</v>
      </c>
      <c r="L1922">
        <v>285.72320000000002</v>
      </c>
      <c r="M1922">
        <v>-0.99987910000000002</v>
      </c>
      <c r="N1922">
        <v>-9.0402299999999998E-3</v>
      </c>
      <c r="O1922">
        <v>1.2653960000000001E-2</v>
      </c>
      <c r="P1922">
        <v>-0.92816279999999995</v>
      </c>
      <c r="Q1922">
        <v>0.36922159999999998</v>
      </c>
      <c r="R1922">
        <v>-4.6790180000000001E-2</v>
      </c>
      <c r="S1922">
        <v>-3.2983699999999998</v>
      </c>
      <c r="T1922">
        <v>-0.19743440000000001</v>
      </c>
      <c r="U1922">
        <v>-0.22845460000000001</v>
      </c>
      <c r="V1922">
        <v>-5.8589210000000003E-2</v>
      </c>
      <c r="W1922">
        <v>0.3775828</v>
      </c>
      <c r="X1922">
        <v>0.92412039999999995</v>
      </c>
      <c r="Y1922">
        <v>-8.1532460000000001E-2</v>
      </c>
      <c r="Z1922">
        <v>-3.4462300000000002E-3</v>
      </c>
      <c r="AA1922">
        <v>0.99666469999999896</v>
      </c>
      <c r="AB1922">
        <v>29</v>
      </c>
      <c r="AC1922">
        <v>-18.267599999999899</v>
      </c>
      <c r="AD1922">
        <v>-1.11049073858</v>
      </c>
      <c r="AE1922">
        <v>-1.28849999999999</v>
      </c>
      <c r="AF1922">
        <v>-1.5139965518023599</v>
      </c>
      <c r="AG1922">
        <v>-1.11049073858</v>
      </c>
      <c r="AH1922">
        <v>18.182970455203399</v>
      </c>
      <c r="AI1922">
        <v>93.482868451981105</v>
      </c>
      <c r="AJ1922">
        <v>94.759726911668693</v>
      </c>
      <c r="AK1922">
        <v>18.279655079189499</v>
      </c>
      <c r="AL1922">
        <v>67.815963894451002</v>
      </c>
      <c r="AM1922">
        <v>93.627695595663397</v>
      </c>
      <c r="AN1922">
        <v>0.99999999004021101</v>
      </c>
    </row>
    <row r="1923" spans="1:40" x14ac:dyDescent="0.25">
      <c r="A1923" t="str">
        <f>"20190304164636644"</f>
        <v>20190304164636644</v>
      </c>
      <c r="B1923" t="str">
        <f>"1551689196640161"</f>
        <v>1551689196640161</v>
      </c>
      <c r="C1923" t="s">
        <v>40</v>
      </c>
      <c r="D1923">
        <v>4.1979670000000002</v>
      </c>
      <c r="E1923">
        <v>0.50540169999999995</v>
      </c>
      <c r="F1923" t="s">
        <v>50</v>
      </c>
      <c r="G1923">
        <v>-432.82029999999997</v>
      </c>
      <c r="H1923" s="1">
        <v>3.4862059999999999E-6</v>
      </c>
      <c r="I1923">
        <v>284.40449999999998</v>
      </c>
      <c r="J1923">
        <v>-414.351</v>
      </c>
      <c r="K1923">
        <v>1.1104810000000001</v>
      </c>
      <c r="L1923">
        <v>285.72680000000003</v>
      </c>
      <c r="M1923">
        <v>-0.9998804</v>
      </c>
      <c r="N1923">
        <v>-9.0325549999999994E-3</v>
      </c>
      <c r="O1923">
        <v>1.255565E-2</v>
      </c>
      <c r="P1923">
        <v>-0.92831660000000005</v>
      </c>
      <c r="Q1923">
        <v>0.36880390000000002</v>
      </c>
      <c r="R1923">
        <v>-4.7031169999999997E-2</v>
      </c>
      <c r="S1923">
        <v>-3.2981259999999999</v>
      </c>
      <c r="T1923">
        <v>-0.19514290000000001</v>
      </c>
      <c r="U1923">
        <v>-0.23172000000000001</v>
      </c>
      <c r="V1923">
        <v>-5.8740720000000003E-2</v>
      </c>
      <c r="W1923">
        <v>0.37715890000000002</v>
      </c>
      <c r="X1923">
        <v>0.92428390000000005</v>
      </c>
      <c r="Y1923">
        <v>-8.2423869999999996E-2</v>
      </c>
      <c r="Z1923">
        <v>-3.434604E-3</v>
      </c>
      <c r="AA1923">
        <v>0.99659140000000002</v>
      </c>
      <c r="AB1923">
        <v>29</v>
      </c>
      <c r="AC1923">
        <v>-18.469299999999901</v>
      </c>
      <c r="AD1923">
        <v>-1.1104775137939999</v>
      </c>
      <c r="AE1923">
        <v>-1.32230000000004</v>
      </c>
      <c r="AF1923">
        <v>-1.54852976182499</v>
      </c>
      <c r="AG1923">
        <v>-1.1104775137939999</v>
      </c>
      <c r="AH1923">
        <v>18.3851161801473</v>
      </c>
      <c r="AI1923">
        <v>93.444350710761498</v>
      </c>
      <c r="AJ1923">
        <v>94.814508484425602</v>
      </c>
      <c r="AK1923">
        <v>18.483603590464</v>
      </c>
      <c r="AL1923">
        <v>67.842191380335194</v>
      </c>
      <c r="AM1923">
        <v>93.636409918043498</v>
      </c>
      <c r="AN1923">
        <v>1.0000000179172599</v>
      </c>
    </row>
    <row r="1924" spans="1:40" x14ac:dyDescent="0.25">
      <c r="A1924" t="str">
        <f>"20190304164636665"</f>
        <v>20190304164636665</v>
      </c>
      <c r="B1924" t="str">
        <f>"1551689196659682"</f>
        <v>1551689196659682</v>
      </c>
      <c r="C1924" t="s">
        <v>40</v>
      </c>
      <c r="D1924">
        <v>4.2116800000000003</v>
      </c>
      <c r="E1924">
        <v>0.50510920000000004</v>
      </c>
      <c r="F1924" t="s">
        <v>50</v>
      </c>
      <c r="G1924">
        <v>-433.05470000000003</v>
      </c>
      <c r="H1924" s="1">
        <v>3.5922320000000001E-6</v>
      </c>
      <c r="I1924">
        <v>284.38049999999998</v>
      </c>
      <c r="J1924">
        <v>-414.64659999999998</v>
      </c>
      <c r="K1924">
        <v>1.1104810000000001</v>
      </c>
      <c r="L1924">
        <v>285.73050000000001</v>
      </c>
      <c r="M1924">
        <v>-0.99988169999999998</v>
      </c>
      <c r="N1924">
        <v>-9.0262410000000008E-3</v>
      </c>
      <c r="O1924">
        <v>1.245864E-2</v>
      </c>
      <c r="P1924">
        <v>-0.92840670000000003</v>
      </c>
      <c r="Q1924">
        <v>0.3685619</v>
      </c>
      <c r="R1924">
        <v>-4.7155559999999999E-2</v>
      </c>
      <c r="S1924">
        <v>-3.2974239999999999</v>
      </c>
      <c r="T1924">
        <v>-0.19577559999999999</v>
      </c>
      <c r="U1924">
        <v>-0.23736570000000001</v>
      </c>
      <c r="V1924">
        <v>-5.8776179999999997E-2</v>
      </c>
      <c r="W1924">
        <v>0.37691239999999998</v>
      </c>
      <c r="X1924">
        <v>0.92438220000000004</v>
      </c>
      <c r="Y1924">
        <v>-8.4035349999999995E-2</v>
      </c>
      <c r="Z1924">
        <v>-3.4953670000000001E-3</v>
      </c>
      <c r="AA1924">
        <v>0.99645660000000003</v>
      </c>
      <c r="AB1924">
        <v>29</v>
      </c>
      <c r="AC1924">
        <v>-18.408100000000001</v>
      </c>
      <c r="AD1924">
        <v>-1.110477407768</v>
      </c>
      <c r="AE1924">
        <v>-1.3500000000000201</v>
      </c>
      <c r="AF1924">
        <v>-1.5735486710458</v>
      </c>
      <c r="AG1924">
        <v>-1.110477407768</v>
      </c>
      <c r="AH1924">
        <v>18.3235257714448</v>
      </c>
      <c r="AI1924">
        <v>93.455419911880895</v>
      </c>
      <c r="AJ1924">
        <v>94.908282759441704</v>
      </c>
      <c r="AK1924">
        <v>18.4244623310998</v>
      </c>
      <c r="AL1924">
        <v>67.857440314655307</v>
      </c>
      <c r="AM1924">
        <v>93.638213319401402</v>
      </c>
      <c r="AN1924">
        <v>1.0000000241429901</v>
      </c>
    </row>
    <row r="1925" spans="1:40" x14ac:dyDescent="0.25">
      <c r="A1925" t="str">
        <f>"20190304164636688"</f>
        <v>20190304164636688</v>
      </c>
      <c r="B1925" t="str">
        <f>"1551689196680177"</f>
        <v>1551689196680177</v>
      </c>
      <c r="C1925" t="s">
        <v>40</v>
      </c>
      <c r="D1925">
        <v>4.2198390000000003</v>
      </c>
      <c r="E1925">
        <v>0.4823036</v>
      </c>
      <c r="F1925" t="s">
        <v>50</v>
      </c>
      <c r="G1925">
        <v>-433.27940000000001</v>
      </c>
      <c r="H1925" s="1">
        <v>3.691664E-6</v>
      </c>
      <c r="I1925">
        <v>284.38310000000001</v>
      </c>
      <c r="J1925">
        <v>-414.95080000000002</v>
      </c>
      <c r="K1925">
        <v>1.110476</v>
      </c>
      <c r="L1925">
        <v>285.73419999999999</v>
      </c>
      <c r="M1925">
        <v>-0.99988290000000002</v>
      </c>
      <c r="N1925">
        <v>-9.0210829999999992E-3</v>
      </c>
      <c r="O1925">
        <v>1.2358650000000001E-2</v>
      </c>
      <c r="P1925">
        <v>-0.92834850000000002</v>
      </c>
      <c r="Q1925">
        <v>0.3687242</v>
      </c>
      <c r="R1925">
        <v>-4.7026079999999998E-2</v>
      </c>
      <c r="S1925">
        <v>-3.2972410000000001</v>
      </c>
      <c r="T1925">
        <v>-0.1965085</v>
      </c>
      <c r="U1925">
        <v>-0.2384338</v>
      </c>
      <c r="V1925">
        <v>-5.8553519999999998E-2</v>
      </c>
      <c r="W1925">
        <v>0.37706919999999999</v>
      </c>
      <c r="X1925">
        <v>0.92433240000000005</v>
      </c>
      <c r="Y1925">
        <v>-8.4259130000000002E-2</v>
      </c>
      <c r="Z1925">
        <v>-3.5100439999999999E-3</v>
      </c>
      <c r="AA1925">
        <v>0.99643769999999998</v>
      </c>
      <c r="AB1925">
        <v>29</v>
      </c>
      <c r="AC1925">
        <v>-18.328599999999899</v>
      </c>
      <c r="AD1925">
        <v>-1.110472308336</v>
      </c>
      <c r="AE1925">
        <v>-1.35109999999997</v>
      </c>
      <c r="AF1925">
        <v>-1.5717843123834101</v>
      </c>
      <c r="AG1925">
        <v>-1.110472308336</v>
      </c>
      <c r="AH1925">
        <v>18.2438945051424</v>
      </c>
      <c r="AI1925">
        <v>93.470367297294501</v>
      </c>
      <c r="AJ1925">
        <v>94.924100997160494</v>
      </c>
      <c r="AK1925">
        <v>18.345117644403398</v>
      </c>
      <c r="AL1925">
        <v>67.847741060648801</v>
      </c>
      <c r="AM1925">
        <v>93.624662350390096</v>
      </c>
      <c r="AN1925">
        <v>1.0000000409913901</v>
      </c>
    </row>
    <row r="1926" spans="1:40" x14ac:dyDescent="0.25">
      <c r="A1926" t="str">
        <f>"20190304164636709"</f>
        <v>20190304164636709</v>
      </c>
      <c r="B1926" t="str">
        <f>"1551689196699697"</f>
        <v>1551689196699697</v>
      </c>
      <c r="C1926" t="s">
        <v>40</v>
      </c>
      <c r="D1926">
        <v>4.1136799999999996</v>
      </c>
      <c r="E1926">
        <v>0.47024270000000001</v>
      </c>
      <c r="F1926" t="s">
        <v>50</v>
      </c>
      <c r="G1926">
        <v>-434.92930000000001</v>
      </c>
      <c r="H1926" s="1">
        <v>4.527053E-6</v>
      </c>
      <c r="I1926">
        <v>283.19670000000002</v>
      </c>
      <c r="J1926">
        <v>-415.22879999999998</v>
      </c>
      <c r="K1926">
        <v>1.1104849999999999</v>
      </c>
      <c r="L1926">
        <v>285.73750000000001</v>
      </c>
      <c r="M1926">
        <v>-0.9998842</v>
      </c>
      <c r="N1926">
        <v>-9.0175240000000007E-3</v>
      </c>
      <c r="O1926">
        <v>1.226753E-2</v>
      </c>
      <c r="P1926">
        <v>-0.92852869999999998</v>
      </c>
      <c r="Q1926">
        <v>0.36825229999999998</v>
      </c>
      <c r="R1926">
        <v>-4.717147E-2</v>
      </c>
      <c r="S1926">
        <v>-3.2828979999999999</v>
      </c>
      <c r="T1926">
        <v>-0.1824741</v>
      </c>
      <c r="U1926">
        <v>-0.41696169999999999</v>
      </c>
      <c r="V1926">
        <v>-5.8616840000000003E-2</v>
      </c>
      <c r="W1926">
        <v>0.37659530000000002</v>
      </c>
      <c r="X1926">
        <v>0.9245215</v>
      </c>
      <c r="Y1926">
        <v>-0.13790169999999999</v>
      </c>
      <c r="Z1926">
        <v>-5.007737E-3</v>
      </c>
      <c r="AA1926">
        <v>0.99043329999999996</v>
      </c>
      <c r="AB1926">
        <v>29</v>
      </c>
      <c r="AC1926">
        <v>-19.700500000000002</v>
      </c>
      <c r="AD1926">
        <v>-1.1104804729469999</v>
      </c>
      <c r="AE1926">
        <v>-2.5407999999999902</v>
      </c>
      <c r="AF1926">
        <v>-2.7736264287071002</v>
      </c>
      <c r="AG1926">
        <v>-1.1104804729469999</v>
      </c>
      <c r="AH1926">
        <v>19.606568846042801</v>
      </c>
      <c r="AI1926">
        <v>93.209775360552996</v>
      </c>
      <c r="AJ1926">
        <v>98.051870306826302</v>
      </c>
      <c r="AK1926">
        <v>19.832894704541602</v>
      </c>
      <c r="AL1926">
        <v>67.877053024286795</v>
      </c>
      <c r="AM1926">
        <v>93.627831408050994</v>
      </c>
      <c r="AN1926">
        <v>0.999999978937962</v>
      </c>
    </row>
    <row r="1927" spans="1:40" x14ac:dyDescent="0.25">
      <c r="A1927" t="str">
        <f>"20190304164636731"</f>
        <v>20190304164636731</v>
      </c>
      <c r="B1927" t="str">
        <f>"1551689196720194"</f>
        <v>1551689196720194</v>
      </c>
      <c r="C1927" t="s">
        <v>40</v>
      </c>
      <c r="D1927">
        <v>4.1349019999999896</v>
      </c>
      <c r="E1927">
        <v>0.4660434</v>
      </c>
      <c r="F1927" t="s">
        <v>50</v>
      </c>
      <c r="G1927">
        <v>-434.97590000000002</v>
      </c>
      <c r="H1927" s="1">
        <v>4.5965230000000004E-6</v>
      </c>
      <c r="I1927">
        <v>282.63819999999998</v>
      </c>
      <c r="J1927">
        <v>-415.52190000000002</v>
      </c>
      <c r="K1927">
        <v>1.1104799999999999</v>
      </c>
      <c r="L1927">
        <v>285.74099999999999</v>
      </c>
      <c r="M1927">
        <v>-0.99988540000000004</v>
      </c>
      <c r="N1927">
        <v>-9.0148599999999995E-3</v>
      </c>
      <c r="O1927">
        <v>1.217187E-2</v>
      </c>
      <c r="P1927">
        <v>-0.92850690000000002</v>
      </c>
      <c r="Q1927">
        <v>0.36832589999999998</v>
      </c>
      <c r="R1927">
        <v>-4.7019499999999999E-2</v>
      </c>
      <c r="S1927">
        <v>-3.2778930000000002</v>
      </c>
      <c r="T1927">
        <v>-0.184333</v>
      </c>
      <c r="U1927">
        <v>-0.51446530000000001</v>
      </c>
      <c r="V1927">
        <v>-5.8376959999999999E-2</v>
      </c>
      <c r="W1927">
        <v>0.37666640000000001</v>
      </c>
      <c r="X1927">
        <v>0.92450770000000004</v>
      </c>
      <c r="Y1927">
        <v>-0.16675299999999901</v>
      </c>
      <c r="Z1927">
        <v>-5.9844260000000002E-3</v>
      </c>
      <c r="AA1927">
        <v>0.98598050000000004</v>
      </c>
      <c r="AB1927">
        <v>30</v>
      </c>
      <c r="AC1927">
        <v>-19.454000000000001</v>
      </c>
      <c r="AD1927">
        <v>-1.1104754034769999</v>
      </c>
      <c r="AE1927">
        <v>-3.1027999999999998</v>
      </c>
      <c r="AF1927">
        <v>-3.3287939168268701</v>
      </c>
      <c r="AG1927">
        <v>-1.1104754034769999</v>
      </c>
      <c r="AH1927">
        <v>19.353294531911299</v>
      </c>
      <c r="AI1927">
        <v>93.236557985029805</v>
      </c>
      <c r="AJ1927">
        <v>99.759459644786205</v>
      </c>
      <c r="AK1927">
        <v>19.668859494168501</v>
      </c>
      <c r="AL1927">
        <v>67.872655192183998</v>
      </c>
      <c r="AM1927">
        <v>93.613078285494197</v>
      </c>
      <c r="AN1927">
        <v>0.99999996685354497</v>
      </c>
    </row>
    <row r="1928" spans="1:40" x14ac:dyDescent="0.25">
      <c r="A1928" t="str">
        <f>"20190304164636755"</f>
        <v>20190304164636755</v>
      </c>
      <c r="B1928" t="str">
        <f>"1551689196750450"</f>
        <v>1551689196750450</v>
      </c>
      <c r="C1928" t="s">
        <v>40</v>
      </c>
      <c r="D1928">
        <v>4.1159179999999997</v>
      </c>
      <c r="E1928">
        <v>0.46417760000000002</v>
      </c>
      <c r="F1928" t="s">
        <v>50</v>
      </c>
      <c r="G1928">
        <v>-436.44830000000002</v>
      </c>
      <c r="H1928" s="1">
        <v>5.2838699999999898E-6</v>
      </c>
      <c r="I1928">
        <v>282.245</v>
      </c>
      <c r="J1928">
        <v>-415.83089999999999</v>
      </c>
      <c r="K1928">
        <v>1.110484</v>
      </c>
      <c r="L1928">
        <v>285.74470000000002</v>
      </c>
      <c r="M1928">
        <v>-0.99988650000000001</v>
      </c>
      <c r="N1928">
        <v>-9.0229409999999996E-3</v>
      </c>
      <c r="O1928">
        <v>1.20696E-2</v>
      </c>
      <c r="P1928">
        <v>-0.92854570000000003</v>
      </c>
      <c r="Q1928">
        <v>0.36815120000000001</v>
      </c>
      <c r="R1928">
        <v>-4.7618720000000003E-2</v>
      </c>
      <c r="S1928">
        <v>-3.272186</v>
      </c>
      <c r="T1928">
        <v>-0.17364009999999999</v>
      </c>
      <c r="U1928">
        <v>-0.54666139999999996</v>
      </c>
      <c r="V1928">
        <v>-5.8882499999999997E-2</v>
      </c>
      <c r="W1928">
        <v>0.37649939999999998</v>
      </c>
      <c r="X1928">
        <v>0.92454369999999997</v>
      </c>
      <c r="Y1928">
        <v>-0.17637749999999999</v>
      </c>
      <c r="Z1928">
        <v>-5.9739390000000002E-3</v>
      </c>
      <c r="AA1928">
        <v>0.98430450000000003</v>
      </c>
      <c r="AB1928">
        <v>30</v>
      </c>
      <c r="AC1928">
        <v>-20.6174</v>
      </c>
      <c r="AD1928">
        <v>-1.1104787161299901</v>
      </c>
      <c r="AE1928">
        <v>-3.49970000000001</v>
      </c>
      <c r="AF1928">
        <v>-3.7377592689632002</v>
      </c>
      <c r="AG1928">
        <v>-1.1104787161299901</v>
      </c>
      <c r="AH1928">
        <v>20.515806228913799</v>
      </c>
      <c r="AI1928">
        <v>93.0482007415564</v>
      </c>
      <c r="AJ1928">
        <v>100.325425205115</v>
      </c>
      <c r="AK1928">
        <v>20.883062815450199</v>
      </c>
      <c r="AL1928">
        <v>67.882984735906902</v>
      </c>
      <c r="AM1928">
        <v>93.644141788352101</v>
      </c>
      <c r="AN1928">
        <v>1.0000000001081499</v>
      </c>
    </row>
    <row r="1929" spans="1:40" x14ac:dyDescent="0.25">
      <c r="A1929" t="str">
        <f>"20190304164636776"</f>
        <v>20190304164636776</v>
      </c>
      <c r="B1929" t="str">
        <f>"1551689196769969"</f>
        <v>1551689196769969</v>
      </c>
      <c r="C1929" t="s">
        <v>40</v>
      </c>
      <c r="D1929">
        <v>4.0957879999999998</v>
      </c>
      <c r="E1929">
        <v>0.463806</v>
      </c>
      <c r="F1929" t="s">
        <v>50</v>
      </c>
      <c r="G1929">
        <v>-436.19639999999998</v>
      </c>
      <c r="H1929" s="1">
        <v>5.1730320000000003E-6</v>
      </c>
      <c r="I1929">
        <v>282.23480000000001</v>
      </c>
      <c r="J1929">
        <v>-416.11810000000003</v>
      </c>
      <c r="K1929">
        <v>1.1104799999999999</v>
      </c>
      <c r="L1929">
        <v>285.74799999999999</v>
      </c>
      <c r="M1929">
        <v>-0.99988750000000004</v>
      </c>
      <c r="N1929">
        <v>-9.0397849999999998E-3</v>
      </c>
      <c r="O1929">
        <v>1.1973009999999999E-2</v>
      </c>
      <c r="P1929">
        <v>-0.9285428</v>
      </c>
      <c r="Q1929">
        <v>0.36817040000000001</v>
      </c>
      <c r="R1929">
        <v>-4.7526840000000001E-2</v>
      </c>
      <c r="S1929">
        <v>-3.2727050000000002</v>
      </c>
      <c r="T1929">
        <v>-0.17845249999999999</v>
      </c>
      <c r="U1929">
        <v>-0.56402589999999997</v>
      </c>
      <c r="V1929">
        <v>-5.8702190000000001E-2</v>
      </c>
      <c r="W1929">
        <v>0.37653389999999998</v>
      </c>
      <c r="X1929">
        <v>0.9245411</v>
      </c>
      <c r="Y1929">
        <v>-0.18130779999999999</v>
      </c>
      <c r="Z1929">
        <v>-6.2700100000000003E-3</v>
      </c>
      <c r="AA1929">
        <v>0.98340640000000001</v>
      </c>
      <c r="AB1929">
        <v>30</v>
      </c>
      <c r="AC1929">
        <v>-20.078299999999899</v>
      </c>
      <c r="AD1929">
        <v>-1.11047482696799</v>
      </c>
      <c r="AE1929">
        <v>-3.5131999999999799</v>
      </c>
      <c r="AF1929">
        <v>-3.7422485938751802</v>
      </c>
      <c r="AG1929">
        <v>-1.11047482696799</v>
      </c>
      <c r="AH1929">
        <v>19.975507720494399</v>
      </c>
      <c r="AI1929">
        <v>93.127601009297607</v>
      </c>
      <c r="AJ1929">
        <v>100.610901504388</v>
      </c>
      <c r="AK1929">
        <v>20.3533409437179</v>
      </c>
      <c r="AL1929">
        <v>67.880850664891696</v>
      </c>
      <c r="AM1929">
        <v>93.633022818588202</v>
      </c>
      <c r="AN1929">
        <v>0.99999998527460798</v>
      </c>
    </row>
    <row r="1930" spans="1:40" x14ac:dyDescent="0.25">
      <c r="A1930" t="str">
        <f>"20190304164636799"</f>
        <v>20190304164636799</v>
      </c>
      <c r="B1930" t="str">
        <f>"1551689196790465"</f>
        <v>1551689196790465</v>
      </c>
      <c r="C1930" t="s">
        <v>40</v>
      </c>
      <c r="D1930">
        <v>4.1220549999999996</v>
      </c>
      <c r="E1930">
        <v>0.4636014</v>
      </c>
      <c r="F1930" t="s">
        <v>50</v>
      </c>
      <c r="G1930">
        <v>-436.03179999999998</v>
      </c>
      <c r="H1930" s="1">
        <v>5.094588E-6</v>
      </c>
      <c r="I1930">
        <v>282.29739999999998</v>
      </c>
      <c r="J1930">
        <v>-416.4117</v>
      </c>
      <c r="K1930">
        <v>1.1104810000000001</v>
      </c>
      <c r="L1930">
        <v>285.75150000000002</v>
      </c>
      <c r="M1930">
        <v>-0.99988849999999996</v>
      </c>
      <c r="N1930">
        <v>-9.0586269999999997E-3</v>
      </c>
      <c r="O1930">
        <v>1.187217E-2</v>
      </c>
      <c r="P1930">
        <v>-0.92863220000000002</v>
      </c>
      <c r="Q1930">
        <v>0.36794100000000002</v>
      </c>
      <c r="R1930">
        <v>-4.7560770000000002E-2</v>
      </c>
      <c r="S1930">
        <v>-3.2742</v>
      </c>
      <c r="T1930">
        <v>-0.18258369999999999</v>
      </c>
      <c r="U1930">
        <v>-0.56735230000000003</v>
      </c>
      <c r="V1930">
        <v>-5.8645009999999997E-2</v>
      </c>
      <c r="W1930">
        <v>0.37632270000000001</v>
      </c>
      <c r="X1930">
        <v>0.92463079999999997</v>
      </c>
      <c r="Y1930">
        <v>-0.18208859999999999</v>
      </c>
      <c r="Z1930">
        <v>-6.4173750000000003E-3</v>
      </c>
      <c r="AA1930">
        <v>0.98326119999999995</v>
      </c>
      <c r="AB1930">
        <v>30</v>
      </c>
      <c r="AC1930">
        <v>-19.620099999999901</v>
      </c>
      <c r="AD1930">
        <v>-1.1104759054119999</v>
      </c>
      <c r="AE1930">
        <v>-3.4541000000000301</v>
      </c>
      <c r="AF1930">
        <v>-3.6753793674253199</v>
      </c>
      <c r="AG1930">
        <v>-1.1104759054119999</v>
      </c>
      <c r="AH1930">
        <v>19.517065639238599</v>
      </c>
      <c r="AI1930">
        <v>93.200353625950299</v>
      </c>
      <c r="AJ1930">
        <v>100.664824402723</v>
      </c>
      <c r="AK1930">
        <v>19.891139268461899</v>
      </c>
      <c r="AL1930">
        <v>67.893914102933707</v>
      </c>
      <c r="AM1930">
        <v>93.629142304429195</v>
      </c>
      <c r="AN1930">
        <v>1.0000000640209099</v>
      </c>
    </row>
    <row r="1931" spans="1:40" x14ac:dyDescent="0.25">
      <c r="A1931" t="str">
        <f>"20190304164636822"</f>
        <v>20190304164636822</v>
      </c>
      <c r="B1931" t="str">
        <f>"1551689196809985"</f>
        <v>1551689196809985</v>
      </c>
      <c r="C1931" t="s">
        <v>40</v>
      </c>
      <c r="D1931">
        <v>4.088997</v>
      </c>
      <c r="E1931">
        <v>0.46340310000000001</v>
      </c>
      <c r="F1931" t="s">
        <v>50</v>
      </c>
      <c r="G1931">
        <v>-436.06970000000001</v>
      </c>
      <c r="H1931" s="1">
        <v>5.1081859999999997E-6</v>
      </c>
      <c r="I1931">
        <v>282.33390000000003</v>
      </c>
      <c r="J1931">
        <v>-416.71949999999998</v>
      </c>
      <c r="K1931">
        <v>1.110487</v>
      </c>
      <c r="L1931">
        <v>285.755</v>
      </c>
      <c r="M1931">
        <v>-0.99988969999999999</v>
      </c>
      <c r="N1931">
        <v>-9.0782580000000005E-3</v>
      </c>
      <c r="O1931">
        <v>1.176585E-2</v>
      </c>
      <c r="P1931">
        <v>-0.92834700000000003</v>
      </c>
      <c r="Q1931">
        <v>0.36864550000000001</v>
      </c>
      <c r="R1931">
        <v>-4.7669660000000003E-2</v>
      </c>
      <c r="S1931">
        <v>-3.274689</v>
      </c>
      <c r="T1931">
        <v>-0.1849865</v>
      </c>
      <c r="U1931">
        <v>-0.56930539999999996</v>
      </c>
      <c r="V1931">
        <v>-5.8653820000000002E-2</v>
      </c>
      <c r="W1931">
        <v>0.3770423</v>
      </c>
      <c r="X1931">
        <v>0.92433699999999996</v>
      </c>
      <c r="Y1931">
        <v>-0.18251970000000001</v>
      </c>
      <c r="Z1931">
        <v>-6.5017190000000004E-3</v>
      </c>
      <c r="AA1931">
        <v>0.98318070000000002</v>
      </c>
      <c r="AB1931">
        <v>30</v>
      </c>
      <c r="AC1931">
        <v>-19.350200000000001</v>
      </c>
      <c r="AD1931">
        <v>-1.110481891814</v>
      </c>
      <c r="AE1931">
        <v>-3.4210999999999601</v>
      </c>
      <c r="AF1931">
        <v>-3.6369290657915698</v>
      </c>
      <c r="AG1931">
        <v>-1.110481891814</v>
      </c>
      <c r="AH1931">
        <v>19.247138408517898</v>
      </c>
      <c r="AI1931">
        <v>93.244779043753695</v>
      </c>
      <c r="AJ1931">
        <v>100.700415350174</v>
      </c>
      <c r="AK1931">
        <v>19.619193662796</v>
      </c>
      <c r="AL1931">
        <v>67.849404840782597</v>
      </c>
      <c r="AM1931">
        <v>93.630836646276506</v>
      </c>
      <c r="AN1931">
        <v>1.0000000280794401</v>
      </c>
    </row>
    <row r="1932" spans="1:40" x14ac:dyDescent="0.25">
      <c r="A1932" t="str">
        <f>"20190304164636845"</f>
        <v>20190304164636845</v>
      </c>
      <c r="B1932" t="str">
        <f>"1551689196840241"</f>
        <v>1551689196840241</v>
      </c>
      <c r="C1932" t="s">
        <v>40</v>
      </c>
      <c r="D1932">
        <v>4.0951459999999997</v>
      </c>
      <c r="E1932">
        <v>0.46305930000000001</v>
      </c>
      <c r="F1932" t="s">
        <v>50</v>
      </c>
      <c r="G1932">
        <v>-436.346</v>
      </c>
      <c r="H1932" s="1">
        <v>5.2306439999999999E-6</v>
      </c>
      <c r="I1932">
        <v>282.33460000000002</v>
      </c>
      <c r="J1932">
        <v>-417.02050000000003</v>
      </c>
      <c r="K1932">
        <v>1.1104969999999901</v>
      </c>
      <c r="L1932">
        <v>285.75839999999999</v>
      </c>
      <c r="M1932">
        <v>-0.99989070000000002</v>
      </c>
      <c r="N1932">
        <v>-9.0972190000000001E-3</v>
      </c>
      <c r="O1932">
        <v>1.1660490000000001E-2</v>
      </c>
      <c r="P1932">
        <v>-0.92832650000000005</v>
      </c>
      <c r="Q1932">
        <v>0.36868420000000002</v>
      </c>
      <c r="R1932">
        <v>-4.77741E-2</v>
      </c>
      <c r="S1932">
        <v>-3.2758479999999999</v>
      </c>
      <c r="T1932">
        <v>-0.1853503</v>
      </c>
      <c r="U1932">
        <v>-0.57089230000000002</v>
      </c>
      <c r="V1932">
        <v>-5.866118E-2</v>
      </c>
      <c r="W1932">
        <v>0.3770984</v>
      </c>
      <c r="X1932">
        <v>0.92431359999999996</v>
      </c>
      <c r="Y1932">
        <v>-0.18281819999999999</v>
      </c>
      <c r="Z1932">
        <v>-6.5171419999999897E-3</v>
      </c>
      <c r="AA1932">
        <v>0.98312520000000003</v>
      </c>
      <c r="AB1932">
        <v>30</v>
      </c>
      <c r="AC1932">
        <v>-19.325499999999899</v>
      </c>
      <c r="AD1932">
        <v>-1.1104917693559999</v>
      </c>
      <c r="AE1932">
        <v>-3.4237999999999702</v>
      </c>
      <c r="AF1932">
        <v>-3.63727674258593</v>
      </c>
      <c r="AG1932">
        <v>-1.1104917693559999</v>
      </c>
      <c r="AH1932">
        <v>19.222720523322302</v>
      </c>
      <c r="AI1932">
        <v>93.248768011579102</v>
      </c>
      <c r="AJ1932">
        <v>100.714693719557</v>
      </c>
      <c r="AK1932">
        <v>19.5953044985201</v>
      </c>
      <c r="AL1932">
        <v>67.845933350958603</v>
      </c>
      <c r="AM1932">
        <v>93.631382716101001</v>
      </c>
      <c r="AN1932">
        <v>0.99999998423325598</v>
      </c>
    </row>
    <row r="1933" spans="1:40" x14ac:dyDescent="0.25">
      <c r="A1933" t="str">
        <f>"20190304164636866"</f>
        <v>20190304164636866</v>
      </c>
      <c r="B1933" t="str">
        <f>"1551689196859761"</f>
        <v>1551689196859761</v>
      </c>
      <c r="C1933" t="s">
        <v>40</v>
      </c>
      <c r="D1933">
        <v>4.0820790000000002</v>
      </c>
      <c r="E1933">
        <v>0.462835</v>
      </c>
      <c r="F1933" t="s">
        <v>50</v>
      </c>
      <c r="G1933">
        <v>-436.39569999999998</v>
      </c>
      <c r="H1933" s="1">
        <v>5.2508289999999999E-6</v>
      </c>
      <c r="I1933">
        <v>282.35590000000002</v>
      </c>
      <c r="J1933">
        <v>-417.31909999999999</v>
      </c>
      <c r="K1933">
        <v>1.110498</v>
      </c>
      <c r="L1933">
        <v>285.76179999999999</v>
      </c>
      <c r="M1933">
        <v>-0.99989189999999994</v>
      </c>
      <c r="N1933">
        <v>-9.1154930000000006E-3</v>
      </c>
      <c r="O1933">
        <v>1.1555319999999999E-2</v>
      </c>
      <c r="P1933">
        <v>-0.92828390000000005</v>
      </c>
      <c r="Q1933">
        <v>0.36879070000000003</v>
      </c>
      <c r="R1933">
        <v>-4.7778679999999997E-2</v>
      </c>
      <c r="S1933">
        <v>-3.2765810000000002</v>
      </c>
      <c r="T1933">
        <v>-0.18779770000000001</v>
      </c>
      <c r="U1933">
        <v>-0.5754089</v>
      </c>
      <c r="V1933">
        <v>-5.8568530000000001E-2</v>
      </c>
      <c r="W1933">
        <v>0.37722159999999999</v>
      </c>
      <c r="X1933">
        <v>0.92426920000000001</v>
      </c>
      <c r="Y1933">
        <v>-0.18398200000000001</v>
      </c>
      <c r="Z1933">
        <v>-6.6264050000000001E-3</v>
      </c>
      <c r="AA1933">
        <v>0.98290730000000004</v>
      </c>
      <c r="AB1933">
        <v>30</v>
      </c>
      <c r="AC1933">
        <v>-19.0765999999999</v>
      </c>
      <c r="AD1933">
        <v>-1.1104927491709999</v>
      </c>
      <c r="AE1933">
        <v>-3.4058999999999702</v>
      </c>
      <c r="AF1933">
        <v>-3.61424875244108</v>
      </c>
      <c r="AG1933">
        <v>-1.1104927491709999</v>
      </c>
      <c r="AH1933">
        <v>18.9736590158894</v>
      </c>
      <c r="AI1933">
        <v>93.290559087963601</v>
      </c>
      <c r="AJ1933">
        <v>100.784934475862</v>
      </c>
      <c r="AK1933">
        <v>19.346723873610301</v>
      </c>
      <c r="AL1933">
        <v>67.838311560356203</v>
      </c>
      <c r="AM1933">
        <v>93.625836292917995</v>
      </c>
      <c r="AN1933">
        <v>0.99999998114078004</v>
      </c>
    </row>
    <row r="1934" spans="1:40" x14ac:dyDescent="0.25">
      <c r="A1934" t="str">
        <f>"20190304164636889"</f>
        <v>20190304164636889</v>
      </c>
      <c r="B1934" t="str">
        <f>"1551689196880257"</f>
        <v>1551689196880257</v>
      </c>
      <c r="C1934" t="s">
        <v>40</v>
      </c>
      <c r="D1934">
        <v>4.0375719999999999</v>
      </c>
      <c r="E1934">
        <v>0.46264139999999998</v>
      </c>
      <c r="F1934" t="s">
        <v>50</v>
      </c>
      <c r="G1934">
        <v>-436.58580000000001</v>
      </c>
      <c r="H1934" s="1">
        <v>5.3345539999999997E-6</v>
      </c>
      <c r="I1934">
        <v>282.36259999999999</v>
      </c>
      <c r="J1934">
        <v>-417.61360000000002</v>
      </c>
      <c r="K1934">
        <v>1.1104969999999901</v>
      </c>
      <c r="L1934">
        <v>285.76510000000002</v>
      </c>
      <c r="M1934">
        <v>-0.99989269999999997</v>
      </c>
      <c r="N1934">
        <v>-9.1328009999999994E-3</v>
      </c>
      <c r="O1934">
        <v>1.1451640000000001E-2</v>
      </c>
      <c r="P1934">
        <v>-0.92826379999999997</v>
      </c>
      <c r="Q1934">
        <v>0.3688208</v>
      </c>
      <c r="R1934">
        <v>-4.7935819999999997E-2</v>
      </c>
      <c r="S1934">
        <v>-3.2770079999999999</v>
      </c>
      <c r="T1934">
        <v>-0.18887960000000001</v>
      </c>
      <c r="U1934">
        <v>-0.57815550000000004</v>
      </c>
      <c r="V1934">
        <v>-5.8629069999999998E-2</v>
      </c>
      <c r="W1934">
        <v>0.37726749999999998</v>
      </c>
      <c r="X1934">
        <v>0.92424669999999998</v>
      </c>
      <c r="Y1934">
        <v>-0.18465229999999999</v>
      </c>
      <c r="Z1934">
        <v>-6.6778089999999998E-3</v>
      </c>
      <c r="AA1934">
        <v>0.98278120000000002</v>
      </c>
      <c r="AB1934">
        <v>30</v>
      </c>
      <c r="AC1934">
        <v>-18.972199999999901</v>
      </c>
      <c r="AD1934">
        <v>-1.11049166544599</v>
      </c>
      <c r="AE1934">
        <v>-3.4025000000000301</v>
      </c>
      <c r="AF1934">
        <v>-3.60757411336568</v>
      </c>
      <c r="AG1934">
        <v>-1.11049166544599</v>
      </c>
      <c r="AH1934">
        <v>18.869356918381801</v>
      </c>
      <c r="AI1934">
        <v>93.308279422572099</v>
      </c>
      <c r="AJ1934">
        <v>100.82358847564799</v>
      </c>
      <c r="AK1934">
        <v>19.243191347480099</v>
      </c>
      <c r="AL1934">
        <v>67.835473440373306</v>
      </c>
      <c r="AM1934">
        <v>93.629662287272495</v>
      </c>
      <c r="AN1934">
        <v>1.0000000484331</v>
      </c>
    </row>
    <row r="1935" spans="1:40" x14ac:dyDescent="0.25">
      <c r="A1935" t="str">
        <f>"20190304164636910"</f>
        <v>20190304164636910</v>
      </c>
      <c r="B1935" t="str">
        <f>"1551689196899778"</f>
        <v>1551689196899778</v>
      </c>
      <c r="C1935" t="s">
        <v>40</v>
      </c>
      <c r="D1935">
        <v>4.4314400000000003</v>
      </c>
      <c r="E1935">
        <v>0.4627694</v>
      </c>
      <c r="F1935" t="s">
        <v>50</v>
      </c>
      <c r="G1935">
        <v>-436.81479999999999</v>
      </c>
      <c r="H1935" s="1">
        <v>5.435104E-6</v>
      </c>
      <c r="I1935">
        <v>282.37369999999999</v>
      </c>
      <c r="J1935">
        <v>-417.90949999999998</v>
      </c>
      <c r="K1935">
        <v>1.1104940000000001</v>
      </c>
      <c r="L1935">
        <v>285.76839999999999</v>
      </c>
      <c r="M1935">
        <v>-0.99989380000000005</v>
      </c>
      <c r="N1935">
        <v>-9.1490670000000003E-3</v>
      </c>
      <c r="O1935">
        <v>1.134696E-2</v>
      </c>
      <c r="P1935">
        <v>-0.92836430000000003</v>
      </c>
      <c r="Q1935">
        <v>0.36853750000000002</v>
      </c>
      <c r="R1935">
        <v>-4.8167229999999998E-2</v>
      </c>
      <c r="S1935">
        <v>-3.2772830000000002</v>
      </c>
      <c r="T1935">
        <v>-0.18954029999999999</v>
      </c>
      <c r="U1935">
        <v>-0.57885739999999997</v>
      </c>
      <c r="V1935">
        <v>-5.8764669999999998E-2</v>
      </c>
      <c r="W1935">
        <v>0.3769999</v>
      </c>
      <c r="X1935">
        <v>0.92434720000000004</v>
      </c>
      <c r="Y1935">
        <v>-0.18473709999999999</v>
      </c>
      <c r="Z1935">
        <v>-6.6970349999999996E-3</v>
      </c>
      <c r="AA1935">
        <v>0.98276509999999995</v>
      </c>
      <c r="AB1935">
        <v>30</v>
      </c>
      <c r="AC1935">
        <v>-18.9053</v>
      </c>
      <c r="AD1935">
        <v>-1.1104885648959999</v>
      </c>
      <c r="AE1935">
        <v>-3.3946999999999998</v>
      </c>
      <c r="AF1935">
        <v>-3.59698495456324</v>
      </c>
      <c r="AG1935">
        <v>-1.1104885648959999</v>
      </c>
      <c r="AH1935">
        <v>18.802712485379001</v>
      </c>
      <c r="AI1935">
        <v>93.319899914418201</v>
      </c>
      <c r="AJ1935">
        <v>100.829915821413</v>
      </c>
      <c r="AK1935">
        <v>19.175856758537499</v>
      </c>
      <c r="AL1935">
        <v>67.852026585362097</v>
      </c>
      <c r="AM1935">
        <v>93.637640132383396</v>
      </c>
      <c r="AN1935">
        <v>0.999999978594029</v>
      </c>
    </row>
    <row r="1936" spans="1:40" x14ac:dyDescent="0.25">
      <c r="A1936" t="str">
        <f>"20190304164636933"</f>
        <v>20190304164636933</v>
      </c>
      <c r="B1936" t="str">
        <f>"1551689196930034"</f>
        <v>1551689196930034</v>
      </c>
      <c r="C1936" t="s">
        <v>40</v>
      </c>
      <c r="D1936">
        <v>4.0543459999999998</v>
      </c>
      <c r="E1936">
        <v>0.52507009999999998</v>
      </c>
      <c r="F1936" t="s">
        <v>50</v>
      </c>
      <c r="G1936">
        <v>-437.0258</v>
      </c>
      <c r="H1936" s="1">
        <v>5.5263970000000003E-6</v>
      </c>
      <c r="I1936">
        <v>282.40010000000001</v>
      </c>
      <c r="J1936">
        <v>-418.21120000000002</v>
      </c>
      <c r="K1936">
        <v>1.110493</v>
      </c>
      <c r="L1936">
        <v>285.77170000000001</v>
      </c>
      <c r="M1936">
        <v>-0.99989490000000003</v>
      </c>
      <c r="N1936">
        <v>-9.1645100000000007E-3</v>
      </c>
      <c r="O1936">
        <v>1.1240780000000001E-2</v>
      </c>
      <c r="P1936">
        <v>-0.92851819999999896</v>
      </c>
      <c r="Q1936">
        <v>0.36809439999999999</v>
      </c>
      <c r="R1936">
        <v>-4.8588409999999999E-2</v>
      </c>
      <c r="S1936">
        <v>-3.277069</v>
      </c>
      <c r="T1936">
        <v>-0.19036910000000001</v>
      </c>
      <c r="U1936">
        <v>-0.57742309999999997</v>
      </c>
      <c r="V1936">
        <v>-5.9089139999999998E-2</v>
      </c>
      <c r="W1936">
        <v>0.37657230000000003</v>
      </c>
      <c r="X1936">
        <v>0.92450080000000001</v>
      </c>
      <c r="Y1936">
        <v>-0.18422450000000001</v>
      </c>
      <c r="Z1936">
        <v>-6.7025619999999996E-3</v>
      </c>
      <c r="AA1936">
        <v>0.98286130000000005</v>
      </c>
      <c r="AB1936">
        <v>30</v>
      </c>
      <c r="AC1936">
        <v>-18.814599999999899</v>
      </c>
      <c r="AD1936">
        <v>-1.1104874736029999</v>
      </c>
      <c r="AE1936">
        <v>-3.3715999999999999</v>
      </c>
      <c r="AF1936">
        <v>-3.57083403908331</v>
      </c>
      <c r="AG1936">
        <v>-1.1104874736029999</v>
      </c>
      <c r="AH1936">
        <v>18.712350739083401</v>
      </c>
      <c r="AI1936">
        <v>93.336182948244002</v>
      </c>
      <c r="AJ1936">
        <v>100.803729097626</v>
      </c>
      <c r="AK1936">
        <v>19.082350702839999</v>
      </c>
      <c r="AL1936">
        <v>67.878475490768395</v>
      </c>
      <c r="AM1936">
        <v>93.657064990669497</v>
      </c>
      <c r="AN1936">
        <v>0.99999997639693405</v>
      </c>
    </row>
    <row r="1937" spans="1:40" x14ac:dyDescent="0.25">
      <c r="A1937" t="str">
        <f>"20190304164636956"</f>
        <v>20190304164636956</v>
      </c>
      <c r="B1937" t="str">
        <f>"1551689196950529"</f>
        <v>1551689196950529</v>
      </c>
      <c r="C1937" t="s">
        <v>40</v>
      </c>
      <c r="D1937">
        <v>4.0187900000000001</v>
      </c>
      <c r="E1937">
        <v>0.5353559</v>
      </c>
      <c r="F1937" t="s">
        <v>50</v>
      </c>
      <c r="G1937">
        <v>-435.4717</v>
      </c>
      <c r="H1937" s="1">
        <v>4.5807869999999997E-6</v>
      </c>
      <c r="I1937">
        <v>285.33339999999998</v>
      </c>
      <c r="J1937">
        <v>-418.5224</v>
      </c>
      <c r="K1937">
        <v>1.1104959999999999</v>
      </c>
      <c r="L1937">
        <v>285.77510000000001</v>
      </c>
      <c r="M1937">
        <v>-0.99989600000000001</v>
      </c>
      <c r="N1937">
        <v>-9.1792330000000002E-3</v>
      </c>
      <c r="O1937">
        <v>1.1131749999999999E-2</v>
      </c>
      <c r="P1937">
        <v>-0.92865819999999999</v>
      </c>
      <c r="Q1937">
        <v>0.36772709999999997</v>
      </c>
      <c r="R1937">
        <v>-4.8693519999999997E-2</v>
      </c>
      <c r="S1937">
        <v>-3.3110050000000002</v>
      </c>
      <c r="T1937">
        <v>-0.2130194</v>
      </c>
      <c r="U1937">
        <v>-8.4075929999999993E-2</v>
      </c>
      <c r="V1937">
        <v>-5.9095639999999998E-2</v>
      </c>
      <c r="W1937">
        <v>0.37621969999999999</v>
      </c>
      <c r="X1937">
        <v>0.92464389999999996</v>
      </c>
      <c r="Y1937">
        <v>-3.6408860000000001E-2</v>
      </c>
      <c r="Z1937">
        <v>-1.9504139999999999E-3</v>
      </c>
      <c r="AA1937">
        <v>0.99933510000000003</v>
      </c>
      <c r="AB1937">
        <v>30</v>
      </c>
      <c r="AC1937">
        <v>-16.949299999999901</v>
      </c>
      <c r="AD1937">
        <v>-1.110491419213</v>
      </c>
      <c r="AE1937">
        <v>-0.44170000000002502</v>
      </c>
      <c r="AF1937">
        <v>-0.62766341261612701</v>
      </c>
      <c r="AG1937">
        <v>-1.110491419213</v>
      </c>
      <c r="AH1937">
        <v>16.870960423037499</v>
      </c>
      <c r="AI1937">
        <v>93.763331793753395</v>
      </c>
      <c r="AJ1937">
        <v>92.130636622314498</v>
      </c>
      <c r="AK1937">
        <v>16.919115170344501</v>
      </c>
      <c r="AL1937">
        <v>67.900281007326498</v>
      </c>
      <c r="AM1937">
        <v>93.656901686228593</v>
      </c>
      <c r="AN1937">
        <v>0.99999994957115301</v>
      </c>
    </row>
    <row r="1938" spans="1:40" x14ac:dyDescent="0.25">
      <c r="A1938" t="str">
        <f>"20190304164636977"</f>
        <v>20190304164636977</v>
      </c>
      <c r="B1938" t="str">
        <f>"1551689196970052"</f>
        <v>1551689196970052</v>
      </c>
      <c r="C1938" t="s">
        <v>40</v>
      </c>
      <c r="D1938">
        <v>3.9554860000000001</v>
      </c>
      <c r="E1938">
        <v>0.54098400000000002</v>
      </c>
      <c r="F1938" t="s">
        <v>50</v>
      </c>
      <c r="G1938">
        <v>-434.39789999999999</v>
      </c>
      <c r="H1938" s="1">
        <v>4.0675699999999901E-6</v>
      </c>
      <c r="I1938">
        <v>285.75659999999999</v>
      </c>
      <c r="J1938">
        <v>-418.81150000000002</v>
      </c>
      <c r="K1938">
        <v>1.1104969999999901</v>
      </c>
      <c r="L1938">
        <v>285.77820000000003</v>
      </c>
      <c r="M1938">
        <v>-0.99989689999999998</v>
      </c>
      <c r="N1938">
        <v>-9.1919470000000007E-3</v>
      </c>
      <c r="O1938">
        <v>1.1030069999999999E-2</v>
      </c>
      <c r="P1938">
        <v>-0.92868379999999995</v>
      </c>
      <c r="Q1938">
        <v>0.36761969999999999</v>
      </c>
      <c r="R1938">
        <v>-4.9013460000000002E-2</v>
      </c>
      <c r="S1938">
        <v>-3.3222960000000001</v>
      </c>
      <c r="T1938">
        <v>-0.23239509999999999</v>
      </c>
      <c r="U1938">
        <v>-3.8757319999999998E-3</v>
      </c>
      <c r="V1938">
        <v>-5.932163E-2</v>
      </c>
      <c r="W1938">
        <v>0.37612479999999998</v>
      </c>
      <c r="X1938">
        <v>0.92466809999999999</v>
      </c>
      <c r="Y1938">
        <v>-1.214312E-2</v>
      </c>
      <c r="Z1938">
        <v>-1.1493950000000001E-3</v>
      </c>
      <c r="AA1938">
        <v>0.99992559999999997</v>
      </c>
      <c r="AB1938">
        <v>30</v>
      </c>
      <c r="AC1938">
        <v>-15.5863999999999</v>
      </c>
      <c r="AD1938">
        <v>-1.1104929324299999</v>
      </c>
      <c r="AE1938">
        <v>-2.16000000000349E-2</v>
      </c>
      <c r="AF1938">
        <v>-0.19254762414037699</v>
      </c>
      <c r="AG1938">
        <v>-1.1104929324299999</v>
      </c>
      <c r="AH1938">
        <v>15.5064993265743</v>
      </c>
      <c r="AI1938">
        <v>94.095910863898993</v>
      </c>
      <c r="AJ1938">
        <v>90.711417775974894</v>
      </c>
      <c r="AK1938">
        <v>15.5474046228169</v>
      </c>
      <c r="AL1938">
        <v>67.9061507733215</v>
      </c>
      <c r="AM1938">
        <v>93.670752216331095</v>
      </c>
      <c r="AN1938">
        <v>1.0000000080592499</v>
      </c>
    </row>
    <row r="1939" spans="1:40" x14ac:dyDescent="0.25">
      <c r="A1939" t="str">
        <f>"20190304164637000"</f>
        <v>20190304164637000</v>
      </c>
      <c r="B1939" t="str">
        <f>"1551689196990545"</f>
        <v>1551689196990545</v>
      </c>
      <c r="C1939" t="s">
        <v>40</v>
      </c>
      <c r="D1939">
        <v>3.9478330000000001</v>
      </c>
      <c r="E1939">
        <v>0.54428799999999999</v>
      </c>
      <c r="F1939" t="s">
        <v>41</v>
      </c>
      <c r="G1939">
        <v>-419.76909999999998</v>
      </c>
      <c r="H1939">
        <v>1.0433619999999999</v>
      </c>
      <c r="I1939">
        <v>285.78989999999999</v>
      </c>
      <c r="J1939">
        <v>-419.10939999999999</v>
      </c>
      <c r="K1939">
        <v>1.1104969999999901</v>
      </c>
      <c r="L1939">
        <v>285.78140000000002</v>
      </c>
      <c r="M1939">
        <v>-0.99989799999999995</v>
      </c>
      <c r="N1939">
        <v>-9.2041190000000002E-3</v>
      </c>
      <c r="O1939">
        <v>1.0925399999999899E-2</v>
      </c>
      <c r="P1939">
        <v>-0.92870960000000002</v>
      </c>
      <c r="Q1939">
        <v>0.3675042</v>
      </c>
      <c r="R1939">
        <v>-4.9389259999999997E-2</v>
      </c>
      <c r="S1939">
        <v>-3.3247990000000001</v>
      </c>
      <c r="T1939">
        <v>-0.23320460000000001</v>
      </c>
      <c r="U1939">
        <v>4.0161130000000003E-2</v>
      </c>
      <c r="V1939">
        <v>-5.9600800000000002E-2</v>
      </c>
      <c r="W1939">
        <v>0.37602059999999998</v>
      </c>
      <c r="X1939">
        <v>0.92469259999999998</v>
      </c>
      <c r="Y1939">
        <v>1.1696009999999999E-3</v>
      </c>
      <c r="Z1939">
        <v>-6.1851620000000001E-4</v>
      </c>
      <c r="AA1939">
        <v>0.99999910000000003</v>
      </c>
      <c r="AB1939">
        <v>30</v>
      </c>
      <c r="AC1939">
        <v>-0.65969999999998596</v>
      </c>
      <c r="AD1939">
        <v>-6.7134999999999695E-2</v>
      </c>
      <c r="AE1939">
        <v>8.4999999999695302E-3</v>
      </c>
      <c r="AF1939">
        <v>1.27846331240438E-3</v>
      </c>
      <c r="AG1939">
        <v>-6.7134999999999695E-2</v>
      </c>
      <c r="AH1939">
        <v>0.65299202798197398</v>
      </c>
      <c r="AI1939">
        <v>95.870021527260803</v>
      </c>
      <c r="AJ1939">
        <v>89.887823349551198</v>
      </c>
      <c r="AK1939">
        <v>0.65643532149135098</v>
      </c>
      <c r="AL1939">
        <v>67.912595562546898</v>
      </c>
      <c r="AM1939">
        <v>93.687881917013598</v>
      </c>
      <c r="AN1939">
        <v>1.0000000757398699</v>
      </c>
    </row>
    <row r="1940" spans="1:40" x14ac:dyDescent="0.25">
      <c r="A1940" t="str">
        <f>"20190304164637023"</f>
        <v>20190304164637023</v>
      </c>
      <c r="B1940" t="str">
        <f>"1551689197019826"</f>
        <v>1551689197019826</v>
      </c>
      <c r="C1940" t="s">
        <v>40</v>
      </c>
      <c r="D1940">
        <v>3.9097870000000001</v>
      </c>
      <c r="E1940">
        <v>0.54676840000000004</v>
      </c>
      <c r="F1940" t="s">
        <v>41</v>
      </c>
      <c r="G1940">
        <v>-420.04079999999999</v>
      </c>
      <c r="H1940">
        <v>1.045696</v>
      </c>
      <c r="I1940">
        <v>285.7996</v>
      </c>
      <c r="J1940">
        <v>-419.43</v>
      </c>
      <c r="K1940">
        <v>1.1104959999999999</v>
      </c>
      <c r="L1940">
        <v>285.78480000000002</v>
      </c>
      <c r="M1940">
        <v>-0.99989910000000004</v>
      </c>
      <c r="N1940">
        <v>-9.2162289999999994E-3</v>
      </c>
      <c r="O1940">
        <v>1.081269E-2</v>
      </c>
      <c r="P1940">
        <v>-0.92875289999999999</v>
      </c>
      <c r="Q1940">
        <v>0.36737249999999999</v>
      </c>
      <c r="R1940">
        <v>-4.9555509999999997E-2</v>
      </c>
      <c r="S1940">
        <v>-3.325348</v>
      </c>
      <c r="T1940">
        <v>-0.2314475</v>
      </c>
      <c r="U1940">
        <v>6.4819340000000003E-2</v>
      </c>
      <c r="V1940">
        <v>-5.9663029999999999E-2</v>
      </c>
      <c r="W1940">
        <v>0.37590040000000002</v>
      </c>
      <c r="X1940">
        <v>0.92473740000000004</v>
      </c>
      <c r="Y1940">
        <v>8.6724809999999992E-3</v>
      </c>
      <c r="Z1940">
        <v>-3.1058179999999999E-4</v>
      </c>
      <c r="AA1940">
        <v>0.99996229999999997</v>
      </c>
      <c r="AB1940">
        <v>30</v>
      </c>
      <c r="AC1940">
        <v>-0.61079999999998302</v>
      </c>
      <c r="AD1940">
        <v>-6.4799999999999899E-2</v>
      </c>
      <c r="AE1940">
        <v>1.4799999999979699E-2</v>
      </c>
      <c r="AF1940">
        <v>8.1033127654567896E-3</v>
      </c>
      <c r="AG1940">
        <v>-6.4799999999999899E-2</v>
      </c>
      <c r="AH1940">
        <v>0.60412874462649901</v>
      </c>
      <c r="AI1940">
        <v>96.121700521924396</v>
      </c>
      <c r="AJ1940">
        <v>89.2315250933474</v>
      </c>
      <c r="AK1940">
        <v>0.60764812495535903</v>
      </c>
      <c r="AL1940">
        <v>67.920026557518597</v>
      </c>
      <c r="AM1940">
        <v>93.691543486132403</v>
      </c>
      <c r="AN1940">
        <v>1.00000002341385</v>
      </c>
    </row>
    <row r="1941" spans="1:40" x14ac:dyDescent="0.25">
      <c r="A1941" t="str">
        <f>"20190304164637046"</f>
        <v>20190304164637046</v>
      </c>
      <c r="B1941" t="str">
        <f>"1551689197040321"</f>
        <v>1551689197040321</v>
      </c>
      <c r="C1941" t="s">
        <v>40</v>
      </c>
      <c r="D1941">
        <v>3.8998240000000002</v>
      </c>
      <c r="E1941">
        <v>0.54783319999999902</v>
      </c>
      <c r="F1941" t="s">
        <v>41</v>
      </c>
      <c r="G1941">
        <v>-420.3211</v>
      </c>
      <c r="H1941">
        <v>1.0480510000000001</v>
      </c>
      <c r="I1941">
        <v>285.80759999999998</v>
      </c>
      <c r="J1941">
        <v>-419.72680000000003</v>
      </c>
      <c r="K1941">
        <v>1.110493</v>
      </c>
      <c r="L1941">
        <v>285.7878</v>
      </c>
      <c r="M1941">
        <v>-0.99990009999999996</v>
      </c>
      <c r="N1941">
        <v>-9.229325E-3</v>
      </c>
      <c r="O1941">
        <v>1.070832E-2</v>
      </c>
      <c r="P1941">
        <v>-0.92862860000000003</v>
      </c>
      <c r="Q1941">
        <v>0.36763420000000002</v>
      </c>
      <c r="R1941">
        <v>-4.994316E-2</v>
      </c>
      <c r="S1941">
        <v>-3.3268740000000001</v>
      </c>
      <c r="T1941">
        <v>-0.2331578</v>
      </c>
      <c r="U1941">
        <v>8.4655759999999997E-2</v>
      </c>
      <c r="V1941">
        <v>-5.9952180000000001E-2</v>
      </c>
      <c r="W1941">
        <v>0.37617299999999998</v>
      </c>
      <c r="X1941">
        <v>0.92460779999999998</v>
      </c>
      <c r="Y1941">
        <v>1.4710000000000001E-2</v>
      </c>
      <c r="Z1941" s="1">
        <v>-6.7944810000000001E-5</v>
      </c>
      <c r="AA1941">
        <v>0.9998918</v>
      </c>
      <c r="AB1941">
        <v>30</v>
      </c>
      <c r="AC1941">
        <v>-0.59429999999997496</v>
      </c>
      <c r="AD1941">
        <v>-6.2441999999999803E-2</v>
      </c>
      <c r="AE1941">
        <v>1.9799999999975101E-2</v>
      </c>
      <c r="AF1941">
        <v>1.3288110210519601E-2</v>
      </c>
      <c r="AG1941">
        <v>-6.2441999999999803E-2</v>
      </c>
      <c r="AH1941">
        <v>0.58799410081535397</v>
      </c>
      <c r="AI1941">
        <v>96.060267281317905</v>
      </c>
      <c r="AJ1941">
        <v>88.705389969989994</v>
      </c>
      <c r="AK1941">
        <v>0.59144960886843401</v>
      </c>
      <c r="AL1941">
        <v>67.903169728749106</v>
      </c>
      <c r="AM1941">
        <v>93.709902780283102</v>
      </c>
      <c r="AN1941">
        <v>0.99999998681829605</v>
      </c>
    </row>
    <row r="1942" spans="1:40" x14ac:dyDescent="0.25">
      <c r="A1942" t="str">
        <f>"20190304164637067"</f>
        <v>20190304164637067</v>
      </c>
      <c r="B1942" t="str">
        <f>"1551689197059845"</f>
        <v>1551689197059845</v>
      </c>
      <c r="C1942" t="s">
        <v>40</v>
      </c>
      <c r="D1942">
        <v>3.899098</v>
      </c>
      <c r="E1942">
        <v>0.54863390000000001</v>
      </c>
      <c r="F1942" t="s">
        <v>50</v>
      </c>
      <c r="G1942">
        <v>-435.66860000000003</v>
      </c>
      <c r="H1942" s="1">
        <v>4.5900470000000003E-6</v>
      </c>
      <c r="I1942">
        <v>286.22590000000002</v>
      </c>
      <c r="J1942">
        <v>-420.02980000000002</v>
      </c>
      <c r="K1942">
        <v>1.1104959999999999</v>
      </c>
      <c r="L1942">
        <v>285.791</v>
      </c>
      <c r="M1942">
        <v>-0.99990120000000005</v>
      </c>
      <c r="N1942">
        <v>-9.2467629999999999E-3</v>
      </c>
      <c r="O1942">
        <v>1.0601899999999999E-2</v>
      </c>
      <c r="P1942">
        <v>-0.92858470000000004</v>
      </c>
      <c r="Q1942">
        <v>0.36776140000000002</v>
      </c>
      <c r="R1942">
        <v>-4.9825229999999998E-2</v>
      </c>
      <c r="S1942">
        <v>-3.3272400000000002</v>
      </c>
      <c r="T1942">
        <v>-0.2317729</v>
      </c>
      <c r="U1942">
        <v>9.1430659999999997E-2</v>
      </c>
      <c r="V1942">
        <v>-5.9735509999999999E-2</v>
      </c>
      <c r="W1942">
        <v>0.37631569999999998</v>
      </c>
      <c r="X1942">
        <v>0.92456380000000005</v>
      </c>
      <c r="Y1942">
        <v>1.6842260000000001E-2</v>
      </c>
      <c r="Z1942" s="1">
        <v>2.424893E-5</v>
      </c>
      <c r="AA1942">
        <v>0.99985809999999997</v>
      </c>
      <c r="AB1942">
        <v>30</v>
      </c>
      <c r="AC1942">
        <v>-15.6388</v>
      </c>
      <c r="AD1942">
        <v>-1.1104914099530001</v>
      </c>
      <c r="AE1942">
        <v>0.43490000000002699</v>
      </c>
      <c r="AF1942">
        <v>0.267718640687575</v>
      </c>
      <c r="AG1942">
        <v>-1.1104914099530001</v>
      </c>
      <c r="AH1942">
        <v>15.564114595017299</v>
      </c>
      <c r="AI1942">
        <v>94.080506309072902</v>
      </c>
      <c r="AJ1942">
        <v>89.014551354054305</v>
      </c>
      <c r="AK1942">
        <v>15.605977302590899</v>
      </c>
      <c r="AL1942">
        <v>67.894346174322607</v>
      </c>
      <c r="AM1942">
        <v>93.696707689056296</v>
      </c>
      <c r="AN1942">
        <v>1.0000000287459401</v>
      </c>
    </row>
    <row r="1943" spans="1:40" x14ac:dyDescent="0.25">
      <c r="A1943" t="str">
        <f>"20190304164637089"</f>
        <v>20190304164637089</v>
      </c>
      <c r="B1943" t="str">
        <f>"1551689197080340"</f>
        <v>1551689197080340</v>
      </c>
      <c r="C1943" t="s">
        <v>40</v>
      </c>
      <c r="D1943">
        <v>3.8857870000000001</v>
      </c>
      <c r="E1943">
        <v>0.54931319999999995</v>
      </c>
      <c r="F1943" t="s">
        <v>50</v>
      </c>
      <c r="G1943">
        <v>-436.02249999999998</v>
      </c>
      <c r="H1943" s="1">
        <v>4.7435800000000001E-6</v>
      </c>
      <c r="I1943">
        <v>286.26510000000002</v>
      </c>
      <c r="J1943">
        <v>-420.32589999999999</v>
      </c>
      <c r="K1943">
        <v>1.110495</v>
      </c>
      <c r="L1943">
        <v>285.79399999999998</v>
      </c>
      <c r="M1943">
        <v>-0.99990210000000002</v>
      </c>
      <c r="N1943">
        <v>-9.2651439999999995E-3</v>
      </c>
      <c r="O1943">
        <v>1.049834E-2</v>
      </c>
      <c r="P1943">
        <v>-0.92848799999999998</v>
      </c>
      <c r="Q1943">
        <v>0.36799080000000001</v>
      </c>
      <c r="R1943">
        <v>-4.9931780000000002E-2</v>
      </c>
      <c r="S1943">
        <v>-3.3274840000000001</v>
      </c>
      <c r="T1943">
        <v>-0.2310516</v>
      </c>
      <c r="U1943">
        <v>9.8632810000000001E-2</v>
      </c>
      <c r="V1943">
        <v>-5.974492E-2</v>
      </c>
      <c r="W1943">
        <v>0.37656129999999999</v>
      </c>
      <c r="X1943">
        <v>0.92446320000000004</v>
      </c>
      <c r="Y1943">
        <v>1.9099890000000001E-2</v>
      </c>
      <c r="Z1943">
        <v>1.2005469999999999E-4</v>
      </c>
      <c r="AA1943">
        <v>0.99981759999999997</v>
      </c>
      <c r="AB1943">
        <v>30</v>
      </c>
      <c r="AC1943">
        <v>-15.696599999999901</v>
      </c>
      <c r="AD1943">
        <v>-1.1104902564200001</v>
      </c>
      <c r="AE1943">
        <v>0.47109999999997798</v>
      </c>
      <c r="AF1943">
        <v>0.30475476602489099</v>
      </c>
      <c r="AG1943">
        <v>-1.1104902564200001</v>
      </c>
      <c r="AH1943">
        <v>15.6225577857156</v>
      </c>
      <c r="AI1943">
        <v>94.065116962167494</v>
      </c>
      <c r="AJ1943">
        <v>88.8824526845831</v>
      </c>
      <c r="AK1943">
        <v>15.664940978026101</v>
      </c>
      <c r="AL1943">
        <v>67.879157262006402</v>
      </c>
      <c r="AM1943">
        <v>93.697689630356194</v>
      </c>
      <c r="AN1943">
        <v>1.0000000381388601</v>
      </c>
    </row>
    <row r="1944" spans="1:40" x14ac:dyDescent="0.25">
      <c r="A1944" t="str">
        <f>"20190304164637111"</f>
        <v>20190304164637111</v>
      </c>
      <c r="B1944" t="str">
        <f>"1551689197099857"</f>
        <v>1551689197099857</v>
      </c>
      <c r="C1944" t="s">
        <v>40</v>
      </c>
      <c r="D1944">
        <v>3.8748719999999999</v>
      </c>
      <c r="E1944">
        <v>0.54989169999999998</v>
      </c>
      <c r="F1944" t="s">
        <v>50</v>
      </c>
      <c r="G1944">
        <v>-436.33339999999998</v>
      </c>
      <c r="H1944" s="1">
        <v>4.8793419999999999E-6</v>
      </c>
      <c r="I1944">
        <v>286.28899999999999</v>
      </c>
      <c r="J1944">
        <v>-420.6259</v>
      </c>
      <c r="K1944">
        <v>1.1104989999999999</v>
      </c>
      <c r="L1944">
        <v>285.7971</v>
      </c>
      <c r="M1944">
        <v>-0.99990299999999999</v>
      </c>
      <c r="N1944">
        <v>-9.2831170000000005E-3</v>
      </c>
      <c r="O1944">
        <v>1.039347E-2</v>
      </c>
      <c r="P1944">
        <v>-0.92849859999999995</v>
      </c>
      <c r="Q1944">
        <v>0.36800440000000001</v>
      </c>
      <c r="R1944">
        <v>-4.9633700000000003E-2</v>
      </c>
      <c r="S1944">
        <v>-3.328125</v>
      </c>
      <c r="T1944">
        <v>-0.2308829</v>
      </c>
      <c r="U1944">
        <v>0.10290530000000001</v>
      </c>
      <c r="V1944">
        <v>-5.9350479999999997E-2</v>
      </c>
      <c r="W1944">
        <v>0.37659219999999999</v>
      </c>
      <c r="X1944">
        <v>0.92447599999999996</v>
      </c>
      <c r="Y1944">
        <v>2.0477459999999999E-2</v>
      </c>
      <c r="Z1944">
        <v>1.8088840000000001E-4</v>
      </c>
      <c r="AA1944">
        <v>0.99979030000000002</v>
      </c>
      <c r="AB1944">
        <v>30</v>
      </c>
      <c r="AC1944">
        <v>-15.7074999999999</v>
      </c>
      <c r="AD1944">
        <v>-1.1104941206579999</v>
      </c>
      <c r="AE1944">
        <v>0.49189999999998602</v>
      </c>
      <c r="AF1944">
        <v>0.326978261286825</v>
      </c>
      <c r="AG1944">
        <v>-1.1104941206579999</v>
      </c>
      <c r="AH1944">
        <v>15.633699621258501</v>
      </c>
      <c r="AI1944">
        <v>94.062128489624499</v>
      </c>
      <c r="AJ1944">
        <v>88.801835533147198</v>
      </c>
      <c r="AK1944">
        <v>15.676500751861299</v>
      </c>
      <c r="AL1944">
        <v>67.877245703393896</v>
      </c>
      <c r="AM1944">
        <v>93.673293574486294</v>
      </c>
      <c r="AN1944">
        <v>1.00000001957653</v>
      </c>
    </row>
    <row r="1945" spans="1:40" x14ac:dyDescent="0.25">
      <c r="A1945" t="str">
        <f>"20190304164637134"</f>
        <v>20190304164637134</v>
      </c>
      <c r="B1945" t="str">
        <f>"1551689197130113"</f>
        <v>1551689197130113</v>
      </c>
      <c r="C1945" t="s">
        <v>40</v>
      </c>
      <c r="D1945">
        <v>3.8467980000000002</v>
      </c>
      <c r="E1945">
        <v>0.55058439999999997</v>
      </c>
      <c r="F1945" t="s">
        <v>50</v>
      </c>
      <c r="G1945">
        <v>-436.62990000000002</v>
      </c>
      <c r="H1945" s="1">
        <v>5.0080789999999996E-6</v>
      </c>
      <c r="I1945">
        <v>286.32080000000002</v>
      </c>
      <c r="J1945">
        <v>-420.93220000000002</v>
      </c>
      <c r="K1945">
        <v>1.1104989999999999</v>
      </c>
      <c r="L1945">
        <v>285.80009999999999</v>
      </c>
      <c r="M1945">
        <v>-0.99990389999999996</v>
      </c>
      <c r="N1945">
        <v>-9.3005599999999994E-3</v>
      </c>
      <c r="O1945">
        <v>1.028622E-2</v>
      </c>
      <c r="P1945">
        <v>-0.92853589999999997</v>
      </c>
      <c r="Q1945">
        <v>0.367836</v>
      </c>
      <c r="R1945">
        <v>-5.017953E-2</v>
      </c>
      <c r="S1945">
        <v>-3.32843</v>
      </c>
      <c r="T1945">
        <v>-0.2309543</v>
      </c>
      <c r="U1945">
        <v>0.10891720000000001</v>
      </c>
      <c r="V1945">
        <v>-5.9797049999999997E-2</v>
      </c>
      <c r="W1945">
        <v>0.37644030000000001</v>
      </c>
      <c r="X1945">
        <v>0.92450909999999997</v>
      </c>
      <c r="Y1945">
        <v>2.238045E-2</v>
      </c>
      <c r="Z1945">
        <v>2.6247230000000002E-4</v>
      </c>
      <c r="AA1945">
        <v>0.99974949999999996</v>
      </c>
      <c r="AB1945">
        <v>30</v>
      </c>
      <c r="AC1945">
        <v>-15.6976999999999</v>
      </c>
      <c r="AD1945">
        <v>-1.110493991921</v>
      </c>
      <c r="AE1945">
        <v>0.52070000000003303</v>
      </c>
      <c r="AF1945">
        <v>0.35740879466826098</v>
      </c>
      <c r="AG1945">
        <v>-1.110493991921</v>
      </c>
      <c r="AH1945">
        <v>15.624120796263</v>
      </c>
      <c r="AI1945">
        <v>94.064436279898203</v>
      </c>
      <c r="AJ1945">
        <v>88.689561804532502</v>
      </c>
      <c r="AK1945">
        <v>15.667612728454101</v>
      </c>
      <c r="AL1945">
        <v>67.886640552141003</v>
      </c>
      <c r="AM1945">
        <v>93.7007238280775</v>
      </c>
      <c r="AN1945">
        <v>1.0000000313177999</v>
      </c>
    </row>
    <row r="1946" spans="1:40" x14ac:dyDescent="0.25">
      <c r="A1946" t="str">
        <f>"20190304164637157"</f>
        <v>20190304164637157</v>
      </c>
      <c r="B1946" t="str">
        <f>"1551689197150609"</f>
        <v>1551689197150609</v>
      </c>
      <c r="C1946" t="s">
        <v>40</v>
      </c>
      <c r="D1946">
        <v>3.8534169999999999</v>
      </c>
      <c r="E1946">
        <v>0.55098530000000001</v>
      </c>
      <c r="F1946" t="s">
        <v>50</v>
      </c>
      <c r="G1946">
        <v>-436.85419999999999</v>
      </c>
      <c r="H1946" s="1">
        <v>5.1058880000000002E-6</v>
      </c>
      <c r="I1946">
        <v>286.3399</v>
      </c>
      <c r="J1946">
        <v>-421.24509999999998</v>
      </c>
      <c r="K1946">
        <v>1.1105039999999999</v>
      </c>
      <c r="L1946">
        <v>285.8032</v>
      </c>
      <c r="M1946">
        <v>-0.99990480000000004</v>
      </c>
      <c r="N1946">
        <v>-9.3179879999999993E-3</v>
      </c>
      <c r="O1946">
        <v>1.017676E-2</v>
      </c>
      <c r="P1946">
        <v>-0.92877390000000004</v>
      </c>
      <c r="Q1946">
        <v>0.36721510000000002</v>
      </c>
      <c r="R1946">
        <v>-5.0321749999999998E-2</v>
      </c>
      <c r="S1946">
        <v>-3.3290099999999998</v>
      </c>
      <c r="T1946">
        <v>-0.23218349999999999</v>
      </c>
      <c r="U1946">
        <v>0.112854</v>
      </c>
      <c r="V1946">
        <v>-5.9840169999999998E-2</v>
      </c>
      <c r="W1946">
        <v>0.37583759999999999</v>
      </c>
      <c r="X1946">
        <v>0.92475149999999995</v>
      </c>
      <c r="Y1946">
        <v>2.3661020000000001E-2</v>
      </c>
      <c r="Z1946">
        <v>3.2033840000000001E-4</v>
      </c>
      <c r="AA1946">
        <v>0.99972000000000005</v>
      </c>
      <c r="AB1946">
        <v>30</v>
      </c>
      <c r="AC1946">
        <v>-15.6091</v>
      </c>
      <c r="AD1946">
        <v>-1.110498894112</v>
      </c>
      <c r="AE1946">
        <v>0.53669999999999596</v>
      </c>
      <c r="AF1946">
        <v>0.37591479221901702</v>
      </c>
      <c r="AG1946">
        <v>-1.110498894112</v>
      </c>
      <c r="AH1946">
        <v>15.5352148515869</v>
      </c>
      <c r="AI1946">
        <v>94.087509164844207</v>
      </c>
      <c r="AJ1946">
        <v>88.613850596860701</v>
      </c>
      <c r="AK1946">
        <v>15.579390880576801</v>
      </c>
      <c r="AL1946">
        <v>67.923909889341004</v>
      </c>
      <c r="AM1946">
        <v>93.702416970279899</v>
      </c>
      <c r="AN1946">
        <v>1.00000004213581</v>
      </c>
    </row>
    <row r="1947" spans="1:40" x14ac:dyDescent="0.25">
      <c r="A1947" t="str">
        <f>"20190304164637178"</f>
        <v>20190304164637178</v>
      </c>
      <c r="B1947" t="str">
        <f>"1551689197170137"</f>
        <v>1551689197170137</v>
      </c>
      <c r="C1947" t="s">
        <v>40</v>
      </c>
      <c r="D1947">
        <v>3.815893</v>
      </c>
      <c r="E1947">
        <v>0.55169659999999998</v>
      </c>
      <c r="F1947" t="s">
        <v>41</v>
      </c>
      <c r="G1947">
        <v>-422.21499999999997</v>
      </c>
      <c r="H1947">
        <v>1.042133</v>
      </c>
      <c r="I1947">
        <v>285.83699999999999</v>
      </c>
      <c r="J1947">
        <v>-421.54660000000001</v>
      </c>
      <c r="K1947">
        <v>1.1104989999999999</v>
      </c>
      <c r="L1947">
        <v>285.80619999999999</v>
      </c>
      <c r="M1947">
        <v>-0.99990579999999996</v>
      </c>
      <c r="N1947">
        <v>-9.3389400000000004E-3</v>
      </c>
      <c r="O1947">
        <v>1.0071159999999999E-2</v>
      </c>
      <c r="P1947">
        <v>-0.92863739999999995</v>
      </c>
      <c r="Q1947">
        <v>0.36755670000000001</v>
      </c>
      <c r="R1947">
        <v>-5.0348320000000002E-2</v>
      </c>
      <c r="S1947">
        <v>-3.3291019999999998</v>
      </c>
      <c r="T1947">
        <v>-0.2347455</v>
      </c>
      <c r="U1947">
        <v>0.1150818</v>
      </c>
      <c r="V1947">
        <v>-5.9767250000000001E-2</v>
      </c>
      <c r="W1947">
        <v>0.37619720000000001</v>
      </c>
      <c r="X1947">
        <v>0.92460989999999998</v>
      </c>
      <c r="Y1947">
        <v>2.4430609999999998E-2</v>
      </c>
      <c r="Z1947">
        <v>3.5920480000000001E-4</v>
      </c>
      <c r="AA1947">
        <v>0.99970139999999996</v>
      </c>
      <c r="AB1947">
        <v>31</v>
      </c>
      <c r="AC1947">
        <v>-0.66839999999996202</v>
      </c>
      <c r="AD1947">
        <v>-6.8365999999999899E-2</v>
      </c>
      <c r="AE1947">
        <v>3.07999999999992E-2</v>
      </c>
      <c r="AF1947">
        <v>2.38179307222793E-2</v>
      </c>
      <c r="AG1947">
        <v>-6.8365999999999899E-2</v>
      </c>
      <c r="AH1947">
        <v>0.66176767601196695</v>
      </c>
      <c r="AI1947">
        <v>95.894408258957597</v>
      </c>
      <c r="AJ1947">
        <v>87.938735661515295</v>
      </c>
      <c r="AK1947">
        <v>0.66571590096239297</v>
      </c>
      <c r="AL1947">
        <v>67.901672676091806</v>
      </c>
      <c r="AM1947">
        <v>93.6984825556857</v>
      </c>
      <c r="AN1947">
        <v>0.99999996231920496</v>
      </c>
    </row>
    <row r="1948" spans="1:40" x14ac:dyDescent="0.25">
      <c r="A1948" t="str">
        <f>"20190304164637201"</f>
        <v>20190304164637201</v>
      </c>
      <c r="B1948" t="str">
        <f>"1551689197190626"</f>
        <v>1551689197190626</v>
      </c>
      <c r="C1948" t="s">
        <v>40</v>
      </c>
      <c r="D1948">
        <v>3.799709</v>
      </c>
      <c r="E1948">
        <v>0.5525333</v>
      </c>
      <c r="F1948" t="s">
        <v>41</v>
      </c>
      <c r="G1948">
        <v>-422.49090000000001</v>
      </c>
      <c r="H1948">
        <v>1.0441769999999999</v>
      </c>
      <c r="I1948">
        <v>285.84050000000002</v>
      </c>
      <c r="J1948">
        <v>-421.84989999999999</v>
      </c>
      <c r="K1948">
        <v>1.1105020000000001</v>
      </c>
      <c r="L1948">
        <v>285.8091</v>
      </c>
      <c r="M1948">
        <v>-0.99990650000000003</v>
      </c>
      <c r="N1948">
        <v>-9.3620270000000002E-3</v>
      </c>
      <c r="O1948">
        <v>9.9648919999999995E-3</v>
      </c>
      <c r="P1948">
        <v>-0.92872010000000005</v>
      </c>
      <c r="Q1948">
        <v>0.36734650000000002</v>
      </c>
      <c r="R1948">
        <v>-5.035833E-2</v>
      </c>
      <c r="S1948">
        <v>-3.3296510000000001</v>
      </c>
      <c r="T1948">
        <v>-0.23385739999999999</v>
      </c>
      <c r="U1948">
        <v>0.12127690000000001</v>
      </c>
      <c r="V1948">
        <v>-5.9679610000000001E-2</v>
      </c>
      <c r="W1948">
        <v>0.37600860000000003</v>
      </c>
      <c r="X1948">
        <v>0.92469230000000002</v>
      </c>
      <c r="Y1948">
        <v>2.6383460000000001E-2</v>
      </c>
      <c r="Z1948">
        <v>4.4320889999999998E-4</v>
      </c>
      <c r="AA1948">
        <v>0.99965179999999998</v>
      </c>
      <c r="AB1948">
        <v>31</v>
      </c>
      <c r="AC1948">
        <v>-0.641000000000019</v>
      </c>
      <c r="AD1948">
        <v>-6.6324999999999898E-2</v>
      </c>
      <c r="AE1948">
        <v>3.14000000000191E-2</v>
      </c>
      <c r="AF1948">
        <v>2.47463578583152E-2</v>
      </c>
      <c r="AG1948">
        <v>-6.6324999999999898E-2</v>
      </c>
      <c r="AH1948">
        <v>0.63450416734158699</v>
      </c>
      <c r="AI1948">
        <v>95.962980568159395</v>
      </c>
      <c r="AJ1948">
        <v>87.766533782488494</v>
      </c>
      <c r="AK1948">
        <v>0.63844101233089101</v>
      </c>
      <c r="AL1948">
        <v>67.913335487491295</v>
      </c>
      <c r="AM1948">
        <v>93.692746105374496</v>
      </c>
      <c r="AN1948">
        <v>0.99999998640150101</v>
      </c>
    </row>
    <row r="1949" spans="1:40" x14ac:dyDescent="0.25">
      <c r="A1949" t="str">
        <f>"20190304164637224"</f>
        <v>20190304164637224</v>
      </c>
      <c r="B1949" t="str">
        <f>"1551689197219906"</f>
        <v>1551689197219906</v>
      </c>
      <c r="C1949" t="s">
        <v>40</v>
      </c>
      <c r="D1949">
        <v>3.8099759999999998</v>
      </c>
      <c r="E1949">
        <v>0.553708599999999</v>
      </c>
      <c r="F1949" t="s">
        <v>41</v>
      </c>
      <c r="G1949">
        <v>-422.76679999999999</v>
      </c>
      <c r="H1949">
        <v>1.045971</v>
      </c>
      <c r="I1949">
        <v>285.84440000000001</v>
      </c>
      <c r="J1949">
        <v>-422.1703</v>
      </c>
      <c r="K1949">
        <v>1.110506</v>
      </c>
      <c r="L1949">
        <v>285.81229999999999</v>
      </c>
      <c r="M1949">
        <v>-0.99990749999999995</v>
      </c>
      <c r="N1949">
        <v>-9.3855629999999995E-3</v>
      </c>
      <c r="O1949">
        <v>9.8530170000000004E-3</v>
      </c>
      <c r="P1949">
        <v>-0.92866700000000002</v>
      </c>
      <c r="Q1949">
        <v>0.3675081</v>
      </c>
      <c r="R1949">
        <v>-5.015592E-2</v>
      </c>
      <c r="S1949">
        <v>-3.3299560000000001</v>
      </c>
      <c r="T1949">
        <v>-0.23456080000000001</v>
      </c>
      <c r="U1949">
        <v>0.12695310000000001</v>
      </c>
      <c r="V1949">
        <v>-5.9373670000000003E-2</v>
      </c>
      <c r="W1949">
        <v>0.37619200000000003</v>
      </c>
      <c r="X1949">
        <v>0.92463740000000005</v>
      </c>
      <c r="Y1949">
        <v>2.818799E-2</v>
      </c>
      <c r="Z1949">
        <v>5.2316349999999897E-4</v>
      </c>
      <c r="AA1949">
        <v>0.99960249999999995</v>
      </c>
      <c r="AB1949">
        <v>31</v>
      </c>
      <c r="AC1949">
        <v>-0.59649999999999104</v>
      </c>
      <c r="AD1949">
        <v>-6.4534999999999995E-2</v>
      </c>
      <c r="AE1949">
        <v>3.2100000000013999E-2</v>
      </c>
      <c r="AF1949">
        <v>2.5918361435794599E-2</v>
      </c>
      <c r="AG1949">
        <v>-6.4534999999999995E-2</v>
      </c>
      <c r="AH1949">
        <v>0.58990249398871597</v>
      </c>
      <c r="AI1949">
        <v>96.237327888823302</v>
      </c>
      <c r="AJ1949">
        <v>87.484231258055999</v>
      </c>
      <c r="AK1949">
        <v>0.59398777773504996</v>
      </c>
      <c r="AL1949">
        <v>67.901994821866197</v>
      </c>
      <c r="AM1949">
        <v>93.674085223595995</v>
      </c>
      <c r="AN1949">
        <v>0.99999998751601404</v>
      </c>
    </row>
    <row r="1950" spans="1:40" x14ac:dyDescent="0.25">
      <c r="A1950" t="str">
        <f>"20190304164637247"</f>
        <v>20190304164637247</v>
      </c>
      <c r="B1950" t="str">
        <f>"1551689197240401"</f>
        <v>1551689197240401</v>
      </c>
      <c r="C1950" t="s">
        <v>40</v>
      </c>
      <c r="D1950">
        <v>3.8016519999999998</v>
      </c>
      <c r="E1950">
        <v>0.55425649999999904</v>
      </c>
      <c r="F1950" t="s">
        <v>41</v>
      </c>
      <c r="G1950">
        <v>-423.0446</v>
      </c>
      <c r="H1950">
        <v>1.0493570000000001</v>
      </c>
      <c r="I1950">
        <v>285.84809999999999</v>
      </c>
      <c r="J1950">
        <v>-422.47879999999998</v>
      </c>
      <c r="K1950">
        <v>1.1105039999999999</v>
      </c>
      <c r="L1950">
        <v>285.8152</v>
      </c>
      <c r="M1950">
        <v>-0.99990829999999997</v>
      </c>
      <c r="N1950">
        <v>-9.4095970000000004E-3</v>
      </c>
      <c r="O1950">
        <v>9.7452519999999994E-3</v>
      </c>
      <c r="P1950">
        <v>-0.92855549999999998</v>
      </c>
      <c r="Q1950">
        <v>0.3677028</v>
      </c>
      <c r="R1950">
        <v>-5.078887E-2</v>
      </c>
      <c r="S1950">
        <v>-3.3300779999999999</v>
      </c>
      <c r="T1950">
        <v>-0.2329109</v>
      </c>
      <c r="U1950">
        <v>0.13714599999999999</v>
      </c>
      <c r="V1950">
        <v>-5.9905449999999999E-2</v>
      </c>
      <c r="W1950">
        <v>0.37640750000000001</v>
      </c>
      <c r="X1950">
        <v>0.92451539999999999</v>
      </c>
      <c r="Y1950">
        <v>3.1340800000000002E-2</v>
      </c>
      <c r="Z1950">
        <v>6.5306879999999998E-4</v>
      </c>
      <c r="AA1950">
        <v>0.99950859999999997</v>
      </c>
      <c r="AB1950">
        <v>31</v>
      </c>
      <c r="AC1950">
        <v>-0.56580000000002395</v>
      </c>
      <c r="AD1950">
        <v>-6.1147000000000201E-2</v>
      </c>
      <c r="AE1950">
        <v>3.2899999999983699E-2</v>
      </c>
      <c r="AF1950">
        <v>2.7069240252466299E-2</v>
      </c>
      <c r="AG1950">
        <v>-6.1147000000000201E-2</v>
      </c>
      <c r="AH1950">
        <v>0.55958016732726601</v>
      </c>
      <c r="AI1950">
        <v>96.228912424851202</v>
      </c>
      <c r="AJ1950">
        <v>87.230521681511107</v>
      </c>
      <c r="AK1950">
        <v>0.56356158762184705</v>
      </c>
      <c r="AL1950">
        <v>67.888668254200596</v>
      </c>
      <c r="AM1950">
        <v>93.707388607920095</v>
      </c>
      <c r="AN1950">
        <v>0.99999999691655606</v>
      </c>
    </row>
    <row r="1951" spans="1:40" x14ac:dyDescent="0.25">
      <c r="A1951" t="str">
        <f>"20190304164637268"</f>
        <v>20190304164637268</v>
      </c>
      <c r="B1951" t="str">
        <f>"1551689197259925"</f>
        <v>1551689197259925</v>
      </c>
      <c r="C1951" t="s">
        <v>40</v>
      </c>
      <c r="D1951">
        <v>3.831296</v>
      </c>
      <c r="E1951">
        <v>0.55479679999999998</v>
      </c>
      <c r="F1951" t="s">
        <v>41</v>
      </c>
      <c r="G1951">
        <v>-423.32190000000003</v>
      </c>
      <c r="H1951">
        <v>1.0518350000000001</v>
      </c>
      <c r="I1951">
        <v>285.85120000000001</v>
      </c>
      <c r="J1951">
        <v>-422.77390000000003</v>
      </c>
      <c r="K1951">
        <v>1.110503</v>
      </c>
      <c r="L1951">
        <v>285.81790000000001</v>
      </c>
      <c r="M1951">
        <v>-0.99990900000000005</v>
      </c>
      <c r="N1951">
        <v>-9.4358770000000005E-3</v>
      </c>
      <c r="O1951">
        <v>9.6422469999999996E-3</v>
      </c>
      <c r="P1951">
        <v>-0.92881210000000003</v>
      </c>
      <c r="Q1951">
        <v>0.36705880000000002</v>
      </c>
      <c r="R1951">
        <v>-5.0754599999999997E-2</v>
      </c>
      <c r="S1951">
        <v>-3.3303530000000001</v>
      </c>
      <c r="T1951">
        <v>-0.23199549999999999</v>
      </c>
      <c r="U1951">
        <v>0.1407776</v>
      </c>
      <c r="V1951">
        <v>-5.9778329999999998E-2</v>
      </c>
      <c r="W1951">
        <v>0.37579079999999998</v>
      </c>
      <c r="X1951">
        <v>0.92477450000000005</v>
      </c>
      <c r="Y1951">
        <v>3.252538E-2</v>
      </c>
      <c r="Z1951">
        <v>7.0505549999999996E-4</v>
      </c>
      <c r="AA1951">
        <v>0.99947070000000005</v>
      </c>
      <c r="AB1951">
        <v>31</v>
      </c>
      <c r="AC1951">
        <v>-0.54800000000000104</v>
      </c>
      <c r="AD1951">
        <v>-5.8667999999999901E-2</v>
      </c>
      <c r="AE1951">
        <v>3.3299999999996999E-2</v>
      </c>
      <c r="AF1951">
        <v>2.7697972888183701E-2</v>
      </c>
      <c r="AG1951">
        <v>-5.8667999999999901E-2</v>
      </c>
      <c r="AH1951">
        <v>0.54210514439774204</v>
      </c>
      <c r="AI1951">
        <v>96.168671838778394</v>
      </c>
      <c r="AJ1951">
        <v>87.075109557800204</v>
      </c>
      <c r="AK1951">
        <v>0.54597353370709401</v>
      </c>
      <c r="AL1951">
        <v>67.926803044896005</v>
      </c>
      <c r="AM1951">
        <v>93.6985097137823</v>
      </c>
      <c r="AN1951">
        <v>1.00000002497623</v>
      </c>
    </row>
    <row r="1952" spans="1:40" x14ac:dyDescent="0.25">
      <c r="A1952" t="str">
        <f>"20190304164637290"</f>
        <v>20190304164637290</v>
      </c>
      <c r="B1952" t="str">
        <f>"1551689197280417"</f>
        <v>1551689197280417</v>
      </c>
      <c r="C1952" t="s">
        <v>40</v>
      </c>
      <c r="D1952">
        <v>3.8149250000000001</v>
      </c>
      <c r="E1952">
        <v>0.55535500000000004</v>
      </c>
      <c r="F1952" t="s">
        <v>41</v>
      </c>
      <c r="G1952">
        <v>-423.60719999999998</v>
      </c>
      <c r="H1952">
        <v>1.052511</v>
      </c>
      <c r="I1952">
        <v>285.85399999999998</v>
      </c>
      <c r="J1952">
        <v>-423.0761</v>
      </c>
      <c r="K1952">
        <v>1.1105080000000001</v>
      </c>
      <c r="L1952">
        <v>285.82069999999999</v>
      </c>
      <c r="M1952">
        <v>-0.99990990000000002</v>
      </c>
      <c r="N1952">
        <v>-9.4633019999999998E-3</v>
      </c>
      <c r="O1952">
        <v>9.5367319999999992E-3</v>
      </c>
      <c r="P1952">
        <v>-0.92859239999999998</v>
      </c>
      <c r="Q1952">
        <v>0.36764140000000001</v>
      </c>
      <c r="R1952">
        <v>-5.0560620000000001E-2</v>
      </c>
      <c r="S1952">
        <v>-3.3293460000000001</v>
      </c>
      <c r="T1952">
        <v>-0.2315313</v>
      </c>
      <c r="U1952">
        <v>0.14514160000000001</v>
      </c>
      <c r="V1952">
        <v>-5.9484299999999997E-2</v>
      </c>
      <c r="W1952">
        <v>0.37639650000000002</v>
      </c>
      <c r="X1952">
        <v>0.92454709999999996</v>
      </c>
      <c r="Y1952">
        <v>3.3947329999999998E-2</v>
      </c>
      <c r="Z1952">
        <v>7.6740360000000004E-4</v>
      </c>
      <c r="AA1952">
        <v>0.99942330000000001</v>
      </c>
      <c r="AB1952">
        <v>31</v>
      </c>
      <c r="AC1952">
        <v>-0.53109999999998003</v>
      </c>
      <c r="AD1952">
        <v>-5.7997E-2</v>
      </c>
      <c r="AE1952">
        <v>3.33000000000538E-2</v>
      </c>
      <c r="AF1952">
        <v>2.7901874175820001E-2</v>
      </c>
      <c r="AG1952">
        <v>-5.7997E-2</v>
      </c>
      <c r="AH1952">
        <v>0.525155476287269</v>
      </c>
      <c r="AI1952">
        <v>96.293274924650206</v>
      </c>
      <c r="AJ1952">
        <v>86.958695137183398</v>
      </c>
      <c r="AK1952">
        <v>0.52908453092679997</v>
      </c>
      <c r="AL1952">
        <v>67.8893491603218</v>
      </c>
      <c r="AM1952">
        <v>93.681270807705005</v>
      </c>
      <c r="AN1952">
        <v>1.00000002363857</v>
      </c>
    </row>
    <row r="1953" spans="1:40" x14ac:dyDescent="0.25">
      <c r="A1953" t="str">
        <f>"20190304164637312"</f>
        <v>20190304164637312</v>
      </c>
      <c r="B1953" t="str">
        <f>"1551689197299938"</f>
        <v>1551689197299938</v>
      </c>
      <c r="C1953" t="s">
        <v>40</v>
      </c>
      <c r="D1953">
        <v>3.8411629999999999</v>
      </c>
      <c r="E1953">
        <v>0.55574199999999996</v>
      </c>
      <c r="F1953" t="s">
        <v>50</v>
      </c>
      <c r="G1953">
        <v>-439.3116</v>
      </c>
      <c r="H1953" s="1">
        <v>6.178117E-6</v>
      </c>
      <c r="I1953">
        <v>286.54020000000003</v>
      </c>
      <c r="J1953">
        <v>-423.38650000000001</v>
      </c>
      <c r="K1953">
        <v>1.110514</v>
      </c>
      <c r="L1953">
        <v>285.8236</v>
      </c>
      <c r="M1953">
        <v>-0.99991039999999998</v>
      </c>
      <c r="N1953">
        <v>-9.4942640000000005E-3</v>
      </c>
      <c r="O1953">
        <v>9.4288730000000008E-3</v>
      </c>
      <c r="P1953">
        <v>-0.92859100000000006</v>
      </c>
      <c r="Q1953">
        <v>0.3676529</v>
      </c>
      <c r="R1953">
        <v>-5.0499820000000001E-2</v>
      </c>
      <c r="S1953">
        <v>-3.3288570000000002</v>
      </c>
      <c r="T1953">
        <v>-0.2276927</v>
      </c>
      <c r="U1953">
        <v>0.14752199999999999</v>
      </c>
      <c r="V1953">
        <v>-5.9324099999999998E-2</v>
      </c>
      <c r="W1953">
        <v>0.37643670000000001</v>
      </c>
      <c r="X1953">
        <v>0.92454099999999995</v>
      </c>
      <c r="Y1953">
        <v>3.4774550000000001E-2</v>
      </c>
      <c r="Z1953">
        <v>7.9826899999999902E-4</v>
      </c>
      <c r="AA1953">
        <v>0.99939480000000003</v>
      </c>
      <c r="AB1953">
        <v>31</v>
      </c>
      <c r="AC1953">
        <v>-15.925099999999899</v>
      </c>
      <c r="AD1953">
        <v>-1.110507821883</v>
      </c>
      <c r="AE1953">
        <v>0.71660000000002799</v>
      </c>
      <c r="AF1953">
        <v>0.56367018844700501</v>
      </c>
      <c r="AG1953">
        <v>-1.110507821883</v>
      </c>
      <c r="AH1953">
        <v>15.854210321698</v>
      </c>
      <c r="AI1953">
        <v>94.004215739339699</v>
      </c>
      <c r="AJ1953">
        <v>87.963801115957096</v>
      </c>
      <c r="AK1953">
        <v>15.903048029495499</v>
      </c>
      <c r="AL1953">
        <v>67.886862449062804</v>
      </c>
      <c r="AM1953">
        <v>93.671407911475498</v>
      </c>
      <c r="AN1953">
        <v>0.99999999931434902</v>
      </c>
    </row>
    <row r="1954" spans="1:40" x14ac:dyDescent="0.25">
      <c r="A1954" t="str">
        <f>"20190304164637336"</f>
        <v>20190304164637336</v>
      </c>
      <c r="B1954" t="str">
        <f>"1551689197330193"</f>
        <v>1551689197330193</v>
      </c>
      <c r="C1954" t="s">
        <v>40</v>
      </c>
      <c r="D1954">
        <v>3.8380839999999998</v>
      </c>
      <c r="E1954">
        <v>0.55626660000000006</v>
      </c>
      <c r="F1954" t="s">
        <v>50</v>
      </c>
      <c r="G1954">
        <v>-439.601</v>
      </c>
      <c r="H1954" s="1">
        <v>6.3050959999999999E-6</v>
      </c>
      <c r="I1954">
        <v>286.55529999999999</v>
      </c>
      <c r="J1954">
        <v>-423.7054</v>
      </c>
      <c r="K1954">
        <v>1.1105210000000001</v>
      </c>
      <c r="L1954">
        <v>285.82650000000001</v>
      </c>
      <c r="M1954">
        <v>-0.9999112</v>
      </c>
      <c r="N1954">
        <v>-9.5286559999999999E-3</v>
      </c>
      <c r="O1954">
        <v>9.3169480000000002E-3</v>
      </c>
      <c r="P1954">
        <v>-0.92865799999999998</v>
      </c>
      <c r="Q1954">
        <v>0.36742649999999999</v>
      </c>
      <c r="R1954">
        <v>-5.0913090000000001E-2</v>
      </c>
      <c r="S1954">
        <v>-3.329132</v>
      </c>
      <c r="T1954">
        <v>-0.22800790000000001</v>
      </c>
      <c r="U1954">
        <v>0.15023800000000001</v>
      </c>
      <c r="V1954">
        <v>-5.9634239999999998E-2</v>
      </c>
      <c r="W1954">
        <v>0.37624279999999999</v>
      </c>
      <c r="X1954">
        <v>0.92459990000000003</v>
      </c>
      <c r="Y1954">
        <v>3.5693589999999997E-2</v>
      </c>
      <c r="Z1954">
        <v>8.4228299999999999E-4</v>
      </c>
      <c r="AA1954">
        <v>0.99936239999999998</v>
      </c>
      <c r="AB1954">
        <v>31</v>
      </c>
      <c r="AC1954">
        <v>-15.8956</v>
      </c>
      <c r="AD1954">
        <v>-1.1105146949039999</v>
      </c>
      <c r="AE1954">
        <v>0.72879999999997802</v>
      </c>
      <c r="AF1954">
        <v>0.577848690890989</v>
      </c>
      <c r="AG1954">
        <v>-1.1105146949039999</v>
      </c>
      <c r="AH1954">
        <v>15.8246250354041</v>
      </c>
      <c r="AI1954">
        <v>94.011563744365105</v>
      </c>
      <c r="AJ1954">
        <v>87.9087284969672</v>
      </c>
      <c r="AK1954">
        <v>15.874064051411001</v>
      </c>
      <c r="AL1954">
        <v>67.898852087971207</v>
      </c>
      <c r="AM1954">
        <v>93.690314278434798</v>
      </c>
      <c r="AN1954">
        <v>0.99999993110611096</v>
      </c>
    </row>
    <row r="1955" spans="1:40" x14ac:dyDescent="0.25">
      <c r="A1955" t="str">
        <f>"20190304164637357"</f>
        <v>20190304164637357</v>
      </c>
      <c r="B1955" t="str">
        <f>"1551689197350690"</f>
        <v>1551689197350690</v>
      </c>
      <c r="C1955" t="s">
        <v>40</v>
      </c>
      <c r="D1955">
        <v>3.8262689999999999</v>
      </c>
      <c r="E1955">
        <v>0.55658129999999995</v>
      </c>
      <c r="F1955" t="s">
        <v>41</v>
      </c>
      <c r="G1955">
        <v>-424.69510000000002</v>
      </c>
      <c r="H1955">
        <v>1.0423979999999999</v>
      </c>
      <c r="I1955">
        <v>285.87259999999998</v>
      </c>
      <c r="J1955">
        <v>-424.01100000000002</v>
      </c>
      <c r="K1955">
        <v>1.110517</v>
      </c>
      <c r="L1955">
        <v>285.82920000000001</v>
      </c>
      <c r="M1955">
        <v>-0.99991200000000002</v>
      </c>
      <c r="N1955">
        <v>-9.5606219999999995E-3</v>
      </c>
      <c r="O1955">
        <v>9.2099209999999994E-3</v>
      </c>
      <c r="P1955">
        <v>-0.92864809999999998</v>
      </c>
      <c r="Q1955">
        <v>0.36737320000000001</v>
      </c>
      <c r="R1955">
        <v>-5.1480129999999999E-2</v>
      </c>
      <c r="S1955">
        <v>-3.32959</v>
      </c>
      <c r="T1955">
        <v>-0.22915969999999999</v>
      </c>
      <c r="U1955">
        <v>0.15463260000000001</v>
      </c>
      <c r="V1955">
        <v>-6.0102219999999998E-2</v>
      </c>
      <c r="W1955">
        <v>0.37621850000000001</v>
      </c>
      <c r="X1955">
        <v>0.92457959999999995</v>
      </c>
      <c r="Y1955">
        <v>3.7105850000000003E-2</v>
      </c>
      <c r="Z1955">
        <v>9.076094E-4</v>
      </c>
      <c r="AA1955">
        <v>0.9993109</v>
      </c>
      <c r="AB1955">
        <v>31</v>
      </c>
      <c r="AC1955">
        <v>-0.684100000000057</v>
      </c>
      <c r="AD1955">
        <v>-6.8118999999999999E-2</v>
      </c>
      <c r="AE1955">
        <v>4.3399999999962802E-2</v>
      </c>
      <c r="AF1955">
        <v>3.6734597594466199E-2</v>
      </c>
      <c r="AG1955">
        <v>-6.8118999999999999E-2</v>
      </c>
      <c r="AH1955">
        <v>0.67777741617620502</v>
      </c>
      <c r="AI1955">
        <v>95.730799491358496</v>
      </c>
      <c r="AJ1955">
        <v>86.897683373423305</v>
      </c>
      <c r="AK1955">
        <v>0.68218168745571095</v>
      </c>
      <c r="AL1955">
        <v>67.900357240396602</v>
      </c>
      <c r="AM1955">
        <v>93.719274501399795</v>
      </c>
      <c r="AN1955">
        <v>1.0000000366636601</v>
      </c>
    </row>
    <row r="1956" spans="1:40" x14ac:dyDescent="0.25">
      <c r="A1956" t="str">
        <f>"20190304164637379"</f>
        <v>20190304164637379</v>
      </c>
      <c r="B1956" t="str">
        <f>"1551689197370210"</f>
        <v>1551689197370210</v>
      </c>
      <c r="C1956" t="s">
        <v>40</v>
      </c>
      <c r="D1956">
        <v>3.851356</v>
      </c>
      <c r="E1956">
        <v>0.55687059999999999</v>
      </c>
      <c r="F1956" t="s">
        <v>41</v>
      </c>
      <c r="G1956">
        <v>-424.97340000000003</v>
      </c>
      <c r="H1956">
        <v>1.044219</v>
      </c>
      <c r="I1956">
        <v>285.87479999999999</v>
      </c>
      <c r="J1956">
        <v>-424.32060000000001</v>
      </c>
      <c r="K1956">
        <v>1.1105229999999999</v>
      </c>
      <c r="L1956">
        <v>285.83190000000002</v>
      </c>
      <c r="M1956">
        <v>-0.99991269999999999</v>
      </c>
      <c r="N1956">
        <v>-9.5918610000000001E-3</v>
      </c>
      <c r="O1956">
        <v>9.1015260000000004E-3</v>
      </c>
      <c r="P1956">
        <v>-0.92874710000000005</v>
      </c>
      <c r="Q1956">
        <v>0.36710739999999997</v>
      </c>
      <c r="R1956">
        <v>-5.1589500000000003E-2</v>
      </c>
      <c r="S1956">
        <v>-3.3299560000000001</v>
      </c>
      <c r="T1956">
        <v>-0.22953209999999999</v>
      </c>
      <c r="U1956">
        <v>0.1566467</v>
      </c>
      <c r="V1956">
        <v>-6.0111959999999999E-2</v>
      </c>
      <c r="W1956">
        <v>0.3759826</v>
      </c>
      <c r="X1956">
        <v>0.92467489999999997</v>
      </c>
      <c r="Y1956">
        <v>3.7809830000000003E-2</v>
      </c>
      <c r="Z1956">
        <v>9.4346329999999996E-4</v>
      </c>
      <c r="AA1956">
        <v>0.99928450000000002</v>
      </c>
      <c r="AB1956">
        <v>31</v>
      </c>
      <c r="AC1956">
        <v>-0.65280000000001304</v>
      </c>
      <c r="AD1956">
        <v>-6.6303999999999905E-2</v>
      </c>
      <c r="AE1956">
        <v>4.2899999999974597E-2</v>
      </c>
      <c r="AF1956">
        <v>3.6580723369701702E-2</v>
      </c>
      <c r="AG1956">
        <v>-6.6303999999999905E-2</v>
      </c>
      <c r="AH1956">
        <v>0.64652246643971301</v>
      </c>
      <c r="AI1956">
        <v>95.846202130370898</v>
      </c>
      <c r="AJ1956">
        <v>86.761614882951804</v>
      </c>
      <c r="AK1956">
        <v>0.65094213978628002</v>
      </c>
      <c r="AL1956">
        <v>67.914943855904994</v>
      </c>
      <c r="AM1956">
        <v>93.719493238393994</v>
      </c>
      <c r="AN1956">
        <v>1.0000000169639001</v>
      </c>
    </row>
    <row r="1957" spans="1:40" x14ac:dyDescent="0.25">
      <c r="A1957" t="str">
        <f>"20190304164637402"</f>
        <v>20190304164637402</v>
      </c>
      <c r="B1957" t="str">
        <f>"1551689197390706"</f>
        <v>1551689197390706</v>
      </c>
      <c r="C1957" t="s">
        <v>40</v>
      </c>
      <c r="D1957">
        <v>3.9052020000000001</v>
      </c>
      <c r="E1957">
        <v>0.55708760000000002</v>
      </c>
      <c r="F1957" t="s">
        <v>41</v>
      </c>
      <c r="G1957">
        <v>-425.2527</v>
      </c>
      <c r="H1957">
        <v>1.045939</v>
      </c>
      <c r="I1957">
        <v>285.87639999999999</v>
      </c>
      <c r="J1957">
        <v>-424.62270000000001</v>
      </c>
      <c r="K1957">
        <v>1.1105259999999999</v>
      </c>
      <c r="L1957">
        <v>285.83460000000002</v>
      </c>
      <c r="M1957">
        <v>-0.99991319999999995</v>
      </c>
      <c r="N1957">
        <v>-9.6252999999999894E-3</v>
      </c>
      <c r="O1957">
        <v>8.9966309999999997E-3</v>
      </c>
      <c r="P1957">
        <v>-0.92881069999999999</v>
      </c>
      <c r="Q1957">
        <v>0.36690279999999997</v>
      </c>
      <c r="R1957">
        <v>-5.1892550000000003E-2</v>
      </c>
      <c r="S1957">
        <v>-3.330139</v>
      </c>
      <c r="T1957">
        <v>-0.23078870000000001</v>
      </c>
      <c r="U1957">
        <v>0.15869140000000001</v>
      </c>
      <c r="V1957">
        <v>-6.0318450000000003E-2</v>
      </c>
      <c r="W1957">
        <v>0.37580980000000003</v>
      </c>
      <c r="X1957">
        <v>0.92473170000000005</v>
      </c>
      <c r="Y1957">
        <v>3.8521220000000002E-2</v>
      </c>
      <c r="Z1957">
        <v>9.823264999999999E-4</v>
      </c>
      <c r="AA1957">
        <v>0.99925730000000001</v>
      </c>
      <c r="AB1957">
        <v>31</v>
      </c>
      <c r="AC1957">
        <v>-0.62999999999999501</v>
      </c>
      <c r="AD1957">
        <v>-6.4587000000000103E-2</v>
      </c>
      <c r="AE1957">
        <v>4.1799999999966503E-2</v>
      </c>
      <c r="AF1957">
        <v>3.5756013909684803E-2</v>
      </c>
      <c r="AG1957">
        <v>-6.4587000000000103E-2</v>
      </c>
      <c r="AH1957">
        <v>0.62382283952658002</v>
      </c>
      <c r="AI1957">
        <v>95.901394693773298</v>
      </c>
      <c r="AJ1957">
        <v>86.719534022660199</v>
      </c>
      <c r="AK1957">
        <v>0.62817585771399598</v>
      </c>
      <c r="AL1957">
        <v>67.925628181587101</v>
      </c>
      <c r="AM1957">
        <v>93.732005384204399</v>
      </c>
      <c r="AN1957">
        <v>1.0000000190856599</v>
      </c>
    </row>
    <row r="1958" spans="1:40" x14ac:dyDescent="0.25">
      <c r="A1958" t="str">
        <f>"20190304164637424"</f>
        <v>20190304164637424</v>
      </c>
      <c r="B1958" t="str">
        <f>"1551689197419986"</f>
        <v>1551689197419986</v>
      </c>
      <c r="C1958" t="s">
        <v>40</v>
      </c>
      <c r="D1958">
        <v>3.8474219999999999</v>
      </c>
      <c r="E1958">
        <v>0.52814629999999996</v>
      </c>
      <c r="F1958" t="s">
        <v>41</v>
      </c>
      <c r="G1958">
        <v>-425.53179999999998</v>
      </c>
      <c r="H1958">
        <v>1.0471549999999901</v>
      </c>
      <c r="I1958">
        <v>285.87790000000001</v>
      </c>
      <c r="J1958">
        <v>-424.94150000000002</v>
      </c>
      <c r="K1958">
        <v>1.1105290000000001</v>
      </c>
      <c r="L1958">
        <v>285.83730000000003</v>
      </c>
      <c r="M1958">
        <v>-0.99991390000000002</v>
      </c>
      <c r="N1958">
        <v>-9.6634589999999992E-3</v>
      </c>
      <c r="O1958">
        <v>8.8855159999999996E-3</v>
      </c>
      <c r="P1958">
        <v>-0.92881089999999999</v>
      </c>
      <c r="Q1958">
        <v>0.36677609999999999</v>
      </c>
      <c r="R1958">
        <v>-5.2781010000000003E-2</v>
      </c>
      <c r="S1958">
        <v>-3.3305359999999999</v>
      </c>
      <c r="T1958">
        <v>-0.23224990000000001</v>
      </c>
      <c r="U1958">
        <v>0.15853879999999901</v>
      </c>
      <c r="V1958">
        <v>-6.110401E-2</v>
      </c>
      <c r="W1958">
        <v>0.37571789999999999</v>
      </c>
      <c r="X1958">
        <v>0.92471749999999997</v>
      </c>
      <c r="Y1958">
        <v>3.8579500000000003E-2</v>
      </c>
      <c r="Z1958">
        <v>9.9678029999999995E-4</v>
      </c>
      <c r="AA1958">
        <v>0.99925509999999995</v>
      </c>
      <c r="AB1958">
        <v>31</v>
      </c>
      <c r="AC1958">
        <v>-0.59029999999995597</v>
      </c>
      <c r="AD1958">
        <v>-6.3374000000000194E-2</v>
      </c>
      <c r="AE1958">
        <v>4.0599999999983503E-2</v>
      </c>
      <c r="AF1958">
        <v>3.4952073384037899E-2</v>
      </c>
      <c r="AG1958">
        <v>-6.3374000000000194E-2</v>
      </c>
      <c r="AH1958">
        <v>0.58393870437580697</v>
      </c>
      <c r="AI1958">
        <v>96.1830031516904</v>
      </c>
      <c r="AJ1958">
        <v>86.574606514711306</v>
      </c>
      <c r="AK1958">
        <v>0.58840659562749598</v>
      </c>
      <c r="AL1958">
        <v>67.931310719949096</v>
      </c>
      <c r="AM1958">
        <v>93.780527163325701</v>
      </c>
      <c r="AN1958">
        <v>1.0000000476123601</v>
      </c>
    </row>
    <row r="1959" spans="1:40" x14ac:dyDescent="0.25">
      <c r="A1959" t="str">
        <f>"20190304164637448"</f>
        <v>20190304164637448</v>
      </c>
      <c r="B1959" t="str">
        <f>"1551689197440482"</f>
        <v>1551689197440482</v>
      </c>
      <c r="C1959" t="s">
        <v>40</v>
      </c>
      <c r="D1959">
        <v>3.8824350000000001</v>
      </c>
      <c r="E1959">
        <v>0.45991660000000001</v>
      </c>
      <c r="F1959" t="s">
        <v>49</v>
      </c>
      <c r="G1959">
        <v>-441.63279999999997</v>
      </c>
      <c r="H1959" s="1">
        <v>-7.0491460000000004E-7</v>
      </c>
      <c r="I1959">
        <v>285.46350000000001</v>
      </c>
      <c r="J1959">
        <v>-425.26749999999998</v>
      </c>
      <c r="K1959">
        <v>1.1105430000000001</v>
      </c>
      <c r="L1959">
        <v>285.84010000000001</v>
      </c>
      <c r="M1959">
        <v>-0.99991450000000004</v>
      </c>
      <c r="N1959">
        <v>-9.7054949999999997E-3</v>
      </c>
      <c r="O1959">
        <v>8.7717009999999998E-3</v>
      </c>
      <c r="P1959">
        <v>-0.92884840000000002</v>
      </c>
      <c r="Q1959">
        <v>0.36668220000000001</v>
      </c>
      <c r="R1959">
        <v>-5.277482E-2</v>
      </c>
      <c r="S1959">
        <v>-3.3127439999999999</v>
      </c>
      <c r="T1959">
        <v>-0.22040799999999999</v>
      </c>
      <c r="U1959">
        <v>-7.4188229999999994E-2</v>
      </c>
      <c r="V1959">
        <v>-6.0992589999999999E-2</v>
      </c>
      <c r="W1959">
        <v>0.37566300000000002</v>
      </c>
      <c r="X1959">
        <v>0.92474710000000004</v>
      </c>
      <c r="Y1959">
        <v>-3.1065410000000002E-2</v>
      </c>
      <c r="Z1959">
        <v>-1.680997E-3</v>
      </c>
      <c r="AA1959">
        <v>0.99951599999999996</v>
      </c>
      <c r="AB1959">
        <v>31</v>
      </c>
      <c r="AC1959">
        <v>-16.365299999999898</v>
      </c>
      <c r="AD1959">
        <v>-1.1105437049146001</v>
      </c>
      <c r="AE1959">
        <v>-0.37659999999999599</v>
      </c>
      <c r="AF1959">
        <v>-0.51776078731000297</v>
      </c>
      <c r="AG1959">
        <v>-1.1105437049146001</v>
      </c>
      <c r="AH1959">
        <v>16.286408620396301</v>
      </c>
      <c r="AI1959">
        <v>93.898903897058204</v>
      </c>
      <c r="AJ1959">
        <v>91.820875349744199</v>
      </c>
      <c r="AK1959">
        <v>16.332436722789399</v>
      </c>
      <c r="AL1959">
        <v>67.934703612791196</v>
      </c>
      <c r="AM1959">
        <v>93.773533063355998</v>
      </c>
      <c r="AN1959">
        <v>0.99999999228115899</v>
      </c>
    </row>
    <row r="1960" spans="1:40" x14ac:dyDescent="0.25">
      <c r="A1960" t="str">
        <f>"20190304164637469"</f>
        <v>20190304164637469</v>
      </c>
      <c r="B1960" t="str">
        <f>"1551689197460003"</f>
        <v>1551689197460003</v>
      </c>
      <c r="C1960" t="s">
        <v>40</v>
      </c>
      <c r="D1960">
        <v>3.84693</v>
      </c>
      <c r="E1960">
        <v>0.45632470000000003</v>
      </c>
      <c r="F1960" t="s">
        <v>49</v>
      </c>
      <c r="G1960">
        <v>-450.62700000000001</v>
      </c>
      <c r="H1960" s="1">
        <v>-1.0482960000000001E-6</v>
      </c>
      <c r="I1960">
        <v>281.07440000000003</v>
      </c>
      <c r="J1960">
        <v>-425.56189999999998</v>
      </c>
      <c r="K1960">
        <v>1.110549</v>
      </c>
      <c r="L1960">
        <v>285.8426</v>
      </c>
      <c r="M1960">
        <v>-0.99991509999999995</v>
      </c>
      <c r="N1960">
        <v>-9.7462139999999996E-3</v>
      </c>
      <c r="O1960">
        <v>8.6692760000000001E-3</v>
      </c>
      <c r="P1960">
        <v>-0.92884219999999895</v>
      </c>
      <c r="Q1960">
        <v>0.36667729999999998</v>
      </c>
      <c r="R1960">
        <v>-5.2918840000000002E-2</v>
      </c>
      <c r="S1960">
        <v>-3.2512210000000001</v>
      </c>
      <c r="T1960">
        <v>-0.14237749999999999</v>
      </c>
      <c r="U1960">
        <v>-0.61099239999999999</v>
      </c>
      <c r="V1960">
        <v>-6.1041539999999998E-2</v>
      </c>
      <c r="W1960">
        <v>0.37569619999999998</v>
      </c>
      <c r="X1960">
        <v>0.92473039999999995</v>
      </c>
      <c r="Y1960">
        <v>-0.19298309999999999</v>
      </c>
      <c r="Z1960">
        <v>-5.428619E-3</v>
      </c>
      <c r="AA1960">
        <v>0.98118700000000003</v>
      </c>
      <c r="AB1960">
        <v>31</v>
      </c>
      <c r="AC1960">
        <v>-25.065099999999902</v>
      </c>
      <c r="AD1960">
        <v>-1.110550048296</v>
      </c>
      <c r="AE1960">
        <v>-4.76819999999997</v>
      </c>
      <c r="AF1960">
        <v>-4.9759004213052096</v>
      </c>
      <c r="AG1960">
        <v>-1.110550048296</v>
      </c>
      <c r="AH1960">
        <v>24.9755026658177</v>
      </c>
      <c r="AI1960">
        <v>92.497001933167297</v>
      </c>
      <c r="AJ1960">
        <v>101.267573742606</v>
      </c>
      <c r="AK1960">
        <v>25.490559817759699</v>
      </c>
      <c r="AL1960">
        <v>67.932651417762003</v>
      </c>
      <c r="AM1960">
        <v>93.776620780990697</v>
      </c>
      <c r="AN1960">
        <v>1.0000000084920799</v>
      </c>
    </row>
    <row r="1961" spans="1:40" x14ac:dyDescent="0.25">
      <c r="A1961" t="str">
        <f>"20190304164637491"</f>
        <v>20190304164637491</v>
      </c>
      <c r="B1961" t="str">
        <f>"1551689197480498"</f>
        <v>1551689197480498</v>
      </c>
      <c r="C1961" t="s">
        <v>40</v>
      </c>
      <c r="D1961">
        <v>3.8084959999999999</v>
      </c>
      <c r="E1961">
        <v>0.45601000000000003</v>
      </c>
      <c r="F1961" t="s">
        <v>49</v>
      </c>
      <c r="G1961">
        <v>-452.55509999999998</v>
      </c>
      <c r="H1961" s="1">
        <v>1.632117E-9</v>
      </c>
      <c r="I1961">
        <v>280.52809999999999</v>
      </c>
      <c r="J1961">
        <v>-425.87</v>
      </c>
      <c r="K1961">
        <v>1.1105499999999999</v>
      </c>
      <c r="L1961">
        <v>285.84519999999998</v>
      </c>
      <c r="M1961">
        <v>-0.99991549999999996</v>
      </c>
      <c r="N1961">
        <v>-9.7943969999999998E-3</v>
      </c>
      <c r="O1961">
        <v>8.5622779999999996E-3</v>
      </c>
      <c r="P1961">
        <v>-0.92877580000000004</v>
      </c>
      <c r="Q1961">
        <v>0.36687540000000002</v>
      </c>
      <c r="R1961">
        <v>-5.2710680000000003E-2</v>
      </c>
      <c r="S1961">
        <v>-3.246124</v>
      </c>
      <c r="T1961">
        <v>-0.13355120000000001</v>
      </c>
      <c r="U1961">
        <v>-0.63909910000000003</v>
      </c>
      <c r="V1961">
        <v>-6.073394E-2</v>
      </c>
      <c r="W1961">
        <v>0.3759383</v>
      </c>
      <c r="X1961">
        <v>0.92465220000000004</v>
      </c>
      <c r="Y1961">
        <v>-0.20135829999999999</v>
      </c>
      <c r="Z1961">
        <v>-5.3628629999999998E-3</v>
      </c>
      <c r="AA1961">
        <v>0.97950300000000001</v>
      </c>
      <c r="AB1961">
        <v>31</v>
      </c>
      <c r="AC1961">
        <v>-26.685099999999899</v>
      </c>
      <c r="AD1961">
        <v>-1.1105499983678799</v>
      </c>
      <c r="AE1961">
        <v>-5.3170999999999804</v>
      </c>
      <c r="AF1961">
        <v>-5.5361789366282199</v>
      </c>
      <c r="AG1961">
        <v>-1.1105499983678799</v>
      </c>
      <c r="AH1961">
        <v>26.5942915761919</v>
      </c>
      <c r="AI1961">
        <v>92.341092408295196</v>
      </c>
      <c r="AJ1961">
        <v>101.75941306793101</v>
      </c>
      <c r="AK1961">
        <v>27.1871098676699</v>
      </c>
      <c r="AL1961">
        <v>67.917681549928304</v>
      </c>
      <c r="AM1961">
        <v>93.757961209582902</v>
      </c>
      <c r="AN1961">
        <v>0.99999995391982499</v>
      </c>
    </row>
    <row r="1962" spans="1:40" x14ac:dyDescent="0.25">
      <c r="A1962" t="str">
        <f>"20190304164637513"</f>
        <v>20190304164637513</v>
      </c>
      <c r="B1962" t="str">
        <f>"1551689197510754"</f>
        <v>1551689197510754</v>
      </c>
      <c r="C1962" t="s">
        <v>40</v>
      </c>
      <c r="D1962">
        <v>3.7845110000000002</v>
      </c>
      <c r="E1962">
        <v>0.45669599999999999</v>
      </c>
      <c r="F1962" t="s">
        <v>49</v>
      </c>
      <c r="G1962">
        <v>-453.02910000000003</v>
      </c>
      <c r="H1962" s="1">
        <v>2.5545589999999999E-7</v>
      </c>
      <c r="I1962">
        <v>280.49110000000002</v>
      </c>
      <c r="J1962">
        <v>-426.18729999999999</v>
      </c>
      <c r="K1962">
        <v>1.11056</v>
      </c>
      <c r="L1962">
        <v>285.84780000000001</v>
      </c>
      <c r="M1962">
        <v>-0.99991580000000002</v>
      </c>
      <c r="N1962">
        <v>-9.8516839999999994E-3</v>
      </c>
      <c r="O1962">
        <v>8.4524909999999995E-3</v>
      </c>
      <c r="P1962">
        <v>-0.92865030000000004</v>
      </c>
      <c r="Q1962">
        <v>0.36721749999999997</v>
      </c>
      <c r="R1962">
        <v>-5.2535810000000002E-2</v>
      </c>
      <c r="S1962">
        <v>-3.2460939999999998</v>
      </c>
      <c r="T1962">
        <v>-0.13273470000000001</v>
      </c>
      <c r="U1962">
        <v>-0.63992309999999997</v>
      </c>
      <c r="V1962">
        <v>-6.0456749999999997E-2</v>
      </c>
      <c r="W1962">
        <v>0.376332</v>
      </c>
      <c r="X1962">
        <v>0.92451019999999995</v>
      </c>
      <c r="Y1962">
        <v>-0.2014939</v>
      </c>
      <c r="Z1962">
        <v>-5.3410139999999998E-3</v>
      </c>
      <c r="AA1962">
        <v>0.97947519999999999</v>
      </c>
      <c r="AB1962">
        <v>31</v>
      </c>
      <c r="AC1962">
        <v>-26.841799999999999</v>
      </c>
      <c r="AD1962">
        <v>-1.1105597445441</v>
      </c>
      <c r="AE1962">
        <v>-5.3566999999999796</v>
      </c>
      <c r="AF1962">
        <v>-5.5742230479239101</v>
      </c>
      <c r="AG1962">
        <v>-1.1105597445441</v>
      </c>
      <c r="AH1962">
        <v>26.7515212938339</v>
      </c>
      <c r="AI1962">
        <v>92.327276251466998</v>
      </c>
      <c r="AJ1962">
        <v>101.770319935318</v>
      </c>
      <c r="AK1962">
        <v>27.348659877015201</v>
      </c>
      <c r="AL1962">
        <v>67.893336350884098</v>
      </c>
      <c r="AM1962">
        <v>93.741431612657706</v>
      </c>
      <c r="AN1962">
        <v>0.99999995137429998</v>
      </c>
    </row>
    <row r="1963" spans="1:40" x14ac:dyDescent="0.25">
      <c r="A1963" t="str">
        <f>"20190304164637537"</f>
        <v>20190304164637537</v>
      </c>
      <c r="B1963" t="str">
        <f>"1551689197530274"</f>
        <v>1551689197530274</v>
      </c>
      <c r="C1963" t="s">
        <v>40</v>
      </c>
      <c r="D1963">
        <v>3.803795</v>
      </c>
      <c r="E1963">
        <v>0.4569163</v>
      </c>
      <c r="F1963" t="s">
        <v>49</v>
      </c>
      <c r="G1963">
        <v>-453.94330000000002</v>
      </c>
      <c r="H1963" s="1">
        <v>7.447384E-7</v>
      </c>
      <c r="I1963">
        <v>280.4271</v>
      </c>
      <c r="J1963">
        <v>-426.51179999999999</v>
      </c>
      <c r="K1963">
        <v>1.110568</v>
      </c>
      <c r="L1963">
        <v>285.85039999999998</v>
      </c>
      <c r="M1963">
        <v>-0.99991609999999997</v>
      </c>
      <c r="N1963">
        <v>-9.9132409999999997E-3</v>
      </c>
      <c r="O1963">
        <v>8.3395889999999997E-3</v>
      </c>
      <c r="P1963">
        <v>-0.92873470000000002</v>
      </c>
      <c r="Q1963">
        <v>0.36698900000000001</v>
      </c>
      <c r="R1963">
        <v>-5.264133E-2</v>
      </c>
      <c r="S1963">
        <v>-3.2460330000000002</v>
      </c>
      <c r="T1963">
        <v>-0.12987899999999999</v>
      </c>
      <c r="U1963">
        <v>-0.63394169999999905</v>
      </c>
      <c r="V1963">
        <v>-6.0457740000000003E-2</v>
      </c>
      <c r="W1963">
        <v>0.37616100000000002</v>
      </c>
      <c r="X1963">
        <v>0.92457979999999995</v>
      </c>
      <c r="Y1963">
        <v>-0.199658</v>
      </c>
      <c r="Z1963">
        <v>-5.2034289999999999E-3</v>
      </c>
      <c r="AA1963">
        <v>0.97985180000000005</v>
      </c>
      <c r="AB1963">
        <v>31</v>
      </c>
      <c r="AC1963">
        <v>-27.4315</v>
      </c>
      <c r="AD1963">
        <v>-1.1105672552615999</v>
      </c>
      <c r="AE1963">
        <v>-5.4232999999999798</v>
      </c>
      <c r="AF1963">
        <v>-5.6429888706666</v>
      </c>
      <c r="AG1963">
        <v>-1.1105672552615999</v>
      </c>
      <c r="AH1963">
        <v>27.342186392131701</v>
      </c>
      <c r="AI1963">
        <v>92.2779682195319</v>
      </c>
      <c r="AJ1963">
        <v>101.661202891458</v>
      </c>
      <c r="AK1963">
        <v>27.940505359155502</v>
      </c>
      <c r="AL1963">
        <v>67.903912584986301</v>
      </c>
      <c r="AM1963">
        <v>93.741211855783007</v>
      </c>
      <c r="AN1963">
        <v>1.00000002140747</v>
      </c>
    </row>
    <row r="1964" spans="1:40" x14ac:dyDescent="0.25">
      <c r="A1964" t="str">
        <f>"20190304164637558"</f>
        <v>20190304164637558</v>
      </c>
      <c r="B1964" t="str">
        <f>"1551689197549794"</f>
        <v>1551689197549794</v>
      </c>
      <c r="C1964" t="s">
        <v>40</v>
      </c>
      <c r="D1964">
        <v>3.8189679999999999</v>
      </c>
      <c r="E1964">
        <v>0.45733360000000001</v>
      </c>
      <c r="F1964" t="s">
        <v>49</v>
      </c>
      <c r="G1964">
        <v>-454.05720000000002</v>
      </c>
      <c r="H1964" s="1">
        <v>8.034413E-7</v>
      </c>
      <c r="I1964">
        <v>280.47059999999999</v>
      </c>
      <c r="J1964">
        <v>-426.80599999999998</v>
      </c>
      <c r="K1964">
        <v>1.1105769999999999</v>
      </c>
      <c r="L1964">
        <v>285.85270000000003</v>
      </c>
      <c r="M1964">
        <v>-0.99991649999999999</v>
      </c>
      <c r="N1964">
        <v>-9.9710900000000002E-3</v>
      </c>
      <c r="O1964">
        <v>8.2367129999999997E-3</v>
      </c>
      <c r="P1964">
        <v>-0.92873910000000004</v>
      </c>
      <c r="Q1964">
        <v>0.3669616</v>
      </c>
      <c r="R1964">
        <v>-5.2758869999999999E-2</v>
      </c>
      <c r="S1964">
        <v>-3.2460019999999998</v>
      </c>
      <c r="T1964">
        <v>-0.13087180000000001</v>
      </c>
      <c r="U1964">
        <v>-0.63397219999999999</v>
      </c>
      <c r="V1964">
        <v>-6.0480409999999998E-2</v>
      </c>
      <c r="W1964">
        <v>0.37618760000000001</v>
      </c>
      <c r="X1964">
        <v>0.92456749999999999</v>
      </c>
      <c r="Y1964">
        <v>-0.19956499999999999</v>
      </c>
      <c r="Z1964">
        <v>-5.2361439999999999E-3</v>
      </c>
      <c r="AA1964">
        <v>0.97987060000000004</v>
      </c>
      <c r="AB1964">
        <v>31</v>
      </c>
      <c r="AC1964">
        <v>-27.251200000000001</v>
      </c>
      <c r="AD1964">
        <v>-1.1105761965587</v>
      </c>
      <c r="AE1964">
        <v>-5.3821000000000296</v>
      </c>
      <c r="AF1964">
        <v>-5.59744144879987</v>
      </c>
      <c r="AG1964">
        <v>-1.1105761965587</v>
      </c>
      <c r="AH1964">
        <v>27.162523706743901</v>
      </c>
      <c r="AI1964">
        <v>92.293179192887905</v>
      </c>
      <c r="AJ1964">
        <v>101.64406959593801</v>
      </c>
      <c r="AK1964">
        <v>27.755493589207401</v>
      </c>
      <c r="AL1964">
        <v>67.902267810599895</v>
      </c>
      <c r="AM1964">
        <v>93.742660370017703</v>
      </c>
      <c r="AN1964">
        <v>1.00000002622188</v>
      </c>
    </row>
    <row r="1965" spans="1:40" x14ac:dyDescent="0.25">
      <c r="A1965" t="str">
        <f>"20190304164637581"</f>
        <v>20190304164637581</v>
      </c>
      <c r="B1965" t="str">
        <f>"1551689197570290"</f>
        <v>1551689197570290</v>
      </c>
      <c r="C1965" t="s">
        <v>40</v>
      </c>
      <c r="D1965">
        <v>3.8083610000000001</v>
      </c>
      <c r="E1965">
        <v>0.45781060000000001</v>
      </c>
      <c r="F1965" t="s">
        <v>49</v>
      </c>
      <c r="G1965">
        <v>-454.25839999999999</v>
      </c>
      <c r="H1965" s="1">
        <v>9.0802119999999996E-7</v>
      </c>
      <c r="I1965">
        <v>280.52820000000003</v>
      </c>
      <c r="J1965">
        <v>-427.12169999999998</v>
      </c>
      <c r="K1965">
        <v>1.1105849999999999</v>
      </c>
      <c r="L1965">
        <v>285.85520000000002</v>
      </c>
      <c r="M1965">
        <v>-0.99991669999999999</v>
      </c>
      <c r="N1965">
        <v>-1.0034950000000001E-2</v>
      </c>
      <c r="O1965">
        <v>8.1258770000000001E-3</v>
      </c>
      <c r="P1965">
        <v>-0.92877209999999999</v>
      </c>
      <c r="Q1965">
        <v>0.3667648</v>
      </c>
      <c r="R1965">
        <v>-5.3534409999999998E-2</v>
      </c>
      <c r="S1965">
        <v>-3.2463069999999998</v>
      </c>
      <c r="T1965">
        <v>-0.1313279</v>
      </c>
      <c r="U1965">
        <v>-0.6296387</v>
      </c>
      <c r="V1965">
        <v>-6.1153770000000003E-2</v>
      </c>
      <c r="W1965">
        <v>0.37604969999999999</v>
      </c>
      <c r="X1965">
        <v>0.92457929999999999</v>
      </c>
      <c r="Y1965">
        <v>-0.19817850000000001</v>
      </c>
      <c r="Z1965">
        <v>-5.2189489999999996E-3</v>
      </c>
      <c r="AA1965">
        <v>0.98015209999999997</v>
      </c>
      <c r="AB1965">
        <v>31</v>
      </c>
      <c r="AC1965">
        <v>-27.136700000000001</v>
      </c>
      <c r="AD1965">
        <v>-1.1105840919787999</v>
      </c>
      <c r="AE1965">
        <v>-5.3269999999999902</v>
      </c>
      <c r="AF1965">
        <v>-5.5384125924337901</v>
      </c>
      <c r="AG1965">
        <v>-1.1105840919787999</v>
      </c>
      <c r="AH1965">
        <v>27.048892074962801</v>
      </c>
      <c r="AI1965">
        <v>92.303415789116002</v>
      </c>
      <c r="AJ1965">
        <v>101.571688184718</v>
      </c>
      <c r="AK1965">
        <v>27.632408030288801</v>
      </c>
      <c r="AL1965">
        <v>67.910794923684605</v>
      </c>
      <c r="AM1965">
        <v>93.784160797605594</v>
      </c>
      <c r="AN1965">
        <v>1.00000002122189</v>
      </c>
    </row>
    <row r="1966" spans="1:40" x14ac:dyDescent="0.25">
      <c r="A1966" t="str">
        <f>"20190304164637603"</f>
        <v>20190304164637603</v>
      </c>
      <c r="B1966" t="str">
        <f>"1551689197600546"</f>
        <v>1551689197600546</v>
      </c>
      <c r="C1966" t="s">
        <v>40</v>
      </c>
      <c r="D1966">
        <v>3.8177370000000002</v>
      </c>
      <c r="E1966">
        <v>0.45823199999999997</v>
      </c>
      <c r="F1966" t="s">
        <v>49</v>
      </c>
      <c r="G1966">
        <v>-454.29450000000003</v>
      </c>
      <c r="H1966" s="1">
        <v>9.2429059999999998E-7</v>
      </c>
      <c r="I1966">
        <v>280.5958</v>
      </c>
      <c r="J1966">
        <v>-427.43239999999997</v>
      </c>
      <c r="K1966">
        <v>1.110595</v>
      </c>
      <c r="L1966">
        <v>285.85770000000002</v>
      </c>
      <c r="M1966">
        <v>-0.99991699999999994</v>
      </c>
      <c r="N1966">
        <v>-1.010632E-2</v>
      </c>
      <c r="O1966">
        <v>8.01672199999999E-3</v>
      </c>
      <c r="P1966">
        <v>-0.92883649999999995</v>
      </c>
      <c r="Q1966">
        <v>0.36651610000000001</v>
      </c>
      <c r="R1966">
        <v>-5.4122860000000002E-2</v>
      </c>
      <c r="S1966">
        <v>-3.2462770000000001</v>
      </c>
      <c r="T1966">
        <v>-0.13267909999999999</v>
      </c>
      <c r="U1966">
        <v>-0.62832639999999995</v>
      </c>
      <c r="V1966">
        <v>-6.1641439999999999E-2</v>
      </c>
      <c r="W1966">
        <v>0.37586760000000002</v>
      </c>
      <c r="X1966">
        <v>0.92462089999999997</v>
      </c>
      <c r="Y1966">
        <v>-0.1976878</v>
      </c>
      <c r="Z1966">
        <v>-5.2540919999999897E-3</v>
      </c>
      <c r="AA1966">
        <v>0.98025099999999998</v>
      </c>
      <c r="AB1966">
        <v>31</v>
      </c>
      <c r="AC1966">
        <v>-26.862100000000002</v>
      </c>
      <c r="AD1966">
        <v>-1.1105940757093999</v>
      </c>
      <c r="AE1966">
        <v>-5.2619000000000202</v>
      </c>
      <c r="AF1966">
        <v>-5.46808636492365</v>
      </c>
      <c r="AG1966">
        <v>-1.1105940757093999</v>
      </c>
      <c r="AH1966">
        <v>26.774974866151599</v>
      </c>
      <c r="AI1966">
        <v>92.327218310645094</v>
      </c>
      <c r="AJ1966">
        <v>101.542438796666</v>
      </c>
      <c r="AK1966">
        <v>27.350185863688601</v>
      </c>
      <c r="AL1966">
        <v>67.922053206495093</v>
      </c>
      <c r="AM1966">
        <v>93.814077713277797</v>
      </c>
      <c r="AN1966">
        <v>0.99999996428592097</v>
      </c>
    </row>
    <row r="1967" spans="1:40" x14ac:dyDescent="0.25">
      <c r="A1967" t="str">
        <f>"20190304164637625"</f>
        <v>20190304164637625</v>
      </c>
      <c r="B1967" t="str">
        <f>"1551689197620066"</f>
        <v>1551689197620066</v>
      </c>
      <c r="C1967" t="s">
        <v>40</v>
      </c>
      <c r="D1967">
        <v>3.8171200000000001</v>
      </c>
      <c r="E1967">
        <v>0.45842650000000001</v>
      </c>
      <c r="F1967" t="s">
        <v>49</v>
      </c>
      <c r="G1967">
        <v>-454.44400000000002</v>
      </c>
      <c r="H1967" s="1">
        <v>1.0017009999999999E-6</v>
      </c>
      <c r="I1967">
        <v>280.64479999999998</v>
      </c>
      <c r="J1967">
        <v>-427.7559</v>
      </c>
      <c r="K1967">
        <v>1.1106039999999999</v>
      </c>
      <c r="L1967">
        <v>285.86009999999999</v>
      </c>
      <c r="M1967">
        <v>-0.9999169</v>
      </c>
      <c r="N1967">
        <v>-1.018901E-2</v>
      </c>
      <c r="O1967">
        <v>7.9016009999999994E-3</v>
      </c>
      <c r="P1967">
        <v>-0.92898349999999996</v>
      </c>
      <c r="Q1967">
        <v>0.36617450000000001</v>
      </c>
      <c r="R1967">
        <v>-5.390855E-2</v>
      </c>
      <c r="S1967">
        <v>-3.2460330000000002</v>
      </c>
      <c r="T1967">
        <v>-0.1334621</v>
      </c>
      <c r="U1967">
        <v>-0.6264343</v>
      </c>
      <c r="V1967">
        <v>-6.1322679999999997E-2</v>
      </c>
      <c r="W1967">
        <v>0.37560379999999999</v>
      </c>
      <c r="X1967">
        <v>0.9247493</v>
      </c>
      <c r="Y1967">
        <v>-0.19703609999999999</v>
      </c>
      <c r="Z1967">
        <v>-5.2675509999999997E-3</v>
      </c>
      <c r="AA1967">
        <v>0.98038210000000003</v>
      </c>
      <c r="AB1967">
        <v>31</v>
      </c>
      <c r="AC1967">
        <v>-26.688099999999999</v>
      </c>
      <c r="AD1967">
        <v>-1.110602998299</v>
      </c>
      <c r="AE1967">
        <v>-5.2153000000000098</v>
      </c>
      <c r="AF1967">
        <v>-5.4169910712197096</v>
      </c>
      <c r="AG1967">
        <v>-1.110602998299</v>
      </c>
      <c r="AH1967">
        <v>26.601682728225502</v>
      </c>
      <c r="AI1967">
        <v>92.342651007432806</v>
      </c>
      <c r="AJ1967">
        <v>101.509963454542</v>
      </c>
      <c r="AK1967">
        <v>27.170328582088899</v>
      </c>
      <c r="AL1967">
        <v>67.938363185405905</v>
      </c>
      <c r="AM1967">
        <v>93.793886824652603</v>
      </c>
      <c r="AN1967">
        <v>0.99999997675365504</v>
      </c>
    </row>
    <row r="1968" spans="1:40" x14ac:dyDescent="0.25">
      <c r="A1968" t="str">
        <f>"20190304164637653"</f>
        <v>20190304164637653</v>
      </c>
      <c r="B1968" t="str">
        <f>"1551689197640562"</f>
        <v>1551689197640562</v>
      </c>
      <c r="C1968" t="s">
        <v>40</v>
      </c>
      <c r="D1968">
        <v>3.8314819999999998</v>
      </c>
      <c r="E1968">
        <v>0.45856089999999999</v>
      </c>
      <c r="F1968" t="s">
        <v>49</v>
      </c>
      <c r="G1968">
        <v>-454.67430000000002</v>
      </c>
      <c r="H1968" s="1">
        <v>1.122584E-6</v>
      </c>
      <c r="I1968">
        <v>280.6825</v>
      </c>
      <c r="J1968">
        <v>-428.13850000000002</v>
      </c>
      <c r="K1968">
        <v>1.1106229999999999</v>
      </c>
      <c r="L1968">
        <v>285.863</v>
      </c>
      <c r="M1968">
        <v>-0.99991699999999994</v>
      </c>
      <c r="N1968">
        <v>-1.029424E-2</v>
      </c>
      <c r="O1968">
        <v>7.7607669999999896E-3</v>
      </c>
      <c r="P1968">
        <v>-0.92911699999999997</v>
      </c>
      <c r="Q1968">
        <v>0.36575829999999998</v>
      </c>
      <c r="R1968">
        <v>-5.4430369999999999E-2</v>
      </c>
      <c r="S1968">
        <v>-3.2458800000000001</v>
      </c>
      <c r="T1968">
        <v>-0.13391910000000001</v>
      </c>
      <c r="U1968">
        <v>-0.62432860000000001</v>
      </c>
      <c r="V1968">
        <v>-6.171753E-2</v>
      </c>
      <c r="W1968">
        <v>0.37528610000000001</v>
      </c>
      <c r="X1968">
        <v>0.92485209999999995</v>
      </c>
      <c r="Y1968">
        <v>-0.1962923</v>
      </c>
      <c r="Z1968">
        <v>-5.269045E-3</v>
      </c>
      <c r="AA1968">
        <v>0.98053129999999999</v>
      </c>
      <c r="AB1968">
        <v>31</v>
      </c>
      <c r="AC1968">
        <v>-26.535799999999899</v>
      </c>
      <c r="AD1968">
        <v>-1.1106218774159999</v>
      </c>
      <c r="AE1968">
        <v>-5.1804999999999897</v>
      </c>
      <c r="AF1968">
        <v>-5.3772193954687602</v>
      </c>
      <c r="AG1968">
        <v>-1.1106218774159999</v>
      </c>
      <c r="AH1968">
        <v>26.4501614690057</v>
      </c>
      <c r="AI1968">
        <v>92.356250958197606</v>
      </c>
      <c r="AJ1968">
        <v>101.49141572149099</v>
      </c>
      <c r="AK1968">
        <v>27.0140521047486</v>
      </c>
      <c r="AL1968">
        <v>67.958004696034394</v>
      </c>
      <c r="AM1968">
        <v>93.817820061196798</v>
      </c>
      <c r="AN1968">
        <v>1.0000000586184501</v>
      </c>
    </row>
    <row r="1969" spans="1:40" x14ac:dyDescent="0.25">
      <c r="A1969" t="str">
        <f>"20190304164637672"</f>
        <v>20190304164637672</v>
      </c>
      <c r="B1969" t="str">
        <f>"1551689197661058"</f>
        <v>1551689197661058</v>
      </c>
      <c r="C1969" t="s">
        <v>40</v>
      </c>
      <c r="D1969">
        <v>3.8325269999999998</v>
      </c>
      <c r="E1969">
        <v>0.45873609999999998</v>
      </c>
      <c r="F1969" t="s">
        <v>49</v>
      </c>
      <c r="G1969">
        <v>-454.87729999999999</v>
      </c>
      <c r="H1969" s="1">
        <v>1.229293E-6</v>
      </c>
      <c r="I1969">
        <v>280.71359999999999</v>
      </c>
      <c r="J1969">
        <v>-428.40890000000002</v>
      </c>
      <c r="K1969">
        <v>1.110636</v>
      </c>
      <c r="L1969">
        <v>285.86500000000001</v>
      </c>
      <c r="M1969">
        <v>-0.99991699999999994</v>
      </c>
      <c r="N1969">
        <v>-1.036919E-2</v>
      </c>
      <c r="O1969">
        <v>7.658415E-3</v>
      </c>
      <c r="P1969">
        <v>-0.92918900000000004</v>
      </c>
      <c r="Q1969">
        <v>0.36556919999999998</v>
      </c>
      <c r="R1969">
        <v>-5.4471949999999998E-2</v>
      </c>
      <c r="S1969">
        <v>-3.2453609999999999</v>
      </c>
      <c r="T1969">
        <v>-0.1347989</v>
      </c>
      <c r="U1969">
        <v>-0.625</v>
      </c>
      <c r="V1969">
        <v>-6.1666499999999999E-2</v>
      </c>
      <c r="W1969">
        <v>0.37516670000000002</v>
      </c>
      <c r="X1969">
        <v>0.9249039</v>
      </c>
      <c r="Y1969">
        <v>-0.1964138</v>
      </c>
      <c r="Z1969">
        <v>-5.304909E-3</v>
      </c>
      <c r="AA1969">
        <v>0.98050669999999995</v>
      </c>
      <c r="AB1969">
        <v>31</v>
      </c>
      <c r="AC1969">
        <v>-26.4683999999999</v>
      </c>
      <c r="AD1969">
        <v>-1.1106347707069999</v>
      </c>
      <c r="AE1969">
        <v>-5.1514000000000202</v>
      </c>
      <c r="AF1969">
        <v>-5.3448984429992104</v>
      </c>
      <c r="AG1969">
        <v>-1.1106347707069999</v>
      </c>
      <c r="AH1969">
        <v>26.383411939153</v>
      </c>
      <c r="AI1969">
        <v>92.362559761634202</v>
      </c>
      <c r="AJ1969">
        <v>101.45230564371199</v>
      </c>
      <c r="AK1969">
        <v>26.942269290297801</v>
      </c>
      <c r="AL1969">
        <v>67.965384109902402</v>
      </c>
      <c r="AM1969">
        <v>93.814459678091694</v>
      </c>
      <c r="AN1969">
        <v>1.00000001712317</v>
      </c>
    </row>
    <row r="1970" spans="1:40" x14ac:dyDescent="0.25">
      <c r="A1970" t="str">
        <f>"20190304164637694"</f>
        <v>20190304164637694</v>
      </c>
      <c r="B1970" t="str">
        <f>"1551689197690338"</f>
        <v>1551689197690338</v>
      </c>
      <c r="C1970" t="s">
        <v>40</v>
      </c>
      <c r="D1970">
        <v>3.8366090000000002</v>
      </c>
      <c r="E1970">
        <v>0.45888250000000003</v>
      </c>
      <c r="F1970" t="s">
        <v>49</v>
      </c>
      <c r="G1970">
        <v>-455.01060000000001</v>
      </c>
      <c r="H1970" s="1">
        <v>1.2984600000000001E-6</v>
      </c>
      <c r="I1970">
        <v>280.75319999999999</v>
      </c>
      <c r="J1970">
        <v>-428.70069999999998</v>
      </c>
      <c r="K1970">
        <v>1.1106419999999999</v>
      </c>
      <c r="L1970">
        <v>285.86709999999999</v>
      </c>
      <c r="M1970">
        <v>-0.99991699999999994</v>
      </c>
      <c r="N1970">
        <v>-1.0445640000000001E-2</v>
      </c>
      <c r="O1970">
        <v>7.5429269999999996E-3</v>
      </c>
      <c r="P1970">
        <v>-0.92908290000000004</v>
      </c>
      <c r="Q1970">
        <v>0.36585010000000001</v>
      </c>
      <c r="R1970">
        <v>-5.4392999999999997E-2</v>
      </c>
      <c r="S1970">
        <v>-3.2453609999999999</v>
      </c>
      <c r="T1970">
        <v>-0.13549549999999999</v>
      </c>
      <c r="U1970">
        <v>-0.62362669999999998</v>
      </c>
      <c r="V1970">
        <v>-6.1483320000000001E-2</v>
      </c>
      <c r="W1970">
        <v>0.3755172</v>
      </c>
      <c r="X1970">
        <v>0.92477379999999998</v>
      </c>
      <c r="Y1970">
        <v>-0.19589870000000001</v>
      </c>
      <c r="Z1970">
        <v>-5.3175870000000004E-3</v>
      </c>
      <c r="AA1970">
        <v>0.98060970000000003</v>
      </c>
      <c r="AB1970">
        <v>31</v>
      </c>
      <c r="AC1970">
        <v>-26.309899999999999</v>
      </c>
      <c r="AD1970">
        <v>-1.1106407015399999</v>
      </c>
      <c r="AE1970">
        <v>-5.1139000000000001</v>
      </c>
      <c r="AF1970">
        <v>-5.3031128464581796</v>
      </c>
      <c r="AG1970">
        <v>-1.1106407015399999</v>
      </c>
      <c r="AH1970">
        <v>26.225542885968899</v>
      </c>
      <c r="AI1970">
        <v>92.376950562360904</v>
      </c>
      <c r="AJ1970">
        <v>101.431730270122</v>
      </c>
      <c r="AK1970">
        <v>26.779388123965401</v>
      </c>
      <c r="AL1970">
        <v>67.943716831522593</v>
      </c>
      <c r="AM1970">
        <v>93.803695618869497</v>
      </c>
      <c r="AN1970">
        <v>0.99999997365025095</v>
      </c>
    </row>
    <row r="1971" spans="1:40" x14ac:dyDescent="0.25">
      <c r="A1971" t="str">
        <f>"20190304164637715"</f>
        <v>20190304164637715</v>
      </c>
      <c r="B1971" t="str">
        <f>"1551689197709857"</f>
        <v>1551689197709857</v>
      </c>
      <c r="C1971" t="s">
        <v>40</v>
      </c>
      <c r="D1971">
        <v>3.8413140000000001</v>
      </c>
      <c r="E1971">
        <v>0.45890940000000002</v>
      </c>
      <c r="F1971" t="s">
        <v>49</v>
      </c>
      <c r="G1971">
        <v>-455.5127</v>
      </c>
      <c r="H1971" s="1">
        <v>1.5667989999999999E-6</v>
      </c>
      <c r="I1971">
        <v>280.72680000000003</v>
      </c>
      <c r="J1971">
        <v>-429.01339999999999</v>
      </c>
      <c r="K1971">
        <v>1.1106640000000001</v>
      </c>
      <c r="L1971">
        <v>285.86930000000001</v>
      </c>
      <c r="M1971">
        <v>-0.99991719999999895</v>
      </c>
      <c r="N1971">
        <v>-1.052139E-2</v>
      </c>
      <c r="O1971">
        <v>7.4107879999999998E-3</v>
      </c>
      <c r="P1971">
        <v>-0.9290062</v>
      </c>
      <c r="Q1971">
        <v>0.36603649999999999</v>
      </c>
      <c r="R1971">
        <v>-5.445005E-2</v>
      </c>
      <c r="S1971">
        <v>-3.2455440000000002</v>
      </c>
      <c r="T1971">
        <v>-0.13444139999999999</v>
      </c>
      <c r="U1971">
        <v>-0.62222290000000002</v>
      </c>
      <c r="V1971">
        <v>-6.1421799999999999E-2</v>
      </c>
      <c r="W1971">
        <v>0.37577179999999999</v>
      </c>
      <c r="X1971">
        <v>0.92467449999999995</v>
      </c>
      <c r="Y1971">
        <v>-0.1953531</v>
      </c>
      <c r="Z1971">
        <v>-5.2723419999999898E-3</v>
      </c>
      <c r="AA1971">
        <v>0.9807188</v>
      </c>
      <c r="AB1971">
        <v>31</v>
      </c>
      <c r="AC1971">
        <v>-26.499300000000002</v>
      </c>
      <c r="AD1971">
        <v>-1.11066243320099</v>
      </c>
      <c r="AE1971">
        <v>-5.1424999999999796</v>
      </c>
      <c r="AF1971">
        <v>-5.3297274497820402</v>
      </c>
      <c r="AG1971">
        <v>-1.11066243320099</v>
      </c>
      <c r="AH1971">
        <v>26.415740022288301</v>
      </c>
      <c r="AI1971">
        <v>92.360106865828001</v>
      </c>
      <c r="AJ1971">
        <v>101.407044533334</v>
      </c>
      <c r="AK1971">
        <v>26.970926692544399</v>
      </c>
      <c r="AL1971">
        <v>67.927977345563505</v>
      </c>
      <c r="AM1971">
        <v>93.800307682355495</v>
      </c>
      <c r="AN1971">
        <v>1.0000000070703601</v>
      </c>
    </row>
    <row r="1972" spans="1:40" x14ac:dyDescent="0.25">
      <c r="A1972" t="str">
        <f>"20190304164637737"</f>
        <v>20190304164637737</v>
      </c>
      <c r="B1972" t="str">
        <f>"1551689197730354"</f>
        <v>1551689197730354</v>
      </c>
      <c r="C1972" t="s">
        <v>40</v>
      </c>
      <c r="D1972">
        <v>3.8581340000000002</v>
      </c>
      <c r="E1972">
        <v>0.45879199999999998</v>
      </c>
      <c r="F1972" t="s">
        <v>49</v>
      </c>
      <c r="G1972">
        <v>-455.97239999999999</v>
      </c>
      <c r="H1972" s="1">
        <v>1.812539E-6</v>
      </c>
      <c r="I1972">
        <v>280.702</v>
      </c>
      <c r="J1972">
        <v>-429.32440000000003</v>
      </c>
      <c r="K1972">
        <v>1.1106739999999999</v>
      </c>
      <c r="L1972">
        <v>285.87150000000003</v>
      </c>
      <c r="M1972">
        <v>-0.99991750000000001</v>
      </c>
      <c r="N1972">
        <v>-1.0589700000000001E-2</v>
      </c>
      <c r="O1972">
        <v>7.269546E-3</v>
      </c>
      <c r="P1972">
        <v>-0.92889730000000004</v>
      </c>
      <c r="Q1972">
        <v>0.3662107</v>
      </c>
      <c r="R1972">
        <v>-5.5133750000000002E-2</v>
      </c>
      <c r="S1972">
        <v>-3.2454830000000001</v>
      </c>
      <c r="T1972">
        <v>-0.13370779999999999</v>
      </c>
      <c r="U1972">
        <v>-0.62207029999999996</v>
      </c>
      <c r="V1972">
        <v>-6.1979340000000001E-2</v>
      </c>
      <c r="W1972">
        <v>0.37600679999999997</v>
      </c>
      <c r="X1972">
        <v>0.92454170000000002</v>
      </c>
      <c r="Y1972">
        <v>-0.1951755</v>
      </c>
      <c r="Z1972">
        <v>-5.2462979999999999E-3</v>
      </c>
      <c r="AA1972">
        <v>0.98075429999999997</v>
      </c>
      <c r="AB1972">
        <v>31</v>
      </c>
      <c r="AC1972">
        <v>-26.6479999999999</v>
      </c>
      <c r="AD1972">
        <v>-1.1106721874609999</v>
      </c>
      <c r="AE1972">
        <v>-5.1695000000000197</v>
      </c>
      <c r="AF1972">
        <v>-5.3541294060588003</v>
      </c>
      <c r="AG1972">
        <v>-1.1106721874609999</v>
      </c>
      <c r="AH1972">
        <v>26.565239111609401</v>
      </c>
      <c r="AI1972">
        <v>92.346959080769807</v>
      </c>
      <c r="AJ1972">
        <v>101.395103775748</v>
      </c>
      <c r="AK1972">
        <v>27.1221721744738</v>
      </c>
      <c r="AL1972">
        <v>67.913446025684095</v>
      </c>
      <c r="AM1972">
        <v>93.835250667580993</v>
      </c>
      <c r="AN1972">
        <v>0.99999995363598104</v>
      </c>
    </row>
    <row r="1973" spans="1:40" x14ac:dyDescent="0.25">
      <c r="A1973" t="str">
        <f>"20190304164637759"</f>
        <v>20190304164637759</v>
      </c>
      <c r="B1973" t="str">
        <f>"1551689197749874"</f>
        <v>1551689197749874</v>
      </c>
      <c r="C1973" t="s">
        <v>40</v>
      </c>
      <c r="D1973">
        <v>3.8361869999999998</v>
      </c>
      <c r="E1973">
        <v>0.45857510000000001</v>
      </c>
      <c r="F1973" t="s">
        <v>49</v>
      </c>
      <c r="G1973">
        <v>-456.47609999999997</v>
      </c>
      <c r="H1973" s="1">
        <v>2.0833839999999998E-6</v>
      </c>
      <c r="I1973">
        <v>280.63760000000002</v>
      </c>
      <c r="J1973">
        <v>-429.63310000000001</v>
      </c>
      <c r="K1973">
        <v>1.1106830000000001</v>
      </c>
      <c r="L1973">
        <v>285.87349999999998</v>
      </c>
      <c r="M1973">
        <v>-0.99991810000000003</v>
      </c>
      <c r="N1973">
        <v>-1.0651010000000001E-2</v>
      </c>
      <c r="O1973">
        <v>7.121006E-3</v>
      </c>
      <c r="P1973">
        <v>-0.92886919999999995</v>
      </c>
      <c r="Q1973">
        <v>0.3662282</v>
      </c>
      <c r="R1973">
        <v>-5.549229E-2</v>
      </c>
      <c r="S1973">
        <v>-3.2448429999999999</v>
      </c>
      <c r="T1973">
        <v>-0.13273389999999999</v>
      </c>
      <c r="U1973">
        <v>-0.6254883</v>
      </c>
      <c r="V1973">
        <v>-6.2205719999999999E-2</v>
      </c>
      <c r="W1973">
        <v>0.37607970000000002</v>
      </c>
      <c r="X1973">
        <v>0.92449689999999995</v>
      </c>
      <c r="Y1973">
        <v>-0.1960635</v>
      </c>
      <c r="Z1973">
        <v>-5.2395760000000001E-3</v>
      </c>
      <c r="AA1973">
        <v>0.98057720000000004</v>
      </c>
      <c r="AB1973">
        <v>31</v>
      </c>
      <c r="AC1973">
        <v>-26.8429999999999</v>
      </c>
      <c r="AD1973">
        <v>-1.1106809166159901</v>
      </c>
      <c r="AE1973">
        <v>-5.2358999999999503</v>
      </c>
      <c r="AF1973">
        <v>-5.4179913137074696</v>
      </c>
      <c r="AG1973">
        <v>-1.1106809166159901</v>
      </c>
      <c r="AH1973">
        <v>26.760895615234599</v>
      </c>
      <c r="AI1973">
        <v>92.329424793330006</v>
      </c>
      <c r="AJ1973">
        <v>101.44535435528</v>
      </c>
      <c r="AK1973">
        <v>27.3264299919222</v>
      </c>
      <c r="AL1973">
        <v>67.908939505875097</v>
      </c>
      <c r="AM1973">
        <v>93.849402881482604</v>
      </c>
      <c r="AN1973">
        <v>1.0000000052311999</v>
      </c>
    </row>
    <row r="1974" spans="1:40" x14ac:dyDescent="0.25">
      <c r="A1974" t="str">
        <f>"20190304164637782"</f>
        <v>20190304164637782</v>
      </c>
      <c r="B1974" t="str">
        <f>"1551689197770371"</f>
        <v>1551689197770371</v>
      </c>
      <c r="C1974" t="s">
        <v>40</v>
      </c>
      <c r="D1974">
        <v>3.8392949999999999</v>
      </c>
      <c r="E1974">
        <v>0.45837440000000002</v>
      </c>
      <c r="F1974" t="s">
        <v>49</v>
      </c>
      <c r="G1974">
        <v>-456.77839999999998</v>
      </c>
      <c r="H1974" s="1">
        <v>2.245067E-6</v>
      </c>
      <c r="I1974">
        <v>280.61900000000003</v>
      </c>
      <c r="J1974">
        <v>-429.94740000000002</v>
      </c>
      <c r="K1974">
        <v>1.1107</v>
      </c>
      <c r="L1974">
        <v>285.87560000000002</v>
      </c>
      <c r="M1974">
        <v>-0.99991859999999999</v>
      </c>
      <c r="N1974">
        <v>-1.070873E-2</v>
      </c>
      <c r="O1974">
        <v>6.9599579999999996E-3</v>
      </c>
      <c r="P1974">
        <v>-0.92880359999999995</v>
      </c>
      <c r="Q1974">
        <v>0.36628450000000001</v>
      </c>
      <c r="R1974">
        <v>-5.6213480000000003E-2</v>
      </c>
      <c r="S1974">
        <v>-3.2445680000000001</v>
      </c>
      <c r="T1974">
        <v>-0.13275490000000001</v>
      </c>
      <c r="U1974">
        <v>-0.62805180000000005</v>
      </c>
      <c r="V1974">
        <v>-6.2784209999999993E-2</v>
      </c>
      <c r="W1974">
        <v>0.37618760000000001</v>
      </c>
      <c r="X1974">
        <v>0.92441390000000001</v>
      </c>
      <c r="Y1974">
        <v>-0.19666690000000001</v>
      </c>
      <c r="Z1974">
        <v>-5.2563489999999996E-3</v>
      </c>
      <c r="AA1974">
        <v>0.98045629999999995</v>
      </c>
      <c r="AB1974">
        <v>31</v>
      </c>
      <c r="AC1974">
        <v>-26.8309999999999</v>
      </c>
      <c r="AD1974">
        <v>-1.1106977549329999</v>
      </c>
      <c r="AE1974">
        <v>-5.2565999999999899</v>
      </c>
      <c r="AF1974">
        <v>-5.43425786929296</v>
      </c>
      <c r="AG1974">
        <v>-1.1106977549329999</v>
      </c>
      <c r="AH1974">
        <v>26.749617589713299</v>
      </c>
      <c r="AI1974">
        <v>92.330126686838597</v>
      </c>
      <c r="AJ1974">
        <v>101.483517262673</v>
      </c>
      <c r="AK1974">
        <v>27.318617265313499</v>
      </c>
      <c r="AL1974">
        <v>67.902267502234693</v>
      </c>
      <c r="AM1974">
        <v>93.885439527298999</v>
      </c>
      <c r="AN1974">
        <v>1.0000000129661399</v>
      </c>
    </row>
    <row r="1975" spans="1:40" x14ac:dyDescent="0.25">
      <c r="A1975" t="str">
        <f>"20190304164637804"</f>
        <v>20190304164637804</v>
      </c>
      <c r="B1975" t="str">
        <f>"1551689197800627"</f>
        <v>1551689197800627</v>
      </c>
      <c r="C1975" t="s">
        <v>40</v>
      </c>
      <c r="D1975">
        <v>3.827029</v>
      </c>
      <c r="E1975">
        <v>0.45831369999999999</v>
      </c>
      <c r="F1975" t="s">
        <v>49</v>
      </c>
      <c r="G1975">
        <v>-457.14949999999999</v>
      </c>
      <c r="H1975" s="1">
        <v>2.4440779999999998E-6</v>
      </c>
      <c r="I1975">
        <v>280.58370000000002</v>
      </c>
      <c r="J1975">
        <v>-430.26940000000002</v>
      </c>
      <c r="K1975">
        <v>1.1107149999999999</v>
      </c>
      <c r="L1975">
        <v>285.8777</v>
      </c>
      <c r="M1975">
        <v>-0.99991909999999895</v>
      </c>
      <c r="N1975">
        <v>-1.07689E-2</v>
      </c>
      <c r="O1975">
        <v>6.7826029999999999E-3</v>
      </c>
      <c r="P1975">
        <v>-0.92882889999999996</v>
      </c>
      <c r="Q1975">
        <v>0.36611510000000003</v>
      </c>
      <c r="R1975">
        <v>-5.6892680000000001E-2</v>
      </c>
      <c r="S1975">
        <v>-3.244049</v>
      </c>
      <c r="T1975">
        <v>-0.1324592</v>
      </c>
      <c r="U1975">
        <v>-0.63110350000000004</v>
      </c>
      <c r="V1975">
        <v>-6.3306609999999999E-2</v>
      </c>
      <c r="W1975">
        <v>0.37607309999999999</v>
      </c>
      <c r="X1975">
        <v>0.92442480000000005</v>
      </c>
      <c r="Y1975">
        <v>-0.197411</v>
      </c>
      <c r="Z1975">
        <v>-5.2666090000000002E-3</v>
      </c>
      <c r="AA1975">
        <v>0.98030669999999998</v>
      </c>
      <c r="AB1975">
        <v>32</v>
      </c>
      <c r="AC1975">
        <v>-26.880099999999899</v>
      </c>
      <c r="AD1975">
        <v>-1.1107125559219999</v>
      </c>
      <c r="AE1975">
        <v>-5.2939999999999801</v>
      </c>
      <c r="AF1975">
        <v>-5.4672195167406601</v>
      </c>
      <c r="AG1975">
        <v>-1.1107125559219999</v>
      </c>
      <c r="AH1975">
        <v>26.799522906084199</v>
      </c>
      <c r="AI1975">
        <v>92.325436587429294</v>
      </c>
      <c r="AJ1975">
        <v>101.53037021333</v>
      </c>
      <c r="AK1975">
        <v>27.374049748253299</v>
      </c>
      <c r="AL1975">
        <v>67.909346499608901</v>
      </c>
      <c r="AM1975">
        <v>93.917622265428605</v>
      </c>
      <c r="AN1975">
        <v>0.99999995713417</v>
      </c>
    </row>
    <row r="1976" spans="1:40" x14ac:dyDescent="0.25">
      <c r="A1976" t="str">
        <f>"20190304164637827"</f>
        <v>20190304164637827</v>
      </c>
      <c r="B1976" t="str">
        <f>"1551689197820146"</f>
        <v>1551689197820146</v>
      </c>
      <c r="C1976" t="s">
        <v>40</v>
      </c>
      <c r="D1976">
        <v>3.8418199999999998</v>
      </c>
      <c r="E1976">
        <v>0.45822429999999997</v>
      </c>
      <c r="F1976" t="s">
        <v>49</v>
      </c>
      <c r="G1976">
        <v>-457.40300000000002</v>
      </c>
      <c r="H1976" s="1">
        <v>2.579107E-6</v>
      </c>
      <c r="I1976">
        <v>280.58170000000001</v>
      </c>
      <c r="J1976">
        <v>-430.59030000000001</v>
      </c>
      <c r="K1976">
        <v>1.1107309999999999</v>
      </c>
      <c r="L1976">
        <v>285.87970000000001</v>
      </c>
      <c r="M1976">
        <v>-0.99991969999999997</v>
      </c>
      <c r="N1976">
        <v>-1.083047E-2</v>
      </c>
      <c r="O1976">
        <v>6.5909069999999896E-3</v>
      </c>
      <c r="P1976">
        <v>-0.9288362</v>
      </c>
      <c r="Q1976">
        <v>0.36599169999999998</v>
      </c>
      <c r="R1976">
        <v>-5.7562719999999998E-2</v>
      </c>
      <c r="S1976">
        <v>-3.243439</v>
      </c>
      <c r="T1976">
        <v>-0.13276969999999999</v>
      </c>
      <c r="U1976">
        <v>-0.63305659999999997</v>
      </c>
      <c r="V1976">
        <v>-6.3808840000000006E-2</v>
      </c>
      <c r="W1976">
        <v>0.37600470000000003</v>
      </c>
      <c r="X1976">
        <v>0.92441819999999997</v>
      </c>
      <c r="Y1976">
        <v>-0.1978249</v>
      </c>
      <c r="Z1976">
        <v>-5.2878769999999999E-3</v>
      </c>
      <c r="AA1976">
        <v>0.98022310000000001</v>
      </c>
      <c r="AB1976">
        <v>32</v>
      </c>
      <c r="AC1976">
        <v>-26.8127</v>
      </c>
      <c r="AD1976">
        <v>-1.1107284208929999</v>
      </c>
      <c r="AE1976">
        <v>-5.298</v>
      </c>
      <c r="AF1976">
        <v>-5.4655883886046901</v>
      </c>
      <c r="AG1976">
        <v>-1.1107284208929999</v>
      </c>
      <c r="AH1976">
        <v>26.733044962087099</v>
      </c>
      <c r="AI1976">
        <v>92.331042477749193</v>
      </c>
      <c r="AJ1976">
        <v>101.554916872159</v>
      </c>
      <c r="AK1976">
        <v>27.308644547168502</v>
      </c>
      <c r="AL1976">
        <v>67.913578243569503</v>
      </c>
      <c r="AM1976">
        <v>93.948632091374506</v>
      </c>
      <c r="AN1976">
        <v>1.00000005548773</v>
      </c>
    </row>
    <row r="1977" spans="1:40" x14ac:dyDescent="0.25">
      <c r="A1977" t="str">
        <f>"20190304164637850"</f>
        <v>20190304164637850</v>
      </c>
      <c r="B1977" t="str">
        <f>"1551689197840642"</f>
        <v>1551689197840642</v>
      </c>
      <c r="C1977" t="s">
        <v>40</v>
      </c>
      <c r="D1977">
        <v>3.8459080000000001</v>
      </c>
      <c r="E1977">
        <v>0.45814559999999999</v>
      </c>
      <c r="F1977" t="s">
        <v>49</v>
      </c>
      <c r="G1977">
        <v>-457.6703</v>
      </c>
      <c r="H1977" s="1">
        <v>2.7218310000000001E-6</v>
      </c>
      <c r="I1977">
        <v>280.57</v>
      </c>
      <c r="J1977">
        <v>-430.91669999999999</v>
      </c>
      <c r="K1977">
        <v>1.1107530000000001</v>
      </c>
      <c r="L1977">
        <v>285.88159999999999</v>
      </c>
      <c r="M1977">
        <v>-0.99992029999999998</v>
      </c>
      <c r="N1977">
        <v>-1.0893460000000001E-2</v>
      </c>
      <c r="O1977">
        <v>6.3794940000000003E-3</v>
      </c>
      <c r="P1977">
        <v>-0.92897529999999995</v>
      </c>
      <c r="Q1977">
        <v>0.36556569999999999</v>
      </c>
      <c r="R1977">
        <v>-5.8021690000000001E-2</v>
      </c>
      <c r="S1977">
        <v>-3.2428590000000002</v>
      </c>
      <c r="T1977">
        <v>-0.13301099999999999</v>
      </c>
      <c r="U1977">
        <v>-0.63583369999999995</v>
      </c>
      <c r="V1977">
        <v>-6.4084530000000001E-2</v>
      </c>
      <c r="W1977">
        <v>0.37563609999999997</v>
      </c>
      <c r="X1977">
        <v>0.92454890000000001</v>
      </c>
      <c r="Y1977">
        <v>-0.19845750000000001</v>
      </c>
      <c r="Z1977">
        <v>-5.3120440000000001E-3</v>
      </c>
      <c r="AA1977">
        <v>0.9800951</v>
      </c>
      <c r="AB1977">
        <v>32</v>
      </c>
      <c r="AC1977">
        <v>-26.753599999999999</v>
      </c>
      <c r="AD1977">
        <v>-1.110750278169</v>
      </c>
      <c r="AE1977">
        <v>-5.3115999999999897</v>
      </c>
      <c r="AF1977">
        <v>-5.4731000978202298</v>
      </c>
      <c r="AG1977">
        <v>-1.110750278169</v>
      </c>
      <c r="AH1977">
        <v>26.6749315840738</v>
      </c>
      <c r="AI1977">
        <v>92.335827669719905</v>
      </c>
      <c r="AJ1977">
        <v>101.594894637219</v>
      </c>
      <c r="AK1977">
        <v>27.253267067935699</v>
      </c>
      <c r="AL1977">
        <v>67.936366558621899</v>
      </c>
      <c r="AM1977">
        <v>93.965079262778005</v>
      </c>
      <c r="AN1977">
        <v>0.99999998754986996</v>
      </c>
    </row>
    <row r="1978" spans="1:40" x14ac:dyDescent="0.25">
      <c r="A1978" t="str">
        <f>"20190304164637871"</f>
        <v>20190304164637871</v>
      </c>
      <c r="B1978" t="str">
        <f>"1551689197860162"</f>
        <v>1551689197860162</v>
      </c>
      <c r="C1978" t="s">
        <v>40</v>
      </c>
      <c r="D1978">
        <v>3.972083</v>
      </c>
      <c r="E1978">
        <v>0.45820529999999998</v>
      </c>
      <c r="F1978" t="s">
        <v>49</v>
      </c>
      <c r="G1978">
        <v>-457.72620000000001</v>
      </c>
      <c r="H1978" s="1">
        <v>2.7496700000000001E-6</v>
      </c>
      <c r="I1978">
        <v>280.61360000000002</v>
      </c>
      <c r="J1978">
        <v>-431.21170000000001</v>
      </c>
      <c r="K1978">
        <v>1.110773</v>
      </c>
      <c r="L1978">
        <v>285.88330000000002</v>
      </c>
      <c r="M1978">
        <v>-0.99992099999999995</v>
      </c>
      <c r="N1978">
        <v>-1.095382E-2</v>
      </c>
      <c r="O1978">
        <v>6.1726219999999896E-3</v>
      </c>
      <c r="P1978">
        <v>-0.92911719999999998</v>
      </c>
      <c r="Q1978">
        <v>0.36510019999999999</v>
      </c>
      <c r="R1978">
        <v>-5.8679429999999998E-2</v>
      </c>
      <c r="S1978">
        <v>-3.2424010000000001</v>
      </c>
      <c r="T1978">
        <v>-0.1343365</v>
      </c>
      <c r="U1978">
        <v>-0.63711549999999995</v>
      </c>
      <c r="V1978">
        <v>-6.4562949999999994E-2</v>
      </c>
      <c r="W1978">
        <v>0.375226</v>
      </c>
      <c r="X1978">
        <v>0.92468209999999995</v>
      </c>
      <c r="Y1978">
        <v>-0.19864989999999999</v>
      </c>
      <c r="Z1978">
        <v>-5.3596779999999997E-3</v>
      </c>
      <c r="AA1978">
        <v>0.98005589999999998</v>
      </c>
      <c r="AB1978">
        <v>32</v>
      </c>
      <c r="AC1978">
        <v>-26.514500000000002</v>
      </c>
      <c r="AD1978">
        <v>-1.1107702503299901</v>
      </c>
      <c r="AE1978">
        <v>-5.2697000000000003</v>
      </c>
      <c r="AF1978">
        <v>-5.4241157077873501</v>
      </c>
      <c r="AG1978">
        <v>-1.1107702503299901</v>
      </c>
      <c r="AH1978">
        <v>26.436830960288901</v>
      </c>
      <c r="AI1978">
        <v>92.356886081252</v>
      </c>
      <c r="AJ1978">
        <v>101.594621235568</v>
      </c>
      <c r="AK1978">
        <v>27.010384539716799</v>
      </c>
      <c r="AL1978">
        <v>67.961717272917397</v>
      </c>
      <c r="AM1978">
        <v>93.994011342378599</v>
      </c>
      <c r="AN1978">
        <v>0.99999995582455503</v>
      </c>
    </row>
    <row r="1979" spans="1:40" x14ac:dyDescent="0.25">
      <c r="A1979" t="str">
        <f>"20190304164637893"</f>
        <v>20190304164637893</v>
      </c>
      <c r="B1979" t="str">
        <f>"1551689197890418"</f>
        <v>1551689197890418</v>
      </c>
      <c r="C1979" t="s">
        <v>40</v>
      </c>
      <c r="D1979">
        <v>3.9357190000000002</v>
      </c>
      <c r="E1979">
        <v>0.50164709999999901</v>
      </c>
      <c r="F1979" t="s">
        <v>49</v>
      </c>
      <c r="G1979">
        <v>-457.5915</v>
      </c>
      <c r="H1979" s="1">
        <v>2.6751309999999998E-6</v>
      </c>
      <c r="I1979">
        <v>280.67869999999999</v>
      </c>
      <c r="J1979">
        <v>-431.5213</v>
      </c>
      <c r="K1979">
        <v>1.1107940000000001</v>
      </c>
      <c r="L1979">
        <v>285.88490000000002</v>
      </c>
      <c r="M1979">
        <v>-0.99992170000000002</v>
      </c>
      <c r="N1979">
        <v>-1.1021990000000001E-2</v>
      </c>
      <c r="O1979">
        <v>5.9395810000000002E-3</v>
      </c>
      <c r="P1979">
        <v>-0.92911549999999998</v>
      </c>
      <c r="Q1979">
        <v>0.36500179999999999</v>
      </c>
      <c r="R1979">
        <v>-5.9314190000000003E-2</v>
      </c>
      <c r="S1979">
        <v>-3.2421259999999998</v>
      </c>
      <c r="T1979">
        <v>-0.1365161</v>
      </c>
      <c r="U1979">
        <v>-0.63964840000000001</v>
      </c>
      <c r="V1979">
        <v>-6.4994799999999894E-2</v>
      </c>
      <c r="W1979">
        <v>0.37518839999999998</v>
      </c>
      <c r="X1979">
        <v>0.92466709999999996</v>
      </c>
      <c r="Y1979">
        <v>-0.19916729999999999</v>
      </c>
      <c r="Z1979">
        <v>-5.442891E-3</v>
      </c>
      <c r="AA1979">
        <v>0.9799504</v>
      </c>
      <c r="AB1979">
        <v>32</v>
      </c>
      <c r="AC1979">
        <v>-26.0702</v>
      </c>
      <c r="AD1979">
        <v>-1.110791324869</v>
      </c>
      <c r="AE1979">
        <v>-5.2062000000000204</v>
      </c>
      <c r="AF1979">
        <v>-5.3516207828186397</v>
      </c>
      <c r="AG1979">
        <v>-1.110791324869</v>
      </c>
      <c r="AH1979">
        <v>25.993436362213199</v>
      </c>
      <c r="AI1979">
        <v>92.396753030482401</v>
      </c>
      <c r="AJ1979">
        <v>101.633699432358</v>
      </c>
      <c r="AK1979">
        <v>26.5618605577043</v>
      </c>
      <c r="AL1979">
        <v>67.964041319137706</v>
      </c>
      <c r="AM1979">
        <v>94.020704250740096</v>
      </c>
      <c r="AN1979">
        <v>0.99999995267200303</v>
      </c>
    </row>
    <row r="1980" spans="1:40" x14ac:dyDescent="0.25">
      <c r="A1980" t="str">
        <f>"20190304164637916"</f>
        <v>20190304164637916</v>
      </c>
      <c r="B1980" t="str">
        <f>"1551689197909938"</f>
        <v>1551689197909938</v>
      </c>
      <c r="C1980" t="s">
        <v>40</v>
      </c>
      <c r="D1980">
        <v>3.8911709999999999</v>
      </c>
      <c r="E1980">
        <v>0.50632820000000001</v>
      </c>
      <c r="F1980" t="s">
        <v>49</v>
      </c>
      <c r="G1980">
        <v>-448.8793</v>
      </c>
      <c r="H1980" s="1">
        <v>3.2023830000000002E-6</v>
      </c>
      <c r="I1980">
        <v>284.29450000000003</v>
      </c>
      <c r="J1980">
        <v>-431.84649999999999</v>
      </c>
      <c r="K1980">
        <v>1.1108229999999999</v>
      </c>
      <c r="L1980">
        <v>285.88659999999999</v>
      </c>
      <c r="M1980">
        <v>-0.99992239999999999</v>
      </c>
      <c r="N1980">
        <v>-1.1099799999999899E-2</v>
      </c>
      <c r="O1980">
        <v>5.6731439999999998E-3</v>
      </c>
      <c r="P1980">
        <v>-0.92892209999999997</v>
      </c>
      <c r="Q1980">
        <v>0.36529650000000002</v>
      </c>
      <c r="R1980">
        <v>-6.0517809999999998E-2</v>
      </c>
      <c r="S1980">
        <v>-3.2923580000000001</v>
      </c>
      <c r="T1980">
        <v>-0.21068790000000001</v>
      </c>
      <c r="U1980">
        <v>-0.3016663</v>
      </c>
      <c r="V1980">
        <v>-6.5963610000000006E-2</v>
      </c>
      <c r="W1980">
        <v>0.37554989999999999</v>
      </c>
      <c r="X1980">
        <v>0.92445180000000005</v>
      </c>
      <c r="Y1980">
        <v>-9.6654080000000003E-2</v>
      </c>
      <c r="Z1980">
        <v>-3.9203440000000001E-3</v>
      </c>
      <c r="AA1980">
        <v>0.99531029999999998</v>
      </c>
      <c r="AB1980">
        <v>32</v>
      </c>
      <c r="AC1980">
        <v>-17.032800000000002</v>
      </c>
      <c r="AD1980">
        <v>-1.110819797617</v>
      </c>
      <c r="AE1980">
        <v>-1.5920999999999501</v>
      </c>
      <c r="AF1980">
        <v>-1.6816195427423799</v>
      </c>
      <c r="AG1980">
        <v>-1.110819797617</v>
      </c>
      <c r="AH1980">
        <v>16.952017383596001</v>
      </c>
      <c r="AI1980">
        <v>93.730818122205804</v>
      </c>
      <c r="AJ1980">
        <v>95.665137870544498</v>
      </c>
      <c r="AK1980">
        <v>17.071398837911602</v>
      </c>
      <c r="AL1980">
        <v>67.941696560264106</v>
      </c>
      <c r="AM1980">
        <v>94.081382853305499</v>
      </c>
      <c r="AN1980">
        <v>1.00000002787874</v>
      </c>
    </row>
    <row r="1981" spans="1:40" x14ac:dyDescent="0.25">
      <c r="A1981" t="str">
        <f>"20190304164637938"</f>
        <v>20190304164637938</v>
      </c>
      <c r="B1981" t="str">
        <f>"1551689197930434"</f>
        <v>1551689197930434</v>
      </c>
      <c r="C1981" t="s">
        <v>40</v>
      </c>
      <c r="D1981">
        <v>3.9023629999999998</v>
      </c>
      <c r="E1981">
        <v>0.50841910000000001</v>
      </c>
      <c r="F1981" t="s">
        <v>49</v>
      </c>
      <c r="G1981">
        <v>-449.15969999999999</v>
      </c>
      <c r="H1981" s="1">
        <v>3.343329E-6</v>
      </c>
      <c r="I1981">
        <v>284.48410000000001</v>
      </c>
      <c r="J1981">
        <v>-432.15219999999999</v>
      </c>
      <c r="K1981">
        <v>1.1108450000000001</v>
      </c>
      <c r="L1981">
        <v>285.88799999999998</v>
      </c>
      <c r="M1981">
        <v>-0.99992289999999995</v>
      </c>
      <c r="N1981">
        <v>-1.1177319999999999E-2</v>
      </c>
      <c r="O1981">
        <v>5.4060499999999999E-3</v>
      </c>
      <c r="P1981">
        <v>-0.92899869999999996</v>
      </c>
      <c r="Q1981">
        <v>0.36488179999999998</v>
      </c>
      <c r="R1981">
        <v>-6.1831700000000003E-2</v>
      </c>
      <c r="S1981">
        <v>-3.2953190000000001</v>
      </c>
      <c r="T1981">
        <v>-0.21142839999999999</v>
      </c>
      <c r="U1981">
        <v>-0.26693729999999999</v>
      </c>
      <c r="V1981">
        <v>-6.704396E-2</v>
      </c>
      <c r="W1981">
        <v>0.37520520000000002</v>
      </c>
      <c r="X1981">
        <v>0.92451410000000001</v>
      </c>
      <c r="Y1981">
        <v>-8.5914240000000003E-2</v>
      </c>
      <c r="Z1981">
        <v>-3.5160170000000002E-3</v>
      </c>
      <c r="AA1981">
        <v>0.99629630000000002</v>
      </c>
      <c r="AB1981">
        <v>32</v>
      </c>
      <c r="AC1981">
        <v>-17.007499999999901</v>
      </c>
      <c r="AD1981">
        <v>-1.110841656671</v>
      </c>
      <c r="AE1981">
        <v>-1.40389999999996</v>
      </c>
      <c r="AF1981">
        <v>-1.48951731020347</v>
      </c>
      <c r="AG1981">
        <v>-1.110841656671</v>
      </c>
      <c r="AH1981">
        <v>16.927935156749101</v>
      </c>
      <c r="AI1981">
        <v>93.740059841358104</v>
      </c>
      <c r="AJ1981">
        <v>95.028600062897496</v>
      </c>
      <c r="AK1981">
        <v>17.0296100858092</v>
      </c>
      <c r="AL1981">
        <v>67.963005791595094</v>
      </c>
      <c r="AM1981">
        <v>94.147717622591102</v>
      </c>
      <c r="AN1981">
        <v>1.00000007788916</v>
      </c>
    </row>
    <row r="1982" spans="1:40" x14ac:dyDescent="0.25">
      <c r="A1982" t="str">
        <f>"20190304164637961"</f>
        <v>20190304164637961</v>
      </c>
      <c r="B1982" t="str">
        <f>"1551689197949955"</f>
        <v>1551689197949955</v>
      </c>
      <c r="C1982" t="s">
        <v>40</v>
      </c>
      <c r="D1982">
        <v>3.915905</v>
      </c>
      <c r="E1982">
        <v>0.50947810000000004</v>
      </c>
      <c r="F1982" t="s">
        <v>49</v>
      </c>
      <c r="G1982">
        <v>-449.2749</v>
      </c>
      <c r="H1982" s="1">
        <v>3.4011610000000001E-6</v>
      </c>
      <c r="I1982">
        <v>284.56369999999998</v>
      </c>
      <c r="J1982">
        <v>-432.47750000000002</v>
      </c>
      <c r="K1982">
        <v>1.110868</v>
      </c>
      <c r="L1982">
        <v>285.8895</v>
      </c>
      <c r="M1982">
        <v>-0.99992360000000002</v>
      </c>
      <c r="N1982">
        <v>-1.125926E-2</v>
      </c>
      <c r="O1982">
        <v>5.1072269999999998E-3</v>
      </c>
      <c r="P1982">
        <v>-0.92894169999999998</v>
      </c>
      <c r="Q1982">
        <v>0.36487259999999999</v>
      </c>
      <c r="R1982">
        <v>-6.2733140000000007E-2</v>
      </c>
      <c r="S1982">
        <v>-3.2962950000000002</v>
      </c>
      <c r="T1982">
        <v>-0.2138485</v>
      </c>
      <c r="U1982">
        <v>-0.2549438</v>
      </c>
      <c r="V1982">
        <v>-6.7680409999999996E-2</v>
      </c>
      <c r="W1982">
        <v>0.3752684</v>
      </c>
      <c r="X1982">
        <v>0.92444199999999999</v>
      </c>
      <c r="Y1982">
        <v>-8.1994999999999998E-2</v>
      </c>
      <c r="Z1982">
        <v>-3.3890000000000001E-3</v>
      </c>
      <c r="AA1982">
        <v>0.99662700000000004</v>
      </c>
      <c r="AB1982">
        <v>32</v>
      </c>
      <c r="AC1982">
        <v>-16.7973999999999</v>
      </c>
      <c r="AD1982">
        <v>-1.110864598839</v>
      </c>
      <c r="AE1982">
        <v>-1.3258000000000101</v>
      </c>
      <c r="AF1982">
        <v>-1.40546739518236</v>
      </c>
      <c r="AG1982">
        <v>-1.110864598839</v>
      </c>
      <c r="AH1982">
        <v>16.717745415909398</v>
      </c>
      <c r="AI1982">
        <v>93.788289750730101</v>
      </c>
      <c r="AJ1982">
        <v>94.805578180215505</v>
      </c>
      <c r="AK1982">
        <v>16.813458018713298</v>
      </c>
      <c r="AL1982">
        <v>67.959097683486902</v>
      </c>
      <c r="AM1982">
        <v>94.187278030323299</v>
      </c>
      <c r="AN1982">
        <v>1.0000000106501601</v>
      </c>
    </row>
    <row r="1983" spans="1:40" x14ac:dyDescent="0.25">
      <c r="A1983" t="str">
        <f>"20190304164637983"</f>
        <v>20190304164637983</v>
      </c>
      <c r="B1983" t="str">
        <f>"1551689197970451"</f>
        <v>1551689197970451</v>
      </c>
      <c r="C1983" t="s">
        <v>40</v>
      </c>
      <c r="D1983">
        <v>3.9235690000000001</v>
      </c>
      <c r="E1983">
        <v>0.51002400000000003</v>
      </c>
      <c r="F1983" t="s">
        <v>49</v>
      </c>
      <c r="G1983">
        <v>-449.63659999999999</v>
      </c>
      <c r="H1983" s="1">
        <v>3.5928109999999998E-6</v>
      </c>
      <c r="I1983">
        <v>284.58249999999998</v>
      </c>
      <c r="J1983">
        <v>-432.78129999999999</v>
      </c>
      <c r="K1983">
        <v>1.110886</v>
      </c>
      <c r="L1983">
        <v>285.89069999999998</v>
      </c>
      <c r="M1983">
        <v>-0.99992409999999998</v>
      </c>
      <c r="N1983">
        <v>-1.133734E-2</v>
      </c>
      <c r="O1983">
        <v>4.8151950000000004E-3</v>
      </c>
      <c r="P1983">
        <v>-0.92898559999999997</v>
      </c>
      <c r="Q1983">
        <v>0.36455710000000002</v>
      </c>
      <c r="R1983">
        <v>-6.3904539999999996E-2</v>
      </c>
      <c r="S1983">
        <v>-3.2963260000000001</v>
      </c>
      <c r="T1983">
        <v>-0.2134016</v>
      </c>
      <c r="U1983">
        <v>-0.25106810000000002</v>
      </c>
      <c r="V1983">
        <v>-6.8591390000000002E-2</v>
      </c>
      <c r="W1983">
        <v>0.37502350000000001</v>
      </c>
      <c r="X1983">
        <v>0.92447420000000002</v>
      </c>
      <c r="Y1983">
        <v>-8.054277E-2</v>
      </c>
      <c r="Z1983">
        <v>-3.3149669999999998E-3</v>
      </c>
      <c r="AA1983">
        <v>0.99674560000000001</v>
      </c>
      <c r="AB1983">
        <v>32</v>
      </c>
      <c r="AC1983">
        <v>-16.8553</v>
      </c>
      <c r="AD1983">
        <v>-1.110882407189</v>
      </c>
      <c r="AE1983">
        <v>-1.30819999999999</v>
      </c>
      <c r="AF1983">
        <v>-1.38337856033277</v>
      </c>
      <c r="AG1983">
        <v>-1.110882407189</v>
      </c>
      <c r="AH1983">
        <v>16.776369187106901</v>
      </c>
      <c r="AI1983">
        <v>93.775651861429196</v>
      </c>
      <c r="AJ1983">
        <v>94.713942029952705</v>
      </c>
      <c r="AK1983">
        <v>16.869924690581801</v>
      </c>
      <c r="AL1983">
        <v>67.974234142177295</v>
      </c>
      <c r="AM1983">
        <v>94.243287121204702</v>
      </c>
      <c r="AN1983">
        <v>0.99999997540000995</v>
      </c>
    </row>
    <row r="1984" spans="1:40" x14ac:dyDescent="0.25">
      <c r="A1984" t="str">
        <f>"20190304164638006"</f>
        <v>20190304164638006</v>
      </c>
      <c r="B1984" t="str">
        <f>"1551689198000706"</f>
        <v>1551689198000706</v>
      </c>
      <c r="C1984" t="s">
        <v>40</v>
      </c>
      <c r="D1984">
        <v>3.9301469999999998</v>
      </c>
      <c r="E1984">
        <v>0.51055799999999996</v>
      </c>
      <c r="F1984" t="s">
        <v>49</v>
      </c>
      <c r="G1984">
        <v>-449.87200000000001</v>
      </c>
      <c r="H1984" s="1">
        <v>3.7178490000000001E-6</v>
      </c>
      <c r="I1984">
        <v>284.5881</v>
      </c>
      <c r="J1984">
        <v>-433.11489999999998</v>
      </c>
      <c r="K1984">
        <v>1.11091299999999</v>
      </c>
      <c r="L1984">
        <v>285.892</v>
      </c>
      <c r="M1984">
        <v>-0.9999247</v>
      </c>
      <c r="N1984">
        <v>-1.1429969999999999E-2</v>
      </c>
      <c r="O1984">
        <v>4.480627E-3</v>
      </c>
      <c r="P1984">
        <v>-0.9289615</v>
      </c>
      <c r="Q1984">
        <v>0.3644598</v>
      </c>
      <c r="R1984">
        <v>-6.4802070000000003E-2</v>
      </c>
      <c r="S1984">
        <v>-3.2961429999999998</v>
      </c>
      <c r="T1984">
        <v>-0.21424599999999999</v>
      </c>
      <c r="U1984">
        <v>-0.25122070000000002</v>
      </c>
      <c r="V1984">
        <v>-6.9189550000000002E-2</v>
      </c>
      <c r="W1984">
        <v>0.37500889999999998</v>
      </c>
      <c r="X1984">
        <v>0.92443560000000002</v>
      </c>
      <c r="Y1984">
        <v>-8.0258759999999998E-2</v>
      </c>
      <c r="Z1984">
        <v>-3.3012100000000002E-3</v>
      </c>
      <c r="AA1984">
        <v>0.9967686</v>
      </c>
      <c r="AB1984">
        <v>32</v>
      </c>
      <c r="AC1984">
        <v>-16.757099999999902</v>
      </c>
      <c r="AD1984">
        <v>-1.1109092821509901</v>
      </c>
      <c r="AE1984">
        <v>-1.3038999999999901</v>
      </c>
      <c r="AF1984">
        <v>-1.37297620154385</v>
      </c>
      <c r="AG1984">
        <v>-1.1109092821509901</v>
      </c>
      <c r="AH1984">
        <v>16.678229323433001</v>
      </c>
      <c r="AI1984">
        <v>93.797938662936801</v>
      </c>
      <c r="AJ1984">
        <v>94.706060697581506</v>
      </c>
      <c r="AK1984">
        <v>16.7714792564101</v>
      </c>
      <c r="AL1984">
        <v>67.975137637645801</v>
      </c>
      <c r="AM1984">
        <v>94.280332381103506</v>
      </c>
      <c r="AN1984">
        <v>1.0000000237278801</v>
      </c>
    </row>
    <row r="1985" spans="1:40" x14ac:dyDescent="0.25">
      <c r="A1985" t="str">
        <f>"20190304164638028"</f>
        <v>20190304164638028</v>
      </c>
      <c r="B1985" t="str">
        <f>"1551689198020226"</f>
        <v>1551689198020226</v>
      </c>
      <c r="C1985" t="s">
        <v>40</v>
      </c>
      <c r="D1985">
        <v>3.9067669999999999</v>
      </c>
      <c r="E1985">
        <v>0.51081220000000005</v>
      </c>
      <c r="F1985" t="s">
        <v>49</v>
      </c>
      <c r="G1985">
        <v>-450.20659999999998</v>
      </c>
      <c r="H1985" s="1">
        <v>-1.426338E-6</v>
      </c>
      <c r="I1985">
        <v>284.60480000000001</v>
      </c>
      <c r="J1985">
        <v>-433.41800000000001</v>
      </c>
      <c r="K1985">
        <v>1.110941</v>
      </c>
      <c r="L1985">
        <v>285.89299999999997</v>
      </c>
      <c r="M1985">
        <v>-0.99992499999999995</v>
      </c>
      <c r="N1985">
        <v>-1.152282E-2</v>
      </c>
      <c r="O1985">
        <v>4.1653109999999997E-3</v>
      </c>
      <c r="P1985">
        <v>-0.92879889999999998</v>
      </c>
      <c r="Q1985">
        <v>0.36472520000000003</v>
      </c>
      <c r="R1985">
        <v>-6.5638680000000005E-2</v>
      </c>
      <c r="S1985">
        <v>-3.296173</v>
      </c>
      <c r="T1985">
        <v>-0.21424260000000001</v>
      </c>
      <c r="U1985">
        <v>-0.24823000000000001</v>
      </c>
      <c r="V1985">
        <v>-6.9743189999999997E-2</v>
      </c>
      <c r="W1985">
        <v>0.37535629999999998</v>
      </c>
      <c r="X1985">
        <v>0.92425290000000004</v>
      </c>
      <c r="Y1985">
        <v>-7.9047679999999995E-2</v>
      </c>
      <c r="Z1985">
        <v>-3.2414599999999998E-3</v>
      </c>
      <c r="AA1985">
        <v>0.99686560000000002</v>
      </c>
      <c r="AB1985">
        <v>32</v>
      </c>
      <c r="AC1985">
        <v>-16.788599999999899</v>
      </c>
      <c r="AD1985">
        <v>-1.1109424263380001</v>
      </c>
      <c r="AE1985">
        <v>-1.28819999999996</v>
      </c>
      <c r="AF1985">
        <v>-1.3522366985352301</v>
      </c>
      <c r="AG1985">
        <v>-1.1109424263380001</v>
      </c>
      <c r="AH1985">
        <v>16.710345413498601</v>
      </c>
      <c r="AI1985">
        <v>93.791202235065001</v>
      </c>
      <c r="AJ1985">
        <v>94.626415411674103</v>
      </c>
      <c r="AK1985">
        <v>16.801737439977401</v>
      </c>
      <c r="AL1985">
        <v>67.953662636818095</v>
      </c>
      <c r="AM1985">
        <v>94.315303500925694</v>
      </c>
      <c r="AN1985">
        <v>0.999999943829736</v>
      </c>
    </row>
    <row r="1986" spans="1:40" x14ac:dyDescent="0.25">
      <c r="A1986" t="str">
        <f>"20190304164638050"</f>
        <v>20190304164638050</v>
      </c>
      <c r="B1986" t="str">
        <f>"1551689198040722"</f>
        <v>1551689198040722</v>
      </c>
      <c r="C1986" t="s">
        <v>40</v>
      </c>
      <c r="D1986">
        <v>3.9105120000000002</v>
      </c>
      <c r="E1986">
        <v>0.51115129999999998</v>
      </c>
      <c r="F1986" t="s">
        <v>49</v>
      </c>
      <c r="G1986">
        <v>-450.47410000000002</v>
      </c>
      <c r="H1986" s="1">
        <v>-1.284356E-6</v>
      </c>
      <c r="I1986">
        <v>284.61250000000001</v>
      </c>
      <c r="J1986">
        <v>-433.73430000000002</v>
      </c>
      <c r="K1986">
        <v>1.1109709999999999</v>
      </c>
      <c r="L1986">
        <v>285.89389999999997</v>
      </c>
      <c r="M1986">
        <v>-0.99992499999999995</v>
      </c>
      <c r="N1986">
        <v>-1.163263E-2</v>
      </c>
      <c r="O1986">
        <v>3.8331960000000001E-3</v>
      </c>
      <c r="P1986">
        <v>-0.92881579999999997</v>
      </c>
      <c r="Q1986">
        <v>0.36464869999999999</v>
      </c>
      <c r="R1986">
        <v>-6.5821889999999994E-2</v>
      </c>
      <c r="S1986">
        <v>-3.2968440000000001</v>
      </c>
      <c r="T1986">
        <v>-0.2147387</v>
      </c>
      <c r="U1986">
        <v>-0.24749760000000001</v>
      </c>
      <c r="V1986">
        <v>-6.9628339999999997E-2</v>
      </c>
      <c r="W1986">
        <v>0.37537979999999999</v>
      </c>
      <c r="X1986">
        <v>0.92425210000000002</v>
      </c>
      <c r="Y1986">
        <v>-7.8481969999999998E-2</v>
      </c>
      <c r="Z1986">
        <v>-3.2119449999999999E-3</v>
      </c>
      <c r="AA1986">
        <v>0.99691030000000003</v>
      </c>
      <c r="AB1986">
        <v>32</v>
      </c>
      <c r="AC1986">
        <v>-16.739799999999999</v>
      </c>
      <c r="AD1986">
        <v>-1.1109722843559999</v>
      </c>
      <c r="AE1986">
        <v>-1.2813999999999599</v>
      </c>
      <c r="AF1986">
        <v>-1.33969542055831</v>
      </c>
      <c r="AG1986">
        <v>-1.1109722843559999</v>
      </c>
      <c r="AH1986">
        <v>16.661803846566698</v>
      </c>
      <c r="AI1986">
        <v>93.802473916572595</v>
      </c>
      <c r="AJ1986">
        <v>94.596988271933597</v>
      </c>
      <c r="AK1986">
        <v>16.752455063599999</v>
      </c>
      <c r="AL1986">
        <v>67.952211777934806</v>
      </c>
      <c r="AM1986">
        <v>94.308227742237705</v>
      </c>
      <c r="AN1986">
        <v>1.0000000221668</v>
      </c>
    </row>
    <row r="1987" spans="1:40" x14ac:dyDescent="0.25">
      <c r="A1987" t="str">
        <f>"20190304164638072"</f>
        <v>20190304164638072</v>
      </c>
      <c r="B1987" t="str">
        <f>"1551689198060242"</f>
        <v>1551689198060242</v>
      </c>
      <c r="C1987" t="s">
        <v>40</v>
      </c>
      <c r="D1987">
        <v>3.921319</v>
      </c>
      <c r="E1987">
        <v>0.51138649999999997</v>
      </c>
      <c r="F1987" t="s">
        <v>49</v>
      </c>
      <c r="G1987">
        <v>-450.65989999999999</v>
      </c>
      <c r="H1987" s="1">
        <v>-1.186379E-6</v>
      </c>
      <c r="I1987">
        <v>284.63339999999999</v>
      </c>
      <c r="J1987">
        <v>-434.0539</v>
      </c>
      <c r="K1987">
        <v>1.1109990000000001</v>
      </c>
      <c r="L1987">
        <v>285.8947</v>
      </c>
      <c r="M1987">
        <v>-0.99992479999999995</v>
      </c>
      <c r="N1987">
        <v>-1.176521E-2</v>
      </c>
      <c r="O1987">
        <v>3.4977540000000001E-3</v>
      </c>
      <c r="P1987">
        <v>-0.92879679999999998</v>
      </c>
      <c r="Q1987">
        <v>0.36457640000000002</v>
      </c>
      <c r="R1987">
        <v>-6.6490079999999993E-2</v>
      </c>
      <c r="S1987">
        <v>-3.297485</v>
      </c>
      <c r="T1987">
        <v>-0.2164422</v>
      </c>
      <c r="U1987">
        <v>-0.24557499999999999</v>
      </c>
      <c r="V1987">
        <v>-6.9993059999999996E-2</v>
      </c>
      <c r="W1987">
        <v>0.37542890000000001</v>
      </c>
      <c r="X1987">
        <v>0.92420460000000004</v>
      </c>
      <c r="Y1987">
        <v>-7.7554629999999999E-2</v>
      </c>
      <c r="Z1987">
        <v>-3.1844659999999999E-3</v>
      </c>
      <c r="AA1987">
        <v>0.99698299999999995</v>
      </c>
      <c r="AB1987">
        <v>32</v>
      </c>
      <c r="AC1987">
        <v>-16.605999999999899</v>
      </c>
      <c r="AD1987">
        <v>-1.111000186379</v>
      </c>
      <c r="AE1987">
        <v>-1.2613000000000001</v>
      </c>
      <c r="AF1987">
        <v>-1.31353423467619</v>
      </c>
      <c r="AG1987">
        <v>-1.111000186379</v>
      </c>
      <c r="AH1987">
        <v>16.527930334244001</v>
      </c>
      <c r="AI1987">
        <v>93.833560674832299</v>
      </c>
      <c r="AJ1987">
        <v>94.543951690434895</v>
      </c>
      <c r="AK1987">
        <v>16.617225241700901</v>
      </c>
      <c r="AL1987">
        <v>67.949176397501105</v>
      </c>
      <c r="AM1987">
        <v>94.330930758374194</v>
      </c>
      <c r="AN1987">
        <v>1.0000000150322601</v>
      </c>
    </row>
    <row r="1988" spans="1:40" x14ac:dyDescent="0.25">
      <c r="A1988" t="str">
        <f>"20190304164638095"</f>
        <v>20190304164638095</v>
      </c>
      <c r="B1988" t="str">
        <f>"1551689198090498"</f>
        <v>1551689198090498</v>
      </c>
      <c r="C1988" t="s">
        <v>40</v>
      </c>
      <c r="D1988">
        <v>3.9305500000000002</v>
      </c>
      <c r="E1988">
        <v>0.51159759999999999</v>
      </c>
      <c r="F1988" t="s">
        <v>49</v>
      </c>
      <c r="G1988">
        <v>-450.88490000000002</v>
      </c>
      <c r="H1988" s="1">
        <v>-1.0668899999999901E-6</v>
      </c>
      <c r="I1988">
        <v>284.63920000000002</v>
      </c>
      <c r="J1988">
        <v>-434.3612</v>
      </c>
      <c r="K1988">
        <v>1.1110260000000001</v>
      </c>
      <c r="L1988">
        <v>285.8954</v>
      </c>
      <c r="M1988">
        <v>-0.99992409999999998</v>
      </c>
      <c r="N1988">
        <v>-1.191647E-2</v>
      </c>
      <c r="O1988">
        <v>3.163716E-3</v>
      </c>
      <c r="P1988">
        <v>-0.92889259999999996</v>
      </c>
      <c r="Q1988">
        <v>0.36420639999999999</v>
      </c>
      <c r="R1988">
        <v>-6.717563E-2</v>
      </c>
      <c r="S1988">
        <v>-3.2978209999999999</v>
      </c>
      <c r="T1988">
        <v>-0.2176863</v>
      </c>
      <c r="U1988">
        <v>-0.2460022</v>
      </c>
      <c r="V1988">
        <v>-7.0370310000000005E-2</v>
      </c>
      <c r="W1988">
        <v>0.375199</v>
      </c>
      <c r="X1988">
        <v>0.92426929999999996</v>
      </c>
      <c r="Y1988">
        <v>-7.7341090000000001E-2</v>
      </c>
      <c r="Z1988">
        <v>-3.179079E-3</v>
      </c>
      <c r="AA1988">
        <v>0.99699959999999999</v>
      </c>
      <c r="AB1988">
        <v>32</v>
      </c>
      <c r="AC1988">
        <v>-16.523700000000002</v>
      </c>
      <c r="AD1988">
        <v>-1.11102706689</v>
      </c>
      <c r="AE1988">
        <v>-1.25619999999997</v>
      </c>
      <c r="AF1988">
        <v>-1.3026184143886399</v>
      </c>
      <c r="AG1988">
        <v>-1.11102706689</v>
      </c>
      <c r="AH1988">
        <v>16.445718884098099</v>
      </c>
      <c r="AI1988">
        <v>93.852840545346993</v>
      </c>
      <c r="AJ1988">
        <v>94.528779974803101</v>
      </c>
      <c r="AK1988">
        <v>16.534596018398702</v>
      </c>
      <c r="AL1988">
        <v>67.963387321732498</v>
      </c>
      <c r="AM1988">
        <v>94.353880538876197</v>
      </c>
      <c r="AN1988">
        <v>1.0000000045264901</v>
      </c>
    </row>
    <row r="1989" spans="1:40" x14ac:dyDescent="0.25">
      <c r="A1989" t="str">
        <f>"20190304164638117"</f>
        <v>20190304164638117</v>
      </c>
      <c r="B1989" t="str">
        <f>"1551689198110526"</f>
        <v>1551689198110526</v>
      </c>
      <c r="C1989" t="s">
        <v>40</v>
      </c>
      <c r="D1989">
        <v>3.9167890000000001</v>
      </c>
      <c r="E1989">
        <v>0.51174439999999999</v>
      </c>
      <c r="F1989" t="s">
        <v>49</v>
      </c>
      <c r="G1989">
        <v>-450.96289999999999</v>
      </c>
      <c r="H1989" s="1">
        <v>-1.0258899999999999E-6</v>
      </c>
      <c r="I1989">
        <v>284.65030000000002</v>
      </c>
      <c r="J1989">
        <v>-434.68150000000003</v>
      </c>
      <c r="K1989">
        <v>1.1110599999999999</v>
      </c>
      <c r="L1989">
        <v>285.89609999999999</v>
      </c>
      <c r="M1989">
        <v>-0.99992289999999995</v>
      </c>
      <c r="N1989">
        <v>-1.2097689999999999E-2</v>
      </c>
      <c r="O1989">
        <v>2.7957799999999999E-3</v>
      </c>
      <c r="P1989">
        <v>-0.92894529999999997</v>
      </c>
      <c r="Q1989">
        <v>0.36395080000000002</v>
      </c>
      <c r="R1989">
        <v>-6.7826250000000005E-2</v>
      </c>
      <c r="S1989">
        <v>-3.2983090000000002</v>
      </c>
      <c r="T1989">
        <v>-0.2207317</v>
      </c>
      <c r="U1989">
        <v>-0.2473755</v>
      </c>
      <c r="V1989">
        <v>-7.0678850000000001E-2</v>
      </c>
      <c r="W1989">
        <v>0.37511240000000001</v>
      </c>
      <c r="X1989">
        <v>0.92428089999999996</v>
      </c>
      <c r="Y1989">
        <v>-7.7370910000000001E-2</v>
      </c>
      <c r="Z1989">
        <v>-3.2046119999999999E-3</v>
      </c>
      <c r="AA1989">
        <v>0.99699720000000003</v>
      </c>
      <c r="AB1989">
        <v>32</v>
      </c>
      <c r="AC1989">
        <v>-16.281399999999898</v>
      </c>
      <c r="AD1989">
        <v>-1.11106102589</v>
      </c>
      <c r="AE1989">
        <v>-1.24579999999997</v>
      </c>
      <c r="AF1989">
        <v>-1.2853667549878101</v>
      </c>
      <c r="AG1989">
        <v>-1.11106102589</v>
      </c>
      <c r="AH1989">
        <v>16.202838119423301</v>
      </c>
      <c r="AI1989">
        <v>93.910498322996702</v>
      </c>
      <c r="AJ1989">
        <v>94.535759746278401</v>
      </c>
      <c r="AK1989">
        <v>16.291672333505701</v>
      </c>
      <c r="AL1989">
        <v>67.968739925095605</v>
      </c>
      <c r="AM1989">
        <v>94.372841660789007</v>
      </c>
      <c r="AN1989">
        <v>0.99999999728794597</v>
      </c>
    </row>
    <row r="1990" spans="1:40" x14ac:dyDescent="0.25">
      <c r="A1990" t="str">
        <f>"20190304164638138"</f>
        <v>20190304164638138</v>
      </c>
      <c r="B1990" t="str">
        <f>"1551689198130046"</f>
        <v>1551689198130046</v>
      </c>
      <c r="C1990" t="s">
        <v>40</v>
      </c>
      <c r="D1990">
        <v>3.927619</v>
      </c>
      <c r="E1990">
        <v>0.51188319999999998</v>
      </c>
      <c r="F1990" t="s">
        <v>49</v>
      </c>
      <c r="G1990">
        <v>-451.18299999999999</v>
      </c>
      <c r="H1990" s="1">
        <v>-9.0889479999999998E-7</v>
      </c>
      <c r="I1990">
        <v>284.6533</v>
      </c>
      <c r="J1990">
        <v>-434.98509999999999</v>
      </c>
      <c r="K1990">
        <v>1.1110799999999901</v>
      </c>
      <c r="L1990">
        <v>285.8965</v>
      </c>
      <c r="M1990">
        <v>-0.99992170000000002</v>
      </c>
      <c r="N1990">
        <v>-1.2274409999999999E-2</v>
      </c>
      <c r="O1990">
        <v>2.4363499999999999E-3</v>
      </c>
      <c r="P1990">
        <v>-0.92906089999999997</v>
      </c>
      <c r="Q1990">
        <v>0.36365599999999998</v>
      </c>
      <c r="R1990">
        <v>-6.7825360000000001E-2</v>
      </c>
      <c r="S1990">
        <v>-3.29834</v>
      </c>
      <c r="T1990">
        <v>-0.2220811</v>
      </c>
      <c r="U1990">
        <v>-0.2484131</v>
      </c>
      <c r="V1990">
        <v>-7.0345240000000003E-2</v>
      </c>
      <c r="W1990">
        <v>0.37498239999999999</v>
      </c>
      <c r="X1990">
        <v>0.92435909999999999</v>
      </c>
      <c r="Y1990">
        <v>-7.7321580000000001E-2</v>
      </c>
      <c r="Z1990">
        <v>-3.2061220000000001E-3</v>
      </c>
      <c r="AA1990">
        <v>0.99700109999999997</v>
      </c>
      <c r="AB1990">
        <v>31</v>
      </c>
      <c r="AC1990">
        <v>-16.197900000000001</v>
      </c>
      <c r="AD1990">
        <v>-1.1110809088947999</v>
      </c>
      <c r="AE1990">
        <v>-1.2432000000000001</v>
      </c>
      <c r="AF1990">
        <v>-1.2766911846736699</v>
      </c>
      <c r="AG1990">
        <v>-1.1110809088947999</v>
      </c>
      <c r="AH1990">
        <v>16.1194225947355</v>
      </c>
      <c r="AI1990">
        <v>93.930780810158893</v>
      </c>
      <c r="AJ1990">
        <v>94.528489504424698</v>
      </c>
      <c r="AK1990">
        <v>16.208029675281502</v>
      </c>
      <c r="AL1990">
        <v>67.976774932687704</v>
      </c>
      <c r="AM1990">
        <v>94.351914196364405</v>
      </c>
      <c r="AN1990">
        <v>0.999999999426613</v>
      </c>
    </row>
    <row r="1991" spans="1:40" x14ac:dyDescent="0.25">
      <c r="A1991" t="str">
        <f>"20190304164638163"</f>
        <v>20190304164638163</v>
      </c>
      <c r="B1991" t="str">
        <f>"1551689198150542"</f>
        <v>1551689198150542</v>
      </c>
      <c r="C1991" t="s">
        <v>40</v>
      </c>
      <c r="D1991">
        <v>3.9235829999999998</v>
      </c>
      <c r="E1991">
        <v>0.5120498</v>
      </c>
      <c r="F1991" t="s">
        <v>49</v>
      </c>
      <c r="G1991">
        <v>-451.41199999999998</v>
      </c>
      <c r="H1991" s="1">
        <v>-7.8762450000000003E-7</v>
      </c>
      <c r="I1991">
        <v>284.66759999999999</v>
      </c>
      <c r="J1991">
        <v>-435.31330000000003</v>
      </c>
      <c r="K1991">
        <v>1.1111219999999999</v>
      </c>
      <c r="L1991">
        <v>285.89690000000002</v>
      </c>
      <c r="M1991">
        <v>-0.99992020000000004</v>
      </c>
      <c r="N1991">
        <v>-1.247497E-2</v>
      </c>
      <c r="O1991">
        <v>2.0390489999999998E-3</v>
      </c>
      <c r="P1991">
        <v>-0.92906569999999999</v>
      </c>
      <c r="Q1991">
        <v>0.36359789999999997</v>
      </c>
      <c r="R1991">
        <v>-6.8071399999999893E-2</v>
      </c>
      <c r="S1991">
        <v>-3.2984010000000001</v>
      </c>
      <c r="T1991">
        <v>-0.2230964</v>
      </c>
      <c r="U1991">
        <v>-0.24676509999999999</v>
      </c>
      <c r="V1991">
        <v>-7.0228520000000003E-2</v>
      </c>
      <c r="W1991">
        <v>0.37510880000000002</v>
      </c>
      <c r="X1991">
        <v>0.92431669999999999</v>
      </c>
      <c r="Y1991">
        <v>-7.6429460000000005E-2</v>
      </c>
      <c r="Z1991">
        <v>-3.1684619999999999E-3</v>
      </c>
      <c r="AA1991">
        <v>0.99707000000000001</v>
      </c>
      <c r="AB1991">
        <v>31</v>
      </c>
      <c r="AC1991">
        <v>-16.098699999999901</v>
      </c>
      <c r="AD1991">
        <v>-1.1111227876245</v>
      </c>
      <c r="AE1991">
        <v>-1.22930000000002</v>
      </c>
      <c r="AF1991">
        <v>-1.25617670086887</v>
      </c>
      <c r="AG1991">
        <v>-1.1111227876245</v>
      </c>
      <c r="AH1991">
        <v>16.020286633071201</v>
      </c>
      <c r="AI1991">
        <v>93.955420796995</v>
      </c>
      <c r="AJ1991">
        <v>94.483481449277704</v>
      </c>
      <c r="AK1991">
        <v>16.1078290765312</v>
      </c>
      <c r="AL1991">
        <v>67.968962718092499</v>
      </c>
      <c r="AM1991">
        <v>94.344919512186493</v>
      </c>
      <c r="AN1991">
        <v>1.0000000093788599</v>
      </c>
    </row>
    <row r="1992" spans="1:40" x14ac:dyDescent="0.25">
      <c r="A1992" t="str">
        <f>"20190304164638183"</f>
        <v>20190304164638183</v>
      </c>
      <c r="B1992" t="str">
        <f>"1551689198180799"</f>
        <v>1551689198180799</v>
      </c>
      <c r="C1992" t="s">
        <v>40</v>
      </c>
      <c r="D1992">
        <v>3.9219620000000002</v>
      </c>
      <c r="E1992">
        <v>0.51224009999999998</v>
      </c>
      <c r="F1992" t="s">
        <v>49</v>
      </c>
      <c r="G1992">
        <v>-451.69159999999999</v>
      </c>
      <c r="H1992" s="1">
        <v>-6.3923580000000001E-7</v>
      </c>
      <c r="I1992">
        <v>284.67619999999999</v>
      </c>
      <c r="J1992">
        <v>-435.61410000000001</v>
      </c>
      <c r="K1992">
        <v>1.11117</v>
      </c>
      <c r="L1992">
        <v>285.89710000000002</v>
      </c>
      <c r="M1992">
        <v>-0.99991850000000004</v>
      </c>
      <c r="N1992">
        <v>-1.2664999999999999E-2</v>
      </c>
      <c r="O1992">
        <v>1.667607E-3</v>
      </c>
      <c r="P1992">
        <v>-0.92879509999999998</v>
      </c>
      <c r="Q1992">
        <v>0.36430230000000002</v>
      </c>
      <c r="R1992">
        <v>-6.7997630000000003E-2</v>
      </c>
      <c r="S1992">
        <v>-3.2986149999999999</v>
      </c>
      <c r="T1992">
        <v>-0.2237816</v>
      </c>
      <c r="U1992">
        <v>-0.2458496</v>
      </c>
      <c r="V1992">
        <v>-6.9819190000000003E-2</v>
      </c>
      <c r="W1992">
        <v>0.37598480000000001</v>
      </c>
      <c r="X1992">
        <v>0.92399169999999997</v>
      </c>
      <c r="Y1992">
        <v>-7.5779730000000003E-2</v>
      </c>
      <c r="Z1992">
        <v>-3.136982E-3</v>
      </c>
      <c r="AA1992">
        <v>0.99711970000000005</v>
      </c>
      <c r="AB1992">
        <v>31</v>
      </c>
      <c r="AC1992">
        <v>-16.077499999999901</v>
      </c>
      <c r="AD1992">
        <v>-1.1111706392358001</v>
      </c>
      <c r="AE1992">
        <v>-1.2209000000000201</v>
      </c>
      <c r="AF1992">
        <v>-1.2418136878577699</v>
      </c>
      <c r="AG1992">
        <v>-1.1111706392358001</v>
      </c>
      <c r="AH1992">
        <v>15.9994556937125</v>
      </c>
      <c r="AI1992">
        <v>93.960967896428997</v>
      </c>
      <c r="AJ1992">
        <v>94.438171054400996</v>
      </c>
      <c r="AK1992">
        <v>16.085999624515701</v>
      </c>
      <c r="AL1992">
        <v>67.914806857652195</v>
      </c>
      <c r="AM1992">
        <v>94.321204725051501</v>
      </c>
      <c r="AN1992">
        <v>0.99999997539609198</v>
      </c>
    </row>
    <row r="1993" spans="1:40" x14ac:dyDescent="0.25">
      <c r="A1993" t="str">
        <f>"20190304164638206"</f>
        <v>20190304164638206</v>
      </c>
      <c r="B1993" t="str">
        <f>"1551689198200318"</f>
        <v>1551689198200318</v>
      </c>
      <c r="C1993" t="s">
        <v>40</v>
      </c>
      <c r="D1993">
        <v>3.91649</v>
      </c>
      <c r="E1993">
        <v>0.51237299999999997</v>
      </c>
      <c r="F1993" t="s">
        <v>49</v>
      </c>
      <c r="G1993">
        <v>-452.23500000000001</v>
      </c>
      <c r="H1993" s="1">
        <v>-3.497381E-7</v>
      </c>
      <c r="I1993">
        <v>284.66879999999998</v>
      </c>
      <c r="J1993">
        <v>-435.94240000000002</v>
      </c>
      <c r="K1993">
        <v>1.1112029999999999</v>
      </c>
      <c r="L1993">
        <v>285.8972</v>
      </c>
      <c r="M1993">
        <v>-0.99991640000000004</v>
      </c>
      <c r="N1993">
        <v>-1.286614E-2</v>
      </c>
      <c r="O1993">
        <v>1.250124E-3</v>
      </c>
      <c r="P1993">
        <v>-0.9288225</v>
      </c>
      <c r="Q1993">
        <v>0.36423339999999998</v>
      </c>
      <c r="R1993">
        <v>-6.7991159999999995E-2</v>
      </c>
      <c r="S1993">
        <v>-3.298645</v>
      </c>
      <c r="T1993">
        <v>-0.2205268</v>
      </c>
      <c r="U1993">
        <v>-0.2437744</v>
      </c>
      <c r="V1993">
        <v>-6.9437209999999999E-2</v>
      </c>
      <c r="W1993">
        <v>0.37610009999999999</v>
      </c>
      <c r="X1993">
        <v>0.92397359999999995</v>
      </c>
      <c r="Y1993">
        <v>-7.4747259999999996E-2</v>
      </c>
      <c r="Z1993">
        <v>-3.0418820000000001E-3</v>
      </c>
      <c r="AA1993">
        <v>0.99719789999999997</v>
      </c>
      <c r="AB1993">
        <v>31</v>
      </c>
      <c r="AC1993">
        <v>-16.292599999999901</v>
      </c>
      <c r="AD1993">
        <v>-1.1112033497381</v>
      </c>
      <c r="AE1993">
        <v>-1.2284000000000199</v>
      </c>
      <c r="AF1993">
        <v>-1.243019100166</v>
      </c>
      <c r="AG1993">
        <v>-1.1112033497381</v>
      </c>
      <c r="AH1993">
        <v>16.216046613626599</v>
      </c>
      <c r="AI1993">
        <v>93.908630181566494</v>
      </c>
      <c r="AJ1993">
        <v>94.383358604167199</v>
      </c>
      <c r="AK1993">
        <v>16.301534809433001</v>
      </c>
      <c r="AL1993">
        <v>67.907678227980895</v>
      </c>
      <c r="AM1993">
        <v>94.297736151904104</v>
      </c>
      <c r="AN1993">
        <v>1.0000000124247701</v>
      </c>
    </row>
    <row r="1994" spans="1:40" x14ac:dyDescent="0.25">
      <c r="A1994" t="str">
        <f>"20190304164638228"</f>
        <v>20190304164638228</v>
      </c>
      <c r="B1994" t="str">
        <f>"1551689198220345"</f>
        <v>1551689198220345</v>
      </c>
      <c r="C1994" t="s">
        <v>40</v>
      </c>
      <c r="D1994">
        <v>3.9332530000000001</v>
      </c>
      <c r="E1994">
        <v>0.51246400000000003</v>
      </c>
      <c r="F1994" t="s">
        <v>49</v>
      </c>
      <c r="G1994">
        <v>-452.54820000000001</v>
      </c>
      <c r="H1994" s="1">
        <v>-1.8316300000000001E-7</v>
      </c>
      <c r="I1994">
        <v>284.67079999999999</v>
      </c>
      <c r="J1994">
        <v>-436.23739999999998</v>
      </c>
      <c r="K1994">
        <v>1.1112329999999999</v>
      </c>
      <c r="L1994">
        <v>285.8972</v>
      </c>
      <c r="M1994">
        <v>-0.99991470000000005</v>
      </c>
      <c r="N1994">
        <v>-1.3033019999999999E-2</v>
      </c>
      <c r="O1994">
        <v>8.6207789999999905E-4</v>
      </c>
      <c r="P1994">
        <v>-0.92909810000000004</v>
      </c>
      <c r="Q1994">
        <v>0.36341069999999998</v>
      </c>
      <c r="R1994">
        <v>-6.8627640000000004E-2</v>
      </c>
      <c r="S1994">
        <v>-3.2985839999999902</v>
      </c>
      <c r="T1994">
        <v>-0.22073090000000001</v>
      </c>
      <c r="U1994">
        <v>-0.2436218</v>
      </c>
      <c r="V1994">
        <v>-6.9724099999999997E-2</v>
      </c>
      <c r="W1994">
        <v>0.37543330000000003</v>
      </c>
      <c r="X1994">
        <v>0.92422309999999996</v>
      </c>
      <c r="Y1994">
        <v>-7.4316699999999902E-2</v>
      </c>
      <c r="Z1994">
        <v>-3.0123200000000002E-3</v>
      </c>
      <c r="AA1994">
        <v>0.99723010000000001</v>
      </c>
      <c r="AB1994">
        <v>31</v>
      </c>
      <c r="AC1994">
        <v>-16.3108</v>
      </c>
      <c r="AD1994">
        <v>-1.111233183163</v>
      </c>
      <c r="AE1994">
        <v>-1.2264000000000099</v>
      </c>
      <c r="AF1994">
        <v>-1.23476296506951</v>
      </c>
      <c r="AG1994">
        <v>-1.111233183163</v>
      </c>
      <c r="AH1994">
        <v>16.234806095132601</v>
      </c>
      <c r="AI1994">
        <v>93.9044086194816</v>
      </c>
      <c r="AJ1994">
        <v>94.349344489051802</v>
      </c>
      <c r="AK1994">
        <v>16.319571309131401</v>
      </c>
      <c r="AL1994">
        <v>67.948903487166803</v>
      </c>
      <c r="AM1994">
        <v>94.314265359061693</v>
      </c>
      <c r="AN1994">
        <v>0.999999975721654</v>
      </c>
    </row>
    <row r="1995" spans="1:40" x14ac:dyDescent="0.25">
      <c r="A1995" t="str">
        <f>"20190304164638251"</f>
        <v>20190304164638251</v>
      </c>
      <c r="B1995" t="str">
        <f>"1551689198239864"</f>
        <v>1551689198239864</v>
      </c>
      <c r="C1995" t="s">
        <v>40</v>
      </c>
      <c r="D1995">
        <v>3.9293930000000001</v>
      </c>
      <c r="E1995">
        <v>0.51255819999999996</v>
      </c>
      <c r="F1995" t="s">
        <v>49</v>
      </c>
      <c r="G1995">
        <v>-452.62349999999998</v>
      </c>
      <c r="H1995" s="1">
        <v>-1.4358110000000001E-7</v>
      </c>
      <c r="I1995">
        <v>284.68209999999999</v>
      </c>
      <c r="J1995">
        <v>-436.55790000000002</v>
      </c>
      <c r="K1995">
        <v>1.1112599999999999</v>
      </c>
      <c r="L1995">
        <v>285.89699999999999</v>
      </c>
      <c r="M1995">
        <v>-0.99991280000000005</v>
      </c>
      <c r="N1995">
        <v>-1.31982E-2</v>
      </c>
      <c r="O1995">
        <v>4.272961E-4</v>
      </c>
      <c r="P1995">
        <v>-0.92912340000000004</v>
      </c>
      <c r="Q1995">
        <v>0.36327979999999999</v>
      </c>
      <c r="R1995">
        <v>-6.8973090000000001E-2</v>
      </c>
      <c r="S1995">
        <v>-3.29834</v>
      </c>
      <c r="T1995">
        <v>-0.22367919999999999</v>
      </c>
      <c r="U1995">
        <v>-0.24459839999999999</v>
      </c>
      <c r="V1995">
        <v>-6.9676740000000001E-2</v>
      </c>
      <c r="W1995">
        <v>0.37545400000000001</v>
      </c>
      <c r="X1995">
        <v>0.92421819999999999</v>
      </c>
      <c r="Y1995">
        <v>-7.4177839999999995E-2</v>
      </c>
      <c r="Z1995">
        <v>-3.023038E-3</v>
      </c>
      <c r="AA1995">
        <v>0.99724040000000003</v>
      </c>
      <c r="AB1995">
        <v>31</v>
      </c>
      <c r="AC1995">
        <v>-16.0655999999999</v>
      </c>
      <c r="AD1995">
        <v>-1.1112601435811</v>
      </c>
      <c r="AE1995">
        <v>-1.2149000000000001</v>
      </c>
      <c r="AF1995">
        <v>-1.21598046387449</v>
      </c>
      <c r="AG1995">
        <v>-1.1112601435811</v>
      </c>
      <c r="AH1995">
        <v>15.9890147262425</v>
      </c>
      <c r="AI1995">
        <v>93.964336799540504</v>
      </c>
      <c r="AJ1995">
        <v>94.349029308401896</v>
      </c>
      <c r="AK1995">
        <v>16.073646117519001</v>
      </c>
      <c r="AL1995">
        <v>67.947622506757398</v>
      </c>
      <c r="AM1995">
        <v>94.311368724793297</v>
      </c>
      <c r="AN1995">
        <v>0.99999991771213004</v>
      </c>
    </row>
    <row r="1996" spans="1:40" x14ac:dyDescent="0.25">
      <c r="A1996" t="str">
        <f>"20190304164638275"</f>
        <v>20190304164638275</v>
      </c>
      <c r="B1996" t="str">
        <f>"1551689198270121"</f>
        <v>1551689198270121</v>
      </c>
      <c r="C1996" t="s">
        <v>40</v>
      </c>
      <c r="D1996">
        <v>3.9452440000000002</v>
      </c>
      <c r="E1996">
        <v>0.51266160000000005</v>
      </c>
      <c r="F1996" t="s">
        <v>49</v>
      </c>
      <c r="G1996">
        <v>-452.90300000000002</v>
      </c>
      <c r="H1996" s="1">
        <v>5.0267750000000004E-9</v>
      </c>
      <c r="I1996">
        <v>284.6857</v>
      </c>
      <c r="J1996">
        <v>-436.8897</v>
      </c>
      <c r="K1996">
        <v>1.1112839999999999</v>
      </c>
      <c r="L1996">
        <v>285.89670000000001</v>
      </c>
      <c r="M1996">
        <v>-0.99991090000000005</v>
      </c>
      <c r="N1996">
        <v>-1.3351409999999999E-2</v>
      </c>
      <c r="O1996" s="1">
        <v>-3.6649919999999998E-5</v>
      </c>
      <c r="P1996">
        <v>-0.92896780000000001</v>
      </c>
      <c r="Q1996">
        <v>0.36354900000000001</v>
      </c>
      <c r="R1996">
        <v>-6.9650660000000003E-2</v>
      </c>
      <c r="S1996">
        <v>-3.2984309999999999</v>
      </c>
      <c r="T1996">
        <v>-0.22425139999999999</v>
      </c>
      <c r="U1996">
        <v>-0.24444579999999999</v>
      </c>
      <c r="V1996">
        <v>-6.9932690000000006E-2</v>
      </c>
      <c r="W1996">
        <v>0.375861</v>
      </c>
      <c r="X1996">
        <v>0.92403349999999995</v>
      </c>
      <c r="Y1996">
        <v>-7.3667949999999996E-2</v>
      </c>
      <c r="Z1996">
        <v>-2.9891000000000002E-3</v>
      </c>
      <c r="AA1996">
        <v>0.99727829999999995</v>
      </c>
      <c r="AB1996">
        <v>31</v>
      </c>
      <c r="AC1996">
        <v>-16.013300000000001</v>
      </c>
      <c r="AD1996">
        <v>-1.1112839949732201</v>
      </c>
      <c r="AE1996">
        <v>-1.2110000000000101</v>
      </c>
      <c r="AF1996">
        <v>-1.20464445795602</v>
      </c>
      <c r="AG1996">
        <v>-1.1112839949732201</v>
      </c>
      <c r="AH1996">
        <v>15.937027765223901</v>
      </c>
      <c r="AI1996">
        <v>93.977450661779599</v>
      </c>
      <c r="AJ1996">
        <v>94.322640471099604</v>
      </c>
      <c r="AK1996">
        <v>16.0210790640669</v>
      </c>
      <c r="AL1996">
        <v>67.922461896685505</v>
      </c>
      <c r="AM1996">
        <v>94.328007673812493</v>
      </c>
      <c r="AN1996">
        <v>0.99999999078694302</v>
      </c>
    </row>
    <row r="1997" spans="1:40" x14ac:dyDescent="0.25">
      <c r="A1997" t="str">
        <f>"20190304164638297"</f>
        <v>20190304164638297</v>
      </c>
      <c r="B1997" t="str">
        <f>"1551689198290616"</f>
        <v>1551689198290616</v>
      </c>
      <c r="C1997" t="s">
        <v>40</v>
      </c>
      <c r="D1997">
        <v>3.959006</v>
      </c>
      <c r="E1997">
        <v>0.51274229999999998</v>
      </c>
      <c r="F1997" t="s">
        <v>49</v>
      </c>
      <c r="G1997">
        <v>-453.30529999999999</v>
      </c>
      <c r="H1997" s="1">
        <v>2.197455E-7</v>
      </c>
      <c r="I1997">
        <v>284.6705</v>
      </c>
      <c r="J1997">
        <v>-437.2056</v>
      </c>
      <c r="K1997">
        <v>1.11131</v>
      </c>
      <c r="L1997">
        <v>285.89620000000002</v>
      </c>
      <c r="M1997">
        <v>-0.99990900000000005</v>
      </c>
      <c r="N1997">
        <v>-1.347951E-2</v>
      </c>
      <c r="O1997">
        <v>-4.8803570000000002E-4</v>
      </c>
      <c r="P1997">
        <v>-0.9287801</v>
      </c>
      <c r="Q1997">
        <v>0.3638535</v>
      </c>
      <c r="R1997">
        <v>-7.0556599999999997E-2</v>
      </c>
      <c r="S1997">
        <v>-3.29834</v>
      </c>
      <c r="T1997">
        <v>-0.22328790000000001</v>
      </c>
      <c r="U1997">
        <v>-0.24636839999999999</v>
      </c>
      <c r="V1997">
        <v>-7.0426020000000006E-2</v>
      </c>
      <c r="W1997">
        <v>0.37628030000000001</v>
      </c>
      <c r="X1997">
        <v>0.92382540000000002</v>
      </c>
      <c r="Y1997">
        <v>-7.3799489999999995E-2</v>
      </c>
      <c r="Z1997">
        <v>-2.9640840000000001E-3</v>
      </c>
      <c r="AA1997">
        <v>0.99726870000000001</v>
      </c>
      <c r="AB1997">
        <v>31</v>
      </c>
      <c r="AC1997">
        <v>-16.099699999999899</v>
      </c>
      <c r="AD1997">
        <v>-1.1113097802545</v>
      </c>
      <c r="AE1997">
        <v>-1.22570000000001</v>
      </c>
      <c r="AF1997">
        <v>-1.21209991140965</v>
      </c>
      <c r="AG1997">
        <v>-1.1113097802545</v>
      </c>
      <c r="AH1997">
        <v>16.0243850710206</v>
      </c>
      <c r="AI1997">
        <v>93.955912253660003</v>
      </c>
      <c r="AJ1997">
        <v>94.325670608928903</v>
      </c>
      <c r="AK1997">
        <v>16.108541601500601</v>
      </c>
      <c r="AL1997">
        <v>67.896535359921899</v>
      </c>
      <c r="AM1997">
        <v>94.359399731533202</v>
      </c>
      <c r="AN1997">
        <v>1.0000000290731399</v>
      </c>
    </row>
    <row r="1998" spans="1:40" x14ac:dyDescent="0.25">
      <c r="A1998" t="str">
        <f>"20190304164638318"</f>
        <v>20190304164638318</v>
      </c>
      <c r="B1998" t="str">
        <f>"1551689198310645"</f>
        <v>1551689198310645</v>
      </c>
      <c r="C1998" t="s">
        <v>40</v>
      </c>
      <c r="D1998">
        <v>3.9527220000000001</v>
      </c>
      <c r="E1998">
        <v>0.51282349999999999</v>
      </c>
      <c r="F1998" t="s">
        <v>49</v>
      </c>
      <c r="G1998">
        <v>-453.70749999999998</v>
      </c>
      <c r="H1998" s="1">
        <v>4.3478300000000001E-7</v>
      </c>
      <c r="I1998">
        <v>284.6474</v>
      </c>
      <c r="J1998">
        <v>-437.49239999999998</v>
      </c>
      <c r="K1998">
        <v>1.111327</v>
      </c>
      <c r="L1998">
        <v>285.8956</v>
      </c>
      <c r="M1998">
        <v>-0.9999074</v>
      </c>
      <c r="N1998">
        <v>-1.358297E-2</v>
      </c>
      <c r="O1998">
        <v>-9.0237369999999996E-4</v>
      </c>
      <c r="P1998">
        <v>-0.92881020000000003</v>
      </c>
      <c r="Q1998">
        <v>0.36361759999999999</v>
      </c>
      <c r="R1998">
        <v>-7.1370799999999998E-2</v>
      </c>
      <c r="S1998">
        <v>-3.2980649999999998</v>
      </c>
      <c r="T1998">
        <v>-0.22210650000000001</v>
      </c>
      <c r="U1998">
        <v>-0.24957280000000001</v>
      </c>
      <c r="V1998">
        <v>-7.0859430000000001E-2</v>
      </c>
      <c r="W1998">
        <v>0.37613940000000001</v>
      </c>
      <c r="X1998">
        <v>0.92384960000000005</v>
      </c>
      <c r="Y1998">
        <v>-7.4356649999999996E-2</v>
      </c>
      <c r="Z1998">
        <v>-2.955399E-3</v>
      </c>
      <c r="AA1998">
        <v>0.99722730000000004</v>
      </c>
      <c r="AB1998">
        <v>31</v>
      </c>
      <c r="AC1998">
        <v>-16.2151</v>
      </c>
      <c r="AD1998">
        <v>-1.1113265652169999</v>
      </c>
      <c r="AE1998">
        <v>-1.24819999999999</v>
      </c>
      <c r="AF1998">
        <v>-1.2278325941425701</v>
      </c>
      <c r="AG1998">
        <v>-1.1113265652169999</v>
      </c>
      <c r="AH1998">
        <v>16.140848777967499</v>
      </c>
      <c r="AI1998">
        <v>93.927390641008898</v>
      </c>
      <c r="AJ1998">
        <v>94.350105749928701</v>
      </c>
      <c r="AK1998">
        <v>16.225585317239201</v>
      </c>
      <c r="AL1998">
        <v>67.905247659370303</v>
      </c>
      <c r="AM1998">
        <v>94.386009171888304</v>
      </c>
      <c r="AN1998">
        <v>0.99999999523622196</v>
      </c>
    </row>
    <row r="1999" spans="1:40" x14ac:dyDescent="0.25">
      <c r="A1999" t="str">
        <f>"20190304164638339"</f>
        <v>20190304164638339</v>
      </c>
      <c r="B1999" t="str">
        <f>"1551689198330165"</f>
        <v>1551689198330165</v>
      </c>
      <c r="C1999" t="s">
        <v>40</v>
      </c>
      <c r="D1999">
        <v>3.9488020000000001</v>
      </c>
      <c r="E1999">
        <v>0.51286889999999996</v>
      </c>
      <c r="F1999" t="s">
        <v>49</v>
      </c>
      <c r="G1999">
        <v>-453.91309999999999</v>
      </c>
      <c r="H1999" s="1">
        <v>5.4442580000000002E-7</v>
      </c>
      <c r="I1999">
        <v>284.64280000000002</v>
      </c>
      <c r="J1999">
        <v>-437.79430000000002</v>
      </c>
      <c r="K1999">
        <v>1.111337</v>
      </c>
      <c r="L1999">
        <v>285.89479999999998</v>
      </c>
      <c r="M1999">
        <v>-0.99990559999999995</v>
      </c>
      <c r="N1999">
        <v>-1.3679210000000001E-2</v>
      </c>
      <c r="O1999">
        <v>-1.343101E-3</v>
      </c>
      <c r="P1999">
        <v>-0.92895660000000002</v>
      </c>
      <c r="Q1999">
        <v>0.36321750000000003</v>
      </c>
      <c r="R1999">
        <v>-7.1505929999999995E-2</v>
      </c>
      <c r="S1999">
        <v>-3.2979430000000001</v>
      </c>
      <c r="T1999">
        <v>-0.2231996</v>
      </c>
      <c r="U1999">
        <v>-0.25161739999999999</v>
      </c>
      <c r="V1999">
        <v>-7.0587049999999998E-2</v>
      </c>
      <c r="W1999">
        <v>0.37583050000000001</v>
      </c>
      <c r="X1999">
        <v>0.92399620000000005</v>
      </c>
      <c r="Y1999">
        <v>-7.4532699999999993E-2</v>
      </c>
      <c r="Z1999">
        <v>-2.954506E-3</v>
      </c>
      <c r="AA1999">
        <v>0.99721420000000005</v>
      </c>
      <c r="AB1999">
        <v>31</v>
      </c>
      <c r="AC1999">
        <v>-16.118799999999901</v>
      </c>
      <c r="AD1999">
        <v>-1.1113364555742</v>
      </c>
      <c r="AE1999">
        <v>-1.25199999999995</v>
      </c>
      <c r="AF1999">
        <v>-1.22456146221012</v>
      </c>
      <c r="AG1999">
        <v>-1.1113364555742</v>
      </c>
      <c r="AH1999">
        <v>16.044654160951801</v>
      </c>
      <c r="AI1999">
        <v>93.950822498920303</v>
      </c>
      <c r="AJ1999">
        <v>94.364472052340005</v>
      </c>
      <c r="AK1999">
        <v>16.129648063016301</v>
      </c>
      <c r="AL1999">
        <v>67.924348752875503</v>
      </c>
      <c r="AM1999">
        <v>94.368524458371297</v>
      </c>
      <c r="AN1999">
        <v>1.0000000369861901</v>
      </c>
    </row>
    <row r="2000" spans="1:40" x14ac:dyDescent="0.25">
      <c r="A2000" t="str">
        <f>"20190304164638362"</f>
        <v>20190304164638362</v>
      </c>
      <c r="B2000" t="str">
        <f>"1551689198350662"</f>
        <v>1551689198350662</v>
      </c>
      <c r="C2000" t="s">
        <v>40</v>
      </c>
      <c r="D2000">
        <v>3.951425</v>
      </c>
      <c r="E2000">
        <v>0.51292499999999996</v>
      </c>
      <c r="F2000" t="s">
        <v>49</v>
      </c>
      <c r="G2000">
        <v>-454.1216</v>
      </c>
      <c r="H2000" s="1">
        <v>6.5517409999999995E-7</v>
      </c>
      <c r="I2000">
        <v>284.6474</v>
      </c>
      <c r="J2000">
        <v>-438.10480000000001</v>
      </c>
      <c r="K2000">
        <v>1.111343</v>
      </c>
      <c r="L2000">
        <v>285.89400000000001</v>
      </c>
      <c r="M2000">
        <v>-0.99990369999999995</v>
      </c>
      <c r="N2000">
        <v>-1.3765629999999999E-2</v>
      </c>
      <c r="O2000">
        <v>-1.79758E-3</v>
      </c>
      <c r="P2000">
        <v>-0.92899109999999996</v>
      </c>
      <c r="Q2000">
        <v>0.36302000000000001</v>
      </c>
      <c r="R2000">
        <v>-7.2055339999999996E-2</v>
      </c>
      <c r="S2000">
        <v>-3.2977910000000001</v>
      </c>
      <c r="T2000">
        <v>-0.22446820000000001</v>
      </c>
      <c r="U2000">
        <v>-0.25195309999999999</v>
      </c>
      <c r="V2000">
        <v>-7.0716230000000005E-2</v>
      </c>
      <c r="W2000">
        <v>0.37571339999999998</v>
      </c>
      <c r="X2000">
        <v>0.92403389999999996</v>
      </c>
      <c r="Y2000">
        <v>-7.4183150000000003E-2</v>
      </c>
      <c r="Z2000">
        <v>-2.9328269999999998E-3</v>
      </c>
      <c r="AA2000">
        <v>0.99724029999999997</v>
      </c>
      <c r="AB2000">
        <v>31</v>
      </c>
      <c r="AC2000">
        <v>-16.0167999999999</v>
      </c>
      <c r="AD2000">
        <v>-1.1113423448259001</v>
      </c>
      <c r="AE2000">
        <v>-1.2465999999999999</v>
      </c>
      <c r="AF2000">
        <v>-1.2120038151928001</v>
      </c>
      <c r="AG2000">
        <v>-1.1113423448259001</v>
      </c>
      <c r="AH2000">
        <v>15.9427223422878</v>
      </c>
      <c r="AI2000">
        <v>93.976112781023403</v>
      </c>
      <c r="AJ2000">
        <v>94.347399693478906</v>
      </c>
      <c r="AK2000">
        <v>16.0273026657241</v>
      </c>
      <c r="AL2000">
        <v>67.931587740943399</v>
      </c>
      <c r="AM2000">
        <v>94.376310313881106</v>
      </c>
      <c r="AN2000">
        <v>0.99999999623709102</v>
      </c>
    </row>
    <row r="2001" spans="1:40" x14ac:dyDescent="0.25">
      <c r="A2001" t="str">
        <f>"20190304164638385"</f>
        <v>20190304164638385</v>
      </c>
      <c r="B2001" t="str">
        <f>"1551689198379941"</f>
        <v>1551689198379941</v>
      </c>
      <c r="C2001" t="s">
        <v>40</v>
      </c>
      <c r="D2001">
        <v>3.9699230000000001</v>
      </c>
      <c r="E2001">
        <v>0.51301300000000005</v>
      </c>
      <c r="F2001" t="s">
        <v>49</v>
      </c>
      <c r="G2001">
        <v>-454.3811</v>
      </c>
      <c r="H2001" s="1">
        <v>7.9349729999999995E-7</v>
      </c>
      <c r="I2001">
        <v>284.64179999999999</v>
      </c>
      <c r="J2001">
        <v>-438.41559999999998</v>
      </c>
      <c r="K2001">
        <v>1.111343</v>
      </c>
      <c r="L2001">
        <v>285.8929</v>
      </c>
      <c r="M2001">
        <v>-0.99990179999999995</v>
      </c>
      <c r="N2001">
        <v>-1.3840949999999999E-2</v>
      </c>
      <c r="O2001">
        <v>-2.25435E-3</v>
      </c>
      <c r="P2001">
        <v>-0.92904019999999998</v>
      </c>
      <c r="Q2001">
        <v>0.36290220000000001</v>
      </c>
      <c r="R2001">
        <v>-7.2019550000000002E-2</v>
      </c>
      <c r="S2001">
        <v>-3.2976070000000002</v>
      </c>
      <c r="T2001">
        <v>-0.22515950000000001</v>
      </c>
      <c r="U2001">
        <v>-0.25369259999999999</v>
      </c>
      <c r="V2001">
        <v>-7.0257230000000004E-2</v>
      </c>
      <c r="W2001">
        <v>0.37566660000000002</v>
      </c>
      <c r="X2001">
        <v>0.92408789999999996</v>
      </c>
      <c r="Y2001">
        <v>-7.4253910000000006E-2</v>
      </c>
      <c r="Z2001">
        <v>-2.9213279999999999E-3</v>
      </c>
      <c r="AA2001">
        <v>0.99723510000000004</v>
      </c>
      <c r="AB2001">
        <v>31</v>
      </c>
      <c r="AC2001">
        <v>-15.9655</v>
      </c>
      <c r="AD2001">
        <v>-1.1113422065027001</v>
      </c>
      <c r="AE2001">
        <v>-1.2511000000000001</v>
      </c>
      <c r="AF2001">
        <v>-1.20927786613345</v>
      </c>
      <c r="AG2001">
        <v>-1.1113422065027001</v>
      </c>
      <c r="AH2001">
        <v>15.891748030568699</v>
      </c>
      <c r="AI2001">
        <v>93.988803203999694</v>
      </c>
      <c r="AJ2001">
        <v>94.351519307368903</v>
      </c>
      <c r="AK2001">
        <v>15.9763916428134</v>
      </c>
      <c r="AL2001">
        <v>67.934480292419707</v>
      </c>
      <c r="AM2001">
        <v>94.347761039669294</v>
      </c>
      <c r="AN2001">
        <v>0.99999995982461998</v>
      </c>
    </row>
    <row r="2002" spans="1:40" x14ac:dyDescent="0.25">
      <c r="A2002" t="str">
        <f>"20190304164638408"</f>
        <v>20190304164638408</v>
      </c>
      <c r="B2002" t="str">
        <f>"1551689198400441"</f>
        <v>1551689198400441</v>
      </c>
      <c r="C2002" t="s">
        <v>40</v>
      </c>
      <c r="D2002">
        <v>4.0812999999999997</v>
      </c>
      <c r="E2002">
        <v>0.51305190000000001</v>
      </c>
      <c r="F2002" t="s">
        <v>49</v>
      </c>
      <c r="G2002">
        <v>-454.66199999999998</v>
      </c>
      <c r="H2002" s="1">
        <v>9.4282850000000004E-7</v>
      </c>
      <c r="I2002">
        <v>284.6456</v>
      </c>
      <c r="J2002">
        <v>-438.73469999999998</v>
      </c>
      <c r="K2002">
        <v>1.1113569999999999</v>
      </c>
      <c r="L2002">
        <v>285.89170000000001</v>
      </c>
      <c r="M2002">
        <v>-0.9998996</v>
      </c>
      <c r="N2002">
        <v>-1.390773E-2</v>
      </c>
      <c r="O2002">
        <v>-2.7240400000000001E-3</v>
      </c>
      <c r="P2002">
        <v>-0.92901769999999995</v>
      </c>
      <c r="Q2002">
        <v>0.36294179999999998</v>
      </c>
      <c r="R2002">
        <v>-7.210627E-2</v>
      </c>
      <c r="S2002">
        <v>-3.2976070000000002</v>
      </c>
      <c r="T2002">
        <v>-0.22557469999999999</v>
      </c>
      <c r="U2002">
        <v>-0.2531738</v>
      </c>
      <c r="V2002">
        <v>-6.9908219999999993E-2</v>
      </c>
      <c r="W2002">
        <v>0.3757682</v>
      </c>
      <c r="X2002">
        <v>0.92407309999999998</v>
      </c>
      <c r="Y2002">
        <v>-7.3631080000000002E-2</v>
      </c>
      <c r="Z2002">
        <v>-2.877232E-3</v>
      </c>
      <c r="AA2002">
        <v>0.99728139999999998</v>
      </c>
      <c r="AB2002">
        <v>31</v>
      </c>
      <c r="AC2002">
        <v>-15.927300000000001</v>
      </c>
      <c r="AD2002">
        <v>-1.1113560571715</v>
      </c>
      <c r="AE2002">
        <v>-1.24610000000001</v>
      </c>
      <c r="AF2002">
        <v>-1.1969125012427799</v>
      </c>
      <c r="AG2002">
        <v>-1.1113560571715</v>
      </c>
      <c r="AH2002">
        <v>15.8539156738114</v>
      </c>
      <c r="AI2002">
        <v>93.998520282336699</v>
      </c>
      <c r="AJ2002">
        <v>94.317431013134197</v>
      </c>
      <c r="AK2002">
        <v>15.9378277696105</v>
      </c>
      <c r="AL2002">
        <v>67.928199682576405</v>
      </c>
      <c r="AM2002">
        <v>94.326314318209597</v>
      </c>
      <c r="AN2002">
        <v>0.99999999674920903</v>
      </c>
    </row>
    <row r="2003" spans="1:40" x14ac:dyDescent="0.25">
      <c r="A2003" t="str">
        <f>"20190304164638429"</f>
        <v>20190304164638429</v>
      </c>
      <c r="B2003" t="str">
        <f>"1551689198419958"</f>
        <v>1551689198419958</v>
      </c>
      <c r="C2003" t="s">
        <v>40</v>
      </c>
      <c r="D2003">
        <v>4.0116750000000003</v>
      </c>
      <c r="E2003">
        <v>0.53926940000000001</v>
      </c>
      <c r="F2003" t="s">
        <v>49</v>
      </c>
      <c r="G2003">
        <v>-454.99340000000001</v>
      </c>
      <c r="H2003" s="1">
        <v>1.1192509999999999E-6</v>
      </c>
      <c r="I2003">
        <v>284.64339999999999</v>
      </c>
      <c r="J2003">
        <v>-439.03179999999998</v>
      </c>
      <c r="K2003">
        <v>1.1113660000000001</v>
      </c>
      <c r="L2003">
        <v>285.8904</v>
      </c>
      <c r="M2003">
        <v>-0.9998977</v>
      </c>
      <c r="N2003">
        <v>-1.396125E-2</v>
      </c>
      <c r="O2003">
        <v>-3.1615660000000002E-3</v>
      </c>
      <c r="P2003">
        <v>-0.9290178</v>
      </c>
      <c r="Q2003">
        <v>0.36293259999999999</v>
      </c>
      <c r="R2003">
        <v>-7.2153179999999997E-2</v>
      </c>
      <c r="S2003">
        <v>-3.2976380000000001</v>
      </c>
      <c r="T2003">
        <v>-0.22540869999999999</v>
      </c>
      <c r="U2003">
        <v>-0.2531738</v>
      </c>
      <c r="V2003">
        <v>-6.9548719999999994E-2</v>
      </c>
      <c r="W2003">
        <v>0.37580930000000001</v>
      </c>
      <c r="X2003">
        <v>0.92408349999999995</v>
      </c>
      <c r="Y2003">
        <v>-7.3195960000000004E-2</v>
      </c>
      <c r="Z2003">
        <v>-2.836014E-3</v>
      </c>
      <c r="AA2003">
        <v>0.99731360000000002</v>
      </c>
      <c r="AB2003">
        <v>31</v>
      </c>
      <c r="AC2003">
        <v>-15.961600000000001</v>
      </c>
      <c r="AD2003">
        <v>-1.111364880749</v>
      </c>
      <c r="AE2003">
        <v>-1.2470000000000101</v>
      </c>
      <c r="AF2003">
        <v>-1.1907873165821401</v>
      </c>
      <c r="AG2003">
        <v>-1.111364880749</v>
      </c>
      <c r="AH2003">
        <v>15.888901346522299</v>
      </c>
      <c r="AI2003">
        <v>93.989940127141196</v>
      </c>
      <c r="AJ2003">
        <v>94.285996743694895</v>
      </c>
      <c r="AK2003">
        <v>15.972172436178299</v>
      </c>
      <c r="AL2003">
        <v>67.925658296508701</v>
      </c>
      <c r="AM2003">
        <v>94.304101995899899</v>
      </c>
      <c r="AN2003">
        <v>0.999999984696189</v>
      </c>
    </row>
    <row r="2004" spans="1:40" x14ac:dyDescent="0.25">
      <c r="A2004" t="str">
        <f>"20190304164638452"</f>
        <v>20190304164638452</v>
      </c>
      <c r="B2004" t="str">
        <f>"1551689198440453"</f>
        <v>1551689198440453</v>
      </c>
      <c r="C2004" t="s">
        <v>40</v>
      </c>
      <c r="D2004">
        <v>3.9836710000000002</v>
      </c>
      <c r="E2004">
        <v>0.54475169999999995</v>
      </c>
      <c r="F2004" t="s">
        <v>49</v>
      </c>
      <c r="G2004">
        <v>-454.14830000000001</v>
      </c>
      <c r="H2004" s="1">
        <v>6.2419759999999997E-7</v>
      </c>
      <c r="I2004">
        <v>285.68130000000002</v>
      </c>
      <c r="J2004">
        <v>-439.34460000000001</v>
      </c>
      <c r="K2004">
        <v>1.11137</v>
      </c>
      <c r="L2004">
        <v>285.88889999999998</v>
      </c>
      <c r="M2004">
        <v>-0.99989530000000004</v>
      </c>
      <c r="N2004">
        <v>-1.401019E-2</v>
      </c>
      <c r="O2004">
        <v>-3.6227690000000001E-3</v>
      </c>
      <c r="P2004">
        <v>-0.92890010000000001</v>
      </c>
      <c r="Q2004">
        <v>0.36312290000000003</v>
      </c>
      <c r="R2004">
        <v>-7.2707399999999894E-2</v>
      </c>
      <c r="S2004">
        <v>-3.3210449999999998</v>
      </c>
      <c r="T2004">
        <v>-0.24416260000000001</v>
      </c>
      <c r="U2004">
        <v>-4.5928959999999998E-2</v>
      </c>
      <c r="V2004">
        <v>-6.9675089999999995E-2</v>
      </c>
      <c r="W2004">
        <v>0.37604349999999998</v>
      </c>
      <c r="X2004">
        <v>0.92397870000000004</v>
      </c>
      <c r="Y2004">
        <v>-1.017916E-2</v>
      </c>
      <c r="Z2004">
        <v>-2.2981959999999999E-4</v>
      </c>
      <c r="AA2004">
        <v>0.99994810000000001</v>
      </c>
      <c r="AB2004">
        <v>31</v>
      </c>
      <c r="AC2004">
        <v>-14.8036999999999</v>
      </c>
      <c r="AD2004">
        <v>-1.1113693758023999</v>
      </c>
      <c r="AE2004">
        <v>-0.20759999999995599</v>
      </c>
      <c r="AF2004">
        <v>-0.153100274270383</v>
      </c>
      <c r="AG2004">
        <v>-1.1113693758023999</v>
      </c>
      <c r="AH2004">
        <v>14.721400481147199</v>
      </c>
      <c r="AI2004">
        <v>94.317034431395896</v>
      </c>
      <c r="AJ2004">
        <v>90.595845710425607</v>
      </c>
      <c r="AK2004">
        <v>14.764085264918201</v>
      </c>
      <c r="AL2004">
        <v>67.911177455869407</v>
      </c>
      <c r="AM2004">
        <v>94.312380300568407</v>
      </c>
      <c r="AN2004">
        <v>0.99999998505622401</v>
      </c>
    </row>
    <row r="2005" spans="1:40" x14ac:dyDescent="0.25">
      <c r="A2005" t="str">
        <f>"20190304164638487"</f>
        <v>20190304164638487</v>
      </c>
      <c r="B2005" t="str">
        <f>"1551689198480469"</f>
        <v>1551689198480469</v>
      </c>
      <c r="C2005" t="s">
        <v>40</v>
      </c>
      <c r="D2005">
        <v>3.9760520000000001</v>
      </c>
      <c r="E2005">
        <v>0.54943050000000004</v>
      </c>
      <c r="F2005" t="s">
        <v>49</v>
      </c>
      <c r="G2005">
        <v>-453.96850000000001</v>
      </c>
      <c r="H2005" s="1">
        <v>5.204978E-7</v>
      </c>
      <c r="I2005">
        <v>285.86410000000001</v>
      </c>
      <c r="J2005">
        <v>-439.82839999999999</v>
      </c>
      <c r="K2005">
        <v>1.1113759999999999</v>
      </c>
      <c r="L2005">
        <v>285.88630000000001</v>
      </c>
      <c r="M2005">
        <v>-0.99989159999999999</v>
      </c>
      <c r="N2005">
        <v>-1.4072350000000001E-2</v>
      </c>
      <c r="O2005">
        <v>-4.3377329999999999E-3</v>
      </c>
      <c r="P2005">
        <v>-0.92880490000000004</v>
      </c>
      <c r="Q2005">
        <v>0.36319679999999999</v>
      </c>
      <c r="R2005">
        <v>-7.3550630000000006E-2</v>
      </c>
      <c r="S2005">
        <v>-3.3280940000000001</v>
      </c>
      <c r="T2005">
        <v>-0.25292550000000003</v>
      </c>
      <c r="U2005">
        <v>-5.6457520000000004E-3</v>
      </c>
      <c r="V2005">
        <v>-6.9854799999999995E-2</v>
      </c>
      <c r="W2005">
        <v>0.37617430000000002</v>
      </c>
      <c r="X2005">
        <v>0.92391190000000001</v>
      </c>
      <c r="Y2005">
        <v>2.6245050000000001E-3</v>
      </c>
      <c r="Z2005">
        <v>3.8628810000000002E-4</v>
      </c>
      <c r="AA2005">
        <v>0.99999649999999995</v>
      </c>
      <c r="AB2005">
        <v>31</v>
      </c>
      <c r="AC2005">
        <v>-14.1401</v>
      </c>
      <c r="AD2005">
        <v>-1.1113754795021999</v>
      </c>
      <c r="AE2005">
        <v>-2.2199999999997999E-2</v>
      </c>
      <c r="AF2005">
        <v>3.8901941295979098E-2</v>
      </c>
      <c r="AG2005">
        <v>-1.1113754795021999</v>
      </c>
      <c r="AH2005">
        <v>14.0532487398887</v>
      </c>
      <c r="AI2005">
        <v>94.521703867451095</v>
      </c>
      <c r="AJ2005">
        <v>89.8413952959108</v>
      </c>
      <c r="AK2005">
        <v>14.0971794683425</v>
      </c>
      <c r="AL2005">
        <v>67.903089599983602</v>
      </c>
      <c r="AM2005">
        <v>94.323772326243997</v>
      </c>
      <c r="AN2005">
        <v>0.99999999801257</v>
      </c>
    </row>
    <row r="2006" spans="1:40" x14ac:dyDescent="0.25">
      <c r="A2006" t="str">
        <f>"20190304164638507"</f>
        <v>20190304164638507</v>
      </c>
      <c r="B2006" t="str">
        <f>"1551689198499989"</f>
        <v>1551689198499989</v>
      </c>
      <c r="C2006" t="s">
        <v>40</v>
      </c>
      <c r="D2006">
        <v>3.985757</v>
      </c>
      <c r="E2006">
        <v>0.55050690000000002</v>
      </c>
      <c r="F2006" t="s">
        <v>49</v>
      </c>
      <c r="G2006">
        <v>-454.23480000000001</v>
      </c>
      <c r="H2006" s="1">
        <v>6.5603070000000003E-7</v>
      </c>
      <c r="I2006">
        <v>286.0061</v>
      </c>
      <c r="J2006">
        <v>-440.11649999999997</v>
      </c>
      <c r="K2006">
        <v>1.111378</v>
      </c>
      <c r="L2006">
        <v>285.88459999999998</v>
      </c>
      <c r="M2006">
        <v>-0.99988940000000004</v>
      </c>
      <c r="N2006">
        <v>-1.410288E-2</v>
      </c>
      <c r="O2006">
        <v>-4.7650599999999998E-3</v>
      </c>
      <c r="P2006">
        <v>-0.92874469999999998</v>
      </c>
      <c r="Q2006">
        <v>0.3632804</v>
      </c>
      <c r="R2006">
        <v>-7.3900590000000002E-2</v>
      </c>
      <c r="S2006">
        <v>-3.3326720000000001</v>
      </c>
      <c r="T2006">
        <v>-0.2570964</v>
      </c>
      <c r="U2006">
        <v>2.7709959999999999E-2</v>
      </c>
      <c r="V2006">
        <v>-6.9807369999999994E-2</v>
      </c>
      <c r="W2006">
        <v>0.37628519999999999</v>
      </c>
      <c r="X2006">
        <v>0.92387030000000003</v>
      </c>
      <c r="Y2006">
        <v>1.302438E-2</v>
      </c>
      <c r="Z2006">
        <v>8.9355629999999999E-4</v>
      </c>
      <c r="AA2006">
        <v>0.99991479999999999</v>
      </c>
      <c r="AB2006">
        <v>31</v>
      </c>
      <c r="AC2006">
        <v>-14.1183</v>
      </c>
      <c r="AD2006">
        <v>-1.1113773439693</v>
      </c>
      <c r="AE2006">
        <v>0.121500000000025</v>
      </c>
      <c r="AF2006">
        <v>0.18761732802786399</v>
      </c>
      <c r="AG2006">
        <v>-1.1113773439693</v>
      </c>
      <c r="AH2006">
        <v>14.030623983724499</v>
      </c>
      <c r="AI2006">
        <v>94.528586596567493</v>
      </c>
      <c r="AJ2006">
        <v>89.233887215299902</v>
      </c>
      <c r="AK2006">
        <v>14.075822151303599</v>
      </c>
      <c r="AL2006">
        <v>67.896231103592896</v>
      </c>
      <c r="AM2006">
        <v>94.321041515939996</v>
      </c>
      <c r="AN2006">
        <v>0.99999997593372303</v>
      </c>
    </row>
    <row r="2007" spans="1:40" x14ac:dyDescent="0.25">
      <c r="A2007" t="str">
        <f>"20190304164638529"</f>
        <v>20190304164638529</v>
      </c>
      <c r="B2007" t="str">
        <f>"1551689198520485"</f>
        <v>1551689198520485</v>
      </c>
      <c r="C2007" t="s">
        <v>40</v>
      </c>
      <c r="D2007">
        <v>3.9973939999999999</v>
      </c>
      <c r="E2007">
        <v>0.55123219999999995</v>
      </c>
      <c r="F2007" t="s">
        <v>49</v>
      </c>
      <c r="G2007">
        <v>-454.50470000000001</v>
      </c>
      <c r="H2007" s="1">
        <v>7.9835849999999997E-7</v>
      </c>
      <c r="I2007">
        <v>286.03489999999999</v>
      </c>
      <c r="J2007">
        <v>-440.41320000000002</v>
      </c>
      <c r="K2007">
        <v>1.111381</v>
      </c>
      <c r="L2007">
        <v>285.8827</v>
      </c>
      <c r="M2007">
        <v>-0.99988670000000002</v>
      </c>
      <c r="N2007">
        <v>-1.412979E-2</v>
      </c>
      <c r="O2007">
        <v>-5.2078719999999997E-3</v>
      </c>
      <c r="P2007">
        <v>-0.92856570000000005</v>
      </c>
      <c r="Q2007">
        <v>0.36355730000000003</v>
      </c>
      <c r="R2007">
        <v>-7.478216E-2</v>
      </c>
      <c r="S2007">
        <v>-3.333618</v>
      </c>
      <c r="T2007">
        <v>-0.25749670000000002</v>
      </c>
      <c r="U2007">
        <v>3.482056E-2</v>
      </c>
      <c r="V2007">
        <v>-7.0279190000000005E-2</v>
      </c>
      <c r="W2007">
        <v>0.37658469999999999</v>
      </c>
      <c r="X2007">
        <v>0.92371259999999999</v>
      </c>
      <c r="Y2007">
        <v>1.558737E-2</v>
      </c>
      <c r="Z2007">
        <v>1.03958E-3</v>
      </c>
      <c r="AA2007">
        <v>0.99987800000000004</v>
      </c>
      <c r="AB2007">
        <v>31</v>
      </c>
      <c r="AC2007">
        <v>-14.0914999999999</v>
      </c>
      <c r="AD2007">
        <v>-1.1113802016415</v>
      </c>
      <c r="AE2007">
        <v>0.15219999999999301</v>
      </c>
      <c r="AF2007">
        <v>0.22419757204688601</v>
      </c>
      <c r="AG2007">
        <v>-1.1113802016415</v>
      </c>
      <c r="AH2007">
        <v>14.0034209243092</v>
      </c>
      <c r="AI2007">
        <v>94.537183668590998</v>
      </c>
      <c r="AJ2007">
        <v>89.082761466659406</v>
      </c>
      <c r="AK2007">
        <v>14.0492429720356</v>
      </c>
      <c r="AL2007">
        <v>67.877711074454396</v>
      </c>
      <c r="AM2007">
        <v>94.350875028145794</v>
      </c>
      <c r="AN2007">
        <v>1.0000000841099399</v>
      </c>
    </row>
    <row r="2008" spans="1:40" x14ac:dyDescent="0.25">
      <c r="A2008" t="str">
        <f>"20190304164638552"</f>
        <v>20190304164638552</v>
      </c>
      <c r="B2008" t="str">
        <f>"1551689198540005"</f>
        <v>1551689198540005</v>
      </c>
      <c r="C2008" t="s">
        <v>40</v>
      </c>
      <c r="D2008">
        <v>3.9941490000000002</v>
      </c>
      <c r="E2008">
        <v>0.5517706</v>
      </c>
      <c r="F2008" t="s">
        <v>49</v>
      </c>
      <c r="G2008">
        <v>-454.89409999999998</v>
      </c>
      <c r="H2008" s="1">
        <v>1.004997E-6</v>
      </c>
      <c r="I2008">
        <v>286.04910000000001</v>
      </c>
      <c r="J2008">
        <v>-440.71960000000001</v>
      </c>
      <c r="K2008">
        <v>1.1113850000000001</v>
      </c>
      <c r="L2008">
        <v>285.88069999999999</v>
      </c>
      <c r="M2008">
        <v>-0.99988379999999999</v>
      </c>
      <c r="N2008">
        <v>-1.415363E-2</v>
      </c>
      <c r="O2008">
        <v>-5.669894E-3</v>
      </c>
      <c r="P2008">
        <v>-0.92860339999999997</v>
      </c>
      <c r="Q2008">
        <v>0.36340889999999998</v>
      </c>
      <c r="R2008">
        <v>-7.5033890000000006E-2</v>
      </c>
      <c r="S2008">
        <v>-3.334015</v>
      </c>
      <c r="T2008">
        <v>-0.25587840000000001</v>
      </c>
      <c r="U2008">
        <v>3.8299560000000003E-2</v>
      </c>
      <c r="V2008">
        <v>-7.0103799999999994E-2</v>
      </c>
      <c r="W2008">
        <v>0.37645879999999998</v>
      </c>
      <c r="X2008">
        <v>0.92377719999999997</v>
      </c>
      <c r="Y2008">
        <v>1.708604E-2</v>
      </c>
      <c r="Z2008">
        <v>1.130156E-3</v>
      </c>
      <c r="AA2008">
        <v>0.9998534</v>
      </c>
      <c r="AB2008">
        <v>31</v>
      </c>
      <c r="AC2008">
        <v>-14.174499999999901</v>
      </c>
      <c r="AD2008">
        <v>-1.111383995003</v>
      </c>
      <c r="AE2008">
        <v>0.16840000000001901</v>
      </c>
      <c r="AF2008">
        <v>0.247253426925722</v>
      </c>
      <c r="AG2008">
        <v>-1.111383995003</v>
      </c>
      <c r="AH2008">
        <v>14.0867284266631</v>
      </c>
      <c r="AI2008">
        <v>94.510361395569205</v>
      </c>
      <c r="AJ2008">
        <v>88.994434842720807</v>
      </c>
      <c r="AK2008">
        <v>14.1326652266313</v>
      </c>
      <c r="AL2008">
        <v>67.885496687463004</v>
      </c>
      <c r="AM2008">
        <v>94.339756103293595</v>
      </c>
      <c r="AN2008">
        <v>1.00000004305585</v>
      </c>
    </row>
    <row r="2009" spans="1:40" x14ac:dyDescent="0.25">
      <c r="A2009" t="str">
        <f>"20190304164638575"</f>
        <v>20190304164638575</v>
      </c>
      <c r="B2009" t="str">
        <f>"1551689198570261"</f>
        <v>1551689198570261</v>
      </c>
      <c r="C2009" t="s">
        <v>40</v>
      </c>
      <c r="D2009">
        <v>3.9895399999999999</v>
      </c>
      <c r="E2009">
        <v>0.55234629999999996</v>
      </c>
      <c r="F2009" t="s">
        <v>49</v>
      </c>
      <c r="G2009">
        <v>-455.03949999999998</v>
      </c>
      <c r="H2009" s="1">
        <v>1.082185E-6</v>
      </c>
      <c r="I2009">
        <v>286.05270000000002</v>
      </c>
      <c r="J2009">
        <v>-441.03300000000002</v>
      </c>
      <c r="K2009">
        <v>1.1113999999999999</v>
      </c>
      <c r="L2009">
        <v>285.87830000000002</v>
      </c>
      <c r="M2009">
        <v>-0.99988060000000001</v>
      </c>
      <c r="N2009">
        <v>-1.4174290000000001E-2</v>
      </c>
      <c r="O2009">
        <v>-6.1502960000000004E-3</v>
      </c>
      <c r="P2009">
        <v>-0.92847539999999995</v>
      </c>
      <c r="Q2009">
        <v>0.36364829999999998</v>
      </c>
      <c r="R2009">
        <v>-7.545396E-2</v>
      </c>
      <c r="S2009">
        <v>-3.335175</v>
      </c>
      <c r="T2009">
        <v>-0.25884649999999998</v>
      </c>
      <c r="U2009">
        <v>4.006958E-2</v>
      </c>
      <c r="V2009">
        <v>-7.0083129999999993E-2</v>
      </c>
      <c r="W2009">
        <v>0.37671549999999998</v>
      </c>
      <c r="X2009">
        <v>0.92367410000000005</v>
      </c>
      <c r="Y2009">
        <v>1.8086910000000001E-2</v>
      </c>
      <c r="Z2009">
        <v>1.2187459999999999E-3</v>
      </c>
      <c r="AA2009">
        <v>0.99983569999999999</v>
      </c>
      <c r="AB2009">
        <v>31</v>
      </c>
      <c r="AC2009">
        <v>-14.0064999999999</v>
      </c>
      <c r="AD2009">
        <v>-1.1113989178150001</v>
      </c>
      <c r="AE2009">
        <v>0.17439999999999101</v>
      </c>
      <c r="AF2009">
        <v>0.25891951434048599</v>
      </c>
      <c r="AG2009">
        <v>-1.1113989178150001</v>
      </c>
      <c r="AH2009">
        <v>13.9175477994687</v>
      </c>
      <c r="AI2009">
        <v>94.564933295538495</v>
      </c>
      <c r="AJ2009">
        <v>88.934202741717797</v>
      </c>
      <c r="AK2009">
        <v>13.964253779558801</v>
      </c>
      <c r="AL2009">
        <v>67.869619691757094</v>
      </c>
      <c r="AM2009">
        <v>94.338963828608996</v>
      </c>
      <c r="AN2009">
        <v>1.0000000280308201</v>
      </c>
    </row>
    <row r="2010" spans="1:40" x14ac:dyDescent="0.25">
      <c r="A2010" t="str">
        <f>"20190304164638597"</f>
        <v>20190304164638597</v>
      </c>
      <c r="B2010" t="str">
        <f>"1551689198589781"</f>
        <v>1551689198589781</v>
      </c>
      <c r="C2010" t="s">
        <v>40</v>
      </c>
      <c r="D2010">
        <v>3.9722339999999998</v>
      </c>
      <c r="E2010">
        <v>0.55272880000000002</v>
      </c>
      <c r="F2010" t="s">
        <v>41</v>
      </c>
      <c r="G2010">
        <v>-442.02550000000002</v>
      </c>
      <c r="H2010">
        <v>1.034135</v>
      </c>
      <c r="I2010">
        <v>285.89139999999998</v>
      </c>
      <c r="J2010">
        <v>-441.33890000000002</v>
      </c>
      <c r="K2010">
        <v>1.1114109999999999</v>
      </c>
      <c r="L2010">
        <v>285.8759</v>
      </c>
      <c r="M2010">
        <v>-0.99987729999999997</v>
      </c>
      <c r="N2010">
        <v>-1.419105E-2</v>
      </c>
      <c r="O2010">
        <v>-6.6299870000000004E-3</v>
      </c>
      <c r="P2010">
        <v>-0.92820239999999998</v>
      </c>
      <c r="Q2010">
        <v>0.3640603</v>
      </c>
      <c r="R2010">
        <v>-7.6813699999999999E-2</v>
      </c>
      <c r="S2010">
        <v>-3.336395</v>
      </c>
      <c r="T2010">
        <v>-0.25980809999999999</v>
      </c>
      <c r="U2010">
        <v>4.3701169999999998E-2</v>
      </c>
      <c r="V2010">
        <v>-7.1006299999999994E-2</v>
      </c>
      <c r="W2010">
        <v>0.37713720000000001</v>
      </c>
      <c r="X2010">
        <v>0.92343140000000001</v>
      </c>
      <c r="Y2010">
        <v>1.9643250000000001E-2</v>
      </c>
      <c r="Z2010">
        <v>1.3247840000000001E-3</v>
      </c>
      <c r="AA2010">
        <v>0.99980619999999998</v>
      </c>
      <c r="AB2010">
        <v>31</v>
      </c>
      <c r="AC2010">
        <v>-0.68659999999999799</v>
      </c>
      <c r="AD2010">
        <v>-7.7276000000000095E-2</v>
      </c>
      <c r="AE2010">
        <v>1.5499999999974499E-2</v>
      </c>
      <c r="AF2010">
        <v>1.98015636691353E-2</v>
      </c>
      <c r="AG2010">
        <v>-7.7276000000000095E-2</v>
      </c>
      <c r="AH2010">
        <v>0.67789939747832095</v>
      </c>
      <c r="AI2010">
        <v>96.500515101450802</v>
      </c>
      <c r="AJ2010">
        <v>88.326855699646899</v>
      </c>
      <c r="AK2010">
        <v>0.68257693720284196</v>
      </c>
      <c r="AL2010">
        <v>67.843532399368499</v>
      </c>
      <c r="AM2010">
        <v>94.397047064650593</v>
      </c>
      <c r="AN2010">
        <v>0.99999995638474404</v>
      </c>
    </row>
    <row r="2011" spans="1:40" x14ac:dyDescent="0.25">
      <c r="A2011" t="str">
        <f>"20190304164638619"</f>
        <v>20190304164638619</v>
      </c>
      <c r="B2011" t="str">
        <f>"1551689198610277"</f>
        <v>1551689198610277</v>
      </c>
      <c r="C2011" t="s">
        <v>40</v>
      </c>
      <c r="D2011">
        <v>4.2957510000000001</v>
      </c>
      <c r="E2011">
        <v>0.55271910000000002</v>
      </c>
      <c r="F2011" t="s">
        <v>41</v>
      </c>
      <c r="G2011">
        <v>-442.30009999999999</v>
      </c>
      <c r="H2011">
        <v>1.0368310000000001</v>
      </c>
      <c r="I2011">
        <v>285.88889999999998</v>
      </c>
      <c r="J2011">
        <v>-441.6388</v>
      </c>
      <c r="K2011">
        <v>1.111423</v>
      </c>
      <c r="L2011">
        <v>285.8734</v>
      </c>
      <c r="M2011">
        <v>-0.99987389999999998</v>
      </c>
      <c r="N2011">
        <v>-1.420454E-2</v>
      </c>
      <c r="O2011">
        <v>-7.1097670000000003E-3</v>
      </c>
      <c r="P2011">
        <v>-0.92819050000000003</v>
      </c>
      <c r="Q2011">
        <v>0.36398459999999999</v>
      </c>
      <c r="R2011">
        <v>-7.7315120000000001E-2</v>
      </c>
      <c r="S2011">
        <v>-3.3372799999999998</v>
      </c>
      <c r="T2011">
        <v>-0.25907210000000003</v>
      </c>
      <c r="U2011">
        <v>4.3518069999999999E-2</v>
      </c>
      <c r="V2011">
        <v>-7.1068179999999995E-2</v>
      </c>
      <c r="W2011">
        <v>0.37707360000000001</v>
      </c>
      <c r="X2011">
        <v>0.92345259999999996</v>
      </c>
      <c r="Y2011">
        <v>2.0062719999999999E-2</v>
      </c>
      <c r="Z2011">
        <v>1.3704979999999999E-3</v>
      </c>
      <c r="AA2011">
        <v>0.99979779999999996</v>
      </c>
      <c r="AB2011">
        <v>31</v>
      </c>
      <c r="AC2011">
        <v>-0.66129999999998201</v>
      </c>
      <c r="AD2011">
        <v>-7.4591999999999894E-2</v>
      </c>
      <c r="AE2011">
        <v>1.5499999999974499E-2</v>
      </c>
      <c r="AF2011">
        <v>1.9948111899570301E-2</v>
      </c>
      <c r="AG2011">
        <v>-7.4591999999999894E-2</v>
      </c>
      <c r="AH2011">
        <v>0.652871190197306</v>
      </c>
      <c r="AI2011">
        <v>96.514894690016405</v>
      </c>
      <c r="AJ2011">
        <v>88.249904171528598</v>
      </c>
      <c r="AK2011">
        <v>0.65742123834114496</v>
      </c>
      <c r="AL2011">
        <v>67.847466633392997</v>
      </c>
      <c r="AM2011">
        <v>94.400763285619604</v>
      </c>
      <c r="AN2011">
        <v>0.99999994523611402</v>
      </c>
    </row>
    <row r="2012" spans="1:40" x14ac:dyDescent="0.25">
      <c r="A2012" t="str">
        <f>"20190304164638659"</f>
        <v>20190304164638659</v>
      </c>
      <c r="B2012" t="str">
        <f>"1551689198650293"</f>
        <v>1551689198650293</v>
      </c>
      <c r="C2012" t="s">
        <v>40</v>
      </c>
      <c r="D2012">
        <v>4.0194519999999896</v>
      </c>
      <c r="E2012">
        <v>0.4600284</v>
      </c>
      <c r="F2012" t="s">
        <v>41</v>
      </c>
      <c r="G2012">
        <v>-442.57459999999998</v>
      </c>
      <c r="H2012">
        <v>1.038548</v>
      </c>
      <c r="I2012">
        <v>285.88510000000002</v>
      </c>
      <c r="J2012">
        <v>-441.94799999999998</v>
      </c>
      <c r="K2012">
        <v>1.111432</v>
      </c>
      <c r="L2012">
        <v>285.8707</v>
      </c>
      <c r="M2012">
        <v>-0.99986989999999998</v>
      </c>
      <c r="N2012">
        <v>-1.421614E-2</v>
      </c>
      <c r="O2012">
        <v>-7.6158830000000004E-3</v>
      </c>
      <c r="P2012">
        <v>-0.9278902</v>
      </c>
      <c r="Q2012">
        <v>0.36464069999999998</v>
      </c>
      <c r="R2012">
        <v>-7.7828670000000003E-2</v>
      </c>
      <c r="S2012">
        <v>-3.3375240000000002</v>
      </c>
      <c r="T2012">
        <v>-0.25991209999999998</v>
      </c>
      <c r="U2012">
        <v>4.1748050000000002E-2</v>
      </c>
      <c r="V2012">
        <v>-7.1120559999999999E-2</v>
      </c>
      <c r="W2012">
        <v>0.37773509999999999</v>
      </c>
      <c r="X2012">
        <v>0.92317830000000001</v>
      </c>
      <c r="Y2012">
        <v>2.0036229999999999E-2</v>
      </c>
      <c r="Z2012">
        <v>1.4056850000000001E-3</v>
      </c>
      <c r="AA2012">
        <v>0.99979819999999997</v>
      </c>
      <c r="AB2012">
        <v>31</v>
      </c>
      <c r="AC2012">
        <v>-0.62659999999993898</v>
      </c>
      <c r="AD2012">
        <v>-7.2883999999999893E-2</v>
      </c>
      <c r="AE2012">
        <v>1.44000000000232E-2</v>
      </c>
      <c r="AF2012">
        <v>1.8916381877670502E-2</v>
      </c>
      <c r="AG2012">
        <v>-7.2883999999999893E-2</v>
      </c>
      <c r="AH2012">
        <v>0.61811375264428303</v>
      </c>
      <c r="AI2012">
        <v>96.721779763365305</v>
      </c>
      <c r="AJ2012">
        <v>88.247101490937794</v>
      </c>
      <c r="AK2012">
        <v>0.62268332093235002</v>
      </c>
      <c r="AL2012">
        <v>67.806541405459399</v>
      </c>
      <c r="AM2012">
        <v>94.405297452502595</v>
      </c>
      <c r="AN2012">
        <v>1.0000000567088001</v>
      </c>
    </row>
    <row r="2013" spans="1:40" x14ac:dyDescent="0.25">
      <c r="A2013" t="str">
        <f>"20190304164638680"</f>
        <v>20190304164638680</v>
      </c>
      <c r="B2013" t="str">
        <f>"1551689198670789"</f>
        <v>1551689198670789</v>
      </c>
      <c r="C2013" t="s">
        <v>40</v>
      </c>
      <c r="D2013">
        <v>4.0154809999999896</v>
      </c>
      <c r="E2013">
        <v>0.45757700000000001</v>
      </c>
      <c r="F2013" t="s">
        <v>49</v>
      </c>
      <c r="G2013">
        <v>-459.76249999999999</v>
      </c>
      <c r="H2013" s="1">
        <v>3.769758E-6</v>
      </c>
      <c r="I2013">
        <v>282.0677</v>
      </c>
      <c r="J2013">
        <v>-442.45460000000003</v>
      </c>
      <c r="K2013">
        <v>1.1114539999999999</v>
      </c>
      <c r="L2013">
        <v>285.86579999999998</v>
      </c>
      <c r="M2013">
        <v>-0.9998629</v>
      </c>
      <c r="N2013">
        <v>-1.4231000000000001E-2</v>
      </c>
      <c r="O2013">
        <v>-8.473309E-3</v>
      </c>
      <c r="P2013">
        <v>-0.92790099999999998</v>
      </c>
      <c r="Q2013">
        <v>0.36440719999999999</v>
      </c>
      <c r="R2013">
        <v>-7.8785960000000002E-2</v>
      </c>
      <c r="S2013">
        <v>-3.2546689999999998</v>
      </c>
      <c r="T2013">
        <v>-0.2030545</v>
      </c>
      <c r="U2013">
        <v>-0.69479369999999996</v>
      </c>
      <c r="V2013">
        <v>-7.1293469999999998E-2</v>
      </c>
      <c r="W2013">
        <v>0.37751390000000001</v>
      </c>
      <c r="X2013">
        <v>0.92325539999999995</v>
      </c>
      <c r="Y2013">
        <v>-0.20002639999999999</v>
      </c>
      <c r="Z2013">
        <v>-7.2022910000000004E-3</v>
      </c>
      <c r="AA2013">
        <v>0.97976399999999997</v>
      </c>
      <c r="AB2013">
        <v>31</v>
      </c>
      <c r="AC2013">
        <v>-17.307899999999901</v>
      </c>
      <c r="AD2013">
        <v>-1.111450230242</v>
      </c>
      <c r="AE2013">
        <v>-3.7980999999999701</v>
      </c>
      <c r="AF2013">
        <v>-3.6369846676431101</v>
      </c>
      <c r="AG2013">
        <v>-1.111450230242</v>
      </c>
      <c r="AH2013">
        <v>17.271513237853799</v>
      </c>
      <c r="AI2013">
        <v>93.6031943868186</v>
      </c>
      <c r="AJ2013">
        <v>101.891442646051</v>
      </c>
      <c r="AK2013">
        <v>17.685252291452802</v>
      </c>
      <c r="AL2013">
        <v>67.820227760580906</v>
      </c>
      <c r="AM2013">
        <v>94.415598089760394</v>
      </c>
      <c r="AN2013">
        <v>1.0000000185935001</v>
      </c>
    </row>
    <row r="2014" spans="1:40" x14ac:dyDescent="0.25">
      <c r="A2014" t="str">
        <f>"20190304164638702"</f>
        <v>20190304164638702</v>
      </c>
      <c r="B2014" t="str">
        <f>"1551689198690309"</f>
        <v>1551689198690309</v>
      </c>
      <c r="C2014" t="s">
        <v>40</v>
      </c>
      <c r="D2014">
        <v>3.9927139999999999</v>
      </c>
      <c r="E2014">
        <v>0.45868809999999899</v>
      </c>
      <c r="F2014" t="s">
        <v>49</v>
      </c>
      <c r="G2014">
        <v>-459.79349999999999</v>
      </c>
      <c r="H2014" s="1">
        <v>3.7874400000000002E-6</v>
      </c>
      <c r="I2014">
        <v>282.0394</v>
      </c>
      <c r="J2014">
        <v>-442.76310000000001</v>
      </c>
      <c r="K2014">
        <v>1.111475</v>
      </c>
      <c r="L2014">
        <v>285.86259999999999</v>
      </c>
      <c r="M2014">
        <v>-0.99985809999999997</v>
      </c>
      <c r="N2014">
        <v>-1.423759E-2</v>
      </c>
      <c r="O2014">
        <v>-9.0124430000000002E-3</v>
      </c>
      <c r="P2014">
        <v>-0.92778280000000002</v>
      </c>
      <c r="Q2014">
        <v>0.36454239999999999</v>
      </c>
      <c r="R2014">
        <v>-7.9551259999999999E-2</v>
      </c>
      <c r="S2014">
        <v>-3.2540589999999998</v>
      </c>
      <c r="T2014">
        <v>-0.20859030000000001</v>
      </c>
      <c r="U2014">
        <v>-0.71810909999999994</v>
      </c>
      <c r="V2014">
        <v>-7.1567339999999993E-2</v>
      </c>
      <c r="W2014">
        <v>0.37765209999999999</v>
      </c>
      <c r="X2014">
        <v>0.92317769999999999</v>
      </c>
      <c r="Y2014">
        <v>-0.20619970000000001</v>
      </c>
      <c r="Z2014">
        <v>-7.5676299999999997E-3</v>
      </c>
      <c r="AA2014">
        <v>0.97848060000000003</v>
      </c>
      <c r="AB2014">
        <v>30</v>
      </c>
      <c r="AC2014">
        <v>-17.030399999999901</v>
      </c>
      <c r="AD2014">
        <v>-1.1114712125599999</v>
      </c>
      <c r="AE2014">
        <v>-3.8231999999999799</v>
      </c>
      <c r="AF2014">
        <v>-3.6547236538298802</v>
      </c>
      <c r="AG2014">
        <v>-1.1114712125599999</v>
      </c>
      <c r="AH2014">
        <v>16.995251936832599</v>
      </c>
      <c r="AI2014">
        <v>93.658356616907398</v>
      </c>
      <c r="AJ2014">
        <v>102.13627913269799</v>
      </c>
      <c r="AK2014">
        <v>17.419269836552399</v>
      </c>
      <c r="AL2014">
        <v>67.811676731774796</v>
      </c>
      <c r="AM2014">
        <v>94.432864479968401</v>
      </c>
      <c r="AN2014">
        <v>1.0000000292831801</v>
      </c>
    </row>
    <row r="2015" spans="1:40" x14ac:dyDescent="0.25">
      <c r="A2015" t="str">
        <f>"20190304164638722"</f>
        <v>20190304164638722</v>
      </c>
      <c r="B2015" t="str">
        <f>"1551689198710806"</f>
        <v>1551689198710806</v>
      </c>
      <c r="C2015" t="s">
        <v>40</v>
      </c>
      <c r="D2015">
        <v>3.9784229999999998</v>
      </c>
      <c r="E2015">
        <v>0.45976339999999999</v>
      </c>
      <c r="F2015" t="s">
        <v>49</v>
      </c>
      <c r="G2015">
        <v>-460.5181</v>
      </c>
      <c r="H2015" s="1">
        <v>-1.1462510000000001E-6</v>
      </c>
      <c r="I2015">
        <v>281.9896</v>
      </c>
      <c r="J2015">
        <v>-443.03840000000002</v>
      </c>
      <c r="K2015">
        <v>1.1114740000000001</v>
      </c>
      <c r="L2015">
        <v>285.8596</v>
      </c>
      <c r="M2015">
        <v>-0.9998534</v>
      </c>
      <c r="N2015">
        <v>-1.4242370000000001E-2</v>
      </c>
      <c r="O2015">
        <v>-9.5031439999999998E-3</v>
      </c>
      <c r="P2015">
        <v>-0.92758569999999996</v>
      </c>
      <c r="Q2015">
        <v>0.36487310000000001</v>
      </c>
      <c r="R2015">
        <v>-8.032881E-2</v>
      </c>
      <c r="S2015">
        <v>-3.2526860000000002</v>
      </c>
      <c r="T2015">
        <v>-0.20361979999999999</v>
      </c>
      <c r="U2015">
        <v>-0.70953369999999905</v>
      </c>
      <c r="V2015">
        <v>-7.1898420000000005E-2</v>
      </c>
      <c r="W2015">
        <v>0.37798369999999998</v>
      </c>
      <c r="X2015">
        <v>0.92301630000000001</v>
      </c>
      <c r="Y2015">
        <v>-0.20337150000000001</v>
      </c>
      <c r="Z2015">
        <v>-7.298934E-3</v>
      </c>
      <c r="AA2015">
        <v>0.97907449999999996</v>
      </c>
      <c r="AB2015">
        <v>30</v>
      </c>
      <c r="AC2015">
        <v>-17.479699999999902</v>
      </c>
      <c r="AD2015">
        <v>-1.111475146251</v>
      </c>
      <c r="AE2015">
        <v>-3.87</v>
      </c>
      <c r="AF2015">
        <v>-3.6894758022354299</v>
      </c>
      <c r="AG2015">
        <v>-1.111475146251</v>
      </c>
      <c r="AH2015">
        <v>17.448439413896299</v>
      </c>
      <c r="AI2015">
        <v>93.566205293586904</v>
      </c>
      <c r="AJ2015">
        <v>101.93933605618101</v>
      </c>
      <c r="AK2015">
        <v>17.868845700727999</v>
      </c>
      <c r="AL2015">
        <v>67.791157563185905</v>
      </c>
      <c r="AM2015">
        <v>94.454064772490895</v>
      </c>
      <c r="AN2015">
        <v>1.0000000751649301</v>
      </c>
    </row>
    <row r="2016" spans="1:40" x14ac:dyDescent="0.25">
      <c r="A2016" t="str">
        <f>"20190304164638740"</f>
        <v>20190304164638740</v>
      </c>
      <c r="B2016" t="str">
        <f>"1551689198730325"</f>
        <v>1551689198730325</v>
      </c>
      <c r="C2016" t="s">
        <v>40</v>
      </c>
      <c r="D2016">
        <v>3.9767160000000001</v>
      </c>
      <c r="E2016">
        <v>0.46054020000000001</v>
      </c>
      <c r="F2016" t="s">
        <v>49</v>
      </c>
      <c r="G2016">
        <v>-461.08879999999999</v>
      </c>
      <c r="H2016" s="1">
        <v>-8.4158469999999905E-7</v>
      </c>
      <c r="I2016">
        <v>281.96710000000002</v>
      </c>
      <c r="J2016">
        <v>-443.28199999999998</v>
      </c>
      <c r="K2016">
        <v>1.111478</v>
      </c>
      <c r="L2016">
        <v>285.85680000000002</v>
      </c>
      <c r="M2016">
        <v>-0.99984899999999999</v>
      </c>
      <c r="N2016">
        <v>-1.4245789999999999E-2</v>
      </c>
      <c r="O2016">
        <v>-9.9453059999999992E-3</v>
      </c>
      <c r="P2016">
        <v>-0.92747080000000004</v>
      </c>
      <c r="Q2016">
        <v>0.36487639999999999</v>
      </c>
      <c r="R2016">
        <v>-8.1627809999999995E-2</v>
      </c>
      <c r="S2016">
        <v>-3.2522280000000001</v>
      </c>
      <c r="T2016">
        <v>-0.2002593</v>
      </c>
      <c r="U2016">
        <v>-0.70132450000000002</v>
      </c>
      <c r="V2016">
        <v>-7.2794819999999996E-2</v>
      </c>
      <c r="W2016">
        <v>0.37798710000000002</v>
      </c>
      <c r="X2016">
        <v>0.92294449999999995</v>
      </c>
      <c r="Y2016">
        <v>-0.2006259</v>
      </c>
      <c r="Z2016">
        <v>-7.0833619999999898E-3</v>
      </c>
      <c r="AA2016">
        <v>0.97964229999999997</v>
      </c>
      <c r="AB2016">
        <v>30</v>
      </c>
      <c r="AC2016">
        <v>-17.806799999999999</v>
      </c>
      <c r="AD2016">
        <v>-1.1114788415846999</v>
      </c>
      <c r="AE2016">
        <v>-3.8896999999999999</v>
      </c>
      <c r="AF2016">
        <v>-3.6986415199902098</v>
      </c>
      <c r="AG2016">
        <v>-1.1114788415846999</v>
      </c>
      <c r="AH2016">
        <v>17.7784950641182</v>
      </c>
      <c r="AI2016">
        <v>93.502569654515099</v>
      </c>
      <c r="AJ2016">
        <v>101.752190867515</v>
      </c>
      <c r="AK2016">
        <v>18.193136646921602</v>
      </c>
      <c r="AL2016">
        <v>67.790944028133296</v>
      </c>
      <c r="AM2016">
        <v>94.509717950660601</v>
      </c>
      <c r="AN2016">
        <v>0.99999994183274399</v>
      </c>
    </row>
    <row r="2017" spans="1:40" x14ac:dyDescent="0.25">
      <c r="A2017" t="str">
        <f>"20190304164638756"</f>
        <v>20190304164638756</v>
      </c>
      <c r="B2017" t="str">
        <f>"1551689198749846"</f>
        <v>1551689198749846</v>
      </c>
      <c r="C2017" t="s">
        <v>40</v>
      </c>
      <c r="D2017">
        <v>3.9816199999999999</v>
      </c>
      <c r="E2017">
        <v>0.46105059999999898</v>
      </c>
      <c r="F2017" t="s">
        <v>49</v>
      </c>
      <c r="G2017">
        <v>-461.61</v>
      </c>
      <c r="H2017" s="1">
        <v>-5.6222549999999995E-7</v>
      </c>
      <c r="I2017">
        <v>281.92149999999998</v>
      </c>
      <c r="J2017">
        <v>-443.49970000000002</v>
      </c>
      <c r="K2017">
        <v>1.11148</v>
      </c>
      <c r="L2017">
        <v>285.85419999999999</v>
      </c>
      <c r="M2017">
        <v>-0.99984499999999998</v>
      </c>
      <c r="N2017">
        <v>-1.424831E-2</v>
      </c>
      <c r="O2017">
        <v>-1.034643E-2</v>
      </c>
      <c r="P2017">
        <v>-0.92719660000000004</v>
      </c>
      <c r="Q2017">
        <v>0.36535669999999998</v>
      </c>
      <c r="R2017">
        <v>-8.2589670000000004E-2</v>
      </c>
      <c r="S2017">
        <v>-3.2507320000000002</v>
      </c>
      <c r="T2017">
        <v>-0.19713620000000001</v>
      </c>
      <c r="U2017">
        <v>-0.69796749999999996</v>
      </c>
      <c r="V2017">
        <v>-7.3392849999999996E-2</v>
      </c>
      <c r="W2017">
        <v>0.37846439999999998</v>
      </c>
      <c r="X2017">
        <v>0.92270160000000001</v>
      </c>
      <c r="Y2017">
        <v>-0.19937350000000001</v>
      </c>
      <c r="Z2017">
        <v>-6.9360100000000003E-3</v>
      </c>
      <c r="AA2017">
        <v>0.97989899999999996</v>
      </c>
      <c r="AB2017">
        <v>30</v>
      </c>
      <c r="AC2017">
        <v>-18.110299999999899</v>
      </c>
      <c r="AD2017">
        <v>-1.1114805622255</v>
      </c>
      <c r="AE2017">
        <v>-3.9327000000000099</v>
      </c>
      <c r="AF2017">
        <v>-3.7316706424902701</v>
      </c>
      <c r="AG2017">
        <v>-1.1114805622255</v>
      </c>
      <c r="AH2017">
        <v>18.084972186246802</v>
      </c>
      <c r="AI2017">
        <v>93.444522471837104</v>
      </c>
      <c r="AJ2017">
        <v>101.658839833039</v>
      </c>
      <c r="AK2017">
        <v>18.499377659844299</v>
      </c>
      <c r="AL2017">
        <v>67.761404195639898</v>
      </c>
      <c r="AM2017">
        <v>94.547803721969302</v>
      </c>
      <c r="AN2017">
        <v>1.0000000275705201</v>
      </c>
    </row>
    <row r="2018" spans="1:40" x14ac:dyDescent="0.25">
      <c r="A2018" t="str">
        <f>"20190304164638776"</f>
        <v>20190304164638776</v>
      </c>
      <c r="B2018" t="str">
        <f>"1551689198770345"</f>
        <v>1551689198770345</v>
      </c>
      <c r="C2018" t="s">
        <v>40</v>
      </c>
      <c r="D2018">
        <v>3.9972409999999998</v>
      </c>
      <c r="E2018">
        <v>0.4610979</v>
      </c>
      <c r="F2018" t="s">
        <v>49</v>
      </c>
      <c r="G2018">
        <v>-462.1395</v>
      </c>
      <c r="H2018" s="1">
        <v>-2.7766730000000002E-7</v>
      </c>
      <c r="I2018">
        <v>281.85809999999998</v>
      </c>
      <c r="J2018">
        <v>-443.77539999999999</v>
      </c>
      <c r="K2018">
        <v>1.111497</v>
      </c>
      <c r="L2018">
        <v>285.85079999999999</v>
      </c>
      <c r="M2018">
        <v>-0.99983949999999999</v>
      </c>
      <c r="N2018">
        <v>-1.4250779999999999E-2</v>
      </c>
      <c r="O2018">
        <v>-1.086261E-2</v>
      </c>
      <c r="P2018">
        <v>-0.92718149999999999</v>
      </c>
      <c r="Q2018">
        <v>0.36507830000000002</v>
      </c>
      <c r="R2018">
        <v>-8.3976449999999994E-2</v>
      </c>
      <c r="S2018">
        <v>-3.2498469999999999</v>
      </c>
      <c r="T2018">
        <v>-0.19378600000000001</v>
      </c>
      <c r="U2018">
        <v>-0.69671629999999996</v>
      </c>
      <c r="V2018">
        <v>-7.4306949999999997E-2</v>
      </c>
      <c r="W2018">
        <v>0.37818679999999999</v>
      </c>
      <c r="X2018">
        <v>0.92274219999999896</v>
      </c>
      <c r="Y2018">
        <v>-0.19857639999999999</v>
      </c>
      <c r="Z2018">
        <v>-6.7946639999999997E-3</v>
      </c>
      <c r="AA2018">
        <v>0.98006179999999998</v>
      </c>
      <c r="AB2018">
        <v>30</v>
      </c>
      <c r="AC2018">
        <v>-18.364100000000001</v>
      </c>
      <c r="AD2018">
        <v>-1.1114972776673</v>
      </c>
      <c r="AE2018">
        <v>-3.9927000000000099</v>
      </c>
      <c r="AF2018">
        <v>-3.7797405869660299</v>
      </c>
      <c r="AG2018">
        <v>-1.1114972776673</v>
      </c>
      <c r="AH2018">
        <v>18.3422309198783</v>
      </c>
      <c r="AI2018">
        <v>93.396559391521507</v>
      </c>
      <c r="AJ2018">
        <v>101.643819143549</v>
      </c>
      <c r="AK2018">
        <v>18.760578355188301</v>
      </c>
      <c r="AL2018">
        <v>67.778585354144298</v>
      </c>
      <c r="AM2018">
        <v>94.604002371376893</v>
      </c>
      <c r="AN2018">
        <v>0.99999997308668997</v>
      </c>
    </row>
    <row r="2019" spans="1:40" x14ac:dyDescent="0.25">
      <c r="A2019" t="str">
        <f>"20190304164638798"</f>
        <v>20190304164638798</v>
      </c>
      <c r="B2019" t="str">
        <f>"1551689198789861"</f>
        <v>1551689198789861</v>
      </c>
      <c r="C2019" t="s">
        <v>40</v>
      </c>
      <c r="D2019">
        <v>4.0000830000000001</v>
      </c>
      <c r="E2019">
        <v>0.46100069999999999</v>
      </c>
      <c r="F2019" t="s">
        <v>49</v>
      </c>
      <c r="G2019">
        <v>-462.35629999999998</v>
      </c>
      <c r="H2019" s="1">
        <v>-1.6174299999999999E-7</v>
      </c>
      <c r="I2019">
        <v>281.84449999999998</v>
      </c>
      <c r="J2019">
        <v>-444.07870000000003</v>
      </c>
      <c r="K2019">
        <v>1.1115090000000001</v>
      </c>
      <c r="L2019">
        <v>285.84690000000001</v>
      </c>
      <c r="M2019">
        <v>-0.99983299999999997</v>
      </c>
      <c r="N2019">
        <v>-1.425279E-2</v>
      </c>
      <c r="O2019">
        <v>-1.143826E-2</v>
      </c>
      <c r="P2019">
        <v>-0.92708950000000001</v>
      </c>
      <c r="Q2019">
        <v>0.36498760000000002</v>
      </c>
      <c r="R2019">
        <v>-8.5375380000000001E-2</v>
      </c>
      <c r="S2019">
        <v>-3.248688</v>
      </c>
      <c r="T2019">
        <v>-0.19433439999999999</v>
      </c>
      <c r="U2019">
        <v>-0.70047000000000004</v>
      </c>
      <c r="V2019">
        <v>-7.5178499999999995E-2</v>
      </c>
      <c r="W2019">
        <v>0.37809540000000003</v>
      </c>
      <c r="X2019">
        <v>0.92270909999999995</v>
      </c>
      <c r="Y2019">
        <v>-0.19916329999999999</v>
      </c>
      <c r="Z2019">
        <v>-6.80666E-3</v>
      </c>
      <c r="AA2019">
        <v>0.97994270000000006</v>
      </c>
      <c r="AB2019">
        <v>30</v>
      </c>
      <c r="AC2019">
        <v>-18.2775999999999</v>
      </c>
      <c r="AD2019">
        <v>-1.111509161743</v>
      </c>
      <c r="AE2019">
        <v>-4.0024000000000202</v>
      </c>
      <c r="AF2019">
        <v>-3.7797144794190798</v>
      </c>
      <c r="AG2019">
        <v>-1.111509161743</v>
      </c>
      <c r="AH2019">
        <v>18.2577583249181</v>
      </c>
      <c r="AI2019">
        <v>93.411631591398006</v>
      </c>
      <c r="AJ2019">
        <v>101.696131723855</v>
      </c>
      <c r="AK2019">
        <v>18.677993286584201</v>
      </c>
      <c r="AL2019">
        <v>67.784243104848599</v>
      </c>
      <c r="AM2019">
        <v>94.657933070115405</v>
      </c>
      <c r="AN2019">
        <v>1.00000001079311</v>
      </c>
    </row>
    <row r="2020" spans="1:40" x14ac:dyDescent="0.25">
      <c r="A2020" t="str">
        <f>"20190304164638831"</f>
        <v>20190304164638831</v>
      </c>
      <c r="B2020" t="str">
        <f>"1551689198820117"</f>
        <v>1551689198820117</v>
      </c>
      <c r="C2020" t="s">
        <v>40</v>
      </c>
      <c r="D2020">
        <v>4.0096150000000002</v>
      </c>
      <c r="E2020">
        <v>0.4606806</v>
      </c>
      <c r="F2020" t="s">
        <v>49</v>
      </c>
      <c r="G2020">
        <v>-462.5095</v>
      </c>
      <c r="H2020" s="1">
        <v>-8.0051630000000002E-8</v>
      </c>
      <c r="I2020">
        <v>281.8415</v>
      </c>
      <c r="J2020">
        <v>-444.52199999999999</v>
      </c>
      <c r="K2020">
        <v>1.1115189999999999</v>
      </c>
      <c r="L2020">
        <v>285.8408</v>
      </c>
      <c r="M2020">
        <v>-0.99982289999999996</v>
      </c>
      <c r="N2020">
        <v>-1.425417E-2</v>
      </c>
      <c r="O2020">
        <v>-1.229045E-2</v>
      </c>
      <c r="P2020">
        <v>-0.92671749999999997</v>
      </c>
      <c r="Q2020">
        <v>0.36557919999999999</v>
      </c>
      <c r="R2020">
        <v>-8.6870909999999996E-2</v>
      </c>
      <c r="S2020">
        <v>-3.2480470000000001</v>
      </c>
      <c r="T2020">
        <v>-0.19588069999999999</v>
      </c>
      <c r="U2020">
        <v>-0.70587159999999904</v>
      </c>
      <c r="V2020">
        <v>-7.5893130000000003E-2</v>
      </c>
      <c r="W2020">
        <v>0.37868239999999997</v>
      </c>
      <c r="X2020">
        <v>0.92240979999999995</v>
      </c>
      <c r="Y2020">
        <v>-0.19991800000000001</v>
      </c>
      <c r="Z2020">
        <v>-6.8377380000000003E-3</v>
      </c>
      <c r="AA2020">
        <v>0.97978880000000002</v>
      </c>
      <c r="AB2020">
        <v>30</v>
      </c>
      <c r="AC2020">
        <v>-17.987500000000001</v>
      </c>
      <c r="AD2020">
        <v>-1.1115190800516299</v>
      </c>
      <c r="AE2020">
        <v>-3.9992999999999999</v>
      </c>
      <c r="AF2020">
        <v>-3.7642044242271799</v>
      </c>
      <c r="AG2020">
        <v>-1.1115190800516299</v>
      </c>
      <c r="AH2020">
        <v>17.969913567114801</v>
      </c>
      <c r="AI2020">
        <v>93.464485835379804</v>
      </c>
      <c r="AJ2020">
        <v>101.830834295637</v>
      </c>
      <c r="AK2020">
        <v>18.393545151010599</v>
      </c>
      <c r="AL2020">
        <v>67.747908268492793</v>
      </c>
      <c r="AM2020">
        <v>94.703531584282601</v>
      </c>
      <c r="AN2020">
        <v>0.99999998319349803</v>
      </c>
    </row>
    <row r="2021" spans="1:40" x14ac:dyDescent="0.25">
      <c r="A2021" t="str">
        <f>"20190304164638854"</f>
        <v>20190304164638854</v>
      </c>
      <c r="B2021" t="str">
        <f>"1551689198850374"</f>
        <v>1551689198850374</v>
      </c>
      <c r="C2021" t="s">
        <v>40</v>
      </c>
      <c r="D2021">
        <v>4.046716</v>
      </c>
      <c r="E2021">
        <v>0.46052159999999898</v>
      </c>
      <c r="F2021" t="s">
        <v>49</v>
      </c>
      <c r="G2021">
        <v>-462.92739999999998</v>
      </c>
      <c r="H2021" s="1">
        <v>1.4413370000000001E-7</v>
      </c>
      <c r="I2021">
        <v>281.8005</v>
      </c>
      <c r="J2021">
        <v>-444.82119999999998</v>
      </c>
      <c r="K2021">
        <v>1.1115349999999999</v>
      </c>
      <c r="L2021">
        <v>285.8365</v>
      </c>
      <c r="M2021">
        <v>-0.99981560000000003</v>
      </c>
      <c r="N2021">
        <v>-1.425442E-2</v>
      </c>
      <c r="O2021">
        <v>-1.286911E-2</v>
      </c>
      <c r="P2021">
        <v>-0.92610369999999997</v>
      </c>
      <c r="Q2021">
        <v>0.36694870000000002</v>
      </c>
      <c r="R2021">
        <v>-8.7640699999999905E-2</v>
      </c>
      <c r="S2021">
        <v>-3.2478030000000002</v>
      </c>
      <c r="T2021">
        <v>-0.19613749999999999</v>
      </c>
      <c r="U2021">
        <v>-0.71295169999999997</v>
      </c>
      <c r="V2021">
        <v>-7.6137510000000005E-2</v>
      </c>
      <c r="W2021">
        <v>0.38004310000000002</v>
      </c>
      <c r="X2021">
        <v>0.92182989999999998</v>
      </c>
      <c r="Y2021">
        <v>-0.2014012</v>
      </c>
      <c r="Z2021">
        <v>-6.8726799999999999E-3</v>
      </c>
      <c r="AA2021">
        <v>0.97948469999999999</v>
      </c>
      <c r="AB2021">
        <v>30</v>
      </c>
      <c r="AC2021">
        <v>-18.106200000000001</v>
      </c>
      <c r="AD2021">
        <v>-1.1115348558663001</v>
      </c>
      <c r="AE2021">
        <v>-4.0359999999999996</v>
      </c>
      <c r="AF2021">
        <v>-3.7890275884220501</v>
      </c>
      <c r="AG2021">
        <v>-1.1115348558663001</v>
      </c>
      <c r="AH2021">
        <v>18.0916906080617</v>
      </c>
      <c r="AI2021">
        <v>93.441297087546602</v>
      </c>
      <c r="AJ2021">
        <v>101.82875370347</v>
      </c>
      <c r="AK2021">
        <v>18.517599975684199</v>
      </c>
      <c r="AL2021">
        <v>67.663648108044299</v>
      </c>
      <c r="AM2021">
        <v>94.721563872933501</v>
      </c>
      <c r="AN2021">
        <v>1.0000000214103</v>
      </c>
    </row>
    <row r="2022" spans="1:40" x14ac:dyDescent="0.25">
      <c r="A2022" t="str">
        <f>"20190304164638878"</f>
        <v>20190304164638878</v>
      </c>
      <c r="B2022" t="str">
        <f>"1551689198869894"</f>
        <v>1551689198869894</v>
      </c>
      <c r="C2022" t="s">
        <v>40</v>
      </c>
      <c r="D2022">
        <v>4.0436310000000004</v>
      </c>
      <c r="E2022">
        <v>0.46046730000000002</v>
      </c>
      <c r="F2022" t="s">
        <v>49</v>
      </c>
      <c r="G2022">
        <v>-463.6</v>
      </c>
      <c r="H2022" s="1">
        <v>5.0710430000000002E-7</v>
      </c>
      <c r="I2022">
        <v>281.685</v>
      </c>
      <c r="J2022">
        <v>-445.14060000000001</v>
      </c>
      <c r="K2022">
        <v>1.11154</v>
      </c>
      <c r="L2022">
        <v>285.83170000000001</v>
      </c>
      <c r="M2022">
        <v>-0.99980740000000001</v>
      </c>
      <c r="N2022">
        <v>-1.425415E-2</v>
      </c>
      <c r="O2022">
        <v>-1.348945E-2</v>
      </c>
      <c r="P2022">
        <v>-0.92583789999999999</v>
      </c>
      <c r="Q2022">
        <v>0.36764669999999999</v>
      </c>
      <c r="R2022">
        <v>-8.7521489999999993E-2</v>
      </c>
      <c r="S2022">
        <v>-3.2475589999999999</v>
      </c>
      <c r="T2022">
        <v>-0.19222529999999999</v>
      </c>
      <c r="U2022">
        <v>-0.7179565</v>
      </c>
      <c r="V2022">
        <v>-7.5447790000000001E-2</v>
      </c>
      <c r="W2022">
        <v>0.38073800000000002</v>
      </c>
      <c r="X2022">
        <v>0.92159979999999997</v>
      </c>
      <c r="Y2022">
        <v>-0.2022622</v>
      </c>
      <c r="Z2022">
        <v>-6.7719440000000002E-3</v>
      </c>
      <c r="AA2022">
        <v>0.97930799999999996</v>
      </c>
      <c r="AB2022">
        <v>30</v>
      </c>
      <c r="AC2022">
        <v>-18.459399999999999</v>
      </c>
      <c r="AD2022">
        <v>-1.1115394928957001</v>
      </c>
      <c r="AE2022">
        <v>-4.1467000000000098</v>
      </c>
      <c r="AF2022">
        <v>-3.8838841394670802</v>
      </c>
      <c r="AG2022">
        <v>-1.1115394928957001</v>
      </c>
      <c r="AH2022">
        <v>18.449978549761202</v>
      </c>
      <c r="AI2022">
        <v>93.373911857135397</v>
      </c>
      <c r="AJ2022">
        <v>101.887700898435</v>
      </c>
      <c r="AK2022">
        <v>18.887079830924598</v>
      </c>
      <c r="AL2022">
        <v>67.620596257756205</v>
      </c>
      <c r="AM2022">
        <v>94.680145632940693</v>
      </c>
      <c r="AN2022">
        <v>0.99999999250996197</v>
      </c>
    </row>
    <row r="2023" spans="1:40" x14ac:dyDescent="0.25">
      <c r="A2023" t="str">
        <f>"20190304164638900"</f>
        <v>20190304164638900</v>
      </c>
      <c r="B2023" t="str">
        <f>"1551689198890390"</f>
        <v>1551689198890390</v>
      </c>
      <c r="C2023" t="s">
        <v>40</v>
      </c>
      <c r="D2023">
        <v>4.0337019999999999</v>
      </c>
      <c r="E2023">
        <v>0.46038560000000001</v>
      </c>
      <c r="F2023" t="s">
        <v>49</v>
      </c>
      <c r="G2023">
        <v>-464.11680000000001</v>
      </c>
      <c r="H2023" s="1">
        <v>7.8461699999999896E-7</v>
      </c>
      <c r="I2023">
        <v>281.62689999999998</v>
      </c>
      <c r="J2023">
        <v>-445.43759999999997</v>
      </c>
      <c r="K2023">
        <v>1.1115489999999999</v>
      </c>
      <c r="L2023">
        <v>285.82709999999997</v>
      </c>
      <c r="M2023">
        <v>-0.99979949999999995</v>
      </c>
      <c r="N2023">
        <v>-1.425354E-2</v>
      </c>
      <c r="O2023">
        <v>-1.4065909999999999E-2</v>
      </c>
      <c r="P2023">
        <v>-0.92564049999999998</v>
      </c>
      <c r="Q2023">
        <v>0.36805159999999998</v>
      </c>
      <c r="R2023">
        <v>-8.7910210000000003E-2</v>
      </c>
      <c r="S2023">
        <v>-3.247833</v>
      </c>
      <c r="T2023">
        <v>-0.19024360000000001</v>
      </c>
      <c r="U2023">
        <v>-0.71966549999999996</v>
      </c>
      <c r="V2023">
        <v>-7.5305090000000005E-2</v>
      </c>
      <c r="W2023">
        <v>0.38114009999999998</v>
      </c>
      <c r="X2023">
        <v>0.92144530000000002</v>
      </c>
      <c r="Y2023">
        <v>-0.20217969999999999</v>
      </c>
      <c r="Z2023">
        <v>-6.6903269999999898E-3</v>
      </c>
      <c r="AA2023">
        <v>0.97932560000000002</v>
      </c>
      <c r="AB2023">
        <v>30</v>
      </c>
      <c r="AC2023">
        <v>-18.679200000000002</v>
      </c>
      <c r="AD2023">
        <v>-1.1115482153830001</v>
      </c>
      <c r="AE2023">
        <v>-4.2001999999999899</v>
      </c>
      <c r="AF2023">
        <v>-3.9237918838104</v>
      </c>
      <c r="AG2023">
        <v>-1.1115482153830001</v>
      </c>
      <c r="AH2023">
        <v>18.673494825485101</v>
      </c>
      <c r="AI2023">
        <v>93.3339011627844</v>
      </c>
      <c r="AJ2023">
        <v>101.866708307579</v>
      </c>
      <c r="AK2023">
        <v>19.113636262626599</v>
      </c>
      <c r="AL2023">
        <v>67.595679898640199</v>
      </c>
      <c r="AM2023">
        <v>94.672112719541701</v>
      </c>
      <c r="AN2023">
        <v>1.0000000366499999</v>
      </c>
    </row>
    <row r="2024" spans="1:40" x14ac:dyDescent="0.25">
      <c r="A2024" t="str">
        <f>"20190304164638920"</f>
        <v>20190304164638920</v>
      </c>
      <c r="B2024" t="str">
        <f>"1551689198909910"</f>
        <v>1551689198909910</v>
      </c>
      <c r="C2024" t="s">
        <v>40</v>
      </c>
      <c r="D2024">
        <v>4.0011469999999996</v>
      </c>
      <c r="E2024">
        <v>0.46034770000000003</v>
      </c>
      <c r="F2024" t="s">
        <v>49</v>
      </c>
      <c r="G2024">
        <v>-464.49779999999998</v>
      </c>
      <c r="H2024" s="1">
        <v>9.8883969999999998E-7</v>
      </c>
      <c r="I2024">
        <v>281.59359999999998</v>
      </c>
      <c r="J2024">
        <v>-445.71719999999999</v>
      </c>
      <c r="K2024">
        <v>1.1115569999999999</v>
      </c>
      <c r="L2024">
        <v>285.82249999999999</v>
      </c>
      <c r="M2024">
        <v>-0.99979189999999996</v>
      </c>
      <c r="N2024">
        <v>-1.425268E-2</v>
      </c>
      <c r="O2024">
        <v>-1.4608629999999999E-2</v>
      </c>
      <c r="P2024">
        <v>-0.92535109999999998</v>
      </c>
      <c r="Q2024">
        <v>0.36867149999999999</v>
      </c>
      <c r="R2024">
        <v>-8.8356580000000004E-2</v>
      </c>
      <c r="S2024">
        <v>-3.247833</v>
      </c>
      <c r="T2024">
        <v>-0.18940650000000001</v>
      </c>
      <c r="U2024">
        <v>-0.72137450000000003</v>
      </c>
      <c r="V2024">
        <v>-7.5253189999999998E-2</v>
      </c>
      <c r="W2024">
        <v>0.3817564</v>
      </c>
      <c r="X2024">
        <v>0.92119439999999997</v>
      </c>
      <c r="Y2024">
        <v>-0.20214299999999999</v>
      </c>
      <c r="Z2024">
        <v>-6.6430069999999898E-3</v>
      </c>
      <c r="AA2024">
        <v>0.97933349999999997</v>
      </c>
      <c r="AB2024">
        <v>30</v>
      </c>
      <c r="AC2024">
        <v>-18.7806</v>
      </c>
      <c r="AD2024">
        <v>-1.1115560111603</v>
      </c>
      <c r="AE2024">
        <v>-4.2289000000000003</v>
      </c>
      <c r="AF2024">
        <v>-3.9409230022145199</v>
      </c>
      <c r="AG2024">
        <v>-1.1115560111603</v>
      </c>
      <c r="AH2024">
        <v>18.777775352963602</v>
      </c>
      <c r="AI2024">
        <v>93.315620694144499</v>
      </c>
      <c r="AJ2024">
        <v>101.85273652854799</v>
      </c>
      <c r="AK2024">
        <v>19.2190342650639</v>
      </c>
      <c r="AL2024">
        <v>67.5574807248518</v>
      </c>
      <c r="AM2024">
        <v>94.670172973519698</v>
      </c>
      <c r="AN2024">
        <v>1.00000005706874</v>
      </c>
    </row>
    <row r="2025" spans="1:40" x14ac:dyDescent="0.25">
      <c r="A2025" t="str">
        <f>"20190304164638944"</f>
        <v>20190304164638944</v>
      </c>
      <c r="B2025" t="str">
        <f>"1551689198940165"</f>
        <v>1551689198940165</v>
      </c>
      <c r="C2025" t="s">
        <v>40</v>
      </c>
      <c r="D2025">
        <v>3.970958</v>
      </c>
      <c r="E2025">
        <v>0.46033809999999897</v>
      </c>
      <c r="F2025" t="s">
        <v>49</v>
      </c>
      <c r="G2025">
        <v>-464.78980000000001</v>
      </c>
      <c r="H2025" s="1">
        <v>1.1447729999999999E-6</v>
      </c>
      <c r="I2025">
        <v>281.58139999999997</v>
      </c>
      <c r="J2025">
        <v>-446.02449999999999</v>
      </c>
      <c r="K2025">
        <v>1.1115600000000001</v>
      </c>
      <c r="L2025">
        <v>285.81740000000002</v>
      </c>
      <c r="M2025">
        <v>-0.99978290000000003</v>
      </c>
      <c r="N2025">
        <v>-1.4251389999999999E-2</v>
      </c>
      <c r="O2025">
        <v>-1.5204499999999999E-2</v>
      </c>
      <c r="P2025">
        <v>-0.92517579999999999</v>
      </c>
      <c r="Q2025">
        <v>0.36908400000000002</v>
      </c>
      <c r="R2025">
        <v>-8.8468450000000004E-2</v>
      </c>
      <c r="S2025">
        <v>-3.2484739999999999</v>
      </c>
      <c r="T2025">
        <v>-0.18932160000000001</v>
      </c>
      <c r="U2025">
        <v>-0.72235109999999902</v>
      </c>
      <c r="V2025">
        <v>-7.4815129999999994E-2</v>
      </c>
      <c r="W2025">
        <v>0.38216620000000001</v>
      </c>
      <c r="X2025">
        <v>0.92106010000000005</v>
      </c>
      <c r="Y2025">
        <v>-0.2018007</v>
      </c>
      <c r="Z2025">
        <v>-6.6013699999999996E-3</v>
      </c>
      <c r="AA2025">
        <v>0.97940430000000001</v>
      </c>
      <c r="AB2025">
        <v>30</v>
      </c>
      <c r="AC2025">
        <v>-18.7653</v>
      </c>
      <c r="AD2025">
        <v>-1.1115588552269999</v>
      </c>
      <c r="AE2025">
        <v>-4.2360000000000397</v>
      </c>
      <c r="AF2025">
        <v>-3.9370199977495401</v>
      </c>
      <c r="AG2025">
        <v>-1.1115588552269999</v>
      </c>
      <c r="AH2025">
        <v>18.764894027871598</v>
      </c>
      <c r="AI2025">
        <v>93.317942653560706</v>
      </c>
      <c r="AJ2025">
        <v>101.849228271722</v>
      </c>
      <c r="AK2025">
        <v>19.205648581304601</v>
      </c>
      <c r="AL2025">
        <v>67.532073415258907</v>
      </c>
      <c r="AM2025">
        <v>94.643780464485104</v>
      </c>
      <c r="AN2025">
        <v>1.0000000079556799</v>
      </c>
    </row>
    <row r="2026" spans="1:40" x14ac:dyDescent="0.25">
      <c r="A2026" t="str">
        <f>"20190304164638966"</f>
        <v>20190304164638966</v>
      </c>
      <c r="B2026" t="str">
        <f>"1551689198960661"</f>
        <v>1551689198960661</v>
      </c>
      <c r="C2026" t="s">
        <v>40</v>
      </c>
      <c r="D2026">
        <v>4.1306459999999996</v>
      </c>
      <c r="E2026">
        <v>0.4604645</v>
      </c>
      <c r="F2026" t="s">
        <v>49</v>
      </c>
      <c r="G2026">
        <v>-465.06079999999997</v>
      </c>
      <c r="H2026" s="1">
        <v>1.289051E-6</v>
      </c>
      <c r="I2026">
        <v>281.57990000000001</v>
      </c>
      <c r="J2026">
        <v>-446.33049999999997</v>
      </c>
      <c r="K2026">
        <v>1.1115619999999999</v>
      </c>
      <c r="L2026">
        <v>285.81209999999999</v>
      </c>
      <c r="M2026">
        <v>-0.99977369999999999</v>
      </c>
      <c r="N2026">
        <v>-1.424982E-2</v>
      </c>
      <c r="O2026">
        <v>-1.5797499999999999E-2</v>
      </c>
      <c r="P2026">
        <v>-0.92505720000000002</v>
      </c>
      <c r="Q2026">
        <v>0.36929659999999997</v>
      </c>
      <c r="R2026">
        <v>-8.8822559999999995E-2</v>
      </c>
      <c r="S2026">
        <v>-3.2491460000000001</v>
      </c>
      <c r="T2026">
        <v>-0.18972249999999999</v>
      </c>
      <c r="U2026">
        <v>-0.72326659999999998</v>
      </c>
      <c r="V2026">
        <v>-7.4620569999999997E-2</v>
      </c>
      <c r="W2026">
        <v>0.38237680000000002</v>
      </c>
      <c r="X2026">
        <v>0.92098840000000004</v>
      </c>
      <c r="Y2026">
        <v>-0.20143990000000001</v>
      </c>
      <c r="Z2026">
        <v>-6.5717010000000001E-3</v>
      </c>
      <c r="AA2026">
        <v>0.97947879999999998</v>
      </c>
      <c r="AB2026">
        <v>30</v>
      </c>
      <c r="AC2026">
        <v>-18.7303</v>
      </c>
      <c r="AD2026">
        <v>-1.111560710949</v>
      </c>
      <c r="AE2026">
        <v>-4.2321999999999704</v>
      </c>
      <c r="AF2026">
        <v>-3.9226058632189398</v>
      </c>
      <c r="AG2026">
        <v>-1.111560710949</v>
      </c>
      <c r="AH2026">
        <v>18.732059389649802</v>
      </c>
      <c r="AI2026">
        <v>93.324018550818394</v>
      </c>
      <c r="AJ2026">
        <v>101.827179716736</v>
      </c>
      <c r="AK2026">
        <v>19.170614308092802</v>
      </c>
      <c r="AL2026">
        <v>67.519013533341294</v>
      </c>
      <c r="AM2026">
        <v>94.632115741869299</v>
      </c>
      <c r="AN2026">
        <v>0.99999993978996005</v>
      </c>
    </row>
    <row r="2027" spans="1:40" x14ac:dyDescent="0.25">
      <c r="A2027" t="str">
        <f>"20190304164638987"</f>
        <v>20190304164638987</v>
      </c>
      <c r="B2027" t="str">
        <f>"1551689198980182"</f>
        <v>1551689198980182</v>
      </c>
      <c r="C2027" t="s">
        <v>40</v>
      </c>
      <c r="D2027">
        <v>3.9358330000000001</v>
      </c>
      <c r="E2027">
        <v>0.46076440000000002</v>
      </c>
      <c r="F2027" t="s">
        <v>49</v>
      </c>
      <c r="G2027">
        <v>-465.38189999999997</v>
      </c>
      <c r="H2027" s="1">
        <v>1.4605579999999999E-6</v>
      </c>
      <c r="I2027">
        <v>281.56549999999999</v>
      </c>
      <c r="J2027">
        <v>-446.62240000000003</v>
      </c>
      <c r="K2027">
        <v>1.111556</v>
      </c>
      <c r="L2027">
        <v>285.80689999999998</v>
      </c>
      <c r="M2027">
        <v>-0.9997646</v>
      </c>
      <c r="N2027">
        <v>-1.4248200000000001E-2</v>
      </c>
      <c r="O2027">
        <v>-1.636249E-2</v>
      </c>
      <c r="P2027">
        <v>-0.92491789999999996</v>
      </c>
      <c r="Q2027">
        <v>0.36965730000000002</v>
      </c>
      <c r="R2027">
        <v>-8.8771989999999995E-2</v>
      </c>
      <c r="S2027">
        <v>-3.2491759999999998</v>
      </c>
      <c r="T2027">
        <v>-0.18957399999999999</v>
      </c>
      <c r="U2027">
        <v>-0.72424319999999998</v>
      </c>
      <c r="V2027">
        <v>-7.4048269999999999E-2</v>
      </c>
      <c r="W2027">
        <v>0.38273590000000002</v>
      </c>
      <c r="X2027">
        <v>0.92088550000000002</v>
      </c>
      <c r="Y2027">
        <v>-0.2011666</v>
      </c>
      <c r="Z2027">
        <v>-6.5331259999999898E-3</v>
      </c>
      <c r="AA2027">
        <v>0.9795353</v>
      </c>
      <c r="AB2027">
        <v>30</v>
      </c>
      <c r="AC2027">
        <v>-18.7594999999999</v>
      </c>
      <c r="AD2027">
        <v>-1.1115545394419999</v>
      </c>
      <c r="AE2027">
        <v>-4.2413999999999898</v>
      </c>
      <c r="AF2027">
        <v>-3.92075282828936</v>
      </c>
      <c r="AG2027">
        <v>-1.1115545394419999</v>
      </c>
      <c r="AH2027">
        <v>18.763721123919801</v>
      </c>
      <c r="AI2027">
        <v>93.318703805897897</v>
      </c>
      <c r="AJ2027">
        <v>101.802361882171</v>
      </c>
      <c r="AK2027">
        <v>19.201174095636102</v>
      </c>
      <c r="AL2027">
        <v>67.496746334404307</v>
      </c>
      <c r="AM2027">
        <v>94.597254154196193</v>
      </c>
      <c r="AN2027">
        <v>1.0000000097745201</v>
      </c>
    </row>
    <row r="2028" spans="1:40" x14ac:dyDescent="0.25">
      <c r="A2028" t="str">
        <f>"20190304164639009"</f>
        <v>20190304164639009</v>
      </c>
      <c r="B2028" t="str">
        <f>"1551689199000678"</f>
        <v>1551689199000678</v>
      </c>
      <c r="C2028" t="s">
        <v>40</v>
      </c>
      <c r="D2028">
        <v>3.9402879999999998</v>
      </c>
      <c r="E2028">
        <v>0.46090189999999998</v>
      </c>
      <c r="F2028" t="s">
        <v>49</v>
      </c>
      <c r="G2028">
        <v>-465.65210000000002</v>
      </c>
      <c r="H2028" s="1">
        <v>1.6037589999999999E-6</v>
      </c>
      <c r="I2028">
        <v>281.57819999999998</v>
      </c>
      <c r="J2028">
        <v>-446.91019999999997</v>
      </c>
      <c r="K2028">
        <v>1.111553</v>
      </c>
      <c r="L2028">
        <v>285.80149999999998</v>
      </c>
      <c r="M2028">
        <v>-0.99975550000000002</v>
      </c>
      <c r="N2028">
        <v>-1.424637E-2</v>
      </c>
      <c r="O2028">
        <v>-1.6920210000000001E-2</v>
      </c>
      <c r="P2028">
        <v>-0.92464939999999995</v>
      </c>
      <c r="Q2028">
        <v>0.37022840000000001</v>
      </c>
      <c r="R2028">
        <v>-8.9190259999999993E-2</v>
      </c>
      <c r="S2028">
        <v>-3.2501220000000002</v>
      </c>
      <c r="T2028">
        <v>-0.18984509999999999</v>
      </c>
      <c r="U2028">
        <v>-0.72222900000000001</v>
      </c>
      <c r="V2028">
        <v>-7.3953959999999999E-2</v>
      </c>
      <c r="W2028">
        <v>0.38330180000000003</v>
      </c>
      <c r="X2028">
        <v>0.92065770000000002</v>
      </c>
      <c r="Y2028">
        <v>-0.1999832</v>
      </c>
      <c r="Z2028">
        <v>-6.4717639999999996E-3</v>
      </c>
      <c r="AA2028">
        <v>0.97977789999999998</v>
      </c>
      <c r="AB2028">
        <v>30</v>
      </c>
      <c r="AC2028">
        <v>-18.741900000000001</v>
      </c>
      <c r="AD2028">
        <v>-1.111551396241</v>
      </c>
      <c r="AE2028">
        <v>-4.2232999999999903</v>
      </c>
      <c r="AF2028">
        <v>-3.89251605724488</v>
      </c>
      <c r="AG2028">
        <v>-1.111551396241</v>
      </c>
      <c r="AH2028">
        <v>18.747924073455799</v>
      </c>
      <c r="AI2028">
        <v>93.322364580024399</v>
      </c>
      <c r="AJ2028">
        <v>101.729323619166</v>
      </c>
      <c r="AK2028">
        <v>19.179986570028099</v>
      </c>
      <c r="AL2028">
        <v>67.461646377597503</v>
      </c>
      <c r="AM2028">
        <v>94.592555215159507</v>
      </c>
      <c r="AN2028">
        <v>1.0000000293261</v>
      </c>
    </row>
    <row r="2029" spans="1:40" x14ac:dyDescent="0.25">
      <c r="A2029" t="str">
        <f>"20190304164639032"</f>
        <v>20190304164639032</v>
      </c>
      <c r="B2029" t="str">
        <f>"1551689199020198"</f>
        <v>1551689199020198</v>
      </c>
      <c r="C2029" t="s">
        <v>40</v>
      </c>
      <c r="D2029">
        <v>3.9136069999999998</v>
      </c>
      <c r="E2029">
        <v>0.46092889999999997</v>
      </c>
      <c r="F2029" t="s">
        <v>49</v>
      </c>
      <c r="G2029">
        <v>-466.08460000000002</v>
      </c>
      <c r="H2029" s="1">
        <v>1.8352860000000001E-6</v>
      </c>
      <c r="I2029">
        <v>281.5471</v>
      </c>
      <c r="J2029">
        <v>-447.21179999999998</v>
      </c>
      <c r="K2029">
        <v>1.1115600000000001</v>
      </c>
      <c r="L2029">
        <v>285.79579999999999</v>
      </c>
      <c r="M2029">
        <v>-0.9997452</v>
      </c>
      <c r="N2029">
        <v>-1.424425E-2</v>
      </c>
      <c r="O2029">
        <v>-1.750415E-2</v>
      </c>
      <c r="P2029">
        <v>-0.92460850000000006</v>
      </c>
      <c r="Q2029">
        <v>0.37048880000000001</v>
      </c>
      <c r="R2029">
        <v>-8.8526640000000004E-2</v>
      </c>
      <c r="S2029">
        <v>-3.2503660000000001</v>
      </c>
      <c r="T2029">
        <v>-0.18842529999999999</v>
      </c>
      <c r="U2029">
        <v>-0.72119140000000004</v>
      </c>
      <c r="V2029">
        <v>-7.2749110000000006E-2</v>
      </c>
      <c r="W2029">
        <v>0.38356170000000001</v>
      </c>
      <c r="X2029">
        <v>0.92064539999999995</v>
      </c>
      <c r="Y2029">
        <v>-0.1991047</v>
      </c>
      <c r="Z2029">
        <v>-6.3788669999999999E-3</v>
      </c>
      <c r="AA2029">
        <v>0.97995750000000004</v>
      </c>
      <c r="AB2029">
        <v>30</v>
      </c>
      <c r="AC2029">
        <v>-18.872800000000002</v>
      </c>
      <c r="AD2029">
        <v>-1.11155816471399</v>
      </c>
      <c r="AE2029">
        <v>-4.2486999999999799</v>
      </c>
      <c r="AF2029">
        <v>-3.9047711529383</v>
      </c>
      <c r="AG2029">
        <v>-1.11155816471399</v>
      </c>
      <c r="AH2029">
        <v>18.881945209931299</v>
      </c>
      <c r="AI2029">
        <v>93.2993945946819</v>
      </c>
      <c r="AJ2029">
        <v>101.684020162488</v>
      </c>
      <c r="AK2029">
        <v>19.313483741190002</v>
      </c>
      <c r="AL2029">
        <v>67.445521737719204</v>
      </c>
      <c r="AM2029">
        <v>94.518106235255203</v>
      </c>
      <c r="AN2029">
        <v>0.99999998162692005</v>
      </c>
    </row>
    <row r="2030" spans="1:40" x14ac:dyDescent="0.25">
      <c r="A2030" t="str">
        <f>"20190304164639055"</f>
        <v>20190304164639055</v>
      </c>
      <c r="B2030" t="str">
        <f>"1551689199050453"</f>
        <v>1551689199050453</v>
      </c>
      <c r="C2030" t="s">
        <v>40</v>
      </c>
      <c r="D2030">
        <v>3.8948770000000001</v>
      </c>
      <c r="E2030">
        <v>0.46089910000000001</v>
      </c>
      <c r="F2030" t="s">
        <v>49</v>
      </c>
      <c r="G2030">
        <v>-466.33100000000002</v>
      </c>
      <c r="H2030" s="1">
        <v>1.9656770000000001E-6</v>
      </c>
      <c r="I2030">
        <v>281.56439999999998</v>
      </c>
      <c r="J2030">
        <v>-447.51459999999997</v>
      </c>
      <c r="K2030">
        <v>1.1115660000000001</v>
      </c>
      <c r="L2030">
        <v>285.78989999999999</v>
      </c>
      <c r="M2030">
        <v>-0.99973500000000004</v>
      </c>
      <c r="N2030">
        <v>-1.424195E-2</v>
      </c>
      <c r="O2030">
        <v>-1.8090820000000001E-2</v>
      </c>
      <c r="P2030">
        <v>-0.92465940000000002</v>
      </c>
      <c r="Q2030">
        <v>0.37048340000000002</v>
      </c>
      <c r="R2030">
        <v>-8.801958E-2</v>
      </c>
      <c r="S2030">
        <v>-3.251465</v>
      </c>
      <c r="T2030">
        <v>-0.1890346</v>
      </c>
      <c r="U2030">
        <v>-0.71960449999999998</v>
      </c>
      <c r="V2030">
        <v>-7.1696940000000001E-2</v>
      </c>
      <c r="W2030">
        <v>0.38355689999999998</v>
      </c>
      <c r="X2030">
        <v>0.92073000000000005</v>
      </c>
      <c r="Y2030">
        <v>-0.1980044</v>
      </c>
      <c r="Z2030">
        <v>-6.3274919999999997E-3</v>
      </c>
      <c r="AA2030">
        <v>0.98018070000000002</v>
      </c>
      <c r="AB2030">
        <v>30</v>
      </c>
      <c r="AC2030">
        <v>-18.816399999999899</v>
      </c>
      <c r="AD2030">
        <v>-1.111564034323</v>
      </c>
      <c r="AE2030">
        <v>-4.22550000000001</v>
      </c>
      <c r="AF2030">
        <v>-3.87150772430138</v>
      </c>
      <c r="AG2030">
        <v>-1.111564034323</v>
      </c>
      <c r="AH2030">
        <v>18.827222264411301</v>
      </c>
      <c r="AI2030">
        <v>93.309742100024494</v>
      </c>
      <c r="AJ2030">
        <v>101.619955233748</v>
      </c>
      <c r="AK2030">
        <v>19.253271017031601</v>
      </c>
      <c r="AL2030">
        <v>67.445820918855603</v>
      </c>
      <c r="AM2030">
        <v>94.4526181128156</v>
      </c>
      <c r="AN2030">
        <v>1.0000000398214799</v>
      </c>
    </row>
    <row r="2031" spans="1:40" x14ac:dyDescent="0.25">
      <c r="A2031" t="str">
        <f>"20190304164639077"</f>
        <v>20190304164639077</v>
      </c>
      <c r="B2031" t="str">
        <f>"1551689199069974"</f>
        <v>1551689199069974</v>
      </c>
      <c r="C2031" t="s">
        <v>40</v>
      </c>
      <c r="D2031">
        <v>3.9122680000000001</v>
      </c>
      <c r="E2031">
        <v>0.46090740000000002</v>
      </c>
      <c r="F2031" t="s">
        <v>49</v>
      </c>
      <c r="G2031">
        <v>-466.30900000000003</v>
      </c>
      <c r="H2031" s="1">
        <v>1.9507210000000002E-6</v>
      </c>
      <c r="I2031">
        <v>281.63850000000002</v>
      </c>
      <c r="J2031">
        <v>-447.81479999999999</v>
      </c>
      <c r="K2031">
        <v>1.1115679999999999</v>
      </c>
      <c r="L2031">
        <v>285.78379999999999</v>
      </c>
      <c r="M2031">
        <v>-0.99972439999999996</v>
      </c>
      <c r="N2031">
        <v>-1.423935E-2</v>
      </c>
      <c r="O2031">
        <v>-1.8672370000000001E-2</v>
      </c>
      <c r="P2031">
        <v>-0.92465229999999998</v>
      </c>
      <c r="Q2031">
        <v>0.37055519999999997</v>
      </c>
      <c r="R2031">
        <v>-8.7791350000000004E-2</v>
      </c>
      <c r="S2031">
        <v>-3.253174</v>
      </c>
      <c r="T2031">
        <v>-0.19240370000000001</v>
      </c>
      <c r="U2031">
        <v>-0.71856690000000001</v>
      </c>
      <c r="V2031">
        <v>-7.0928519999999995E-2</v>
      </c>
      <c r="W2031">
        <v>0.38362780000000002</v>
      </c>
      <c r="X2031">
        <v>0.92075989999999996</v>
      </c>
      <c r="Y2031">
        <v>-0.19701830000000001</v>
      </c>
      <c r="Z2031">
        <v>-6.3459179999999999E-3</v>
      </c>
      <c r="AA2031">
        <v>0.98037929999999995</v>
      </c>
      <c r="AB2031">
        <v>30</v>
      </c>
      <c r="AC2031">
        <v>-18.494199999999999</v>
      </c>
      <c r="AD2031">
        <v>-1.111566049279</v>
      </c>
      <c r="AE2031">
        <v>-4.1452999999999598</v>
      </c>
      <c r="AF2031">
        <v>-3.78618856103011</v>
      </c>
      <c r="AG2031">
        <v>-1.111566049279</v>
      </c>
      <c r="AH2031">
        <v>18.504736023964899</v>
      </c>
      <c r="AI2031">
        <v>93.367975466551201</v>
      </c>
      <c r="AJ2031">
        <v>101.56348582931101</v>
      </c>
      <c r="AK2031">
        <v>18.920783763317299</v>
      </c>
      <c r="AL2031">
        <v>67.441420460231697</v>
      </c>
      <c r="AM2031">
        <v>94.404943038554705</v>
      </c>
      <c r="AN2031">
        <v>0.99999996866511898</v>
      </c>
    </row>
    <row r="2032" spans="1:40" x14ac:dyDescent="0.25">
      <c r="A2032" t="str">
        <f>"20190304164639100"</f>
        <v>20190304164639100</v>
      </c>
      <c r="B2032" t="str">
        <f>"1551689199090469"</f>
        <v>1551689199090469</v>
      </c>
      <c r="C2032" t="s">
        <v>40</v>
      </c>
      <c r="D2032">
        <v>3.892846</v>
      </c>
      <c r="E2032">
        <v>0.46091680000000002</v>
      </c>
      <c r="F2032" t="s">
        <v>49</v>
      </c>
      <c r="G2032">
        <v>-466.4828</v>
      </c>
      <c r="H2032" s="1">
        <v>2.0420550000000001E-6</v>
      </c>
      <c r="I2032">
        <v>281.66419999999999</v>
      </c>
      <c r="J2032">
        <v>-448.10899999999998</v>
      </c>
      <c r="K2032">
        <v>1.1115660000000001</v>
      </c>
      <c r="L2032">
        <v>285.77760000000001</v>
      </c>
      <c r="M2032">
        <v>-0.99971350000000003</v>
      </c>
      <c r="N2032">
        <v>-1.423686E-2</v>
      </c>
      <c r="O2032">
        <v>-1.9242720000000001E-2</v>
      </c>
      <c r="P2032">
        <v>-0.92448980000000003</v>
      </c>
      <c r="Q2032">
        <v>0.37076799999999999</v>
      </c>
      <c r="R2032">
        <v>-8.8599449999999996E-2</v>
      </c>
      <c r="S2032">
        <v>-3.2539370000000001</v>
      </c>
      <c r="T2032">
        <v>-0.1937528</v>
      </c>
      <c r="U2032">
        <v>-0.71807860000000001</v>
      </c>
      <c r="V2032">
        <v>-7.1210739999999995E-2</v>
      </c>
      <c r="W2032">
        <v>0.38383650000000002</v>
      </c>
      <c r="X2032">
        <v>0.9206512</v>
      </c>
      <c r="Y2032">
        <v>-0.19626779999999999</v>
      </c>
      <c r="Z2032">
        <v>-6.3243149999999996E-3</v>
      </c>
      <c r="AA2032">
        <v>0.98053000000000001</v>
      </c>
      <c r="AB2032">
        <v>30</v>
      </c>
      <c r="AC2032">
        <v>-18.3737999999999</v>
      </c>
      <c r="AD2032">
        <v>-1.1115639579449901</v>
      </c>
      <c r="AE2032">
        <v>-4.1134000000000102</v>
      </c>
      <c r="AF2032">
        <v>-3.7459848530840998</v>
      </c>
      <c r="AG2032">
        <v>-1.1115639579449901</v>
      </c>
      <c r="AH2032">
        <v>18.3854805118754</v>
      </c>
      <c r="AI2032">
        <v>93.390334161782206</v>
      </c>
      <c r="AJ2032">
        <v>101.51620810224399</v>
      </c>
      <c r="AK2032">
        <v>18.7961131781197</v>
      </c>
      <c r="AL2032">
        <v>67.428472981169605</v>
      </c>
      <c r="AM2032">
        <v>94.422920704710705</v>
      </c>
      <c r="AN2032">
        <v>1.00000003014251</v>
      </c>
    </row>
    <row r="2033" spans="1:40" x14ac:dyDescent="0.25">
      <c r="A2033" t="str">
        <f>"20190304164639122"</f>
        <v>20190304164639122</v>
      </c>
      <c r="B2033" t="str">
        <f>"1551689199109989"</f>
        <v>1551689199109989</v>
      </c>
      <c r="C2033" t="s">
        <v>40</v>
      </c>
      <c r="D2033">
        <v>3.8982100000000002</v>
      </c>
      <c r="E2033">
        <v>0.46091650000000001</v>
      </c>
      <c r="F2033" t="s">
        <v>49</v>
      </c>
      <c r="G2033">
        <v>-466.63529999999997</v>
      </c>
      <c r="H2033" s="1">
        <v>2.1226849999999998E-6</v>
      </c>
      <c r="I2033">
        <v>281.67680000000001</v>
      </c>
      <c r="J2033">
        <v>-448.40120000000002</v>
      </c>
      <c r="K2033">
        <v>1.1115549999999901</v>
      </c>
      <c r="L2033">
        <v>285.77140000000003</v>
      </c>
      <c r="M2033">
        <v>-0.99970250000000005</v>
      </c>
      <c r="N2033">
        <v>-1.4234299999999899E-2</v>
      </c>
      <c r="O2033">
        <v>-1.9806730000000002E-2</v>
      </c>
      <c r="P2033">
        <v>-0.9242707</v>
      </c>
      <c r="Q2033">
        <v>0.37114079999999999</v>
      </c>
      <c r="R2033">
        <v>-8.9320869999999997E-2</v>
      </c>
      <c r="S2033">
        <v>-3.2542719999999998</v>
      </c>
      <c r="T2033">
        <v>-0.19525410000000001</v>
      </c>
      <c r="U2033">
        <v>-0.72033689999999995</v>
      </c>
      <c r="V2033">
        <v>-7.1412229999999993E-2</v>
      </c>
      <c r="W2033">
        <v>0.38420500000000002</v>
      </c>
      <c r="X2033">
        <v>0.92048189999999996</v>
      </c>
      <c r="Y2033">
        <v>-0.19633719999999999</v>
      </c>
      <c r="Z2033">
        <v>-6.3363019999999898E-3</v>
      </c>
      <c r="AA2033">
        <v>0.98051600000000005</v>
      </c>
      <c r="AB2033">
        <v>30</v>
      </c>
      <c r="AC2033">
        <v>-18.234099999999899</v>
      </c>
      <c r="AD2033">
        <v>-1.1115528773150001</v>
      </c>
      <c r="AE2033">
        <v>-4.0946000000000096</v>
      </c>
      <c r="AF2033">
        <v>-3.7194436704874398</v>
      </c>
      <c r="AG2033">
        <v>-1.1115528773150001</v>
      </c>
      <c r="AH2033">
        <v>18.247077649319301</v>
      </c>
      <c r="AI2033">
        <v>93.415894394252106</v>
      </c>
      <c r="AJ2033">
        <v>101.521206541833</v>
      </c>
      <c r="AK2033">
        <v>18.6554456863749</v>
      </c>
      <c r="AL2033">
        <v>67.405606835554593</v>
      </c>
      <c r="AM2033">
        <v>94.436197966738604</v>
      </c>
      <c r="AN2033">
        <v>1.0000000584230799</v>
      </c>
    </row>
    <row r="2034" spans="1:40" x14ac:dyDescent="0.25">
      <c r="A2034" t="str">
        <f>"20190304164639145"</f>
        <v>20190304164639145</v>
      </c>
      <c r="B2034" t="str">
        <f>"1551689199140246"</f>
        <v>1551689199140246</v>
      </c>
      <c r="C2034" t="s">
        <v>40</v>
      </c>
      <c r="D2034">
        <v>3.8864969999999999</v>
      </c>
      <c r="E2034">
        <v>0.46082309999999999</v>
      </c>
      <c r="F2034" t="s">
        <v>49</v>
      </c>
      <c r="G2034">
        <v>-466.9135</v>
      </c>
      <c r="H2034" s="1">
        <v>2.2714730000000001E-6</v>
      </c>
      <c r="I2034">
        <v>281.65980000000002</v>
      </c>
      <c r="J2034">
        <v>-448.70030000000003</v>
      </c>
      <c r="K2034">
        <v>1.111548</v>
      </c>
      <c r="L2034">
        <v>285.76479999999998</v>
      </c>
      <c r="M2034">
        <v>-0.9996912</v>
      </c>
      <c r="N2034">
        <v>-1.423144E-2</v>
      </c>
      <c r="O2034">
        <v>-2.0372439999999999E-2</v>
      </c>
      <c r="P2034">
        <v>-0.92413690000000004</v>
      </c>
      <c r="Q2034">
        <v>0.37119970000000002</v>
      </c>
      <c r="R2034">
        <v>-9.0455279999999999E-2</v>
      </c>
      <c r="S2034">
        <v>-3.2544249999999999</v>
      </c>
      <c r="T2034">
        <v>-0.1954081</v>
      </c>
      <c r="U2034">
        <v>-0.72280880000000003</v>
      </c>
      <c r="V2034">
        <v>-7.2018750000000006E-2</v>
      </c>
      <c r="W2034">
        <v>0.3842604</v>
      </c>
      <c r="X2034">
        <v>0.92041150000000005</v>
      </c>
      <c r="Y2034">
        <v>-0.1964824</v>
      </c>
      <c r="Z2034">
        <v>-6.3189439999999999E-3</v>
      </c>
      <c r="AA2034">
        <v>0.980487</v>
      </c>
      <c r="AB2034">
        <v>30</v>
      </c>
      <c r="AC2034">
        <v>-18.213199999999901</v>
      </c>
      <c r="AD2034">
        <v>-1.1115457285269901</v>
      </c>
      <c r="AE2034">
        <v>-4.1049999999999596</v>
      </c>
      <c r="AF2034">
        <v>-3.71987764771777</v>
      </c>
      <c r="AG2034">
        <v>-1.1115457285269901</v>
      </c>
      <c r="AH2034">
        <v>18.2284447546553</v>
      </c>
      <c r="AI2034">
        <v>93.419200786799905</v>
      </c>
      <c r="AJ2034">
        <v>101.533977560754</v>
      </c>
      <c r="AK2034">
        <v>18.637307257061501</v>
      </c>
      <c r="AL2034">
        <v>67.402168344242796</v>
      </c>
      <c r="AM2034">
        <v>94.474064068235705</v>
      </c>
      <c r="AN2034">
        <v>1.0000000423459801</v>
      </c>
    </row>
    <row r="2035" spans="1:40" x14ac:dyDescent="0.25">
      <c r="A2035" t="str">
        <f>"20190304164639166"</f>
        <v>20190304164639166</v>
      </c>
      <c r="B2035" t="str">
        <f>"1551689199160742"</f>
        <v>1551689199160742</v>
      </c>
      <c r="C2035" t="s">
        <v>40</v>
      </c>
      <c r="D2035">
        <v>3.90883</v>
      </c>
      <c r="E2035">
        <v>0.46073170000000002</v>
      </c>
      <c r="F2035" t="s">
        <v>49</v>
      </c>
      <c r="G2035">
        <v>-467.04169999999999</v>
      </c>
      <c r="H2035" s="1">
        <v>2.3395280000000001E-6</v>
      </c>
      <c r="I2035">
        <v>281.6635</v>
      </c>
      <c r="J2035">
        <v>-448.99430000000001</v>
      </c>
      <c r="K2035">
        <v>1.1115389999999901</v>
      </c>
      <c r="L2035">
        <v>285.75819999999999</v>
      </c>
      <c r="M2035">
        <v>-0.99968029999999997</v>
      </c>
      <c r="N2035">
        <v>-1.422848E-2</v>
      </c>
      <c r="O2035">
        <v>-2.0900519999999999E-2</v>
      </c>
      <c r="P2035">
        <v>-0.92373609999999995</v>
      </c>
      <c r="Q2035">
        <v>0.3714828</v>
      </c>
      <c r="R2035">
        <v>-9.3339720000000001E-2</v>
      </c>
      <c r="S2035">
        <v>-3.2542719999999998</v>
      </c>
      <c r="T2035">
        <v>-0.19721849999999999</v>
      </c>
      <c r="U2035">
        <v>-0.72769169999999905</v>
      </c>
      <c r="V2035">
        <v>-7.4405979999999997E-2</v>
      </c>
      <c r="W2035">
        <v>0.38453730000000003</v>
      </c>
      <c r="X2035">
        <v>0.92010590000000003</v>
      </c>
      <c r="Y2035">
        <v>-0.19736790000000001</v>
      </c>
      <c r="Z2035">
        <v>-6.3696959999999898E-3</v>
      </c>
      <c r="AA2035">
        <v>0.98030879999999998</v>
      </c>
      <c r="AB2035">
        <v>30</v>
      </c>
      <c r="AC2035">
        <v>-18.0473999999999</v>
      </c>
      <c r="AD2035">
        <v>-1.1115366604719901</v>
      </c>
      <c r="AE2035">
        <v>-4.09469999999998</v>
      </c>
      <c r="AF2035">
        <v>-3.7032074452160599</v>
      </c>
      <c r="AG2035">
        <v>-1.1115366604719901</v>
      </c>
      <c r="AH2035">
        <v>18.063879695722299</v>
      </c>
      <c r="AI2035">
        <v>93.449614697557493</v>
      </c>
      <c r="AJ2035">
        <v>101.585467471161</v>
      </c>
      <c r="AK2035">
        <v>18.473034639479401</v>
      </c>
      <c r="AL2035">
        <v>67.384982334570495</v>
      </c>
      <c r="AM2035">
        <v>94.623263539283599</v>
      </c>
      <c r="AN2035">
        <v>1.00000002608292</v>
      </c>
    </row>
    <row r="2036" spans="1:40" x14ac:dyDescent="0.25">
      <c r="A2036" t="str">
        <f>"20190304164639190"</f>
        <v>20190304164639190</v>
      </c>
      <c r="B2036" t="str">
        <f>"1551689199180262"</f>
        <v>1551689199180262</v>
      </c>
      <c r="C2036" t="s">
        <v>40</v>
      </c>
      <c r="D2036">
        <v>3.9049680000000002</v>
      </c>
      <c r="E2036">
        <v>0.46068130000000002</v>
      </c>
      <c r="F2036" t="s">
        <v>49</v>
      </c>
      <c r="G2036">
        <v>-467.24329999999998</v>
      </c>
      <c r="H2036" s="1">
        <v>2.4483189999999998E-6</v>
      </c>
      <c r="I2036">
        <v>281.62860000000001</v>
      </c>
      <c r="J2036">
        <v>-449.29399999999998</v>
      </c>
      <c r="K2036">
        <v>1.111515</v>
      </c>
      <c r="L2036">
        <v>285.75139999999999</v>
      </c>
      <c r="M2036">
        <v>-0.99966999999999995</v>
      </c>
      <c r="N2036">
        <v>-1.422561E-2</v>
      </c>
      <c r="O2036">
        <v>-2.13898E-2</v>
      </c>
      <c r="P2036">
        <v>-0.92345359999999999</v>
      </c>
      <c r="Q2036">
        <v>0.3715194</v>
      </c>
      <c r="R2036">
        <v>-9.5951209999999995E-2</v>
      </c>
      <c r="S2036">
        <v>-3.2529599999999999</v>
      </c>
      <c r="T2036">
        <v>-0.1981366</v>
      </c>
      <c r="U2036">
        <v>-0.7361145</v>
      </c>
      <c r="V2036">
        <v>-7.6538129999999996E-2</v>
      </c>
      <c r="W2036">
        <v>0.384573</v>
      </c>
      <c r="X2036">
        <v>0.91991599999999996</v>
      </c>
      <c r="Y2036">
        <v>-0.19938059999999999</v>
      </c>
      <c r="Z2036">
        <v>-6.4443419999999996E-3</v>
      </c>
      <c r="AA2036">
        <v>0.97990100000000002</v>
      </c>
      <c r="AB2036">
        <v>30</v>
      </c>
      <c r="AC2036">
        <v>-17.949299999999901</v>
      </c>
      <c r="AD2036">
        <v>-1.111512551681</v>
      </c>
      <c r="AE2036">
        <v>-4.1227999999999803</v>
      </c>
      <c r="AF2036">
        <v>-3.7243197636059699</v>
      </c>
      <c r="AG2036">
        <v>-1.111512551681</v>
      </c>
      <c r="AH2036">
        <v>17.967938326768401</v>
      </c>
      <c r="AI2036">
        <v>93.466362101911201</v>
      </c>
      <c r="AJ2036">
        <v>101.710207938156</v>
      </c>
      <c r="AK2036">
        <v>18.3834932906856</v>
      </c>
      <c r="AL2036">
        <v>67.382764959637299</v>
      </c>
      <c r="AM2036">
        <v>94.756124059518598</v>
      </c>
      <c r="AN2036">
        <v>0.99999996236444699</v>
      </c>
    </row>
    <row r="2037" spans="1:40" x14ac:dyDescent="0.25">
      <c r="A2037" t="str">
        <f>"20190304164639211"</f>
        <v>20190304164639211</v>
      </c>
      <c r="B2037" t="str">
        <f>"1551689199200758"</f>
        <v>1551689199200758</v>
      </c>
      <c r="C2037" t="s">
        <v>40</v>
      </c>
      <c r="D2037">
        <v>3.9128409999999998</v>
      </c>
      <c r="E2037">
        <v>0.46061489999999999</v>
      </c>
      <c r="F2037" t="s">
        <v>49</v>
      </c>
      <c r="G2037">
        <v>-467.34500000000003</v>
      </c>
      <c r="H2037" s="1">
        <v>2.5026960000000001E-6</v>
      </c>
      <c r="I2037">
        <v>281.62279999999998</v>
      </c>
      <c r="J2037">
        <v>-449.58339999999998</v>
      </c>
      <c r="K2037">
        <v>1.1114679999999999</v>
      </c>
      <c r="L2037">
        <v>285.74470000000002</v>
      </c>
      <c r="M2037">
        <v>-0.99966129999999997</v>
      </c>
      <c r="N2037">
        <v>-1.422284E-2</v>
      </c>
      <c r="O2037">
        <v>-2.1790790000000001E-2</v>
      </c>
      <c r="P2037">
        <v>-0.92318109999999998</v>
      </c>
      <c r="Q2037">
        <v>0.37148009999999998</v>
      </c>
      <c r="R2037">
        <v>-9.8686899999999994E-2</v>
      </c>
      <c r="S2037">
        <v>-3.2519529999999999</v>
      </c>
      <c r="T2037">
        <v>-0.20024359999999999</v>
      </c>
      <c r="U2037">
        <v>-0.74377439999999995</v>
      </c>
      <c r="V2037">
        <v>-7.8860100000000002E-2</v>
      </c>
      <c r="W2037">
        <v>0.38453599999999999</v>
      </c>
      <c r="X2037">
        <v>0.91973539999999998</v>
      </c>
      <c r="Y2037">
        <v>-0.20123559999999999</v>
      </c>
      <c r="Z2037">
        <v>-6.5455189999999996E-3</v>
      </c>
      <c r="AA2037">
        <v>0.97952099999999998</v>
      </c>
      <c r="AB2037">
        <v>30</v>
      </c>
      <c r="AC2037">
        <v>-17.761600000000001</v>
      </c>
      <c r="AD2037">
        <v>-1.1114654973039999</v>
      </c>
      <c r="AE2037">
        <v>-4.1219000000000303</v>
      </c>
      <c r="AF2037">
        <v>-3.7200199172868098</v>
      </c>
      <c r="AG2037">
        <v>-1.1114654973039999</v>
      </c>
      <c r="AH2037">
        <v>17.781139946463899</v>
      </c>
      <c r="AI2037">
        <v>93.501190038940393</v>
      </c>
      <c r="AJ2037">
        <v>101.81650568587099</v>
      </c>
      <c r="AK2037">
        <v>18.200078063910599</v>
      </c>
      <c r="AL2037">
        <v>67.385063077141396</v>
      </c>
      <c r="AM2037">
        <v>94.900677891747193</v>
      </c>
      <c r="AN2037">
        <v>1.0000000283405801</v>
      </c>
    </row>
    <row r="2038" spans="1:40" x14ac:dyDescent="0.25">
      <c r="A2038" t="str">
        <f>"20190304164639233"</f>
        <v>20190304164639233</v>
      </c>
      <c r="B2038" t="str">
        <f>"1551689199230038"</f>
        <v>1551689199230038</v>
      </c>
      <c r="C2038" t="s">
        <v>40</v>
      </c>
      <c r="D2038">
        <v>3.9109889999999998</v>
      </c>
      <c r="E2038">
        <v>0.46049220000000002</v>
      </c>
      <c r="F2038" t="s">
        <v>49</v>
      </c>
      <c r="G2038">
        <v>-467.48180000000002</v>
      </c>
      <c r="H2038" s="1">
        <v>2.5767420000000001E-6</v>
      </c>
      <c r="I2038">
        <v>281.59449999999998</v>
      </c>
      <c r="J2038">
        <v>-449.8766</v>
      </c>
      <c r="K2038">
        <v>1.111394</v>
      </c>
      <c r="L2038">
        <v>285.73790000000002</v>
      </c>
      <c r="M2038">
        <v>-0.99965459999999995</v>
      </c>
      <c r="N2038">
        <v>-1.4220089999999999E-2</v>
      </c>
      <c r="O2038">
        <v>-2.2101300000000001E-2</v>
      </c>
      <c r="P2038">
        <v>-0.92312300000000003</v>
      </c>
      <c r="Q2038">
        <v>0.3711218</v>
      </c>
      <c r="R2038">
        <v>-0.1005622</v>
      </c>
      <c r="S2038">
        <v>-3.250305</v>
      </c>
      <c r="T2038">
        <v>-0.20183899999999999</v>
      </c>
      <c r="U2038">
        <v>-0.7536621</v>
      </c>
      <c r="V2038">
        <v>-8.0381709999999995E-2</v>
      </c>
      <c r="W2038">
        <v>0.38418780000000002</v>
      </c>
      <c r="X2038">
        <v>0.91974909999999999</v>
      </c>
      <c r="Y2038">
        <v>-0.2038565</v>
      </c>
      <c r="Z2038">
        <v>-6.668953E-3</v>
      </c>
      <c r="AA2038">
        <v>0.97897800000000001</v>
      </c>
      <c r="AB2038">
        <v>30</v>
      </c>
      <c r="AC2038">
        <v>-17.6052</v>
      </c>
      <c r="AD2038">
        <v>-1.111391423258</v>
      </c>
      <c r="AE2038">
        <v>-4.1434000000000397</v>
      </c>
      <c r="AF2038">
        <v>-3.7391313673153301</v>
      </c>
      <c r="AG2038">
        <v>-1.111391423258</v>
      </c>
      <c r="AH2038">
        <v>17.625926012058098</v>
      </c>
      <c r="AI2038">
        <v>93.5296299418102</v>
      </c>
      <c r="AJ2038">
        <v>101.97706122021</v>
      </c>
      <c r="AK2038">
        <v>18.0524115303269</v>
      </c>
      <c r="AL2038">
        <v>67.406671563764306</v>
      </c>
      <c r="AM2038">
        <v>94.994688873835202</v>
      </c>
      <c r="AN2038">
        <v>0.99999994596108499</v>
      </c>
    </row>
    <row r="2039" spans="1:40" x14ac:dyDescent="0.25">
      <c r="A2039" t="str">
        <f>"20190304164639257"</f>
        <v>20190304164639257</v>
      </c>
      <c r="B2039" t="str">
        <f>"1551689199250534"</f>
        <v>1551689199250534</v>
      </c>
      <c r="C2039" t="s">
        <v>40</v>
      </c>
      <c r="D2039">
        <v>3.9166940000000001</v>
      </c>
      <c r="E2039">
        <v>0.45026280000000002</v>
      </c>
      <c r="F2039" t="s">
        <v>49</v>
      </c>
      <c r="G2039">
        <v>-467.55950000000001</v>
      </c>
      <c r="H2039" s="1">
        <v>2.618233E-6</v>
      </c>
      <c r="I2039">
        <v>281.59129999999999</v>
      </c>
      <c r="J2039">
        <v>-450.18549999999999</v>
      </c>
      <c r="K2039">
        <v>1.111305</v>
      </c>
      <c r="L2039">
        <v>285.73079999999999</v>
      </c>
      <c r="M2039">
        <v>-0.99965020000000004</v>
      </c>
      <c r="N2039">
        <v>-1.421707E-2</v>
      </c>
      <c r="O2039">
        <v>-2.2304029999999999E-2</v>
      </c>
      <c r="P2039">
        <v>-0.92293599999999998</v>
      </c>
      <c r="Q2039">
        <v>0.37119220000000003</v>
      </c>
      <c r="R2039">
        <v>-0.10200770000000001</v>
      </c>
      <c r="S2039">
        <v>-3.2489319999999999</v>
      </c>
      <c r="T2039">
        <v>-0.20419870000000001</v>
      </c>
      <c r="U2039">
        <v>-0.76187130000000003</v>
      </c>
      <c r="V2039">
        <v>-8.1561899999999896E-2</v>
      </c>
      <c r="W2039">
        <v>0.38426969999999999</v>
      </c>
      <c r="X2039">
        <v>0.91961099999999996</v>
      </c>
      <c r="Y2039">
        <v>-0.2060805</v>
      </c>
      <c r="Z2039">
        <v>-6.8018640000000003E-3</v>
      </c>
      <c r="AA2039">
        <v>0.97851140000000003</v>
      </c>
      <c r="AB2039">
        <v>30</v>
      </c>
      <c r="AC2039">
        <v>-17.373999999999999</v>
      </c>
      <c r="AD2039">
        <v>-1.111302381767</v>
      </c>
      <c r="AE2039">
        <v>-4.1394999999999902</v>
      </c>
      <c r="AF2039">
        <v>-3.73645476682348</v>
      </c>
      <c r="AG2039">
        <v>-1.111302381767</v>
      </c>
      <c r="AH2039">
        <v>17.394669482490801</v>
      </c>
      <c r="AI2039">
        <v>93.574207173387606</v>
      </c>
      <c r="AJ2039">
        <v>102.12317799872</v>
      </c>
      <c r="AK2039">
        <v>17.826121664942601</v>
      </c>
      <c r="AL2039">
        <v>67.401589421705197</v>
      </c>
      <c r="AM2039">
        <v>95.068400434854794</v>
      </c>
      <c r="AN2039">
        <v>0.99999996859534901</v>
      </c>
    </row>
    <row r="2040" spans="1:40" x14ac:dyDescent="0.25">
      <c r="A2040" t="str">
        <f>"20190304164639281"</f>
        <v>20190304164639281</v>
      </c>
      <c r="B2040" t="str">
        <f>"1551689199270054"</f>
        <v>1551689199270054</v>
      </c>
      <c r="C2040" t="s">
        <v>40</v>
      </c>
      <c r="D2040">
        <v>3.9014389999999999</v>
      </c>
      <c r="E2040">
        <v>0.4480925</v>
      </c>
      <c r="F2040" t="s">
        <v>45</v>
      </c>
      <c r="G2040">
        <v>-472.93939999999998</v>
      </c>
      <c r="H2040" s="1">
        <v>4.8877190000000001E-6</v>
      </c>
      <c r="I2040">
        <v>279.779</v>
      </c>
      <c r="J2040">
        <v>-450.50580000000002</v>
      </c>
      <c r="K2040">
        <v>1.11121</v>
      </c>
      <c r="L2040">
        <v>285.7235</v>
      </c>
      <c r="M2040">
        <v>-0.99964799999999998</v>
      </c>
      <c r="N2040">
        <v>-1.421395E-2</v>
      </c>
      <c r="O2040">
        <v>-2.2401419999999998E-2</v>
      </c>
      <c r="P2040">
        <v>-0.92286670000000004</v>
      </c>
      <c r="Q2040">
        <v>0.37118410000000002</v>
      </c>
      <c r="R2040">
        <v>-0.1026613</v>
      </c>
      <c r="S2040">
        <v>-3.2206419999999998</v>
      </c>
      <c r="T2040">
        <v>-0.15729589999999999</v>
      </c>
      <c r="U2040">
        <v>-0.84243769999999996</v>
      </c>
      <c r="V2040">
        <v>-8.2046670000000002E-2</v>
      </c>
      <c r="W2040">
        <v>0.38427539999999999</v>
      </c>
      <c r="X2040">
        <v>0.91956550000000004</v>
      </c>
      <c r="Y2040">
        <v>-0.23099829999999999</v>
      </c>
      <c r="Z2040">
        <v>-6.4534029999999999E-3</v>
      </c>
      <c r="AA2040">
        <v>0.97293280000000004</v>
      </c>
      <c r="AB2040">
        <v>29</v>
      </c>
      <c r="AC2040">
        <v>-22.433599999999899</v>
      </c>
      <c r="AD2040">
        <v>-1.1112051122810001</v>
      </c>
      <c r="AE2040">
        <v>-5.9444999999999997</v>
      </c>
      <c r="AF2040">
        <v>-5.42796878880959</v>
      </c>
      <c r="AG2040">
        <v>-1.1112051122810001</v>
      </c>
      <c r="AH2040">
        <v>22.509543685333401</v>
      </c>
      <c r="AI2040">
        <v>92.747538034518698</v>
      </c>
      <c r="AJ2040">
        <v>103.557519021752</v>
      </c>
      <c r="AK2040">
        <v>23.181397259349701</v>
      </c>
      <c r="AL2040">
        <v>67.401235802590705</v>
      </c>
      <c r="AM2040">
        <v>95.098617534576306</v>
      </c>
      <c r="AN2040">
        <v>0.999999973946749</v>
      </c>
    </row>
    <row r="2041" spans="1:40" x14ac:dyDescent="0.25">
      <c r="A2041" t="str">
        <f>"20190304164639306"</f>
        <v>20190304164639306</v>
      </c>
      <c r="B2041" t="str">
        <f>"1551689199300311"</f>
        <v>1551689199300311</v>
      </c>
      <c r="C2041" t="s">
        <v>40</v>
      </c>
      <c r="D2041">
        <v>3.9375390000000001</v>
      </c>
      <c r="E2041">
        <v>0.44710179999999999</v>
      </c>
      <c r="F2041" t="s">
        <v>45</v>
      </c>
      <c r="G2041">
        <v>-473.2475</v>
      </c>
      <c r="H2041">
        <v>4.0449190000000003E-2</v>
      </c>
      <c r="I2041">
        <v>279.61630000000002</v>
      </c>
      <c r="J2041">
        <v>-450.81639999999999</v>
      </c>
      <c r="K2041">
        <v>1.111143</v>
      </c>
      <c r="L2041">
        <v>285.7165</v>
      </c>
      <c r="M2041">
        <v>-0.99964799999999998</v>
      </c>
      <c r="N2041">
        <v>-1.4210789999999999E-2</v>
      </c>
      <c r="O2041">
        <v>-2.240342E-2</v>
      </c>
      <c r="P2041">
        <v>-0.92256959999999999</v>
      </c>
      <c r="Q2041">
        <v>0.3721949</v>
      </c>
      <c r="R2041">
        <v>-0.1016666</v>
      </c>
      <c r="S2041">
        <v>-3.215576</v>
      </c>
      <c r="T2041">
        <v>-0.1514007</v>
      </c>
      <c r="U2041">
        <v>-0.8635254</v>
      </c>
      <c r="V2041">
        <v>-8.0993010000000004E-2</v>
      </c>
      <c r="W2041">
        <v>0.38529210000000003</v>
      </c>
      <c r="X2041">
        <v>0.91923339999999998</v>
      </c>
      <c r="Y2041">
        <v>-0.2373392</v>
      </c>
      <c r="Z2041">
        <v>-6.4821180000000003E-3</v>
      </c>
      <c r="AA2041">
        <v>0.97140519999999997</v>
      </c>
      <c r="AB2041">
        <v>29</v>
      </c>
      <c r="AC2041">
        <v>-22.431100000000001</v>
      </c>
      <c r="AD2041">
        <v>-1.0706938100000001</v>
      </c>
      <c r="AE2041">
        <v>-6.1001999999999699</v>
      </c>
      <c r="AF2041">
        <v>-5.5842375722245299</v>
      </c>
      <c r="AG2041">
        <v>-1.0706938100000001</v>
      </c>
      <c r="AH2041">
        <v>22.514383915296499</v>
      </c>
      <c r="AI2041">
        <v>92.642748774869503</v>
      </c>
      <c r="AJ2041">
        <v>103.929949053576</v>
      </c>
      <c r="AK2041">
        <v>23.221274245466699</v>
      </c>
      <c r="AL2041">
        <v>67.338123584841995</v>
      </c>
      <c r="AM2041">
        <v>95.035287740324605</v>
      </c>
      <c r="AN2041">
        <v>0.99999995683341403</v>
      </c>
    </row>
    <row r="2042" spans="1:40" x14ac:dyDescent="0.25">
      <c r="A2042" t="str">
        <f>"20190304164639329"</f>
        <v>20190304164639329</v>
      </c>
      <c r="B2042" t="str">
        <f>"1551689199320806"</f>
        <v>1551689199320806</v>
      </c>
      <c r="C2042" t="s">
        <v>40</v>
      </c>
      <c r="D2042">
        <v>3.9310429999999998</v>
      </c>
      <c r="E2042">
        <v>0.44693480000000002</v>
      </c>
      <c r="F2042" t="s">
        <v>45</v>
      </c>
      <c r="G2042">
        <v>-473.74059999999997</v>
      </c>
      <c r="H2042">
        <v>8.0000310000000005E-2</v>
      </c>
      <c r="I2042">
        <v>279.49340000000001</v>
      </c>
      <c r="J2042">
        <v>-451.12920000000003</v>
      </c>
      <c r="K2042">
        <v>1.1110910000000001</v>
      </c>
      <c r="L2042">
        <v>285.70949999999999</v>
      </c>
      <c r="M2042">
        <v>-0.99965009999999999</v>
      </c>
      <c r="N2042">
        <v>-1.420765E-2</v>
      </c>
      <c r="O2042">
        <v>-2.2311979999999999E-2</v>
      </c>
      <c r="P2042">
        <v>-0.92236960000000001</v>
      </c>
      <c r="Q2042">
        <v>0.3731372</v>
      </c>
      <c r="R2042">
        <v>-0.1000151</v>
      </c>
      <c r="S2042">
        <v>-3.213959</v>
      </c>
      <c r="T2042">
        <v>-0.14456529999999901</v>
      </c>
      <c r="U2042">
        <v>-0.87246699999999999</v>
      </c>
      <c r="V2042">
        <v>-7.9372940000000003E-2</v>
      </c>
      <c r="W2042">
        <v>0.38623970000000002</v>
      </c>
      <c r="X2042">
        <v>0.91897709999999999</v>
      </c>
      <c r="Y2042">
        <v>-0.24008860000000001</v>
      </c>
      <c r="Z2042">
        <v>-6.365201E-3</v>
      </c>
      <c r="AA2042">
        <v>0.97073010000000004</v>
      </c>
      <c r="AB2042">
        <v>29</v>
      </c>
      <c r="AC2042">
        <v>-22.6113999999999</v>
      </c>
      <c r="AD2042">
        <v>-1.0310906900000001</v>
      </c>
      <c r="AE2042">
        <v>-6.2160999999999804</v>
      </c>
      <c r="AF2042">
        <v>-5.6989784001965296</v>
      </c>
      <c r="AG2042">
        <v>-1.0310906900000001</v>
      </c>
      <c r="AH2042">
        <v>22.700590490537198</v>
      </c>
      <c r="AI2042">
        <v>92.522491323005497</v>
      </c>
      <c r="AJ2042">
        <v>104.09283967799399</v>
      </c>
      <c r="AK2042">
        <v>23.427725272334399</v>
      </c>
      <c r="AL2042">
        <v>67.279277017765807</v>
      </c>
      <c r="AM2042">
        <v>94.936440966648803</v>
      </c>
      <c r="AN2042">
        <v>1.0000000398923701</v>
      </c>
    </row>
    <row r="2043" spans="1:40" x14ac:dyDescent="0.25">
      <c r="A2043" t="str">
        <f>"20190304164639347"</f>
        <v>20190304164639347</v>
      </c>
      <c r="B2043" t="str">
        <f>"1551689199340327"</f>
        <v>1551689199340327</v>
      </c>
      <c r="C2043" t="s">
        <v>40</v>
      </c>
      <c r="D2043">
        <v>3.965643</v>
      </c>
      <c r="E2043">
        <v>0.44663350000000002</v>
      </c>
      <c r="F2043" t="s">
        <v>45</v>
      </c>
      <c r="G2043">
        <v>-474.87939999999998</v>
      </c>
      <c r="H2043">
        <v>8.0000109999999999E-2</v>
      </c>
      <c r="I2043">
        <v>279.27289999999999</v>
      </c>
      <c r="J2043">
        <v>-451.363</v>
      </c>
      <c r="K2043">
        <v>1.1110549999999999</v>
      </c>
      <c r="L2043">
        <v>285.70440000000002</v>
      </c>
      <c r="M2043">
        <v>-0.99965300000000001</v>
      </c>
      <c r="N2043">
        <v>-1.4205189999999999E-2</v>
      </c>
      <c r="O2043">
        <v>-2.218353E-2</v>
      </c>
      <c r="P2043">
        <v>-0.92249049999999999</v>
      </c>
      <c r="Q2043">
        <v>0.37317119999999998</v>
      </c>
      <c r="R2043">
        <v>-9.8766309999999996E-2</v>
      </c>
      <c r="S2043">
        <v>-3.2145079999999999</v>
      </c>
      <c r="T2043">
        <v>-0.13955499999999901</v>
      </c>
      <c r="U2043">
        <v>-0.87118530000000005</v>
      </c>
      <c r="V2043">
        <v>-7.8198340000000005E-2</v>
      </c>
      <c r="W2043">
        <v>0.38628109999999999</v>
      </c>
      <c r="X2043">
        <v>0.91906030000000005</v>
      </c>
      <c r="Y2043">
        <v>-0.23982819999999999</v>
      </c>
      <c r="Z2043">
        <v>-6.211004E-3</v>
      </c>
      <c r="AA2043">
        <v>0.97079550000000003</v>
      </c>
      <c r="AB2043">
        <v>29</v>
      </c>
      <c r="AC2043">
        <v>-23.516399999999901</v>
      </c>
      <c r="AD2043">
        <v>-1.0310548899999901</v>
      </c>
      <c r="AE2043">
        <v>-6.4315000000000202</v>
      </c>
      <c r="AF2043">
        <v>-5.8976394954705498</v>
      </c>
      <c r="AG2043">
        <v>-1.0310548899999901</v>
      </c>
      <c r="AH2043">
        <v>23.611070531812601</v>
      </c>
      <c r="AI2043">
        <v>92.425977762248607</v>
      </c>
      <c r="AJ2043">
        <v>104.024530691225</v>
      </c>
      <c r="AK2043">
        <v>24.3583225502693</v>
      </c>
      <c r="AL2043">
        <v>67.276703274469</v>
      </c>
      <c r="AM2043">
        <v>94.863303932407604</v>
      </c>
      <c r="AN2043">
        <v>0.99999995181602597</v>
      </c>
    </row>
    <row r="2044" spans="1:40" x14ac:dyDescent="0.25">
      <c r="A2044" t="str">
        <f>"20190304164639368"</f>
        <v>20190304164639368</v>
      </c>
      <c r="B2044" t="str">
        <f>"1551689199360823"</f>
        <v>1551689199360823</v>
      </c>
      <c r="C2044" t="s">
        <v>40</v>
      </c>
      <c r="D2044">
        <v>3.9695330000000002</v>
      </c>
      <c r="E2044">
        <v>0.44647819999999999</v>
      </c>
      <c r="F2044" t="s">
        <v>45</v>
      </c>
      <c r="G2044">
        <v>-475.13049999999998</v>
      </c>
      <c r="H2044">
        <v>8.0000180000000004E-2</v>
      </c>
      <c r="I2044">
        <v>279.28210000000001</v>
      </c>
      <c r="J2044">
        <v>-451.64519999999999</v>
      </c>
      <c r="K2044">
        <v>1.1110070000000001</v>
      </c>
      <c r="L2044">
        <v>285.69830000000002</v>
      </c>
      <c r="M2044">
        <v>-0.99965760000000004</v>
      </c>
      <c r="N2044">
        <v>-1.42022E-2</v>
      </c>
      <c r="O2044">
        <v>-2.1976010000000001E-2</v>
      </c>
      <c r="P2044">
        <v>-0.92254369999999997</v>
      </c>
      <c r="Q2044">
        <v>0.37340950000000001</v>
      </c>
      <c r="R2044">
        <v>-9.7358449999999999E-2</v>
      </c>
      <c r="S2044">
        <v>-3.2154539999999998</v>
      </c>
      <c r="T2044">
        <v>-0.13948929999999901</v>
      </c>
      <c r="U2044">
        <v>-0.86886600000000003</v>
      </c>
      <c r="V2044">
        <v>-7.6930170000000006E-2</v>
      </c>
      <c r="W2044">
        <v>0.38652690000000001</v>
      </c>
      <c r="X2044">
        <v>0.91906399999999999</v>
      </c>
      <c r="Y2044">
        <v>-0.23930589999999999</v>
      </c>
      <c r="Z2044">
        <v>-6.198701E-3</v>
      </c>
      <c r="AA2044">
        <v>0.97092440000000002</v>
      </c>
      <c r="AB2044">
        <v>29</v>
      </c>
      <c r="AC2044">
        <v>-23.485299999999899</v>
      </c>
      <c r="AD2044">
        <v>-1.03100682</v>
      </c>
      <c r="AE2044">
        <v>-6.4161999999999999</v>
      </c>
      <c r="AF2044">
        <v>-5.8879257158899598</v>
      </c>
      <c r="AG2044">
        <v>-1.03100682</v>
      </c>
      <c r="AH2044">
        <v>23.5783592395093</v>
      </c>
      <c r="AI2044">
        <v>92.429263601906001</v>
      </c>
      <c r="AJ2044">
        <v>104.02100118217</v>
      </c>
      <c r="AK2044">
        <v>24.324260908115601</v>
      </c>
      <c r="AL2044">
        <v>67.261434336397699</v>
      </c>
      <c r="AM2044">
        <v>94.784784025230906</v>
      </c>
      <c r="AN2044">
        <v>0.99999996578791805</v>
      </c>
    </row>
    <row r="2045" spans="1:40" x14ac:dyDescent="0.25">
      <c r="A2045" t="str">
        <f>"20190304164639393"</f>
        <v>20190304164639393</v>
      </c>
      <c r="B2045" t="str">
        <f>"1551689199390102"</f>
        <v>1551689199390102</v>
      </c>
      <c r="C2045" t="s">
        <v>40</v>
      </c>
      <c r="D2045">
        <v>3.9536709999999999</v>
      </c>
      <c r="E2045">
        <v>0.44651610000000003</v>
      </c>
      <c r="F2045" t="s">
        <v>45</v>
      </c>
      <c r="G2045">
        <v>-475.13529999999997</v>
      </c>
      <c r="H2045">
        <v>8.0000180000000004E-2</v>
      </c>
      <c r="I2045">
        <v>279.4042</v>
      </c>
      <c r="J2045">
        <v>-451.96420000000001</v>
      </c>
      <c r="K2045">
        <v>1.110949</v>
      </c>
      <c r="L2045">
        <v>285.69150000000002</v>
      </c>
      <c r="M2045">
        <v>-0.99966410000000006</v>
      </c>
      <c r="N2045">
        <v>-1.419902E-2</v>
      </c>
      <c r="O2045">
        <v>-2.1685119999999999E-2</v>
      </c>
      <c r="P2045">
        <v>-0.92241430000000002</v>
      </c>
      <c r="Q2045">
        <v>0.37388510000000003</v>
      </c>
      <c r="R2045">
        <v>-9.6757679999999999E-2</v>
      </c>
      <c r="S2045">
        <v>-3.218048</v>
      </c>
      <c r="T2045">
        <v>-0.14124419999999999</v>
      </c>
      <c r="U2045">
        <v>-0.86227419999999999</v>
      </c>
      <c r="V2045">
        <v>-7.654706E-2</v>
      </c>
      <c r="W2045">
        <v>0.3870075</v>
      </c>
      <c r="X2045">
        <v>0.91889379999999998</v>
      </c>
      <c r="Y2045">
        <v>-0.23753270000000001</v>
      </c>
      <c r="Z2045">
        <v>-6.2054099999999997E-3</v>
      </c>
      <c r="AA2045">
        <v>0.97135970000000005</v>
      </c>
      <c r="AB2045">
        <v>29</v>
      </c>
      <c r="AC2045">
        <v>-23.1710999999999</v>
      </c>
      <c r="AD2045">
        <v>-1.0309488200000001</v>
      </c>
      <c r="AE2045">
        <v>-6.2873000000000099</v>
      </c>
      <c r="AF2045">
        <v>-5.7726585769718399</v>
      </c>
      <c r="AG2045">
        <v>-1.0309488200000001</v>
      </c>
      <c r="AH2045">
        <v>23.2591182842283</v>
      </c>
      <c r="AI2045">
        <v>92.4633084018988</v>
      </c>
      <c r="AJ2045">
        <v>103.938545904587</v>
      </c>
      <c r="AK2045">
        <v>23.986934482660999</v>
      </c>
      <c r="AL2045">
        <v>67.231575890463503</v>
      </c>
      <c r="AM2045">
        <v>94.761943552195802</v>
      </c>
      <c r="AN2045">
        <v>1.00000003656466</v>
      </c>
    </row>
    <row r="2046" spans="1:40" x14ac:dyDescent="0.25">
      <c r="A2046" t="str">
        <f>"20190304164639413"</f>
        <v>20190304164639413</v>
      </c>
      <c r="B2046" t="str">
        <f>"1551689199399862"</f>
        <v>1551689199399862</v>
      </c>
      <c r="C2046" t="s">
        <v>40</v>
      </c>
      <c r="D2046">
        <v>3.9532060000000002</v>
      </c>
      <c r="E2046">
        <v>0.44637320000000003</v>
      </c>
      <c r="F2046" t="s">
        <v>45</v>
      </c>
      <c r="G2046">
        <v>-475.68200000000002</v>
      </c>
      <c r="H2046">
        <v>8.0000420000000003E-2</v>
      </c>
      <c r="I2046">
        <v>279.3673</v>
      </c>
      <c r="J2046">
        <v>-452.2269</v>
      </c>
      <c r="K2046">
        <v>1.110905</v>
      </c>
      <c r="L2046">
        <v>285.68610000000001</v>
      </c>
      <c r="M2046">
        <v>-0.99967010000000001</v>
      </c>
      <c r="N2046">
        <v>-1.4196520000000001E-2</v>
      </c>
      <c r="O2046">
        <v>-2.1401670000000001E-2</v>
      </c>
      <c r="P2046">
        <v>-0.92195640000000001</v>
      </c>
      <c r="Q2046">
        <v>0.37521179999999998</v>
      </c>
      <c r="R2046">
        <v>-9.5980880000000005E-2</v>
      </c>
      <c r="S2046">
        <v>-3.2190249999999998</v>
      </c>
      <c r="T2046">
        <v>-0.13992249999999901</v>
      </c>
      <c r="U2046">
        <v>-0.85833740000000003</v>
      </c>
      <c r="V2046">
        <v>-7.6003349999999997E-2</v>
      </c>
      <c r="W2046">
        <v>0.38833230000000002</v>
      </c>
      <c r="X2046">
        <v>0.91837979999999997</v>
      </c>
      <c r="Y2046">
        <v>-0.23663100000000001</v>
      </c>
      <c r="Z2046">
        <v>-6.1474619999999898E-3</v>
      </c>
      <c r="AA2046">
        <v>0.97158009999999995</v>
      </c>
      <c r="AB2046">
        <v>29</v>
      </c>
      <c r="AC2046">
        <v>-23.455099999999899</v>
      </c>
      <c r="AD2046">
        <v>-1.0309045800000001</v>
      </c>
      <c r="AE2046">
        <v>-6.3188000000000004</v>
      </c>
      <c r="AF2046">
        <v>-5.8048684448980996</v>
      </c>
      <c r="AG2046">
        <v>-1.0309045800000001</v>
      </c>
      <c r="AH2046">
        <v>23.542571055602</v>
      </c>
      <c r="AI2046">
        <v>92.434499833397098</v>
      </c>
      <c r="AJ2046">
        <v>103.85107700061</v>
      </c>
      <c r="AK2046">
        <v>24.269567648058899</v>
      </c>
      <c r="AL2046">
        <v>67.149229326156302</v>
      </c>
      <c r="AM2046">
        <v>94.730907919793097</v>
      </c>
      <c r="AN2046">
        <v>0.999999970741275</v>
      </c>
    </row>
    <row r="2047" spans="1:40" x14ac:dyDescent="0.25">
      <c r="A2047" t="str">
        <f>"20190304164639436"</f>
        <v>20190304164639436</v>
      </c>
      <c r="B2047" t="str">
        <f>"1551689199430118"</f>
        <v>1551689199430118</v>
      </c>
      <c r="C2047" t="s">
        <v>40</v>
      </c>
      <c r="D2047">
        <v>3.9473180000000001</v>
      </c>
      <c r="E2047">
        <v>0.44616260000000002</v>
      </c>
      <c r="F2047" t="s">
        <v>45</v>
      </c>
      <c r="G2047">
        <v>-476.58580000000001</v>
      </c>
      <c r="H2047">
        <v>8.000053E-2</v>
      </c>
      <c r="I2047">
        <v>279.20319999999998</v>
      </c>
      <c r="J2047">
        <v>-452.5215</v>
      </c>
      <c r="K2047">
        <v>1.1108690000000001</v>
      </c>
      <c r="L2047">
        <v>285.68020000000001</v>
      </c>
      <c r="M2047">
        <v>-0.99967799999999996</v>
      </c>
      <c r="N2047">
        <v>-1.419364E-2</v>
      </c>
      <c r="O2047">
        <v>-2.103814E-2</v>
      </c>
      <c r="P2047">
        <v>-0.92174109999999998</v>
      </c>
      <c r="Q2047">
        <v>0.37587340000000002</v>
      </c>
      <c r="R2047">
        <v>-9.5458940000000006E-2</v>
      </c>
      <c r="S2047">
        <v>-3.220215</v>
      </c>
      <c r="T2047">
        <v>-0.1362844</v>
      </c>
      <c r="U2047">
        <v>-0.85702509999999998</v>
      </c>
      <c r="V2047">
        <v>-7.5784160000000003E-2</v>
      </c>
      <c r="W2047">
        <v>0.38899489999999998</v>
      </c>
      <c r="X2047">
        <v>0.91811750000000003</v>
      </c>
      <c r="Y2047">
        <v>-0.2365372</v>
      </c>
      <c r="Z2047">
        <v>-6.0455550000000002E-3</v>
      </c>
      <c r="AA2047">
        <v>0.97160360000000001</v>
      </c>
      <c r="AB2047">
        <v>29</v>
      </c>
      <c r="AC2047">
        <v>-24.064299999999999</v>
      </c>
      <c r="AD2047">
        <v>-1.0308684699999999</v>
      </c>
      <c r="AE2047">
        <v>-6.4770000000000296</v>
      </c>
      <c r="AF2047">
        <v>-5.9590503393048104</v>
      </c>
      <c r="AG2047">
        <v>-1.0308684699999999</v>
      </c>
      <c r="AH2047">
        <v>24.1539198837703</v>
      </c>
      <c r="AI2047">
        <v>92.372791116884002</v>
      </c>
      <c r="AJ2047">
        <v>103.858774100467</v>
      </c>
      <c r="AK2047">
        <v>24.8994943021019</v>
      </c>
      <c r="AL2047">
        <v>67.108026588420103</v>
      </c>
      <c r="AM2047">
        <v>94.7186674953672</v>
      </c>
      <c r="AN2047">
        <v>1.0000000074695801</v>
      </c>
    </row>
    <row r="2048" spans="1:40" x14ac:dyDescent="0.25">
      <c r="A2048" t="str">
        <f>"20190304164639459"</f>
        <v>20190304164639459</v>
      </c>
      <c r="B2048" t="str">
        <f>"1551689199450615"</f>
        <v>1551689199450615</v>
      </c>
      <c r="C2048" t="s">
        <v>40</v>
      </c>
      <c r="D2048">
        <v>3.9731380000000001</v>
      </c>
      <c r="E2048">
        <v>0.44578380000000001</v>
      </c>
      <c r="F2048" t="s">
        <v>45</v>
      </c>
      <c r="G2048">
        <v>-476.38889999999998</v>
      </c>
      <c r="H2048">
        <v>8.0000550000000004E-2</v>
      </c>
      <c r="I2048">
        <v>279.32339999999999</v>
      </c>
      <c r="J2048">
        <v>-452.82080000000002</v>
      </c>
      <c r="K2048">
        <v>1.110833</v>
      </c>
      <c r="L2048">
        <v>285.67430000000002</v>
      </c>
      <c r="M2048">
        <v>-0.99968670000000004</v>
      </c>
      <c r="N2048">
        <v>-1.4190700000000001E-2</v>
      </c>
      <c r="O2048">
        <v>-2.0620690000000001E-2</v>
      </c>
      <c r="P2048">
        <v>-0.92175010000000002</v>
      </c>
      <c r="Q2048">
        <v>0.37592789999999998</v>
      </c>
      <c r="R2048">
        <v>-9.515701E-2</v>
      </c>
      <c r="S2048">
        <v>-3.2226560000000002</v>
      </c>
      <c r="T2048">
        <v>-0.13919119999999999</v>
      </c>
      <c r="U2048">
        <v>-0.85830689999999998</v>
      </c>
      <c r="V2048">
        <v>-7.5834230000000002E-2</v>
      </c>
      <c r="W2048">
        <v>0.38905279999999998</v>
      </c>
      <c r="X2048">
        <v>0.91808880000000004</v>
      </c>
      <c r="Y2048">
        <v>-0.23711090000000001</v>
      </c>
      <c r="Z2048">
        <v>-6.1563130000000001E-3</v>
      </c>
      <c r="AA2048">
        <v>0.97146310000000002</v>
      </c>
      <c r="AB2048">
        <v>29</v>
      </c>
      <c r="AC2048">
        <v>-23.568099999999902</v>
      </c>
      <c r="AD2048">
        <v>-1.0308324499999999</v>
      </c>
      <c r="AE2048">
        <v>-6.3509000000000198</v>
      </c>
      <c r="AF2048">
        <v>-5.8530707377357398</v>
      </c>
      <c r="AG2048">
        <v>-1.0308324499999999</v>
      </c>
      <c r="AH2048">
        <v>23.651876721491099</v>
      </c>
      <c r="AI2048">
        <v>92.422586837017903</v>
      </c>
      <c r="AJ2048">
        <v>103.899595977467</v>
      </c>
      <c r="AK2048">
        <v>24.387134416522201</v>
      </c>
      <c r="AL2048">
        <v>67.104424787154599</v>
      </c>
      <c r="AM2048">
        <v>94.721917928318106</v>
      </c>
      <c r="AN2048">
        <v>0.999999978156486</v>
      </c>
    </row>
    <row r="2049" spans="1:40" x14ac:dyDescent="0.25">
      <c r="A2049" t="str">
        <f>"20190304164639482"</f>
        <v>20190304164639482</v>
      </c>
      <c r="B2049" t="str">
        <f>"1551689199470134"</f>
        <v>1551689199470134</v>
      </c>
      <c r="C2049" t="s">
        <v>40</v>
      </c>
      <c r="D2049">
        <v>3.9618699999999998</v>
      </c>
      <c r="E2049">
        <v>0.4454381</v>
      </c>
      <c r="F2049" t="s">
        <v>45</v>
      </c>
      <c r="G2049">
        <v>-476.7611</v>
      </c>
      <c r="H2049">
        <v>8.0000500000000002E-2</v>
      </c>
      <c r="I2049">
        <v>279.28399999999999</v>
      </c>
      <c r="J2049">
        <v>-453.12990000000002</v>
      </c>
      <c r="K2049">
        <v>1.1108049999999901</v>
      </c>
      <c r="L2049">
        <v>285.66840000000002</v>
      </c>
      <c r="M2049">
        <v>-0.99969629999999998</v>
      </c>
      <c r="N2049">
        <v>-1.418759E-2</v>
      </c>
      <c r="O2049">
        <v>-2.015349E-2</v>
      </c>
      <c r="P2049">
        <v>-0.92180139999999999</v>
      </c>
      <c r="Q2049">
        <v>0.3756872</v>
      </c>
      <c r="R2049">
        <v>-9.5610940000000005E-2</v>
      </c>
      <c r="S2049">
        <v>-3.2224729999999999</v>
      </c>
      <c r="T2049">
        <v>-0.13875470000000001</v>
      </c>
      <c r="U2049">
        <v>-0.8601685</v>
      </c>
      <c r="V2049">
        <v>-7.6689649999999998E-2</v>
      </c>
      <c r="W2049">
        <v>0.3888161</v>
      </c>
      <c r="X2049">
        <v>0.91811810000000005</v>
      </c>
      <c r="Y2049">
        <v>-0.23810249999999999</v>
      </c>
      <c r="Z2049">
        <v>-6.1842199999999998E-3</v>
      </c>
      <c r="AA2049">
        <v>0.97122030000000004</v>
      </c>
      <c r="AB2049">
        <v>29</v>
      </c>
      <c r="AC2049">
        <v>-23.6311999999999</v>
      </c>
      <c r="AD2049">
        <v>-1.0308044999999999</v>
      </c>
      <c r="AE2049">
        <v>-6.3844000000000198</v>
      </c>
      <c r="AF2049">
        <v>-5.8963479340643001</v>
      </c>
      <c r="AG2049">
        <v>-1.0308044999999999</v>
      </c>
      <c r="AH2049">
        <v>23.7130297812962</v>
      </c>
      <c r="AI2049">
        <v>92.415611995557796</v>
      </c>
      <c r="AJ2049">
        <v>103.963655590543</v>
      </c>
      <c r="AK2049">
        <v>24.456844814599499</v>
      </c>
      <c r="AL2049">
        <v>67.119147575882295</v>
      </c>
      <c r="AM2049">
        <v>94.774785183714599</v>
      </c>
      <c r="AN2049">
        <v>1.00000005379196</v>
      </c>
    </row>
    <row r="2050" spans="1:40" x14ac:dyDescent="0.25">
      <c r="A2050" t="str">
        <f>"20190304164639524"</f>
        <v>20190304164639524</v>
      </c>
      <c r="B2050" t="str">
        <f>"1551689199519913"</f>
        <v>1551689199519913</v>
      </c>
      <c r="C2050" t="s">
        <v>40</v>
      </c>
      <c r="D2050">
        <v>3.9331670000000001</v>
      </c>
      <c r="E2050">
        <v>0.44554660000000001</v>
      </c>
      <c r="F2050" t="s">
        <v>45</v>
      </c>
      <c r="G2050">
        <v>-476.85840000000002</v>
      </c>
      <c r="H2050">
        <v>8.0000459999999995E-2</v>
      </c>
      <c r="I2050">
        <v>279.31259999999997</v>
      </c>
      <c r="J2050">
        <v>-453.67509999999999</v>
      </c>
      <c r="K2050">
        <v>1.110765</v>
      </c>
      <c r="L2050">
        <v>285.6585</v>
      </c>
      <c r="M2050">
        <v>-0.99971469999999996</v>
      </c>
      <c r="N2050">
        <v>-1.418228E-2</v>
      </c>
      <c r="O2050">
        <v>-1.9231999999999999E-2</v>
      </c>
      <c r="P2050">
        <v>-0.92125500000000005</v>
      </c>
      <c r="Q2050">
        <v>0.37662630000000002</v>
      </c>
      <c r="R2050">
        <v>-9.7171960000000002E-2</v>
      </c>
      <c r="S2050">
        <v>-3.2220149999999999</v>
      </c>
      <c r="T2050">
        <v>-0.13996979999999901</v>
      </c>
      <c r="U2050">
        <v>-0.863037099999999</v>
      </c>
      <c r="V2050">
        <v>-7.906146E-2</v>
      </c>
      <c r="W2050">
        <v>0.38975389999999999</v>
      </c>
      <c r="X2050">
        <v>0.91751899999999997</v>
      </c>
      <c r="Y2050">
        <v>-0.2398323</v>
      </c>
      <c r="Z2050">
        <v>-6.2961559999999998E-3</v>
      </c>
      <c r="AA2050">
        <v>0.97079389999999999</v>
      </c>
      <c r="AB2050">
        <v>29</v>
      </c>
      <c r="AC2050">
        <v>-23.183299999999999</v>
      </c>
      <c r="AD2050">
        <v>-1.0307645400000001</v>
      </c>
      <c r="AE2050">
        <v>-6.3459000000000199</v>
      </c>
      <c r="AF2050">
        <v>-5.8879919003775596</v>
      </c>
      <c r="AG2050">
        <v>-1.0307645400000001</v>
      </c>
      <c r="AH2050">
        <v>23.258295153578398</v>
      </c>
      <c r="AI2050">
        <v>92.460075294481996</v>
      </c>
      <c r="AJ2050">
        <v>104.206339939347</v>
      </c>
      <c r="AK2050">
        <v>24.014146197747699</v>
      </c>
      <c r="AL2050">
        <v>67.060811970422094</v>
      </c>
      <c r="AM2050">
        <v>94.924940096706393</v>
      </c>
      <c r="AN2050">
        <v>0.99999996619177001</v>
      </c>
    </row>
    <row r="2051" spans="1:40" x14ac:dyDescent="0.25">
      <c r="A2051" t="str">
        <f>"20190304164639546"</f>
        <v>20190304164639546</v>
      </c>
      <c r="B2051" t="str">
        <f>"1551689199540409"</f>
        <v>1551689199540409</v>
      </c>
      <c r="C2051" t="s">
        <v>40</v>
      </c>
      <c r="D2051">
        <v>4.3910200000000001</v>
      </c>
      <c r="E2051">
        <v>0.445658</v>
      </c>
      <c r="F2051" t="s">
        <v>45</v>
      </c>
      <c r="G2051">
        <v>-477.88560000000001</v>
      </c>
      <c r="H2051">
        <v>8.0000189999999999E-2</v>
      </c>
      <c r="I2051">
        <v>279.1438</v>
      </c>
      <c r="J2051">
        <v>-453.96260000000001</v>
      </c>
      <c r="K2051">
        <v>1.1107340000000001</v>
      </c>
      <c r="L2051">
        <v>285.65350000000001</v>
      </c>
      <c r="M2051">
        <v>-0.99972479999999997</v>
      </c>
      <c r="N2051">
        <v>-1.4179509999999999E-2</v>
      </c>
      <c r="O2051">
        <v>-1.8689810000000001E-2</v>
      </c>
      <c r="P2051">
        <v>-0.920879</v>
      </c>
      <c r="Q2051">
        <v>0.37740420000000002</v>
      </c>
      <c r="R2051">
        <v>-9.7713389999999997E-2</v>
      </c>
      <c r="S2051">
        <v>-3.22113</v>
      </c>
      <c r="T2051">
        <v>-0.1371404</v>
      </c>
      <c r="U2051">
        <v>-0.86676030000000004</v>
      </c>
      <c r="V2051">
        <v>-8.0079289999999997E-2</v>
      </c>
      <c r="W2051">
        <v>0.3905305</v>
      </c>
      <c r="X2051">
        <v>0.91710049999999999</v>
      </c>
      <c r="Y2051">
        <v>-0.241479</v>
      </c>
      <c r="Z2051">
        <v>-6.2710619999999896E-3</v>
      </c>
      <c r="AA2051">
        <v>0.97038579999999997</v>
      </c>
      <c r="AB2051">
        <v>29</v>
      </c>
      <c r="AC2051">
        <v>-23.922999999999998</v>
      </c>
      <c r="AD2051">
        <v>-1.0307338100000001</v>
      </c>
      <c r="AE2051">
        <v>-6.5096999999999996</v>
      </c>
      <c r="AF2051">
        <v>-6.0509431149011101</v>
      </c>
      <c r="AG2051">
        <v>-1.0307338100000001</v>
      </c>
      <c r="AH2051">
        <v>23.999018359705801</v>
      </c>
      <c r="AI2051">
        <v>92.384742780012402</v>
      </c>
      <c r="AJ2051">
        <v>104.151205476763</v>
      </c>
      <c r="AK2051">
        <v>24.7715402628973</v>
      </c>
      <c r="AL2051">
        <v>67.012488423577096</v>
      </c>
      <c r="AM2051">
        <v>94.990290163061402</v>
      </c>
      <c r="AN2051">
        <v>1.0000000456086999</v>
      </c>
    </row>
    <row r="2052" spans="1:40" x14ac:dyDescent="0.25">
      <c r="A2052" t="str">
        <f>"20190304164639568"</f>
        <v>20190304164639568</v>
      </c>
      <c r="B2052" t="str">
        <f>"1551689199559930"</f>
        <v>1551689199559930</v>
      </c>
      <c r="C2052" t="s">
        <v>40</v>
      </c>
      <c r="D2052">
        <v>4.065474</v>
      </c>
      <c r="E2052">
        <v>0.48517539999999998</v>
      </c>
      <c r="F2052" t="s">
        <v>45</v>
      </c>
      <c r="G2052">
        <v>-480.72129999999999</v>
      </c>
      <c r="H2052" s="1">
        <v>1.620678E-6</v>
      </c>
      <c r="I2052">
        <v>278.43419999999998</v>
      </c>
      <c r="J2052">
        <v>-454.24720000000002</v>
      </c>
      <c r="K2052">
        <v>1.110703</v>
      </c>
      <c r="L2052">
        <v>285.64879999999999</v>
      </c>
      <c r="M2052">
        <v>-0.9997357</v>
      </c>
      <c r="N2052">
        <v>-1.417679E-2</v>
      </c>
      <c r="O2052">
        <v>-1.8107390000000001E-2</v>
      </c>
      <c r="P2052">
        <v>-0.92061800000000005</v>
      </c>
      <c r="Q2052">
        <v>0.3777102</v>
      </c>
      <c r="R2052">
        <v>-9.8983020000000005E-2</v>
      </c>
      <c r="S2052">
        <v>-3.2203979999999999</v>
      </c>
      <c r="T2052">
        <v>-0.1336763</v>
      </c>
      <c r="U2052">
        <v>-0.86883539999999904</v>
      </c>
      <c r="V2052">
        <v>-8.1856520000000002E-2</v>
      </c>
      <c r="W2052">
        <v>0.39083909999999999</v>
      </c>
      <c r="X2052">
        <v>0.91681210000000002</v>
      </c>
      <c r="Y2052">
        <v>-0.2426924</v>
      </c>
      <c r="Z2052">
        <v>-6.2127079999999999E-3</v>
      </c>
      <c r="AA2052">
        <v>0.97008340000000004</v>
      </c>
      <c r="AB2052">
        <v>29</v>
      </c>
      <c r="AC2052">
        <v>-26.4740999999999</v>
      </c>
      <c r="AD2052">
        <v>-1.110701379322</v>
      </c>
      <c r="AE2052">
        <v>-7.2146000000000097</v>
      </c>
      <c r="AF2052">
        <v>-6.7229765008309403</v>
      </c>
      <c r="AG2052">
        <v>-1.110701379322</v>
      </c>
      <c r="AH2052">
        <v>26.556896403333798</v>
      </c>
      <c r="AI2052">
        <v>92.3217544934042</v>
      </c>
      <c r="AJ2052">
        <v>104.206181355187</v>
      </c>
      <c r="AK2052">
        <v>27.417162821162901</v>
      </c>
      <c r="AL2052">
        <v>66.993280712003894</v>
      </c>
      <c r="AM2052">
        <v>95.102059652528695</v>
      </c>
      <c r="AN2052">
        <v>1.00000005933086</v>
      </c>
    </row>
    <row r="2053" spans="1:40" x14ac:dyDescent="0.25">
      <c r="A2053" t="str">
        <f>"20190304164639591"</f>
        <v>20190304164639591</v>
      </c>
      <c r="B2053" t="str">
        <f>"1551689199580426"</f>
        <v>1551689199580426</v>
      </c>
      <c r="C2053" t="s">
        <v>40</v>
      </c>
      <c r="D2053">
        <v>4.0144440000000001</v>
      </c>
      <c r="E2053">
        <v>0.5299874</v>
      </c>
      <c r="F2053" t="s">
        <v>45</v>
      </c>
      <c r="G2053">
        <v>-471.12009999999998</v>
      </c>
      <c r="H2053" s="1">
        <v>5.9529500000000003E-6</v>
      </c>
      <c r="I2053">
        <v>282.73540000000003</v>
      </c>
      <c r="J2053">
        <v>-454.5369</v>
      </c>
      <c r="K2053">
        <v>1.1106609999999999</v>
      </c>
      <c r="L2053">
        <v>285.64420000000001</v>
      </c>
      <c r="M2053">
        <v>-0.99974719999999995</v>
      </c>
      <c r="N2053">
        <v>-1.41741E-2</v>
      </c>
      <c r="O2053">
        <v>-1.745213E-2</v>
      </c>
      <c r="P2053">
        <v>-0.92027829999999999</v>
      </c>
      <c r="Q2053">
        <v>0.37820429999999999</v>
      </c>
      <c r="R2053">
        <v>-0.10024619999999999</v>
      </c>
      <c r="S2053">
        <v>-3.2863769999999999</v>
      </c>
      <c r="T2053">
        <v>-0.21633260000000001</v>
      </c>
      <c r="U2053">
        <v>-0.56744380000000005</v>
      </c>
      <c r="V2053">
        <v>-8.3687230000000001E-2</v>
      </c>
      <c r="W2053">
        <v>0.39133669999999998</v>
      </c>
      <c r="X2053">
        <v>0.91643439999999998</v>
      </c>
      <c r="Y2053">
        <v>-0.15255379999999999</v>
      </c>
      <c r="Z2053">
        <v>-5.1762290000000001E-3</v>
      </c>
      <c r="AA2053">
        <v>0.98828159999999998</v>
      </c>
      <c r="AB2053">
        <v>29</v>
      </c>
      <c r="AC2053">
        <v>-16.583199999999898</v>
      </c>
      <c r="AD2053">
        <v>-1.1106550470500001</v>
      </c>
      <c r="AE2053">
        <v>-2.9087999999999798</v>
      </c>
      <c r="AF2053">
        <v>-2.6075682449070499</v>
      </c>
      <c r="AG2053">
        <v>-1.1106550470500001</v>
      </c>
      <c r="AH2053">
        <v>16.559381920270301</v>
      </c>
      <c r="AI2053">
        <v>93.790571647380006</v>
      </c>
      <c r="AJ2053">
        <v>98.9487543449209</v>
      </c>
      <c r="AK2053">
        <v>16.800181438507099</v>
      </c>
      <c r="AL2053">
        <v>66.962301313990196</v>
      </c>
      <c r="AM2053">
        <v>95.217681731303699</v>
      </c>
      <c r="AN2053">
        <v>0.99999998736766105</v>
      </c>
    </row>
    <row r="2054" spans="1:40" x14ac:dyDescent="0.25">
      <c r="A2054" t="str">
        <f>"20190304164639613"</f>
        <v>20190304164639613</v>
      </c>
      <c r="B2054" t="str">
        <f>"1551689199610682"</f>
        <v>1551689199610682</v>
      </c>
      <c r="C2054" t="s">
        <v>40</v>
      </c>
      <c r="D2054">
        <v>3.941678</v>
      </c>
      <c r="E2054">
        <v>0.53294989999999998</v>
      </c>
      <c r="F2054" t="s">
        <v>49</v>
      </c>
      <c r="G2054">
        <v>-466.01170000000002</v>
      </c>
      <c r="H2054" s="1">
        <v>1.651377E-6</v>
      </c>
      <c r="I2054">
        <v>284.86649999999997</v>
      </c>
      <c r="J2054">
        <v>-454.82119999999998</v>
      </c>
      <c r="K2054">
        <v>1.110622</v>
      </c>
      <c r="L2054">
        <v>285.64</v>
      </c>
      <c r="M2054">
        <v>-0.99975939999999996</v>
      </c>
      <c r="N2054">
        <v>-1.417179E-2</v>
      </c>
      <c r="O2054">
        <v>-1.6742420000000001E-2</v>
      </c>
      <c r="P2054">
        <v>-0.92021390000000003</v>
      </c>
      <c r="Q2054">
        <v>0.37810480000000002</v>
      </c>
      <c r="R2054">
        <v>-0.1012088</v>
      </c>
      <c r="S2054">
        <v>-3.3689879999999999</v>
      </c>
      <c r="T2054">
        <v>-0.32608870000000001</v>
      </c>
      <c r="U2054">
        <v>-0.22833249999999999</v>
      </c>
      <c r="V2054">
        <v>-8.5257280000000005E-2</v>
      </c>
      <c r="W2054">
        <v>0.39124589999999998</v>
      </c>
      <c r="X2054">
        <v>0.91632840000000004</v>
      </c>
      <c r="Y2054">
        <v>-5.0690569999999997E-2</v>
      </c>
      <c r="Z2054">
        <v>-1.427237E-3</v>
      </c>
      <c r="AA2054">
        <v>0.99871339999999997</v>
      </c>
      <c r="AB2054">
        <v>29</v>
      </c>
      <c r="AC2054">
        <v>-11.1905</v>
      </c>
      <c r="AD2054">
        <v>-1.110620348623</v>
      </c>
      <c r="AE2054">
        <v>-0.77350000000001196</v>
      </c>
      <c r="AF2054">
        <v>-0.58032769852335997</v>
      </c>
      <c r="AG2054">
        <v>-1.110620348623</v>
      </c>
      <c r="AH2054">
        <v>11.0931359115284</v>
      </c>
      <c r="AI2054">
        <v>95.709519816943896</v>
      </c>
      <c r="AJ2054">
        <v>92.9946486754109</v>
      </c>
      <c r="AK2054">
        <v>11.1636876590171</v>
      </c>
      <c r="AL2054">
        <v>66.967953543832294</v>
      </c>
      <c r="AM2054">
        <v>95.315626101381298</v>
      </c>
      <c r="AN2054">
        <v>0.99999994735318198</v>
      </c>
    </row>
    <row r="2055" spans="1:40" x14ac:dyDescent="0.25">
      <c r="A2055" t="str">
        <f>"20190304164639637"</f>
        <v>20190304164639637</v>
      </c>
      <c r="B2055" t="str">
        <f>"1551689199630506"</f>
        <v>1551689199630506</v>
      </c>
      <c r="C2055" t="s">
        <v>40</v>
      </c>
      <c r="D2055">
        <v>3.9450270000000001</v>
      </c>
      <c r="E2055">
        <v>0.53337670000000004</v>
      </c>
      <c r="F2055" t="s">
        <v>49</v>
      </c>
      <c r="G2055">
        <v>-466.41649999999998</v>
      </c>
      <c r="H2055" s="1">
        <v>1.8644549999999999E-6</v>
      </c>
      <c r="I2055">
        <v>284.92039999999997</v>
      </c>
      <c r="J2055">
        <v>-455.12079999999997</v>
      </c>
      <c r="K2055">
        <v>1.110568</v>
      </c>
      <c r="L2055">
        <v>285.63589999999999</v>
      </c>
      <c r="M2055">
        <v>-0.99977289999999996</v>
      </c>
      <c r="N2055">
        <v>-1.4169350000000001E-2</v>
      </c>
      <c r="O2055">
        <v>-1.5917959999999998E-2</v>
      </c>
      <c r="P2055">
        <v>-0.92014470000000004</v>
      </c>
      <c r="Q2055">
        <v>0.3781622</v>
      </c>
      <c r="R2055">
        <v>-0.1016233</v>
      </c>
      <c r="S2055">
        <v>-3.36972</v>
      </c>
      <c r="T2055">
        <v>-0.32275870000000001</v>
      </c>
      <c r="U2055">
        <v>-0.20913699999999999</v>
      </c>
      <c r="V2055">
        <v>-8.6379239999999996E-2</v>
      </c>
      <c r="W2055">
        <v>0.39131260000000001</v>
      </c>
      <c r="X2055">
        <v>0.91619490000000003</v>
      </c>
      <c r="Y2055">
        <v>-4.5860020000000001E-2</v>
      </c>
      <c r="Z2055">
        <v>-1.2207120000000001E-3</v>
      </c>
      <c r="AA2055">
        <v>0.99894709999999998</v>
      </c>
      <c r="AB2055">
        <v>29</v>
      </c>
      <c r="AC2055">
        <v>-11.2957</v>
      </c>
      <c r="AD2055">
        <v>-1.1105661355450001</v>
      </c>
      <c r="AE2055">
        <v>-0.71550000000002001</v>
      </c>
      <c r="AF2055">
        <v>-0.53047946733544504</v>
      </c>
      <c r="AG2055">
        <v>-1.1105661355450001</v>
      </c>
      <c r="AH2055">
        <v>11.1978492307877</v>
      </c>
      <c r="AI2055">
        <v>95.657583128568504</v>
      </c>
      <c r="AJ2055">
        <v>92.712264408206707</v>
      </c>
      <c r="AK2055">
        <v>11.265282641910799</v>
      </c>
      <c r="AL2055">
        <v>66.963802339066802</v>
      </c>
      <c r="AM2055">
        <v>95.385949604404303</v>
      </c>
      <c r="AN2055">
        <v>1.0000000094038699</v>
      </c>
    </row>
    <row r="2056" spans="1:40" x14ac:dyDescent="0.25">
      <c r="A2056" t="str">
        <f>"20190304164639661"</f>
        <v>20190304164639661</v>
      </c>
      <c r="B2056" t="str">
        <f>"1551689199651003"</f>
        <v>1551689199651003</v>
      </c>
      <c r="C2056" t="s">
        <v>40</v>
      </c>
      <c r="D2056">
        <v>3.965217</v>
      </c>
      <c r="E2056">
        <v>0.53357239999999995</v>
      </c>
      <c r="F2056" t="s">
        <v>49</v>
      </c>
      <c r="G2056">
        <v>-466.80259999999998</v>
      </c>
      <c r="H2056" s="1">
        <v>2.0703030000000002E-6</v>
      </c>
      <c r="I2056">
        <v>284.91230000000002</v>
      </c>
      <c r="J2056">
        <v>-455.44209999999998</v>
      </c>
      <c r="K2056">
        <v>1.110519</v>
      </c>
      <c r="L2056">
        <v>285.63189999999997</v>
      </c>
      <c r="M2056">
        <v>-0.99978789999999995</v>
      </c>
      <c r="N2056">
        <v>-1.4166899999999901E-2</v>
      </c>
      <c r="O2056">
        <v>-1.495838E-2</v>
      </c>
      <c r="P2056">
        <v>-0.92018639999999996</v>
      </c>
      <c r="Q2056">
        <v>0.37814239999999999</v>
      </c>
      <c r="R2056">
        <v>-0.10131999999999999</v>
      </c>
      <c r="S2056">
        <v>-3.3689269999999998</v>
      </c>
      <c r="T2056">
        <v>-0.32027480000000003</v>
      </c>
      <c r="U2056">
        <v>-0.20867920000000001</v>
      </c>
      <c r="V2056">
        <v>-8.6908719999999995E-2</v>
      </c>
      <c r="W2056">
        <v>0.39130160000000003</v>
      </c>
      <c r="X2056">
        <v>0.91614949999999995</v>
      </c>
      <c r="Y2056">
        <v>-4.6693119999999998E-2</v>
      </c>
      <c r="Z2056">
        <v>-1.338377E-3</v>
      </c>
      <c r="AA2056">
        <v>0.99890840000000003</v>
      </c>
      <c r="AB2056">
        <v>29</v>
      </c>
      <c r="AC2056">
        <v>-11.3605</v>
      </c>
      <c r="AD2056">
        <v>-1.1105169296969899</v>
      </c>
      <c r="AE2056">
        <v>-0.71959999999995705</v>
      </c>
      <c r="AF2056">
        <v>-0.54438664352232702</v>
      </c>
      <c r="AG2056">
        <v>-1.1105169296969899</v>
      </c>
      <c r="AH2056">
        <v>11.2628016986726</v>
      </c>
      <c r="AI2056">
        <v>95.624661539732401</v>
      </c>
      <c r="AJ2056">
        <v>92.767233387808105</v>
      </c>
      <c r="AK2056">
        <v>11.3305033768324</v>
      </c>
      <c r="AL2056">
        <v>66.964486659333801</v>
      </c>
      <c r="AM2056">
        <v>95.419034943101195</v>
      </c>
      <c r="AN2056">
        <v>0.99999998706242399</v>
      </c>
    </row>
    <row r="2057" spans="1:40" x14ac:dyDescent="0.25">
      <c r="A2057" t="str">
        <f>"20190304164639683"</f>
        <v>20190304164639683</v>
      </c>
      <c r="B2057" t="str">
        <f>"1551689199670524"</f>
        <v>1551689199670524</v>
      </c>
      <c r="C2057" t="s">
        <v>40</v>
      </c>
      <c r="D2057">
        <v>3.9824999999999999</v>
      </c>
      <c r="E2057">
        <v>0.53379350000000003</v>
      </c>
      <c r="F2057" t="s">
        <v>49</v>
      </c>
      <c r="G2057">
        <v>-467.08690000000001</v>
      </c>
      <c r="H2057" s="1">
        <v>2.2214239999999998E-6</v>
      </c>
      <c r="I2057">
        <v>284.91500000000002</v>
      </c>
      <c r="J2057">
        <v>-455.71570000000003</v>
      </c>
      <c r="K2057">
        <v>1.1104810000000001</v>
      </c>
      <c r="L2057">
        <v>285.62869999999998</v>
      </c>
      <c r="M2057">
        <v>-0.99980040000000003</v>
      </c>
      <c r="N2057">
        <v>-1.4164700000000001E-2</v>
      </c>
      <c r="O2057">
        <v>-1.409791E-2</v>
      </c>
      <c r="P2057">
        <v>-0.92036430000000002</v>
      </c>
      <c r="Q2057">
        <v>0.37808760000000002</v>
      </c>
      <c r="R2057">
        <v>-9.9897849999999996E-2</v>
      </c>
      <c r="S2057">
        <v>-3.369415</v>
      </c>
      <c r="T2057">
        <v>-0.32132889999999997</v>
      </c>
      <c r="U2057">
        <v>-0.207428</v>
      </c>
      <c r="V2057">
        <v>-8.6245310000000006E-2</v>
      </c>
      <c r="W2057">
        <v>0.39125290000000001</v>
      </c>
      <c r="X2057">
        <v>0.91623299999999996</v>
      </c>
      <c r="Y2057">
        <v>-4.7168019999999998E-2</v>
      </c>
      <c r="Z2057">
        <v>-1.4363539999999999E-3</v>
      </c>
      <c r="AA2057">
        <v>0.99888589999999999</v>
      </c>
      <c r="AB2057">
        <v>29</v>
      </c>
      <c r="AC2057">
        <v>-11.3711999999999</v>
      </c>
      <c r="AD2057">
        <v>-1.110478778576</v>
      </c>
      <c r="AE2057">
        <v>-0.71369999999996003</v>
      </c>
      <c r="AF2057">
        <v>-0.548096200909438</v>
      </c>
      <c r="AG2057">
        <v>-1.110478778576</v>
      </c>
      <c r="AH2057">
        <v>11.2730441686323</v>
      </c>
      <c r="AI2057">
        <v>95.6193149855185</v>
      </c>
      <c r="AJ2057">
        <v>92.783532871944004</v>
      </c>
      <c r="AK2057">
        <v>11.340859640743799</v>
      </c>
      <c r="AL2057">
        <v>66.967518960670503</v>
      </c>
      <c r="AM2057">
        <v>95.377425437664002</v>
      </c>
      <c r="AN2057">
        <v>0.99999999777220205</v>
      </c>
    </row>
    <row r="2058" spans="1:40" x14ac:dyDescent="0.25">
      <c r="A2058" t="str">
        <f>"20190304164639725"</f>
        <v>20190304164639725</v>
      </c>
      <c r="B2058" t="str">
        <f>"1551689199720806"</f>
        <v>1551689199720806</v>
      </c>
      <c r="C2058" t="s">
        <v>40</v>
      </c>
      <c r="D2058">
        <v>3.9959449999999999</v>
      </c>
      <c r="E2058">
        <v>0.53408610000000001</v>
      </c>
      <c r="F2058" t="s">
        <v>49</v>
      </c>
      <c r="G2058">
        <v>-467.39389999999997</v>
      </c>
      <c r="H2058" s="1">
        <v>2.384317E-6</v>
      </c>
      <c r="I2058">
        <v>284.9264</v>
      </c>
      <c r="J2058">
        <v>-456.2645</v>
      </c>
      <c r="K2058">
        <v>1.110439</v>
      </c>
      <c r="L2058">
        <v>285.6232</v>
      </c>
      <c r="M2058">
        <v>-0.99982420000000005</v>
      </c>
      <c r="N2058">
        <v>-1.415975E-2</v>
      </c>
      <c r="O2058">
        <v>-1.2300149999999999E-2</v>
      </c>
      <c r="P2058">
        <v>-0.92028730000000003</v>
      </c>
      <c r="Q2058">
        <v>0.37914740000000002</v>
      </c>
      <c r="R2058">
        <v>-9.653631E-2</v>
      </c>
      <c r="S2058">
        <v>-3.3691710000000001</v>
      </c>
      <c r="T2058">
        <v>-0.3203744</v>
      </c>
      <c r="U2058">
        <v>-0.2026367</v>
      </c>
      <c r="V2058">
        <v>-8.4508319999999998E-2</v>
      </c>
      <c r="W2058">
        <v>0.39230759999999998</v>
      </c>
      <c r="X2058">
        <v>0.91594379999999997</v>
      </c>
      <c r="Y2058">
        <v>-4.7546459999999999E-2</v>
      </c>
      <c r="Z2058">
        <v>-1.599191E-3</v>
      </c>
      <c r="AA2058">
        <v>0.99886779999999997</v>
      </c>
      <c r="AB2058">
        <v>29</v>
      </c>
      <c r="AC2058">
        <v>-11.129399999999899</v>
      </c>
      <c r="AD2058">
        <v>-1.1104366156829999</v>
      </c>
      <c r="AE2058">
        <v>-0.69679999999999598</v>
      </c>
      <c r="AF2058">
        <v>-0.55434330166627499</v>
      </c>
      <c r="AG2058">
        <v>-1.1104366156829999</v>
      </c>
      <c r="AH2058">
        <v>11.027775939009899</v>
      </c>
      <c r="AI2058">
        <v>95.742787067920503</v>
      </c>
      <c r="AJ2058">
        <v>92.877717129899395</v>
      </c>
      <c r="AK2058">
        <v>11.097396457483001</v>
      </c>
      <c r="AL2058">
        <v>66.901838016860793</v>
      </c>
      <c r="AM2058">
        <v>95.271393941451706</v>
      </c>
      <c r="AN2058">
        <v>0.99999997696271004</v>
      </c>
    </row>
    <row r="2059" spans="1:40" x14ac:dyDescent="0.25">
      <c r="A2059" t="str">
        <f>"20190304164639748"</f>
        <v>20190304164639748</v>
      </c>
      <c r="B2059" t="str">
        <f>"1551689199740326"</f>
        <v>1551689199740326</v>
      </c>
      <c r="C2059" t="s">
        <v>40</v>
      </c>
      <c r="D2059">
        <v>3.965652</v>
      </c>
      <c r="E2059">
        <v>0.53403659999999997</v>
      </c>
      <c r="F2059" t="s">
        <v>49</v>
      </c>
      <c r="G2059">
        <v>-468.04539999999997</v>
      </c>
      <c r="H2059" s="1">
        <v>2.7297450000000001E-6</v>
      </c>
      <c r="I2059">
        <v>284.95600000000002</v>
      </c>
      <c r="J2059">
        <v>-456.54950000000002</v>
      </c>
      <c r="K2059">
        <v>1.110444</v>
      </c>
      <c r="L2059">
        <v>285.6207</v>
      </c>
      <c r="M2059">
        <v>-0.99983540000000004</v>
      </c>
      <c r="N2059">
        <v>-1.415697E-2</v>
      </c>
      <c r="O2059">
        <v>-1.1358160000000001E-2</v>
      </c>
      <c r="P2059">
        <v>-0.91969480000000003</v>
      </c>
      <c r="Q2059">
        <v>0.38100030000000001</v>
      </c>
      <c r="R2059">
        <v>-9.4872129999999999E-2</v>
      </c>
      <c r="S2059">
        <v>-3.3707280000000002</v>
      </c>
      <c r="T2059">
        <v>-0.31771470000000002</v>
      </c>
      <c r="U2059">
        <v>-0.190918</v>
      </c>
      <c r="V2059">
        <v>-8.3714250000000004E-2</v>
      </c>
      <c r="W2059">
        <v>0.39414680000000002</v>
      </c>
      <c r="X2059">
        <v>0.91522689999999995</v>
      </c>
      <c r="Y2059">
        <v>-4.5011889999999999E-2</v>
      </c>
      <c r="Z2059">
        <v>-1.5277890000000001E-3</v>
      </c>
      <c r="AA2059">
        <v>0.99898529999999996</v>
      </c>
      <c r="AB2059">
        <v>29</v>
      </c>
      <c r="AC2059">
        <v>-11.495899999999899</v>
      </c>
      <c r="AD2059">
        <v>-1.1104412702549999</v>
      </c>
      <c r="AE2059">
        <v>-0.66470000000003804</v>
      </c>
      <c r="AF2059">
        <v>-0.529150977303667</v>
      </c>
      <c r="AG2059">
        <v>-1.1104412702549999</v>
      </c>
      <c r="AH2059">
        <v>11.3967259177321</v>
      </c>
      <c r="AI2059">
        <v>95.559103049702401</v>
      </c>
      <c r="AJ2059">
        <v>92.658338890931006</v>
      </c>
      <c r="AK2059">
        <v>11.462915956046</v>
      </c>
      <c r="AL2059">
        <v>66.787227881060701</v>
      </c>
      <c r="AM2059">
        <v>95.226205080866194</v>
      </c>
      <c r="AN2059">
        <v>1.0000000270434499</v>
      </c>
    </row>
    <row r="2060" spans="1:40" x14ac:dyDescent="0.25">
      <c r="A2060" t="str">
        <f>"20190304164639769"</f>
        <v>20190304164639769</v>
      </c>
      <c r="B2060" t="str">
        <f>"1551689199760823"</f>
        <v>1551689199760823</v>
      </c>
      <c r="C2060" t="s">
        <v>40</v>
      </c>
      <c r="D2060">
        <v>3.9888050000000002</v>
      </c>
      <c r="E2060">
        <v>0.53394569999999997</v>
      </c>
      <c r="F2060" t="s">
        <v>49</v>
      </c>
      <c r="G2060">
        <v>-468.52870000000001</v>
      </c>
      <c r="H2060" s="1">
        <v>2.986574E-6</v>
      </c>
      <c r="I2060">
        <v>284.96409999999997</v>
      </c>
      <c r="J2060">
        <v>-456.82749999999999</v>
      </c>
      <c r="K2060">
        <v>1.11046</v>
      </c>
      <c r="L2060">
        <v>285.61849999999998</v>
      </c>
      <c r="M2060">
        <v>-0.99984510000000004</v>
      </c>
      <c r="N2060">
        <v>-1.415421E-2</v>
      </c>
      <c r="O2060">
        <v>-1.046944E-2</v>
      </c>
      <c r="P2060">
        <v>-0.91963589999999995</v>
      </c>
      <c r="Q2060">
        <v>0.38148779999999999</v>
      </c>
      <c r="R2060">
        <v>-9.3472929999999996E-2</v>
      </c>
      <c r="S2060">
        <v>-3.3723749999999999</v>
      </c>
      <c r="T2060">
        <v>-0.31260880000000002</v>
      </c>
      <c r="U2060">
        <v>-0.18484500000000001</v>
      </c>
      <c r="V2060">
        <v>-8.314531E-2</v>
      </c>
      <c r="W2060">
        <v>0.39462619999999998</v>
      </c>
      <c r="X2060">
        <v>0.91507210000000005</v>
      </c>
      <c r="Y2060">
        <v>-4.4086300000000002E-2</v>
      </c>
      <c r="Z2060">
        <v>-1.530687E-3</v>
      </c>
      <c r="AA2060">
        <v>0.99902650000000004</v>
      </c>
      <c r="AB2060">
        <v>29</v>
      </c>
      <c r="AC2060">
        <v>-11.7012</v>
      </c>
      <c r="AD2060">
        <v>-1.1104570134259999</v>
      </c>
      <c r="AE2060">
        <v>-0.65440000000000897</v>
      </c>
      <c r="AF2060">
        <v>-0.52711434634595999</v>
      </c>
      <c r="AG2060">
        <v>-1.1104570134259999</v>
      </c>
      <c r="AH2060">
        <v>11.603234970087099</v>
      </c>
      <c r="AI2060">
        <v>95.461094303823799</v>
      </c>
      <c r="AJ2060">
        <v>92.601057147744498</v>
      </c>
      <c r="AK2060">
        <v>11.668162926692601</v>
      </c>
      <c r="AL2060">
        <v>66.757335965434706</v>
      </c>
      <c r="AM2060">
        <v>95.191754693281794</v>
      </c>
      <c r="AN2060">
        <v>0.99999996424992199</v>
      </c>
    </row>
    <row r="2061" spans="1:40" x14ac:dyDescent="0.25">
      <c r="A2061" t="str">
        <f>"20190304164639792"</f>
        <v>20190304164639792</v>
      </c>
      <c r="B2061" t="str">
        <f>"1551689199780342"</f>
        <v>1551689199780342</v>
      </c>
      <c r="C2061" t="s">
        <v>40</v>
      </c>
      <c r="D2061">
        <v>4.0271910000000002</v>
      </c>
      <c r="E2061">
        <v>0.53392209999999996</v>
      </c>
      <c r="F2061" t="s">
        <v>49</v>
      </c>
      <c r="G2061">
        <v>-468.82799999999997</v>
      </c>
      <c r="H2061" s="1">
        <v>3.1452239999999998E-6</v>
      </c>
      <c r="I2061">
        <v>284.9785</v>
      </c>
      <c r="J2061">
        <v>-457.1123</v>
      </c>
      <c r="K2061">
        <v>1.1105020000000001</v>
      </c>
      <c r="L2061">
        <v>285.61649999999997</v>
      </c>
      <c r="M2061">
        <v>-0.99985360000000001</v>
      </c>
      <c r="N2061">
        <v>-1.415112E-2</v>
      </c>
      <c r="O2061">
        <v>-9.6297459999999998E-3</v>
      </c>
      <c r="P2061">
        <v>-0.92014379999999996</v>
      </c>
      <c r="Q2061">
        <v>0.38049159999999999</v>
      </c>
      <c r="R2061">
        <v>-9.2529920000000002E-2</v>
      </c>
      <c r="S2061">
        <v>-3.3733520000000001</v>
      </c>
      <c r="T2061">
        <v>-0.31214809999999998</v>
      </c>
      <c r="U2061">
        <v>-0.17990110000000001</v>
      </c>
      <c r="V2061">
        <v>-8.3009979999999997E-2</v>
      </c>
      <c r="W2061">
        <v>0.3936248</v>
      </c>
      <c r="X2061">
        <v>0.91551570000000004</v>
      </c>
      <c r="Y2061">
        <v>-4.345073E-2</v>
      </c>
      <c r="Z2061">
        <v>-1.560517E-3</v>
      </c>
      <c r="AA2061">
        <v>0.99905440000000001</v>
      </c>
      <c r="AB2061">
        <v>29</v>
      </c>
      <c r="AC2061">
        <v>-11.7157</v>
      </c>
      <c r="AD2061">
        <v>-1.110498854776</v>
      </c>
      <c r="AE2061">
        <v>-0.63799999999997603</v>
      </c>
      <c r="AF2061">
        <v>-0.52047744479134295</v>
      </c>
      <c r="AG2061">
        <v>-1.110498854776</v>
      </c>
      <c r="AH2061">
        <v>11.6172332453152</v>
      </c>
      <c r="AI2061">
        <v>95.454910735967999</v>
      </c>
      <c r="AJ2061">
        <v>92.565260728020206</v>
      </c>
      <c r="AK2061">
        <v>11.6817897923671</v>
      </c>
      <c r="AL2061">
        <v>66.819767754748995</v>
      </c>
      <c r="AM2061">
        <v>95.180852645445398</v>
      </c>
      <c r="AN2061">
        <v>1.0000000684505601</v>
      </c>
    </row>
    <row r="2062" spans="1:40" x14ac:dyDescent="0.25">
      <c r="A2062" t="str">
        <f>"20190304164639815"</f>
        <v>20190304164639815</v>
      </c>
      <c r="B2062" t="str">
        <f>"1551689199810599"</f>
        <v>1551689199810599</v>
      </c>
      <c r="C2062" t="s">
        <v>40</v>
      </c>
      <c r="D2062">
        <v>4.0253019999999999</v>
      </c>
      <c r="E2062">
        <v>0.53379750000000004</v>
      </c>
      <c r="F2062" t="s">
        <v>49</v>
      </c>
      <c r="G2062">
        <v>-468.9008</v>
      </c>
      <c r="H2062" s="1">
        <v>3.1828720000000001E-6</v>
      </c>
      <c r="I2062">
        <v>285.0027</v>
      </c>
      <c r="J2062">
        <v>-457.40339999999998</v>
      </c>
      <c r="K2062">
        <v>1.1105670000000001</v>
      </c>
      <c r="L2062">
        <v>285.6146</v>
      </c>
      <c r="M2062">
        <v>-0.99986050000000004</v>
      </c>
      <c r="N2062">
        <v>-1.414761E-2</v>
      </c>
      <c r="O2062">
        <v>-8.8863060000000001E-3</v>
      </c>
      <c r="P2062">
        <v>-0.92052330000000004</v>
      </c>
      <c r="Q2062">
        <v>0.37973370000000001</v>
      </c>
      <c r="R2062">
        <v>-9.1867119999999997E-2</v>
      </c>
      <c r="S2062">
        <v>-3.3740839999999999</v>
      </c>
      <c r="T2062">
        <v>-0.31784580000000001</v>
      </c>
      <c r="U2062">
        <v>-0.1756897</v>
      </c>
      <c r="V2062">
        <v>-8.3100010000000002E-2</v>
      </c>
      <c r="W2062">
        <v>0.39285360000000003</v>
      </c>
      <c r="X2062">
        <v>0.91583870000000001</v>
      </c>
      <c r="Y2062">
        <v>-4.2932789999999998E-2</v>
      </c>
      <c r="Z2062">
        <v>-1.611819E-3</v>
      </c>
      <c r="AA2062">
        <v>0.99907670000000004</v>
      </c>
      <c r="AB2062">
        <v>29</v>
      </c>
      <c r="AC2062">
        <v>-11.497400000000001</v>
      </c>
      <c r="AD2062">
        <v>-1.1105638171279999</v>
      </c>
      <c r="AE2062">
        <v>-0.61189999999999101</v>
      </c>
      <c r="AF2062">
        <v>-0.50499781311288106</v>
      </c>
      <c r="AG2062">
        <v>-1.1105638171279999</v>
      </c>
      <c r="AH2062">
        <v>11.3963548545936</v>
      </c>
      <c r="AI2062">
        <v>95.560422426555704</v>
      </c>
      <c r="AJ2062">
        <v>92.537243516654399</v>
      </c>
      <c r="AK2062">
        <v>11.461469310476</v>
      </c>
      <c r="AL2062">
        <v>66.867825404860199</v>
      </c>
      <c r="AM2062">
        <v>95.184621811735795</v>
      </c>
      <c r="AN2062">
        <v>1.0000000435563201</v>
      </c>
    </row>
    <row r="2063" spans="1:40" x14ac:dyDescent="0.25">
      <c r="A2063" t="str">
        <f>"20190304164639839"</f>
        <v>20190304164639839</v>
      </c>
      <c r="B2063" t="str">
        <f>"1551689199830626"</f>
        <v>1551689199830626</v>
      </c>
      <c r="C2063" t="s">
        <v>40</v>
      </c>
      <c r="D2063">
        <v>4.040889</v>
      </c>
      <c r="E2063">
        <v>0.53373899999999996</v>
      </c>
      <c r="F2063" t="s">
        <v>41</v>
      </c>
      <c r="G2063">
        <v>-458.38170000000002</v>
      </c>
      <c r="H2063">
        <v>1.016937</v>
      </c>
      <c r="I2063">
        <v>285.56450000000001</v>
      </c>
      <c r="J2063">
        <v>-457.71350000000001</v>
      </c>
      <c r="K2063">
        <v>1.1106799999999999</v>
      </c>
      <c r="L2063">
        <v>285.61259999999999</v>
      </c>
      <c r="M2063">
        <v>-0.99986580000000003</v>
      </c>
      <c r="N2063">
        <v>-1.414376E-2</v>
      </c>
      <c r="O2063">
        <v>-8.2745500000000003E-3</v>
      </c>
      <c r="P2063">
        <v>-0.92074750000000005</v>
      </c>
      <c r="Q2063">
        <v>0.37909690000000001</v>
      </c>
      <c r="R2063">
        <v>-9.2249709999999999E-2</v>
      </c>
      <c r="S2063">
        <v>-3.3749690000000001</v>
      </c>
      <c r="T2063">
        <v>-0.32302829999999999</v>
      </c>
      <c r="U2063">
        <v>-0.1730652</v>
      </c>
      <c r="V2063">
        <v>-8.4156830000000002E-2</v>
      </c>
      <c r="W2063">
        <v>0.39219320000000002</v>
      </c>
      <c r="X2063">
        <v>0.91602519999999998</v>
      </c>
      <c r="Y2063">
        <v>-4.2749040000000002E-2</v>
      </c>
      <c r="Z2063">
        <v>-1.670274E-3</v>
      </c>
      <c r="AA2063">
        <v>0.99908450000000004</v>
      </c>
      <c r="AB2063">
        <v>28</v>
      </c>
      <c r="AC2063">
        <v>-0.66820000000001301</v>
      </c>
      <c r="AD2063">
        <v>-9.3742999999999896E-2</v>
      </c>
      <c r="AE2063">
        <v>-4.8099999999976703E-2</v>
      </c>
      <c r="AF2063">
        <v>-4.1751242538729097E-2</v>
      </c>
      <c r="AG2063">
        <v>-9.3742999999999896E-2</v>
      </c>
      <c r="AH2063">
        <v>0.65573564086505598</v>
      </c>
      <c r="AI2063">
        <v>98.1195731343321</v>
      </c>
      <c r="AJ2063">
        <v>93.643152938345594</v>
      </c>
      <c r="AK2063">
        <v>0.66371691782207398</v>
      </c>
      <c r="AL2063">
        <v>66.908964833601104</v>
      </c>
      <c r="AM2063">
        <v>95.249127838911207</v>
      </c>
      <c r="AN2063">
        <v>1.00000002259846</v>
      </c>
    </row>
    <row r="2064" spans="1:40" x14ac:dyDescent="0.25">
      <c r="A2064" t="str">
        <f>"20190304164639858"</f>
        <v>20190304164639858</v>
      </c>
      <c r="B2064" t="str">
        <f>"1551689199850146"</f>
        <v>1551689199850146</v>
      </c>
      <c r="C2064" t="s">
        <v>40</v>
      </c>
      <c r="D2064">
        <v>4.027399</v>
      </c>
      <c r="E2064">
        <v>0.53365339999999994</v>
      </c>
      <c r="F2064" t="s">
        <v>49</v>
      </c>
      <c r="G2064">
        <v>-469.17439999999999</v>
      </c>
      <c r="H2064" s="1">
        <v>3.3275919999999999E-6</v>
      </c>
      <c r="I2064">
        <v>285.02260000000001</v>
      </c>
      <c r="J2064">
        <v>-457.96530000000001</v>
      </c>
      <c r="K2064">
        <v>1.1107880000000001</v>
      </c>
      <c r="L2064">
        <v>285.61099999999999</v>
      </c>
      <c r="M2064">
        <v>-0.99986889999999995</v>
      </c>
      <c r="N2064">
        <v>-1.4140689999999999E-2</v>
      </c>
      <c r="O2064">
        <v>-7.8907339999999999E-3</v>
      </c>
      <c r="P2064">
        <v>-0.92080130000000004</v>
      </c>
      <c r="Q2064">
        <v>0.37915490000000002</v>
      </c>
      <c r="R2064">
        <v>-9.1468869999999994E-2</v>
      </c>
      <c r="S2064">
        <v>-3.3755190000000002</v>
      </c>
      <c r="T2064">
        <v>-0.32712289999999999</v>
      </c>
      <c r="U2064">
        <v>-0.17376710000000001</v>
      </c>
      <c r="V2064">
        <v>-8.3824360000000001E-2</v>
      </c>
      <c r="W2064">
        <v>0.39222820000000003</v>
      </c>
      <c r="X2064">
        <v>0.91604070000000004</v>
      </c>
      <c r="Y2064">
        <v>-4.3322600000000003E-2</v>
      </c>
      <c r="Z2064">
        <v>-1.749202E-3</v>
      </c>
      <c r="AA2064">
        <v>0.99905960000000005</v>
      </c>
      <c r="AB2064">
        <v>28</v>
      </c>
      <c r="AC2064">
        <v>-11.2090999999999</v>
      </c>
      <c r="AD2064">
        <v>-1.1107846724079999</v>
      </c>
      <c r="AE2064">
        <v>-0.58839999999997805</v>
      </c>
      <c r="AF2064">
        <v>-0.49507644224613701</v>
      </c>
      <c r="AG2064">
        <v>-1.1107846724079999</v>
      </c>
      <c r="AH2064">
        <v>11.1046446853339</v>
      </c>
      <c r="AI2064">
        <v>95.706597892083494</v>
      </c>
      <c r="AJ2064">
        <v>92.552717381881607</v>
      </c>
      <c r="AK2064">
        <v>11.1710374119702</v>
      </c>
      <c r="AL2064">
        <v>66.906784845115496</v>
      </c>
      <c r="AM2064">
        <v>95.228417812508198</v>
      </c>
      <c r="AN2064">
        <v>1.00000002413056</v>
      </c>
    </row>
    <row r="2065" spans="1:40" x14ac:dyDescent="0.25">
      <c r="A2065" t="str">
        <f>"20190304164639881"</f>
        <v>20190304164639881</v>
      </c>
      <c r="B2065" t="str">
        <f>"1551689199870644"</f>
        <v>1551689199870644</v>
      </c>
      <c r="C2065" t="s">
        <v>40</v>
      </c>
      <c r="D2065">
        <v>4.0371059999999996</v>
      </c>
      <c r="E2065">
        <v>0.53357790000000005</v>
      </c>
      <c r="F2065" t="s">
        <v>41</v>
      </c>
      <c r="G2065">
        <v>-458.89760000000001</v>
      </c>
      <c r="H2065">
        <v>1.020157</v>
      </c>
      <c r="I2065">
        <v>285.56380000000001</v>
      </c>
      <c r="J2065">
        <v>-458.25209999999998</v>
      </c>
      <c r="K2065">
        <v>1.110897</v>
      </c>
      <c r="L2065">
        <v>285.60910000000001</v>
      </c>
      <c r="M2065">
        <v>-0.99987130000000002</v>
      </c>
      <c r="N2065">
        <v>-1.413729E-2</v>
      </c>
      <c r="O2065">
        <v>-7.6061319999999998E-3</v>
      </c>
      <c r="P2065">
        <v>-0.92064919999999995</v>
      </c>
      <c r="Q2065">
        <v>0.3797818</v>
      </c>
      <c r="R2065">
        <v>-9.0393979999999999E-2</v>
      </c>
      <c r="S2065">
        <v>-3.3762509999999999</v>
      </c>
      <c r="T2065">
        <v>-0.32841599999999999</v>
      </c>
      <c r="U2065">
        <v>-0.17150879999999999</v>
      </c>
      <c r="V2065">
        <v>-8.3122970000000004E-2</v>
      </c>
      <c r="W2065">
        <v>0.39282509999999998</v>
      </c>
      <c r="X2065">
        <v>0.91584880000000002</v>
      </c>
      <c r="Y2065">
        <v>-4.2929090000000003E-2</v>
      </c>
      <c r="Z2065">
        <v>-1.755782E-3</v>
      </c>
      <c r="AA2065">
        <v>0.99907659999999998</v>
      </c>
      <c r="AB2065">
        <v>28</v>
      </c>
      <c r="AC2065">
        <v>-0.64550000000002605</v>
      </c>
      <c r="AD2065">
        <v>-9.0740000000000001E-2</v>
      </c>
      <c r="AE2065">
        <v>-4.5299999999997398E-2</v>
      </c>
      <c r="AF2065">
        <v>-3.9609559663981199E-2</v>
      </c>
      <c r="AG2065">
        <v>-9.0740000000000001E-2</v>
      </c>
      <c r="AH2065">
        <v>0.63337131533175495</v>
      </c>
      <c r="AI2065">
        <v>98.137324031866697</v>
      </c>
      <c r="AJ2065">
        <v>93.5784837053112</v>
      </c>
      <c r="AK2065">
        <v>0.64106309198225797</v>
      </c>
      <c r="AL2065">
        <v>66.869600164966798</v>
      </c>
      <c r="AM2065">
        <v>95.18598959949</v>
      </c>
      <c r="AN2065">
        <v>1.0000000058965299</v>
      </c>
    </row>
    <row r="2066" spans="1:40" x14ac:dyDescent="0.25">
      <c r="A2066" t="str">
        <f>"20190304164639906"</f>
        <v>20190304164639906</v>
      </c>
      <c r="B2066" t="str">
        <f>"1551689199900898"</f>
        <v>1551689199900898</v>
      </c>
      <c r="C2066" t="s">
        <v>40</v>
      </c>
      <c r="D2066">
        <v>4.0595860000000004</v>
      </c>
      <c r="E2066">
        <v>0.53343200000000002</v>
      </c>
      <c r="F2066" t="s">
        <v>49</v>
      </c>
      <c r="G2066">
        <v>-469.72829999999999</v>
      </c>
      <c r="H2066" s="1">
        <v>3.6217099999999998E-6</v>
      </c>
      <c r="I2066">
        <v>285.03750000000002</v>
      </c>
      <c r="J2066">
        <v>-458.5727</v>
      </c>
      <c r="K2066">
        <v>1.1110249999999999</v>
      </c>
      <c r="L2066">
        <v>285.6069</v>
      </c>
      <c r="M2066">
        <v>-0.99987210000000004</v>
      </c>
      <c r="N2066">
        <v>-1.413353E-2</v>
      </c>
      <c r="O2066">
        <v>-7.4824509999999898E-3</v>
      </c>
      <c r="P2066">
        <v>-0.92082260000000005</v>
      </c>
      <c r="Q2066">
        <v>0.3795424</v>
      </c>
      <c r="R2066">
        <v>-8.9629589999999995E-2</v>
      </c>
      <c r="S2066">
        <v>-3.376862</v>
      </c>
      <c r="T2066">
        <v>-0.32688070000000002</v>
      </c>
      <c r="U2066">
        <v>-0.16818239999999901</v>
      </c>
      <c r="V2066">
        <v>-8.2592550000000001E-2</v>
      </c>
      <c r="W2066">
        <v>0.39255800000000002</v>
      </c>
      <c r="X2066">
        <v>0.91601129999999997</v>
      </c>
      <c r="Y2066">
        <v>-4.2067830000000001E-2</v>
      </c>
      <c r="Z2066">
        <v>-1.711724E-3</v>
      </c>
      <c r="AA2066">
        <v>0.99911329999999998</v>
      </c>
      <c r="AB2066">
        <v>28</v>
      </c>
      <c r="AC2066">
        <v>-11.1555999999999</v>
      </c>
      <c r="AD2066">
        <v>-1.11102137829</v>
      </c>
      <c r="AE2066">
        <v>-0.56939999999997304</v>
      </c>
      <c r="AF2066">
        <v>-0.48114451338412301</v>
      </c>
      <c r="AG2066">
        <v>-1.11102137829</v>
      </c>
      <c r="AH2066">
        <v>11.0502284249075</v>
      </c>
      <c r="AI2066">
        <v>95.735987650890493</v>
      </c>
      <c r="AJ2066">
        <v>92.493174546858597</v>
      </c>
      <c r="AK2066">
        <v>11.1163580721571</v>
      </c>
      <c r="AL2066">
        <v>66.886240620914506</v>
      </c>
      <c r="AM2066">
        <v>95.152166530673597</v>
      </c>
      <c r="AN2066">
        <v>1.0000000072035899</v>
      </c>
    </row>
    <row r="2067" spans="1:40" x14ac:dyDescent="0.25">
      <c r="A2067" t="str">
        <f>"20190304164639928"</f>
        <v>20190304164639928</v>
      </c>
      <c r="B2067" t="str">
        <f>"1551689199919949"</f>
        <v>1551689199919949</v>
      </c>
      <c r="C2067" t="s">
        <v>40</v>
      </c>
      <c r="D2067">
        <v>4.0461850000000004</v>
      </c>
      <c r="E2067">
        <v>0.53334950000000003</v>
      </c>
      <c r="F2067" t="s">
        <v>45</v>
      </c>
      <c r="G2067">
        <v>-469.99709999999999</v>
      </c>
      <c r="H2067" s="1">
        <v>6.653044E-6</v>
      </c>
      <c r="I2067">
        <v>285.04719999999998</v>
      </c>
      <c r="J2067">
        <v>-458.85</v>
      </c>
      <c r="K2067">
        <v>1.1111409999999999</v>
      </c>
      <c r="L2067">
        <v>285.60489999999999</v>
      </c>
      <c r="M2067">
        <v>-0.99987170000000003</v>
      </c>
      <c r="N2067">
        <v>-1.4130190000000001E-2</v>
      </c>
      <c r="O2067">
        <v>-7.5510119999999898E-3</v>
      </c>
      <c r="P2067">
        <v>-0.92118160000000004</v>
      </c>
      <c r="Q2067">
        <v>0.37871270000000001</v>
      </c>
      <c r="R2067">
        <v>-8.945003E-2</v>
      </c>
      <c r="S2067">
        <v>-3.3772579999999999</v>
      </c>
      <c r="T2067">
        <v>-0.32843640000000002</v>
      </c>
      <c r="U2067">
        <v>-0.16546629999999901</v>
      </c>
      <c r="V2067">
        <v>-8.2457299999999997E-2</v>
      </c>
      <c r="W2067">
        <v>0.39170749999999999</v>
      </c>
      <c r="X2067">
        <v>0.91638750000000002</v>
      </c>
      <c r="Y2067">
        <v>-4.119519E-2</v>
      </c>
      <c r="Z2067">
        <v>-1.6635230000000001E-3</v>
      </c>
      <c r="AA2067">
        <v>0.99914970000000003</v>
      </c>
      <c r="AB2067">
        <v>28</v>
      </c>
      <c r="AC2067">
        <v>-11.147099999999901</v>
      </c>
      <c r="AD2067">
        <v>-1.111134346956</v>
      </c>
      <c r="AE2067">
        <v>-0.55770000000001096</v>
      </c>
      <c r="AF2067">
        <v>-0.46885690454801399</v>
      </c>
      <c r="AG2067">
        <v>-1.111134346956</v>
      </c>
      <c r="AH2067">
        <v>11.0415593156465</v>
      </c>
      <c r="AI2067">
        <v>95.741304935677306</v>
      </c>
      <c r="AJ2067">
        <v>92.431485683476495</v>
      </c>
      <c r="AK2067">
        <v>11.107226406932901</v>
      </c>
      <c r="AL2067">
        <v>66.939213433865305</v>
      </c>
      <c r="AM2067">
        <v>95.141674534190201</v>
      </c>
      <c r="AN2067">
        <v>1.0000000110178899</v>
      </c>
    </row>
    <row r="2068" spans="1:40" x14ac:dyDescent="0.25">
      <c r="A2068" t="str">
        <f>"20190304164639948"</f>
        <v>20190304164639948</v>
      </c>
      <c r="B2068" t="str">
        <f>"1551689199940445"</f>
        <v>1551689199940445</v>
      </c>
      <c r="C2068" t="s">
        <v>40</v>
      </c>
      <c r="D2068">
        <v>4.0699909999999999</v>
      </c>
      <c r="E2068">
        <v>0.53323549999999997</v>
      </c>
      <c r="F2068" t="s">
        <v>45</v>
      </c>
      <c r="G2068">
        <v>-470.154</v>
      </c>
      <c r="H2068" s="1">
        <v>6.5852199999999896E-6</v>
      </c>
      <c r="I2068">
        <v>285.0668</v>
      </c>
      <c r="J2068">
        <v>-459.09679999999997</v>
      </c>
      <c r="K2068">
        <v>1.1112500000000001</v>
      </c>
      <c r="L2068">
        <v>285.60289999999998</v>
      </c>
      <c r="M2068">
        <v>-0.99987020000000004</v>
      </c>
      <c r="N2068">
        <v>-1.412745E-2</v>
      </c>
      <c r="O2068">
        <v>-7.7535159999999898E-3</v>
      </c>
      <c r="P2068">
        <v>-0.92180899999999999</v>
      </c>
      <c r="Q2068">
        <v>0.37716230000000001</v>
      </c>
      <c r="R2068">
        <v>-8.9539160000000007E-2</v>
      </c>
      <c r="S2068">
        <v>-3.3775940000000002</v>
      </c>
      <c r="T2068">
        <v>-0.3320053</v>
      </c>
      <c r="U2068">
        <v>-0.16076660000000001</v>
      </c>
      <c r="V2068">
        <v>-8.2459599999999994E-2</v>
      </c>
      <c r="W2068">
        <v>0.39014189999999999</v>
      </c>
      <c r="X2068">
        <v>0.91705490000000001</v>
      </c>
      <c r="Y2068">
        <v>-3.9606530000000001E-2</v>
      </c>
      <c r="Z2068">
        <v>-1.570948E-3</v>
      </c>
      <c r="AA2068">
        <v>0.99921409999999999</v>
      </c>
      <c r="AB2068">
        <v>28</v>
      </c>
      <c r="AC2068">
        <v>-11.0572</v>
      </c>
      <c r="AD2068">
        <v>-1.1112434147799899</v>
      </c>
      <c r="AE2068">
        <v>-0.53609999999997604</v>
      </c>
      <c r="AF2068">
        <v>-0.445850554266498</v>
      </c>
      <c r="AG2068">
        <v>-1.1112434147799899</v>
      </c>
      <c r="AH2068">
        <v>10.9506804508213</v>
      </c>
      <c r="AI2068">
        <v>95.789611101478798</v>
      </c>
      <c r="AJ2068">
        <v>92.331476476556404</v>
      </c>
      <c r="AK2068">
        <v>11.0159451242111</v>
      </c>
      <c r="AL2068">
        <v>67.036670604994598</v>
      </c>
      <c r="AM2068">
        <v>95.138095188336493</v>
      </c>
      <c r="AN2068">
        <v>0.99999998869088902</v>
      </c>
    </row>
    <row r="2069" spans="1:40" x14ac:dyDescent="0.25">
      <c r="A2069" t="str">
        <f>"20190304164639969"</f>
        <v>20190304164639969</v>
      </c>
      <c r="B2069" t="str">
        <f>"1551689199959964"</f>
        <v>1551689199959964</v>
      </c>
      <c r="C2069" t="s">
        <v>40</v>
      </c>
      <c r="D2069">
        <v>4.0712519999999897</v>
      </c>
      <c r="E2069">
        <v>0.53312559999999998</v>
      </c>
      <c r="F2069" t="s">
        <v>45</v>
      </c>
      <c r="G2069">
        <v>-470.18049999999999</v>
      </c>
      <c r="H2069" s="1">
        <v>6.5748579999999996E-6</v>
      </c>
      <c r="I2069">
        <v>285.0829</v>
      </c>
      <c r="J2069">
        <v>-459.37419999999997</v>
      </c>
      <c r="K2069">
        <v>1.11138</v>
      </c>
      <c r="L2069">
        <v>285.60050000000001</v>
      </c>
      <c r="M2069">
        <v>-0.99986730000000001</v>
      </c>
      <c r="N2069">
        <v>-1.4124940000000001E-2</v>
      </c>
      <c r="O2069">
        <v>-8.1231380000000002E-3</v>
      </c>
      <c r="P2069">
        <v>-0.92200369999999998</v>
      </c>
      <c r="Q2069">
        <v>0.3766063</v>
      </c>
      <c r="R2069">
        <v>-8.9870809999999995E-2</v>
      </c>
      <c r="S2069">
        <v>-3.3776250000000001</v>
      </c>
      <c r="T2069">
        <v>-0.33863690000000002</v>
      </c>
      <c r="U2069">
        <v>-0.15844730000000001</v>
      </c>
      <c r="V2069">
        <v>-8.2569989999999996E-2</v>
      </c>
      <c r="W2069">
        <v>0.38956099999999999</v>
      </c>
      <c r="X2069">
        <v>0.91729190000000005</v>
      </c>
      <c r="Y2069">
        <v>-3.8552540000000003E-2</v>
      </c>
      <c r="Z2069">
        <v>-1.502499E-3</v>
      </c>
      <c r="AA2069">
        <v>0.99925540000000002</v>
      </c>
      <c r="AB2069">
        <v>28</v>
      </c>
      <c r="AC2069">
        <v>-10.8063</v>
      </c>
      <c r="AD2069">
        <v>-1.111373425142</v>
      </c>
      <c r="AE2069">
        <v>-0.51760000000001505</v>
      </c>
      <c r="AF2069">
        <v>-0.42530491105913598</v>
      </c>
      <c r="AG2069">
        <v>-1.111373425142</v>
      </c>
      <c r="AH2069">
        <v>10.6972614973731</v>
      </c>
      <c r="AI2069">
        <v>95.926716985457105</v>
      </c>
      <c r="AJ2069">
        <v>92.276783530700001</v>
      </c>
      <c r="AK2069">
        <v>10.7632448035276</v>
      </c>
      <c r="AL2069">
        <v>67.072813769621206</v>
      </c>
      <c r="AM2069">
        <v>95.143614586087097</v>
      </c>
      <c r="AN2069">
        <v>1.0000000028875999</v>
      </c>
    </row>
    <row r="2070" spans="1:40" x14ac:dyDescent="0.25">
      <c r="A2070" t="str">
        <f>"20190304164639999"</f>
        <v>20190304164639999</v>
      </c>
      <c r="B2070" t="str">
        <f>"1551689199990221"</f>
        <v>1551689199990221</v>
      </c>
      <c r="C2070" t="s">
        <v>40</v>
      </c>
      <c r="D2070">
        <v>4.1174520000000001</v>
      </c>
      <c r="E2070">
        <v>0.53291709999999903</v>
      </c>
      <c r="F2070" t="s">
        <v>45</v>
      </c>
      <c r="G2070">
        <v>-470.3689</v>
      </c>
      <c r="H2070" s="1">
        <v>6.4911870000000001E-6</v>
      </c>
      <c r="I2070">
        <v>285.08159999999998</v>
      </c>
      <c r="J2070">
        <v>-459.73489999999998</v>
      </c>
      <c r="K2070">
        <v>1.1115330000000001</v>
      </c>
      <c r="L2070">
        <v>285.59679999999997</v>
      </c>
      <c r="M2070">
        <v>-0.99986149999999996</v>
      </c>
      <c r="N2070">
        <v>-1.4122060000000001E-2</v>
      </c>
      <c r="O2070">
        <v>-8.8074069999999997E-3</v>
      </c>
      <c r="P2070">
        <v>-0.92198749999999996</v>
      </c>
      <c r="Q2070">
        <v>0.37624150000000001</v>
      </c>
      <c r="R2070">
        <v>-9.1549409999999998E-2</v>
      </c>
      <c r="S2070">
        <v>-3.3777159999999999</v>
      </c>
      <c r="T2070">
        <v>-0.34142800000000001</v>
      </c>
      <c r="U2070">
        <v>-0.15939329999999999</v>
      </c>
      <c r="V2070">
        <v>-8.3764480000000002E-2</v>
      </c>
      <c r="W2070">
        <v>0.38916220000000001</v>
      </c>
      <c r="X2070">
        <v>0.91735290000000003</v>
      </c>
      <c r="Y2070">
        <v>-3.8148790000000002E-2</v>
      </c>
      <c r="Z2070">
        <v>-1.429023E-3</v>
      </c>
      <c r="AA2070">
        <v>0.99927100000000002</v>
      </c>
      <c r="AB2070">
        <v>28</v>
      </c>
      <c r="AC2070">
        <v>-10.634</v>
      </c>
      <c r="AD2070">
        <v>-1.111526508813</v>
      </c>
      <c r="AE2070">
        <v>-0.515199999999993</v>
      </c>
      <c r="AF2070">
        <v>-0.41696774232825401</v>
      </c>
      <c r="AG2070">
        <v>-1.111526508813</v>
      </c>
      <c r="AH2070">
        <v>10.523419787966001</v>
      </c>
      <c r="AI2070">
        <v>96.024765064033801</v>
      </c>
      <c r="AJ2070">
        <v>92.269034366036394</v>
      </c>
      <c r="AK2070">
        <v>10.5901707876545</v>
      </c>
      <c r="AL2070">
        <v>67.097621513870706</v>
      </c>
      <c r="AM2070">
        <v>95.217271317495999</v>
      </c>
      <c r="AN2070">
        <v>1.0000000245784599</v>
      </c>
    </row>
    <row r="2071" spans="1:40" x14ac:dyDescent="0.25">
      <c r="A2071" t="str">
        <f>"20190304164640016"</f>
        <v>20190304164640016</v>
      </c>
      <c r="B2071" t="str">
        <f>"1551689200010717"</f>
        <v>1551689200010717</v>
      </c>
      <c r="C2071" t="s">
        <v>40</v>
      </c>
      <c r="D2071">
        <v>4.1283560000000001</v>
      </c>
      <c r="E2071">
        <v>0.53280959999999999</v>
      </c>
      <c r="F2071" t="s">
        <v>41</v>
      </c>
      <c r="G2071">
        <v>-460.65190000000001</v>
      </c>
      <c r="H2071">
        <v>1.0182070000000001</v>
      </c>
      <c r="I2071">
        <v>285.55200000000002</v>
      </c>
      <c r="J2071">
        <v>-459.94880000000001</v>
      </c>
      <c r="K2071">
        <v>1.1116109999999999</v>
      </c>
      <c r="L2071">
        <v>285.59449999999998</v>
      </c>
      <c r="M2071">
        <v>-0.9998572</v>
      </c>
      <c r="N2071">
        <v>-1.4120260000000001E-2</v>
      </c>
      <c r="O2071">
        <v>-9.2992270000000002E-3</v>
      </c>
      <c r="P2071">
        <v>-0.9219562</v>
      </c>
      <c r="Q2071">
        <v>0.37562590000000001</v>
      </c>
      <c r="R2071">
        <v>-9.4351450000000003E-2</v>
      </c>
      <c r="S2071">
        <v>-3.3776250000000001</v>
      </c>
      <c r="T2071">
        <v>-0.34393249999999997</v>
      </c>
      <c r="U2071">
        <v>-0.166290299999999</v>
      </c>
      <c r="V2071">
        <v>-8.6185479999999995E-2</v>
      </c>
      <c r="W2071">
        <v>0.38852740000000002</v>
      </c>
      <c r="X2071">
        <v>0.91739769999999998</v>
      </c>
      <c r="Y2071">
        <v>-3.9684619999999997E-2</v>
      </c>
      <c r="Z2071">
        <v>-1.4823569999999999E-3</v>
      </c>
      <c r="AA2071">
        <v>0.99921110000000002</v>
      </c>
      <c r="AB2071">
        <v>28</v>
      </c>
      <c r="AC2071">
        <v>-0.70310000000000605</v>
      </c>
      <c r="AD2071">
        <v>-9.3404000000000195E-2</v>
      </c>
      <c r="AE2071">
        <v>-4.2499999999961298E-2</v>
      </c>
      <c r="AF2071">
        <v>-3.5337850659933299E-2</v>
      </c>
      <c r="AG2071">
        <v>-9.3404000000000195E-2</v>
      </c>
      <c r="AH2071">
        <v>0.69130900744134505</v>
      </c>
      <c r="AI2071">
        <v>97.684824879179502</v>
      </c>
      <c r="AJ2071">
        <v>92.926258634186198</v>
      </c>
      <c r="AK2071">
        <v>0.69848494233934699</v>
      </c>
      <c r="AL2071">
        <v>67.137099294311</v>
      </c>
      <c r="AM2071">
        <v>95.366934417042799</v>
      </c>
      <c r="AN2071">
        <v>1.0000000087394401</v>
      </c>
    </row>
    <row r="2072" spans="1:40" x14ac:dyDescent="0.25">
      <c r="A2072" t="str">
        <f>"20190304164640037"</f>
        <v>20190304164640037</v>
      </c>
      <c r="B2072" t="str">
        <f>"1551689200030743"</f>
        <v>1551689200030743</v>
      </c>
      <c r="C2072" t="s">
        <v>40</v>
      </c>
      <c r="D2072">
        <v>4.1194240000000004</v>
      </c>
      <c r="E2072">
        <v>0.53264669999999903</v>
      </c>
      <c r="F2072" t="s">
        <v>41</v>
      </c>
      <c r="G2072">
        <v>-460.9</v>
      </c>
      <c r="H2072">
        <v>1.013925</v>
      </c>
      <c r="I2072">
        <v>285.54579999999999</v>
      </c>
      <c r="J2072">
        <v>-460.22739999999999</v>
      </c>
      <c r="K2072">
        <v>1.111683</v>
      </c>
      <c r="L2072">
        <v>285.59120000000001</v>
      </c>
      <c r="M2072">
        <v>-0.99985020000000002</v>
      </c>
      <c r="N2072">
        <v>-1.4117680000000001E-2</v>
      </c>
      <c r="O2072">
        <v>-1.002305E-2</v>
      </c>
      <c r="P2072">
        <v>-0.92156879999999997</v>
      </c>
      <c r="Q2072">
        <v>0.3755155</v>
      </c>
      <c r="R2072">
        <v>-9.8483639999999997E-2</v>
      </c>
      <c r="S2072">
        <v>-3.3775330000000001</v>
      </c>
      <c r="T2072">
        <v>-0.3470433</v>
      </c>
      <c r="U2072">
        <v>-0.17428589999999999</v>
      </c>
      <c r="V2072">
        <v>-8.9722380000000004E-2</v>
      </c>
      <c r="W2072">
        <v>0.38839119999999999</v>
      </c>
      <c r="X2072">
        <v>0.91711620000000005</v>
      </c>
      <c r="Y2072">
        <v>-4.1311870000000001E-2</v>
      </c>
      <c r="Z2072">
        <v>-1.5228240000000001E-3</v>
      </c>
      <c r="AA2072">
        <v>0.99914519999999996</v>
      </c>
      <c r="AB2072">
        <v>28</v>
      </c>
      <c r="AC2072">
        <v>-0.67259999999998799</v>
      </c>
      <c r="AD2072">
        <v>-9.7757999999999998E-2</v>
      </c>
      <c r="AE2072">
        <v>-4.5400000000029202E-2</v>
      </c>
      <c r="AF2072">
        <v>-3.7859402506264898E-2</v>
      </c>
      <c r="AG2072">
        <v>-9.7757999999999998E-2</v>
      </c>
      <c r="AH2072">
        <v>0.65915988787645297</v>
      </c>
      <c r="AI2072">
        <v>98.422191844747701</v>
      </c>
      <c r="AJ2072">
        <v>93.287219745898</v>
      </c>
      <c r="AK2072">
        <v>0.66744416898151904</v>
      </c>
      <c r="AL2072">
        <v>67.145567300680497</v>
      </c>
      <c r="AM2072">
        <v>95.587521866471903</v>
      </c>
      <c r="AN2072">
        <v>0.999999977006372</v>
      </c>
    </row>
    <row r="2073" spans="1:40" x14ac:dyDescent="0.25">
      <c r="A2073" t="str">
        <f>"20190304164640060"</f>
        <v>20190304164640060</v>
      </c>
      <c r="B2073" t="str">
        <f>"1551689200050264"</f>
        <v>1551689200050264</v>
      </c>
      <c r="C2073" t="s">
        <v>40</v>
      </c>
      <c r="D2073">
        <v>4.1594579999999999</v>
      </c>
      <c r="E2073">
        <v>0.53252109999999997</v>
      </c>
      <c r="F2073" t="s">
        <v>41</v>
      </c>
      <c r="G2073">
        <v>-461.15309999999999</v>
      </c>
      <c r="H2073">
        <v>1.016554</v>
      </c>
      <c r="I2073">
        <v>285.54050000000001</v>
      </c>
      <c r="J2073">
        <v>-460.50279999999998</v>
      </c>
      <c r="K2073">
        <v>1.1117349999999999</v>
      </c>
      <c r="L2073">
        <v>285.58749999999998</v>
      </c>
      <c r="M2073">
        <v>-0.99984209999999996</v>
      </c>
      <c r="N2073">
        <v>-1.4114949999999999E-2</v>
      </c>
      <c r="O2073">
        <v>-1.0796200000000001E-2</v>
      </c>
      <c r="P2073">
        <v>-0.92115539999999996</v>
      </c>
      <c r="Q2073">
        <v>0.37518839999999998</v>
      </c>
      <c r="R2073">
        <v>-0.10347290000000001</v>
      </c>
      <c r="S2073">
        <v>-3.3768919999999998</v>
      </c>
      <c r="T2073">
        <v>-0.34750879999999901</v>
      </c>
      <c r="U2073">
        <v>-0.18728639999999999</v>
      </c>
      <c r="V2073">
        <v>-9.4044390000000005E-2</v>
      </c>
      <c r="W2073">
        <v>0.3880419</v>
      </c>
      <c r="X2073">
        <v>0.91683110000000001</v>
      </c>
      <c r="Y2073">
        <v>-4.4368579999999998E-2</v>
      </c>
      <c r="Z2073">
        <v>-1.6343149999999999E-3</v>
      </c>
      <c r="AA2073">
        <v>0.99901390000000001</v>
      </c>
      <c r="AB2073">
        <v>28</v>
      </c>
      <c r="AC2073">
        <v>-0.65030000000001498</v>
      </c>
      <c r="AD2073">
        <v>-9.5180999999999905E-2</v>
      </c>
      <c r="AE2073">
        <v>-4.6999999999968602E-2</v>
      </c>
      <c r="AF2073">
        <v>-3.9141632120153001E-2</v>
      </c>
      <c r="AG2073">
        <v>-9.5180999999999905E-2</v>
      </c>
      <c r="AH2073">
        <v>0.63719020019167305</v>
      </c>
      <c r="AI2073">
        <v>98.480051876703698</v>
      </c>
      <c r="AJ2073">
        <v>93.515176226045398</v>
      </c>
      <c r="AK2073">
        <v>0.64544778359394395</v>
      </c>
      <c r="AL2073">
        <v>67.167286112374398</v>
      </c>
      <c r="AM2073">
        <v>95.856658667770503</v>
      </c>
      <c r="AN2073">
        <v>1.00000006468664</v>
      </c>
    </row>
    <row r="2074" spans="1:40" x14ac:dyDescent="0.25">
      <c r="A2074" t="str">
        <f>"20190304164640109"</f>
        <v>20190304164640109</v>
      </c>
      <c r="B2074" t="str">
        <f>"1551689200100040"</f>
        <v>1551689200100040</v>
      </c>
      <c r="C2074" t="s">
        <v>40</v>
      </c>
      <c r="D2074">
        <v>4.2728650000000004</v>
      </c>
      <c r="E2074">
        <v>0.53239449999999999</v>
      </c>
      <c r="F2074" t="s">
        <v>41</v>
      </c>
      <c r="G2074">
        <v>-461.41300000000001</v>
      </c>
      <c r="H2074">
        <v>1.0174920000000001</v>
      </c>
      <c r="I2074">
        <v>285.53250000000003</v>
      </c>
      <c r="J2074">
        <v>-461.11939999999998</v>
      </c>
      <c r="K2074">
        <v>1.1117649999999999</v>
      </c>
      <c r="L2074">
        <v>285.57859999999999</v>
      </c>
      <c r="M2074">
        <v>-0.99982110000000002</v>
      </c>
      <c r="N2074">
        <v>-1.4108549999999999E-2</v>
      </c>
      <c r="O2074">
        <v>-1.2608980000000001E-2</v>
      </c>
      <c r="P2074">
        <v>-0.91986299999999999</v>
      </c>
      <c r="Q2074">
        <v>0.3752221</v>
      </c>
      <c r="R2074">
        <v>-0.1142835</v>
      </c>
      <c r="S2074">
        <v>-3.3761290000000002</v>
      </c>
      <c r="T2074">
        <v>-0.34965649999999998</v>
      </c>
      <c r="U2074">
        <v>-0.20492550000000001</v>
      </c>
      <c r="V2074">
        <v>-0.1032333</v>
      </c>
      <c r="W2074">
        <v>0.38803389999999999</v>
      </c>
      <c r="X2074">
        <v>0.91584529999999997</v>
      </c>
      <c r="Y2074">
        <v>-4.7755680000000002E-2</v>
      </c>
      <c r="Z2074">
        <v>-1.6786399999999999E-3</v>
      </c>
      <c r="AA2074">
        <v>0.99885760000000001</v>
      </c>
      <c r="AB2074">
        <v>28</v>
      </c>
      <c r="AC2074">
        <v>-0.29360000000002601</v>
      </c>
      <c r="AD2074">
        <v>-9.4272999999999801E-2</v>
      </c>
      <c r="AE2074">
        <v>-4.6099999999967098E-2</v>
      </c>
      <c r="AF2074">
        <v>-3.8518254751167498E-2</v>
      </c>
      <c r="AG2074">
        <v>-9.4272999999999801E-2</v>
      </c>
      <c r="AH2074">
        <v>0.26726565806615099</v>
      </c>
      <c r="AI2074">
        <v>109.245337166567</v>
      </c>
      <c r="AJ2074">
        <v>98.200983942284495</v>
      </c>
      <c r="AK2074">
        <v>0.28601046564699101</v>
      </c>
      <c r="AL2074">
        <v>67.167782313569106</v>
      </c>
      <c r="AM2074">
        <v>96.4311856363408</v>
      </c>
      <c r="AN2074">
        <v>1.0000000176550901</v>
      </c>
    </row>
    <row r="2075" spans="1:40" x14ac:dyDescent="0.25">
      <c r="A2075" t="str">
        <f>"20190304164640134"</f>
        <v>20190304164640134</v>
      </c>
      <c r="B2075" t="str">
        <f>"1551689200130802"</f>
        <v>1551689200130802</v>
      </c>
      <c r="C2075" t="s">
        <v>40</v>
      </c>
      <c r="D2075">
        <v>4.1719119999999998</v>
      </c>
      <c r="E2075">
        <v>0.4928188</v>
      </c>
      <c r="F2075" t="s">
        <v>45</v>
      </c>
      <c r="G2075">
        <v>-471.80799999999999</v>
      </c>
      <c r="H2075" s="1">
        <v>5.82857E-6</v>
      </c>
      <c r="I2075">
        <v>284.8023</v>
      </c>
      <c r="J2075">
        <v>-461.41860000000003</v>
      </c>
      <c r="K2075">
        <v>1.1117680000000001</v>
      </c>
      <c r="L2075">
        <v>285.57389999999998</v>
      </c>
      <c r="M2075">
        <v>-0.99980959999999997</v>
      </c>
      <c r="N2075">
        <v>-1.4105370000000001E-2</v>
      </c>
      <c r="O2075">
        <v>-1.3482859999999999E-2</v>
      </c>
      <c r="P2075">
        <v>-0.91939329999999997</v>
      </c>
      <c r="Q2075">
        <v>0.37522040000000001</v>
      </c>
      <c r="R2075">
        <v>-0.118007</v>
      </c>
      <c r="S2075">
        <v>-3.3740839999999999</v>
      </c>
      <c r="T2075">
        <v>-0.35094920000000002</v>
      </c>
      <c r="U2075">
        <v>-0.2450562</v>
      </c>
      <c r="V2075">
        <v>-0.1061594</v>
      </c>
      <c r="W2075">
        <v>0.38802029999999998</v>
      </c>
      <c r="X2075">
        <v>0.91551649999999996</v>
      </c>
      <c r="Y2075">
        <v>-5.8678840000000003E-2</v>
      </c>
      <c r="Z2075">
        <v>-2.2481049999999998E-3</v>
      </c>
      <c r="AA2075">
        <v>0.99827440000000001</v>
      </c>
      <c r="AB2075">
        <v>28</v>
      </c>
      <c r="AC2075">
        <v>-10.3894</v>
      </c>
      <c r="AD2075">
        <v>-1.1117621714299999</v>
      </c>
      <c r="AE2075">
        <v>-0.77159999999997797</v>
      </c>
      <c r="AF2075">
        <v>-0.62432714105345499</v>
      </c>
      <c r="AG2075">
        <v>-1.1117621714299999</v>
      </c>
      <c r="AH2075">
        <v>10.281769300621001</v>
      </c>
      <c r="AI2075">
        <v>96.160125705944296</v>
      </c>
      <c r="AJ2075">
        <v>93.474834112875101</v>
      </c>
      <c r="AK2075">
        <v>10.3605298829776</v>
      </c>
      <c r="AL2075">
        <v>67.168627754646096</v>
      </c>
      <c r="AM2075">
        <v>96.614236061656399</v>
      </c>
      <c r="AN2075">
        <v>1.0000000165963401</v>
      </c>
    </row>
    <row r="2076" spans="1:40" x14ac:dyDescent="0.25">
      <c r="A2076" t="str">
        <f>"20190304164640159"</f>
        <v>20190304164640159</v>
      </c>
      <c r="B2076" t="str">
        <f>"1551689200150322"</f>
        <v>1551689200150322</v>
      </c>
      <c r="C2076" t="s">
        <v>40</v>
      </c>
      <c r="D2076">
        <v>4.1775729999999998</v>
      </c>
      <c r="E2076">
        <v>0.48373620000000001</v>
      </c>
      <c r="F2076" t="s">
        <v>45</v>
      </c>
      <c r="G2076">
        <v>-474.18060000000003</v>
      </c>
      <c r="H2076" s="1">
        <v>4.6530269999999999E-6</v>
      </c>
      <c r="I2076">
        <v>283.3904</v>
      </c>
      <c r="J2076">
        <v>-461.72089999999997</v>
      </c>
      <c r="K2076">
        <v>1.111764</v>
      </c>
      <c r="L2076">
        <v>285.56880000000001</v>
      </c>
      <c r="M2076">
        <v>-0.99979759999999995</v>
      </c>
      <c r="N2076">
        <v>-1.410194E-2</v>
      </c>
      <c r="O2076">
        <v>-1.4348919999999999E-2</v>
      </c>
      <c r="P2076">
        <v>-0.91866619999999999</v>
      </c>
      <c r="Q2076">
        <v>0.37613150000000001</v>
      </c>
      <c r="R2076">
        <v>-0.1207377</v>
      </c>
      <c r="S2076">
        <v>-3.3079830000000001</v>
      </c>
      <c r="T2076">
        <v>-0.2881764</v>
      </c>
      <c r="U2076">
        <v>-0.56597900000000001</v>
      </c>
      <c r="V2076">
        <v>-0.10810110000000001</v>
      </c>
      <c r="W2076">
        <v>0.38891750000000003</v>
      </c>
      <c r="X2076">
        <v>0.91490830000000001</v>
      </c>
      <c r="Y2076">
        <v>-0.1538592</v>
      </c>
      <c r="Z2076">
        <v>-6.6985309999999998E-3</v>
      </c>
      <c r="AA2076">
        <v>0.98807009999999995</v>
      </c>
      <c r="AB2076">
        <v>28</v>
      </c>
      <c r="AC2076">
        <v>-12.4597</v>
      </c>
      <c r="AD2076">
        <v>-1.1117593469730001</v>
      </c>
      <c r="AE2076">
        <v>-2.1784000000000101</v>
      </c>
      <c r="AF2076">
        <v>-1.9840467963222099</v>
      </c>
      <c r="AG2076">
        <v>-1.1117593469730001</v>
      </c>
      <c r="AH2076">
        <v>12.393927770966499</v>
      </c>
      <c r="AI2076">
        <v>95.061718546145698</v>
      </c>
      <c r="AJ2076">
        <v>99.094867087172105</v>
      </c>
      <c r="AK2076">
        <v>12.6008688639916</v>
      </c>
      <c r="AL2076">
        <v>67.112838545410597</v>
      </c>
      <c r="AM2076">
        <v>96.738547472467701</v>
      </c>
      <c r="AN2076">
        <v>0.99999993351817196</v>
      </c>
    </row>
    <row r="2077" spans="1:40" x14ac:dyDescent="0.25">
      <c r="A2077" t="str">
        <f>"20190304164640177"</f>
        <v>20190304164640177</v>
      </c>
      <c r="B2077" t="str">
        <f>"1551689200170818"</f>
        <v>1551689200170818</v>
      </c>
      <c r="C2077" t="s">
        <v>40</v>
      </c>
      <c r="D2077">
        <v>4.1489190000000002</v>
      </c>
      <c r="E2077">
        <v>0.47929090000000002</v>
      </c>
      <c r="F2077" t="s">
        <v>45</v>
      </c>
      <c r="G2077">
        <v>-474.87360000000001</v>
      </c>
      <c r="H2077" s="1">
        <v>4.3105350000000004E-6</v>
      </c>
      <c r="I2077">
        <v>282.98820000000001</v>
      </c>
      <c r="J2077">
        <v>-461.96620000000001</v>
      </c>
      <c r="K2077">
        <v>1.1117669999999999</v>
      </c>
      <c r="L2077">
        <v>285.56450000000001</v>
      </c>
      <c r="M2077">
        <v>-0.99978750000000005</v>
      </c>
      <c r="N2077">
        <v>-1.40991E-2</v>
      </c>
      <c r="O2077">
        <v>-1.5041290000000001E-2</v>
      </c>
      <c r="P2077">
        <v>-0.91780070000000002</v>
      </c>
      <c r="Q2077">
        <v>0.37762010000000001</v>
      </c>
      <c r="R2077">
        <v>-0.1226573</v>
      </c>
      <c r="S2077">
        <v>-3.2946780000000002</v>
      </c>
      <c r="T2077">
        <v>-0.27849030000000002</v>
      </c>
      <c r="U2077">
        <v>-0.64642330000000003</v>
      </c>
      <c r="V2077">
        <v>-0.10939500000000001</v>
      </c>
      <c r="W2077">
        <v>0.3903913</v>
      </c>
      <c r="X2077">
        <v>0.91412660000000001</v>
      </c>
      <c r="Y2077">
        <v>-0.1770717</v>
      </c>
      <c r="Z2077">
        <v>-7.6159769999999899E-3</v>
      </c>
      <c r="AA2077">
        <v>0.9841685</v>
      </c>
      <c r="AB2077">
        <v>28</v>
      </c>
      <c r="AC2077">
        <v>-12.9073999999999</v>
      </c>
      <c r="AD2077">
        <v>-1.1117626894649999</v>
      </c>
      <c r="AE2077">
        <v>-2.5762999999999998</v>
      </c>
      <c r="AF2077">
        <v>-2.36497171377236</v>
      </c>
      <c r="AG2077">
        <v>-1.1117626894649999</v>
      </c>
      <c r="AH2077">
        <v>12.8529910655009</v>
      </c>
      <c r="AI2077">
        <v>94.862459337632004</v>
      </c>
      <c r="AJ2077">
        <v>100.425900616025</v>
      </c>
      <c r="AK2077">
        <v>13.1159630532597</v>
      </c>
      <c r="AL2077">
        <v>67.021151480444601</v>
      </c>
      <c r="AM2077">
        <v>96.824224305220497</v>
      </c>
      <c r="AN2077">
        <v>1.00000003698412</v>
      </c>
    </row>
    <row r="2078" spans="1:40" x14ac:dyDescent="0.25">
      <c r="A2078" t="str">
        <f>"20190304164640198"</f>
        <v>20190304164640198</v>
      </c>
      <c r="B2078" t="str">
        <f>"1551689200190338"</f>
        <v>1551689200190338</v>
      </c>
      <c r="C2078" t="s">
        <v>40</v>
      </c>
      <c r="D2078">
        <v>4.1450849999999999</v>
      </c>
      <c r="E2078">
        <v>0.47703079999999998</v>
      </c>
      <c r="F2078" t="s">
        <v>45</v>
      </c>
      <c r="G2078">
        <v>-475.53429999999997</v>
      </c>
      <c r="H2078" s="1">
        <v>3.995917E-6</v>
      </c>
      <c r="I2078">
        <v>282.74090000000001</v>
      </c>
      <c r="J2078">
        <v>-462.22719999999998</v>
      </c>
      <c r="K2078">
        <v>1.111764</v>
      </c>
      <c r="L2078">
        <v>285.5598</v>
      </c>
      <c r="M2078">
        <v>-0.9997762</v>
      </c>
      <c r="N2078">
        <v>-1.409612E-2</v>
      </c>
      <c r="O2078">
        <v>-1.5770940000000001E-2</v>
      </c>
      <c r="P2078">
        <v>-0.91680609999999996</v>
      </c>
      <c r="Q2078">
        <v>0.37954749999999998</v>
      </c>
      <c r="R2078">
        <v>-0.1241367</v>
      </c>
      <c r="S2078">
        <v>-3.2880549999999999</v>
      </c>
      <c r="T2078">
        <v>-0.26942090000000002</v>
      </c>
      <c r="U2078">
        <v>-0.68426509999999996</v>
      </c>
      <c r="V2078">
        <v>-0.1102177</v>
      </c>
      <c r="W2078">
        <v>0.39230359999999997</v>
      </c>
      <c r="X2078">
        <v>0.91320860000000004</v>
      </c>
      <c r="Y2078">
        <v>-0.18759919999999999</v>
      </c>
      <c r="Z2078">
        <v>-7.8747109999999995E-3</v>
      </c>
      <c r="AA2078">
        <v>0.98221409999999998</v>
      </c>
      <c r="AB2078">
        <v>28</v>
      </c>
      <c r="AC2078">
        <v>-13.307099999999901</v>
      </c>
      <c r="AD2078">
        <v>-1.111760004083</v>
      </c>
      <c r="AE2078">
        <v>-2.8188999999999802</v>
      </c>
      <c r="AF2078">
        <v>-2.5913521752042499</v>
      </c>
      <c r="AG2078">
        <v>-1.111760004083</v>
      </c>
      <c r="AH2078">
        <v>13.2613171520864</v>
      </c>
      <c r="AI2078">
        <v>94.7036253540968</v>
      </c>
      <c r="AJ2078">
        <v>101.05666400022901</v>
      </c>
      <c r="AK2078">
        <v>13.557789237587199</v>
      </c>
      <c r="AL2078">
        <v>66.902087774233905</v>
      </c>
      <c r="AM2078">
        <v>96.881901048565595</v>
      </c>
      <c r="AN2078">
        <v>1.0000000015401</v>
      </c>
    </row>
    <row r="2079" spans="1:40" x14ac:dyDescent="0.25">
      <c r="A2079" t="str">
        <f>"20190304164640220"</f>
        <v>20190304164640220</v>
      </c>
      <c r="B2079" t="str">
        <f>"1551689200210833"</f>
        <v>1551689200210833</v>
      </c>
      <c r="C2079" t="s">
        <v>40</v>
      </c>
      <c r="D2079">
        <v>4.101674</v>
      </c>
      <c r="E2079">
        <v>0.47572140000000002</v>
      </c>
      <c r="F2079" t="s">
        <v>45</v>
      </c>
      <c r="G2079">
        <v>-476.1755</v>
      </c>
      <c r="H2079" s="1">
        <v>3.6971289999999999E-6</v>
      </c>
      <c r="I2079">
        <v>282.57560000000001</v>
      </c>
      <c r="J2079">
        <v>-462.49970000000002</v>
      </c>
      <c r="K2079">
        <v>1.1117649999999999</v>
      </c>
      <c r="L2079">
        <v>285.55459999999999</v>
      </c>
      <c r="M2079">
        <v>-0.99976419999999999</v>
      </c>
      <c r="N2079">
        <v>-1.4093140000000001E-2</v>
      </c>
      <c r="O2079">
        <v>-1.652812E-2</v>
      </c>
      <c r="P2079">
        <v>-0.91626209999999997</v>
      </c>
      <c r="Q2079">
        <v>0.38037349999999998</v>
      </c>
      <c r="R2079">
        <v>-0.1256196</v>
      </c>
      <c r="S2079">
        <v>-3.2854610000000002</v>
      </c>
      <c r="T2079">
        <v>-0.26187110000000002</v>
      </c>
      <c r="U2079">
        <v>-0.70291139999999996</v>
      </c>
      <c r="V2079">
        <v>-0.11100939999999999</v>
      </c>
      <c r="W2079">
        <v>0.39312059999999999</v>
      </c>
      <c r="X2079">
        <v>0.9127613</v>
      </c>
      <c r="Y2079">
        <v>-0.1923627</v>
      </c>
      <c r="Z2079">
        <v>-7.8721339999999994E-3</v>
      </c>
      <c r="AA2079">
        <v>0.98129230000000001</v>
      </c>
      <c r="AB2079">
        <v>28</v>
      </c>
      <c r="AC2079">
        <v>-13.675799999999899</v>
      </c>
      <c r="AD2079">
        <v>-1.1117613028709901</v>
      </c>
      <c r="AE2079">
        <v>-2.9789999999999801</v>
      </c>
      <c r="AF2079">
        <v>-2.7352774935209201</v>
      </c>
      <c r="AG2079">
        <v>-1.1117613028709901</v>
      </c>
      <c r="AH2079">
        <v>13.6371322981791</v>
      </c>
      <c r="AI2079">
        <v>94.570081382110004</v>
      </c>
      <c r="AJ2079">
        <v>101.341646031887</v>
      </c>
      <c r="AK2079">
        <v>13.953104797110999</v>
      </c>
      <c r="AL2079">
        <v>66.851188887328505</v>
      </c>
      <c r="AM2079">
        <v>96.934218416518704</v>
      </c>
      <c r="AN2079">
        <v>1.0000000419052</v>
      </c>
    </row>
    <row r="2080" spans="1:40" x14ac:dyDescent="0.25">
      <c r="A2080" t="str">
        <f>"20190304164640239"</f>
        <v>20190304164640239</v>
      </c>
      <c r="B2080" t="str">
        <f>"1551689200230354"</f>
        <v>1551689200230354</v>
      </c>
      <c r="C2080" t="s">
        <v>40</v>
      </c>
      <c r="D2080">
        <v>4.1097029999999997</v>
      </c>
      <c r="E2080">
        <v>0.47544910000000001</v>
      </c>
      <c r="F2080" t="s">
        <v>45</v>
      </c>
      <c r="G2080">
        <v>-476.60329999999999</v>
      </c>
      <c r="H2080" s="1">
        <v>3.4990669999999998E-6</v>
      </c>
      <c r="I2080">
        <v>282.47989999999999</v>
      </c>
      <c r="J2080">
        <v>-462.73009999999999</v>
      </c>
      <c r="K2080">
        <v>1.1117680000000001</v>
      </c>
      <c r="L2080">
        <v>285.55</v>
      </c>
      <c r="M2080">
        <v>-0.99975340000000001</v>
      </c>
      <c r="N2080">
        <v>-1.409062E-2</v>
      </c>
      <c r="O2080">
        <v>-1.7167430000000001E-2</v>
      </c>
      <c r="P2080">
        <v>-0.91591069999999997</v>
      </c>
      <c r="Q2080">
        <v>0.38080580000000003</v>
      </c>
      <c r="R2080">
        <v>-0.12686539999999999</v>
      </c>
      <c r="S2080">
        <v>-3.2834780000000001</v>
      </c>
      <c r="T2080">
        <v>-0.25883109999999998</v>
      </c>
      <c r="U2080">
        <v>-0.71582029999999996</v>
      </c>
      <c r="V2080">
        <v>-0.11167050000000001</v>
      </c>
      <c r="W2080">
        <v>0.39354719999999999</v>
      </c>
      <c r="X2080">
        <v>0.91249669999999905</v>
      </c>
      <c r="Y2080">
        <v>-0.1955452</v>
      </c>
      <c r="Z2080">
        <v>-7.9065809999999993E-3</v>
      </c>
      <c r="AA2080">
        <v>0.98066279999999995</v>
      </c>
      <c r="AB2080">
        <v>28</v>
      </c>
      <c r="AC2080">
        <v>-13.873199999999899</v>
      </c>
      <c r="AD2080">
        <v>-1.1117645009329999</v>
      </c>
      <c r="AE2080">
        <v>-3.07010000000002</v>
      </c>
      <c r="AF2080">
        <v>-2.8142273528878401</v>
      </c>
      <c r="AG2080">
        <v>-1.1117645009329999</v>
      </c>
      <c r="AH2080">
        <v>13.839139917992799</v>
      </c>
      <c r="AI2080">
        <v>94.501245697817197</v>
      </c>
      <c r="AJ2080">
        <v>101.494523609387</v>
      </c>
      <c r="AK2080">
        <v>14.166075305781099</v>
      </c>
      <c r="AL2080">
        <v>66.824601695113202</v>
      </c>
      <c r="AM2080">
        <v>96.977111172817004</v>
      </c>
      <c r="AN2080">
        <v>0.99999996335448904</v>
      </c>
    </row>
    <row r="2081" spans="1:40" x14ac:dyDescent="0.25">
      <c r="A2081" t="str">
        <f>"20190304164640260"</f>
        <v>20190304164640260</v>
      </c>
      <c r="B2081" t="str">
        <f>"1551689200250851"</f>
        <v>1551689200250851</v>
      </c>
      <c r="C2081" t="s">
        <v>40</v>
      </c>
      <c r="D2081">
        <v>4.108371</v>
      </c>
      <c r="E2081">
        <v>0.4748521</v>
      </c>
      <c r="F2081" t="s">
        <v>45</v>
      </c>
      <c r="G2081">
        <v>-477.04430000000002</v>
      </c>
      <c r="H2081" s="1">
        <v>3.2978119999999999E-6</v>
      </c>
      <c r="I2081">
        <v>282.41500000000002</v>
      </c>
      <c r="J2081">
        <v>-463.00189999999998</v>
      </c>
      <c r="K2081">
        <v>1.1117699999999999</v>
      </c>
      <c r="L2081">
        <v>285.54450000000003</v>
      </c>
      <c r="M2081">
        <v>-0.99974019999999997</v>
      </c>
      <c r="N2081">
        <v>-1.408772E-2</v>
      </c>
      <c r="O2081">
        <v>-1.792525E-2</v>
      </c>
      <c r="P2081">
        <v>-0.91545790000000005</v>
      </c>
      <c r="Q2081">
        <v>0.3812316</v>
      </c>
      <c r="R2081">
        <v>-0.12884019999999999</v>
      </c>
      <c r="S2081">
        <v>-3.2818909999999999</v>
      </c>
      <c r="T2081">
        <v>-0.25490049999999997</v>
      </c>
      <c r="U2081">
        <v>-0.71878050000000004</v>
      </c>
      <c r="V2081">
        <v>-0.1129551</v>
      </c>
      <c r="W2081">
        <v>0.39396490000000001</v>
      </c>
      <c r="X2081">
        <v>0.91215829999999998</v>
      </c>
      <c r="Y2081">
        <v>-0.19576289999999999</v>
      </c>
      <c r="Z2081">
        <v>-7.7760989999999999E-3</v>
      </c>
      <c r="AA2081">
        <v>0.98062039999999995</v>
      </c>
      <c r="AB2081">
        <v>28</v>
      </c>
      <c r="AC2081">
        <v>-14.042400000000001</v>
      </c>
      <c r="AD2081">
        <v>-1.111766702188</v>
      </c>
      <c r="AE2081">
        <v>-3.1295000000000002</v>
      </c>
      <c r="AF2081">
        <v>-2.8601786632457098</v>
      </c>
      <c r="AG2081">
        <v>-1.111766702188</v>
      </c>
      <c r="AH2081">
        <v>14.012568069062199</v>
      </c>
      <c r="AI2081">
        <v>94.445108629920298</v>
      </c>
      <c r="AJ2081">
        <v>101.53646908662201</v>
      </c>
      <c r="AK2081">
        <v>14.344640500057199</v>
      </c>
      <c r="AL2081">
        <v>66.798566373070699</v>
      </c>
      <c r="AM2081">
        <v>97.059159128968005</v>
      </c>
      <c r="AN2081">
        <v>0.99999998065345397</v>
      </c>
    </row>
    <row r="2082" spans="1:40" x14ac:dyDescent="0.25">
      <c r="A2082" t="str">
        <f>"20190304164640283"</f>
        <v>20190304164640283</v>
      </c>
      <c r="B2082" t="str">
        <f>"1551689200270370"</f>
        <v>1551689200270370</v>
      </c>
      <c r="C2082" t="s">
        <v>40</v>
      </c>
      <c r="D2082">
        <v>4.1167449999999999</v>
      </c>
      <c r="E2082">
        <v>0.47425820000000002</v>
      </c>
      <c r="F2082" t="s">
        <v>45</v>
      </c>
      <c r="G2082">
        <v>-477.29880000000003</v>
      </c>
      <c r="H2082" s="1">
        <v>3.181242E-6</v>
      </c>
      <c r="I2082">
        <v>282.37240000000003</v>
      </c>
      <c r="J2082">
        <v>-463.27719999999999</v>
      </c>
      <c r="K2082">
        <v>1.1117729999999999</v>
      </c>
      <c r="L2082">
        <v>285.53870000000001</v>
      </c>
      <c r="M2082">
        <v>-0.99972589999999995</v>
      </c>
      <c r="N2082">
        <v>-1.408473E-2</v>
      </c>
      <c r="O2082">
        <v>-1.8705349999999999E-2</v>
      </c>
      <c r="P2082">
        <v>-0.91532469999999999</v>
      </c>
      <c r="Q2082">
        <v>0.38075029999999999</v>
      </c>
      <c r="R2082">
        <v>-0.13118640000000001</v>
      </c>
      <c r="S2082">
        <v>-3.280853</v>
      </c>
      <c r="T2082">
        <v>-0.2551292</v>
      </c>
      <c r="U2082">
        <v>-0.72793580000000002</v>
      </c>
      <c r="V2082">
        <v>-0.11458980000000001</v>
      </c>
      <c r="W2082">
        <v>0.39347739999999998</v>
      </c>
      <c r="X2082">
        <v>0.9121648</v>
      </c>
      <c r="Y2082">
        <v>-0.19766590000000001</v>
      </c>
      <c r="Z2082">
        <v>-7.8193180000000004E-3</v>
      </c>
      <c r="AA2082">
        <v>0.98023830000000001</v>
      </c>
      <c r="AB2082">
        <v>28</v>
      </c>
      <c r="AC2082">
        <v>-14.021599999999999</v>
      </c>
      <c r="AD2082">
        <v>-1.1117698187580001</v>
      </c>
      <c r="AE2082">
        <v>-3.1662999999999699</v>
      </c>
      <c r="AF2082">
        <v>-2.8861763293706701</v>
      </c>
      <c r="AG2082">
        <v>-1.1117698187580001</v>
      </c>
      <c r="AH2082">
        <v>13.994665048852299</v>
      </c>
      <c r="AI2082">
        <v>94.448935875281904</v>
      </c>
      <c r="AJ2082">
        <v>101.652963524935</v>
      </c>
      <c r="AK2082">
        <v>14.3323653234101</v>
      </c>
      <c r="AL2082">
        <v>66.828951701686705</v>
      </c>
      <c r="AM2082">
        <v>97.160216734784299</v>
      </c>
      <c r="AN2082">
        <v>0.99999995446691903</v>
      </c>
    </row>
    <row r="2083" spans="1:40" x14ac:dyDescent="0.25">
      <c r="A2083" t="str">
        <f>"20190304164640306"</f>
        <v>20190304164640306</v>
      </c>
      <c r="B2083" t="str">
        <f>"1551689200300626"</f>
        <v>1551689200300626</v>
      </c>
      <c r="C2083" t="s">
        <v>40</v>
      </c>
      <c r="D2083">
        <v>4.1082479999999997</v>
      </c>
      <c r="E2083">
        <v>0.47369299999999998</v>
      </c>
      <c r="F2083" t="s">
        <v>45</v>
      </c>
      <c r="G2083">
        <v>-477.4314</v>
      </c>
      <c r="H2083" s="1">
        <v>3.11964E-6</v>
      </c>
      <c r="I2083">
        <v>282.3408</v>
      </c>
      <c r="J2083">
        <v>-463.56259999999997</v>
      </c>
      <c r="K2083">
        <v>1.111783</v>
      </c>
      <c r="L2083">
        <v>285.5324</v>
      </c>
      <c r="M2083">
        <v>-0.99970990000000004</v>
      </c>
      <c r="N2083">
        <v>-1.408176E-2</v>
      </c>
      <c r="O2083">
        <v>-1.954324E-2</v>
      </c>
      <c r="P2083">
        <v>-0.9150026</v>
      </c>
      <c r="Q2083">
        <v>0.3804884</v>
      </c>
      <c r="R2083">
        <v>-0.1341608</v>
      </c>
      <c r="S2083">
        <v>-3.2785030000000002</v>
      </c>
      <c r="T2083">
        <v>-0.25751629999999998</v>
      </c>
      <c r="U2083">
        <v>-0.74072269999999996</v>
      </c>
      <c r="V2083">
        <v>-0.1168135</v>
      </c>
      <c r="W2083">
        <v>0.39320349999999998</v>
      </c>
      <c r="X2083">
        <v>0.9120009</v>
      </c>
      <c r="Y2083">
        <v>-0.20061290000000001</v>
      </c>
      <c r="Z2083">
        <v>-7.9605930000000002E-3</v>
      </c>
      <c r="AA2083">
        <v>0.97963820000000001</v>
      </c>
      <c r="AB2083">
        <v>28</v>
      </c>
      <c r="AC2083">
        <v>-13.8688</v>
      </c>
      <c r="AD2083">
        <v>-1.1117798803600001</v>
      </c>
      <c r="AE2083">
        <v>-3.19159999999999</v>
      </c>
      <c r="AF2083">
        <v>-2.90220978354977</v>
      </c>
      <c r="AG2083">
        <v>-1.1117798803600001</v>
      </c>
      <c r="AH2083">
        <v>13.844039937377</v>
      </c>
      <c r="AI2083">
        <v>94.494148053552905</v>
      </c>
      <c r="AJ2083">
        <v>101.839805369796</v>
      </c>
      <c r="AK2083">
        <v>14.1885981660556</v>
      </c>
      <c r="AL2083">
        <v>66.846022372886594</v>
      </c>
      <c r="AM2083">
        <v>97.298979530877006</v>
      </c>
      <c r="AN2083">
        <v>1.0000000138976499</v>
      </c>
    </row>
    <row r="2084" spans="1:40" x14ac:dyDescent="0.25">
      <c r="A2084" t="str">
        <f>"20190304164640328"</f>
        <v>20190304164640328</v>
      </c>
      <c r="B2084" t="str">
        <f>"1551689200320147"</f>
        <v>1551689200320147</v>
      </c>
      <c r="C2084" t="s">
        <v>40</v>
      </c>
      <c r="D2084">
        <v>4.1046290000000001</v>
      </c>
      <c r="E2084">
        <v>0.47343970000000002</v>
      </c>
      <c r="F2084" t="s">
        <v>45</v>
      </c>
      <c r="G2084">
        <v>-477.57850000000002</v>
      </c>
      <c r="H2084" s="1">
        <v>3.050699E-6</v>
      </c>
      <c r="I2084">
        <v>282.29829999999998</v>
      </c>
      <c r="J2084">
        <v>-463.8399</v>
      </c>
      <c r="K2084">
        <v>1.1118110000000001</v>
      </c>
      <c r="L2084">
        <v>285.52600000000001</v>
      </c>
      <c r="M2084">
        <v>-0.99969260000000004</v>
      </c>
      <c r="N2084">
        <v>-1.407919E-2</v>
      </c>
      <c r="O2084">
        <v>-2.041041E-2</v>
      </c>
      <c r="P2084">
        <v>-0.91477779999999997</v>
      </c>
      <c r="Q2084">
        <v>0.38014599999999998</v>
      </c>
      <c r="R2084">
        <v>-0.13664009999999999</v>
      </c>
      <c r="S2084">
        <v>-3.275909</v>
      </c>
      <c r="T2084">
        <v>-0.2598529</v>
      </c>
      <c r="U2084">
        <v>-0.7558899</v>
      </c>
      <c r="V2084">
        <v>-0.11853030000000001</v>
      </c>
      <c r="W2084">
        <v>0.39284609999999998</v>
      </c>
      <c r="X2084">
        <v>0.91193340000000001</v>
      </c>
      <c r="Y2084">
        <v>-0.20421739999999999</v>
      </c>
      <c r="Z2084">
        <v>-8.1301719999999997E-3</v>
      </c>
      <c r="AA2084">
        <v>0.97889179999999998</v>
      </c>
      <c r="AB2084">
        <v>28</v>
      </c>
      <c r="AC2084">
        <v>-13.7386</v>
      </c>
      <c r="AD2084">
        <v>-1.111807949301</v>
      </c>
      <c r="AE2084">
        <v>-3.22770000000002</v>
      </c>
      <c r="AF2084">
        <v>-2.92841425602739</v>
      </c>
      <c r="AG2084">
        <v>-1.111807949301</v>
      </c>
      <c r="AH2084">
        <v>13.716492262415199</v>
      </c>
      <c r="AI2084">
        <v>94.532349777957194</v>
      </c>
      <c r="AJ2084">
        <v>102.051481361423</v>
      </c>
      <c r="AK2084">
        <v>14.069608628385099</v>
      </c>
      <c r="AL2084">
        <v>66.868291825691202</v>
      </c>
      <c r="AM2084">
        <v>97.405612050043501</v>
      </c>
      <c r="AN2084">
        <v>1.00000000816942</v>
      </c>
    </row>
    <row r="2085" spans="1:40" x14ac:dyDescent="0.25">
      <c r="A2085" t="str">
        <f>"20190304164640352"</f>
        <v>20190304164640352</v>
      </c>
      <c r="B2085" t="str">
        <f>"1551689200340643"</f>
        <v>1551689200340643</v>
      </c>
      <c r="C2085" t="s">
        <v>40</v>
      </c>
      <c r="D2085">
        <v>4.0970259999999996</v>
      </c>
      <c r="E2085">
        <v>0.47324749999999999</v>
      </c>
      <c r="F2085" t="s">
        <v>45</v>
      </c>
      <c r="G2085">
        <v>-477.74270000000001</v>
      </c>
      <c r="H2085" s="1">
        <v>2.9750060000000001E-6</v>
      </c>
      <c r="I2085">
        <v>282.2654</v>
      </c>
      <c r="J2085">
        <v>-464.13459999999998</v>
      </c>
      <c r="K2085">
        <v>1.1118680000000001</v>
      </c>
      <c r="L2085">
        <v>285.51889999999997</v>
      </c>
      <c r="M2085">
        <v>-0.99967159999999999</v>
      </c>
      <c r="N2085">
        <v>-1.4076709999999999E-2</v>
      </c>
      <c r="O2085">
        <v>-2.141502E-2</v>
      </c>
      <c r="P2085">
        <v>-0.91465819999999998</v>
      </c>
      <c r="Q2085">
        <v>0.37942700000000001</v>
      </c>
      <c r="R2085">
        <v>-0.1394116</v>
      </c>
      <c r="S2085">
        <v>-3.2736209999999999</v>
      </c>
      <c r="T2085">
        <v>-0.261791</v>
      </c>
      <c r="U2085">
        <v>-0.76776119999999903</v>
      </c>
      <c r="V2085">
        <v>-0.1204337</v>
      </c>
      <c r="W2085">
        <v>0.39210709999999999</v>
      </c>
      <c r="X2085">
        <v>0.91200199999999998</v>
      </c>
      <c r="Y2085">
        <v>-0.2067341</v>
      </c>
      <c r="Z2085">
        <v>-8.2316999999999998E-3</v>
      </c>
      <c r="AA2085">
        <v>0.97836250000000002</v>
      </c>
      <c r="AB2085">
        <v>28</v>
      </c>
      <c r="AC2085">
        <v>-13.6081</v>
      </c>
      <c r="AD2085">
        <v>-1.1118650249940001</v>
      </c>
      <c r="AE2085">
        <v>-3.2534999999999701</v>
      </c>
      <c r="AF2085">
        <v>-2.9427240742300902</v>
      </c>
      <c r="AG2085">
        <v>-1.1118650249940001</v>
      </c>
      <c r="AH2085">
        <v>13.5888468935202</v>
      </c>
      <c r="AI2085">
        <v>94.5721151982045</v>
      </c>
      <c r="AJ2085">
        <v>102.218976492553</v>
      </c>
      <c r="AK2085">
        <v>13.948212383900399</v>
      </c>
      <c r="AL2085">
        <v>66.914325797934694</v>
      </c>
      <c r="AM2085">
        <v>97.522622891681095</v>
      </c>
      <c r="AN2085">
        <v>0.99999995098504801</v>
      </c>
    </row>
    <row r="2086" spans="1:40" x14ac:dyDescent="0.25">
      <c r="A2086" t="str">
        <f>"20190304164640374"</f>
        <v>20190304164640374</v>
      </c>
      <c r="B2086" t="str">
        <f>"1551689200370898"</f>
        <v>1551689200370898</v>
      </c>
      <c r="C2086" t="s">
        <v>40</v>
      </c>
      <c r="D2086">
        <v>4.121696</v>
      </c>
      <c r="E2086">
        <v>0.47302359999999999</v>
      </c>
      <c r="F2086" t="s">
        <v>45</v>
      </c>
      <c r="G2086">
        <v>-477.85669999999999</v>
      </c>
      <c r="H2086" s="1">
        <v>2.9227980000000002E-6</v>
      </c>
      <c r="I2086">
        <v>282.24610000000001</v>
      </c>
      <c r="J2086">
        <v>-464.3974</v>
      </c>
      <c r="K2086">
        <v>1.111937</v>
      </c>
      <c r="L2086">
        <v>285.51220000000001</v>
      </c>
      <c r="M2086">
        <v>-0.99964949999999997</v>
      </c>
      <c r="N2086">
        <v>-1.40749E-2</v>
      </c>
      <c r="O2086">
        <v>-2.241601E-2</v>
      </c>
      <c r="P2086">
        <v>-0.91457699999999997</v>
      </c>
      <c r="Q2086">
        <v>0.37877070000000002</v>
      </c>
      <c r="R2086">
        <v>-0.14170959999999999</v>
      </c>
      <c r="S2086">
        <v>-3.2709959999999998</v>
      </c>
      <c r="T2086">
        <v>-0.26504050000000001</v>
      </c>
      <c r="U2086">
        <v>-0.78015140000000005</v>
      </c>
      <c r="V2086">
        <v>-0.1218805</v>
      </c>
      <c r="W2086">
        <v>0.39142709999999997</v>
      </c>
      <c r="X2086">
        <v>0.91210199999999997</v>
      </c>
      <c r="Y2086">
        <v>-0.20941399999999999</v>
      </c>
      <c r="Z2086">
        <v>-8.3744619999999992E-3</v>
      </c>
      <c r="AA2086">
        <v>0.97779119999999997</v>
      </c>
      <c r="AB2086">
        <v>28</v>
      </c>
      <c r="AC2086">
        <v>-13.459299999999899</v>
      </c>
      <c r="AD2086">
        <v>-1.1119340772020001</v>
      </c>
      <c r="AE2086">
        <v>-3.26609999999999</v>
      </c>
      <c r="AF2086">
        <v>-2.9445659118323801</v>
      </c>
      <c r="AG2086">
        <v>-1.1119340772020001</v>
      </c>
      <c r="AH2086">
        <v>13.4424925767386</v>
      </c>
      <c r="AI2086">
        <v>94.619578473499402</v>
      </c>
      <c r="AJ2086">
        <v>102.35544087772701</v>
      </c>
      <c r="AK2086">
        <v>13.806066509938301</v>
      </c>
      <c r="AL2086">
        <v>66.956674173854196</v>
      </c>
      <c r="AM2086">
        <v>97.611115817674204</v>
      </c>
      <c r="AN2086">
        <v>1.00000004464932</v>
      </c>
    </row>
    <row r="2087" spans="1:40" x14ac:dyDescent="0.25">
      <c r="A2087" t="str">
        <f>"20190304164640407"</f>
        <v>20190304164640407</v>
      </c>
      <c r="B2087" t="str">
        <f>"1551689200400178"</f>
        <v>1551689200400178</v>
      </c>
      <c r="C2087" t="s">
        <v>40</v>
      </c>
      <c r="D2087">
        <v>4.1162970000000003</v>
      </c>
      <c r="E2087">
        <v>0.47295209999999999</v>
      </c>
      <c r="F2087" t="s">
        <v>45</v>
      </c>
      <c r="G2087">
        <v>-477.88889999999998</v>
      </c>
      <c r="H2087" s="1">
        <v>2.90857E-6</v>
      </c>
      <c r="I2087">
        <v>282.24689999999998</v>
      </c>
      <c r="J2087">
        <v>-464.79570000000001</v>
      </c>
      <c r="K2087">
        <v>1.112082</v>
      </c>
      <c r="L2087">
        <v>285.50119999999998</v>
      </c>
      <c r="M2087">
        <v>-0.99960789999999999</v>
      </c>
      <c r="N2087">
        <v>-1.4073230000000001E-2</v>
      </c>
      <c r="O2087">
        <v>-2.4206970000000001E-2</v>
      </c>
      <c r="P2087">
        <v>-0.9144369</v>
      </c>
      <c r="Q2087">
        <v>0.37822630000000002</v>
      </c>
      <c r="R2087">
        <v>-0.14404879999999901</v>
      </c>
      <c r="S2087">
        <v>-3.269196</v>
      </c>
      <c r="T2087">
        <v>-0.26943850000000003</v>
      </c>
      <c r="U2087">
        <v>-0.79122919999999997</v>
      </c>
      <c r="V2087">
        <v>-0.12271849999999999</v>
      </c>
      <c r="W2087">
        <v>0.39083770000000001</v>
      </c>
      <c r="X2087">
        <v>0.91224240000000001</v>
      </c>
      <c r="Y2087">
        <v>-0.21089269999999999</v>
      </c>
      <c r="Z2087">
        <v>-8.4347420000000003E-3</v>
      </c>
      <c r="AA2087">
        <v>0.97747280000000003</v>
      </c>
      <c r="AB2087">
        <v>28</v>
      </c>
      <c r="AC2087">
        <v>-13.0931999999999</v>
      </c>
      <c r="AD2087">
        <v>-1.1120790914299901</v>
      </c>
      <c r="AE2087">
        <v>-3.2543000000000002</v>
      </c>
      <c r="AF2087">
        <v>-2.9165520885960401</v>
      </c>
      <c r="AG2087">
        <v>-1.1120790914299901</v>
      </c>
      <c r="AH2087">
        <v>13.079282107338599</v>
      </c>
      <c r="AI2087">
        <v>94.743978112948497</v>
      </c>
      <c r="AJ2087">
        <v>102.57073357601701</v>
      </c>
      <c r="AK2087">
        <v>13.446583820228801</v>
      </c>
      <c r="AL2087">
        <v>66.993368048449497</v>
      </c>
      <c r="AM2087">
        <v>97.661661649071505</v>
      </c>
      <c r="AN2087">
        <v>1.0000000671706399</v>
      </c>
    </row>
    <row r="2088" spans="1:40" x14ac:dyDescent="0.25">
      <c r="A2088" t="str">
        <f>"20190304164640428"</f>
        <v>20190304164640428</v>
      </c>
      <c r="B2088" t="str">
        <f>"1551689200420674"</f>
        <v>1551689200420674</v>
      </c>
      <c r="C2088" t="s">
        <v>40</v>
      </c>
      <c r="D2088">
        <v>4.1363019999999997</v>
      </c>
      <c r="E2088">
        <v>0.47296129999999997</v>
      </c>
      <c r="F2088" t="s">
        <v>45</v>
      </c>
      <c r="G2088">
        <v>-478.09640000000002</v>
      </c>
      <c r="H2088" s="1">
        <v>2.8162880000000001E-6</v>
      </c>
      <c r="I2088">
        <v>282.24400000000003</v>
      </c>
      <c r="J2088">
        <v>-465.0616</v>
      </c>
      <c r="K2088">
        <v>1.1121970000000001</v>
      </c>
      <c r="L2088">
        <v>285.49329999999998</v>
      </c>
      <c r="M2088">
        <v>-0.99957390000000002</v>
      </c>
      <c r="N2088">
        <v>-1.407282E-2</v>
      </c>
      <c r="O2088">
        <v>-2.5575009999999999E-2</v>
      </c>
      <c r="P2088">
        <v>-0.91447970000000001</v>
      </c>
      <c r="Q2088">
        <v>0.37769130000000001</v>
      </c>
      <c r="R2088">
        <v>-0.14517759999999999</v>
      </c>
      <c r="S2088">
        <v>-3.267639</v>
      </c>
      <c r="T2088">
        <v>-0.27320870000000003</v>
      </c>
      <c r="U2088">
        <v>-0.80020139999999995</v>
      </c>
      <c r="V2088">
        <v>-0.12269380000000001</v>
      </c>
      <c r="W2088">
        <v>0.39027279999999998</v>
      </c>
      <c r="X2088">
        <v>0.91248739999999995</v>
      </c>
      <c r="Y2088">
        <v>-0.21217430000000001</v>
      </c>
      <c r="Z2088">
        <v>-8.4965400000000003E-3</v>
      </c>
      <c r="AA2088">
        <v>0.97719489999999998</v>
      </c>
      <c r="AB2088">
        <v>28</v>
      </c>
      <c r="AC2088">
        <v>-13.034800000000001</v>
      </c>
      <c r="AD2088">
        <v>-1.112194183712</v>
      </c>
      <c r="AE2088">
        <v>-3.2492999999999399</v>
      </c>
      <c r="AF2088">
        <v>-2.8949953092712</v>
      </c>
      <c r="AG2088">
        <v>-1.112194183712</v>
      </c>
      <c r="AH2088">
        <v>13.0243701441553</v>
      </c>
      <c r="AI2088">
        <v>94.765097346537203</v>
      </c>
      <c r="AJ2088">
        <v>102.53170371917901</v>
      </c>
      <c r="AK2088">
        <v>13.3885096778898</v>
      </c>
      <c r="AL2088">
        <v>67.0285236922889</v>
      </c>
      <c r="AM2088">
        <v>97.658105558681001</v>
      </c>
      <c r="AN2088">
        <v>0.99999994106851797</v>
      </c>
    </row>
    <row r="2089" spans="1:40" x14ac:dyDescent="0.25">
      <c r="A2089" t="str">
        <f>"20190304164640450"</f>
        <v>20190304164640450</v>
      </c>
      <c r="B2089" t="str">
        <f>"1551689200440194"</f>
        <v>1551689200440194</v>
      </c>
      <c r="C2089" t="s">
        <v>40</v>
      </c>
      <c r="D2089">
        <v>4.12256</v>
      </c>
      <c r="E2089">
        <v>0.47287970000000001</v>
      </c>
      <c r="F2089" t="s">
        <v>45</v>
      </c>
      <c r="G2089">
        <v>-478.22449999999998</v>
      </c>
      <c r="H2089" s="1">
        <v>2.7598299999999998E-6</v>
      </c>
      <c r="I2089">
        <v>282.24799999999999</v>
      </c>
      <c r="J2089">
        <v>-465.3383</v>
      </c>
      <c r="K2089">
        <v>1.1123179999999999</v>
      </c>
      <c r="L2089">
        <v>285.4846</v>
      </c>
      <c r="M2089">
        <v>-0.99953199999999998</v>
      </c>
      <c r="N2089">
        <v>-1.4072879999999999E-2</v>
      </c>
      <c r="O2089">
        <v>-2.7166200000000001E-2</v>
      </c>
      <c r="P2089">
        <v>-0.91427329999999996</v>
      </c>
      <c r="Q2089">
        <v>0.3777626</v>
      </c>
      <c r="R2089">
        <v>-0.14628820000000001</v>
      </c>
      <c r="S2089">
        <v>-3.2666930000000001</v>
      </c>
      <c r="T2089">
        <v>-0.27601779999999998</v>
      </c>
      <c r="U2089">
        <v>-0.80541989999999997</v>
      </c>
      <c r="V2089">
        <v>-0.1224625</v>
      </c>
      <c r="W2089">
        <v>0.39030969999999998</v>
      </c>
      <c r="X2089">
        <v>0.91250279999999995</v>
      </c>
      <c r="Y2089">
        <v>-0.212146</v>
      </c>
      <c r="Z2089">
        <v>-8.4540299999999995E-3</v>
      </c>
      <c r="AA2089">
        <v>0.9772014</v>
      </c>
      <c r="AB2089">
        <v>27</v>
      </c>
      <c r="AC2089">
        <v>-12.886199999999899</v>
      </c>
      <c r="AD2089">
        <v>-1.1123152401700001</v>
      </c>
      <c r="AE2089">
        <v>-3.2366000000000001</v>
      </c>
      <c r="AF2089">
        <v>-2.8652200358926101</v>
      </c>
      <c r="AG2089">
        <v>-1.1123152401700001</v>
      </c>
      <c r="AH2089">
        <v>12.879112051503199</v>
      </c>
      <c r="AI2089">
        <v>94.818913003555593</v>
      </c>
      <c r="AJ2089">
        <v>102.542352405361</v>
      </c>
      <c r="AK2089">
        <v>13.240780123647101</v>
      </c>
      <c r="AL2089">
        <v>67.0262298328024</v>
      </c>
      <c r="AM2089">
        <v>97.643712018417403</v>
      </c>
      <c r="AN2089">
        <v>1.0000000429140801</v>
      </c>
    </row>
    <row r="2090" spans="1:40" x14ac:dyDescent="0.25">
      <c r="A2090" t="str">
        <f>"20190304164640473"</f>
        <v>20190304164640473</v>
      </c>
      <c r="B2090" t="str">
        <f>"1551689200470450"</f>
        <v>1551689200470450</v>
      </c>
      <c r="C2090" t="s">
        <v>40</v>
      </c>
      <c r="D2090">
        <v>4.1363519999999996</v>
      </c>
      <c r="E2090">
        <v>0.47278789999999998</v>
      </c>
      <c r="F2090" t="s">
        <v>45</v>
      </c>
      <c r="G2090">
        <v>-478.48309999999998</v>
      </c>
      <c r="H2090" s="1">
        <v>2.6419699999999999E-6</v>
      </c>
      <c r="I2090">
        <v>282.21159999999998</v>
      </c>
      <c r="J2090">
        <v>-465.61149999999998</v>
      </c>
      <c r="K2090">
        <v>1.1124540000000001</v>
      </c>
      <c r="L2090">
        <v>285.4753</v>
      </c>
      <c r="M2090">
        <v>-0.99948199999999998</v>
      </c>
      <c r="N2090">
        <v>-1.407312E-2</v>
      </c>
      <c r="O2090">
        <v>-2.8940150000000001E-2</v>
      </c>
      <c r="P2090">
        <v>-0.91385669999999997</v>
      </c>
      <c r="Q2090">
        <v>0.37781140000000002</v>
      </c>
      <c r="R2090">
        <v>-0.14874329999999999</v>
      </c>
      <c r="S2090">
        <v>-3.2653500000000002</v>
      </c>
      <c r="T2090">
        <v>-0.27631319999999998</v>
      </c>
      <c r="U2090">
        <v>-0.81304929999999997</v>
      </c>
      <c r="V2090">
        <v>-0.1234233</v>
      </c>
      <c r="W2090">
        <v>0.39031500000000002</v>
      </c>
      <c r="X2090">
        <v>0.91237100000000004</v>
      </c>
      <c r="Y2090">
        <v>-0.21265690000000001</v>
      </c>
      <c r="Z2090">
        <v>-8.3644189999999997E-3</v>
      </c>
      <c r="AA2090">
        <v>0.97709109999999999</v>
      </c>
      <c r="AB2090">
        <v>27</v>
      </c>
      <c r="AC2090">
        <v>-12.871600000000001</v>
      </c>
      <c r="AD2090">
        <v>-1.1124513580299999</v>
      </c>
      <c r="AE2090">
        <v>-3.26370000000002</v>
      </c>
      <c r="AF2090">
        <v>-2.8696494969744402</v>
      </c>
      <c r="AG2090">
        <v>-1.1124513580299999</v>
      </c>
      <c r="AH2090">
        <v>12.8703401262354</v>
      </c>
      <c r="AI2090">
        <v>94.822264281224506</v>
      </c>
      <c r="AJ2090">
        <v>102.56941646785199</v>
      </c>
      <c r="AK2090">
        <v>13.2332192313304</v>
      </c>
      <c r="AL2090">
        <v>67.025898376808001</v>
      </c>
      <c r="AM2090">
        <v>97.704064166928504</v>
      </c>
      <c r="AN2090">
        <v>0.99999997592444401</v>
      </c>
    </row>
    <row r="2091" spans="1:40" x14ac:dyDescent="0.25">
      <c r="A2091" t="str">
        <f>"20190304164640496"</f>
        <v>20190304164640496</v>
      </c>
      <c r="B2091" t="str">
        <f>"1551689200489970"</f>
        <v>1551689200489970</v>
      </c>
      <c r="C2091" t="s">
        <v>40</v>
      </c>
      <c r="D2091">
        <v>4.2437389999999997</v>
      </c>
      <c r="E2091">
        <v>0.47273969999999998</v>
      </c>
      <c r="F2091" t="s">
        <v>45</v>
      </c>
      <c r="G2091">
        <v>-478.72250000000003</v>
      </c>
      <c r="H2091" s="1">
        <v>2.532143E-6</v>
      </c>
      <c r="I2091">
        <v>282.1696</v>
      </c>
      <c r="J2091">
        <v>-465.89089999999999</v>
      </c>
      <c r="K2091">
        <v>1.112608</v>
      </c>
      <c r="L2091">
        <v>285.46499999999997</v>
      </c>
      <c r="M2091">
        <v>-0.99942050000000004</v>
      </c>
      <c r="N2091">
        <v>-1.4074720000000001E-2</v>
      </c>
      <c r="O2091">
        <v>-3.0998830000000002E-2</v>
      </c>
      <c r="P2091">
        <v>-0.91324819999999995</v>
      </c>
      <c r="Q2091">
        <v>0.37785020000000002</v>
      </c>
      <c r="R2091">
        <v>-0.15234010000000001</v>
      </c>
      <c r="S2091">
        <v>-3.2633670000000001</v>
      </c>
      <c r="T2091">
        <v>-0.27689140000000001</v>
      </c>
      <c r="U2091">
        <v>-0.82278439999999997</v>
      </c>
      <c r="V2091">
        <v>-0.1252915</v>
      </c>
      <c r="W2091">
        <v>0.39029999999999998</v>
      </c>
      <c r="X2091">
        <v>0.91212280000000001</v>
      </c>
      <c r="Y2091">
        <v>-0.21352460000000001</v>
      </c>
      <c r="Z2091">
        <v>-8.2796429999999997E-3</v>
      </c>
      <c r="AA2091">
        <v>0.97690259999999995</v>
      </c>
      <c r="AB2091">
        <v>27</v>
      </c>
      <c r="AC2091">
        <v>-12.8316</v>
      </c>
      <c r="AD2091">
        <v>-1.1126054678569901</v>
      </c>
      <c r="AE2091">
        <v>-3.2953999999999701</v>
      </c>
      <c r="AF2091">
        <v>-2.87572919519903</v>
      </c>
      <c r="AG2091">
        <v>-1.1126054678569901</v>
      </c>
      <c r="AH2091">
        <v>12.8370545018191</v>
      </c>
      <c r="AI2091">
        <v>94.834298221320793</v>
      </c>
      <c r="AJ2091">
        <v>102.62681008302501</v>
      </c>
      <c r="AK2091">
        <v>13.2021845773303</v>
      </c>
      <c r="AL2091">
        <v>67.026833071911895</v>
      </c>
      <c r="AM2091">
        <v>97.821346345618295</v>
      </c>
      <c r="AN2091">
        <v>1.00000002612604</v>
      </c>
    </row>
    <row r="2092" spans="1:40" x14ac:dyDescent="0.25">
      <c r="A2092" t="str">
        <f>"20190304164640519"</f>
        <v>20190304164640519</v>
      </c>
      <c r="B2092" t="str">
        <f>"1551689200510466"</f>
        <v>1551689200510466</v>
      </c>
      <c r="C2092" t="s">
        <v>40</v>
      </c>
      <c r="D2092">
        <v>4.0817459999999999</v>
      </c>
      <c r="E2092">
        <v>0.47118379999999999</v>
      </c>
      <c r="F2092" t="s">
        <v>45</v>
      </c>
      <c r="G2092">
        <v>-478.97859999999997</v>
      </c>
      <c r="H2092" s="1">
        <v>2.4140140000000001E-6</v>
      </c>
      <c r="I2092">
        <v>282.11750000000001</v>
      </c>
      <c r="J2092">
        <v>-466.16</v>
      </c>
      <c r="K2092">
        <v>1.1127720000000001</v>
      </c>
      <c r="L2092">
        <v>285.45429999999999</v>
      </c>
      <c r="M2092">
        <v>-0.99934920000000005</v>
      </c>
      <c r="N2092">
        <v>-1.4077579999999999E-2</v>
      </c>
      <c r="O2092">
        <v>-3.3213510000000002E-2</v>
      </c>
      <c r="P2092">
        <v>-0.9127518</v>
      </c>
      <c r="Q2092">
        <v>0.37749759999999999</v>
      </c>
      <c r="R2092">
        <v>-0.15614029999999901</v>
      </c>
      <c r="S2092">
        <v>-3.2604980000000001</v>
      </c>
      <c r="T2092">
        <v>-0.27718039999999999</v>
      </c>
      <c r="U2092">
        <v>-0.83395390000000003</v>
      </c>
      <c r="V2092">
        <v>-0.12722710000000001</v>
      </c>
      <c r="W2092">
        <v>0.38989210000000002</v>
      </c>
      <c r="X2092">
        <v>0.91202930000000004</v>
      </c>
      <c r="Y2092">
        <v>-0.2147058</v>
      </c>
      <c r="Z2092">
        <v>-8.1938759999999992E-3</v>
      </c>
      <c r="AA2092">
        <v>0.97664439999999997</v>
      </c>
      <c r="AB2092">
        <v>27</v>
      </c>
      <c r="AC2092">
        <v>-12.818599999999901</v>
      </c>
      <c r="AD2092">
        <v>-1.1127695859859901</v>
      </c>
      <c r="AE2092">
        <v>-3.3367999999999798</v>
      </c>
      <c r="AF2092">
        <v>-2.8887780323494798</v>
      </c>
      <c r="AG2092">
        <v>-1.1127695859859901</v>
      </c>
      <c r="AH2092">
        <v>12.831802760031399</v>
      </c>
      <c r="AI2092">
        <v>94.835836574426395</v>
      </c>
      <c r="AJ2092">
        <v>102.68727852623999</v>
      </c>
      <c r="AK2092">
        <v>13.199941543205</v>
      </c>
      <c r="AL2092">
        <v>67.052214631783499</v>
      </c>
      <c r="AM2092">
        <v>97.941450438937906</v>
      </c>
      <c r="AN2092">
        <v>1.00000001433765</v>
      </c>
    </row>
    <row r="2093" spans="1:40" x14ac:dyDescent="0.25">
      <c r="A2093" t="str">
        <f>"20190304164640567"</f>
        <v>20190304164640567</v>
      </c>
      <c r="B2093" t="str">
        <f>"1551689200560242"</f>
        <v>1551689200560242</v>
      </c>
      <c r="C2093" t="s">
        <v>40</v>
      </c>
      <c r="D2093">
        <v>4.0637559999999997</v>
      </c>
      <c r="E2093">
        <v>0.38322319999999999</v>
      </c>
      <c r="F2093" t="s">
        <v>45</v>
      </c>
      <c r="G2093">
        <v>-479.37</v>
      </c>
      <c r="H2093" s="1">
        <v>2.2274749999999998E-6</v>
      </c>
      <c r="I2093">
        <v>281.96899999999999</v>
      </c>
      <c r="J2093">
        <v>-466.71300000000002</v>
      </c>
      <c r="K2093">
        <v>1.113078</v>
      </c>
      <c r="L2093">
        <v>285.42959999999999</v>
      </c>
      <c r="M2093">
        <v>-0.99916360000000004</v>
      </c>
      <c r="N2093">
        <v>-1.408455E-2</v>
      </c>
      <c r="O2093">
        <v>-3.8391149999999999E-2</v>
      </c>
      <c r="P2093">
        <v>-0.91208339999999999</v>
      </c>
      <c r="Q2093">
        <v>0.37606820000000002</v>
      </c>
      <c r="R2093">
        <v>-0.16333029999999901</v>
      </c>
      <c r="S2093">
        <v>-3.2532649999999999</v>
      </c>
      <c r="T2093">
        <v>-0.27404610000000001</v>
      </c>
      <c r="U2093">
        <v>-0.85833740000000003</v>
      </c>
      <c r="V2093">
        <v>-0.1299766</v>
      </c>
      <c r="W2093">
        <v>0.3883626</v>
      </c>
      <c r="X2093">
        <v>0.9122941</v>
      </c>
      <c r="Y2093">
        <v>-0.21704000000000001</v>
      </c>
      <c r="Z2093">
        <v>-7.8917640000000008E-3</v>
      </c>
      <c r="AA2093">
        <v>0.97613079999999997</v>
      </c>
      <c r="AB2093">
        <v>27</v>
      </c>
      <c r="AC2093">
        <v>-12.656999999999901</v>
      </c>
      <c r="AD2093">
        <v>-1.113075772525</v>
      </c>
      <c r="AE2093">
        <v>-3.4605999999999901</v>
      </c>
      <c r="AF2093">
        <v>-2.9508496580832602</v>
      </c>
      <c r="AG2093">
        <v>-1.113075772525</v>
      </c>
      <c r="AH2093">
        <v>12.689227848283799</v>
      </c>
      <c r="AI2093">
        <v>94.883399972285204</v>
      </c>
      <c r="AJ2093">
        <v>103.091320930175</v>
      </c>
      <c r="AK2093">
        <v>13.075280293961301</v>
      </c>
      <c r="AL2093">
        <v>67.147345509468593</v>
      </c>
      <c r="AM2093">
        <v>98.1084899344402</v>
      </c>
      <c r="AN2093">
        <v>0.99999997526056394</v>
      </c>
    </row>
    <row r="2094" spans="1:40" x14ac:dyDescent="0.25">
      <c r="A2094" t="str">
        <f>"20190304164640586"</f>
        <v>20190304164640586</v>
      </c>
      <c r="B2094" t="str">
        <f>"1551689200580738"</f>
        <v>1551689200580738</v>
      </c>
      <c r="C2094" t="s">
        <v>40</v>
      </c>
      <c r="D2094">
        <v>4.0596509999999997</v>
      </c>
      <c r="E2094">
        <v>0.38143630000000001</v>
      </c>
      <c r="F2094" t="s">
        <v>45</v>
      </c>
      <c r="G2094">
        <v>-480.06979999999999</v>
      </c>
      <c r="H2094" s="1">
        <v>1.60956E-6</v>
      </c>
      <c r="I2094">
        <v>278.69920000000002</v>
      </c>
      <c r="J2094">
        <v>-466.98899999999998</v>
      </c>
      <c r="K2094">
        <v>1.1132169999999999</v>
      </c>
      <c r="L2094">
        <v>285.41590000000002</v>
      </c>
      <c r="M2094">
        <v>-0.99904740000000003</v>
      </c>
      <c r="N2094">
        <v>-1.408826E-2</v>
      </c>
      <c r="O2094">
        <v>-4.1303310000000003E-2</v>
      </c>
      <c r="P2094">
        <v>-0.91177710000000001</v>
      </c>
      <c r="Q2094">
        <v>0.3751834</v>
      </c>
      <c r="R2094">
        <v>-0.16703399999999999</v>
      </c>
      <c r="S2094">
        <v>-3.1151430000000002</v>
      </c>
      <c r="T2094">
        <v>-0.25959650000000001</v>
      </c>
      <c r="U2094">
        <v>-1.5697019999999999</v>
      </c>
      <c r="V2094">
        <v>-0.13114979999999901</v>
      </c>
      <c r="W2094">
        <v>0.38743270000000002</v>
      </c>
      <c r="X2094">
        <v>0.91252160000000004</v>
      </c>
      <c r="Y2094">
        <v>-0.41143649999999998</v>
      </c>
      <c r="Z2094">
        <v>-1.6533840000000001E-2</v>
      </c>
      <c r="AA2094">
        <v>0.9112884</v>
      </c>
      <c r="AB2094">
        <v>27</v>
      </c>
      <c r="AC2094">
        <v>-13.080799999999901</v>
      </c>
      <c r="AD2094">
        <v>-1.11321539044</v>
      </c>
      <c r="AE2094">
        <v>-6.7167000000000003</v>
      </c>
      <c r="AF2094">
        <v>-6.1354685265204099</v>
      </c>
      <c r="AG2094">
        <v>-1.11321539044</v>
      </c>
      <c r="AH2094">
        <v>13.271023421184299</v>
      </c>
      <c r="AI2094">
        <v>94.354089710791499</v>
      </c>
      <c r="AJ2094">
        <v>114.812076778101</v>
      </c>
      <c r="AK2094">
        <v>14.662990322272501</v>
      </c>
      <c r="AL2094">
        <v>67.205151926009407</v>
      </c>
      <c r="AM2094">
        <v>98.178680873041202</v>
      </c>
      <c r="AN2094">
        <v>1.0000000187679401</v>
      </c>
    </row>
    <row r="2095" spans="1:40" x14ac:dyDescent="0.25">
      <c r="A2095" t="str">
        <f>"20190304164640609"</f>
        <v>20190304164640609</v>
      </c>
      <c r="B2095" t="str">
        <f>"1551689200600258"</f>
        <v>1551689200600258</v>
      </c>
      <c r="C2095" t="s">
        <v>40</v>
      </c>
      <c r="D2095">
        <v>4.0955079999999997</v>
      </c>
      <c r="E2095">
        <v>0.38180819999999999</v>
      </c>
      <c r="F2095" t="s">
        <v>45</v>
      </c>
      <c r="G2095">
        <v>-480.04829999999998</v>
      </c>
      <c r="H2095" s="1">
        <v>1.6091500000000001E-6</v>
      </c>
      <c r="I2095">
        <v>278.70769999999999</v>
      </c>
      <c r="J2095">
        <v>-467.25450000000001</v>
      </c>
      <c r="K2095">
        <v>1.1133660000000001</v>
      </c>
      <c r="L2095">
        <v>285.40159999999997</v>
      </c>
      <c r="M2095">
        <v>-0.99891730000000001</v>
      </c>
      <c r="N2095">
        <v>-1.4092759999999999E-2</v>
      </c>
      <c r="O2095">
        <v>-4.4335180000000002E-2</v>
      </c>
      <c r="P2095">
        <v>-0.91143300000000005</v>
      </c>
      <c r="Q2095">
        <v>0.3740019</v>
      </c>
      <c r="R2095">
        <v>-0.1715006</v>
      </c>
      <c r="S2095">
        <v>-3.106903</v>
      </c>
      <c r="T2095">
        <v>-0.26484049999999998</v>
      </c>
      <c r="U2095">
        <v>-1.595917</v>
      </c>
      <c r="V2095">
        <v>-0.1329767</v>
      </c>
      <c r="W2095">
        <v>0.38620149999999998</v>
      </c>
      <c r="X2095">
        <v>0.91277909999999995</v>
      </c>
      <c r="Y2095">
        <v>-0.41568719999999998</v>
      </c>
      <c r="Z2095">
        <v>-1.6808380000000001E-2</v>
      </c>
      <c r="AA2095">
        <v>0.9093523</v>
      </c>
      <c r="AB2095">
        <v>27</v>
      </c>
      <c r="AC2095">
        <v>-12.7937999999999</v>
      </c>
      <c r="AD2095">
        <v>-1.1133643908499999</v>
      </c>
      <c r="AE2095">
        <v>-6.6938999999999798</v>
      </c>
      <c r="AF2095">
        <v>-6.0838730783377102</v>
      </c>
      <c r="AG2095">
        <v>-1.1133643908499999</v>
      </c>
      <c r="AH2095">
        <v>13.0007261093601</v>
      </c>
      <c r="AI2095">
        <v>94.435305126865401</v>
      </c>
      <c r="AJ2095">
        <v>115.077906596278</v>
      </c>
      <c r="AK2095">
        <v>14.3969431224386</v>
      </c>
      <c r="AL2095">
        <v>67.281649914943401</v>
      </c>
      <c r="AM2095">
        <v>98.288729280066505</v>
      </c>
      <c r="AN2095">
        <v>1.0000000433709699</v>
      </c>
    </row>
    <row r="2096" spans="1:40" x14ac:dyDescent="0.25">
      <c r="A2096" t="str">
        <f>"20190304164640629"</f>
        <v>20190304164640629</v>
      </c>
      <c r="B2096" t="str">
        <f>"1551689200620754"</f>
        <v>1551689200620754</v>
      </c>
      <c r="C2096" t="s">
        <v>40</v>
      </c>
      <c r="D2096">
        <v>4.0891109999999999</v>
      </c>
      <c r="E2096">
        <v>0.38194060000000002</v>
      </c>
      <c r="F2096" t="s">
        <v>45</v>
      </c>
      <c r="G2096">
        <v>-479.89530000000002</v>
      </c>
      <c r="H2096" s="1">
        <v>1.655629E-6</v>
      </c>
      <c r="I2096">
        <v>278.84429999999998</v>
      </c>
      <c r="J2096">
        <v>-467.50279999999998</v>
      </c>
      <c r="K2096">
        <v>1.1135379999999999</v>
      </c>
      <c r="L2096">
        <v>285.38740000000001</v>
      </c>
      <c r="M2096">
        <v>-0.99877570000000004</v>
      </c>
      <c r="N2096">
        <v>-1.409875E-2</v>
      </c>
      <c r="O2096">
        <v>-4.7419629999999997E-2</v>
      </c>
      <c r="P2096">
        <v>-0.91055790000000003</v>
      </c>
      <c r="Q2096">
        <v>0.37382100000000001</v>
      </c>
      <c r="R2096">
        <v>-0.1764722</v>
      </c>
      <c r="S2096">
        <v>-3.1009220000000002</v>
      </c>
      <c r="T2096">
        <v>-0.2731209</v>
      </c>
      <c r="U2096">
        <v>-1.608582</v>
      </c>
      <c r="V2096">
        <v>-0.13530500000000001</v>
      </c>
      <c r="W2096">
        <v>0.38595600000000002</v>
      </c>
      <c r="X2096">
        <v>0.91254069999999998</v>
      </c>
      <c r="Y2096">
        <v>-0.41645090000000001</v>
      </c>
      <c r="Z2096">
        <v>-1.7057559999999999E-2</v>
      </c>
      <c r="AA2096">
        <v>0.90899810000000003</v>
      </c>
      <c r="AB2096">
        <v>27</v>
      </c>
      <c r="AC2096">
        <v>-12.3925</v>
      </c>
      <c r="AD2096">
        <v>-1.113536344371</v>
      </c>
      <c r="AE2096">
        <v>-6.5431000000000301</v>
      </c>
      <c r="AF2096">
        <v>-5.9107121753456804</v>
      </c>
      <c r="AG2096">
        <v>-1.113536344371</v>
      </c>
      <c r="AH2096">
        <v>12.6092450169799</v>
      </c>
      <c r="AI2096">
        <v>94.571744460455506</v>
      </c>
      <c r="AJ2096">
        <v>115.115313870459</v>
      </c>
      <c r="AK2096">
        <v>13.970309284631</v>
      </c>
      <c r="AL2096">
        <v>67.296897332712902</v>
      </c>
      <c r="AM2096">
        <v>98.433959702932498</v>
      </c>
      <c r="AN2096">
        <v>1.0000000030587399</v>
      </c>
    </row>
    <row r="2097" spans="1:40" x14ac:dyDescent="0.25">
      <c r="A2097" t="str">
        <f>"20190304164640653"</f>
        <v>20190304164640653</v>
      </c>
      <c r="B2097" t="str">
        <f>"1551689200650035"</f>
        <v>1551689200650035</v>
      </c>
      <c r="C2097" t="s">
        <v>40</v>
      </c>
      <c r="D2097">
        <v>4.1255889999999997</v>
      </c>
      <c r="E2097">
        <v>0.38230510000000001</v>
      </c>
      <c r="F2097" t="s">
        <v>45</v>
      </c>
      <c r="G2097">
        <v>-480.04640000000001</v>
      </c>
      <c r="H2097" s="1">
        <v>1.625601E-6</v>
      </c>
      <c r="I2097">
        <v>278.8021</v>
      </c>
      <c r="J2097">
        <v>-467.7946</v>
      </c>
      <c r="K2097">
        <v>1.1137649999999999</v>
      </c>
      <c r="L2097">
        <v>285.36939999999998</v>
      </c>
      <c r="M2097">
        <v>-0.99858150000000001</v>
      </c>
      <c r="N2097">
        <v>-1.4108870000000001E-2</v>
      </c>
      <c r="O2097">
        <v>-5.1341900000000003E-2</v>
      </c>
      <c r="P2097">
        <v>-0.909385</v>
      </c>
      <c r="Q2097">
        <v>0.37417909999999999</v>
      </c>
      <c r="R2097">
        <v>-0.18168380000000001</v>
      </c>
      <c r="S2097">
        <v>-3.0927120000000001</v>
      </c>
      <c r="T2097">
        <v>-0.27454959999999901</v>
      </c>
      <c r="U2097">
        <v>-1.6236569999999999</v>
      </c>
      <c r="V2097">
        <v>-0.1371782</v>
      </c>
      <c r="W2097">
        <v>0.3862331</v>
      </c>
      <c r="X2097">
        <v>0.9121437</v>
      </c>
      <c r="Y2097">
        <v>-0.4173384</v>
      </c>
      <c r="Z2097">
        <v>-1.692169E-2</v>
      </c>
      <c r="AA2097">
        <v>0.9085936</v>
      </c>
      <c r="AB2097">
        <v>27</v>
      </c>
      <c r="AC2097">
        <v>-12.251799999999999</v>
      </c>
      <c r="AD2097">
        <v>-1.1137633743990001</v>
      </c>
      <c r="AE2097">
        <v>-6.5672999999999799</v>
      </c>
      <c r="AF2097">
        <v>-5.8917219962320404</v>
      </c>
      <c r="AG2097">
        <v>-1.1137633743990001</v>
      </c>
      <c r="AH2097">
        <v>12.4926535721241</v>
      </c>
      <c r="AI2097">
        <v>94.610116401048003</v>
      </c>
      <c r="AJ2097">
        <v>115.249264871116</v>
      </c>
      <c r="AK2097">
        <v>13.857101075194</v>
      </c>
      <c r="AL2097">
        <v>67.279685972727293</v>
      </c>
      <c r="AM2097">
        <v>98.552673838428305</v>
      </c>
      <c r="AN2097">
        <v>0.99999999777026904</v>
      </c>
    </row>
    <row r="2098" spans="1:40" x14ac:dyDescent="0.25">
      <c r="A2098" t="str">
        <f>"20190304164640675"</f>
        <v>20190304164640675</v>
      </c>
      <c r="B2098" t="str">
        <f>"1551689200670531"</f>
        <v>1551689200670531</v>
      </c>
      <c r="C2098" t="s">
        <v>40</v>
      </c>
      <c r="D2098">
        <v>4.1409060000000002</v>
      </c>
      <c r="E2098">
        <v>0.38260620000000001</v>
      </c>
      <c r="F2098" t="s">
        <v>45</v>
      </c>
      <c r="G2098">
        <v>-480.35879999999997</v>
      </c>
      <c r="H2098" s="1">
        <v>1.6339200000000001E-6</v>
      </c>
      <c r="I2098">
        <v>278.69200000000001</v>
      </c>
      <c r="J2098">
        <v>-468.04270000000002</v>
      </c>
      <c r="K2098">
        <v>1.113974</v>
      </c>
      <c r="L2098">
        <v>285.3528</v>
      </c>
      <c r="M2098">
        <v>-0.99838919999999998</v>
      </c>
      <c r="N2098">
        <v>-1.4119720000000001E-2</v>
      </c>
      <c r="O2098">
        <v>-5.495191E-2</v>
      </c>
      <c r="P2098">
        <v>-0.90822329999999996</v>
      </c>
      <c r="Q2098">
        <v>0.37424370000000001</v>
      </c>
      <c r="R2098">
        <v>-0.18727569999999999</v>
      </c>
      <c r="S2098">
        <v>-3.0839539999999999</v>
      </c>
      <c r="T2098">
        <v>-0.27338030000000002</v>
      </c>
      <c r="U2098">
        <v>-1.639008</v>
      </c>
      <c r="V2098">
        <v>-0.13969770000000001</v>
      </c>
      <c r="W2098">
        <v>0.38621949999999999</v>
      </c>
      <c r="X2098">
        <v>0.91176699999999999</v>
      </c>
      <c r="Y2098">
        <v>-0.4186608</v>
      </c>
      <c r="Z2098">
        <v>-1.6706160000000001E-2</v>
      </c>
      <c r="AA2098">
        <v>0.90798900000000005</v>
      </c>
      <c r="AB2098">
        <v>27</v>
      </c>
      <c r="AC2098">
        <v>-12.316099999999899</v>
      </c>
      <c r="AD2098">
        <v>-1.1139723660800001</v>
      </c>
      <c r="AE2098">
        <v>-6.6607999999999903</v>
      </c>
      <c r="AF2098">
        <v>-5.9362984732482396</v>
      </c>
      <c r="AG2098">
        <v>-1.1139723660800001</v>
      </c>
      <c r="AH2098">
        <v>12.583895818607701</v>
      </c>
      <c r="AI2098">
        <v>94.577471494149407</v>
      </c>
      <c r="AJ2098">
        <v>115.25502020994701</v>
      </c>
      <c r="AK2098">
        <v>13.958331131243799</v>
      </c>
      <c r="AL2098">
        <v>67.280530942023404</v>
      </c>
      <c r="AM2098">
        <v>98.710913581411205</v>
      </c>
      <c r="AN2098">
        <v>1.00000000592727</v>
      </c>
    </row>
    <row r="2099" spans="1:40" x14ac:dyDescent="0.25">
      <c r="A2099" t="str">
        <f>"20190304164640698"</f>
        <v>20190304164640698</v>
      </c>
      <c r="B2099" t="str">
        <f>"1551689200691027"</f>
        <v>1551689200691027</v>
      </c>
      <c r="C2099" t="s">
        <v>40</v>
      </c>
      <c r="D2099">
        <v>4.1530709999999997</v>
      </c>
      <c r="E2099">
        <v>0.38287450000000001</v>
      </c>
      <c r="F2099" t="s">
        <v>41</v>
      </c>
      <c r="G2099">
        <v>-468.97930000000002</v>
      </c>
      <c r="H2099">
        <v>1.0302559999999901</v>
      </c>
      <c r="I2099">
        <v>284.8492</v>
      </c>
      <c r="J2099">
        <v>-468.3306</v>
      </c>
      <c r="K2099">
        <v>1.1141920000000001</v>
      </c>
      <c r="L2099">
        <v>285.33190000000002</v>
      </c>
      <c r="M2099">
        <v>-0.99813110000000005</v>
      </c>
      <c r="N2099">
        <v>-1.413303E-2</v>
      </c>
      <c r="O2099">
        <v>-5.9453390000000002E-2</v>
      </c>
      <c r="P2099">
        <v>-0.90703109999999998</v>
      </c>
      <c r="Q2099">
        <v>0.373363</v>
      </c>
      <c r="R2099">
        <v>-0.1946669</v>
      </c>
      <c r="S2099">
        <v>-3.075348</v>
      </c>
      <c r="T2099">
        <v>-0.27486369999999999</v>
      </c>
      <c r="U2099">
        <v>-1.653931</v>
      </c>
      <c r="V2099">
        <v>-0.14321039999999999</v>
      </c>
      <c r="W2099">
        <v>0.38524940000000002</v>
      </c>
      <c r="X2099">
        <v>0.91163240000000001</v>
      </c>
      <c r="Y2099">
        <v>-0.41903760000000001</v>
      </c>
      <c r="Z2099">
        <v>-1.6505880000000001E-2</v>
      </c>
      <c r="AA2099">
        <v>0.90781889999999998</v>
      </c>
      <c r="AB2099">
        <v>27</v>
      </c>
      <c r="AC2099">
        <v>-0.64870000000001904</v>
      </c>
      <c r="AD2099">
        <v>-8.3936000000000205E-2</v>
      </c>
      <c r="AE2099">
        <v>-0.482700000000022</v>
      </c>
      <c r="AF2099">
        <v>-0.438549048940159</v>
      </c>
      <c r="AG2099">
        <v>-8.3936000000000205E-2</v>
      </c>
      <c r="AH2099">
        <v>0.66904389296442401</v>
      </c>
      <c r="AI2099">
        <v>95.989814746676402</v>
      </c>
      <c r="AJ2099">
        <v>123.24428890696601</v>
      </c>
      <c r="AK2099">
        <v>0.80435704207479197</v>
      </c>
      <c r="AL2099">
        <v>67.340775230966301</v>
      </c>
      <c r="AM2099">
        <v>98.927761305867307</v>
      </c>
      <c r="AN2099">
        <v>0.99999997579913902</v>
      </c>
    </row>
    <row r="2100" spans="1:40" x14ac:dyDescent="0.25">
      <c r="A2100" t="str">
        <f>"20190304164640731"</f>
        <v>20190304164640731</v>
      </c>
      <c r="B2100" t="str">
        <f>"1551689200720306"</f>
        <v>1551689200720306</v>
      </c>
      <c r="C2100" t="s">
        <v>40</v>
      </c>
      <c r="D2100">
        <v>4.1999069999999996</v>
      </c>
      <c r="E2100">
        <v>0.38298749999999998</v>
      </c>
      <c r="F2100" t="s">
        <v>41</v>
      </c>
      <c r="G2100">
        <v>-469.2208</v>
      </c>
      <c r="H2100">
        <v>1.032626</v>
      </c>
      <c r="I2100">
        <v>284.8451</v>
      </c>
      <c r="J2100">
        <v>-468.71440000000001</v>
      </c>
      <c r="K2100">
        <v>1.1144160000000001</v>
      </c>
      <c r="L2100">
        <v>285.30169999999998</v>
      </c>
      <c r="M2100">
        <v>-0.99773000000000001</v>
      </c>
      <c r="N2100">
        <v>-1.4148340000000001E-2</v>
      </c>
      <c r="O2100">
        <v>-6.583907E-2</v>
      </c>
      <c r="P2100">
        <v>-0.90488139999999995</v>
      </c>
      <c r="Q2100">
        <v>0.37265219999999999</v>
      </c>
      <c r="R2100">
        <v>-0.20571819999999999</v>
      </c>
      <c r="S2100">
        <v>-3.0636899999999998</v>
      </c>
      <c r="T2100">
        <v>-0.28072930000000001</v>
      </c>
      <c r="U2100">
        <v>-1.6746220000000001</v>
      </c>
      <c r="V2100">
        <v>-0.1487174</v>
      </c>
      <c r="W2100">
        <v>0.38442379999999998</v>
      </c>
      <c r="X2100">
        <v>0.91109910000000005</v>
      </c>
      <c r="Y2100">
        <v>-0.4193615</v>
      </c>
      <c r="Z2100">
        <v>-1.6365870000000001E-2</v>
      </c>
      <c r="AA2100">
        <v>0.90767180000000003</v>
      </c>
      <c r="AB2100">
        <v>27</v>
      </c>
      <c r="AC2100">
        <v>-0.50639999999998497</v>
      </c>
      <c r="AD2100">
        <v>-8.1790000000000002E-2</v>
      </c>
      <c r="AE2100">
        <v>-0.45659999999998002</v>
      </c>
      <c r="AF2100">
        <v>-0.41627524498727903</v>
      </c>
      <c r="AG2100">
        <v>-8.1790000000000002E-2</v>
      </c>
      <c r="AH2100">
        <v>0.52777225396813998</v>
      </c>
      <c r="AI2100">
        <v>96.9375521517522</v>
      </c>
      <c r="AJ2100">
        <v>128.264267964775</v>
      </c>
      <c r="AK2100">
        <v>0.67713974609959904</v>
      </c>
      <c r="AL2100">
        <v>67.392027387463997</v>
      </c>
      <c r="AM2100">
        <v>99.270551391728404</v>
      </c>
      <c r="AN2100">
        <v>1.0000000465450001</v>
      </c>
    </row>
    <row r="2101" spans="1:40" x14ac:dyDescent="0.25">
      <c r="A2101" t="str">
        <f>"20190304164640776"</f>
        <v>20190304164640776</v>
      </c>
      <c r="B2101" t="str">
        <f>"1551689200770082"</f>
        <v>1551689200770082</v>
      </c>
      <c r="C2101" t="s">
        <v>40</v>
      </c>
      <c r="D2101">
        <v>4.1722999999999999</v>
      </c>
      <c r="E2101">
        <v>0.38341550000000002</v>
      </c>
      <c r="F2101" t="s">
        <v>45</v>
      </c>
      <c r="G2101">
        <v>-480.4821</v>
      </c>
      <c r="H2101" s="1">
        <v>1.6498070000000001E-6</v>
      </c>
      <c r="I2101">
        <v>278.7201</v>
      </c>
      <c r="J2101">
        <v>-469.24880000000002</v>
      </c>
      <c r="K2101">
        <v>1.1146149999999999</v>
      </c>
      <c r="L2101">
        <v>285.25490000000002</v>
      </c>
      <c r="M2101">
        <v>-0.99705759999999999</v>
      </c>
      <c r="N2101">
        <v>-1.4164380000000001E-2</v>
      </c>
      <c r="O2101">
        <v>-7.5335940000000004E-2</v>
      </c>
      <c r="P2101">
        <v>-0.9022135</v>
      </c>
      <c r="Q2101">
        <v>0.37106040000000001</v>
      </c>
      <c r="R2101">
        <v>-0.21982969999999999</v>
      </c>
      <c r="S2101">
        <v>-3.0467529999999998</v>
      </c>
      <c r="T2101">
        <v>-0.28853190000000001</v>
      </c>
      <c r="U2101">
        <v>-1.7040409999999999</v>
      </c>
      <c r="V2101">
        <v>-0.15443309999999999</v>
      </c>
      <c r="W2101">
        <v>0.38272349999999999</v>
      </c>
      <c r="X2101">
        <v>0.91086389999999995</v>
      </c>
      <c r="Y2101">
        <v>-0.41949379999999997</v>
      </c>
      <c r="Z2101">
        <v>-1.605796E-2</v>
      </c>
      <c r="AA2101">
        <v>0.90761619999999998</v>
      </c>
      <c r="AB2101">
        <v>27</v>
      </c>
      <c r="AC2101">
        <v>-11.2332999999999</v>
      </c>
      <c r="AD2101">
        <v>-1.114613350193</v>
      </c>
      <c r="AE2101">
        <v>-6.5348000000000104</v>
      </c>
      <c r="AF2101">
        <v>-5.6284665030617704</v>
      </c>
      <c r="AG2101">
        <v>-1.114613350193</v>
      </c>
      <c r="AH2101">
        <v>11.6083344628415</v>
      </c>
      <c r="AI2101">
        <v>94.937986867518404</v>
      </c>
      <c r="AJ2101">
        <v>115.867088620937</v>
      </c>
      <c r="AK2101">
        <v>12.9489546720077</v>
      </c>
      <c r="AL2101">
        <v>67.497513985488894</v>
      </c>
      <c r="AM2101">
        <v>99.622747665168404</v>
      </c>
      <c r="AN2101">
        <v>0.99999995207553305</v>
      </c>
    </row>
    <row r="2102" spans="1:40" x14ac:dyDescent="0.25">
      <c r="A2102" t="str">
        <f>"20190304164640798"</f>
        <v>20190304164640798</v>
      </c>
      <c r="B2102" t="str">
        <f>"1551689200790578"</f>
        <v>1551689200790578</v>
      </c>
      <c r="C2102" t="s">
        <v>40</v>
      </c>
      <c r="D2102">
        <v>4.1651220000000002</v>
      </c>
      <c r="E2102">
        <v>0.38354379999999999</v>
      </c>
      <c r="F2102" t="s">
        <v>41</v>
      </c>
      <c r="G2102">
        <v>-470.15780000000001</v>
      </c>
      <c r="H2102">
        <v>1.0238780000000001</v>
      </c>
      <c r="I2102">
        <v>284.73200000000003</v>
      </c>
      <c r="J2102">
        <v>-469.51069999999999</v>
      </c>
      <c r="K2102">
        <v>1.1146739999999999</v>
      </c>
      <c r="L2102">
        <v>285.22980000000001</v>
      </c>
      <c r="M2102">
        <v>-0.9966817</v>
      </c>
      <c r="N2102">
        <v>-1.4171049999999999E-2</v>
      </c>
      <c r="O2102">
        <v>-8.0156259999999993E-2</v>
      </c>
      <c r="P2102">
        <v>-0.90117150000000001</v>
      </c>
      <c r="Q2102">
        <v>0.36903409999999998</v>
      </c>
      <c r="R2102">
        <v>-0.2273847</v>
      </c>
      <c r="S2102">
        <v>-3.0255130000000001</v>
      </c>
      <c r="T2102">
        <v>-0.30202699999999999</v>
      </c>
      <c r="U2102">
        <v>-1.7397769999999999</v>
      </c>
      <c r="V2102">
        <v>-0.1576553</v>
      </c>
      <c r="W2102">
        <v>0.38065739999999998</v>
      </c>
      <c r="X2102">
        <v>0.91117769999999998</v>
      </c>
      <c r="Y2102">
        <v>-0.42575679999999999</v>
      </c>
      <c r="Z2102">
        <v>-1.6624389999999999E-2</v>
      </c>
      <c r="AA2102">
        <v>0.90468490000000001</v>
      </c>
      <c r="AB2102">
        <v>27</v>
      </c>
      <c r="AC2102">
        <v>-0.64710000000002299</v>
      </c>
      <c r="AD2102">
        <v>-9.0795999999999794E-2</v>
      </c>
      <c r="AE2102">
        <v>-0.49779999999998298</v>
      </c>
      <c r="AF2102">
        <v>-0.43889526713340099</v>
      </c>
      <c r="AG2102">
        <v>-9.0795999999999794E-2</v>
      </c>
      <c r="AH2102">
        <v>0.67655545663283301</v>
      </c>
      <c r="AI2102">
        <v>96.423749884397907</v>
      </c>
      <c r="AJ2102">
        <v>122.97229386033101</v>
      </c>
      <c r="AK2102">
        <v>0.81154189973639701</v>
      </c>
      <c r="AL2102">
        <v>67.625591130801595</v>
      </c>
      <c r="AM2102">
        <v>99.816337586515402</v>
      </c>
      <c r="AN2102">
        <v>1.0000000253850601</v>
      </c>
    </row>
    <row r="2103" spans="1:40" x14ac:dyDescent="0.25">
      <c r="A2103" t="str">
        <f>"20190304164640820"</f>
        <v>20190304164640820</v>
      </c>
      <c r="B2103" t="str">
        <f>"1551689200810099"</f>
        <v>1551689200810099</v>
      </c>
      <c r="C2103" t="s">
        <v>40</v>
      </c>
      <c r="D2103">
        <v>4.1620290000000004</v>
      </c>
      <c r="E2103">
        <v>0.38351360000000001</v>
      </c>
      <c r="F2103" t="s">
        <v>41</v>
      </c>
      <c r="G2103">
        <v>-470.39490000000001</v>
      </c>
      <c r="H2103">
        <v>1.0225379999999999</v>
      </c>
      <c r="I2103">
        <v>284.71449999999999</v>
      </c>
      <c r="J2103">
        <v>-469.78109999999998</v>
      </c>
      <c r="K2103">
        <v>1.1146990000000001</v>
      </c>
      <c r="L2103">
        <v>285.20240000000001</v>
      </c>
      <c r="M2103">
        <v>-0.99626490000000001</v>
      </c>
      <c r="N2103">
        <v>-1.4176269999999999E-2</v>
      </c>
      <c r="O2103">
        <v>-8.5177439999999993E-2</v>
      </c>
      <c r="P2103">
        <v>-0.90004439999999997</v>
      </c>
      <c r="Q2103">
        <v>0.36595470000000002</v>
      </c>
      <c r="R2103">
        <v>-0.2366375</v>
      </c>
      <c r="S2103">
        <v>-3.0142519999999999</v>
      </c>
      <c r="T2103">
        <v>-0.31406070000000003</v>
      </c>
      <c r="U2103">
        <v>-1.757263</v>
      </c>
      <c r="V2103">
        <v>-0.1623617</v>
      </c>
      <c r="W2103">
        <v>0.3775328</v>
      </c>
      <c r="X2103">
        <v>0.91165110000000005</v>
      </c>
      <c r="Y2103">
        <v>-0.42647679999999999</v>
      </c>
      <c r="Z2103">
        <v>-1.677288E-2</v>
      </c>
      <c r="AA2103">
        <v>0.90434300000000001</v>
      </c>
      <c r="AB2103">
        <v>27</v>
      </c>
      <c r="AC2103">
        <v>-0.61380000000002599</v>
      </c>
      <c r="AD2103">
        <v>-9.2160999999999896E-2</v>
      </c>
      <c r="AE2103">
        <v>-0.48790000000002398</v>
      </c>
      <c r="AF2103">
        <v>-0.427927368833382</v>
      </c>
      <c r="AG2103">
        <v>-9.2160999999999896E-2</v>
      </c>
      <c r="AH2103">
        <v>0.64423083726361496</v>
      </c>
      <c r="AI2103">
        <v>96.795474455843106</v>
      </c>
      <c r="AJ2103">
        <v>123.593917372432</v>
      </c>
      <c r="AK2103">
        <v>0.77887666199407901</v>
      </c>
      <c r="AL2103">
        <v>67.8190586557036</v>
      </c>
      <c r="AM2103">
        <v>100.09828861954099</v>
      </c>
      <c r="AN2103">
        <v>1.00000003241696</v>
      </c>
    </row>
    <row r="2104" spans="1:40" x14ac:dyDescent="0.25">
      <c r="A2104" t="str">
        <f>"20190304164640842"</f>
        <v>20190304164640842</v>
      </c>
      <c r="B2104" t="str">
        <f>"1551689200830594"</f>
        <v>1551689200830594</v>
      </c>
      <c r="C2104" t="s">
        <v>40</v>
      </c>
      <c r="D2104">
        <v>4.1424799999999999</v>
      </c>
      <c r="E2104">
        <v>0.38369120000000001</v>
      </c>
      <c r="F2104" t="s">
        <v>41</v>
      </c>
      <c r="G2104">
        <v>-470.63319999999999</v>
      </c>
      <c r="H2104">
        <v>1.0204850000000001</v>
      </c>
      <c r="I2104">
        <v>284.69779999999997</v>
      </c>
      <c r="J2104">
        <v>-470.02809999999999</v>
      </c>
      <c r="K2104">
        <v>1.1147129999999901</v>
      </c>
      <c r="L2104">
        <v>285.17619999999999</v>
      </c>
      <c r="M2104">
        <v>-0.99585919999999895</v>
      </c>
      <c r="N2104">
        <v>-1.4179280000000001E-2</v>
      </c>
      <c r="O2104">
        <v>-8.9795570000000005E-2</v>
      </c>
      <c r="P2104">
        <v>-0.89885040000000005</v>
      </c>
      <c r="Q2104">
        <v>0.36311579999999999</v>
      </c>
      <c r="R2104">
        <v>-0.24538670000000001</v>
      </c>
      <c r="S2104">
        <v>-3.0006710000000001</v>
      </c>
      <c r="T2104">
        <v>-0.33172459999999998</v>
      </c>
      <c r="U2104">
        <v>-1.777496</v>
      </c>
      <c r="V2104">
        <v>-0.166927399999999</v>
      </c>
      <c r="W2104">
        <v>0.3746526</v>
      </c>
      <c r="X2104">
        <v>0.91201460000000001</v>
      </c>
      <c r="Y2104">
        <v>-0.42841319999999999</v>
      </c>
      <c r="Z2104">
        <v>-1.7213849999999999E-2</v>
      </c>
      <c r="AA2104">
        <v>0.90341899999999997</v>
      </c>
      <c r="AB2104">
        <v>27</v>
      </c>
      <c r="AC2104">
        <v>-0.60509999999999298</v>
      </c>
      <c r="AD2104">
        <v>-9.4227999999999701E-2</v>
      </c>
      <c r="AE2104">
        <v>-0.47840000000002098</v>
      </c>
      <c r="AF2104">
        <v>-0.415919760468144</v>
      </c>
      <c r="AG2104">
        <v>-9.4227999999999701E-2</v>
      </c>
      <c r="AH2104">
        <v>0.636125150556209</v>
      </c>
      <c r="AI2104">
        <v>97.067434931818099</v>
      </c>
      <c r="AJ2104">
        <v>123.177992846761</v>
      </c>
      <c r="AK2104">
        <v>0.765848137885076</v>
      </c>
      <c r="AL2104">
        <v>67.997156487925494</v>
      </c>
      <c r="AM2104">
        <v>100.372125489675</v>
      </c>
      <c r="AN2104">
        <v>0.999999979085339</v>
      </c>
    </row>
    <row r="2105" spans="1:40" x14ac:dyDescent="0.25">
      <c r="A2105" t="str">
        <f>"20190304164640864"</f>
        <v>20190304164640864</v>
      </c>
      <c r="B2105" t="str">
        <f>"1551689200860851"</f>
        <v>1551689200860851</v>
      </c>
      <c r="C2105" t="s">
        <v>40</v>
      </c>
      <c r="D2105">
        <v>4.102436</v>
      </c>
      <c r="E2105">
        <v>0.38384829999999998</v>
      </c>
      <c r="F2105" t="s">
        <v>41</v>
      </c>
      <c r="G2105">
        <v>-470.86739999999998</v>
      </c>
      <c r="H2105">
        <v>1.017452</v>
      </c>
      <c r="I2105">
        <v>284.67149999999998</v>
      </c>
      <c r="J2105">
        <v>-470.29230000000001</v>
      </c>
      <c r="K2105">
        <v>1.1147279999999999</v>
      </c>
      <c r="L2105">
        <v>285.14690000000002</v>
      </c>
      <c r="M2105">
        <v>-0.99539849999999996</v>
      </c>
      <c r="N2105">
        <v>-1.418175E-2</v>
      </c>
      <c r="O2105">
        <v>-9.4766539999999996E-2</v>
      </c>
      <c r="P2105">
        <v>-0.89698869999999897</v>
      </c>
      <c r="Q2105">
        <v>0.36188979999999998</v>
      </c>
      <c r="R2105">
        <v>-0.25386449999999999</v>
      </c>
      <c r="S2105">
        <v>-2.986755</v>
      </c>
      <c r="T2105">
        <v>-0.34603820000000002</v>
      </c>
      <c r="U2105">
        <v>-1.7974239999999999</v>
      </c>
      <c r="V2105">
        <v>-0.17096979999999901</v>
      </c>
      <c r="W2105">
        <v>0.37338199999999999</v>
      </c>
      <c r="X2105">
        <v>0.91178680000000001</v>
      </c>
      <c r="Y2105">
        <v>-0.43003999999999998</v>
      </c>
      <c r="Z2105">
        <v>-1.7442760000000002E-2</v>
      </c>
      <c r="AA2105">
        <v>0.90264140000000004</v>
      </c>
      <c r="AB2105">
        <v>27</v>
      </c>
      <c r="AC2105">
        <v>-0.57509999999996297</v>
      </c>
      <c r="AD2105">
        <v>-9.7276000000000098E-2</v>
      </c>
      <c r="AE2105">
        <v>-0.47540000000003502</v>
      </c>
      <c r="AF2105">
        <v>-0.41175598637664401</v>
      </c>
      <c r="AG2105">
        <v>-9.7276000000000098E-2</v>
      </c>
      <c r="AH2105">
        <v>0.607246836258302</v>
      </c>
      <c r="AI2105">
        <v>97.552554197394201</v>
      </c>
      <c r="AJ2105">
        <v>124.140026266745</v>
      </c>
      <c r="AK2105">
        <v>0.740104271463637</v>
      </c>
      <c r="AL2105">
        <v>68.075653718929502</v>
      </c>
      <c r="AM2105">
        <v>100.62024866495599</v>
      </c>
      <c r="AN2105">
        <v>0.99999997954513897</v>
      </c>
    </row>
    <row r="2106" spans="1:40" x14ac:dyDescent="0.25">
      <c r="A2106" t="str">
        <f>"20190304164640887"</f>
        <v>20190304164640887</v>
      </c>
      <c r="B2106" t="str">
        <f>"1551689200880374"</f>
        <v>1551689200880374</v>
      </c>
      <c r="C2106" t="s">
        <v>40</v>
      </c>
      <c r="D2106">
        <v>4.0924969999999998</v>
      </c>
      <c r="E2106">
        <v>0.38381100000000001</v>
      </c>
      <c r="F2106" t="s">
        <v>41</v>
      </c>
      <c r="G2106">
        <v>-471.12920000000003</v>
      </c>
      <c r="H2106">
        <v>1.0156499999999999</v>
      </c>
      <c r="I2106">
        <v>284.63420000000002</v>
      </c>
      <c r="J2106">
        <v>-470.56439999999998</v>
      </c>
      <c r="K2106">
        <v>1.1147590000000001</v>
      </c>
      <c r="L2106">
        <v>285.11520000000002</v>
      </c>
      <c r="M2106">
        <v>-0.994892</v>
      </c>
      <c r="N2106">
        <v>-1.418473E-2</v>
      </c>
      <c r="O2106">
        <v>-9.9943660000000004E-2</v>
      </c>
      <c r="P2106">
        <v>-0.89521459999999997</v>
      </c>
      <c r="Q2106">
        <v>0.36072280000000001</v>
      </c>
      <c r="R2106">
        <v>-0.2616676</v>
      </c>
      <c r="S2106">
        <v>-2.9712519999999998</v>
      </c>
      <c r="T2106">
        <v>-0.35176059999999998</v>
      </c>
      <c r="U2106">
        <v>-1.82016</v>
      </c>
      <c r="V2106">
        <v>-0.17415449999999999</v>
      </c>
      <c r="W2106">
        <v>0.3721759</v>
      </c>
      <c r="X2106">
        <v>0.91167719999999997</v>
      </c>
      <c r="Y2106">
        <v>-0.43240210000000001</v>
      </c>
      <c r="Z2106">
        <v>-1.7357830000000001E-2</v>
      </c>
      <c r="AA2106">
        <v>0.90151380000000003</v>
      </c>
      <c r="AB2106">
        <v>27</v>
      </c>
      <c r="AC2106">
        <v>-0.56480000000004704</v>
      </c>
      <c r="AD2106">
        <v>-9.91090000000001E-2</v>
      </c>
      <c r="AE2106">
        <v>-0.48099999999999399</v>
      </c>
      <c r="AF2106">
        <v>-0.41473531532468599</v>
      </c>
      <c r="AG2106">
        <v>-9.91090000000001E-2</v>
      </c>
      <c r="AH2106">
        <v>0.59935228117735295</v>
      </c>
      <c r="AI2106">
        <v>97.743538905900493</v>
      </c>
      <c r="AJ2106">
        <v>124.68217006806201</v>
      </c>
      <c r="AK2106">
        <v>0.73556178028154995</v>
      </c>
      <c r="AL2106">
        <v>68.150126680425203</v>
      </c>
      <c r="AM2106">
        <v>100.814721009359</v>
      </c>
      <c r="AN2106">
        <v>1.0000000037054499</v>
      </c>
    </row>
    <row r="2107" spans="1:40" x14ac:dyDescent="0.25">
      <c r="A2107" t="str">
        <f>"20190304164640908"</f>
        <v>20190304164640908</v>
      </c>
      <c r="B2107" t="str">
        <f>"1551689200900866"</f>
        <v>1551689200900866</v>
      </c>
      <c r="C2107" t="s">
        <v>40</v>
      </c>
      <c r="D2107">
        <v>4.0922450000000001</v>
      </c>
      <c r="E2107">
        <v>0.38404739999999998</v>
      </c>
      <c r="F2107" t="s">
        <v>41</v>
      </c>
      <c r="G2107">
        <v>-471.40710000000001</v>
      </c>
      <c r="H2107">
        <v>1.013889</v>
      </c>
      <c r="I2107">
        <v>284.58850000000001</v>
      </c>
      <c r="J2107">
        <v>-470.81700000000001</v>
      </c>
      <c r="K2107">
        <v>1.114816</v>
      </c>
      <c r="L2107">
        <v>285.08449999999999</v>
      </c>
      <c r="M2107">
        <v>-0.99438839999999995</v>
      </c>
      <c r="N2107">
        <v>-1.4188910000000001E-2</v>
      </c>
      <c r="O2107">
        <v>-0.1048356</v>
      </c>
      <c r="P2107">
        <v>-0.89360119999999899</v>
      </c>
      <c r="Q2107">
        <v>0.36005100000000001</v>
      </c>
      <c r="R2107">
        <v>-0.26803059999999901</v>
      </c>
      <c r="S2107">
        <v>-2.9535830000000001</v>
      </c>
      <c r="T2107">
        <v>-0.35344249999999999</v>
      </c>
      <c r="U2107">
        <v>-1.847351</v>
      </c>
      <c r="V2107">
        <v>-0.17617840000000001</v>
      </c>
      <c r="W2107">
        <v>0.37146859999999998</v>
      </c>
      <c r="X2107">
        <v>0.91157679999999996</v>
      </c>
      <c r="Y2107">
        <v>-0.43632759999999998</v>
      </c>
      <c r="Z2107">
        <v>-1.7246609999999999E-2</v>
      </c>
      <c r="AA2107">
        <v>0.89962260000000005</v>
      </c>
      <c r="AB2107">
        <v>27</v>
      </c>
      <c r="AC2107">
        <v>-0.59010000000006302</v>
      </c>
      <c r="AD2107">
        <v>-0.100927</v>
      </c>
      <c r="AE2107">
        <v>-0.49599999999998001</v>
      </c>
      <c r="AF2107">
        <v>-0.42412626008307103</v>
      </c>
      <c r="AG2107">
        <v>-0.100927</v>
      </c>
      <c r="AH2107">
        <v>0.62808480241453701</v>
      </c>
      <c r="AI2107">
        <v>97.585512683155301</v>
      </c>
      <c r="AJ2107">
        <v>124.029940936188</v>
      </c>
      <c r="AK2107">
        <v>0.76456514624010996</v>
      </c>
      <c r="AL2107">
        <v>68.193781942362307</v>
      </c>
      <c r="AM2107">
        <v>100.93856328485199</v>
      </c>
      <c r="AN2107">
        <v>1.00000000585538</v>
      </c>
    </row>
    <row r="2108" spans="1:40" x14ac:dyDescent="0.25">
      <c r="A2108" t="str">
        <f>"20190304164640932"</f>
        <v>20190304164640932</v>
      </c>
      <c r="B2108" t="str">
        <f>"1551689200920387"</f>
        <v>1551689200920387</v>
      </c>
      <c r="C2108" t="s">
        <v>40</v>
      </c>
      <c r="D2108">
        <v>4.0798990000000002</v>
      </c>
      <c r="E2108">
        <v>0.38435069999999999</v>
      </c>
      <c r="F2108" t="s">
        <v>41</v>
      </c>
      <c r="G2108">
        <v>-471.65839999999997</v>
      </c>
      <c r="H2108">
        <v>1.0136860000000001</v>
      </c>
      <c r="I2108">
        <v>284.5498</v>
      </c>
      <c r="J2108">
        <v>-471.0797</v>
      </c>
      <c r="K2108">
        <v>1.1148929999999999</v>
      </c>
      <c r="L2108">
        <v>285.05110000000002</v>
      </c>
      <c r="M2108">
        <v>-0.99382389999999998</v>
      </c>
      <c r="N2108">
        <v>-1.419519E-2</v>
      </c>
      <c r="O2108">
        <v>-0.1100574</v>
      </c>
      <c r="P2108">
        <v>-0.89227999999999996</v>
      </c>
      <c r="Q2108">
        <v>0.35883999999999999</v>
      </c>
      <c r="R2108">
        <v>-0.2739896</v>
      </c>
      <c r="S2108">
        <v>-2.9391780000000001</v>
      </c>
      <c r="T2108">
        <v>-0.35325190000000001</v>
      </c>
      <c r="U2108">
        <v>-1.868317</v>
      </c>
      <c r="V2108">
        <v>-0.1774955</v>
      </c>
      <c r="W2108">
        <v>0.37021850000000001</v>
      </c>
      <c r="X2108">
        <v>0.91182980000000002</v>
      </c>
      <c r="Y2108">
        <v>-0.4381758</v>
      </c>
      <c r="Z2108">
        <v>-1.6900200000000001E-2</v>
      </c>
      <c r="AA2108">
        <v>0.89873040000000004</v>
      </c>
      <c r="AB2108">
        <v>27</v>
      </c>
      <c r="AC2108">
        <v>-0.57869999999996902</v>
      </c>
      <c r="AD2108">
        <v>-0.10120700000000001</v>
      </c>
      <c r="AE2108">
        <v>-0.50130000000001396</v>
      </c>
      <c r="AF2108">
        <v>-0.42709465322079199</v>
      </c>
      <c r="AG2108">
        <v>-0.10120700000000001</v>
      </c>
      <c r="AH2108">
        <v>0.61953572604924101</v>
      </c>
      <c r="AI2108">
        <v>97.660139245088899</v>
      </c>
      <c r="AJ2108">
        <v>124.58154735626</v>
      </c>
      <c r="AK2108">
        <v>0.75926096667097898</v>
      </c>
      <c r="AL2108">
        <v>68.270906336110102</v>
      </c>
      <c r="AM2108">
        <v>101.01536282286401</v>
      </c>
      <c r="AN2108">
        <v>0.99999998721526895</v>
      </c>
    </row>
    <row r="2109" spans="1:40" x14ac:dyDescent="0.25">
      <c r="A2109" t="str">
        <f>"20190304164640953"</f>
        <v>20190304164640953</v>
      </c>
      <c r="B2109" t="str">
        <f>"1551689200950643"</f>
        <v>1551689200950643</v>
      </c>
      <c r="C2109" t="s">
        <v>40</v>
      </c>
      <c r="D2109">
        <v>4.0751460000000002</v>
      </c>
      <c r="E2109">
        <v>0.38479799999999997</v>
      </c>
      <c r="F2109" t="s">
        <v>45</v>
      </c>
      <c r="G2109">
        <v>-480.2525</v>
      </c>
      <c r="H2109" s="1">
        <v>1.703115E-6</v>
      </c>
      <c r="I2109">
        <v>279.13839999999999</v>
      </c>
      <c r="J2109">
        <v>-471.34050000000002</v>
      </c>
      <c r="K2109">
        <v>1.1150119999999999</v>
      </c>
      <c r="L2109">
        <v>285.0163</v>
      </c>
      <c r="M2109">
        <v>-0.99321360000000003</v>
      </c>
      <c r="N2109">
        <v>-1.4204659999999999E-2</v>
      </c>
      <c r="O2109">
        <v>-0.1154353</v>
      </c>
      <c r="P2109">
        <v>-0.89036269999999995</v>
      </c>
      <c r="Q2109">
        <v>0.35892230000000003</v>
      </c>
      <c r="R2109">
        <v>-0.28005200000000002</v>
      </c>
      <c r="S2109">
        <v>-2.926056</v>
      </c>
      <c r="T2109">
        <v>-0.35564420000000002</v>
      </c>
      <c r="U2109">
        <v>-1.8861079999999999</v>
      </c>
      <c r="V2109">
        <v>-0.17888679999999901</v>
      </c>
      <c r="W2109">
        <v>0.37023879999999998</v>
      </c>
      <c r="X2109">
        <v>0.91154959999999996</v>
      </c>
      <c r="Y2109">
        <v>-0.438994</v>
      </c>
      <c r="Z2109">
        <v>-1.6556910000000001E-2</v>
      </c>
      <c r="AA2109">
        <v>0.89833739999999995</v>
      </c>
      <c r="AB2109">
        <v>27</v>
      </c>
      <c r="AC2109">
        <v>-8.9119999999999706</v>
      </c>
      <c r="AD2109">
        <v>-1.115010296885</v>
      </c>
      <c r="AE2109">
        <v>-5.8779000000000101</v>
      </c>
      <c r="AF2109">
        <v>-4.7578357392991304</v>
      </c>
      <c r="AG2109">
        <v>-1.115010296885</v>
      </c>
      <c r="AH2109">
        <v>9.4281523469241808</v>
      </c>
      <c r="AI2109">
        <v>96.027057916083194</v>
      </c>
      <c r="AJ2109">
        <v>116.777400804042</v>
      </c>
      <c r="AK2109">
        <v>10.6193363992823</v>
      </c>
      <c r="AL2109">
        <v>68.269653747052601</v>
      </c>
      <c r="AM2109">
        <v>101.102897856165</v>
      </c>
      <c r="AN2109">
        <v>0.99999996474991903</v>
      </c>
    </row>
    <row r="2110" spans="1:40" x14ac:dyDescent="0.25">
      <c r="A2110" t="str">
        <f>"20190304164640976"</f>
        <v>20190304164640976</v>
      </c>
      <c r="B2110" t="str">
        <f>"1551689200970162"</f>
        <v>1551689200970162</v>
      </c>
      <c r="C2110" t="s">
        <v>40</v>
      </c>
      <c r="D2110">
        <v>4.219481</v>
      </c>
      <c r="E2110">
        <v>0.41487760000000001</v>
      </c>
      <c r="F2110" t="s">
        <v>45</v>
      </c>
      <c r="G2110">
        <v>-480.50619999999998</v>
      </c>
      <c r="H2110" s="1">
        <v>1.707356E-6</v>
      </c>
      <c r="I2110">
        <v>279.03469999999999</v>
      </c>
      <c r="J2110">
        <v>-471.60539999999997</v>
      </c>
      <c r="K2110">
        <v>1.115186</v>
      </c>
      <c r="L2110">
        <v>284.97910000000002</v>
      </c>
      <c r="M2110">
        <v>-0.99252720000000005</v>
      </c>
      <c r="N2110">
        <v>-1.4219020000000001E-2</v>
      </c>
      <c r="O2110">
        <v>-0.1211922</v>
      </c>
      <c r="P2110">
        <v>-0.88830689999999901</v>
      </c>
      <c r="Q2110">
        <v>0.3593787</v>
      </c>
      <c r="R2110">
        <v>-0.28593390000000002</v>
      </c>
      <c r="S2110">
        <v>-2.9140630000000001</v>
      </c>
      <c r="T2110">
        <v>-0.35449649999999999</v>
      </c>
      <c r="U2110">
        <v>-1.9017329999999999</v>
      </c>
      <c r="V2110">
        <v>-0.1798206</v>
      </c>
      <c r="W2110">
        <v>0.37061840000000001</v>
      </c>
      <c r="X2110">
        <v>0.91121160000000001</v>
      </c>
      <c r="Y2110">
        <v>-0.43888830000000001</v>
      </c>
      <c r="Z2110">
        <v>-1.600043E-2</v>
      </c>
      <c r="AA2110">
        <v>0.89839919999999995</v>
      </c>
      <c r="AB2110">
        <v>27</v>
      </c>
      <c r="AC2110">
        <v>-8.9008000000000003</v>
      </c>
      <c r="AD2110">
        <v>-1.1151842926440001</v>
      </c>
      <c r="AE2110">
        <v>-5.9444000000000301</v>
      </c>
      <c r="AF2110">
        <v>-4.7699770056776503</v>
      </c>
      <c r="AG2110">
        <v>-1.1151842926440001</v>
      </c>
      <c r="AH2110">
        <v>9.4530472742064102</v>
      </c>
      <c r="AI2110">
        <v>96.012340103694001</v>
      </c>
      <c r="AJ2110">
        <v>116.775363385125</v>
      </c>
      <c r="AK2110">
        <v>10.6468971728684</v>
      </c>
      <c r="AL2110">
        <v>68.246239641455105</v>
      </c>
      <c r="AM2110">
        <v>101.16344008630099</v>
      </c>
      <c r="AN2110">
        <v>1.0000000132887299</v>
      </c>
    </row>
    <row r="2111" spans="1:40" x14ac:dyDescent="0.25">
      <c r="A2111" t="str">
        <f>"20190304164640998"</f>
        <v>20190304164640998</v>
      </c>
      <c r="B2111" t="str">
        <f>"1551689200990662"</f>
        <v>1551689200990662</v>
      </c>
      <c r="C2111" t="s">
        <v>40</v>
      </c>
      <c r="D2111">
        <v>4.2002490000000003</v>
      </c>
      <c r="E2111">
        <v>0.47070050000000002</v>
      </c>
      <c r="F2111" t="s">
        <v>45</v>
      </c>
      <c r="G2111">
        <v>-481.75979999999998</v>
      </c>
      <c r="H2111" s="1">
        <v>1.9304230000000002E-6</v>
      </c>
      <c r="I2111">
        <v>279.1909</v>
      </c>
      <c r="J2111">
        <v>-471.85579999999999</v>
      </c>
      <c r="K2111">
        <v>1.115391</v>
      </c>
      <c r="L2111">
        <v>284.94220000000001</v>
      </c>
      <c r="M2111">
        <v>-0.99180780000000002</v>
      </c>
      <c r="N2111">
        <v>-1.423697E-2</v>
      </c>
      <c r="O2111">
        <v>-0.1269438</v>
      </c>
      <c r="P2111">
        <v>-0.88653499999999996</v>
      </c>
      <c r="Q2111">
        <v>0.35945769999999999</v>
      </c>
      <c r="R2111">
        <v>-0.29128320000000002</v>
      </c>
      <c r="S2111">
        <v>-2.964966</v>
      </c>
      <c r="T2111">
        <v>-0.32561970000000001</v>
      </c>
      <c r="U2111">
        <v>-1.6900630000000001</v>
      </c>
      <c r="V2111">
        <v>-0.18022150000000001</v>
      </c>
      <c r="W2111">
        <v>0.37062149999999999</v>
      </c>
      <c r="X2111">
        <v>0.91113109999999997</v>
      </c>
      <c r="Y2111">
        <v>-0.379361</v>
      </c>
      <c r="Z2111">
        <v>-1.111783E-2</v>
      </c>
      <c r="AA2111">
        <v>0.9251819</v>
      </c>
      <c r="AB2111">
        <v>27</v>
      </c>
      <c r="AC2111">
        <v>-9.9039999999999893</v>
      </c>
      <c r="AD2111">
        <v>-1.1153890695769999</v>
      </c>
      <c r="AE2111">
        <v>-5.7513000000000103</v>
      </c>
      <c r="AF2111">
        <v>-4.4055969453442803</v>
      </c>
      <c r="AG2111">
        <v>-1.1153890695769999</v>
      </c>
      <c r="AH2111">
        <v>10.4548627566303</v>
      </c>
      <c r="AI2111">
        <v>95.614921067278999</v>
      </c>
      <c r="AJ2111">
        <v>112.85017505870999</v>
      </c>
      <c r="AK2111">
        <v>11.3998917749834</v>
      </c>
      <c r="AL2111">
        <v>68.246047721241993</v>
      </c>
      <c r="AM2111">
        <v>101.18866473037799</v>
      </c>
      <c r="AN2111">
        <v>0.99999998335585405</v>
      </c>
    </row>
    <row r="2112" spans="1:40" x14ac:dyDescent="0.25">
      <c r="A2112" t="str">
        <f>"20190304164641020"</f>
        <v>20190304164641020</v>
      </c>
      <c r="B2112" t="str">
        <f>"1551689201010179"</f>
        <v>1551689201010179</v>
      </c>
      <c r="C2112" t="s">
        <v>40</v>
      </c>
      <c r="D2112">
        <v>4.1775779999999996</v>
      </c>
      <c r="E2112">
        <v>0.47420849999999998</v>
      </c>
      <c r="F2112" t="s">
        <v>45</v>
      </c>
      <c r="G2112">
        <v>-481.6087</v>
      </c>
      <c r="H2112" s="1">
        <v>2.1651109999999999E-6</v>
      </c>
      <c r="I2112">
        <v>280.88740000000001</v>
      </c>
      <c r="J2112">
        <v>-472.11579999999998</v>
      </c>
      <c r="K2112">
        <v>1.115613</v>
      </c>
      <c r="L2112">
        <v>284.90190000000001</v>
      </c>
      <c r="M2112">
        <v>-0.99098430000000004</v>
      </c>
      <c r="N2112">
        <v>-1.425915E-2</v>
      </c>
      <c r="O2112">
        <v>-0.13321759999999999</v>
      </c>
      <c r="P2112">
        <v>-0.88392420000000005</v>
      </c>
      <c r="Q2112">
        <v>0.3605081</v>
      </c>
      <c r="R2112">
        <v>-0.297846</v>
      </c>
      <c r="S2112">
        <v>-3.1038510000000001</v>
      </c>
      <c r="T2112">
        <v>-0.35497089999999998</v>
      </c>
      <c r="U2112">
        <v>-1.2904359999999999</v>
      </c>
      <c r="V2112">
        <v>-0.18147740000000001</v>
      </c>
      <c r="W2112">
        <v>0.37157699999999999</v>
      </c>
      <c r="X2112">
        <v>0.91049239999999998</v>
      </c>
      <c r="Y2112">
        <v>-0.25639810000000002</v>
      </c>
      <c r="Z2112">
        <v>-3.322158E-3</v>
      </c>
      <c r="AA2112">
        <v>0.96656549999999997</v>
      </c>
      <c r="AB2112">
        <v>26</v>
      </c>
      <c r="AC2112">
        <v>-9.4929000000000094</v>
      </c>
      <c r="AD2112">
        <v>-1.1156108348889999</v>
      </c>
      <c r="AE2112">
        <v>-4.0144999999999902</v>
      </c>
      <c r="AF2112">
        <v>-2.68253278163336</v>
      </c>
      <c r="AG2112">
        <v>-1.1156108348889999</v>
      </c>
      <c r="AH2112">
        <v>9.8279842335710104</v>
      </c>
      <c r="AI2112">
        <v>96.249430864962093</v>
      </c>
      <c r="AJ2112">
        <v>105.266911708777</v>
      </c>
      <c r="AK2112">
        <v>10.248406888623199</v>
      </c>
      <c r="AL2112">
        <v>68.187091253353898</v>
      </c>
      <c r="AM2112">
        <v>101.27234722563701</v>
      </c>
      <c r="AN2112">
        <v>0.99999996204875896</v>
      </c>
    </row>
    <row r="2113" spans="1:40" x14ac:dyDescent="0.25">
      <c r="A2113" t="str">
        <f>"20190304164641043"</f>
        <v>20190304164641043</v>
      </c>
      <c r="B2113" t="str">
        <f>"1551689201040435"</f>
        <v>1551689201040435</v>
      </c>
      <c r="C2113" t="s">
        <v>40</v>
      </c>
      <c r="D2113">
        <v>4.175357</v>
      </c>
      <c r="E2113">
        <v>0.4766338</v>
      </c>
      <c r="F2113" t="s">
        <v>45</v>
      </c>
      <c r="G2113">
        <v>-481.95890000000003</v>
      </c>
      <c r="H2113" s="1">
        <v>2.221308E-6</v>
      </c>
      <c r="I2113">
        <v>280.81970000000001</v>
      </c>
      <c r="J2113">
        <v>-472.3766</v>
      </c>
      <c r="K2113">
        <v>1.1158539999999999</v>
      </c>
      <c r="L2113">
        <v>284.85939999999999</v>
      </c>
      <c r="M2113">
        <v>-0.99006749999999999</v>
      </c>
      <c r="N2113">
        <v>-1.4282690000000001E-2</v>
      </c>
      <c r="O2113">
        <v>-0.13986460000000001</v>
      </c>
      <c r="P2113">
        <v>-0.88062739999999995</v>
      </c>
      <c r="Q2113">
        <v>0.36329230000000001</v>
      </c>
      <c r="R2113">
        <v>-0.3041606</v>
      </c>
      <c r="S2113">
        <v>-3.1036679999999999</v>
      </c>
      <c r="T2113">
        <v>-0.35176869999999999</v>
      </c>
      <c r="U2113">
        <v>-1.2871699999999999</v>
      </c>
      <c r="V2113">
        <v>-0.1822751</v>
      </c>
      <c r="W2113">
        <v>0.37425999999999998</v>
      </c>
      <c r="X2113">
        <v>0.90923330000000002</v>
      </c>
      <c r="Y2113">
        <v>-0.2491458</v>
      </c>
      <c r="Z2113">
        <v>-2.270448E-3</v>
      </c>
      <c r="AA2113">
        <v>0.96846330000000003</v>
      </c>
      <c r="AB2113">
        <v>26</v>
      </c>
      <c r="AC2113">
        <v>-9.5823000000000302</v>
      </c>
      <c r="AD2113">
        <v>-1.1158517786919999</v>
      </c>
      <c r="AE2113">
        <v>-4.0396999999999803</v>
      </c>
      <c r="AF2113">
        <v>-2.6293482921805</v>
      </c>
      <c r="AG2113">
        <v>-1.1158517786919999</v>
      </c>
      <c r="AH2113">
        <v>9.9387265252064001</v>
      </c>
      <c r="AI2113">
        <v>96.194578952237194</v>
      </c>
      <c r="AJ2113">
        <v>104.81844660147701</v>
      </c>
      <c r="AK2113">
        <v>10.341029086916</v>
      </c>
      <c r="AL2113">
        <v>68.021415755390194</v>
      </c>
      <c r="AM2113">
        <v>101.33589007715</v>
      </c>
      <c r="AN2113">
        <v>0.99999997675444896</v>
      </c>
    </row>
    <row r="2114" spans="1:40" x14ac:dyDescent="0.25">
      <c r="A2114" t="str">
        <f>"20190304164641065"</f>
        <v>20190304164641065</v>
      </c>
      <c r="B2114" t="str">
        <f>"1551689201060930"</f>
        <v>1551689201060930</v>
      </c>
      <c r="C2114" t="s">
        <v>40</v>
      </c>
      <c r="D2114">
        <v>4.1881680000000001</v>
      </c>
      <c r="E2114">
        <v>0.47726449999999998</v>
      </c>
      <c r="F2114" t="s">
        <v>45</v>
      </c>
      <c r="G2114">
        <v>-482.47269999999997</v>
      </c>
      <c r="H2114" s="1">
        <v>2.2974639999999999E-6</v>
      </c>
      <c r="I2114">
        <v>280.64830000000001</v>
      </c>
      <c r="J2114">
        <v>-472.63900000000001</v>
      </c>
      <c r="K2114">
        <v>1.116107</v>
      </c>
      <c r="L2114">
        <v>284.81450000000001</v>
      </c>
      <c r="M2114">
        <v>-0.98903909999999995</v>
      </c>
      <c r="N2114">
        <v>-1.4309499999999999E-2</v>
      </c>
      <c r="O2114">
        <v>-0.14695899999999901</v>
      </c>
      <c r="P2114">
        <v>-0.87682649999999995</v>
      </c>
      <c r="Q2114">
        <v>0.36695030000000001</v>
      </c>
      <c r="R2114">
        <v>-0.3106816</v>
      </c>
      <c r="S2114">
        <v>-3.1012569999999999</v>
      </c>
      <c r="T2114">
        <v>-0.3427635</v>
      </c>
      <c r="U2114">
        <v>-1.2935490000000001</v>
      </c>
      <c r="V2114">
        <v>-0.1829886</v>
      </c>
      <c r="W2114">
        <v>0.37780619999999998</v>
      </c>
      <c r="X2114">
        <v>0.90762200000000004</v>
      </c>
      <c r="Y2114">
        <v>-0.24426</v>
      </c>
      <c r="Z2114">
        <v>-1.386604E-3</v>
      </c>
      <c r="AA2114">
        <v>0.96970880000000004</v>
      </c>
      <c r="AB2114">
        <v>26</v>
      </c>
      <c r="AC2114">
        <v>-9.8336999999999595</v>
      </c>
      <c r="AD2114">
        <v>-1.116104702536</v>
      </c>
      <c r="AE2114">
        <v>-4.1661999999999999</v>
      </c>
      <c r="AF2114">
        <v>-2.6467514667675398</v>
      </c>
      <c r="AG2114">
        <v>-1.116104702536</v>
      </c>
      <c r="AH2114">
        <v>10.227533100471099</v>
      </c>
      <c r="AI2114">
        <v>96.030765397517499</v>
      </c>
      <c r="AJ2114">
        <v>104.50909191239001</v>
      </c>
      <c r="AK2114">
        <v>10.6232488606401</v>
      </c>
      <c r="AL2114">
        <v>67.802140878404998</v>
      </c>
      <c r="AM2114">
        <v>101.398780875871</v>
      </c>
      <c r="AN2114">
        <v>1.0000000236861899</v>
      </c>
    </row>
    <row r="2115" spans="1:40" x14ac:dyDescent="0.25">
      <c r="A2115" t="str">
        <f>"20190304164641088"</f>
        <v>20190304164641088</v>
      </c>
      <c r="B2115" t="str">
        <f>"1551689201080454"</f>
        <v>1551689201080454</v>
      </c>
      <c r="C2115" t="s">
        <v>40</v>
      </c>
      <c r="D2115">
        <v>4.1917479999999996</v>
      </c>
      <c r="E2115">
        <v>0.47788839999999999</v>
      </c>
      <c r="F2115" t="s">
        <v>45</v>
      </c>
      <c r="G2115">
        <v>-482.99680000000001</v>
      </c>
      <c r="H2115" s="1">
        <v>2.369472E-6</v>
      </c>
      <c r="I2115">
        <v>280.40839999999997</v>
      </c>
      <c r="J2115">
        <v>-472.88869999999997</v>
      </c>
      <c r="K2115">
        <v>1.1163890000000001</v>
      </c>
      <c r="L2115">
        <v>284.76960000000003</v>
      </c>
      <c r="M2115">
        <v>-0.98794599999999999</v>
      </c>
      <c r="N2115">
        <v>-1.4341130000000001E-2</v>
      </c>
      <c r="O2115">
        <v>-0.15413270000000001</v>
      </c>
      <c r="P2115">
        <v>-0.87399329999999997</v>
      </c>
      <c r="Q2115">
        <v>0.3690176</v>
      </c>
      <c r="R2115">
        <v>-0.31616749999999999</v>
      </c>
      <c r="S2115">
        <v>-3.0946039999999999</v>
      </c>
      <c r="T2115">
        <v>-0.333457</v>
      </c>
      <c r="U2115">
        <v>-1.316406</v>
      </c>
      <c r="V2115">
        <v>-0.1824827</v>
      </c>
      <c r="W2115">
        <v>0.37978460000000003</v>
      </c>
      <c r="X2115">
        <v>0.90689779999999998</v>
      </c>
      <c r="Y2115">
        <v>-0.24410870000000001</v>
      </c>
      <c r="Z2115">
        <v>-8.3271880000000003E-4</v>
      </c>
      <c r="AA2115">
        <v>0.96974749999999998</v>
      </c>
      <c r="AB2115">
        <v>26</v>
      </c>
      <c r="AC2115">
        <v>-10.1081</v>
      </c>
      <c r="AD2115">
        <v>-1.1163866305279999</v>
      </c>
      <c r="AE2115">
        <v>-4.3612000000000499</v>
      </c>
      <c r="AF2115">
        <v>-2.72292275463899</v>
      </c>
      <c r="AG2115">
        <v>-1.1163866305279999</v>
      </c>
      <c r="AH2115">
        <v>10.5510537041172</v>
      </c>
      <c r="AI2115">
        <v>95.849622790500007</v>
      </c>
      <c r="AJ2115">
        <v>104.470651434682</v>
      </c>
      <c r="AK2115">
        <v>10.9537829859696</v>
      </c>
      <c r="AL2115">
        <v>67.679657871532797</v>
      </c>
      <c r="AM2115">
        <v>101.376930159637</v>
      </c>
      <c r="AN2115">
        <v>0.99999994892064303</v>
      </c>
    </row>
    <row r="2116" spans="1:40" x14ac:dyDescent="0.25">
      <c r="A2116" t="str">
        <f>"20190304164641109"</f>
        <v>20190304164641109</v>
      </c>
      <c r="B2116" t="str">
        <f>"1551689201100946"</f>
        <v>1551689201100946</v>
      </c>
      <c r="C2116" t="s">
        <v>40</v>
      </c>
      <c r="D2116">
        <v>4.2161049999999998</v>
      </c>
      <c r="E2116">
        <v>0.47857699999999997</v>
      </c>
      <c r="F2116" t="s">
        <v>45</v>
      </c>
      <c r="G2116">
        <v>-483.31639999999999</v>
      </c>
      <c r="H2116" s="1">
        <v>2.4136250000000001E-6</v>
      </c>
      <c r="I2116">
        <v>280.26499999999999</v>
      </c>
      <c r="J2116">
        <v>-473.13830000000002</v>
      </c>
      <c r="K2116">
        <v>1.116682</v>
      </c>
      <c r="L2116">
        <v>284.72230000000002</v>
      </c>
      <c r="M2116">
        <v>-0.98672990000000005</v>
      </c>
      <c r="N2116">
        <v>-1.4379869999999999E-2</v>
      </c>
      <c r="O2116">
        <v>-0.16173280000000001</v>
      </c>
      <c r="P2116">
        <v>-0.87173140000000005</v>
      </c>
      <c r="Q2116">
        <v>0.36898019999999998</v>
      </c>
      <c r="R2116">
        <v>-0.32239519999999999</v>
      </c>
      <c r="S2116">
        <v>-3.0893860000000002</v>
      </c>
      <c r="T2116">
        <v>-0.33074880000000001</v>
      </c>
      <c r="U2116">
        <v>-1.3345640000000001</v>
      </c>
      <c r="V2116">
        <v>-0.18223710000000001</v>
      </c>
      <c r="W2116">
        <v>0.37966109999999997</v>
      </c>
      <c r="X2116">
        <v>0.906999</v>
      </c>
      <c r="Y2116">
        <v>-0.24209549999999999</v>
      </c>
      <c r="Z2116">
        <v>-1.0095260000000001E-4</v>
      </c>
      <c r="AA2116">
        <v>0.97025249999999996</v>
      </c>
      <c r="AB2116">
        <v>26</v>
      </c>
      <c r="AC2116">
        <v>-10.178099999999899</v>
      </c>
      <c r="AD2116">
        <v>-1.1166795863750001</v>
      </c>
      <c r="AE2116">
        <v>-4.4573000000000302</v>
      </c>
      <c r="AF2116">
        <v>-2.7247822807538302</v>
      </c>
      <c r="AG2116">
        <v>-1.1166795863750001</v>
      </c>
      <c r="AH2116">
        <v>10.657398326187201</v>
      </c>
      <c r="AI2116">
        <v>95.796490157814006</v>
      </c>
      <c r="AJ2116">
        <v>104.341616943205</v>
      </c>
      <c r="AK2116">
        <v>11.0567423258008</v>
      </c>
      <c r="AL2116">
        <v>67.687309150469204</v>
      </c>
      <c r="AM2116">
        <v>101.36078193677</v>
      </c>
      <c r="AN2116">
        <v>1.0000000487353</v>
      </c>
    </row>
    <row r="2117" spans="1:40" x14ac:dyDescent="0.25">
      <c r="A2117" t="str">
        <f>"20190304164641132"</f>
        <v>20190304164641132</v>
      </c>
      <c r="B2117" t="str">
        <f>"1551689201120467"</f>
        <v>1551689201120467</v>
      </c>
      <c r="C2117" t="s">
        <v>40</v>
      </c>
      <c r="D2117">
        <v>4.2144849999999998</v>
      </c>
      <c r="E2117">
        <v>0.47917169999999998</v>
      </c>
      <c r="F2117" t="s">
        <v>45</v>
      </c>
      <c r="G2117">
        <v>-483.34980000000002</v>
      </c>
      <c r="H2117" s="1">
        <v>2.4168170000000001E-6</v>
      </c>
      <c r="I2117">
        <v>280.23379999999997</v>
      </c>
      <c r="J2117">
        <v>-473.39190000000002</v>
      </c>
      <c r="K2117">
        <v>1.1170009999999999</v>
      </c>
      <c r="L2117">
        <v>284.67189999999999</v>
      </c>
      <c r="M2117">
        <v>-0.9853556</v>
      </c>
      <c r="N2117">
        <v>-1.4424879999999999E-2</v>
      </c>
      <c r="O2117">
        <v>-0.16990050000000001</v>
      </c>
      <c r="P2117">
        <v>-0.87003969999999897</v>
      </c>
      <c r="Q2117">
        <v>0.36704920000000002</v>
      </c>
      <c r="R2117">
        <v>-0.32909820000000001</v>
      </c>
      <c r="S2117">
        <v>-3.0829469999999999</v>
      </c>
      <c r="T2117">
        <v>-0.33713579999999999</v>
      </c>
      <c r="U2117">
        <v>-1.3551329999999999</v>
      </c>
      <c r="V2117">
        <v>-0.1818322</v>
      </c>
      <c r="W2117">
        <v>0.37765339999999997</v>
      </c>
      <c r="X2117">
        <v>0.90791790000000006</v>
      </c>
      <c r="Y2117">
        <v>-0.24025199999999999</v>
      </c>
      <c r="Z2117">
        <v>7.8583319999999996E-4</v>
      </c>
      <c r="AA2117">
        <v>0.97071019999999997</v>
      </c>
      <c r="AB2117">
        <v>26</v>
      </c>
      <c r="AC2117">
        <v>-9.9578999999999898</v>
      </c>
      <c r="AD2117">
        <v>-1.116998583183</v>
      </c>
      <c r="AE2117">
        <v>-4.4381000000000199</v>
      </c>
      <c r="AF2117">
        <v>-2.6536768675718698</v>
      </c>
      <c r="AG2117">
        <v>-1.116998583183</v>
      </c>
      <c r="AH2117">
        <v>10.4574318559754</v>
      </c>
      <c r="AI2117">
        <v>95.9109109522267</v>
      </c>
      <c r="AJ2117">
        <v>104.238817697934</v>
      </c>
      <c r="AK2117">
        <v>10.846546352396601</v>
      </c>
      <c r="AL2117">
        <v>67.8115950525616</v>
      </c>
      <c r="AM2117">
        <v>101.32501784160399</v>
      </c>
      <c r="AN2117">
        <v>0.99999997631440396</v>
      </c>
    </row>
    <row r="2118" spans="1:40" x14ac:dyDescent="0.25">
      <c r="A2118" t="str">
        <f>"20190304164641156"</f>
        <v>20190304164641156</v>
      </c>
      <c r="B2118" t="str">
        <f>"1551689201150722"</f>
        <v>1551689201150722</v>
      </c>
      <c r="C2118" t="s">
        <v>40</v>
      </c>
      <c r="D2118">
        <v>4.2455740000000004</v>
      </c>
      <c r="E2118">
        <v>0.47984139999999997</v>
      </c>
      <c r="F2118" t="s">
        <v>45</v>
      </c>
      <c r="G2118">
        <v>-483.18490000000003</v>
      </c>
      <c r="H2118" s="1">
        <v>2.3926269999999999E-6</v>
      </c>
      <c r="I2118">
        <v>280.29169999999999</v>
      </c>
      <c r="J2118">
        <v>-473.66559999999998</v>
      </c>
      <c r="K2118">
        <v>1.117348</v>
      </c>
      <c r="L2118">
        <v>284.61419999999998</v>
      </c>
      <c r="M2118">
        <v>-0.98369989999999996</v>
      </c>
      <c r="N2118">
        <v>-1.4477429999999999E-2</v>
      </c>
      <c r="O2118">
        <v>-0.17923499999999901</v>
      </c>
      <c r="P2118">
        <v>-0.86734599999999995</v>
      </c>
      <c r="Q2118">
        <v>0.36624499999999999</v>
      </c>
      <c r="R2118">
        <v>-0.33701019999999998</v>
      </c>
      <c r="S2118">
        <v>-3.075745</v>
      </c>
      <c r="T2118">
        <v>-0.3508232</v>
      </c>
      <c r="U2118">
        <v>-1.375702</v>
      </c>
      <c r="V2118">
        <v>-0.18173230000000001</v>
      </c>
      <c r="W2118">
        <v>0.3767587</v>
      </c>
      <c r="X2118">
        <v>0.90830960000000005</v>
      </c>
      <c r="Y2118">
        <v>-0.23731669999999999</v>
      </c>
      <c r="Z2118">
        <v>2.0056190000000002E-3</v>
      </c>
      <c r="AA2118">
        <v>0.97143020000000002</v>
      </c>
      <c r="AB2118">
        <v>26</v>
      </c>
      <c r="AC2118">
        <v>-9.5193000000000403</v>
      </c>
      <c r="AD2118">
        <v>-1.1173456073729999</v>
      </c>
      <c r="AE2118">
        <v>-4.32249999999999</v>
      </c>
      <c r="AF2118">
        <v>-2.5173636874346799</v>
      </c>
      <c r="AG2118">
        <v>-1.1173456073729999</v>
      </c>
      <c r="AH2118">
        <v>10.0254264069053</v>
      </c>
      <c r="AI2118">
        <v>96.169463564899402</v>
      </c>
      <c r="AJ2118">
        <v>104.095433810804</v>
      </c>
      <c r="AK2118">
        <v>10.396862785542799</v>
      </c>
      <c r="AL2118">
        <v>67.866947874123397</v>
      </c>
      <c r="AM2118">
        <v>101.31420119903601</v>
      </c>
      <c r="AN2118">
        <v>1.00000003817056</v>
      </c>
    </row>
    <row r="2119" spans="1:40" x14ac:dyDescent="0.25">
      <c r="A2119" t="str">
        <f>"20190304164641178"</f>
        <v>20190304164641178</v>
      </c>
      <c r="B2119" t="str">
        <f>"1551689201170244"</f>
        <v>1551689201170244</v>
      </c>
      <c r="C2119" t="s">
        <v>40</v>
      </c>
      <c r="D2119">
        <v>4.2908869999999997</v>
      </c>
      <c r="E2119">
        <v>0.48038120000000001</v>
      </c>
      <c r="F2119" t="s">
        <v>45</v>
      </c>
      <c r="G2119">
        <v>-483.14789999999999</v>
      </c>
      <c r="H2119" s="1">
        <v>2.3859220000000001E-6</v>
      </c>
      <c r="I2119">
        <v>280.29000000000002</v>
      </c>
      <c r="J2119">
        <v>-473.90690000000001</v>
      </c>
      <c r="K2119">
        <v>1.1176109999999999</v>
      </c>
      <c r="L2119">
        <v>284.56049999999999</v>
      </c>
      <c r="M2119">
        <v>-0.98208300000000004</v>
      </c>
      <c r="N2119">
        <v>-1.452495E-2</v>
      </c>
      <c r="O2119">
        <v>-0.18788850000000001</v>
      </c>
      <c r="P2119">
        <v>-0.86437980000000003</v>
      </c>
      <c r="Q2119">
        <v>0.36575479999999999</v>
      </c>
      <c r="R2119">
        <v>-0.34506700000000001</v>
      </c>
      <c r="S2119">
        <v>-3.0679020000000001</v>
      </c>
      <c r="T2119">
        <v>-0.36150460000000001</v>
      </c>
      <c r="U2119">
        <v>-1.3990479999999901</v>
      </c>
      <c r="V2119">
        <v>-0.18239749999999999</v>
      </c>
      <c r="W2119">
        <v>0.37618489999999999</v>
      </c>
      <c r="X2119">
        <v>0.9084141</v>
      </c>
      <c r="Y2119">
        <v>-0.23583970000000001</v>
      </c>
      <c r="Z2119">
        <v>3.0933649999999998E-3</v>
      </c>
      <c r="AA2119">
        <v>0.97178699999999996</v>
      </c>
      <c r="AB2119">
        <v>26</v>
      </c>
      <c r="AC2119">
        <v>-9.2409999999999801</v>
      </c>
      <c r="AD2119">
        <v>-1.1176086140779999</v>
      </c>
      <c r="AE2119">
        <v>-4.27049999999997</v>
      </c>
      <c r="AF2119">
        <v>-2.4286949574543999</v>
      </c>
      <c r="AG2119">
        <v>-1.1176086140779999</v>
      </c>
      <c r="AH2119">
        <v>9.7612008408703996</v>
      </c>
      <c r="AI2119">
        <v>96.339985679168905</v>
      </c>
      <c r="AJ2119">
        <v>103.97211270946499</v>
      </c>
      <c r="AK2119">
        <v>10.1207040301767</v>
      </c>
      <c r="AL2119">
        <v>67.902435374139699</v>
      </c>
      <c r="AM2119">
        <v>101.353268718327</v>
      </c>
      <c r="AN2119">
        <v>1.00000005203653</v>
      </c>
    </row>
    <row r="2120" spans="1:40" x14ac:dyDescent="0.25">
      <c r="A2120" t="str">
        <f>"20190304164641199"</f>
        <v>20190304164641199</v>
      </c>
      <c r="B2120" t="str">
        <f>"1551689201190739"</f>
        <v>1551689201190739</v>
      </c>
      <c r="C2120" t="s">
        <v>40</v>
      </c>
      <c r="D2120">
        <v>4.3907470000000002</v>
      </c>
      <c r="E2120">
        <v>0.47788599999999998</v>
      </c>
      <c r="F2120" t="s">
        <v>45</v>
      </c>
      <c r="G2120">
        <v>-483.25029999999998</v>
      </c>
      <c r="H2120" s="1">
        <v>2.3974940000000002E-6</v>
      </c>
      <c r="I2120">
        <v>280.21469999999999</v>
      </c>
      <c r="J2120">
        <v>-474.14940000000001</v>
      </c>
      <c r="K2120">
        <v>1.117828</v>
      </c>
      <c r="L2120">
        <v>284.50389999999999</v>
      </c>
      <c r="M2120">
        <v>-0.9803134</v>
      </c>
      <c r="N2120">
        <v>-1.4570069999999999E-2</v>
      </c>
      <c r="O2120">
        <v>-0.1969098</v>
      </c>
      <c r="P2120">
        <v>-0.8603288</v>
      </c>
      <c r="Q2120">
        <v>0.36520429999999998</v>
      </c>
      <c r="R2120">
        <v>-0.35561310000000002</v>
      </c>
      <c r="S2120">
        <v>-3.0576780000000001</v>
      </c>
      <c r="T2120">
        <v>-0.3657435</v>
      </c>
      <c r="U2120">
        <v>-1.4222109999999999</v>
      </c>
      <c r="V2120">
        <v>-0.1853281</v>
      </c>
      <c r="W2120">
        <v>0.37552390000000002</v>
      </c>
      <c r="X2120">
        <v>0.90809430000000002</v>
      </c>
      <c r="Y2120">
        <v>-0.234237</v>
      </c>
      <c r="Z2120">
        <v>4.1374949999999997E-3</v>
      </c>
      <c r="AA2120">
        <v>0.97217070000000005</v>
      </c>
      <c r="AB2120">
        <v>26</v>
      </c>
      <c r="AC2120">
        <v>-9.1008999999999602</v>
      </c>
      <c r="AD2120">
        <v>-1.117825602506</v>
      </c>
      <c r="AE2120">
        <v>-4.2891999999999904</v>
      </c>
      <c r="AF2120">
        <v>-2.3835367489911601</v>
      </c>
      <c r="AG2120">
        <v>-1.117825602506</v>
      </c>
      <c r="AH2120">
        <v>9.6482550580401192</v>
      </c>
      <c r="AI2120">
        <v>96.417450819644202</v>
      </c>
      <c r="AJ2120">
        <v>103.87669142287</v>
      </c>
      <c r="AK2120">
        <v>10.000980310769799</v>
      </c>
      <c r="AL2120">
        <v>67.943302804999703</v>
      </c>
      <c r="AM2120">
        <v>101.53478617513601</v>
      </c>
      <c r="AN2120">
        <v>0.99999998090665398</v>
      </c>
    </row>
    <row r="2121" spans="1:40" x14ac:dyDescent="0.25">
      <c r="A2121" t="str">
        <f>"20190304164641221"</f>
        <v>20190304164641221</v>
      </c>
      <c r="B2121" t="str">
        <f>"1551689201210259"</f>
        <v>1551689201210259</v>
      </c>
      <c r="C2121" t="s">
        <v>40</v>
      </c>
      <c r="D2121">
        <v>4.2458770000000001</v>
      </c>
      <c r="E2121">
        <v>0.39586270000000001</v>
      </c>
      <c r="F2121" t="s">
        <v>45</v>
      </c>
      <c r="G2121">
        <v>-483.56040000000002</v>
      </c>
      <c r="H2121" s="1">
        <v>2.4285970000000001E-6</v>
      </c>
      <c r="I2121">
        <v>279.94119999999998</v>
      </c>
      <c r="J2121">
        <v>-474.3997</v>
      </c>
      <c r="K2121">
        <v>1.118007</v>
      </c>
      <c r="L2121">
        <v>284.44279999999998</v>
      </c>
      <c r="M2121">
        <v>-0.97833440000000005</v>
      </c>
      <c r="N2121">
        <v>-1.4611799999999999E-2</v>
      </c>
      <c r="O2121">
        <v>-0.2065148</v>
      </c>
      <c r="P2121">
        <v>-0.85589839999999995</v>
      </c>
      <c r="Q2121">
        <v>0.36376269999999999</v>
      </c>
      <c r="R2121">
        <v>-0.36757899999999999</v>
      </c>
      <c r="S2121">
        <v>-3.0323180000000001</v>
      </c>
      <c r="T2121">
        <v>-0.36017480000000002</v>
      </c>
      <c r="U2121">
        <v>-1.470154</v>
      </c>
      <c r="V2121">
        <v>-0.18913379999999999</v>
      </c>
      <c r="W2121">
        <v>0.37397209999999997</v>
      </c>
      <c r="X2121">
        <v>0.90795000000000003</v>
      </c>
      <c r="Y2121">
        <v>-0.24033740000000001</v>
      </c>
      <c r="Z2121">
        <v>4.5328080000000001E-3</v>
      </c>
      <c r="AA2121">
        <v>0.97067879999999995</v>
      </c>
      <c r="AB2121">
        <v>26</v>
      </c>
      <c r="AC2121">
        <v>-9.1607000000000198</v>
      </c>
      <c r="AD2121">
        <v>-1.118004571403</v>
      </c>
      <c r="AE2121">
        <v>-4.5015999999999901</v>
      </c>
      <c r="AF2121">
        <v>-2.4827315659344702</v>
      </c>
      <c r="AG2121">
        <v>-1.118004571403</v>
      </c>
      <c r="AH2121">
        <v>9.7756473872175196</v>
      </c>
      <c r="AI2121">
        <v>96.325257984422706</v>
      </c>
      <c r="AJ2121">
        <v>104.250183932629</v>
      </c>
      <c r="AK2121">
        <v>10.1477668523364</v>
      </c>
      <c r="AL2121">
        <v>68.039202587701197</v>
      </c>
      <c r="AM2121">
        <v>101.76693115892</v>
      </c>
      <c r="AN2121">
        <v>0.99999996419042403</v>
      </c>
    </row>
    <row r="2122" spans="1:40" x14ac:dyDescent="0.25">
      <c r="A2122" t="str">
        <f>"20190304164641244"</f>
        <v>20190304164641244</v>
      </c>
      <c r="B2122" t="str">
        <f>"1551689201240515"</f>
        <v>1551689201240515</v>
      </c>
      <c r="C2122" t="s">
        <v>40</v>
      </c>
      <c r="D2122">
        <v>4.2493840000000001</v>
      </c>
      <c r="E2122">
        <v>0.38226729999999998</v>
      </c>
      <c r="F2122" t="s">
        <v>41</v>
      </c>
      <c r="G2122">
        <v>-475.20139999999998</v>
      </c>
      <c r="H2122">
        <v>1.053388</v>
      </c>
      <c r="I2122">
        <v>283.82510000000002</v>
      </c>
      <c r="J2122">
        <v>-474.64519999999999</v>
      </c>
      <c r="K2122">
        <v>1.1181540000000001</v>
      </c>
      <c r="L2122">
        <v>284.37990000000002</v>
      </c>
      <c r="M2122">
        <v>-0.97624149999999998</v>
      </c>
      <c r="N2122">
        <v>-1.4648649999999999E-2</v>
      </c>
      <c r="O2122">
        <v>-0.2161902</v>
      </c>
      <c r="P2122">
        <v>-0.85140939999999998</v>
      </c>
      <c r="Q2122">
        <v>0.36274640000000002</v>
      </c>
      <c r="R2122">
        <v>-0.37883709999999998</v>
      </c>
      <c r="S2122">
        <v>-2.7033999999999998</v>
      </c>
      <c r="T2122">
        <v>-0.21792510000000001</v>
      </c>
      <c r="U2122">
        <v>-2.0824889999999998</v>
      </c>
      <c r="V2122">
        <v>-0.19216230000000001</v>
      </c>
      <c r="W2122">
        <v>0.37286839999999999</v>
      </c>
      <c r="X2122">
        <v>0.90776800000000002</v>
      </c>
      <c r="Y2122">
        <v>-0.42375420000000003</v>
      </c>
      <c r="Z2122">
        <v>-6.4068320000000003E-3</v>
      </c>
      <c r="AA2122">
        <v>0.90575459999999997</v>
      </c>
      <c r="AB2122">
        <v>26</v>
      </c>
      <c r="AC2122">
        <v>-0.55619999999998904</v>
      </c>
      <c r="AD2122">
        <v>-6.4766000000000101E-2</v>
      </c>
      <c r="AE2122">
        <v>-0.55479999999999996</v>
      </c>
      <c r="AF2122">
        <v>-0.41857405478856102</v>
      </c>
      <c r="AG2122">
        <v>-6.4766000000000101E-2</v>
      </c>
      <c r="AH2122">
        <v>0.65852314392036904</v>
      </c>
      <c r="AI2122">
        <v>94.744797636297093</v>
      </c>
      <c r="AJ2122">
        <v>122.441077239395</v>
      </c>
      <c r="AK2122">
        <v>0.78297612043848697</v>
      </c>
      <c r="AL2122">
        <v>68.107371179396694</v>
      </c>
      <c r="AM2122">
        <v>101.95229980966199</v>
      </c>
      <c r="AN2122">
        <v>0.999999967541924</v>
      </c>
    </row>
    <row r="2123" spans="1:40" x14ac:dyDescent="0.25">
      <c r="A2123" t="str">
        <f>"20190304164641266"</f>
        <v>20190304164641266</v>
      </c>
      <c r="B2123" t="str">
        <f>"1551689201260035"</f>
        <v>1551689201260035</v>
      </c>
      <c r="C2123" t="s">
        <v>40</v>
      </c>
      <c r="D2123">
        <v>4.205794</v>
      </c>
      <c r="E2123">
        <v>0.38081310000000002</v>
      </c>
      <c r="F2123" t="s">
        <v>41</v>
      </c>
      <c r="G2123">
        <v>-475.37569999999999</v>
      </c>
      <c r="H2123">
        <v>1.0594669999999999</v>
      </c>
      <c r="I2123">
        <v>283.76589999999999</v>
      </c>
      <c r="J2123">
        <v>-474.89839999999998</v>
      </c>
      <c r="K2123">
        <v>1.1182730000000001</v>
      </c>
      <c r="L2123">
        <v>284.31220000000002</v>
      </c>
      <c r="M2123">
        <v>-0.97392900000000004</v>
      </c>
      <c r="N2123">
        <v>-1.468361E-2</v>
      </c>
      <c r="O2123">
        <v>-0.22637750000000001</v>
      </c>
      <c r="P2123">
        <v>-0.84632299999999905</v>
      </c>
      <c r="Q2123">
        <v>0.36229060000000002</v>
      </c>
      <c r="R2123">
        <v>-0.39049070000000002</v>
      </c>
      <c r="S2123">
        <v>-2.6297299999999999</v>
      </c>
      <c r="T2123">
        <v>-0.21125969999999999</v>
      </c>
      <c r="U2123">
        <v>-2.2111510000000001</v>
      </c>
      <c r="V2123">
        <v>-0.19521630000000001</v>
      </c>
      <c r="W2123">
        <v>0.37233080000000002</v>
      </c>
      <c r="X2123">
        <v>0.90733699999999995</v>
      </c>
      <c r="Y2123">
        <v>-0.4527774</v>
      </c>
      <c r="Z2123">
        <v>-7.1656319999999999E-3</v>
      </c>
      <c r="AA2123">
        <v>0.89159480000000002</v>
      </c>
      <c r="AB2123">
        <v>26</v>
      </c>
      <c r="AC2123">
        <v>-0.47730000000001299</v>
      </c>
      <c r="AD2123">
        <v>-5.88059999999999E-2</v>
      </c>
      <c r="AE2123">
        <v>-0.54630000000002998</v>
      </c>
      <c r="AF2123">
        <v>-0.42128479187269502</v>
      </c>
      <c r="AG2123">
        <v>-5.88059999999999E-2</v>
      </c>
      <c r="AH2123">
        <v>0.58474728968115097</v>
      </c>
      <c r="AI2123">
        <v>94.664745517088804</v>
      </c>
      <c r="AJ2123">
        <v>125.77109673646601</v>
      </c>
      <c r="AK2123">
        <v>0.72309640732662495</v>
      </c>
      <c r="AL2123">
        <v>68.140564933272699</v>
      </c>
      <c r="AM2123">
        <v>102.142260199266</v>
      </c>
      <c r="AN2123">
        <v>1.00000002999166</v>
      </c>
    </row>
    <row r="2124" spans="1:40" x14ac:dyDescent="0.25">
      <c r="A2124" t="str">
        <f>"20190304164641289"</f>
        <v>20190304164641289</v>
      </c>
      <c r="B2124" t="str">
        <f>"1551689201280531"</f>
        <v>1551689201280531</v>
      </c>
      <c r="C2124" t="s">
        <v>40</v>
      </c>
      <c r="D2124">
        <v>4.2223739999999896</v>
      </c>
      <c r="E2124">
        <v>0.38079859999999999</v>
      </c>
      <c r="F2124" t="s">
        <v>41</v>
      </c>
      <c r="G2124">
        <v>-475.5951</v>
      </c>
      <c r="H2124">
        <v>1.060619</v>
      </c>
      <c r="I2124">
        <v>283.70749999999998</v>
      </c>
      <c r="J2124">
        <v>-475.14010000000002</v>
      </c>
      <c r="K2124">
        <v>1.118368</v>
      </c>
      <c r="L2124">
        <v>284.2448</v>
      </c>
      <c r="M2124">
        <v>-0.97157950000000004</v>
      </c>
      <c r="N2124">
        <v>-1.471418E-2</v>
      </c>
      <c r="O2124">
        <v>-0.23625589999999999</v>
      </c>
      <c r="P2124">
        <v>-0.84038109999999999</v>
      </c>
      <c r="Q2124">
        <v>0.36330820000000003</v>
      </c>
      <c r="R2124">
        <v>-0.40220299999999998</v>
      </c>
      <c r="S2124">
        <v>-2.5964969999999998</v>
      </c>
      <c r="T2124">
        <v>-0.2148727</v>
      </c>
      <c r="U2124">
        <v>-2.254486</v>
      </c>
      <c r="V2124">
        <v>-0.19882230000000001</v>
      </c>
      <c r="W2124">
        <v>0.37325419999999998</v>
      </c>
      <c r="X2124">
        <v>0.90617380000000003</v>
      </c>
      <c r="Y2124">
        <v>-0.45784039999999998</v>
      </c>
      <c r="Z2124">
        <v>-6.8971170000000004E-3</v>
      </c>
      <c r="AA2124">
        <v>0.88900759999999901</v>
      </c>
      <c r="AB2124">
        <v>26</v>
      </c>
      <c r="AC2124">
        <v>-0.45499999999998397</v>
      </c>
      <c r="AD2124">
        <v>-5.7749000000000002E-2</v>
      </c>
      <c r="AE2124">
        <v>-0.53730000000001599</v>
      </c>
      <c r="AF2124">
        <v>-0.41180764683466298</v>
      </c>
      <c r="AG2124">
        <v>-5.7749000000000002E-2</v>
      </c>
      <c r="AH2124">
        <v>0.56526769514311204</v>
      </c>
      <c r="AI2124">
        <v>94.720394516503305</v>
      </c>
      <c r="AJ2124">
        <v>126.07400886085</v>
      </c>
      <c r="AK2124">
        <v>0.70174643010485505</v>
      </c>
      <c r="AL2124">
        <v>68.0835467771754</v>
      </c>
      <c r="AM2124">
        <v>102.375092606518</v>
      </c>
      <c r="AN2124">
        <v>0.99999998030068404</v>
      </c>
    </row>
    <row r="2125" spans="1:40" x14ac:dyDescent="0.25">
      <c r="A2125" t="str">
        <f>"20190304164641311"</f>
        <v>20190304164641311</v>
      </c>
      <c r="B2125" t="str">
        <f>"1551689201300051"</f>
        <v>1551689201300051</v>
      </c>
      <c r="C2125" t="s">
        <v>40</v>
      </c>
      <c r="D2125">
        <v>4.2309640000000002</v>
      </c>
      <c r="E2125">
        <v>0.38090550000000001</v>
      </c>
      <c r="F2125" t="s">
        <v>41</v>
      </c>
      <c r="G2125">
        <v>-475.81830000000002</v>
      </c>
      <c r="H2125">
        <v>1.0624309999999999</v>
      </c>
      <c r="I2125">
        <v>283.64100000000002</v>
      </c>
      <c r="J2125">
        <v>-475.38119999999998</v>
      </c>
      <c r="K2125">
        <v>1.11843</v>
      </c>
      <c r="L2125">
        <v>284.17469999999997</v>
      </c>
      <c r="M2125">
        <v>-0.96910130000000005</v>
      </c>
      <c r="N2125">
        <v>-1.474107E-2</v>
      </c>
      <c r="O2125">
        <v>-0.24622260000000001</v>
      </c>
      <c r="P2125">
        <v>-0.83458709999999903</v>
      </c>
      <c r="Q2125">
        <v>0.36325790000000002</v>
      </c>
      <c r="R2125">
        <v>-0.4141357</v>
      </c>
      <c r="S2125">
        <v>-2.5668950000000001</v>
      </c>
      <c r="T2125">
        <v>-0.2117301</v>
      </c>
      <c r="U2125">
        <v>-2.2868040000000001</v>
      </c>
      <c r="V2125">
        <v>-0.2025045</v>
      </c>
      <c r="W2125">
        <v>0.37311889999999998</v>
      </c>
      <c r="X2125">
        <v>0.90541389999999999</v>
      </c>
      <c r="Y2125">
        <v>-0.4600612</v>
      </c>
      <c r="Z2125">
        <v>-6.4959459999999998E-3</v>
      </c>
      <c r="AA2125">
        <v>0.88786350000000003</v>
      </c>
      <c r="AB2125">
        <v>26</v>
      </c>
      <c r="AC2125">
        <v>-0.43710000000004301</v>
      </c>
      <c r="AD2125">
        <v>-5.5999000000000097E-2</v>
      </c>
      <c r="AE2125">
        <v>-0.53370000000001006</v>
      </c>
      <c r="AF2125">
        <v>-0.40694834982540201</v>
      </c>
      <c r="AG2125">
        <v>-5.5999000000000097E-2</v>
      </c>
      <c r="AH2125">
        <v>0.55142979254604896</v>
      </c>
      <c r="AI2125">
        <v>94.671294998164001</v>
      </c>
      <c r="AJ2125">
        <v>126.426865681553</v>
      </c>
      <c r="AK2125">
        <v>0.68761738164039798</v>
      </c>
      <c r="AL2125">
        <v>68.091904342546002</v>
      </c>
      <c r="AM2125">
        <v>102.607263252593</v>
      </c>
      <c r="AN2125">
        <v>1.0000000581853301</v>
      </c>
    </row>
    <row r="2126" spans="1:40" x14ac:dyDescent="0.25">
      <c r="A2126" t="str">
        <f>"20190304164641333"</f>
        <v>20190304164641333</v>
      </c>
      <c r="B2126" t="str">
        <f>"1551689201330308"</f>
        <v>1551689201330308</v>
      </c>
      <c r="C2126" t="s">
        <v>40</v>
      </c>
      <c r="D2126">
        <v>4.2552960000000004</v>
      </c>
      <c r="E2126">
        <v>0.38195639999999997</v>
      </c>
      <c r="F2126" t="s">
        <v>41</v>
      </c>
      <c r="G2126">
        <v>-476.05329999999998</v>
      </c>
      <c r="H2126">
        <v>1.0618399999999999</v>
      </c>
      <c r="I2126">
        <v>283.56020000000001</v>
      </c>
      <c r="J2126">
        <v>-475.62430000000001</v>
      </c>
      <c r="K2126">
        <v>1.1184799999999999</v>
      </c>
      <c r="L2126">
        <v>284.10120000000001</v>
      </c>
      <c r="M2126">
        <v>-0.96646710000000002</v>
      </c>
      <c r="N2126">
        <v>-1.476449E-2</v>
      </c>
      <c r="O2126">
        <v>-0.25636540000000002</v>
      </c>
      <c r="P2126">
        <v>-0.82831909999999898</v>
      </c>
      <c r="Q2126">
        <v>0.3637224</v>
      </c>
      <c r="R2126">
        <v>-0.42613780000000001</v>
      </c>
      <c r="S2126">
        <v>-2.5366209999999998</v>
      </c>
      <c r="T2126">
        <v>-0.21358350000000001</v>
      </c>
      <c r="U2126">
        <v>-2.3193359999999998</v>
      </c>
      <c r="V2126">
        <v>-0.20621239999999999</v>
      </c>
      <c r="W2126">
        <v>0.373498</v>
      </c>
      <c r="X2126">
        <v>0.90442009999999995</v>
      </c>
      <c r="Y2126">
        <v>-0.46222750000000001</v>
      </c>
      <c r="Z2126">
        <v>-6.06837E-3</v>
      </c>
      <c r="AA2126">
        <v>0.88674059999999899</v>
      </c>
      <c r="AB2126">
        <v>26</v>
      </c>
      <c r="AC2126">
        <v>-0.42899999999997301</v>
      </c>
      <c r="AD2126">
        <v>-5.6640000000000003E-2</v>
      </c>
      <c r="AE2126">
        <v>-0.54099999999999604</v>
      </c>
      <c r="AF2126">
        <v>-0.41016280061985999</v>
      </c>
      <c r="AG2126">
        <v>-5.6640000000000003E-2</v>
      </c>
      <c r="AH2126">
        <v>0.54966943502916299</v>
      </c>
      <c r="AI2126">
        <v>94.721082866033697</v>
      </c>
      <c r="AJ2126">
        <v>126.730264352905</v>
      </c>
      <c r="AK2126">
        <v>0.68817011008732898</v>
      </c>
      <c r="AL2126">
        <v>68.068489863249297</v>
      </c>
      <c r="AM2126">
        <v>102.844160895985</v>
      </c>
      <c r="AN2126">
        <v>1.00000001360088</v>
      </c>
    </row>
    <row r="2127" spans="1:40" x14ac:dyDescent="0.25">
      <c r="A2127" t="str">
        <f>"20190304164641357"</f>
        <v>20190304164641357</v>
      </c>
      <c r="B2127" t="str">
        <f>"1551689201350803"</f>
        <v>1551689201350803</v>
      </c>
      <c r="C2127" t="s">
        <v>40</v>
      </c>
      <c r="D2127">
        <v>4.2265670000000002</v>
      </c>
      <c r="E2127">
        <v>0.38291269999999999</v>
      </c>
      <c r="F2127" t="s">
        <v>41</v>
      </c>
      <c r="G2127">
        <v>-476.29860000000002</v>
      </c>
      <c r="H2127">
        <v>1.061045</v>
      </c>
      <c r="I2127">
        <v>283.47120000000001</v>
      </c>
      <c r="J2127">
        <v>-475.88479999999998</v>
      </c>
      <c r="K2127">
        <v>1.1185149999999999</v>
      </c>
      <c r="L2127">
        <v>284.01900000000001</v>
      </c>
      <c r="M2127">
        <v>-0.96349470000000004</v>
      </c>
      <c r="N2127">
        <v>-1.4785639999999999E-2</v>
      </c>
      <c r="O2127">
        <v>-0.26731929999999998</v>
      </c>
      <c r="P2127">
        <v>-0.82197299999999995</v>
      </c>
      <c r="Q2127">
        <v>0.36423440000000001</v>
      </c>
      <c r="R2127">
        <v>-0.43782870000000002</v>
      </c>
      <c r="S2127">
        <v>-2.508972</v>
      </c>
      <c r="T2127">
        <v>-0.21367140000000001</v>
      </c>
      <c r="U2127">
        <v>-2.3455509999999999</v>
      </c>
      <c r="V2127">
        <v>-0.20887649999999999</v>
      </c>
      <c r="W2127">
        <v>0.3739518</v>
      </c>
      <c r="X2127">
        <v>0.90362089999999995</v>
      </c>
      <c r="Y2127">
        <v>-0.46198689999999998</v>
      </c>
      <c r="Z2127">
        <v>-5.4916130000000002E-3</v>
      </c>
      <c r="AA2127">
        <v>0.88686969999999998</v>
      </c>
      <c r="AB2127">
        <v>26</v>
      </c>
      <c r="AC2127">
        <v>-0.41380000000003703</v>
      </c>
      <c r="AD2127">
        <v>-5.7469999999999903E-2</v>
      </c>
      <c r="AE2127">
        <v>-0.54779999999999496</v>
      </c>
      <c r="AF2127">
        <v>-0.414327771262541</v>
      </c>
      <c r="AG2127">
        <v>-5.7469999999999903E-2</v>
      </c>
      <c r="AH2127">
        <v>0.54139723624140002</v>
      </c>
      <c r="AI2127">
        <v>94.818537658859199</v>
      </c>
      <c r="AJ2127">
        <v>127.426594299238</v>
      </c>
      <c r="AK2127">
        <v>0.68416465149056804</v>
      </c>
      <c r="AL2127">
        <v>68.040458341940905</v>
      </c>
      <c r="AM2127">
        <v>103.015601055055</v>
      </c>
      <c r="AN2127">
        <v>1.0000000359461401</v>
      </c>
    </row>
    <row r="2128" spans="1:40" x14ac:dyDescent="0.25">
      <c r="A2128" t="str">
        <f>"20190304164641379"</f>
        <v>20190304164641379</v>
      </c>
      <c r="B2128" t="str">
        <f>"1551689201370323"</f>
        <v>1551689201370323</v>
      </c>
      <c r="C2128" t="s">
        <v>40</v>
      </c>
      <c r="D2128">
        <v>4.2164999999999999</v>
      </c>
      <c r="E2128">
        <v>0.38404060000000001</v>
      </c>
      <c r="F2128" t="s">
        <v>41</v>
      </c>
      <c r="G2128">
        <v>-476.63029999999998</v>
      </c>
      <c r="H2128">
        <v>1.0544500000000001</v>
      </c>
      <c r="I2128">
        <v>283.30590000000001</v>
      </c>
      <c r="J2128">
        <v>-476.11180000000002</v>
      </c>
      <c r="K2128">
        <v>1.1185309999999999</v>
      </c>
      <c r="L2128">
        <v>283.94479999999999</v>
      </c>
      <c r="M2128">
        <v>-0.96078269999999999</v>
      </c>
      <c r="N2128">
        <v>-1.480122E-2</v>
      </c>
      <c r="O2128">
        <v>-0.27690759999999998</v>
      </c>
      <c r="P2128">
        <v>-0.81645979999999996</v>
      </c>
      <c r="Q2128">
        <v>0.36489739999999998</v>
      </c>
      <c r="R2128">
        <v>-0.4474861</v>
      </c>
      <c r="S2128">
        <v>-2.4800420000000001</v>
      </c>
      <c r="T2128">
        <v>-0.2131141</v>
      </c>
      <c r="U2128">
        <v>-2.373291</v>
      </c>
      <c r="V2128">
        <v>-0.21064160000000001</v>
      </c>
      <c r="W2128">
        <v>0.37457839999999998</v>
      </c>
      <c r="X2128">
        <v>0.90295139999999996</v>
      </c>
      <c r="Y2128">
        <v>-0.46349839999999998</v>
      </c>
      <c r="Z2128">
        <v>-5.0661329999999996E-3</v>
      </c>
      <c r="AA2128">
        <v>0.88608319999999996</v>
      </c>
      <c r="AB2128">
        <v>26</v>
      </c>
      <c r="AC2128">
        <v>-0.51849999999995999</v>
      </c>
      <c r="AD2128">
        <v>-6.4080999999999805E-2</v>
      </c>
      <c r="AE2128">
        <v>-0.63889999999997804</v>
      </c>
      <c r="AF2128">
        <v>-0.467483534164649</v>
      </c>
      <c r="AG2128">
        <v>-6.4080999999999805E-2</v>
      </c>
      <c r="AH2128">
        <v>0.67108566872081499</v>
      </c>
      <c r="AI2128">
        <v>94.480082221101696</v>
      </c>
      <c r="AJ2128">
        <v>124.8613714188</v>
      </c>
      <c r="AK2128">
        <v>0.82036772488837895</v>
      </c>
      <c r="AL2128">
        <v>68.001743281817696</v>
      </c>
      <c r="AM2128">
        <v>103.131190317899</v>
      </c>
      <c r="AN2128">
        <v>1.00000004607953</v>
      </c>
    </row>
    <row r="2129" spans="1:40" x14ac:dyDescent="0.25">
      <c r="A2129" t="str">
        <f>"20190304164641400"</f>
        <v>20190304164641400</v>
      </c>
      <c r="B2129" t="str">
        <f>"1551689201390819"</f>
        <v>1551689201390819</v>
      </c>
      <c r="C2129" t="s">
        <v>40</v>
      </c>
      <c r="D2129">
        <v>4.2060769999999996</v>
      </c>
      <c r="E2129">
        <v>0.38476250000000001</v>
      </c>
      <c r="F2129" t="s">
        <v>41</v>
      </c>
      <c r="G2129">
        <v>-476.84129999999999</v>
      </c>
      <c r="H2129">
        <v>1.0553140000000001</v>
      </c>
      <c r="I2129">
        <v>283.23360000000002</v>
      </c>
      <c r="J2129">
        <v>-476.34859999999998</v>
      </c>
      <c r="K2129">
        <v>1.1185320000000001</v>
      </c>
      <c r="L2129">
        <v>283.86450000000002</v>
      </c>
      <c r="M2129">
        <v>-0.95783070000000003</v>
      </c>
      <c r="N2129">
        <v>-1.481473E-2</v>
      </c>
      <c r="O2129">
        <v>-0.28695130000000002</v>
      </c>
      <c r="P2129">
        <v>-0.8106698</v>
      </c>
      <c r="Q2129">
        <v>0.36498449999999999</v>
      </c>
      <c r="R2129">
        <v>-0.45782230000000002</v>
      </c>
      <c r="S2129">
        <v>-2.4571839999999998</v>
      </c>
      <c r="T2129">
        <v>-0.21292659999999999</v>
      </c>
      <c r="U2129">
        <v>-2.3945919999999998</v>
      </c>
      <c r="V2129">
        <v>-0.21268960000000001</v>
      </c>
      <c r="W2129">
        <v>0.37463049999999998</v>
      </c>
      <c r="X2129">
        <v>0.90244950000000002</v>
      </c>
      <c r="Y2129">
        <v>-0.46229330000000002</v>
      </c>
      <c r="Z2129">
        <v>-4.4911389999999999E-3</v>
      </c>
      <c r="AA2129">
        <v>0.886715699999999</v>
      </c>
      <c r="AB2129">
        <v>26</v>
      </c>
      <c r="AC2129">
        <v>-0.49270000000001302</v>
      </c>
      <c r="AD2129">
        <v>-6.3218000000000205E-2</v>
      </c>
      <c r="AE2129">
        <v>-0.63089999999999602</v>
      </c>
      <c r="AF2129">
        <v>-0.46009569091900498</v>
      </c>
      <c r="AG2129">
        <v>-6.3218000000000205E-2</v>
      </c>
      <c r="AH2129">
        <v>0.64898473359070097</v>
      </c>
      <c r="AI2129">
        <v>94.543543692368104</v>
      </c>
      <c r="AJ2129">
        <v>125.334614675119</v>
      </c>
      <c r="AK2129">
        <v>0.79803868625526597</v>
      </c>
      <c r="AL2129">
        <v>67.998522413141401</v>
      </c>
      <c r="AM2129">
        <v>103.261485858451</v>
      </c>
      <c r="AN2129">
        <v>0.99999998876432905</v>
      </c>
    </row>
    <row r="2130" spans="1:40" x14ac:dyDescent="0.25">
      <c r="A2130" t="str">
        <f>"20190304164641423"</f>
        <v>20190304164641423</v>
      </c>
      <c r="B2130" t="str">
        <f>"1551689201420100"</f>
        <v>1551689201420100</v>
      </c>
      <c r="C2130" t="s">
        <v>40</v>
      </c>
      <c r="D2130">
        <v>4.2219009999999999</v>
      </c>
      <c r="E2130">
        <v>0.38624579999999997</v>
      </c>
      <c r="F2130" t="s">
        <v>41</v>
      </c>
      <c r="G2130">
        <v>-477.05329999999998</v>
      </c>
      <c r="H2130">
        <v>1.0559080000000001</v>
      </c>
      <c r="I2130">
        <v>283.1628</v>
      </c>
      <c r="J2130">
        <v>-476.58749999999998</v>
      </c>
      <c r="K2130">
        <v>1.1185240000000001</v>
      </c>
      <c r="L2130">
        <v>283.78070000000002</v>
      </c>
      <c r="M2130">
        <v>-0.95472869999999999</v>
      </c>
      <c r="N2130">
        <v>-1.4825680000000001E-2</v>
      </c>
      <c r="O2130">
        <v>-0.29710829999999999</v>
      </c>
      <c r="P2130">
        <v>-0.80505539999999998</v>
      </c>
      <c r="Q2130">
        <v>0.36482130000000002</v>
      </c>
      <c r="R2130">
        <v>-0.46775139999999998</v>
      </c>
      <c r="S2130">
        <v>-2.4309080000000001</v>
      </c>
      <c r="T2130">
        <v>-0.2159983</v>
      </c>
      <c r="U2130">
        <v>-2.4205320000000001</v>
      </c>
      <c r="V2130">
        <v>-0.21417720000000001</v>
      </c>
      <c r="W2130">
        <v>0.3744479</v>
      </c>
      <c r="X2130">
        <v>0.90217340000000001</v>
      </c>
      <c r="Y2130">
        <v>-0.4624144</v>
      </c>
      <c r="Z2130">
        <v>-3.9074640000000002E-3</v>
      </c>
      <c r="AA2130">
        <v>0.88665530000000004</v>
      </c>
      <c r="AB2130">
        <v>26</v>
      </c>
      <c r="AC2130">
        <v>-0.46580000000000099</v>
      </c>
      <c r="AD2130">
        <v>-6.2615999999999894E-2</v>
      </c>
      <c r="AE2130">
        <v>-0.61790000000001999</v>
      </c>
      <c r="AF2130">
        <v>-0.44864569710261698</v>
      </c>
      <c r="AG2130">
        <v>-6.2615999999999894E-2</v>
      </c>
      <c r="AH2130">
        <v>0.62427711346617099</v>
      </c>
      <c r="AI2130">
        <v>94.656448370685595</v>
      </c>
      <c r="AJ2130">
        <v>125.703454956267</v>
      </c>
      <c r="AK2130">
        <v>0.77131422869174904</v>
      </c>
      <c r="AL2130">
        <v>68.009805579068896</v>
      </c>
      <c r="AM2130">
        <v>103.35486891159501</v>
      </c>
      <c r="AN2130">
        <v>0.99999997324090395</v>
      </c>
    </row>
    <row r="2131" spans="1:40" x14ac:dyDescent="0.25">
      <c r="A2131" t="str">
        <f>"20190304164641446"</f>
        <v>20190304164641446</v>
      </c>
      <c r="B2131" t="str">
        <f>"1551689201440595"</f>
        <v>1551689201440595</v>
      </c>
      <c r="C2131" t="s">
        <v>40</v>
      </c>
      <c r="D2131">
        <v>4.2567899999999996</v>
      </c>
      <c r="E2131">
        <v>0.38708199999999998</v>
      </c>
      <c r="F2131" t="s">
        <v>41</v>
      </c>
      <c r="G2131">
        <v>-477.2663</v>
      </c>
      <c r="H2131">
        <v>1.0559730000000001</v>
      </c>
      <c r="I2131">
        <v>283.0933</v>
      </c>
      <c r="J2131">
        <v>-476.82709999999997</v>
      </c>
      <c r="K2131">
        <v>1.118519</v>
      </c>
      <c r="L2131">
        <v>283.69369999999998</v>
      </c>
      <c r="M2131">
        <v>-0.95149039999999996</v>
      </c>
      <c r="N2131">
        <v>-1.483466E-2</v>
      </c>
      <c r="O2131">
        <v>-0.30732100000000001</v>
      </c>
      <c r="P2131">
        <v>-0.79907189999999995</v>
      </c>
      <c r="Q2131">
        <v>0.36509160000000002</v>
      </c>
      <c r="R2131">
        <v>-0.47769499999999998</v>
      </c>
      <c r="S2131">
        <v>-2.4092099999999999</v>
      </c>
      <c r="T2131">
        <v>-0.22200619999999999</v>
      </c>
      <c r="U2131">
        <v>-2.4403079999999999</v>
      </c>
      <c r="V2131">
        <v>-0.21573800000000001</v>
      </c>
      <c r="W2131">
        <v>0.37469550000000001</v>
      </c>
      <c r="X2131">
        <v>0.90169860000000002</v>
      </c>
      <c r="Y2131">
        <v>-0.4604838</v>
      </c>
      <c r="Z2131">
        <v>-3.1408899999999999E-3</v>
      </c>
      <c r="AA2131">
        <v>0.88766259999999997</v>
      </c>
      <c r="AB2131">
        <v>26</v>
      </c>
      <c r="AC2131">
        <v>-0.43920000000002701</v>
      </c>
      <c r="AD2131">
        <v>-6.2545999999999893E-2</v>
      </c>
      <c r="AE2131">
        <v>-0.60039999999997895</v>
      </c>
      <c r="AF2131">
        <v>-0.43328438545862102</v>
      </c>
      <c r="AG2131">
        <v>-6.2545999999999893E-2</v>
      </c>
      <c r="AH2131">
        <v>0.59824712920416501</v>
      </c>
      <c r="AI2131">
        <v>94.839899772072798</v>
      </c>
      <c r="AJ2131">
        <v>125.914180257135</v>
      </c>
      <c r="AK2131">
        <v>0.74131436543431395</v>
      </c>
      <c r="AL2131">
        <v>67.994505492695893</v>
      </c>
      <c r="AM2131">
        <v>103.455492177872</v>
      </c>
      <c r="AN2131">
        <v>0.99999998380310495</v>
      </c>
    </row>
    <row r="2132" spans="1:40" x14ac:dyDescent="0.25">
      <c r="A2132" t="str">
        <f>"20190304164641467"</f>
        <v>20190304164641467</v>
      </c>
      <c r="B2132" t="str">
        <f>"1551689201460115"</f>
        <v>1551689201460115</v>
      </c>
      <c r="C2132" t="s">
        <v>40</v>
      </c>
      <c r="D2132">
        <v>4.2587719999999996</v>
      </c>
      <c r="E2132">
        <v>0.35285569999999999</v>
      </c>
      <c r="F2132" t="s">
        <v>41</v>
      </c>
      <c r="G2132">
        <v>-477.4776</v>
      </c>
      <c r="H2132">
        <v>1.0582180000000001</v>
      </c>
      <c r="I2132">
        <v>283.02050000000003</v>
      </c>
      <c r="J2132">
        <v>-477.05990000000003</v>
      </c>
      <c r="K2132">
        <v>1.118511</v>
      </c>
      <c r="L2132">
        <v>283.60640000000001</v>
      </c>
      <c r="M2132">
        <v>-0.94821880000000003</v>
      </c>
      <c r="N2132">
        <v>-1.4842060000000001E-2</v>
      </c>
      <c r="O2132">
        <v>-0.31727109999999997</v>
      </c>
      <c r="P2132">
        <v>-0.79291389999999995</v>
      </c>
      <c r="Q2132">
        <v>0.36506729999999998</v>
      </c>
      <c r="R2132">
        <v>-0.48786639999999998</v>
      </c>
      <c r="S2132">
        <v>-2.381653</v>
      </c>
      <c r="T2132">
        <v>-0.22072649999999999</v>
      </c>
      <c r="U2132">
        <v>-2.4649049999999999</v>
      </c>
      <c r="V2132">
        <v>-0.21781449999999999</v>
      </c>
      <c r="W2132">
        <v>0.37463760000000002</v>
      </c>
      <c r="X2132">
        <v>0.90122340000000001</v>
      </c>
      <c r="Y2132">
        <v>-0.460758</v>
      </c>
      <c r="Z2132">
        <v>-2.6269790000000002E-3</v>
      </c>
      <c r="AA2132">
        <v>0.88752189999999997</v>
      </c>
      <c r="AB2132">
        <v>26</v>
      </c>
      <c r="AC2132">
        <v>-0.41769999999996799</v>
      </c>
      <c r="AD2132">
        <v>-6.0292999999999902E-2</v>
      </c>
      <c r="AE2132">
        <v>-0.58589999999997999</v>
      </c>
      <c r="AF2132">
        <v>-0.420133982708778</v>
      </c>
      <c r="AG2132">
        <v>-6.0292999999999902E-2</v>
      </c>
      <c r="AH2132">
        <v>0.57796618045280601</v>
      </c>
      <c r="AI2132">
        <v>94.823248391329102</v>
      </c>
      <c r="AJ2132">
        <v>126.01407548537701</v>
      </c>
      <c r="AK2132">
        <v>0.71707232203101101</v>
      </c>
      <c r="AL2132">
        <v>67.998085129125897</v>
      </c>
      <c r="AM2132">
        <v>103.587123173595</v>
      </c>
      <c r="AN2132">
        <v>1.0000000522257799</v>
      </c>
    </row>
    <row r="2133" spans="1:40" x14ac:dyDescent="0.25">
      <c r="A2133" t="str">
        <f>"20190304164641489"</f>
        <v>20190304164641489</v>
      </c>
      <c r="B2133" t="str">
        <f>"1551689201480611"</f>
        <v>1551689201480611</v>
      </c>
      <c r="C2133" t="s">
        <v>40</v>
      </c>
      <c r="D2133">
        <v>4.2280199999999999</v>
      </c>
      <c r="E2133">
        <v>0.34401549999999997</v>
      </c>
      <c r="F2133" t="s">
        <v>42</v>
      </c>
      <c r="G2133">
        <v>-497.32929999999999</v>
      </c>
      <c r="H2133" s="1">
        <v>-5.161314E-6</v>
      </c>
      <c r="I2133">
        <v>258.33319999999998</v>
      </c>
      <c r="J2133">
        <v>-477.2876</v>
      </c>
      <c r="K2133">
        <v>1.1185069999999999</v>
      </c>
      <c r="L2133">
        <v>283.51819999999998</v>
      </c>
      <c r="M2133">
        <v>-0.94489489999999998</v>
      </c>
      <c r="N2133">
        <v>-1.4848709999999999E-2</v>
      </c>
      <c r="O2133">
        <v>-0.32703710000000003</v>
      </c>
      <c r="P2133">
        <v>-0.78672779999999998</v>
      </c>
      <c r="Q2133">
        <v>0.36623099999999997</v>
      </c>
      <c r="R2133">
        <v>-0.4969247</v>
      </c>
      <c r="S2133">
        <v>-2.1722410000000001</v>
      </c>
      <c r="T2133">
        <v>-0.1198697</v>
      </c>
      <c r="U2133">
        <v>-2.7084959999999998</v>
      </c>
      <c r="V2133">
        <v>-0.21904860000000001</v>
      </c>
      <c r="W2133">
        <v>0.37577660000000002</v>
      </c>
      <c r="X2133">
        <v>0.90044969999999902</v>
      </c>
      <c r="Y2133">
        <v>-0.53218379999999998</v>
      </c>
      <c r="Z2133">
        <v>-7.0138279999999997E-3</v>
      </c>
      <c r="AA2133">
        <v>0.84659980000000001</v>
      </c>
      <c r="AB2133">
        <v>26</v>
      </c>
      <c r="AC2133">
        <v>-20.041699999999899</v>
      </c>
      <c r="AD2133">
        <v>-1.1185121613140001</v>
      </c>
      <c r="AE2133">
        <v>-25.184999999999999</v>
      </c>
      <c r="AF2133">
        <v>-17.223898327419999</v>
      </c>
      <c r="AG2133">
        <v>-1.1185121613140001</v>
      </c>
      <c r="AH2133">
        <v>27.1439436460543</v>
      </c>
      <c r="AI2133">
        <v>91.992700904377401</v>
      </c>
      <c r="AJ2133">
        <v>122.396731323846</v>
      </c>
      <c r="AK2133">
        <v>32.166868354076399</v>
      </c>
      <c r="AL2133">
        <v>67.927680463954999</v>
      </c>
      <c r="AM2133">
        <v>103.672526337245</v>
      </c>
      <c r="AN2133">
        <v>1.0000000022497999</v>
      </c>
    </row>
    <row r="2134" spans="1:40" x14ac:dyDescent="0.25">
      <c r="A2134" t="str">
        <f>"20190304164641524"</f>
        <v>20190304164641524</v>
      </c>
      <c r="B2134" t="str">
        <f>"1551689201520627"</f>
        <v>1551689201520627</v>
      </c>
      <c r="C2134" t="s">
        <v>40</v>
      </c>
      <c r="D2134">
        <v>4.258038</v>
      </c>
      <c r="E2134">
        <v>0.34521249999999998</v>
      </c>
      <c r="F2134" t="s">
        <v>42</v>
      </c>
      <c r="G2134">
        <v>-501.19600000000003</v>
      </c>
      <c r="H2134">
        <v>7.9986269999999998E-2</v>
      </c>
      <c r="I2134">
        <v>251.6567</v>
      </c>
      <c r="J2134">
        <v>-477.64670000000001</v>
      </c>
      <c r="K2134">
        <v>1.118528</v>
      </c>
      <c r="L2134">
        <v>283.37349999999998</v>
      </c>
      <c r="M2134">
        <v>-0.93939649999999997</v>
      </c>
      <c r="N2134">
        <v>-1.4858639999999999E-2</v>
      </c>
      <c r="O2134">
        <v>-0.3425106</v>
      </c>
      <c r="P2134">
        <v>-0.77669820000000001</v>
      </c>
      <c r="Q2134">
        <v>0.36857889999999999</v>
      </c>
      <c r="R2134">
        <v>-0.51077329999999999</v>
      </c>
      <c r="S2134">
        <v>-2.093445</v>
      </c>
      <c r="T2134">
        <v>-9.0933920000000001E-2</v>
      </c>
      <c r="U2134">
        <v>-2.789825</v>
      </c>
      <c r="V2134">
        <v>-0.22063250000000001</v>
      </c>
      <c r="W2134">
        <v>0.37808340000000001</v>
      </c>
      <c r="X2134">
        <v>0.89909640000000002</v>
      </c>
      <c r="Y2134">
        <v>-0.54559380000000002</v>
      </c>
      <c r="Z2134">
        <v>-7.5757219999999896E-3</v>
      </c>
      <c r="AA2134">
        <v>0.83801559999999897</v>
      </c>
      <c r="AB2134">
        <v>26</v>
      </c>
      <c r="AC2134">
        <v>-23.549299999999899</v>
      </c>
      <c r="AD2134">
        <v>-1.0385417299999999</v>
      </c>
      <c r="AE2134">
        <v>-31.7167999999999</v>
      </c>
      <c r="AF2134">
        <v>-21.716154966594001</v>
      </c>
      <c r="AG2134">
        <v>-1.0385417299999999</v>
      </c>
      <c r="AH2134">
        <v>32.966325889787598</v>
      </c>
      <c r="AI2134">
        <v>91.506992624879103</v>
      </c>
      <c r="AJ2134">
        <v>123.37439453028399</v>
      </c>
      <c r="AK2134">
        <v>39.489854369568903</v>
      </c>
      <c r="AL2134">
        <v>67.784986630048394</v>
      </c>
      <c r="AM2134">
        <v>103.787573218782</v>
      </c>
      <c r="AN2134">
        <v>1.00000004695238</v>
      </c>
    </row>
    <row r="2135" spans="1:40" x14ac:dyDescent="0.25">
      <c r="A2135" t="str">
        <f>"20190304164641546"</f>
        <v>20190304164641546</v>
      </c>
      <c r="B2135" t="str">
        <f>"1551689201540147"</f>
        <v>1551689201540147</v>
      </c>
      <c r="C2135" t="s">
        <v>40</v>
      </c>
      <c r="D2135">
        <v>4.2622600000000004</v>
      </c>
      <c r="E2135">
        <v>0.34744770000000003</v>
      </c>
      <c r="F2135" t="s">
        <v>46</v>
      </c>
      <c r="G2135">
        <v>-502.03640000000001</v>
      </c>
      <c r="H2135">
        <v>9.1484099999999999E-2</v>
      </c>
      <c r="I2135">
        <v>249.76070000000001</v>
      </c>
      <c r="J2135">
        <v>-477.88080000000002</v>
      </c>
      <c r="K2135">
        <v>1.118536</v>
      </c>
      <c r="L2135">
        <v>283.27539999999999</v>
      </c>
      <c r="M2135">
        <v>-0.93563909999999995</v>
      </c>
      <c r="N2135">
        <v>-1.4864560000000001E-2</v>
      </c>
      <c r="O2135">
        <v>-0.35264519999999999</v>
      </c>
      <c r="P2135">
        <v>-0.76990519999999996</v>
      </c>
      <c r="Q2135">
        <v>0.36928260000000002</v>
      </c>
      <c r="R2135">
        <v>-0.52045790000000003</v>
      </c>
      <c r="S2135">
        <v>-2.0476380000000001</v>
      </c>
      <c r="T2135">
        <v>-8.6225510000000005E-2</v>
      </c>
      <c r="U2135">
        <v>-2.8219599999999998</v>
      </c>
      <c r="V2135">
        <v>-0.22231490000000001</v>
      </c>
      <c r="W2135">
        <v>0.37875039999999999</v>
      </c>
      <c r="X2135">
        <v>0.89840100000000001</v>
      </c>
      <c r="Y2135">
        <v>-0.5499851</v>
      </c>
      <c r="Z2135">
        <v>-7.6263939999999999E-3</v>
      </c>
      <c r="AA2135">
        <v>0.83513969999999904</v>
      </c>
      <c r="AB2135">
        <v>26</v>
      </c>
      <c r="AC2135">
        <v>-24.1556</v>
      </c>
      <c r="AD2135">
        <v>-1.0270519</v>
      </c>
      <c r="AE2135">
        <v>-33.514699999999898</v>
      </c>
      <c r="AF2135">
        <v>-22.827721086983502</v>
      </c>
      <c r="AG2135">
        <v>-1.0270519</v>
      </c>
      <c r="AH2135">
        <v>34.402260978211402</v>
      </c>
      <c r="AI2135">
        <v>91.424989363910697</v>
      </c>
      <c r="AJ2135">
        <v>123.56637954305</v>
      </c>
      <c r="AK2135">
        <v>41.299821380284101</v>
      </c>
      <c r="AL2135">
        <v>67.743700588948698</v>
      </c>
      <c r="AM2135">
        <v>103.89898619107301</v>
      </c>
      <c r="AN2135">
        <v>1.00000006853158</v>
      </c>
    </row>
    <row r="2136" spans="1:40" x14ac:dyDescent="0.25">
      <c r="A2136" t="str">
        <f>"20190304164641569"</f>
        <v>20190304164641569</v>
      </c>
      <c r="B2136" t="str">
        <f>"1551689201560642"</f>
        <v>1551689201560642</v>
      </c>
      <c r="C2136" t="s">
        <v>40</v>
      </c>
      <c r="D2136">
        <v>4.2230049999999997</v>
      </c>
      <c r="E2136">
        <v>0.34922049999999999</v>
      </c>
      <c r="F2136" t="s">
        <v>42</v>
      </c>
      <c r="G2136">
        <v>-501.21539999999999</v>
      </c>
      <c r="H2136">
        <v>7.9986570000000007E-2</v>
      </c>
      <c r="I2136">
        <v>250.626</v>
      </c>
      <c r="J2136">
        <v>-478.1146</v>
      </c>
      <c r="K2136">
        <v>1.118533</v>
      </c>
      <c r="L2136">
        <v>283.17439999999999</v>
      </c>
      <c r="M2136">
        <v>-0.93174670000000004</v>
      </c>
      <c r="N2136">
        <v>-1.486929E-2</v>
      </c>
      <c r="O2136">
        <v>-0.36280459999999998</v>
      </c>
      <c r="P2136">
        <v>-0.7640865</v>
      </c>
      <c r="Q2136">
        <v>0.36920710000000001</v>
      </c>
      <c r="R2136">
        <v>-0.52901609999999999</v>
      </c>
      <c r="S2136">
        <v>-2.024689</v>
      </c>
      <c r="T2136">
        <v>-9.0112449999999997E-2</v>
      </c>
      <c r="U2136">
        <v>-2.832916</v>
      </c>
      <c r="V2136">
        <v>-0.2225512</v>
      </c>
      <c r="W2136">
        <v>0.37867440000000002</v>
      </c>
      <c r="X2136">
        <v>0.89837440000000002</v>
      </c>
      <c r="Y2136">
        <v>-0.54688139999999996</v>
      </c>
      <c r="Z2136">
        <v>-7.3103639999999998E-3</v>
      </c>
      <c r="AA2136">
        <v>0.83717819999999898</v>
      </c>
      <c r="AB2136">
        <v>25</v>
      </c>
      <c r="AC2136">
        <v>-23.1007999999999</v>
      </c>
      <c r="AD2136">
        <v>-1.03854643</v>
      </c>
      <c r="AE2136">
        <v>-32.548400000000001</v>
      </c>
      <c r="AF2136">
        <v>-21.933362117915699</v>
      </c>
      <c r="AG2136">
        <v>-1.03854643</v>
      </c>
      <c r="AH2136">
        <v>33.3139304319361</v>
      </c>
      <c r="AI2136">
        <v>91.491524220986093</v>
      </c>
      <c r="AJ2136">
        <v>123.3602716036</v>
      </c>
      <c r="AK2136">
        <v>39.899485125835497</v>
      </c>
      <c r="AL2136">
        <v>67.748402743407397</v>
      </c>
      <c r="AM2136">
        <v>103.913581806682</v>
      </c>
      <c r="AN2136">
        <v>0.99999995020607801</v>
      </c>
    </row>
    <row r="2137" spans="1:40" x14ac:dyDescent="0.25">
      <c r="A2137" t="str">
        <f>"20190304164641590"</f>
        <v>20190304164641590</v>
      </c>
      <c r="B2137" t="str">
        <f>"1551689201580163"</f>
        <v>1551689201580163</v>
      </c>
      <c r="C2137" t="s">
        <v>40</v>
      </c>
      <c r="D2137">
        <v>4.2470359999999996</v>
      </c>
      <c r="E2137">
        <v>0.35108329999999999</v>
      </c>
      <c r="F2137" t="s">
        <v>42</v>
      </c>
      <c r="G2137">
        <v>-499.98579999999998</v>
      </c>
      <c r="H2137">
        <v>7.8058589999999997E-2</v>
      </c>
      <c r="I2137">
        <v>252.09450000000001</v>
      </c>
      <c r="J2137">
        <v>-478.33120000000002</v>
      </c>
      <c r="K2137">
        <v>1.1185259999999999</v>
      </c>
      <c r="L2137">
        <v>283.07810000000001</v>
      </c>
      <c r="M2137">
        <v>-0.92801610000000001</v>
      </c>
      <c r="N2137">
        <v>-1.4872299999999899E-2</v>
      </c>
      <c r="O2137">
        <v>-0.37224309999999999</v>
      </c>
      <c r="P2137">
        <v>-0.75938000000000005</v>
      </c>
      <c r="Q2137">
        <v>0.36854900000000002</v>
      </c>
      <c r="R2137">
        <v>-0.53620279999999998</v>
      </c>
      <c r="S2137">
        <v>-2.0022890000000002</v>
      </c>
      <c r="T2137">
        <v>-9.5254420000000006E-2</v>
      </c>
      <c r="U2137">
        <v>-2.8453369999999998</v>
      </c>
      <c r="V2137">
        <v>-0.22176940000000001</v>
      </c>
      <c r="W2137">
        <v>0.37804330000000003</v>
      </c>
      <c r="X2137">
        <v>0.89883349999999995</v>
      </c>
      <c r="Y2137">
        <v>-0.544489</v>
      </c>
      <c r="Z2137">
        <v>-6.958466E-3</v>
      </c>
      <c r="AA2137">
        <v>0.83873909999999996</v>
      </c>
      <c r="AB2137">
        <v>25</v>
      </c>
      <c r="AC2137">
        <v>-21.654599999999899</v>
      </c>
      <c r="AD2137">
        <v>-1.04046741</v>
      </c>
      <c r="AE2137">
        <v>-30.983599999999999</v>
      </c>
      <c r="AF2137">
        <v>-20.679126101106601</v>
      </c>
      <c r="AG2137">
        <v>-1.04046741</v>
      </c>
      <c r="AH2137">
        <v>31.608799835115299</v>
      </c>
      <c r="AI2137">
        <v>91.577860157639506</v>
      </c>
      <c r="AJ2137">
        <v>123.19353572502099</v>
      </c>
      <c r="AK2137">
        <v>37.786572426632297</v>
      </c>
      <c r="AL2137">
        <v>67.787468039582706</v>
      </c>
      <c r="AM2137">
        <v>103.859784710017</v>
      </c>
      <c r="AN2137">
        <v>1.0000000320867399</v>
      </c>
    </row>
    <row r="2138" spans="1:40" x14ac:dyDescent="0.25">
      <c r="A2138" t="str">
        <f>"20190304164641613"</f>
        <v>20190304164641613</v>
      </c>
      <c r="B2138" t="str">
        <f>"1551689201610419"</f>
        <v>1551689201610419</v>
      </c>
      <c r="C2138" t="s">
        <v>40</v>
      </c>
      <c r="D2138">
        <v>4.2327859999999999</v>
      </c>
      <c r="E2138">
        <v>0.35382829999999998</v>
      </c>
      <c r="F2138" t="s">
        <v>42</v>
      </c>
      <c r="G2138">
        <v>-499.95780000000002</v>
      </c>
      <c r="H2138">
        <v>3.4838910000000001E-2</v>
      </c>
      <c r="I2138">
        <v>251.98009999999999</v>
      </c>
      <c r="J2138">
        <v>-478.55560000000003</v>
      </c>
      <c r="K2138">
        <v>1.1185229999999999</v>
      </c>
      <c r="L2138">
        <v>282.97559999999999</v>
      </c>
      <c r="M2138">
        <v>-0.9240254</v>
      </c>
      <c r="N2138">
        <v>-1.4874099999999999E-2</v>
      </c>
      <c r="O2138">
        <v>-0.38204199999999999</v>
      </c>
      <c r="P2138">
        <v>-0.75391869999999905</v>
      </c>
      <c r="Q2138">
        <v>0.36867870000000003</v>
      </c>
      <c r="R2138">
        <v>-0.54376720000000001</v>
      </c>
      <c r="S2138">
        <v>-1.984192</v>
      </c>
      <c r="T2138">
        <v>-9.9426150000000005E-2</v>
      </c>
      <c r="U2138">
        <v>-2.85318</v>
      </c>
      <c r="V2138">
        <v>-0.22125510000000001</v>
      </c>
      <c r="W2138">
        <v>0.37819160000000002</v>
      </c>
      <c r="X2138">
        <v>0.89889779999999997</v>
      </c>
      <c r="Y2138">
        <v>-0.54025819999999902</v>
      </c>
      <c r="Z2138">
        <v>-6.5437780000000001E-3</v>
      </c>
      <c r="AA2138">
        <v>0.8414739</v>
      </c>
      <c r="AB2138">
        <v>25</v>
      </c>
      <c r="AC2138">
        <v>-21.402200000000001</v>
      </c>
      <c r="AD2138">
        <v>-1.08368409</v>
      </c>
      <c r="AE2138">
        <v>-30.9955</v>
      </c>
      <c r="AF2138">
        <v>-20.4494246234106</v>
      </c>
      <c r="AG2138">
        <v>-1.08368409</v>
      </c>
      <c r="AH2138">
        <v>31.595100699953701</v>
      </c>
      <c r="AI2138">
        <v>91.649331250815905</v>
      </c>
      <c r="AJ2138">
        <v>122.91231868415301</v>
      </c>
      <c r="AK2138">
        <v>37.651078694715899</v>
      </c>
      <c r="AL2138">
        <v>67.778288436284001</v>
      </c>
      <c r="AM2138">
        <v>103.827926736118</v>
      </c>
      <c r="AN2138">
        <v>0.99999998021570402</v>
      </c>
    </row>
    <row r="2139" spans="1:40" x14ac:dyDescent="0.25">
      <c r="A2139" t="str">
        <f>"20190304164641636"</f>
        <v>20190304164641636</v>
      </c>
      <c r="B2139" t="str">
        <f>"1551689201630445"</f>
        <v>1551689201630445</v>
      </c>
      <c r="C2139" t="s">
        <v>40</v>
      </c>
      <c r="D2139">
        <v>4.2337569999999998</v>
      </c>
      <c r="E2139">
        <v>0.35457830000000001</v>
      </c>
      <c r="F2139" t="s">
        <v>42</v>
      </c>
      <c r="G2139">
        <v>-499.95780000000002</v>
      </c>
      <c r="H2139">
        <v>7.3696829999999995E-4</v>
      </c>
      <c r="I2139">
        <v>251.9033</v>
      </c>
      <c r="J2139">
        <v>-478.78359999999998</v>
      </c>
      <c r="K2139">
        <v>1.1185179999999999</v>
      </c>
      <c r="L2139">
        <v>282.86829999999998</v>
      </c>
      <c r="M2139">
        <v>-0.91983680000000001</v>
      </c>
      <c r="N2139">
        <v>-1.487495E-2</v>
      </c>
      <c r="O2139">
        <v>-0.39201920000000001</v>
      </c>
      <c r="P2139">
        <v>-0.74741069999999998</v>
      </c>
      <c r="Q2139">
        <v>0.37112260000000002</v>
      </c>
      <c r="R2139">
        <v>-0.55104019999999898</v>
      </c>
      <c r="S2139">
        <v>-1.968323</v>
      </c>
      <c r="T2139">
        <v>-0.102801</v>
      </c>
      <c r="U2139">
        <v>-2.857666</v>
      </c>
      <c r="V2139">
        <v>-0.2207229</v>
      </c>
      <c r="W2139">
        <v>0.38064239999999999</v>
      </c>
      <c r="X2139">
        <v>0.89799370000000001</v>
      </c>
      <c r="Y2139">
        <v>-0.53491529999999998</v>
      </c>
      <c r="Z2139">
        <v>-6.0890369999999899E-3</v>
      </c>
      <c r="AA2139">
        <v>0.84488369999999902</v>
      </c>
      <c r="AB2139">
        <v>25</v>
      </c>
      <c r="AC2139">
        <v>-21.174199999999999</v>
      </c>
      <c r="AD2139">
        <v>-1.1177810317000001</v>
      </c>
      <c r="AE2139">
        <v>-30.9649999999999</v>
      </c>
      <c r="AF2139">
        <v>-20.1663804104675</v>
      </c>
      <c r="AG2139">
        <v>-1.1177810317000001</v>
      </c>
      <c r="AH2139">
        <v>31.591130513111398</v>
      </c>
      <c r="AI2139">
        <v>91.708289918505201</v>
      </c>
      <c r="AJ2139">
        <v>122.55236038212</v>
      </c>
      <c r="AK2139">
        <v>37.495757898607103</v>
      </c>
      <c r="AL2139">
        <v>67.626518997467201</v>
      </c>
      <c r="AM2139">
        <v>103.809296005893</v>
      </c>
      <c r="AN2139">
        <v>0.99999996025092897</v>
      </c>
    </row>
    <row r="2140" spans="1:40" x14ac:dyDescent="0.25">
      <c r="A2140" t="str">
        <f>"20190304164641658"</f>
        <v>20190304164641658</v>
      </c>
      <c r="B2140" t="str">
        <f>"1551689201650942"</f>
        <v>1551689201650942</v>
      </c>
      <c r="C2140" t="s">
        <v>40</v>
      </c>
      <c r="D2140">
        <v>4.2183909999999996</v>
      </c>
      <c r="E2140">
        <v>0.37175609999999998</v>
      </c>
      <c r="F2140" t="s">
        <v>42</v>
      </c>
      <c r="G2140">
        <v>-499.98410000000001</v>
      </c>
      <c r="H2140">
        <v>7.6325249999999997E-2</v>
      </c>
      <c r="I2140">
        <v>251.50370000000001</v>
      </c>
      <c r="J2140">
        <v>-479.00940000000003</v>
      </c>
      <c r="K2140">
        <v>1.1185130000000001</v>
      </c>
      <c r="L2140">
        <v>282.75889999999998</v>
      </c>
      <c r="M2140">
        <v>-0.91555589999999998</v>
      </c>
      <c r="N2140">
        <v>-1.487463E-2</v>
      </c>
      <c r="O2140">
        <v>-0.40191569999999999</v>
      </c>
      <c r="P2140">
        <v>-0.74065809999999999</v>
      </c>
      <c r="Q2140">
        <v>0.37284509999999899</v>
      </c>
      <c r="R2140">
        <v>-0.55893839999999995</v>
      </c>
      <c r="S2140">
        <v>-1.9425349999999999</v>
      </c>
      <c r="T2140">
        <v>-9.5492960000000002E-2</v>
      </c>
      <c r="U2140">
        <v>-2.87384</v>
      </c>
      <c r="V2140">
        <v>-0.22092319999999999</v>
      </c>
      <c r="W2140">
        <v>0.3823609</v>
      </c>
      <c r="X2140">
        <v>0.89721410000000001</v>
      </c>
      <c r="Y2140">
        <v>-0.53323869999999995</v>
      </c>
      <c r="Z2140">
        <v>-6.1318060000000001E-3</v>
      </c>
      <c r="AA2140">
        <v>0.84594259999999999</v>
      </c>
      <c r="AB2140">
        <v>25</v>
      </c>
      <c r="AC2140">
        <v>-20.974699999999899</v>
      </c>
      <c r="AD2140">
        <v>-1.0421877500000001</v>
      </c>
      <c r="AE2140">
        <v>-31.255199999999899</v>
      </c>
      <c r="AF2140">
        <v>-20.172589545709101</v>
      </c>
      <c r="AG2140">
        <v>-1.0421877500000001</v>
      </c>
      <c r="AH2140">
        <v>31.744643374365499</v>
      </c>
      <c r="AI2140">
        <v>91.587201626862694</v>
      </c>
      <c r="AJ2140">
        <v>122.434503938007</v>
      </c>
      <c r="AK2140">
        <v>37.626345919469102</v>
      </c>
      <c r="AL2140">
        <v>67.520001588382897</v>
      </c>
      <c r="AM2140">
        <v>103.83289570188801</v>
      </c>
      <c r="AN2140">
        <v>1.0000000296929199</v>
      </c>
    </row>
    <row r="2141" spans="1:40" x14ac:dyDescent="0.25">
      <c r="A2141" t="str">
        <f>"20190304164641681"</f>
        <v>20190304164641681</v>
      </c>
      <c r="B2141" t="str">
        <f>"1551689201670462"</f>
        <v>1551689201670462</v>
      </c>
      <c r="C2141" t="s">
        <v>40</v>
      </c>
      <c r="D2141">
        <v>4.2530020000000004</v>
      </c>
      <c r="E2141">
        <v>0.3725752</v>
      </c>
      <c r="F2141" t="s">
        <v>41</v>
      </c>
      <c r="G2141">
        <v>-479.61290000000002</v>
      </c>
      <c r="H2141">
        <v>1.0779030000000001</v>
      </c>
      <c r="I2141">
        <v>281.9178</v>
      </c>
      <c r="J2141">
        <v>-479.23149999999998</v>
      </c>
      <c r="K2141">
        <v>1.118492</v>
      </c>
      <c r="L2141">
        <v>282.64850000000001</v>
      </c>
      <c r="M2141">
        <v>-0.91121940000000001</v>
      </c>
      <c r="N2141">
        <v>-1.487351E-2</v>
      </c>
      <c r="O2141">
        <v>-0.41165279999999999</v>
      </c>
      <c r="P2141">
        <v>-0.73437359999999996</v>
      </c>
      <c r="Q2141">
        <v>0.37309199999999998</v>
      </c>
      <c r="R2141">
        <v>-0.56700759999999994</v>
      </c>
      <c r="S2141">
        <v>-2.0074160000000001</v>
      </c>
      <c r="T2141">
        <v>-0.13509849999999901</v>
      </c>
      <c r="U2141">
        <v>-2.7973629999999998</v>
      </c>
      <c r="V2141">
        <v>-0.2212112</v>
      </c>
      <c r="W2141">
        <v>0.38261070000000003</v>
      </c>
      <c r="X2141">
        <v>0.89703659999999996</v>
      </c>
      <c r="Y2141">
        <v>-0.4999942</v>
      </c>
      <c r="Z2141">
        <v>-3.186669E-3</v>
      </c>
      <c r="AA2141">
        <v>0.86602289999999904</v>
      </c>
      <c r="AB2141">
        <v>25</v>
      </c>
      <c r="AC2141">
        <v>-0.38140000000004098</v>
      </c>
      <c r="AD2141">
        <v>-4.0588999999999903E-2</v>
      </c>
      <c r="AE2141">
        <v>-0.73070000000001301</v>
      </c>
      <c r="AF2141">
        <v>-0.50764890593549095</v>
      </c>
      <c r="AG2141">
        <v>-4.0588999999999903E-2</v>
      </c>
      <c r="AH2141">
        <v>0.64683695842544497</v>
      </c>
      <c r="AI2141">
        <v>92.825994972991396</v>
      </c>
      <c r="AJ2141">
        <v>128.12544019221801</v>
      </c>
      <c r="AK2141">
        <v>0.82325751099129496</v>
      </c>
      <c r="AL2141">
        <v>67.504510586917206</v>
      </c>
      <c r="AM2141">
        <v>103.85286968868</v>
      </c>
      <c r="AN2141">
        <v>1.0000000022497399</v>
      </c>
    </row>
    <row r="2142" spans="1:40" x14ac:dyDescent="0.25">
      <c r="A2142" t="str">
        <f>"20190304164641702"</f>
        <v>20190304164641702</v>
      </c>
      <c r="B2142" t="str">
        <f>"1551689201690958"</f>
        <v>1551689201690958</v>
      </c>
      <c r="C2142" t="s">
        <v>40</v>
      </c>
      <c r="D2142">
        <v>4.2614710000000002</v>
      </c>
      <c r="E2142">
        <v>0.37432219999999999</v>
      </c>
      <c r="F2142" t="s">
        <v>41</v>
      </c>
      <c r="G2142">
        <v>-479.81169999999997</v>
      </c>
      <c r="H2142">
        <v>1.0773360000000001</v>
      </c>
      <c r="I2142">
        <v>281.82470000000001</v>
      </c>
      <c r="J2142">
        <v>-479.44729999999998</v>
      </c>
      <c r="K2142">
        <v>1.118463</v>
      </c>
      <c r="L2142">
        <v>282.53829999999999</v>
      </c>
      <c r="M2142">
        <v>-0.90688389999999997</v>
      </c>
      <c r="N2142">
        <v>-1.487169E-2</v>
      </c>
      <c r="O2142">
        <v>-0.4211183</v>
      </c>
      <c r="P2142">
        <v>-0.72853009999999996</v>
      </c>
      <c r="Q2142">
        <v>0.37237419999999999</v>
      </c>
      <c r="R2142">
        <v>-0.57496230000000004</v>
      </c>
      <c r="S2142">
        <v>-1.9822690000000001</v>
      </c>
      <c r="T2142">
        <v>-0.14061219999999999</v>
      </c>
      <c r="U2142">
        <v>-2.8161320000000001</v>
      </c>
      <c r="V2142">
        <v>-0.2214441</v>
      </c>
      <c r="W2142">
        <v>0.3819014</v>
      </c>
      <c r="X2142">
        <v>0.89728140000000001</v>
      </c>
      <c r="Y2142">
        <v>-0.4988532</v>
      </c>
      <c r="Z2142">
        <v>-2.573002E-3</v>
      </c>
      <c r="AA2142">
        <v>0.86668259999999897</v>
      </c>
      <c r="AB2142">
        <v>25</v>
      </c>
      <c r="AC2142">
        <v>-0.36439999999998901</v>
      </c>
      <c r="AD2142">
        <v>-4.11269999999999E-2</v>
      </c>
      <c r="AE2142">
        <v>-0.71359999999998502</v>
      </c>
      <c r="AF2142">
        <v>-0.492453990119954</v>
      </c>
      <c r="AG2142">
        <v>-4.11269999999999E-2</v>
      </c>
      <c r="AH2142">
        <v>0.62939006121243202</v>
      </c>
      <c r="AI2142">
        <v>92.946033580045196</v>
      </c>
      <c r="AJ2142">
        <v>128.04071075111099</v>
      </c>
      <c r="AK2142">
        <v>0.80020885502914396</v>
      </c>
      <c r="AL2142">
        <v>67.548491361951093</v>
      </c>
      <c r="AM2142">
        <v>103.863254652026</v>
      </c>
      <c r="AN2142">
        <v>1.00000003976636</v>
      </c>
    </row>
    <row r="2143" spans="1:40" x14ac:dyDescent="0.25">
      <c r="A2143" t="str">
        <f>"20190304164641725"</f>
        <v>20190304164641725</v>
      </c>
      <c r="B2143" t="str">
        <f>"1551689201720237"</f>
        <v>1551689201720237</v>
      </c>
      <c r="C2143" t="s">
        <v>40</v>
      </c>
      <c r="D2143">
        <v>4.2527689999999998</v>
      </c>
      <c r="E2143">
        <v>0.3759402</v>
      </c>
      <c r="F2143" t="s">
        <v>41</v>
      </c>
      <c r="G2143">
        <v>-480.00850000000003</v>
      </c>
      <c r="H2143">
        <v>1.0767</v>
      </c>
      <c r="I2143">
        <v>281.7287</v>
      </c>
      <c r="J2143">
        <v>-479.6671</v>
      </c>
      <c r="K2143">
        <v>1.1184350000000001</v>
      </c>
      <c r="L2143">
        <v>282.42320000000001</v>
      </c>
      <c r="M2143">
        <v>-0.9023407</v>
      </c>
      <c r="N2143">
        <v>-1.486909E-2</v>
      </c>
      <c r="O2143">
        <v>-0.43076750000000003</v>
      </c>
      <c r="P2143">
        <v>-0.7221824</v>
      </c>
      <c r="Q2143">
        <v>0.37179909999999999</v>
      </c>
      <c r="R2143">
        <v>-0.58328269999999904</v>
      </c>
      <c r="S2143">
        <v>-1.960358</v>
      </c>
      <c r="T2143">
        <v>-0.14587410000000001</v>
      </c>
      <c r="U2143">
        <v>-2.8283079999999998</v>
      </c>
      <c r="V2143">
        <v>-0.2220145</v>
      </c>
      <c r="W2143">
        <v>0.38132660000000002</v>
      </c>
      <c r="X2143">
        <v>0.89738490000000004</v>
      </c>
      <c r="Y2143">
        <v>-0.4958745</v>
      </c>
      <c r="Z2143">
        <v>-1.862865E-3</v>
      </c>
      <c r="AA2143">
        <v>0.86839219999999895</v>
      </c>
      <c r="AB2143">
        <v>25</v>
      </c>
      <c r="AC2143">
        <v>-0.34140000000002102</v>
      </c>
      <c r="AD2143">
        <v>-4.1735000000000001E-2</v>
      </c>
      <c r="AE2143">
        <v>-0.694500000000005</v>
      </c>
      <c r="AF2143">
        <v>-0.47827348396601999</v>
      </c>
      <c r="AG2143">
        <v>-4.1735000000000001E-2</v>
      </c>
      <c r="AH2143">
        <v>0.60553299095913404</v>
      </c>
      <c r="AI2143">
        <v>93.095921529032196</v>
      </c>
      <c r="AJ2143">
        <v>128.30305015495301</v>
      </c>
      <c r="AK2143">
        <v>0.77275969022064706</v>
      </c>
      <c r="AL2143">
        <v>67.584121313282594</v>
      </c>
      <c r="AM2143">
        <v>103.896040567664</v>
      </c>
      <c r="AN2143">
        <v>1.0000000364129</v>
      </c>
    </row>
    <row r="2144" spans="1:40" x14ac:dyDescent="0.25">
      <c r="A2144" t="str">
        <f>"20190304164641748"</f>
        <v>20190304164641748</v>
      </c>
      <c r="B2144" t="str">
        <f>"1551689201740265"</f>
        <v>1551689201740265</v>
      </c>
      <c r="C2144" t="s">
        <v>40</v>
      </c>
      <c r="D2144">
        <v>4.2362310000000001</v>
      </c>
      <c r="E2144">
        <v>0.37680039999999998</v>
      </c>
      <c r="F2144" t="s">
        <v>41</v>
      </c>
      <c r="G2144">
        <v>-480.20600000000002</v>
      </c>
      <c r="H2144">
        <v>1.0772109999999999</v>
      </c>
      <c r="I2144">
        <v>281.63299999999998</v>
      </c>
      <c r="J2144">
        <v>-479.88799999999998</v>
      </c>
      <c r="K2144">
        <v>1.1184149999999999</v>
      </c>
      <c r="L2144">
        <v>282.30439999999999</v>
      </c>
      <c r="M2144">
        <v>-0.89764699999999997</v>
      </c>
      <c r="N2144">
        <v>-1.4865969999999999E-2</v>
      </c>
      <c r="O2144">
        <v>-0.44046459999999998</v>
      </c>
      <c r="P2144">
        <v>-0.71594179999999996</v>
      </c>
      <c r="Q2144">
        <v>0.37151060000000002</v>
      </c>
      <c r="R2144">
        <v>-0.59110719999999894</v>
      </c>
      <c r="S2144">
        <v>-1.9361269999999999</v>
      </c>
      <c r="T2144">
        <v>-0.14810589999999901</v>
      </c>
      <c r="U2144">
        <v>-2.8405149999999999</v>
      </c>
      <c r="V2144">
        <v>-0.22202150000000001</v>
      </c>
      <c r="W2144">
        <v>0.38104749999999998</v>
      </c>
      <c r="X2144">
        <v>0.89750160000000001</v>
      </c>
      <c r="Y2144">
        <v>-0.49330429999999997</v>
      </c>
      <c r="Z2144">
        <v>-1.300109E-3</v>
      </c>
      <c r="AA2144">
        <v>0.86985579999999996</v>
      </c>
      <c r="AB2144">
        <v>25</v>
      </c>
      <c r="AC2144">
        <v>-0.31799999999992601</v>
      </c>
      <c r="AD2144">
        <v>-4.1203999999999803E-2</v>
      </c>
      <c r="AE2144">
        <v>-0.67140000000000499</v>
      </c>
      <c r="AF2144">
        <v>-0.46124464562814099</v>
      </c>
      <c r="AG2144">
        <v>-4.1203999999999803E-2</v>
      </c>
      <c r="AH2144">
        <v>0.57946130306242405</v>
      </c>
      <c r="AI2144">
        <v>93.184325858263904</v>
      </c>
      <c r="AJ2144">
        <v>128.51939297070399</v>
      </c>
      <c r="AK2144">
        <v>0.74176801931832603</v>
      </c>
      <c r="AL2144">
        <v>67.601416095887501</v>
      </c>
      <c r="AM2144">
        <v>103.89472481731001</v>
      </c>
      <c r="AN2144">
        <v>0.99999993286052702</v>
      </c>
    </row>
    <row r="2145" spans="1:40" x14ac:dyDescent="0.25">
      <c r="A2145" t="str">
        <f>"20190304164641770"</f>
        <v>20190304164641770</v>
      </c>
      <c r="B2145" t="str">
        <f>"1551689201760761"</f>
        <v>1551689201760761</v>
      </c>
      <c r="C2145" t="s">
        <v>40</v>
      </c>
      <c r="D2145">
        <v>4.2293059999999896</v>
      </c>
      <c r="E2145">
        <v>0.3866928</v>
      </c>
      <c r="F2145" t="s">
        <v>41</v>
      </c>
      <c r="G2145">
        <v>-480.40210000000002</v>
      </c>
      <c r="H2145">
        <v>1.0779000000000001</v>
      </c>
      <c r="I2145">
        <v>281.5351</v>
      </c>
      <c r="J2145">
        <v>-480.10359999999997</v>
      </c>
      <c r="K2145">
        <v>1.118401</v>
      </c>
      <c r="L2145">
        <v>282.18560000000002</v>
      </c>
      <c r="M2145">
        <v>-0.89293630000000002</v>
      </c>
      <c r="N2145">
        <v>-1.4862490000000001E-2</v>
      </c>
      <c r="O2145">
        <v>-0.44993749999999999</v>
      </c>
      <c r="P2145">
        <v>-0.70924200000000004</v>
      </c>
      <c r="Q2145">
        <v>0.37233650000000001</v>
      </c>
      <c r="R2145">
        <v>-0.59861619999999904</v>
      </c>
      <c r="S2145">
        <v>-1.9093629999999999</v>
      </c>
      <c r="T2145">
        <v>-0.15046989999999999</v>
      </c>
      <c r="U2145">
        <v>-2.8571469999999999</v>
      </c>
      <c r="V2145">
        <v>-0.22216939999999999</v>
      </c>
      <c r="W2145">
        <v>0.38187359999999998</v>
      </c>
      <c r="X2145">
        <v>0.89711390000000002</v>
      </c>
      <c r="Y2145">
        <v>-0.49206850000000002</v>
      </c>
      <c r="Z2145">
        <v>-7.6827449999999995E-4</v>
      </c>
      <c r="AA2145">
        <v>0.87055609999999894</v>
      </c>
      <c r="AB2145">
        <v>25</v>
      </c>
      <c r="AC2145">
        <v>-0.29850000000004601</v>
      </c>
      <c r="AD2145">
        <v>-4.0500999999999898E-2</v>
      </c>
      <c r="AE2145">
        <v>-0.65050000000002195</v>
      </c>
      <c r="AF2145">
        <v>-0.44517254541165102</v>
      </c>
      <c r="AG2145">
        <v>-4.0500999999999898E-2</v>
      </c>
      <c r="AH2145">
        <v>0.55750240695785103</v>
      </c>
      <c r="AI2145">
        <v>93.249143704143407</v>
      </c>
      <c r="AJ2145">
        <v>128.60779657950999</v>
      </c>
      <c r="AK2145">
        <v>0.71458229753687996</v>
      </c>
      <c r="AL2145">
        <v>67.550214317742302</v>
      </c>
      <c r="AM2145">
        <v>103.90939719073999</v>
      </c>
      <c r="AN2145">
        <v>1.0000000191232601</v>
      </c>
    </row>
    <row r="2146" spans="1:40" x14ac:dyDescent="0.25">
      <c r="A2146" t="str">
        <f>"20190304164641792"</f>
        <v>20190304164641792</v>
      </c>
      <c r="B2146" t="str">
        <f>"1551689201780283"</f>
        <v>1551689201780283</v>
      </c>
      <c r="C2146" t="s">
        <v>40</v>
      </c>
      <c r="D2146">
        <v>4.2329100000000004</v>
      </c>
      <c r="E2146">
        <v>0.38740469999999999</v>
      </c>
      <c r="F2146" t="s">
        <v>41</v>
      </c>
      <c r="G2146">
        <v>-480.60829999999999</v>
      </c>
      <c r="H2146">
        <v>1.074943</v>
      </c>
      <c r="I2146">
        <v>281.44929999999999</v>
      </c>
      <c r="J2146">
        <v>-480.31569999999999</v>
      </c>
      <c r="K2146">
        <v>1.1183860000000001</v>
      </c>
      <c r="L2146">
        <v>282.06569999999999</v>
      </c>
      <c r="M2146">
        <v>-0.88817710000000005</v>
      </c>
      <c r="N2146">
        <v>-1.485874E-2</v>
      </c>
      <c r="O2146">
        <v>-0.45926109999999998</v>
      </c>
      <c r="P2146">
        <v>-0.70243009999999995</v>
      </c>
      <c r="Q2146">
        <v>0.37284719999999999</v>
      </c>
      <c r="R2146">
        <v>-0.60628139999999997</v>
      </c>
      <c r="S2146">
        <v>-1.9345699999999999</v>
      </c>
      <c r="T2146">
        <v>-0.1665777</v>
      </c>
      <c r="U2146">
        <v>-2.8231199999999999</v>
      </c>
      <c r="V2146">
        <v>-0.22263369999999999</v>
      </c>
      <c r="W2146">
        <v>0.38237900000000002</v>
      </c>
      <c r="X2146">
        <v>0.89678349999999996</v>
      </c>
      <c r="Y2146">
        <v>-0.47267979999999998</v>
      </c>
      <c r="Z2146">
        <v>1.3438720000000001E-3</v>
      </c>
      <c r="AA2146">
        <v>0.8812333</v>
      </c>
      <c r="AB2146">
        <v>25</v>
      </c>
      <c r="AC2146">
        <v>-0.29259999999999298</v>
      </c>
      <c r="AD2146">
        <v>-4.34430000000001E-2</v>
      </c>
      <c r="AE2146">
        <v>-0.61639999999999795</v>
      </c>
      <c r="AF2146">
        <v>-0.41147014434197499</v>
      </c>
      <c r="AG2146">
        <v>-4.34430000000001E-2</v>
      </c>
      <c r="AH2146">
        <v>0.54083664856354996</v>
      </c>
      <c r="AI2146">
        <v>93.657794351618605</v>
      </c>
      <c r="AJ2146">
        <v>127.263986285117</v>
      </c>
      <c r="AK2146">
        <v>0.68095466395587501</v>
      </c>
      <c r="AL2146">
        <v>67.518879846078704</v>
      </c>
      <c r="AM2146">
        <v>103.942268232535</v>
      </c>
      <c r="AN2146">
        <v>1.0000000549444601</v>
      </c>
    </row>
    <row r="2147" spans="1:40" x14ac:dyDescent="0.25">
      <c r="A2147" t="str">
        <f>"20190304164641814"</f>
        <v>20190304164641814</v>
      </c>
      <c r="B2147" t="str">
        <f>"1551689201810540"</f>
        <v>1551689201810540</v>
      </c>
      <c r="C2147" t="s">
        <v>40</v>
      </c>
      <c r="D2147">
        <v>4.2281459999999997</v>
      </c>
      <c r="E2147">
        <v>0.38958110000000001</v>
      </c>
      <c r="F2147" t="s">
        <v>41</v>
      </c>
      <c r="G2147">
        <v>-480.8073</v>
      </c>
      <c r="H2147">
        <v>1.0766690000000001</v>
      </c>
      <c r="I2147">
        <v>281.3331</v>
      </c>
      <c r="J2147">
        <v>-480.52719999999999</v>
      </c>
      <c r="K2147">
        <v>1.11836</v>
      </c>
      <c r="L2147">
        <v>281.9434</v>
      </c>
      <c r="M2147">
        <v>-0.88330719999999996</v>
      </c>
      <c r="N2147">
        <v>-1.485475E-2</v>
      </c>
      <c r="O2147">
        <v>-0.46855910000000001</v>
      </c>
      <c r="P2147">
        <v>-0.69562819999999903</v>
      </c>
      <c r="Q2147">
        <v>0.37261100000000003</v>
      </c>
      <c r="R2147">
        <v>-0.61421700000000001</v>
      </c>
      <c r="S2147">
        <v>-1.90564</v>
      </c>
      <c r="T2147">
        <v>-0.16171849999999999</v>
      </c>
      <c r="U2147">
        <v>-2.8398129999999999</v>
      </c>
      <c r="V2147">
        <v>-0.22332270000000001</v>
      </c>
      <c r="W2147">
        <v>0.3821367</v>
      </c>
      <c r="X2147">
        <v>0.89671540000000005</v>
      </c>
      <c r="Y2147">
        <v>-0.47203030000000001</v>
      </c>
      <c r="Z2147">
        <v>1.4186610000000001E-3</v>
      </c>
      <c r="AA2147">
        <v>0.88158119999999995</v>
      </c>
      <c r="AB2147">
        <v>25</v>
      </c>
      <c r="AC2147">
        <v>-0.28010000000000401</v>
      </c>
      <c r="AD2147">
        <v>-4.1690999999999902E-2</v>
      </c>
      <c r="AE2147">
        <v>-0.61029999999999496</v>
      </c>
      <c r="AF2147">
        <v>-0.40631779877705199</v>
      </c>
      <c r="AG2147">
        <v>-4.1690999999999902E-2</v>
      </c>
      <c r="AH2147">
        <v>0.53138654885167302</v>
      </c>
      <c r="AI2147">
        <v>93.566347277678304</v>
      </c>
      <c r="AJ2147">
        <v>127.40286497423401</v>
      </c>
      <c r="AK2147">
        <v>0.67022679548382802</v>
      </c>
      <c r="AL2147">
        <v>67.533902211638804</v>
      </c>
      <c r="AM2147">
        <v>103.984745939661</v>
      </c>
      <c r="AN2147">
        <v>0.99999999720967003</v>
      </c>
    </row>
    <row r="2148" spans="1:40" x14ac:dyDescent="0.25">
      <c r="A2148" t="str">
        <f>"20190304164641838"</f>
        <v>20190304164641838</v>
      </c>
      <c r="B2148" t="str">
        <f>"1551689201830565"</f>
        <v>1551689201830565</v>
      </c>
      <c r="C2148" t="s">
        <v>40</v>
      </c>
      <c r="D2148">
        <v>4.2140069999999996</v>
      </c>
      <c r="E2148">
        <v>0.39042539999999998</v>
      </c>
      <c r="F2148" t="s">
        <v>41</v>
      </c>
      <c r="G2148">
        <v>-481.02749999999997</v>
      </c>
      <c r="H2148">
        <v>1.0743419999999999</v>
      </c>
      <c r="I2148">
        <v>281.18740000000003</v>
      </c>
      <c r="J2148">
        <v>-480.75310000000002</v>
      </c>
      <c r="K2148">
        <v>1.118333</v>
      </c>
      <c r="L2148">
        <v>281.80900000000003</v>
      </c>
      <c r="M2148">
        <v>-0.87795590000000001</v>
      </c>
      <c r="N2148">
        <v>-1.485032E-2</v>
      </c>
      <c r="O2148">
        <v>-0.47851129999999997</v>
      </c>
      <c r="P2148">
        <v>-0.68890609999999997</v>
      </c>
      <c r="Q2148">
        <v>0.37233270000000002</v>
      </c>
      <c r="R2148">
        <v>-0.62191390000000002</v>
      </c>
      <c r="S2148">
        <v>-1.8856200000000001</v>
      </c>
      <c r="T2148">
        <v>-0.1658982</v>
      </c>
      <c r="U2148">
        <v>-2.849335</v>
      </c>
      <c r="V2148">
        <v>-0.2230607</v>
      </c>
      <c r="W2148">
        <v>0.38187399999999999</v>
      </c>
      <c r="X2148">
        <v>0.89689249999999998</v>
      </c>
      <c r="Y2148">
        <v>-0.46772170000000002</v>
      </c>
      <c r="Z2148">
        <v>2.298797E-3</v>
      </c>
      <c r="AA2148">
        <v>0.88387280000000001</v>
      </c>
      <c r="AB2148">
        <v>25</v>
      </c>
      <c r="AC2148">
        <v>-0.27439999999995701</v>
      </c>
      <c r="AD2148">
        <v>-4.3991000000000099E-2</v>
      </c>
      <c r="AE2148">
        <v>-0.62160000000000004</v>
      </c>
      <c r="AF2148">
        <v>-0.41274945894683801</v>
      </c>
      <c r="AG2148">
        <v>-4.3991000000000099E-2</v>
      </c>
      <c r="AH2148">
        <v>0.53616563468149903</v>
      </c>
      <c r="AI2148">
        <v>93.719810835168005</v>
      </c>
      <c r="AJ2148">
        <v>127.589690737514</v>
      </c>
      <c r="AK2148">
        <v>0.67806409118557698</v>
      </c>
      <c r="AL2148">
        <v>67.550188881766601</v>
      </c>
      <c r="AM2148">
        <v>103.966331667292</v>
      </c>
      <c r="AN2148">
        <v>0.99999999215836999</v>
      </c>
    </row>
    <row r="2149" spans="1:40" x14ac:dyDescent="0.25">
      <c r="A2149" t="str">
        <f>"20190304164641858"</f>
        <v>20190304164641858</v>
      </c>
      <c r="B2149" t="str">
        <f>"1551689201850085"</f>
        <v>1551689201850085</v>
      </c>
      <c r="C2149" t="s">
        <v>40</v>
      </c>
      <c r="D2149">
        <v>4.2056069999999997</v>
      </c>
      <c r="E2149">
        <v>0.39122760000000001</v>
      </c>
      <c r="F2149" t="s">
        <v>41</v>
      </c>
      <c r="G2149">
        <v>-481.3075</v>
      </c>
      <c r="H2149">
        <v>1.0677239999999999</v>
      </c>
      <c r="I2149">
        <v>280.95330000000001</v>
      </c>
      <c r="J2149">
        <v>-480.9468</v>
      </c>
      <c r="K2149">
        <v>1.1183099999999999</v>
      </c>
      <c r="L2149">
        <v>281.69110000000001</v>
      </c>
      <c r="M2149">
        <v>-0.87324769999999896</v>
      </c>
      <c r="N2149">
        <v>-1.484633E-2</v>
      </c>
      <c r="O2149">
        <v>-0.4870507</v>
      </c>
      <c r="P2149">
        <v>-0.68294169999999998</v>
      </c>
      <c r="Q2149">
        <v>0.37152639999999998</v>
      </c>
      <c r="R2149">
        <v>-0.62893520000000003</v>
      </c>
      <c r="S2149">
        <v>-1.8575440000000001</v>
      </c>
      <c r="T2149">
        <v>-0.1695458</v>
      </c>
      <c r="U2149">
        <v>-2.8677670000000002</v>
      </c>
      <c r="V2149">
        <v>-0.2232537</v>
      </c>
      <c r="W2149">
        <v>0.38107489999999999</v>
      </c>
      <c r="X2149">
        <v>0.89718430000000005</v>
      </c>
      <c r="Y2149">
        <v>-0.46778619999999999</v>
      </c>
      <c r="Z2149">
        <v>2.9490089999999998E-3</v>
      </c>
      <c r="AA2149">
        <v>0.88383670000000003</v>
      </c>
      <c r="AB2149">
        <v>25</v>
      </c>
      <c r="AC2149">
        <v>-0.36070000000000801</v>
      </c>
      <c r="AD2149">
        <v>-5.05860000000002E-2</v>
      </c>
      <c r="AE2149">
        <v>-0.73779999999999202</v>
      </c>
      <c r="AF2149">
        <v>-0.46688313551085397</v>
      </c>
      <c r="AG2149">
        <v>-5.05860000000002E-2</v>
      </c>
      <c r="AH2149">
        <v>0.67185159149535101</v>
      </c>
      <c r="AI2149">
        <v>93.538092198051103</v>
      </c>
      <c r="AJ2149">
        <v>124.796211226415</v>
      </c>
      <c r="AK2149">
        <v>0.81970931836553096</v>
      </c>
      <c r="AL2149">
        <v>67.599719213965201</v>
      </c>
      <c r="AM2149">
        <v>103.97357420567501</v>
      </c>
      <c r="AN2149">
        <v>0.99999998107009402</v>
      </c>
    </row>
    <row r="2150" spans="1:40" x14ac:dyDescent="0.25">
      <c r="A2150" t="str">
        <f>"20190304164641881"</f>
        <v>20190304164641881</v>
      </c>
      <c r="B2150" t="str">
        <f>"1551689201870581"</f>
        <v>1551689201870581</v>
      </c>
      <c r="C2150" t="s">
        <v>40</v>
      </c>
      <c r="D2150">
        <v>4.2102719999999998</v>
      </c>
      <c r="E2150">
        <v>0.3985629</v>
      </c>
      <c r="F2150" t="s">
        <v>41</v>
      </c>
      <c r="G2150">
        <v>-481.48910000000001</v>
      </c>
      <c r="H2150">
        <v>1.066389</v>
      </c>
      <c r="I2150">
        <v>280.8374</v>
      </c>
      <c r="J2150">
        <v>-481.1506</v>
      </c>
      <c r="K2150">
        <v>1.118277</v>
      </c>
      <c r="L2150">
        <v>281.56420000000003</v>
      </c>
      <c r="M2150">
        <v>-0.86817529999999998</v>
      </c>
      <c r="N2150">
        <v>-1.4841989999999999E-2</v>
      </c>
      <c r="O2150">
        <v>-0.49603570000000002</v>
      </c>
      <c r="P2150">
        <v>-0.67649619999999999</v>
      </c>
      <c r="Q2150">
        <v>0.370473</v>
      </c>
      <c r="R2150">
        <v>-0.63647710000000002</v>
      </c>
      <c r="S2150">
        <v>-1.8323970000000001</v>
      </c>
      <c r="T2150">
        <v>-0.1754404</v>
      </c>
      <c r="U2150">
        <v>-2.8839419999999998</v>
      </c>
      <c r="V2150">
        <v>-0.22363520000000001</v>
      </c>
      <c r="W2150">
        <v>0.3800268</v>
      </c>
      <c r="X2150">
        <v>0.89753379999999905</v>
      </c>
      <c r="Y2150">
        <v>-0.46639330000000001</v>
      </c>
      <c r="Z2150">
        <v>3.876375E-3</v>
      </c>
      <c r="AA2150">
        <v>0.88456900000000005</v>
      </c>
      <c r="AB2150">
        <v>25</v>
      </c>
      <c r="AC2150">
        <v>-0.33850000000001002</v>
      </c>
      <c r="AD2150">
        <v>-5.1887999999999899E-2</v>
      </c>
      <c r="AE2150">
        <v>-0.72680000000002498</v>
      </c>
      <c r="AF2150">
        <v>-0.46120104822563501</v>
      </c>
      <c r="AG2150">
        <v>-5.1887999999999899E-2</v>
      </c>
      <c r="AH2150">
        <v>0.65173844130703895</v>
      </c>
      <c r="AI2150">
        <v>93.718344212737804</v>
      </c>
      <c r="AJ2150">
        <v>125.28503657394199</v>
      </c>
      <c r="AK2150">
        <v>0.80010109817806896</v>
      </c>
      <c r="AL2150">
        <v>67.664657202953606</v>
      </c>
      <c r="AM2150">
        <v>103.99127845564399</v>
      </c>
      <c r="AN2150">
        <v>0.99999999676985996</v>
      </c>
    </row>
    <row r="2151" spans="1:40" x14ac:dyDescent="0.25">
      <c r="A2151" t="str">
        <f>"20190304164641904"</f>
        <v>20190304164641904</v>
      </c>
      <c r="B2151" t="str">
        <f>"1551689201900837"</f>
        <v>1551689201900837</v>
      </c>
      <c r="C2151" t="s">
        <v>40</v>
      </c>
      <c r="D2151">
        <v>4.1886609999999997</v>
      </c>
      <c r="E2151">
        <v>0.40046860000000001</v>
      </c>
      <c r="F2151" t="s">
        <v>41</v>
      </c>
      <c r="G2151">
        <v>-481.6841</v>
      </c>
      <c r="H2151">
        <v>1.0569789999999999</v>
      </c>
      <c r="I2151">
        <v>280.73630000000003</v>
      </c>
      <c r="J2151">
        <v>-481.36320000000001</v>
      </c>
      <c r="K2151">
        <v>1.1182559999999999</v>
      </c>
      <c r="L2151">
        <v>281.42880000000002</v>
      </c>
      <c r="M2151">
        <v>-0.86274680000000004</v>
      </c>
      <c r="N2151">
        <v>-1.483724E-2</v>
      </c>
      <c r="O2151">
        <v>-0.50541840000000005</v>
      </c>
      <c r="P2151">
        <v>-0.66973930000000004</v>
      </c>
      <c r="Q2151">
        <v>0.37051210000000001</v>
      </c>
      <c r="R2151">
        <v>-0.64356029999999997</v>
      </c>
      <c r="S2151">
        <v>-1.8495790000000001</v>
      </c>
      <c r="T2151">
        <v>-0.21250250000000001</v>
      </c>
      <c r="U2151">
        <v>-2.8713380000000002</v>
      </c>
      <c r="V2151">
        <v>-0.22333990000000001</v>
      </c>
      <c r="W2151">
        <v>0.38007879999999999</v>
      </c>
      <c r="X2151">
        <v>0.89758530000000003</v>
      </c>
      <c r="Y2151">
        <v>-0.4511829</v>
      </c>
      <c r="Z2151">
        <v>8.0792989999999999E-3</v>
      </c>
      <c r="AA2151">
        <v>0.89239489999999999</v>
      </c>
      <c r="AB2151">
        <v>25</v>
      </c>
      <c r="AC2151">
        <v>-0.32089999999999402</v>
      </c>
      <c r="AD2151">
        <v>-6.1276999999999797E-2</v>
      </c>
      <c r="AE2151">
        <v>-0.69249999999999501</v>
      </c>
      <c r="AF2151">
        <v>-0.43252338114724997</v>
      </c>
      <c r="AG2151">
        <v>-6.1276999999999797E-2</v>
      </c>
      <c r="AH2151">
        <v>0.62291157743160497</v>
      </c>
      <c r="AI2151">
        <v>94.619635291783098</v>
      </c>
      <c r="AJ2151">
        <v>124.774473879417</v>
      </c>
      <c r="AK2151">
        <v>0.76082204178531698</v>
      </c>
      <c r="AL2151">
        <v>67.661435920967605</v>
      </c>
      <c r="AM2151">
        <v>103.972757646733</v>
      </c>
      <c r="AN2151">
        <v>0.99999998795876999</v>
      </c>
    </row>
    <row r="2152" spans="1:40" x14ac:dyDescent="0.25">
      <c r="A2152" t="str">
        <f>"20190304164641927"</f>
        <v>20190304164641927</v>
      </c>
      <c r="B2152" t="str">
        <f>"1551689201920357"</f>
        <v>1551689201920357</v>
      </c>
      <c r="C2152" t="s">
        <v>40</v>
      </c>
      <c r="D2152">
        <v>4.2057880000000001</v>
      </c>
      <c r="E2152">
        <v>0.39738319999999999</v>
      </c>
      <c r="F2152" t="s">
        <v>41</v>
      </c>
      <c r="G2152">
        <v>-481.8723</v>
      </c>
      <c r="H2152">
        <v>1.0568329999999999</v>
      </c>
      <c r="I2152">
        <v>280.62670000000003</v>
      </c>
      <c r="J2152">
        <v>-481.57650000000001</v>
      </c>
      <c r="K2152">
        <v>1.1182460000000001</v>
      </c>
      <c r="L2152">
        <v>281.28960000000001</v>
      </c>
      <c r="M2152">
        <v>-0.85715779999999997</v>
      </c>
      <c r="N2152">
        <v>-1.4832369999999999E-2</v>
      </c>
      <c r="O2152">
        <v>-0.51484030000000003</v>
      </c>
      <c r="P2152">
        <v>-0.66347440000000002</v>
      </c>
      <c r="Q2152">
        <v>0.36999739999999998</v>
      </c>
      <c r="R2152">
        <v>-0.65031059999999996</v>
      </c>
      <c r="S2152">
        <v>-1.8300780000000001</v>
      </c>
      <c r="T2152">
        <v>-0.22081529999999999</v>
      </c>
      <c r="U2152">
        <v>-2.8842159999999999</v>
      </c>
      <c r="V2152">
        <v>-0.22241569999999999</v>
      </c>
      <c r="W2152">
        <v>0.37959310000000002</v>
      </c>
      <c r="X2152">
        <v>0.89802029999999999</v>
      </c>
      <c r="Y2152">
        <v>-0.44750889999999999</v>
      </c>
      <c r="Z2152">
        <v>9.5304840000000005E-3</v>
      </c>
      <c r="AA2152">
        <v>0.89422869999999999</v>
      </c>
      <c r="AB2152">
        <v>25</v>
      </c>
      <c r="AC2152">
        <v>-0.29579999999998502</v>
      </c>
      <c r="AD2152">
        <v>-6.1412999999999898E-2</v>
      </c>
      <c r="AE2152">
        <v>-0.66289999999997895</v>
      </c>
      <c r="AF2152">
        <v>-0.41300975987736799</v>
      </c>
      <c r="AG2152">
        <v>-6.1412999999999898E-2</v>
      </c>
      <c r="AH2152">
        <v>0.590672577997162</v>
      </c>
      <c r="AI2152">
        <v>94.870286066809001</v>
      </c>
      <c r="AJ2152">
        <v>124.96199458765599</v>
      </c>
      <c r="AK2152">
        <v>0.72335517743413902</v>
      </c>
      <c r="AL2152">
        <v>67.691520845125297</v>
      </c>
      <c r="AM2152">
        <v>103.91070955779</v>
      </c>
      <c r="AN2152">
        <v>1.00000006219309</v>
      </c>
    </row>
    <row r="2153" spans="1:40" x14ac:dyDescent="0.25">
      <c r="A2153" t="str">
        <f>"20190304164641948"</f>
        <v>20190304164641948</v>
      </c>
      <c r="B2153" t="str">
        <f>"1551689201940385"</f>
        <v>1551689201940385</v>
      </c>
      <c r="C2153" t="s">
        <v>40</v>
      </c>
      <c r="D2153">
        <v>4.1935089999999997</v>
      </c>
      <c r="E2153">
        <v>0.40002769999999999</v>
      </c>
      <c r="F2153" t="s">
        <v>41</v>
      </c>
      <c r="G2153">
        <v>-482.06270000000001</v>
      </c>
      <c r="H2153">
        <v>1.0357320000000001</v>
      </c>
      <c r="I2153">
        <v>280.49579999999997</v>
      </c>
      <c r="J2153">
        <v>-481.76780000000002</v>
      </c>
      <c r="K2153">
        <v>1.1182190000000001</v>
      </c>
      <c r="L2153">
        <v>281.1619</v>
      </c>
      <c r="M2153">
        <v>-0.85202129999999998</v>
      </c>
      <c r="N2153">
        <v>-1.4827989999999999E-2</v>
      </c>
      <c r="O2153">
        <v>-0.52329729999999997</v>
      </c>
      <c r="P2153">
        <v>-0.65746380000000004</v>
      </c>
      <c r="Q2153">
        <v>0.3696122</v>
      </c>
      <c r="R2153">
        <v>-0.65660339999999995</v>
      </c>
      <c r="S2153">
        <v>-1.8043210000000001</v>
      </c>
      <c r="T2153">
        <v>-0.30622149999999998</v>
      </c>
      <c r="U2153">
        <v>-2.946564</v>
      </c>
      <c r="V2153">
        <v>-0.22194649999999999</v>
      </c>
      <c r="W2153">
        <v>0.37922600000000001</v>
      </c>
      <c r="X2153">
        <v>0.89829130000000001</v>
      </c>
      <c r="Y2153">
        <v>-0.4527699</v>
      </c>
      <c r="Z2153">
        <v>1.746493E-2</v>
      </c>
      <c r="AA2153">
        <v>0.89145629999999998</v>
      </c>
      <c r="AB2153">
        <v>25</v>
      </c>
      <c r="AC2153">
        <v>-0.29489999999998401</v>
      </c>
      <c r="AD2153">
        <v>-8.2487000000000199E-2</v>
      </c>
      <c r="AE2153">
        <v>-0.666100000000028</v>
      </c>
      <c r="AF2153">
        <v>-0.40802467434428202</v>
      </c>
      <c r="AG2153">
        <v>-8.2487000000000199E-2</v>
      </c>
      <c r="AH2153">
        <v>0.59230076758277705</v>
      </c>
      <c r="AI2153">
        <v>96.542470250984294</v>
      </c>
      <c r="AJ2153">
        <v>124.562213477274</v>
      </c>
      <c r="AK2153">
        <v>0.72395334056961402</v>
      </c>
      <c r="AL2153">
        <v>67.714250886622807</v>
      </c>
      <c r="AM2153">
        <v>103.878474081715</v>
      </c>
      <c r="AN2153">
        <v>0.99999993379696706</v>
      </c>
    </row>
    <row r="2154" spans="1:40" x14ac:dyDescent="0.25">
      <c r="A2154" t="str">
        <f>"20190304164641971"</f>
        <v>20190304164641971</v>
      </c>
      <c r="B2154" t="str">
        <f>"1551689201960881"</f>
        <v>1551689201960881</v>
      </c>
      <c r="C2154" t="s">
        <v>40</v>
      </c>
      <c r="D2154">
        <v>4.1677629999999999</v>
      </c>
      <c r="E2154">
        <v>0.40191789999999999</v>
      </c>
      <c r="F2154" t="s">
        <v>41</v>
      </c>
      <c r="G2154">
        <v>-482.26819999999998</v>
      </c>
      <c r="H2154">
        <v>1.031811</v>
      </c>
      <c r="I2154">
        <v>280.33980000000003</v>
      </c>
      <c r="J2154">
        <v>-481.97</v>
      </c>
      <c r="K2154">
        <v>1.1181939999999999</v>
      </c>
      <c r="L2154">
        <v>281.02390000000003</v>
      </c>
      <c r="M2154">
        <v>-0.84646119999999903</v>
      </c>
      <c r="N2154">
        <v>-1.4823039999999999E-2</v>
      </c>
      <c r="O2154">
        <v>-0.53224450000000001</v>
      </c>
      <c r="P2154">
        <v>-0.65056150000000001</v>
      </c>
      <c r="Q2154">
        <v>0.3692511</v>
      </c>
      <c r="R2154">
        <v>-0.66364429999999996</v>
      </c>
      <c r="S2154">
        <v>-1.79397599999999</v>
      </c>
      <c r="T2154">
        <v>-0.30974420000000003</v>
      </c>
      <c r="U2154">
        <v>-2.9468990000000002</v>
      </c>
      <c r="V2154">
        <v>-0.222022</v>
      </c>
      <c r="W2154">
        <v>0.37887130000000002</v>
      </c>
      <c r="X2154">
        <v>0.89842239999999995</v>
      </c>
      <c r="Y2154">
        <v>-0.44572970000000001</v>
      </c>
      <c r="Z2154">
        <v>1.9009470000000001E-2</v>
      </c>
      <c r="AA2154">
        <v>0.89496569999999998</v>
      </c>
      <c r="AB2154">
        <v>25</v>
      </c>
      <c r="AC2154">
        <v>-0.298199999999951</v>
      </c>
      <c r="AD2154">
        <v>-8.6383000000000099E-2</v>
      </c>
      <c r="AE2154">
        <v>-0.68410000000000004</v>
      </c>
      <c r="AF2154">
        <v>-0.41483655702708899</v>
      </c>
      <c r="AG2154">
        <v>-8.6383000000000099E-2</v>
      </c>
      <c r="AH2154">
        <v>0.60843842121125902</v>
      </c>
      <c r="AI2154">
        <v>96.690463694784995</v>
      </c>
      <c r="AJ2154">
        <v>124.286374201852</v>
      </c>
      <c r="AK2154">
        <v>0.74145040571918097</v>
      </c>
      <c r="AL2154">
        <v>67.736214565793404</v>
      </c>
      <c r="AM2154">
        <v>103.881065058736</v>
      </c>
      <c r="AN2154">
        <v>1.0000000196347201</v>
      </c>
    </row>
    <row r="2155" spans="1:40" x14ac:dyDescent="0.25">
      <c r="A2155" t="str">
        <f>"20190304164641993"</f>
        <v>20190304164641993</v>
      </c>
      <c r="B2155" t="str">
        <f>"1551689201990161"</f>
        <v>1551689201990161</v>
      </c>
      <c r="C2155" t="s">
        <v>40</v>
      </c>
      <c r="D2155">
        <v>4.1720420000000003</v>
      </c>
      <c r="E2155">
        <v>0.40331850000000002</v>
      </c>
      <c r="F2155" t="s">
        <v>45</v>
      </c>
      <c r="G2155">
        <v>-488.28250000000003</v>
      </c>
      <c r="H2155" s="1">
        <v>1.7396100000000001E-7</v>
      </c>
      <c r="I2155">
        <v>270.52870000000001</v>
      </c>
      <c r="J2155">
        <v>-482.1703</v>
      </c>
      <c r="K2155">
        <v>1.1181730000000001</v>
      </c>
      <c r="L2155">
        <v>280.88420000000002</v>
      </c>
      <c r="M2155">
        <v>-0.84082000000000001</v>
      </c>
      <c r="N2155">
        <v>-1.4818019999999999E-2</v>
      </c>
      <c r="O2155">
        <v>-0.54111209999999998</v>
      </c>
      <c r="P2155">
        <v>-0.64342829999999995</v>
      </c>
      <c r="Q2155">
        <v>0.3682685</v>
      </c>
      <c r="R2155">
        <v>-0.67110259999999999</v>
      </c>
      <c r="S2155">
        <v>-1.7767329999999999</v>
      </c>
      <c r="T2155">
        <v>-0.31472640000000002</v>
      </c>
      <c r="U2155">
        <v>-2.9539490000000002</v>
      </c>
      <c r="V2155">
        <v>-0.2226043</v>
      </c>
      <c r="W2155">
        <v>0.37788880000000002</v>
      </c>
      <c r="X2155">
        <v>0.89869209999999999</v>
      </c>
      <c r="Y2155">
        <v>-0.44112269999999998</v>
      </c>
      <c r="Z2155">
        <v>2.0574289999999999E-2</v>
      </c>
      <c r="AA2155">
        <v>0.89721099999999998</v>
      </c>
      <c r="AB2155">
        <v>25</v>
      </c>
      <c r="AC2155">
        <v>-6.1122000000000298</v>
      </c>
      <c r="AD2155">
        <v>-1.11817282603899</v>
      </c>
      <c r="AE2155">
        <v>-10.355499999999999</v>
      </c>
      <c r="AF2155">
        <v>-5.3540226185107</v>
      </c>
      <c r="AG2155">
        <v>-1.11817282603899</v>
      </c>
      <c r="AH2155">
        <v>10.6518192890621</v>
      </c>
      <c r="AI2155">
        <v>95.358273404439998</v>
      </c>
      <c r="AJ2155">
        <v>116.68589841556199</v>
      </c>
      <c r="AK2155">
        <v>11.9740186585478</v>
      </c>
      <c r="AL2155">
        <v>67.7970300500089</v>
      </c>
      <c r="AM2155">
        <v>103.912043883409</v>
      </c>
      <c r="AN2155">
        <v>1.00000005507316</v>
      </c>
    </row>
    <row r="2156" spans="1:40" x14ac:dyDescent="0.25">
      <c r="A2156" t="str">
        <f>"20190304164642016"</f>
        <v>20190304164642016</v>
      </c>
      <c r="B2156" t="str">
        <f>"1551689202010657"</f>
        <v>1551689202010657</v>
      </c>
      <c r="C2156" t="s">
        <v>40</v>
      </c>
      <c r="D2156">
        <v>4.1842030000000001</v>
      </c>
      <c r="E2156">
        <v>0.41185450000000001</v>
      </c>
      <c r="F2156" t="s">
        <v>45</v>
      </c>
      <c r="G2156">
        <v>-488.23599999999999</v>
      </c>
      <c r="H2156" s="1">
        <v>2.061348E-7</v>
      </c>
      <c r="I2156">
        <v>270.63139999999999</v>
      </c>
      <c r="J2156">
        <v>-482.36739999999998</v>
      </c>
      <c r="K2156">
        <v>1.118161</v>
      </c>
      <c r="L2156">
        <v>280.74340000000001</v>
      </c>
      <c r="M2156">
        <v>-0.83512999999999904</v>
      </c>
      <c r="N2156">
        <v>-1.4813170000000001E-2</v>
      </c>
      <c r="O2156">
        <v>-0.54985329999999999</v>
      </c>
      <c r="P2156">
        <v>-0.63659359999999998</v>
      </c>
      <c r="Q2156">
        <v>0.36802289999999999</v>
      </c>
      <c r="R2156">
        <v>-0.67772279999999996</v>
      </c>
      <c r="S2156">
        <v>-1.7545170000000001</v>
      </c>
      <c r="T2156">
        <v>-0.32343179999999999</v>
      </c>
      <c r="U2156">
        <v>-2.9656069999999999</v>
      </c>
      <c r="V2156">
        <v>-0.22242590000000001</v>
      </c>
      <c r="W2156">
        <v>0.37765480000000001</v>
      </c>
      <c r="X2156">
        <v>0.89883459999999904</v>
      </c>
      <c r="Y2156">
        <v>-0.43830409999999997</v>
      </c>
      <c r="Z2156">
        <v>2.2439210000000001E-2</v>
      </c>
      <c r="AA2156">
        <v>0.89854659999999997</v>
      </c>
      <c r="AB2156">
        <v>25</v>
      </c>
      <c r="AC2156">
        <v>-5.8686000000000096</v>
      </c>
      <c r="AD2156">
        <v>-1.1181607938652001</v>
      </c>
      <c r="AE2156">
        <v>-10.112</v>
      </c>
      <c r="AF2156">
        <v>-5.1712380280815298</v>
      </c>
      <c r="AG2156">
        <v>-1.1181607938652001</v>
      </c>
      <c r="AH2156">
        <v>10.3674796433898</v>
      </c>
      <c r="AI2156">
        <v>95.5127079967735</v>
      </c>
      <c r="AJ2156">
        <v>116.509751684121</v>
      </c>
      <c r="AK2156">
        <v>11.6394424462736</v>
      </c>
      <c r="AL2156">
        <v>67.811509760930207</v>
      </c>
      <c r="AM2156">
        <v>103.899208616094</v>
      </c>
      <c r="AN2156">
        <v>1.0000000335554999</v>
      </c>
    </row>
    <row r="2157" spans="1:40" x14ac:dyDescent="0.25">
      <c r="A2157" t="str">
        <f>"20190304164642037"</f>
        <v>20190304164642037</v>
      </c>
      <c r="B2157" t="str">
        <f>"1551689202030683"</f>
        <v>1551689202030683</v>
      </c>
      <c r="C2157" t="s">
        <v>40</v>
      </c>
      <c r="D2157">
        <v>4.1792249999999997</v>
      </c>
      <c r="E2157">
        <v>0.41267320000000002</v>
      </c>
      <c r="F2157" t="s">
        <v>41</v>
      </c>
      <c r="G2157">
        <v>-482.90010000000001</v>
      </c>
      <c r="H2157">
        <v>1.015037</v>
      </c>
      <c r="I2157">
        <v>279.86149999999998</v>
      </c>
      <c r="J2157">
        <v>-482.56150000000002</v>
      </c>
      <c r="K2157">
        <v>1.118139</v>
      </c>
      <c r="L2157">
        <v>280.60160000000002</v>
      </c>
      <c r="M2157">
        <v>-0.82939549999999995</v>
      </c>
      <c r="N2157">
        <v>-1.4808139999999999E-2</v>
      </c>
      <c r="O2157">
        <v>-0.55846569999999995</v>
      </c>
      <c r="P2157">
        <v>-0.62969919999999902</v>
      </c>
      <c r="Q2157">
        <v>0.36709199999999997</v>
      </c>
      <c r="R2157">
        <v>-0.6846333</v>
      </c>
      <c r="S2157">
        <v>-1.777649</v>
      </c>
      <c r="T2157">
        <v>-0.34414139999999999</v>
      </c>
      <c r="U2157">
        <v>-2.9438170000000001</v>
      </c>
      <c r="V2157">
        <v>-0.22260489999999999</v>
      </c>
      <c r="W2157">
        <v>0.37673180000000001</v>
      </c>
      <c r="X2157">
        <v>0.89917749999999996</v>
      </c>
      <c r="Y2157">
        <v>-0.42090529999999998</v>
      </c>
      <c r="Z2157">
        <v>2.648756E-2</v>
      </c>
      <c r="AA2157">
        <v>0.90671780000000002</v>
      </c>
      <c r="AB2157">
        <v>25</v>
      </c>
      <c r="AC2157">
        <v>-0.33859999999998502</v>
      </c>
      <c r="AD2157">
        <v>-0.103101999999999</v>
      </c>
      <c r="AE2157">
        <v>-0.74010000000003995</v>
      </c>
      <c r="AF2157">
        <v>-0.41807647274163501</v>
      </c>
      <c r="AG2157">
        <v>-0.103101999999999</v>
      </c>
      <c r="AH2157">
        <v>0.68326496941098802</v>
      </c>
      <c r="AI2157">
        <v>97.334374622336497</v>
      </c>
      <c r="AJ2157">
        <v>121.46164848069201</v>
      </c>
      <c r="AK2157">
        <v>0.80763170931327699</v>
      </c>
      <c r="AL2157">
        <v>67.868610456169506</v>
      </c>
      <c r="AM2157">
        <v>103.904861311427</v>
      </c>
      <c r="AN2157">
        <v>0.99999998357074904</v>
      </c>
    </row>
    <row r="2158" spans="1:40" x14ac:dyDescent="0.25">
      <c r="A2158" t="str">
        <f>"20190304164642059"</f>
        <v>20190304164642059</v>
      </c>
      <c r="B2158" t="str">
        <f>"1551689202050203"</f>
        <v>1551689202050203</v>
      </c>
      <c r="C2158" t="s">
        <v>40</v>
      </c>
      <c r="D2158">
        <v>4.1662089999999896</v>
      </c>
      <c r="E2158">
        <v>0.4132459</v>
      </c>
      <c r="F2158" t="s">
        <v>41</v>
      </c>
      <c r="G2158">
        <v>-483.08280000000002</v>
      </c>
      <c r="H2158">
        <v>1.0133810000000001</v>
      </c>
      <c r="I2158">
        <v>279.7217</v>
      </c>
      <c r="J2158">
        <v>-482.75060000000002</v>
      </c>
      <c r="K2158">
        <v>1.118115</v>
      </c>
      <c r="L2158">
        <v>280.4606</v>
      </c>
      <c r="M2158">
        <v>-0.82367710000000005</v>
      </c>
      <c r="N2158">
        <v>-1.480326E-2</v>
      </c>
      <c r="O2158">
        <v>-0.56686590000000003</v>
      </c>
      <c r="P2158">
        <v>-0.62295349999999905</v>
      </c>
      <c r="Q2158">
        <v>0.36619940000000001</v>
      </c>
      <c r="R2158">
        <v>-0.69125029999999998</v>
      </c>
      <c r="S2158">
        <v>-1.752319</v>
      </c>
      <c r="T2158">
        <v>-0.35217549999999997</v>
      </c>
      <c r="U2158">
        <v>-2.9591059999999998</v>
      </c>
      <c r="V2158">
        <v>-0.22264129999999999</v>
      </c>
      <c r="W2158">
        <v>0.3758495</v>
      </c>
      <c r="X2158">
        <v>0.89953760000000005</v>
      </c>
      <c r="Y2158">
        <v>-0.41951529999999998</v>
      </c>
      <c r="Z2158">
        <v>2.831674E-2</v>
      </c>
      <c r="AA2158">
        <v>0.90730659999999996</v>
      </c>
      <c r="AB2158">
        <v>25</v>
      </c>
      <c r="AC2158">
        <v>-0.3322</v>
      </c>
      <c r="AD2158">
        <v>-0.10473399999999999</v>
      </c>
      <c r="AE2158">
        <v>-0.738900000000001</v>
      </c>
      <c r="AF2158">
        <v>-0.413438430540716</v>
      </c>
      <c r="AG2158">
        <v>-0.10473399999999999</v>
      </c>
      <c r="AH2158">
        <v>0.68117418582142997</v>
      </c>
      <c r="AI2158">
        <v>97.487986722146999</v>
      </c>
      <c r="AJ2158">
        <v>121.25564241729499</v>
      </c>
      <c r="AK2158">
        <v>0.80367830506581395</v>
      </c>
      <c r="AL2158">
        <v>67.923171855994497</v>
      </c>
      <c r="AM2158">
        <v>103.901695513603</v>
      </c>
      <c r="AN2158">
        <v>0.99999994446484797</v>
      </c>
    </row>
    <row r="2159" spans="1:40" x14ac:dyDescent="0.25">
      <c r="A2159" t="str">
        <f>"20190304164642082"</f>
        <v>20190304164642082</v>
      </c>
      <c r="B2159" t="str">
        <f>"1551689202070699"</f>
        <v>1551689202070699</v>
      </c>
      <c r="C2159" t="s">
        <v>40</v>
      </c>
      <c r="D2159">
        <v>4.1652680000000002</v>
      </c>
      <c r="E2159">
        <v>0.4106939</v>
      </c>
      <c r="F2159" t="s">
        <v>41</v>
      </c>
      <c r="G2159">
        <v>-483.27359999999999</v>
      </c>
      <c r="H2159">
        <v>1.010065</v>
      </c>
      <c r="I2159">
        <v>279.56009999999998</v>
      </c>
      <c r="J2159">
        <v>-482.9452</v>
      </c>
      <c r="K2159">
        <v>1.1180969999999999</v>
      </c>
      <c r="L2159">
        <v>280.31229999999999</v>
      </c>
      <c r="M2159">
        <v>-0.81765480000000001</v>
      </c>
      <c r="N2159">
        <v>-1.4798270000000001E-2</v>
      </c>
      <c r="O2159">
        <v>-0.57551869999999905</v>
      </c>
      <c r="P2159">
        <v>-0.61610730000000002</v>
      </c>
      <c r="Q2159">
        <v>0.36592950000000002</v>
      </c>
      <c r="R2159">
        <v>-0.69750109999999999</v>
      </c>
      <c r="S2159">
        <v>-1.726593</v>
      </c>
      <c r="T2159">
        <v>-0.35673559999999999</v>
      </c>
      <c r="U2159">
        <v>-2.9730219999999998</v>
      </c>
      <c r="V2159">
        <v>-0.2221167</v>
      </c>
      <c r="W2159">
        <v>0.37559720000000002</v>
      </c>
      <c r="X2159">
        <v>0.89977269999999898</v>
      </c>
      <c r="Y2159">
        <v>-0.41769079999999897</v>
      </c>
      <c r="Z2159">
        <v>2.986347E-2</v>
      </c>
      <c r="AA2159">
        <v>0.90809830000000002</v>
      </c>
      <c r="AB2159">
        <v>25</v>
      </c>
      <c r="AC2159">
        <v>-0.32839999999998698</v>
      </c>
      <c r="AD2159">
        <v>-0.108031999999999</v>
      </c>
      <c r="AE2159">
        <v>-0.75220000000001597</v>
      </c>
      <c r="AF2159">
        <v>-0.41883005723166</v>
      </c>
      <c r="AG2159">
        <v>-0.108031999999999</v>
      </c>
      <c r="AH2159">
        <v>0.68955335753408398</v>
      </c>
      <c r="AI2159">
        <v>97.626782472335293</v>
      </c>
      <c r="AJ2159">
        <v>121.27421307706599</v>
      </c>
      <c r="AK2159">
        <v>0.81398609493725604</v>
      </c>
      <c r="AL2159">
        <v>67.938771714477298</v>
      </c>
      <c r="AM2159">
        <v>103.866721539747</v>
      </c>
      <c r="AN2159">
        <v>0.99999999836600895</v>
      </c>
    </row>
    <row r="2160" spans="1:40" x14ac:dyDescent="0.25">
      <c r="A2160" t="str">
        <f>"20190304164642105"</f>
        <v>20190304164642105</v>
      </c>
      <c r="B2160" t="str">
        <f>"1551689202100956"</f>
        <v>1551689202100956</v>
      </c>
      <c r="C2160" t="s">
        <v>40</v>
      </c>
      <c r="D2160">
        <v>4.1557219999999999</v>
      </c>
      <c r="E2160">
        <v>0.4120626</v>
      </c>
      <c r="F2160" t="s">
        <v>41</v>
      </c>
      <c r="G2160">
        <v>-483.44499999999999</v>
      </c>
      <c r="H2160">
        <v>1.0292870000000001</v>
      </c>
      <c r="I2160">
        <v>279.41629999999998</v>
      </c>
      <c r="J2160">
        <v>-483.142</v>
      </c>
      <c r="K2160">
        <v>1.1180870000000001</v>
      </c>
      <c r="L2160">
        <v>280.15890000000002</v>
      </c>
      <c r="M2160">
        <v>-0.81142159999999997</v>
      </c>
      <c r="N2160">
        <v>-1.4793270000000001E-2</v>
      </c>
      <c r="O2160">
        <v>-0.58427410000000002</v>
      </c>
      <c r="P2160">
        <v>-0.60901519999999898</v>
      </c>
      <c r="Q2160">
        <v>0.36706420000000001</v>
      </c>
      <c r="R2160">
        <v>-0.70311049999999997</v>
      </c>
      <c r="S2160">
        <v>-1.6651</v>
      </c>
      <c r="T2160">
        <v>-0.29587380000000002</v>
      </c>
      <c r="U2160">
        <v>-2.9855040000000002</v>
      </c>
      <c r="V2160">
        <v>-0.22107189999999999</v>
      </c>
      <c r="W2160">
        <v>0.37675259999999999</v>
      </c>
      <c r="X2160">
        <v>0.89954690000000004</v>
      </c>
      <c r="Y2160">
        <v>-0.42371789999999998</v>
      </c>
      <c r="Z2160">
        <v>2.3573420000000001E-2</v>
      </c>
      <c r="AA2160">
        <v>0.90548740000000005</v>
      </c>
      <c r="AB2160">
        <v>25</v>
      </c>
      <c r="AC2160">
        <v>-0.30299999999999699</v>
      </c>
      <c r="AD2160">
        <v>-8.8799999999999907E-2</v>
      </c>
      <c r="AE2160">
        <v>-0.74260000000003801</v>
      </c>
      <c r="AF2160">
        <v>-0.420419473897023</v>
      </c>
      <c r="AG2160">
        <v>-8.8799999999999907E-2</v>
      </c>
      <c r="AH2160">
        <v>0.67158444623345104</v>
      </c>
      <c r="AI2160">
        <v>96.394755321022899</v>
      </c>
      <c r="AJ2160">
        <v>122.04703263395</v>
      </c>
      <c r="AK2160">
        <v>0.79728517009570699</v>
      </c>
      <c r="AL2160">
        <v>67.867323497833098</v>
      </c>
      <c r="AM2160">
        <v>103.80732766990501</v>
      </c>
      <c r="AN2160">
        <v>0.99999996593798901</v>
      </c>
    </row>
    <row r="2161" spans="1:40" x14ac:dyDescent="0.25">
      <c r="A2161" t="str">
        <f>"20190304164642127"</f>
        <v>20190304164642127</v>
      </c>
      <c r="B2161" t="str">
        <f>"1551689202120475"</f>
        <v>1551689202120475</v>
      </c>
      <c r="C2161" t="s">
        <v>40</v>
      </c>
      <c r="D2161">
        <v>4.1897520000000004</v>
      </c>
      <c r="E2161">
        <v>0.41258210000000001</v>
      </c>
      <c r="F2161" t="s">
        <v>42</v>
      </c>
      <c r="G2161">
        <v>-489.42790000000002</v>
      </c>
      <c r="H2161" s="1">
        <v>-3.9932759999999997E-6</v>
      </c>
      <c r="I2161">
        <v>268.7047</v>
      </c>
      <c r="J2161">
        <v>-483.3279</v>
      </c>
      <c r="K2161">
        <v>1.118082</v>
      </c>
      <c r="L2161">
        <v>280.01089999999999</v>
      </c>
      <c r="M2161">
        <v>-0.80538659999999995</v>
      </c>
      <c r="N2161">
        <v>-1.4788809999999999E-2</v>
      </c>
      <c r="O2161">
        <v>-0.59256569999999997</v>
      </c>
      <c r="P2161">
        <v>-0.60221959999999997</v>
      </c>
      <c r="Q2161">
        <v>0.3695194</v>
      </c>
      <c r="R2161">
        <v>-0.70766319999999905</v>
      </c>
      <c r="S2161">
        <v>-1.643921</v>
      </c>
      <c r="T2161">
        <v>-0.292408</v>
      </c>
      <c r="U2161">
        <v>-2.9955750000000001</v>
      </c>
      <c r="V2161">
        <v>-0.21949920000000001</v>
      </c>
      <c r="W2161">
        <v>0.37922830000000002</v>
      </c>
      <c r="X2161">
        <v>0.89889159999999901</v>
      </c>
      <c r="Y2161">
        <v>-0.42065469999999999</v>
      </c>
      <c r="Z2161">
        <v>2.40468E-2</v>
      </c>
      <c r="AA2161">
        <v>0.90690210000000004</v>
      </c>
      <c r="AB2161">
        <v>25</v>
      </c>
      <c r="AC2161">
        <v>-6.1000000000000201</v>
      </c>
      <c r="AD2161">
        <v>-1.1180859932759999</v>
      </c>
      <c r="AE2161">
        <v>-11.306199999999899</v>
      </c>
      <c r="AF2161">
        <v>-5.4505250642872403</v>
      </c>
      <c r="AG2161">
        <v>-1.1180859932759999</v>
      </c>
      <c r="AH2161">
        <v>11.5264836633273</v>
      </c>
      <c r="AI2161">
        <v>95.011534464911094</v>
      </c>
      <c r="AJ2161">
        <v>115.308048982195</v>
      </c>
      <c r="AK2161">
        <v>12.7991470577432</v>
      </c>
      <c r="AL2161">
        <v>67.714111324532496</v>
      </c>
      <c r="AM2161">
        <v>103.72244234128399</v>
      </c>
      <c r="AN2161">
        <v>1.00000005543604</v>
      </c>
    </row>
    <row r="2162" spans="1:40" x14ac:dyDescent="0.25">
      <c r="A2162" t="str">
        <f>"20190304164642149"</f>
        <v>20190304164642149</v>
      </c>
      <c r="B2162" t="str">
        <f>"1551689202140503"</f>
        <v>1551689202140503</v>
      </c>
      <c r="C2162" t="s">
        <v>40</v>
      </c>
      <c r="D2162">
        <v>4.1520769999999896</v>
      </c>
      <c r="E2162">
        <v>0.41357759999999999</v>
      </c>
      <c r="F2162" t="s">
        <v>42</v>
      </c>
      <c r="G2162">
        <v>-489.72050000000002</v>
      </c>
      <c r="H2162" s="1">
        <v>-3.6906490000000002E-6</v>
      </c>
      <c r="I2162">
        <v>268.12020000000001</v>
      </c>
      <c r="J2162">
        <v>-483.51170000000002</v>
      </c>
      <c r="K2162">
        <v>1.1180840000000001</v>
      </c>
      <c r="L2162">
        <v>279.86149999999998</v>
      </c>
      <c r="M2162">
        <v>-0.79927399999999904</v>
      </c>
      <c r="N2162">
        <v>-1.4785349999999999E-2</v>
      </c>
      <c r="O2162">
        <v>-0.60078480000000001</v>
      </c>
      <c r="P2162">
        <v>-0.59520779999999995</v>
      </c>
      <c r="Q2162">
        <v>0.37127290000000002</v>
      </c>
      <c r="R2162">
        <v>-0.71265999999999996</v>
      </c>
      <c r="S2162">
        <v>-1.6181950000000001</v>
      </c>
      <c r="T2162">
        <v>-0.28303</v>
      </c>
      <c r="U2162">
        <v>-3.009979</v>
      </c>
      <c r="V2162">
        <v>-0.21845249999999999</v>
      </c>
      <c r="W2162">
        <v>0.38099329999999998</v>
      </c>
      <c r="X2162">
        <v>0.89840010000000003</v>
      </c>
      <c r="Y2162">
        <v>-0.4192071</v>
      </c>
      <c r="Z2162">
        <v>2.366772E-2</v>
      </c>
      <c r="AA2162">
        <v>0.90758209999999995</v>
      </c>
      <c r="AB2162">
        <v>24</v>
      </c>
      <c r="AC2162">
        <v>-6.2087999999999903</v>
      </c>
      <c r="AD2162">
        <v>-1.118087690649</v>
      </c>
      <c r="AE2162">
        <v>-11.741299999999899</v>
      </c>
      <c r="AF2162">
        <v>-5.6151892040505302</v>
      </c>
      <c r="AG2162">
        <v>-1.118087690649</v>
      </c>
      <c r="AH2162">
        <v>11.9332753836427</v>
      </c>
      <c r="AI2162">
        <v>94.845847498197102</v>
      </c>
      <c r="AJ2162">
        <v>115.19927690562</v>
      </c>
      <c r="AK2162">
        <v>13.2356915672404</v>
      </c>
      <c r="AL2162">
        <v>67.604778001714706</v>
      </c>
      <c r="AM2162">
        <v>103.66665536318099</v>
      </c>
      <c r="AN2162">
        <v>1.00000006454057</v>
      </c>
    </row>
    <row r="2163" spans="1:40" x14ac:dyDescent="0.25">
      <c r="A2163" t="str">
        <f>"20190304164642171"</f>
        <v>20190304164642171</v>
      </c>
      <c r="B2163" t="str">
        <f>"1551689202160024"</f>
        <v>1551689202160024</v>
      </c>
      <c r="C2163" t="s">
        <v>40</v>
      </c>
      <c r="D2163">
        <v>4.1606670000000001</v>
      </c>
      <c r="E2163">
        <v>0.42015079999999999</v>
      </c>
      <c r="F2163" t="s">
        <v>42</v>
      </c>
      <c r="G2163">
        <v>-489.9683</v>
      </c>
      <c r="H2163" s="1">
        <v>-3.4303399999999998E-6</v>
      </c>
      <c r="I2163">
        <v>267.60500000000002</v>
      </c>
      <c r="J2163">
        <v>-483.69380000000001</v>
      </c>
      <c r="K2163">
        <v>1.1180939999999999</v>
      </c>
      <c r="L2163">
        <v>279.71030000000002</v>
      </c>
      <c r="M2163">
        <v>-0.79305979999999998</v>
      </c>
      <c r="N2163">
        <v>-1.4783610000000001E-2</v>
      </c>
      <c r="O2163">
        <v>-0.60896430000000001</v>
      </c>
      <c r="P2163">
        <v>-0.58767209999999903</v>
      </c>
      <c r="Q2163">
        <v>0.37303199999999997</v>
      </c>
      <c r="R2163">
        <v>-0.71797529999999998</v>
      </c>
      <c r="S2163">
        <v>-1.59259</v>
      </c>
      <c r="T2163">
        <v>-0.27579120000000001</v>
      </c>
      <c r="U2163">
        <v>-3.0232239999999999</v>
      </c>
      <c r="V2163">
        <v>-0.21799350000000001</v>
      </c>
      <c r="W2163">
        <v>0.38274730000000001</v>
      </c>
      <c r="X2163">
        <v>0.89776579999999995</v>
      </c>
      <c r="Y2163">
        <v>-0.41755530000000002</v>
      </c>
      <c r="Z2163">
        <v>2.3516840000000001E-2</v>
      </c>
      <c r="AA2163">
        <v>0.90834709999999996</v>
      </c>
      <c r="AB2163">
        <v>24</v>
      </c>
      <c r="AC2163">
        <v>-6.2744999999999802</v>
      </c>
      <c r="AD2163">
        <v>-1.11809743034</v>
      </c>
      <c r="AE2163">
        <v>-12.1053</v>
      </c>
      <c r="AF2163">
        <v>-5.7413045900745496</v>
      </c>
      <c r="AG2163">
        <v>-1.11809743034</v>
      </c>
      <c r="AH2163">
        <v>12.2666120765521</v>
      </c>
      <c r="AI2163">
        <v>94.719332820478201</v>
      </c>
      <c r="AJ2163">
        <v>115.081625291699</v>
      </c>
      <c r="AK2163">
        <v>13.5897936737964</v>
      </c>
      <c r="AL2163">
        <v>67.496040203726295</v>
      </c>
      <c r="AM2163">
        <v>103.648289489159</v>
      </c>
      <c r="AN2163">
        <v>1.00000004667458</v>
      </c>
    </row>
    <row r="2164" spans="1:40" x14ac:dyDescent="0.25">
      <c r="A2164" t="str">
        <f>"20190304164642195"</f>
        <v>20190304164642195</v>
      </c>
      <c r="B2164" t="str">
        <f>"1551689202190279"</f>
        <v>1551689202190279</v>
      </c>
      <c r="C2164" t="s">
        <v>40</v>
      </c>
      <c r="D2164">
        <v>4.1716069999999998</v>
      </c>
      <c r="E2164">
        <v>0.42242269999999998</v>
      </c>
      <c r="F2164" t="s">
        <v>42</v>
      </c>
      <c r="G2164">
        <v>-489.87549999999999</v>
      </c>
      <c r="H2164" s="1">
        <v>-3.6554199999999999E-6</v>
      </c>
      <c r="I2164">
        <v>268.10219999999998</v>
      </c>
      <c r="J2164">
        <v>-483.88130000000001</v>
      </c>
      <c r="K2164">
        <v>1.1181049999999999</v>
      </c>
      <c r="L2164">
        <v>279.55110000000002</v>
      </c>
      <c r="M2164">
        <v>-0.78647389999999995</v>
      </c>
      <c r="N2164">
        <v>-1.4783940000000001E-2</v>
      </c>
      <c r="O2164">
        <v>-0.61744699999999997</v>
      </c>
      <c r="P2164">
        <v>-0.57936449999999995</v>
      </c>
      <c r="Q2164">
        <v>0.37455559999999899</v>
      </c>
      <c r="R2164">
        <v>-0.7239099</v>
      </c>
      <c r="S2164">
        <v>-1.6056520000000001</v>
      </c>
      <c r="T2164">
        <v>-0.2904158</v>
      </c>
      <c r="U2164">
        <v>-3.0151059999999998</v>
      </c>
      <c r="V2164">
        <v>-0.2181197</v>
      </c>
      <c r="W2164">
        <v>0.38424989999999998</v>
      </c>
      <c r="X2164">
        <v>0.89709300000000003</v>
      </c>
      <c r="Y2164">
        <v>-0.40372710000000001</v>
      </c>
      <c r="Z2164">
        <v>2.6739200000000001E-2</v>
      </c>
      <c r="AA2164">
        <v>0.91448859999999998</v>
      </c>
      <c r="AB2164">
        <v>24</v>
      </c>
      <c r="AC2164">
        <v>-5.99419999999997</v>
      </c>
      <c r="AD2164">
        <v>-1.1181086554199999</v>
      </c>
      <c r="AE2164">
        <v>-11.4489</v>
      </c>
      <c r="AF2164">
        <v>-5.26433127051002</v>
      </c>
      <c r="AG2164">
        <v>-1.1181086554199999</v>
      </c>
      <c r="AH2164">
        <v>11.697094709238099</v>
      </c>
      <c r="AI2164">
        <v>94.981737912536701</v>
      </c>
      <c r="AJ2164">
        <v>114.230346762087</v>
      </c>
      <c r="AK2164">
        <v>12.875766980179501</v>
      </c>
      <c r="AL2164">
        <v>67.402819442863304</v>
      </c>
      <c r="AM2164">
        <v>103.665752677163</v>
      </c>
      <c r="AN2164">
        <v>1.0000000199135499</v>
      </c>
    </row>
    <row r="2165" spans="1:40" x14ac:dyDescent="0.25">
      <c r="A2165" t="str">
        <f>"20190304164642227"</f>
        <v>20190304164642227</v>
      </c>
      <c r="B2165" t="str">
        <f>"1551689202220535"</f>
        <v>1551689202220535</v>
      </c>
      <c r="C2165" t="s">
        <v>40</v>
      </c>
      <c r="D2165">
        <v>4.162693</v>
      </c>
      <c r="E2165">
        <v>0.42863770000000001</v>
      </c>
      <c r="F2165" t="s">
        <v>41</v>
      </c>
      <c r="G2165">
        <v>-484.39830000000001</v>
      </c>
      <c r="H2165">
        <v>1.0224770000000001</v>
      </c>
      <c r="I2165">
        <v>278.5668</v>
      </c>
      <c r="J2165">
        <v>-484.1497</v>
      </c>
      <c r="K2165">
        <v>1.11815</v>
      </c>
      <c r="L2165">
        <v>279.31659999999999</v>
      </c>
      <c r="M2165">
        <v>-0.77667559999999902</v>
      </c>
      <c r="N2165">
        <v>-1.478838E-2</v>
      </c>
      <c r="O2165">
        <v>-0.62972709999999998</v>
      </c>
      <c r="P2165">
        <v>-0.56841030000000003</v>
      </c>
      <c r="Q2165">
        <v>0.3759207</v>
      </c>
      <c r="R2165">
        <v>-0.73184259999999901</v>
      </c>
      <c r="S2165">
        <v>-1.588959</v>
      </c>
      <c r="T2165">
        <v>-0.29387560000000001</v>
      </c>
      <c r="U2165">
        <v>-3.0245060000000001</v>
      </c>
      <c r="V2165">
        <v>-0.21703649999999999</v>
      </c>
      <c r="W2165">
        <v>0.38560929999999999</v>
      </c>
      <c r="X2165">
        <v>0.89677229999999997</v>
      </c>
      <c r="Y2165">
        <v>-0.3945111</v>
      </c>
      <c r="Z2165">
        <v>2.8673509999999999E-2</v>
      </c>
      <c r="AA2165">
        <v>0.91844369999999997</v>
      </c>
      <c r="AB2165">
        <v>24</v>
      </c>
      <c r="AC2165">
        <v>-0.24860000000001001</v>
      </c>
      <c r="AD2165">
        <v>-9.5672999999999897E-2</v>
      </c>
      <c r="AE2165">
        <v>-0.74979999999999303</v>
      </c>
      <c r="AF2165">
        <v>-0.41969145171842498</v>
      </c>
      <c r="AG2165">
        <v>-9.5672999999999897E-2</v>
      </c>
      <c r="AH2165">
        <v>0.65570535031552801</v>
      </c>
      <c r="AI2165">
        <v>97.0060175030724</v>
      </c>
      <c r="AJ2165">
        <v>122.62172428747201</v>
      </c>
      <c r="AK2165">
        <v>0.78437474717569</v>
      </c>
      <c r="AL2165">
        <v>67.3184276350391</v>
      </c>
      <c r="AM2165">
        <v>103.60509703785399</v>
      </c>
      <c r="AN2165">
        <v>0.99999996631301402</v>
      </c>
    </row>
    <row r="2166" spans="1:40" x14ac:dyDescent="0.25">
      <c r="A2166" t="str">
        <f>"20190304164642249"</f>
        <v>20190304164642249</v>
      </c>
      <c r="B2166" t="str">
        <f>"1551689202240375"</f>
        <v>1551689202240375</v>
      </c>
      <c r="C2166" t="s">
        <v>40</v>
      </c>
      <c r="D2166">
        <v>4.1755649999999997</v>
      </c>
      <c r="E2166">
        <v>0.42966739999999998</v>
      </c>
      <c r="F2166" t="s">
        <v>42</v>
      </c>
      <c r="G2166">
        <v>-489.96469999999999</v>
      </c>
      <c r="H2166" s="1">
        <v>-3.704315E-6</v>
      </c>
      <c r="I2166">
        <v>268.24590000000001</v>
      </c>
      <c r="J2166">
        <v>-484.32159999999999</v>
      </c>
      <c r="K2166">
        <v>1.1181859999999999</v>
      </c>
      <c r="L2166">
        <v>279.16250000000002</v>
      </c>
      <c r="M2166">
        <v>-0.77018169999999897</v>
      </c>
      <c r="N2166">
        <v>-1.4791759999999999E-2</v>
      </c>
      <c r="O2166">
        <v>-0.63765319999999903</v>
      </c>
      <c r="P2166">
        <v>-0.56159099999999995</v>
      </c>
      <c r="Q2166">
        <v>0.37509130000000002</v>
      </c>
      <c r="R2166">
        <v>-0.73751109999999998</v>
      </c>
      <c r="S2166">
        <v>-1.587769</v>
      </c>
      <c r="T2166">
        <v>-0.30531160000000002</v>
      </c>
      <c r="U2166">
        <v>-3.0228579999999998</v>
      </c>
      <c r="V2166">
        <v>-0.2165048</v>
      </c>
      <c r="W2166">
        <v>0.38478509999999999</v>
      </c>
      <c r="X2166">
        <v>0.89725469999999896</v>
      </c>
      <c r="Y2166">
        <v>-0.38520589999999999</v>
      </c>
      <c r="Z2166">
        <v>3.1407039999999997E-2</v>
      </c>
      <c r="AA2166">
        <v>0.922296</v>
      </c>
      <c r="AB2166">
        <v>24</v>
      </c>
      <c r="AC2166">
        <v>-5.6430999999999996</v>
      </c>
      <c r="AD2166">
        <v>-1.118189704315</v>
      </c>
      <c r="AE2166">
        <v>-10.916600000000001</v>
      </c>
      <c r="AF2166">
        <v>-4.7704532673407103</v>
      </c>
      <c r="AG2166">
        <v>-1.118189704315</v>
      </c>
      <c r="AH2166">
        <v>11.2155931600389</v>
      </c>
      <c r="AI2166">
        <v>95.241944817669904</v>
      </c>
      <c r="AJ2166">
        <v>113.0420458892</v>
      </c>
      <c r="AK2166">
        <v>12.23916265609</v>
      </c>
      <c r="AL2166">
        <v>67.369599126980603</v>
      </c>
      <c r="AM2166">
        <v>103.56597384915101</v>
      </c>
      <c r="AN2166">
        <v>0.99999994913856805</v>
      </c>
    </row>
    <row r="2167" spans="1:40" x14ac:dyDescent="0.25">
      <c r="A2167" t="str">
        <f>"20190304164642272"</f>
        <v>20190304164642272</v>
      </c>
      <c r="B2167" t="str">
        <f>"1551689202260871"</f>
        <v>1551689202260871</v>
      </c>
      <c r="C2167" t="s">
        <v>40</v>
      </c>
      <c r="D2167">
        <v>4.1625699999999997</v>
      </c>
      <c r="E2167">
        <v>0.42945729999999999</v>
      </c>
      <c r="F2167" t="s">
        <v>42</v>
      </c>
      <c r="G2167">
        <v>-489.9033</v>
      </c>
      <c r="H2167" s="1">
        <v>-3.759379E-6</v>
      </c>
      <c r="I2167">
        <v>268.35599999999999</v>
      </c>
      <c r="J2167">
        <v>-484.49869999999999</v>
      </c>
      <c r="K2167">
        <v>1.1182080000000001</v>
      </c>
      <c r="L2167">
        <v>279.00029999999998</v>
      </c>
      <c r="M2167">
        <v>-0.76329799999999903</v>
      </c>
      <c r="N2167">
        <v>-1.479486E-2</v>
      </c>
      <c r="O2167">
        <v>-0.64587720000000004</v>
      </c>
      <c r="P2167">
        <v>-0.55413730000000005</v>
      </c>
      <c r="Q2167">
        <v>0.3733978</v>
      </c>
      <c r="R2167">
        <v>-0.74398009999999903</v>
      </c>
      <c r="S2167">
        <v>-1.5671389999999901</v>
      </c>
      <c r="T2167">
        <v>-0.31394919999999998</v>
      </c>
      <c r="U2167">
        <v>-3.0340880000000001</v>
      </c>
      <c r="V2167">
        <v>-0.21655350000000001</v>
      </c>
      <c r="W2167">
        <v>0.38309219999999999</v>
      </c>
      <c r="X2167">
        <v>0.89796710000000002</v>
      </c>
      <c r="Y2167">
        <v>-0.38168590000000002</v>
      </c>
      <c r="Z2167">
        <v>3.3552150000000003E-2</v>
      </c>
      <c r="AA2167">
        <v>0.92368289999999997</v>
      </c>
      <c r="AB2167">
        <v>24</v>
      </c>
      <c r="AC2167">
        <v>-5.4046000000000101</v>
      </c>
      <c r="AD2167">
        <v>-1.118211759379</v>
      </c>
      <c r="AE2167">
        <v>-10.6442999999999</v>
      </c>
      <c r="AF2167">
        <v>-4.5942617527188903</v>
      </c>
      <c r="AG2167">
        <v>-1.118211759379</v>
      </c>
      <c r="AH2167">
        <v>10.905747100484</v>
      </c>
      <c r="AI2167">
        <v>95.397952743650194</v>
      </c>
      <c r="AJ2167">
        <v>112.844221789946</v>
      </c>
      <c r="AK2167">
        <v>11.886671460548699</v>
      </c>
      <c r="AL2167">
        <v>67.474646916919397</v>
      </c>
      <c r="AM2167">
        <v>103.558545222041</v>
      </c>
      <c r="AN2167">
        <v>0.99999998237274901</v>
      </c>
    </row>
    <row r="2168" spans="1:40" x14ac:dyDescent="0.25">
      <c r="A2168" t="str">
        <f>"20190304164642295"</f>
        <v>20190304164642295</v>
      </c>
      <c r="B2168" t="str">
        <f>"1551689202290151"</f>
        <v>1551689202290151</v>
      </c>
      <c r="C2168" t="s">
        <v>40</v>
      </c>
      <c r="D2168">
        <v>4.1605639999999999</v>
      </c>
      <c r="E2168">
        <v>0.41281469999999998</v>
      </c>
      <c r="F2168" t="s">
        <v>42</v>
      </c>
      <c r="G2168">
        <v>-489.88380000000001</v>
      </c>
      <c r="H2168" s="1">
        <v>-3.7409320000000001E-6</v>
      </c>
      <c r="I2168">
        <v>268.30500000000001</v>
      </c>
      <c r="J2168">
        <v>-484.67619999999999</v>
      </c>
      <c r="K2168">
        <v>1.118225</v>
      </c>
      <c r="L2168">
        <v>278.83409999999998</v>
      </c>
      <c r="M2168">
        <v>-0.7561968</v>
      </c>
      <c r="N2168">
        <v>-1.4797370000000001E-2</v>
      </c>
      <c r="O2168">
        <v>-0.65417689999999995</v>
      </c>
      <c r="P2168">
        <v>-0.54598519999999995</v>
      </c>
      <c r="Q2168">
        <v>0.37200090000000002</v>
      </c>
      <c r="R2168">
        <v>-0.75067689999999998</v>
      </c>
      <c r="S2168">
        <v>-1.535156</v>
      </c>
      <c r="T2168">
        <v>-0.31877149999999999</v>
      </c>
      <c r="U2168">
        <v>-3.04895</v>
      </c>
      <c r="V2168">
        <v>-0.21705540000000001</v>
      </c>
      <c r="W2168">
        <v>0.38168980000000002</v>
      </c>
      <c r="X2168">
        <v>0.89844299999999999</v>
      </c>
      <c r="Y2168">
        <v>-0.38114890000000001</v>
      </c>
      <c r="Z2168">
        <v>3.5086150000000003E-2</v>
      </c>
      <c r="AA2168">
        <v>0.92384770000000005</v>
      </c>
      <c r="AB2168">
        <v>24</v>
      </c>
      <c r="AC2168">
        <v>-5.20760000000001</v>
      </c>
      <c r="AD2168">
        <v>-1.118228740932</v>
      </c>
      <c r="AE2168">
        <v>-10.5290999999999</v>
      </c>
      <c r="AF2168">
        <v>-4.5149626899485504</v>
      </c>
      <c r="AG2168">
        <v>-1.118228740932</v>
      </c>
      <c r="AH2168">
        <v>10.7298124403882</v>
      </c>
      <c r="AI2168">
        <v>95.486951138384299</v>
      </c>
      <c r="AJ2168">
        <v>112.820712125032</v>
      </c>
      <c r="AK2168">
        <v>11.694622636689999</v>
      </c>
      <c r="AL2168">
        <v>67.561607595031901</v>
      </c>
      <c r="AM2168">
        <v>103.581874326896</v>
      </c>
      <c r="AN2168">
        <v>0.99999998717109895</v>
      </c>
    </row>
    <row r="2169" spans="1:40" x14ac:dyDescent="0.25">
      <c r="A2169" t="str">
        <f>"20190304164642318"</f>
        <v>20190304164642318</v>
      </c>
      <c r="B2169" t="str">
        <f>"1551689202310647"</f>
        <v>1551689202310647</v>
      </c>
      <c r="C2169" t="s">
        <v>40</v>
      </c>
      <c r="D2169">
        <v>4.1823990000000002</v>
      </c>
      <c r="E2169">
        <v>0.41306209999999999</v>
      </c>
      <c r="F2169" t="s">
        <v>41</v>
      </c>
      <c r="G2169">
        <v>-485.09480000000002</v>
      </c>
      <c r="H2169">
        <v>1.024349</v>
      </c>
      <c r="I2169">
        <v>277.89069999999998</v>
      </c>
      <c r="J2169">
        <v>-484.8537</v>
      </c>
      <c r="K2169">
        <v>1.118223</v>
      </c>
      <c r="L2169">
        <v>278.66379999999998</v>
      </c>
      <c r="M2169">
        <v>-0.7488939</v>
      </c>
      <c r="N2169">
        <v>-1.479901E-2</v>
      </c>
      <c r="O2169">
        <v>-0.66252480000000002</v>
      </c>
      <c r="P2169">
        <v>-0.53714479999999998</v>
      </c>
      <c r="Q2169">
        <v>0.37120629999999999</v>
      </c>
      <c r="R2169">
        <v>-0.75741800000000004</v>
      </c>
      <c r="S2169">
        <v>-1.3921809999999999</v>
      </c>
      <c r="T2169">
        <v>-0.31225130000000001</v>
      </c>
      <c r="U2169">
        <v>-3.1386409999999998</v>
      </c>
      <c r="V2169">
        <v>-0.21790699999999999</v>
      </c>
      <c r="W2169">
        <v>0.380884</v>
      </c>
      <c r="X2169">
        <v>0.89857889999999996</v>
      </c>
      <c r="Y2169">
        <v>-0.41574149999999999</v>
      </c>
      <c r="Z2169">
        <v>3.3095270000000003E-2</v>
      </c>
      <c r="AA2169">
        <v>0.90888049999999998</v>
      </c>
      <c r="AB2169">
        <v>24</v>
      </c>
      <c r="AC2169">
        <v>-0.241100000000017</v>
      </c>
      <c r="AD2169">
        <v>-9.3873999999999999E-2</v>
      </c>
      <c r="AE2169">
        <v>-0.77309999999999901</v>
      </c>
      <c r="AF2169">
        <v>-0.41372173318896499</v>
      </c>
      <c r="AG2169">
        <v>-9.3873999999999999E-2</v>
      </c>
      <c r="AH2169">
        <v>0.68364572182504701</v>
      </c>
      <c r="AI2169">
        <v>96.700216704985706</v>
      </c>
      <c r="AJ2169">
        <v>121.181058949831</v>
      </c>
      <c r="AK2169">
        <v>0.80458030883098997</v>
      </c>
      <c r="AL2169">
        <v>67.611551033070995</v>
      </c>
      <c r="AM2169">
        <v>103.631191806121</v>
      </c>
      <c r="AN2169">
        <v>1.0000000608151001</v>
      </c>
    </row>
    <row r="2170" spans="1:40" x14ac:dyDescent="0.25">
      <c r="A2170" t="str">
        <f>"20190304164642339"</f>
        <v>20190304164642339</v>
      </c>
      <c r="B2170" t="str">
        <f>"1551689202330673"</f>
        <v>1551689202330673</v>
      </c>
      <c r="C2170" t="s">
        <v>40</v>
      </c>
      <c r="D2170">
        <v>4.1807169999999996</v>
      </c>
      <c r="E2170">
        <v>0.41321170000000002</v>
      </c>
      <c r="F2170" t="s">
        <v>41</v>
      </c>
      <c r="G2170">
        <v>-485.26710000000003</v>
      </c>
      <c r="H2170">
        <v>1.0220290000000001</v>
      </c>
      <c r="I2170">
        <v>277.70350000000002</v>
      </c>
      <c r="J2170">
        <v>-485.01650000000001</v>
      </c>
      <c r="K2170">
        <v>1.118212</v>
      </c>
      <c r="L2170">
        <v>278.50420000000003</v>
      </c>
      <c r="M2170">
        <v>-0.74202789999999996</v>
      </c>
      <c r="N2170">
        <v>-1.4799440000000001E-2</v>
      </c>
      <c r="O2170">
        <v>-0.67020550000000001</v>
      </c>
      <c r="P2170">
        <v>-0.52906200000000003</v>
      </c>
      <c r="Q2170">
        <v>0.37071029999999999</v>
      </c>
      <c r="R2170">
        <v>-0.76332650000000002</v>
      </c>
      <c r="S2170">
        <v>-1.3567499999999999</v>
      </c>
      <c r="T2170">
        <v>-0.31577749999999999</v>
      </c>
      <c r="U2170">
        <v>-3.1534420000000001</v>
      </c>
      <c r="V2170">
        <v>-0.2183658</v>
      </c>
      <c r="W2170">
        <v>0.38038670000000002</v>
      </c>
      <c r="X2170">
        <v>0.89867809999999904</v>
      </c>
      <c r="Y2170">
        <v>-0.416549</v>
      </c>
      <c r="Z2170">
        <v>3.4324880000000002E-2</v>
      </c>
      <c r="AA2170">
        <v>0.90846499999999997</v>
      </c>
      <c r="AB2170">
        <v>24</v>
      </c>
      <c r="AC2170">
        <v>-0.25060000000001897</v>
      </c>
      <c r="AD2170">
        <v>-9.6182999999999894E-2</v>
      </c>
      <c r="AE2170">
        <v>-0.80070000000000596</v>
      </c>
      <c r="AF2170">
        <v>-0.42070589429692801</v>
      </c>
      <c r="AG2170">
        <v>-9.6182999999999894E-2</v>
      </c>
      <c r="AH2170">
        <v>0.71329062768193996</v>
      </c>
      <c r="AI2170">
        <v>96.625031388311001</v>
      </c>
      <c r="AJ2170">
        <v>120.53252593425999</v>
      </c>
      <c r="AK2170">
        <v>0.83368347622108596</v>
      </c>
      <c r="AL2170">
        <v>67.642362101998401</v>
      </c>
      <c r="AM2170">
        <v>103.657366818301</v>
      </c>
      <c r="AN2170">
        <v>0.99999999578306897</v>
      </c>
    </row>
    <row r="2171" spans="1:40" x14ac:dyDescent="0.25">
      <c r="A2171" t="str">
        <f>"20190304164642361"</f>
        <v>20190304164642361</v>
      </c>
      <c r="B2171" t="str">
        <f>"1551689202350193"</f>
        <v>1551689202350193</v>
      </c>
      <c r="C2171" t="s">
        <v>40</v>
      </c>
      <c r="D2171">
        <v>4.1780949999999999</v>
      </c>
      <c r="E2171">
        <v>0.41362880000000002</v>
      </c>
      <c r="F2171" t="s">
        <v>41</v>
      </c>
      <c r="G2171">
        <v>-485.42340000000002</v>
      </c>
      <c r="H2171">
        <v>1.0205489999999999</v>
      </c>
      <c r="I2171">
        <v>277.53160000000003</v>
      </c>
      <c r="J2171">
        <v>-485.18079999999998</v>
      </c>
      <c r="K2171">
        <v>1.118188</v>
      </c>
      <c r="L2171">
        <v>278.33980000000003</v>
      </c>
      <c r="M2171">
        <v>-0.73493889999999995</v>
      </c>
      <c r="N2171">
        <v>-1.47986E-2</v>
      </c>
      <c r="O2171">
        <v>-0.67797189999999996</v>
      </c>
      <c r="P2171">
        <v>-0.52026490000000003</v>
      </c>
      <c r="Q2171">
        <v>0.37000450000000001</v>
      </c>
      <c r="R2171">
        <v>-0.76968890000000001</v>
      </c>
      <c r="S2171">
        <v>-1.3246150000000001</v>
      </c>
      <c r="T2171">
        <v>-0.31797439999999999</v>
      </c>
      <c r="U2171">
        <v>-3.1665649999999999</v>
      </c>
      <c r="V2171">
        <v>-0.21945919999999999</v>
      </c>
      <c r="W2171">
        <v>0.37967030000000002</v>
      </c>
      <c r="X2171">
        <v>0.89871469999999898</v>
      </c>
      <c r="Y2171">
        <v>-0.41619159999999999</v>
      </c>
      <c r="Z2171">
        <v>3.5438419999999998E-2</v>
      </c>
      <c r="AA2171">
        <v>0.90858609999999995</v>
      </c>
      <c r="AB2171">
        <v>24</v>
      </c>
      <c r="AC2171">
        <v>-0.24260000000003801</v>
      </c>
      <c r="AD2171">
        <v>-9.7639000000000004E-2</v>
      </c>
      <c r="AE2171">
        <v>-0.80819999999999903</v>
      </c>
      <c r="AF2171">
        <v>-0.42387350666196899</v>
      </c>
      <c r="AG2171">
        <v>-9.7639000000000004E-2</v>
      </c>
      <c r="AH2171">
        <v>0.71671661016873101</v>
      </c>
      <c r="AI2171">
        <v>96.687911680000497</v>
      </c>
      <c r="AJ2171">
        <v>120.600502539423</v>
      </c>
      <c r="AK2171">
        <v>0.83838226559408502</v>
      </c>
      <c r="AL2171">
        <v>67.686738092618896</v>
      </c>
      <c r="AM2171">
        <v>103.722634689329</v>
      </c>
      <c r="AN2171">
        <v>0.99999999458140898</v>
      </c>
    </row>
    <row r="2172" spans="1:40" x14ac:dyDescent="0.25">
      <c r="A2172" t="str">
        <f>"20190304164642376"</f>
        <v>20190304164642376</v>
      </c>
      <c r="B2172" t="str">
        <f>"1551689202370690"</f>
        <v>1551689202370690</v>
      </c>
      <c r="C2172" t="s">
        <v>40</v>
      </c>
      <c r="D2172">
        <v>4.1763640000000004</v>
      </c>
      <c r="E2172">
        <v>0.41433409999999898</v>
      </c>
      <c r="F2172" t="s">
        <v>42</v>
      </c>
      <c r="G2172">
        <v>-489.6395</v>
      </c>
      <c r="H2172" s="1">
        <v>-3.3794300000000002E-6</v>
      </c>
      <c r="I2172">
        <v>267.3612</v>
      </c>
      <c r="J2172">
        <v>-485.29059999999998</v>
      </c>
      <c r="K2172">
        <v>1.1181719999999999</v>
      </c>
      <c r="L2172">
        <v>278.22840000000002</v>
      </c>
      <c r="M2172">
        <v>-0.73012219999999906</v>
      </c>
      <c r="N2172">
        <v>-1.479753E-2</v>
      </c>
      <c r="O2172">
        <v>-0.6831566</v>
      </c>
      <c r="P2172">
        <v>-0.51475379999999904</v>
      </c>
      <c r="Q2172">
        <v>0.36951420000000001</v>
      </c>
      <c r="R2172">
        <v>-0.77362030000000004</v>
      </c>
      <c r="S2172">
        <v>-1.291595</v>
      </c>
      <c r="T2172">
        <v>-0.3239243</v>
      </c>
      <c r="U2172">
        <v>-3.1803279999999998</v>
      </c>
      <c r="V2172">
        <v>-0.2196698</v>
      </c>
      <c r="W2172">
        <v>0.37918410000000002</v>
      </c>
      <c r="X2172">
        <v>0.89886849999999996</v>
      </c>
      <c r="Y2172">
        <v>-0.41922789999999999</v>
      </c>
      <c r="Z2172">
        <v>3.6713179999999998E-2</v>
      </c>
      <c r="AA2172">
        <v>0.90713840000000001</v>
      </c>
      <c r="AB2172">
        <v>24</v>
      </c>
      <c r="AC2172">
        <v>-4.3489000000000102</v>
      </c>
      <c r="AD2172">
        <v>-1.11817537942999</v>
      </c>
      <c r="AE2172">
        <v>-10.8672</v>
      </c>
      <c r="AF2172">
        <v>-4.9190565873796501</v>
      </c>
      <c r="AG2172">
        <v>-1.11817537942999</v>
      </c>
      <c r="AH2172">
        <v>10.5045245287213</v>
      </c>
      <c r="AI2172">
        <v>95.506345285295694</v>
      </c>
      <c r="AJ2172">
        <v>115.092743328342</v>
      </c>
      <c r="AK2172">
        <v>11.6530025943322</v>
      </c>
      <c r="AL2172">
        <v>67.716846708819503</v>
      </c>
      <c r="AM2172">
        <v>103.733043655771</v>
      </c>
      <c r="AN2172">
        <v>0.99999999150855001</v>
      </c>
    </row>
    <row r="2173" spans="1:40" x14ac:dyDescent="0.25">
      <c r="A2173" t="str">
        <f>"20190304164642397"</f>
        <v>20190304164642397</v>
      </c>
      <c r="B2173" t="str">
        <f>"1551689202390209"</f>
        <v>1551689202390209</v>
      </c>
      <c r="C2173" t="s">
        <v>40</v>
      </c>
      <c r="D2173">
        <v>4.1722799999999998</v>
      </c>
      <c r="E2173">
        <v>0.41391210000000001</v>
      </c>
      <c r="F2173" t="s">
        <v>41</v>
      </c>
      <c r="G2173">
        <v>-485.67759999999998</v>
      </c>
      <c r="H2173">
        <v>1.0177259999999999</v>
      </c>
      <c r="I2173">
        <v>277.25970000000001</v>
      </c>
      <c r="J2173">
        <v>-485.43979999999999</v>
      </c>
      <c r="K2173">
        <v>1.1181479999999999</v>
      </c>
      <c r="L2173">
        <v>278.07389999999998</v>
      </c>
      <c r="M2173">
        <v>-0.72344909999999996</v>
      </c>
      <c r="N2173">
        <v>-1.4795579999999999E-2</v>
      </c>
      <c r="O2173">
        <v>-0.69021929999999998</v>
      </c>
      <c r="P2173">
        <v>-0.50649449999999996</v>
      </c>
      <c r="Q2173">
        <v>0.3687628</v>
      </c>
      <c r="R2173">
        <v>-0.77940859999999901</v>
      </c>
      <c r="S2173">
        <v>-1.274567</v>
      </c>
      <c r="T2173">
        <v>-0.33065509999999998</v>
      </c>
      <c r="U2173">
        <v>-3.1877140000000002</v>
      </c>
      <c r="V2173">
        <v>-0.2207297</v>
      </c>
      <c r="W2173">
        <v>0.37842330000000002</v>
      </c>
      <c r="X2173">
        <v>0.89892950000000005</v>
      </c>
      <c r="Y2173">
        <v>-0.41533740000000002</v>
      </c>
      <c r="Z2173">
        <v>3.8638829999999999E-2</v>
      </c>
      <c r="AA2173">
        <v>0.9088465</v>
      </c>
      <c r="AB2173">
        <v>24</v>
      </c>
      <c r="AC2173">
        <v>-0.23779999999999199</v>
      </c>
      <c r="AD2173">
        <v>-0.100421999999999</v>
      </c>
      <c r="AE2173">
        <v>-0.81419999999997095</v>
      </c>
      <c r="AF2173">
        <v>-0.41907060851472699</v>
      </c>
      <c r="AG2173">
        <v>-0.100421999999999</v>
      </c>
      <c r="AH2173">
        <v>0.72394572782728095</v>
      </c>
      <c r="AI2173">
        <v>96.845680356626204</v>
      </c>
      <c r="AJ2173">
        <v>120.065271244274</v>
      </c>
      <c r="AK2173">
        <v>0.842497578539117</v>
      </c>
      <c r="AL2173">
        <v>67.763948097034799</v>
      </c>
      <c r="AM2173">
        <v>103.795878545467</v>
      </c>
      <c r="AN2173">
        <v>1.00000002020761</v>
      </c>
    </row>
    <row r="2174" spans="1:40" x14ac:dyDescent="0.25">
      <c r="A2174" t="str">
        <f>"20190304164642419"</f>
        <v>20190304164642419</v>
      </c>
      <c r="B2174" t="str">
        <f>"1551689202410705"</f>
        <v>1551689202410705</v>
      </c>
      <c r="C2174" t="s">
        <v>40</v>
      </c>
      <c r="D2174">
        <v>4.1981489999999999</v>
      </c>
      <c r="E2174">
        <v>0.41385830000000001</v>
      </c>
      <c r="F2174" t="s">
        <v>41</v>
      </c>
      <c r="G2174">
        <v>-485.81380000000001</v>
      </c>
      <c r="H2174">
        <v>1.0197769999999999</v>
      </c>
      <c r="I2174">
        <v>277.10599999999999</v>
      </c>
      <c r="J2174">
        <v>-485.60390000000001</v>
      </c>
      <c r="K2174">
        <v>1.118123</v>
      </c>
      <c r="L2174">
        <v>277.90030000000002</v>
      </c>
      <c r="M2174">
        <v>-0.71595069999999905</v>
      </c>
      <c r="N2174">
        <v>-1.479254E-2</v>
      </c>
      <c r="O2174">
        <v>-0.69799419999999901</v>
      </c>
      <c r="P2174">
        <v>-0.49729780000000001</v>
      </c>
      <c r="Q2174">
        <v>0.36860619999999999</v>
      </c>
      <c r="R2174">
        <v>-0.78538180000000002</v>
      </c>
      <c r="S2174">
        <v>-1.236145</v>
      </c>
      <c r="T2174">
        <v>-0.32508979999999998</v>
      </c>
      <c r="U2174">
        <v>-3.1995849999999999</v>
      </c>
      <c r="V2174">
        <v>-0.22161980000000001</v>
      </c>
      <c r="W2174">
        <v>0.37825829999999999</v>
      </c>
      <c r="X2174">
        <v>0.89877989999999996</v>
      </c>
      <c r="Y2174">
        <v>-0.4161398</v>
      </c>
      <c r="Z2174">
        <v>3.8589900000000003E-2</v>
      </c>
      <c r="AA2174">
        <v>0.90848139999999999</v>
      </c>
      <c r="AB2174">
        <v>24</v>
      </c>
      <c r="AC2174">
        <v>-0.209900000000004</v>
      </c>
      <c r="AD2174">
        <v>-9.8346000000000003E-2</v>
      </c>
      <c r="AE2174">
        <v>-0.79430000000002099</v>
      </c>
      <c r="AF2174">
        <v>-0.41625217644085699</v>
      </c>
      <c r="AG2174">
        <v>-9.8346000000000003E-2</v>
      </c>
      <c r="AH2174">
        <v>0.69481560856123903</v>
      </c>
      <c r="AI2174">
        <v>96.923013851148497</v>
      </c>
      <c r="AJ2174">
        <v>120.925105784379</v>
      </c>
      <c r="AK2174">
        <v>0.81590841398289105</v>
      </c>
      <c r="AL2174">
        <v>67.774160429581201</v>
      </c>
      <c r="AM2174">
        <v>103.85158958378</v>
      </c>
      <c r="AN2174">
        <v>0.99999999295747</v>
      </c>
    </row>
    <row r="2175" spans="1:40" x14ac:dyDescent="0.25">
      <c r="A2175" t="str">
        <f>"20190304164642440"</f>
        <v>20190304164642440</v>
      </c>
      <c r="B2175" t="str">
        <f>"1551689202430734"</f>
        <v>1551689202430734</v>
      </c>
      <c r="C2175" t="s">
        <v>40</v>
      </c>
      <c r="D2175">
        <v>4.2013299999999996</v>
      </c>
      <c r="E2175">
        <v>0.41429440000000001</v>
      </c>
      <c r="F2175" t="s">
        <v>41</v>
      </c>
      <c r="G2175">
        <v>-485.97109999999998</v>
      </c>
      <c r="H2175">
        <v>1.0199579999999999</v>
      </c>
      <c r="I2175">
        <v>276.91669999999999</v>
      </c>
      <c r="J2175">
        <v>-485.75290000000001</v>
      </c>
      <c r="K2175">
        <v>1.1181049999999999</v>
      </c>
      <c r="L2175">
        <v>277.73950000000002</v>
      </c>
      <c r="M2175">
        <v>-0.7089934</v>
      </c>
      <c r="N2175">
        <v>-1.4787389999999999E-2</v>
      </c>
      <c r="O2175">
        <v>-0.70506009999999997</v>
      </c>
      <c r="P2175">
        <v>-0.48904409999999998</v>
      </c>
      <c r="Q2175">
        <v>0.3686683</v>
      </c>
      <c r="R2175">
        <v>-0.79051830000000001</v>
      </c>
      <c r="S2175">
        <v>-1.1988529999999999</v>
      </c>
      <c r="T2175">
        <v>-0.32046190000000002</v>
      </c>
      <c r="U2175">
        <v>-3.2110599999999998</v>
      </c>
      <c r="V2175">
        <v>-0.222085</v>
      </c>
      <c r="W2175">
        <v>0.37831700000000001</v>
      </c>
      <c r="X2175">
        <v>0.89864040000000001</v>
      </c>
      <c r="Y2175">
        <v>-0.41744429999999999</v>
      </c>
      <c r="Z2175">
        <v>3.8565879999999997E-2</v>
      </c>
      <c r="AA2175">
        <v>0.90788380000000002</v>
      </c>
      <c r="AB2175">
        <v>24</v>
      </c>
      <c r="AC2175">
        <v>-0.218199999999967</v>
      </c>
      <c r="AD2175">
        <v>-9.8146999999999901E-2</v>
      </c>
      <c r="AE2175">
        <v>-0.82280000000002895</v>
      </c>
      <c r="AF2175">
        <v>-0.423927012264734</v>
      </c>
      <c r="AG2175">
        <v>-9.8146999999999901E-2</v>
      </c>
      <c r="AH2175">
        <v>0.72526462330790697</v>
      </c>
      <c r="AI2175">
        <v>96.663741939271006</v>
      </c>
      <c r="AJ2175">
        <v>120.306865287585</v>
      </c>
      <c r="AK2175">
        <v>0.84578704125723303</v>
      </c>
      <c r="AL2175">
        <v>67.770528136808096</v>
      </c>
      <c r="AM2175">
        <v>103.881613480844</v>
      </c>
      <c r="AN2175">
        <v>1.0000000341130699</v>
      </c>
    </row>
    <row r="2176" spans="1:40" x14ac:dyDescent="0.25">
      <c r="A2176" t="str">
        <f>"20190304164642461"</f>
        <v>20190304164642461</v>
      </c>
      <c r="B2176" t="str">
        <f>"1551689202450254"</f>
        <v>1551689202450254</v>
      </c>
      <c r="C2176" t="s">
        <v>40</v>
      </c>
      <c r="D2176">
        <v>4.1890929999999997</v>
      </c>
      <c r="E2176">
        <v>0.41488589999999997</v>
      </c>
      <c r="F2176" t="s">
        <v>41</v>
      </c>
      <c r="G2176">
        <v>-486.11360000000002</v>
      </c>
      <c r="H2176">
        <v>1.0202599999999999</v>
      </c>
      <c r="I2176">
        <v>276.74509999999998</v>
      </c>
      <c r="J2176">
        <v>-485.90620000000001</v>
      </c>
      <c r="K2176">
        <v>1.1180950000000001</v>
      </c>
      <c r="L2176">
        <v>277.57060000000001</v>
      </c>
      <c r="M2176">
        <v>-0.70168299999999995</v>
      </c>
      <c r="N2176">
        <v>-1.476742E-2</v>
      </c>
      <c r="O2176">
        <v>-0.71233649999999904</v>
      </c>
      <c r="P2176">
        <v>-0.4806165</v>
      </c>
      <c r="Q2176">
        <v>0.36944929999999998</v>
      </c>
      <c r="R2176">
        <v>-0.79530840000000003</v>
      </c>
      <c r="S2176">
        <v>-1.167297</v>
      </c>
      <c r="T2176">
        <v>-0.31679770000000002</v>
      </c>
      <c r="U2176">
        <v>-3.2206730000000001</v>
      </c>
      <c r="V2176">
        <v>-0.22210730000000001</v>
      </c>
      <c r="W2176">
        <v>0.37908439999999999</v>
      </c>
      <c r="X2176">
        <v>0.89831139999999998</v>
      </c>
      <c r="Y2176">
        <v>-0.41680980000000001</v>
      </c>
      <c r="Z2176">
        <v>3.8788759999999999E-2</v>
      </c>
      <c r="AA2176">
        <v>0.90816580000000002</v>
      </c>
      <c r="AB2176">
        <v>24</v>
      </c>
      <c r="AC2176">
        <v>-0.207400000000006</v>
      </c>
      <c r="AD2176">
        <v>-9.7835000000000102E-2</v>
      </c>
      <c r="AE2176">
        <v>-0.82550000000003299</v>
      </c>
      <c r="AF2176">
        <v>-0.42592040520624402</v>
      </c>
      <c r="AG2176">
        <v>-9.7835000000000102E-2</v>
      </c>
      <c r="AH2176">
        <v>0.72407613890437295</v>
      </c>
      <c r="AI2176">
        <v>96.642880801178507</v>
      </c>
      <c r="AJ2176">
        <v>120.46514896338699</v>
      </c>
      <c r="AK2176">
        <v>0.84573407979501203</v>
      </c>
      <c r="AL2176">
        <v>67.723020259000705</v>
      </c>
      <c r="AM2176">
        <v>103.88784118353</v>
      </c>
      <c r="AN2176">
        <v>1.0000000032033001</v>
      </c>
    </row>
    <row r="2177" spans="1:40" x14ac:dyDescent="0.25">
      <c r="A2177" t="str">
        <f>"20190304164642477"</f>
        <v>20190304164642477</v>
      </c>
      <c r="B2177" t="str">
        <f>"1551689202470750"</f>
        <v>1551689202470750</v>
      </c>
      <c r="C2177" t="s">
        <v>40</v>
      </c>
      <c r="D2177">
        <v>4.2127809999999997</v>
      </c>
      <c r="E2177">
        <v>0.41526150000000001</v>
      </c>
      <c r="F2177" t="s">
        <v>42</v>
      </c>
      <c r="G2177">
        <v>-489.97980000000001</v>
      </c>
      <c r="H2177" s="1">
        <v>-2.7478850000000002E-6</v>
      </c>
      <c r="I2177">
        <v>266.00700000000001</v>
      </c>
      <c r="J2177">
        <v>-486.01670000000001</v>
      </c>
      <c r="K2177">
        <v>1.11808</v>
      </c>
      <c r="L2177">
        <v>277.4468</v>
      </c>
      <c r="M2177">
        <v>-0.6963125</v>
      </c>
      <c r="N2177">
        <v>-1.473551E-2</v>
      </c>
      <c r="O2177">
        <v>-0.71758769999999905</v>
      </c>
      <c r="P2177">
        <v>-0.47446640000000001</v>
      </c>
      <c r="Q2177">
        <v>0.36982429999999999</v>
      </c>
      <c r="R2177">
        <v>-0.79881899999999995</v>
      </c>
      <c r="S2177">
        <v>-1.137756</v>
      </c>
      <c r="T2177">
        <v>-0.31228460000000002</v>
      </c>
      <c r="U2177">
        <v>-3.2297060000000002</v>
      </c>
      <c r="V2177">
        <v>-0.22216639999999999</v>
      </c>
      <c r="W2177">
        <v>0.37943250000000001</v>
      </c>
      <c r="X2177">
        <v>0.8981498</v>
      </c>
      <c r="Y2177">
        <v>-0.4181667</v>
      </c>
      <c r="Z2177">
        <v>3.8572960000000003E-2</v>
      </c>
      <c r="AA2177">
        <v>0.90755090000000005</v>
      </c>
      <c r="AB2177">
        <v>24</v>
      </c>
      <c r="AC2177">
        <v>-3.9630999999999901</v>
      </c>
      <c r="AD2177">
        <v>-1.118082747885</v>
      </c>
      <c r="AE2177">
        <v>-11.4397999999999</v>
      </c>
      <c r="AF2177">
        <v>-5.0790411280136301</v>
      </c>
      <c r="AG2177">
        <v>-1.118082747885</v>
      </c>
      <c r="AH2177">
        <v>10.877037035272799</v>
      </c>
      <c r="AI2177">
        <v>95.321125836414396</v>
      </c>
      <c r="AJ2177">
        <v>115.030260266079</v>
      </c>
      <c r="AK2177">
        <v>12.0563967452083</v>
      </c>
      <c r="AL2177">
        <v>67.701465100467999</v>
      </c>
      <c r="AM2177">
        <v>103.893796049283</v>
      </c>
      <c r="AN2177">
        <v>0.99999999729262501</v>
      </c>
    </row>
    <row r="2178" spans="1:40" x14ac:dyDescent="0.25">
      <c r="A2178" t="str">
        <f>"20190304164642497"</f>
        <v>20190304164642497</v>
      </c>
      <c r="B2178" t="str">
        <f>"1551689202490269"</f>
        <v>1551689202490269</v>
      </c>
      <c r="C2178" t="s">
        <v>40</v>
      </c>
      <c r="D2178">
        <v>4.1648509999999996</v>
      </c>
      <c r="E2178">
        <v>0.41501709999999897</v>
      </c>
      <c r="F2178" t="s">
        <v>41</v>
      </c>
      <c r="G2178">
        <v>-486.35989999999998</v>
      </c>
      <c r="H2178">
        <v>1.022974</v>
      </c>
      <c r="I2178">
        <v>276.45179999999999</v>
      </c>
      <c r="J2178">
        <v>-486.1499</v>
      </c>
      <c r="K2178">
        <v>1.118053</v>
      </c>
      <c r="L2178">
        <v>277.29489999999998</v>
      </c>
      <c r="M2178">
        <v>-0.68972089999999997</v>
      </c>
      <c r="N2178">
        <v>-1.467242E-2</v>
      </c>
      <c r="O2178">
        <v>-0.72392659999999998</v>
      </c>
      <c r="P2178">
        <v>-0.4671226</v>
      </c>
      <c r="Q2178">
        <v>0.3700852</v>
      </c>
      <c r="R2178">
        <v>-0.80301519999999904</v>
      </c>
      <c r="S2178">
        <v>-1.1156619999999999</v>
      </c>
      <c r="T2178">
        <v>-0.30925409999999998</v>
      </c>
      <c r="U2178">
        <v>-3.2361149999999999</v>
      </c>
      <c r="V2178">
        <v>-0.2220992</v>
      </c>
      <c r="W2178">
        <v>0.37964120000000001</v>
      </c>
      <c r="X2178">
        <v>0.8980783</v>
      </c>
      <c r="Y2178">
        <v>-0.41596480000000002</v>
      </c>
      <c r="Z2178">
        <v>3.8870189999999999E-2</v>
      </c>
      <c r="AA2178">
        <v>0.90854959999999996</v>
      </c>
      <c r="AB2178">
        <v>24</v>
      </c>
      <c r="AC2178">
        <v>-0.20999999999997901</v>
      </c>
      <c r="AD2178">
        <v>-9.50789999999999E-2</v>
      </c>
      <c r="AE2178">
        <v>-0.84309999999999197</v>
      </c>
      <c r="AF2178">
        <v>-0.424442725160462</v>
      </c>
      <c r="AG2178">
        <v>-9.50789999999999E-2</v>
      </c>
      <c r="AH2178">
        <v>0.74632807802716505</v>
      </c>
      <c r="AI2178">
        <v>96.319187419600695</v>
      </c>
      <c r="AJ2178">
        <v>119.627234756083</v>
      </c>
      <c r="AK2178">
        <v>0.86382709105142297</v>
      </c>
      <c r="AL2178">
        <v>67.688541973621398</v>
      </c>
      <c r="AM2178">
        <v>103.890819260992</v>
      </c>
      <c r="AN2178">
        <v>1.00000006415448</v>
      </c>
    </row>
    <row r="2179" spans="1:40" x14ac:dyDescent="0.25">
      <c r="A2179" t="str">
        <f>"20190304164642519"</f>
        <v>20190304164642519</v>
      </c>
      <c r="B2179" t="str">
        <f>"1551689202510766"</f>
        <v>1551689202510766</v>
      </c>
      <c r="C2179" t="s">
        <v>40</v>
      </c>
      <c r="D2179">
        <v>4.1713079999999998</v>
      </c>
      <c r="E2179">
        <v>0.39982329999999999</v>
      </c>
      <c r="F2179" t="s">
        <v>41</v>
      </c>
      <c r="G2179">
        <v>-486.4803</v>
      </c>
      <c r="H2179">
        <v>1.0234019999999999</v>
      </c>
      <c r="I2179">
        <v>276.30489999999998</v>
      </c>
      <c r="J2179">
        <v>-486.2996</v>
      </c>
      <c r="K2179">
        <v>1.1180270000000001</v>
      </c>
      <c r="L2179">
        <v>277.12079999999997</v>
      </c>
      <c r="M2179">
        <v>-0.68215199999999998</v>
      </c>
      <c r="N2179">
        <v>-1.456851E-2</v>
      </c>
      <c r="O2179">
        <v>-0.73106539999999998</v>
      </c>
      <c r="P2179">
        <v>-0.45945930000000001</v>
      </c>
      <c r="Q2179">
        <v>0.37073899999999999</v>
      </c>
      <c r="R2179">
        <v>-0.80712419999999996</v>
      </c>
      <c r="S2179">
        <v>-1.08432</v>
      </c>
      <c r="T2179">
        <v>-0.31060739999999998</v>
      </c>
      <c r="U2179">
        <v>-3.248291</v>
      </c>
      <c r="V2179">
        <v>-0.22109390000000001</v>
      </c>
      <c r="W2179">
        <v>0.38022220000000001</v>
      </c>
      <c r="X2179">
        <v>0.89808049999999995</v>
      </c>
      <c r="Y2179">
        <v>-0.4154351</v>
      </c>
      <c r="Z2179">
        <v>3.98996E-2</v>
      </c>
      <c r="AA2179">
        <v>0.90874730000000004</v>
      </c>
      <c r="AB2179">
        <v>24</v>
      </c>
      <c r="AC2179">
        <v>-0.180700000000001</v>
      </c>
      <c r="AD2179">
        <v>-9.4624999999999904E-2</v>
      </c>
      <c r="AE2179">
        <v>-0.81589999999999896</v>
      </c>
      <c r="AF2179">
        <v>-0.41913532828285799</v>
      </c>
      <c r="AG2179">
        <v>-9.4624999999999904E-2</v>
      </c>
      <c r="AH2179">
        <v>0.71070507915542402</v>
      </c>
      <c r="AI2179">
        <v>96.542340048539003</v>
      </c>
      <c r="AJ2179">
        <v>120.5297994294</v>
      </c>
      <c r="AK2179">
        <v>0.83049986368276796</v>
      </c>
      <c r="AL2179">
        <v>67.652553303947002</v>
      </c>
      <c r="AM2179">
        <v>103.83033108684501</v>
      </c>
      <c r="AN2179">
        <v>1.00000000923515</v>
      </c>
    </row>
    <row r="2180" spans="1:40" x14ac:dyDescent="0.25">
      <c r="A2180" t="str">
        <f>"20190304164642540"</f>
        <v>20190304164642540</v>
      </c>
      <c r="B2180" t="str">
        <f>"1551689202530793"</f>
        <v>1551689202530793</v>
      </c>
      <c r="C2180" t="s">
        <v>40</v>
      </c>
      <c r="D2180">
        <v>4.1615359999999999</v>
      </c>
      <c r="E2180">
        <v>0.40038820000000003</v>
      </c>
      <c r="F2180" t="s">
        <v>41</v>
      </c>
      <c r="G2180">
        <v>-486.57409999999999</v>
      </c>
      <c r="H2180">
        <v>1.009547</v>
      </c>
      <c r="I2180">
        <v>276.1653</v>
      </c>
      <c r="J2180">
        <v>-486.44529999999997</v>
      </c>
      <c r="K2180">
        <v>1.1179870000000001</v>
      </c>
      <c r="L2180">
        <v>276.9477</v>
      </c>
      <c r="M2180">
        <v>-0.67461910000000003</v>
      </c>
      <c r="N2180">
        <v>-1.44425E-2</v>
      </c>
      <c r="O2180">
        <v>-0.73802480000000004</v>
      </c>
      <c r="P2180">
        <v>-0.45259179999999999</v>
      </c>
      <c r="Q2180">
        <v>0.37080109999999999</v>
      </c>
      <c r="R2180">
        <v>-0.81096699999999999</v>
      </c>
      <c r="S2180">
        <v>-0.95980829999999995</v>
      </c>
      <c r="T2180">
        <v>-0.37957659999999999</v>
      </c>
      <c r="U2180">
        <v>-3.3448790000000002</v>
      </c>
      <c r="V2180">
        <v>-0.21946760000000001</v>
      </c>
      <c r="W2180">
        <v>0.38020799999999999</v>
      </c>
      <c r="X2180">
        <v>0.89848530000000004</v>
      </c>
      <c r="Y2180">
        <v>-0.44468920000000001</v>
      </c>
      <c r="Z2180">
        <v>5.0050980000000002E-2</v>
      </c>
      <c r="AA2180">
        <v>0.89428539999999901</v>
      </c>
      <c r="AB2180">
        <v>24</v>
      </c>
      <c r="AC2180">
        <v>-0.12880000000001199</v>
      </c>
      <c r="AD2180">
        <v>-0.10843999999999999</v>
      </c>
      <c r="AE2180">
        <v>-0.78239999999999499</v>
      </c>
      <c r="AF2180">
        <v>-0.424863336796511</v>
      </c>
      <c r="AG2180">
        <v>-0.10843999999999999</v>
      </c>
      <c r="AH2180">
        <v>0.65219291259290602</v>
      </c>
      <c r="AI2180">
        <v>97.931183850439794</v>
      </c>
      <c r="AJ2180">
        <v>123.0817551583</v>
      </c>
      <c r="AK2180">
        <v>0.78589037644590298</v>
      </c>
      <c r="AL2180">
        <v>67.653432574681005</v>
      </c>
      <c r="AM2180">
        <v>103.726511330253</v>
      </c>
      <c r="AN2180">
        <v>0.999999992514925</v>
      </c>
    </row>
    <row r="2181" spans="1:40" x14ac:dyDescent="0.25">
      <c r="A2181" t="str">
        <f>"20190304164642555"</f>
        <v>20190304164642555</v>
      </c>
      <c r="B2181" t="str">
        <f>"1551689202550314"</f>
        <v>1551689202550314</v>
      </c>
      <c r="C2181" t="s">
        <v>40</v>
      </c>
      <c r="D2181">
        <v>4.1626159999999999</v>
      </c>
      <c r="E2181">
        <v>0.40857339999999998</v>
      </c>
      <c r="F2181" t="s">
        <v>41</v>
      </c>
      <c r="G2181">
        <v>-486.70699999999999</v>
      </c>
      <c r="H2181">
        <v>1.0112559999999999</v>
      </c>
      <c r="I2181">
        <v>276.00619999999998</v>
      </c>
      <c r="J2181">
        <v>-486.54239999999999</v>
      </c>
      <c r="K2181">
        <v>1.117961</v>
      </c>
      <c r="L2181">
        <v>276.8306</v>
      </c>
      <c r="M2181">
        <v>-0.66951369999999999</v>
      </c>
      <c r="N2181">
        <v>-1.434966E-2</v>
      </c>
      <c r="O2181">
        <v>-0.74266140000000003</v>
      </c>
      <c r="P2181">
        <v>-0.44760699999999998</v>
      </c>
      <c r="Q2181">
        <v>0.3707802</v>
      </c>
      <c r="R2181">
        <v>-0.81373850000000003</v>
      </c>
      <c r="S2181">
        <v>-0.93218990000000002</v>
      </c>
      <c r="T2181">
        <v>-0.38017069999999997</v>
      </c>
      <c r="U2181">
        <v>-3.3528440000000002</v>
      </c>
      <c r="V2181">
        <v>-0.2187772</v>
      </c>
      <c r="W2181">
        <v>0.3801216</v>
      </c>
      <c r="X2181">
        <v>0.89869019999999999</v>
      </c>
      <c r="Y2181">
        <v>-0.44590920000000001</v>
      </c>
      <c r="Z2181">
        <v>5.0753850000000003E-2</v>
      </c>
      <c r="AA2181">
        <v>0.89363809999999999</v>
      </c>
      <c r="AB2181">
        <v>24</v>
      </c>
      <c r="AC2181">
        <v>-0.16460000000000699</v>
      </c>
      <c r="AD2181">
        <v>-0.10670499999999999</v>
      </c>
      <c r="AE2181">
        <v>-0.824400000000025</v>
      </c>
      <c r="AF2181">
        <v>-0.42293535220044698</v>
      </c>
      <c r="AG2181">
        <v>-0.10670499999999999</v>
      </c>
      <c r="AH2181">
        <v>0.71107033161356903</v>
      </c>
      <c r="AI2181">
        <v>97.349051816030496</v>
      </c>
      <c r="AJ2181">
        <v>120.74362936929001</v>
      </c>
      <c r="AK2181">
        <v>0.83419499259282803</v>
      </c>
      <c r="AL2181">
        <v>67.658784598640594</v>
      </c>
      <c r="AM2181">
        <v>103.68195370482999</v>
      </c>
      <c r="AN2181">
        <v>0.99999998480121999</v>
      </c>
    </row>
    <row r="2182" spans="1:40" x14ac:dyDescent="0.25">
      <c r="A2182" t="str">
        <f>"20190304164642573"</f>
        <v>20190304164642573</v>
      </c>
      <c r="B2182" t="str">
        <f>"1551689202570809"</f>
        <v>1551689202570809</v>
      </c>
      <c r="C2182" t="s">
        <v>40</v>
      </c>
      <c r="D2182">
        <v>4.1505599999999996</v>
      </c>
      <c r="E2182">
        <v>0.40853640000000002</v>
      </c>
      <c r="F2182" t="s">
        <v>41</v>
      </c>
      <c r="G2182">
        <v>-486.83080000000001</v>
      </c>
      <c r="H2182">
        <v>0.99736729999999996</v>
      </c>
      <c r="I2182">
        <v>275.84179999999998</v>
      </c>
      <c r="J2182">
        <v>-486.66930000000002</v>
      </c>
      <c r="K2182">
        <v>1.1179269999999999</v>
      </c>
      <c r="L2182">
        <v>276.67489999999998</v>
      </c>
      <c r="M2182">
        <v>-0.66271259999999999</v>
      </c>
      <c r="N2182">
        <v>-1.421617E-2</v>
      </c>
      <c r="O2182">
        <v>-0.74873909999999999</v>
      </c>
      <c r="P2182">
        <v>-0.44108809999999898</v>
      </c>
      <c r="Q2182">
        <v>0.37071280000000001</v>
      </c>
      <c r="R2182">
        <v>-0.81732119999999997</v>
      </c>
      <c r="S2182">
        <v>-0.97296139999999998</v>
      </c>
      <c r="T2182">
        <v>-0.40689959999999997</v>
      </c>
      <c r="U2182">
        <v>-3.3369140000000002</v>
      </c>
      <c r="V2182">
        <v>-0.2177637</v>
      </c>
      <c r="W2182">
        <v>0.37996059999999998</v>
      </c>
      <c r="X2182">
        <v>0.89900440000000004</v>
      </c>
      <c r="Y2182">
        <v>-0.4265679</v>
      </c>
      <c r="Z2182">
        <v>5.7196190000000001E-2</v>
      </c>
      <c r="AA2182">
        <v>0.90264529999999998</v>
      </c>
      <c r="AB2182">
        <v>24</v>
      </c>
      <c r="AC2182">
        <v>-0.16149999999998901</v>
      </c>
      <c r="AD2182">
        <v>-0.12055970000000001</v>
      </c>
      <c r="AE2182">
        <v>-0.83310000000000095</v>
      </c>
      <c r="AF2182">
        <v>-0.42269666424023</v>
      </c>
      <c r="AG2182">
        <v>-0.12055970000000001</v>
      </c>
      <c r="AH2182">
        <v>0.71641682810076401</v>
      </c>
      <c r="AI2182">
        <v>98.246724725559304</v>
      </c>
      <c r="AJ2182">
        <v>120.541241734178</v>
      </c>
      <c r="AK2182">
        <v>0.84051185762597502</v>
      </c>
      <c r="AL2182">
        <v>67.668757821219302</v>
      </c>
      <c r="AM2182">
        <v>103.61635430156601</v>
      </c>
      <c r="AN2182">
        <v>0.99999999890470503</v>
      </c>
    </row>
    <row r="2183" spans="1:40" x14ac:dyDescent="0.25">
      <c r="A2183" t="str">
        <f>"20190304164642599"</f>
        <v>20190304164642599</v>
      </c>
      <c r="B2183" t="str">
        <f>"1551689202590329"</f>
        <v>1551689202590329</v>
      </c>
      <c r="C2183" t="s">
        <v>40</v>
      </c>
      <c r="D2183">
        <v>4.1316329999999999</v>
      </c>
      <c r="E2183">
        <v>0.40891359999999999</v>
      </c>
      <c r="F2183" t="s">
        <v>42</v>
      </c>
      <c r="G2183">
        <v>-489.26440000000002</v>
      </c>
      <c r="H2183" s="1">
        <v>-3.5006189999999999E-6</v>
      </c>
      <c r="I2183">
        <v>267.48860000000002</v>
      </c>
      <c r="J2183">
        <v>-486.83</v>
      </c>
      <c r="K2183">
        <v>1.117883</v>
      </c>
      <c r="L2183">
        <v>276.47309999999999</v>
      </c>
      <c r="M2183">
        <v>-0.65389240000000004</v>
      </c>
      <c r="N2183">
        <v>-1.402986E-2</v>
      </c>
      <c r="O2183">
        <v>-0.75645759999999995</v>
      </c>
      <c r="P2183">
        <v>-0.43234</v>
      </c>
      <c r="Q2183">
        <v>0.37029600000000001</v>
      </c>
      <c r="R2183">
        <v>-0.82216990000000001</v>
      </c>
      <c r="S2183">
        <v>-0.94497679999999995</v>
      </c>
      <c r="T2183">
        <v>-0.4070896</v>
      </c>
      <c r="U2183">
        <v>-3.3451230000000001</v>
      </c>
      <c r="V2183">
        <v>-0.2169172</v>
      </c>
      <c r="W2183">
        <v>0.37940119999999999</v>
      </c>
      <c r="X2183">
        <v>0.89944519999999994</v>
      </c>
      <c r="Y2183">
        <v>-0.42357869999999997</v>
      </c>
      <c r="Z2183">
        <v>5.8586119999999998E-2</v>
      </c>
      <c r="AA2183">
        <v>0.90396279999999996</v>
      </c>
      <c r="AB2183">
        <v>24</v>
      </c>
      <c r="AC2183">
        <v>-2.4344000000000299</v>
      </c>
      <c r="AD2183">
        <v>-1.117886500619</v>
      </c>
      <c r="AE2183">
        <v>-8.9844999999999597</v>
      </c>
      <c r="AF2183">
        <v>-3.9764227090680602</v>
      </c>
      <c r="AG2183">
        <v>-1.117886500619</v>
      </c>
      <c r="AH2183">
        <v>8.2697832009931993</v>
      </c>
      <c r="AI2183">
        <v>96.945863446821704</v>
      </c>
      <c r="AJ2183">
        <v>115.67999743364101</v>
      </c>
      <c r="AK2183">
        <v>9.2439667881752801</v>
      </c>
      <c r="AL2183">
        <v>67.703403573856306</v>
      </c>
      <c r="AM2183">
        <v>103.55898117903401</v>
      </c>
      <c r="AN2183">
        <v>1.0000000050101501</v>
      </c>
    </row>
    <row r="2184" spans="1:40" x14ac:dyDescent="0.25">
      <c r="A2184" t="str">
        <f>"20190304164642619"</f>
        <v>20190304164642619</v>
      </c>
      <c r="B2184" t="str">
        <f>"1551689202610825"</f>
        <v>1551689202610825</v>
      </c>
      <c r="C2184" t="s">
        <v>40</v>
      </c>
      <c r="D2184">
        <v>4.1325329999999996</v>
      </c>
      <c r="E2184">
        <v>0.41006609999999999</v>
      </c>
      <c r="F2184" t="s">
        <v>41</v>
      </c>
      <c r="G2184">
        <v>-487.09739999999999</v>
      </c>
      <c r="H2184">
        <v>0.99880340000000001</v>
      </c>
      <c r="I2184">
        <v>275.4896</v>
      </c>
      <c r="J2184">
        <v>-486.96499999999997</v>
      </c>
      <c r="K2184">
        <v>1.1178459999999999</v>
      </c>
      <c r="L2184">
        <v>276.29989999999998</v>
      </c>
      <c r="M2184">
        <v>-0.64630810000000005</v>
      </c>
      <c r="N2184">
        <v>-1.386747E-2</v>
      </c>
      <c r="O2184">
        <v>-0.76295049999999998</v>
      </c>
      <c r="P2184">
        <v>-0.4247725</v>
      </c>
      <c r="Q2184">
        <v>0.37004029999999999</v>
      </c>
      <c r="R2184">
        <v>-0.82621939999999905</v>
      </c>
      <c r="S2184">
        <v>-0.91110230000000003</v>
      </c>
      <c r="T2184">
        <v>-0.40583350000000001</v>
      </c>
      <c r="U2184">
        <v>-3.3525700000000001</v>
      </c>
      <c r="V2184">
        <v>-0.21625269999999999</v>
      </c>
      <c r="W2184">
        <v>0.3790174</v>
      </c>
      <c r="X2184">
        <v>0.89976699999999998</v>
      </c>
      <c r="Y2184">
        <v>-0.42356640000000001</v>
      </c>
      <c r="Z2184">
        <v>5.9434649999999999E-2</v>
      </c>
      <c r="AA2184">
        <v>0.90391319999999997</v>
      </c>
      <c r="AB2184">
        <v>24</v>
      </c>
      <c r="AC2184">
        <v>-0.132400000000018</v>
      </c>
      <c r="AD2184">
        <v>-0.119042599999999</v>
      </c>
      <c r="AE2184">
        <v>-0.81029999999998303</v>
      </c>
      <c r="AF2184">
        <v>-0.414025893434117</v>
      </c>
      <c r="AG2184">
        <v>-0.119042599999999</v>
      </c>
      <c r="AH2184">
        <v>0.68936596225806601</v>
      </c>
      <c r="AI2184">
        <v>98.420735105277103</v>
      </c>
      <c r="AJ2184">
        <v>120.988581286108</v>
      </c>
      <c r="AK2184">
        <v>0.81290467520409004</v>
      </c>
      <c r="AL2184">
        <v>67.727169439873705</v>
      </c>
      <c r="AM2184">
        <v>103.51431395114901</v>
      </c>
      <c r="AN2184">
        <v>1.0000000370245199</v>
      </c>
    </row>
    <row r="2185" spans="1:40" x14ac:dyDescent="0.25">
      <c r="A2185" t="str">
        <f>"20190304164642642"</f>
        <v>20190304164642642</v>
      </c>
      <c r="B2185" t="str">
        <f>"1551689202630853"</f>
        <v>1551689202630853</v>
      </c>
      <c r="C2185" t="s">
        <v>40</v>
      </c>
      <c r="D2185">
        <v>4.124295</v>
      </c>
      <c r="E2185">
        <v>0.41135110000000003</v>
      </c>
      <c r="F2185" t="s">
        <v>41</v>
      </c>
      <c r="G2185">
        <v>-487.22989999999999</v>
      </c>
      <c r="H2185">
        <v>0.9969076</v>
      </c>
      <c r="I2185">
        <v>275.29730000000001</v>
      </c>
      <c r="J2185">
        <v>-487.108</v>
      </c>
      <c r="K2185">
        <v>1.1178189999999999</v>
      </c>
      <c r="L2185">
        <v>276.11250000000001</v>
      </c>
      <c r="M2185">
        <v>-0.6381038</v>
      </c>
      <c r="N2185">
        <v>-1.369915E-2</v>
      </c>
      <c r="O2185">
        <v>-0.76982839999999997</v>
      </c>
      <c r="P2185">
        <v>-0.41617789999999999</v>
      </c>
      <c r="Q2185">
        <v>0.37006220000000001</v>
      </c>
      <c r="R2185">
        <v>-0.83057190000000003</v>
      </c>
      <c r="S2185">
        <v>-0.88674929999999996</v>
      </c>
      <c r="T2185">
        <v>-0.40488289999999999</v>
      </c>
      <c r="U2185">
        <v>-3.3564449999999999</v>
      </c>
      <c r="V2185">
        <v>-0.21594079999999999</v>
      </c>
      <c r="W2185">
        <v>0.3788956</v>
      </c>
      <c r="X2185">
        <v>0.89989319999999895</v>
      </c>
      <c r="Y2185">
        <v>-0.42028490000000002</v>
      </c>
      <c r="Z2185">
        <v>6.0567269999999999E-2</v>
      </c>
      <c r="AA2185">
        <v>0.90536859999999997</v>
      </c>
      <c r="AB2185">
        <v>24</v>
      </c>
      <c r="AC2185">
        <v>-0.12189999999998199</v>
      </c>
      <c r="AD2185">
        <v>-0.1209114</v>
      </c>
      <c r="AE2185">
        <v>-0.81520000000000403</v>
      </c>
      <c r="AF2185">
        <v>-0.417398581673805</v>
      </c>
      <c r="AG2185">
        <v>-0.1209114</v>
      </c>
      <c r="AH2185">
        <v>0.69055580934665495</v>
      </c>
      <c r="AI2185">
        <v>98.522173712279596</v>
      </c>
      <c r="AJ2185">
        <v>121.150384999869</v>
      </c>
      <c r="AK2185">
        <v>0.81590959576149003</v>
      </c>
      <c r="AL2185">
        <v>67.734710546278905</v>
      </c>
      <c r="AM2185">
        <v>103.493712406207</v>
      </c>
      <c r="AN2185">
        <v>1.00000003810511</v>
      </c>
    </row>
    <row r="2186" spans="1:40" x14ac:dyDescent="0.25">
      <c r="A2186" t="str">
        <f>"20190304164642665"</f>
        <v>20190304164642665</v>
      </c>
      <c r="B2186" t="str">
        <f>"1551689202660133"</f>
        <v>1551689202660133</v>
      </c>
      <c r="C2186" t="s">
        <v>40</v>
      </c>
      <c r="D2186">
        <v>4.1653960000000003</v>
      </c>
      <c r="E2186">
        <v>0.38050200000000001</v>
      </c>
      <c r="F2186" t="s">
        <v>42</v>
      </c>
      <c r="G2186">
        <v>-489.48489999999998</v>
      </c>
      <c r="H2186" s="1">
        <v>-3.1744250000000001E-6</v>
      </c>
      <c r="I2186">
        <v>266.81950000000001</v>
      </c>
      <c r="J2186">
        <v>-487.25439999999998</v>
      </c>
      <c r="K2186">
        <v>1.1178110000000001</v>
      </c>
      <c r="L2186">
        <v>275.91640000000001</v>
      </c>
      <c r="M2186">
        <v>-0.62950850000000003</v>
      </c>
      <c r="N2186">
        <v>-1.353067E-2</v>
      </c>
      <c r="O2186">
        <v>-0.77687589999999995</v>
      </c>
      <c r="P2186">
        <v>-0.40721360000000001</v>
      </c>
      <c r="Q2186">
        <v>0.37003259999999899</v>
      </c>
      <c r="R2186">
        <v>-0.83501709999999996</v>
      </c>
      <c r="S2186">
        <v>-0.85974119999999998</v>
      </c>
      <c r="T2186">
        <v>-0.40432420000000002</v>
      </c>
      <c r="U2186">
        <v>-3.3613590000000002</v>
      </c>
      <c r="V2186">
        <v>-0.2156293</v>
      </c>
      <c r="W2186">
        <v>0.37871939999999998</v>
      </c>
      <c r="X2186">
        <v>0.90004200000000001</v>
      </c>
      <c r="Y2186">
        <v>-0.41737269999999999</v>
      </c>
      <c r="Z2186">
        <v>6.1764180000000002E-2</v>
      </c>
      <c r="AA2186">
        <v>0.90663400000000005</v>
      </c>
      <c r="AB2186">
        <v>24</v>
      </c>
      <c r="AC2186">
        <v>-2.2305000000000001</v>
      </c>
      <c r="AD2186">
        <v>-1.1178141744249901</v>
      </c>
      <c r="AE2186">
        <v>-9.0968999999999998</v>
      </c>
      <c r="AF2186">
        <v>-3.9380305789702401</v>
      </c>
      <c r="AG2186">
        <v>-1.1178141744249901</v>
      </c>
      <c r="AH2186">
        <v>8.3530839553439193</v>
      </c>
      <c r="AI2186">
        <v>96.901693033345495</v>
      </c>
      <c r="AJ2186">
        <v>115.24136063672999</v>
      </c>
      <c r="AK2186">
        <v>9.3022365554996593</v>
      </c>
      <c r="AL2186">
        <v>67.745617890736796</v>
      </c>
      <c r="AM2186">
        <v>103.47281119056601</v>
      </c>
      <c r="AN2186">
        <v>0.999999990359425</v>
      </c>
    </row>
    <row r="2187" spans="1:40" x14ac:dyDescent="0.25">
      <c r="A2187" t="str">
        <f>"20190304164642688"</f>
        <v>20190304164642688</v>
      </c>
      <c r="B2187" t="str">
        <f>"1551689202680628"</f>
        <v>1551689202680628</v>
      </c>
      <c r="C2187" t="s">
        <v>40</v>
      </c>
      <c r="D2187">
        <v>4.1702589999999997</v>
      </c>
      <c r="E2187">
        <v>0.3621991</v>
      </c>
      <c r="F2187" t="s">
        <v>41</v>
      </c>
      <c r="G2187">
        <v>-487.41129999999998</v>
      </c>
      <c r="H2187">
        <v>1.0389759999999999</v>
      </c>
      <c r="I2187">
        <v>274.99279999999999</v>
      </c>
      <c r="J2187">
        <v>-487.39179999999999</v>
      </c>
      <c r="K2187">
        <v>1.117807</v>
      </c>
      <c r="L2187">
        <v>275.72809999999998</v>
      </c>
      <c r="M2187">
        <v>-0.62124939999999995</v>
      </c>
      <c r="N2187">
        <v>-1.3375969999999999E-2</v>
      </c>
      <c r="O2187">
        <v>-0.78349859999999905</v>
      </c>
      <c r="P2187">
        <v>-0.39861550000000001</v>
      </c>
      <c r="Q2187">
        <v>0.37029820000000002</v>
      </c>
      <c r="R2187">
        <v>-0.83903799999999995</v>
      </c>
      <c r="S2187">
        <v>-0.58380129999999997</v>
      </c>
      <c r="T2187">
        <v>-0.29339609999999999</v>
      </c>
      <c r="U2187">
        <v>-3.4380489999999999</v>
      </c>
      <c r="V2187">
        <v>-0.21527750000000001</v>
      </c>
      <c r="W2187">
        <v>0.37884879999999999</v>
      </c>
      <c r="X2187">
        <v>0.90007179999999998</v>
      </c>
      <c r="Y2187">
        <v>-0.4810199</v>
      </c>
      <c r="Z2187">
        <v>3.9789989999999997E-2</v>
      </c>
      <c r="AA2187">
        <v>0.87580630000000004</v>
      </c>
      <c r="AB2187">
        <v>24</v>
      </c>
      <c r="AC2187">
        <v>-1.9499999999993599E-2</v>
      </c>
      <c r="AD2187">
        <v>-7.8830999999999804E-2</v>
      </c>
      <c r="AE2187">
        <v>-0.73529999999999496</v>
      </c>
      <c r="AF2187">
        <v>-0.43655188238729697</v>
      </c>
      <c r="AG2187">
        <v>-7.8830999999999804E-2</v>
      </c>
      <c r="AH2187">
        <v>0.58159353227877797</v>
      </c>
      <c r="AI2187">
        <v>96.186851046925995</v>
      </c>
      <c r="AJ2187">
        <v>126.892382945175</v>
      </c>
      <c r="AK2187">
        <v>0.73146627356659299</v>
      </c>
      <c r="AL2187">
        <v>67.737607811297295</v>
      </c>
      <c r="AM2187">
        <v>103.451200546762</v>
      </c>
      <c r="AN2187">
        <v>1.00000003021146</v>
      </c>
    </row>
    <row r="2188" spans="1:40" x14ac:dyDescent="0.25">
      <c r="A2188" t="str">
        <f>"20190304164642709"</f>
        <v>20190304164642709</v>
      </c>
      <c r="B2188" t="str">
        <f>"1551689202700149"</f>
        <v>1551689202700149</v>
      </c>
      <c r="C2188" t="s">
        <v>40</v>
      </c>
      <c r="D2188">
        <v>4.133756</v>
      </c>
      <c r="E2188">
        <v>0.3554291</v>
      </c>
      <c r="F2188" t="s">
        <v>41</v>
      </c>
      <c r="G2188">
        <v>-487.49869999999999</v>
      </c>
      <c r="H2188">
        <v>1.061674</v>
      </c>
      <c r="I2188">
        <v>274.80770000000001</v>
      </c>
      <c r="J2188">
        <v>-487.52600000000001</v>
      </c>
      <c r="K2188">
        <v>1.117802</v>
      </c>
      <c r="L2188">
        <v>275.54020000000003</v>
      </c>
      <c r="M2188">
        <v>-0.61300069999999995</v>
      </c>
      <c r="N2188">
        <v>-1.323004E-2</v>
      </c>
      <c r="O2188">
        <v>-0.7899716</v>
      </c>
      <c r="P2188">
        <v>-0.38994400000000001</v>
      </c>
      <c r="Q2188">
        <v>0.3713554</v>
      </c>
      <c r="R2188">
        <v>-0.84263829999999995</v>
      </c>
      <c r="S2188">
        <v>-0.40261839999999999</v>
      </c>
      <c r="T2188">
        <v>-0.2119964</v>
      </c>
      <c r="U2188">
        <v>-3.477814</v>
      </c>
      <c r="V2188">
        <v>-0.21485650000000001</v>
      </c>
      <c r="W2188">
        <v>0.37977270000000002</v>
      </c>
      <c r="X2188">
        <v>0.899783</v>
      </c>
      <c r="Y2188">
        <v>-0.51780369999999998</v>
      </c>
      <c r="Z2188">
        <v>2.47204E-2</v>
      </c>
      <c r="AA2188">
        <v>0.85514219999999896</v>
      </c>
      <c r="AB2188">
        <v>24</v>
      </c>
      <c r="AC2188">
        <v>2.73000000000252E-2</v>
      </c>
      <c r="AD2188">
        <v>-5.61279999999999E-2</v>
      </c>
      <c r="AE2188">
        <v>-0.73250000000001503</v>
      </c>
      <c r="AF2188">
        <v>-0.46788706694798199</v>
      </c>
      <c r="AG2188">
        <v>-5.61279999999999E-2</v>
      </c>
      <c r="AH2188">
        <v>0.55869268117839299</v>
      </c>
      <c r="AI2188">
        <v>94.404286204406006</v>
      </c>
      <c r="AJ2188">
        <v>129.94508574452399</v>
      </c>
      <c r="AK2188">
        <v>0.73089409068858102</v>
      </c>
      <c r="AL2188">
        <v>67.680396894131306</v>
      </c>
      <c r="AM2188">
        <v>103.43000160802001</v>
      </c>
      <c r="AN2188">
        <v>1.0000000331732599</v>
      </c>
    </row>
    <row r="2189" spans="1:40" x14ac:dyDescent="0.25">
      <c r="A2189" t="str">
        <f>"20190304164642730"</f>
        <v>20190304164642730</v>
      </c>
      <c r="B2189" t="str">
        <f>"1551689202720645"</f>
        <v>1551689202720645</v>
      </c>
      <c r="C2189" t="s">
        <v>40</v>
      </c>
      <c r="D2189">
        <v>4.1337919999999997</v>
      </c>
      <c r="E2189">
        <v>0.35370760000000001</v>
      </c>
      <c r="F2189" t="s">
        <v>41</v>
      </c>
      <c r="G2189">
        <v>-487.60750000000002</v>
      </c>
      <c r="H2189">
        <v>1.0709979999999999</v>
      </c>
      <c r="I2189">
        <v>274.63330000000002</v>
      </c>
      <c r="J2189">
        <v>-487.65429999999998</v>
      </c>
      <c r="K2189">
        <v>1.1178030000000001</v>
      </c>
      <c r="L2189">
        <v>275.35660000000001</v>
      </c>
      <c r="M2189">
        <v>-0.60493490000000005</v>
      </c>
      <c r="N2189">
        <v>-1.309373E-2</v>
      </c>
      <c r="O2189">
        <v>-0.79616739999999997</v>
      </c>
      <c r="P2189">
        <v>-0.38138230000000001</v>
      </c>
      <c r="Q2189">
        <v>0.37220589999999998</v>
      </c>
      <c r="R2189">
        <v>-0.84617399999999998</v>
      </c>
      <c r="S2189">
        <v>-0.31396479999999999</v>
      </c>
      <c r="T2189">
        <v>-0.18035409999999999</v>
      </c>
      <c r="U2189">
        <v>-3.4944459999999999</v>
      </c>
      <c r="V2189">
        <v>-0.21462059999999999</v>
      </c>
      <c r="W2189">
        <v>0.38049549999999999</v>
      </c>
      <c r="X2189">
        <v>0.8995339</v>
      </c>
      <c r="Y2189">
        <v>-0.53101189999999998</v>
      </c>
      <c r="Z2189">
        <v>1.9262410000000001E-2</v>
      </c>
      <c r="AA2189">
        <v>0.84714539999999905</v>
      </c>
      <c r="AB2189">
        <v>24</v>
      </c>
      <c r="AC2189">
        <v>4.67999999999619E-2</v>
      </c>
      <c r="AD2189">
        <v>-4.6805000000000201E-2</v>
      </c>
      <c r="AE2189">
        <v>-0.72329999999999395</v>
      </c>
      <c r="AF2189">
        <v>-0.47287881388090303</v>
      </c>
      <c r="AG2189">
        <v>-4.6805000000000201E-2</v>
      </c>
      <c r="AH2189">
        <v>0.54532980417774402</v>
      </c>
      <c r="AI2189">
        <v>93.710127601077204</v>
      </c>
      <c r="AJ2189">
        <v>130.92995850912399</v>
      </c>
      <c r="AK2189">
        <v>0.72331851626164501</v>
      </c>
      <c r="AL2189">
        <v>67.6356223217593</v>
      </c>
      <c r="AM2189">
        <v>103.419370348633</v>
      </c>
      <c r="AN2189">
        <v>1.0000000323569</v>
      </c>
    </row>
    <row r="2190" spans="1:40" x14ac:dyDescent="0.25">
      <c r="A2190" t="str">
        <f>"20190304164642754"</f>
        <v>20190304164642754</v>
      </c>
      <c r="B2190" t="str">
        <f>"1551689202750430"</f>
        <v>1551689202750430</v>
      </c>
      <c r="C2190" t="s">
        <v>40</v>
      </c>
      <c r="D2190">
        <v>4.1354100000000003</v>
      </c>
      <c r="E2190">
        <v>0.35299439999999999</v>
      </c>
      <c r="F2190" t="s">
        <v>41</v>
      </c>
      <c r="G2190">
        <v>-487.72250000000003</v>
      </c>
      <c r="H2190">
        <v>1.075448</v>
      </c>
      <c r="I2190">
        <v>274.46159999999998</v>
      </c>
      <c r="J2190">
        <v>-487.7867</v>
      </c>
      <c r="K2190">
        <v>1.1178030000000001</v>
      </c>
      <c r="L2190">
        <v>275.16300000000001</v>
      </c>
      <c r="M2190">
        <v>-0.5964218</v>
      </c>
      <c r="N2190">
        <v>-1.295375E-2</v>
      </c>
      <c r="O2190">
        <v>-0.80256669999999997</v>
      </c>
      <c r="P2190">
        <v>-0.37215799999999999</v>
      </c>
      <c r="Q2190">
        <v>0.37275249999999999</v>
      </c>
      <c r="R2190">
        <v>-0.85003220000000002</v>
      </c>
      <c r="S2190">
        <v>-0.26583859999999998</v>
      </c>
      <c r="T2190">
        <v>-0.1655142</v>
      </c>
      <c r="U2190">
        <v>-3.4983520000000001</v>
      </c>
      <c r="V2190">
        <v>-0.21469849999999999</v>
      </c>
      <c r="W2190">
        <v>0.38090600000000002</v>
      </c>
      <c r="X2190">
        <v>0.89934150000000002</v>
      </c>
      <c r="Y2190">
        <v>-0.53366910000000001</v>
      </c>
      <c r="Z2190">
        <v>1.7077620000000002E-2</v>
      </c>
      <c r="AA2190">
        <v>0.84552099999999997</v>
      </c>
      <c r="AB2190">
        <v>24</v>
      </c>
      <c r="AC2190">
        <v>6.41999999999711E-2</v>
      </c>
      <c r="AD2190">
        <v>-4.2355000000000101E-2</v>
      </c>
      <c r="AE2190">
        <v>-0.701400000000035</v>
      </c>
      <c r="AF2190">
        <v>-0.46820132400571901</v>
      </c>
      <c r="AG2190">
        <v>-4.2355000000000101E-2</v>
      </c>
      <c r="AH2190">
        <v>0.52278350837505705</v>
      </c>
      <c r="AI2190">
        <v>93.453751528955706</v>
      </c>
      <c r="AJ2190">
        <v>131.84740672241301</v>
      </c>
      <c r="AK2190">
        <v>0.70307113612680905</v>
      </c>
      <c r="AL2190">
        <v>67.610185856901296</v>
      </c>
      <c r="AM2190">
        <v>103.426832737382</v>
      </c>
      <c r="AN2190">
        <v>0.99999998018024905</v>
      </c>
    </row>
    <row r="2191" spans="1:40" x14ac:dyDescent="0.25">
      <c r="A2191" t="str">
        <f>"20190304164642776"</f>
        <v>20190304164642776</v>
      </c>
      <c r="B2191" t="str">
        <f>"1551689202770925"</f>
        <v>1551689202770925</v>
      </c>
      <c r="C2191" t="s">
        <v>40</v>
      </c>
      <c r="D2191">
        <v>4.142754</v>
      </c>
      <c r="E2191">
        <v>0.35380630000000002</v>
      </c>
      <c r="F2191" t="s">
        <v>41</v>
      </c>
      <c r="G2191">
        <v>-487.84199999999998</v>
      </c>
      <c r="H2191">
        <v>1.078516</v>
      </c>
      <c r="I2191">
        <v>274.2903</v>
      </c>
      <c r="J2191">
        <v>-487.92110000000002</v>
      </c>
      <c r="K2191">
        <v>1.1177999999999999</v>
      </c>
      <c r="L2191">
        <v>274.96129999999999</v>
      </c>
      <c r="M2191">
        <v>-0.58755310000000005</v>
      </c>
      <c r="N2191">
        <v>-1.281241E-2</v>
      </c>
      <c r="O2191">
        <v>-0.80908419999999903</v>
      </c>
      <c r="P2191">
        <v>-0.36314960000000002</v>
      </c>
      <c r="Q2191">
        <v>0.3727355</v>
      </c>
      <c r="R2191">
        <v>-0.85392679999999999</v>
      </c>
      <c r="S2191">
        <v>-0.2219238</v>
      </c>
      <c r="T2191">
        <v>-0.1576041</v>
      </c>
      <c r="U2191">
        <v>-3.5012210000000001</v>
      </c>
      <c r="V2191">
        <v>-0.21432019999999999</v>
      </c>
      <c r="W2191">
        <v>0.38076280000000001</v>
      </c>
      <c r="X2191">
        <v>0.89949239999999997</v>
      </c>
      <c r="Y2191">
        <v>-0.53498250000000003</v>
      </c>
      <c r="Z2191">
        <v>1.6127510000000001E-2</v>
      </c>
      <c r="AA2191">
        <v>0.84470919999999905</v>
      </c>
      <c r="AB2191">
        <v>24</v>
      </c>
      <c r="AC2191">
        <v>7.9100000000039403E-2</v>
      </c>
      <c r="AD2191">
        <v>-3.9283999999999798E-2</v>
      </c>
      <c r="AE2191">
        <v>-0.67099999999999205</v>
      </c>
      <c r="AF2191">
        <v>-0.45674024460875301</v>
      </c>
      <c r="AG2191">
        <v>-3.9283999999999798E-2</v>
      </c>
      <c r="AH2191">
        <v>0.49478811072106699</v>
      </c>
      <c r="AI2191">
        <v>93.338817658313999</v>
      </c>
      <c r="AJ2191">
        <v>132.71018761327301</v>
      </c>
      <c r="AK2191">
        <v>0.67451475759406998</v>
      </c>
      <c r="AL2191">
        <v>67.6190601735249</v>
      </c>
      <c r="AM2191">
        <v>103.40186155511201</v>
      </c>
      <c r="AN2191">
        <v>1.0000000178248101</v>
      </c>
    </row>
    <row r="2192" spans="1:40" x14ac:dyDescent="0.25">
      <c r="A2192" t="str">
        <f>"20190304164642809"</f>
        <v>20190304164642809</v>
      </c>
      <c r="B2192" t="str">
        <f>"1551689202800206"</f>
        <v>1551689202800206</v>
      </c>
      <c r="C2192" t="s">
        <v>40</v>
      </c>
      <c r="D2192">
        <v>4.1415680000000004</v>
      </c>
      <c r="E2192">
        <v>0.35469650000000003</v>
      </c>
      <c r="F2192" t="s">
        <v>41</v>
      </c>
      <c r="G2192">
        <v>-487.9785</v>
      </c>
      <c r="H2192">
        <v>1.070139</v>
      </c>
      <c r="I2192">
        <v>273.90460000000002</v>
      </c>
      <c r="J2192">
        <v>-488.11540000000002</v>
      </c>
      <c r="K2192">
        <v>1.1177999999999999</v>
      </c>
      <c r="L2192">
        <v>274.66129999999998</v>
      </c>
      <c r="M2192">
        <v>-0.57435040000000004</v>
      </c>
      <c r="N2192">
        <v>-1.26222E-2</v>
      </c>
      <c r="O2192">
        <v>-0.81851229999999997</v>
      </c>
      <c r="P2192">
        <v>-0.34956500000000001</v>
      </c>
      <c r="Q2192">
        <v>0.3730947</v>
      </c>
      <c r="R2192">
        <v>-0.85942129999999906</v>
      </c>
      <c r="S2192">
        <v>-0.19003300000000001</v>
      </c>
      <c r="T2192">
        <v>-0.1579169</v>
      </c>
      <c r="U2192">
        <v>-3.5012509999999999</v>
      </c>
      <c r="V2192">
        <v>-0.213916</v>
      </c>
      <c r="W2192">
        <v>0.38094830000000002</v>
      </c>
      <c r="X2192">
        <v>0.89951000000000003</v>
      </c>
      <c r="Y2192">
        <v>-0.52894030000000003</v>
      </c>
      <c r="Z2192">
        <v>1.703934E-2</v>
      </c>
      <c r="AA2192">
        <v>0.84848799999999902</v>
      </c>
      <c r="AB2192">
        <v>24</v>
      </c>
      <c r="AC2192">
        <v>0.136900000000025</v>
      </c>
      <c r="AD2192">
        <v>-4.7660999999999898E-2</v>
      </c>
      <c r="AE2192">
        <v>-0.75669999999996596</v>
      </c>
      <c r="AF2192">
        <v>-0.54461670960380104</v>
      </c>
      <c r="AG2192">
        <v>-4.7660999999999898E-2</v>
      </c>
      <c r="AH2192">
        <v>0.53871332125775495</v>
      </c>
      <c r="AI2192">
        <v>93.560197615358803</v>
      </c>
      <c r="AJ2192">
        <v>135.312218695588</v>
      </c>
      <c r="AK2192">
        <v>0.76752262103551905</v>
      </c>
      <c r="AL2192">
        <v>67.607563933352907</v>
      </c>
      <c r="AM2192">
        <v>103.37724321488</v>
      </c>
      <c r="AN2192">
        <v>0.99999995121444296</v>
      </c>
    </row>
    <row r="2193" spans="1:40" x14ac:dyDescent="0.25">
      <c r="A2193" t="str">
        <f>"20190304164642833"</f>
        <v>20190304164642833</v>
      </c>
      <c r="B2193" t="str">
        <f>"1551689202830462"</f>
        <v>1551689202830462</v>
      </c>
      <c r="C2193" t="s">
        <v>40</v>
      </c>
      <c r="D2193">
        <v>4.1332190000000004</v>
      </c>
      <c r="E2193">
        <v>0.3559602</v>
      </c>
      <c r="F2193" t="s">
        <v>41</v>
      </c>
      <c r="G2193">
        <v>-488.15210000000002</v>
      </c>
      <c r="H2193">
        <v>1.0775140000000001</v>
      </c>
      <c r="I2193">
        <v>273.75510000000003</v>
      </c>
      <c r="J2193">
        <v>-488.24439999999998</v>
      </c>
      <c r="K2193">
        <v>1.117796</v>
      </c>
      <c r="L2193">
        <v>274.45639999999997</v>
      </c>
      <c r="M2193">
        <v>-0.56531560000000003</v>
      </c>
      <c r="N2193">
        <v>-1.250562E-2</v>
      </c>
      <c r="O2193">
        <v>-0.82477999999999996</v>
      </c>
      <c r="P2193">
        <v>-0.34045439999999999</v>
      </c>
      <c r="Q2193">
        <v>0.3733282</v>
      </c>
      <c r="R2193">
        <v>-0.86297009999999996</v>
      </c>
      <c r="S2193">
        <v>-0.14080809999999999</v>
      </c>
      <c r="T2193">
        <v>-0.1555667</v>
      </c>
      <c r="U2193">
        <v>-3.5009459999999999</v>
      </c>
      <c r="V2193">
        <v>-0.21349179999999901</v>
      </c>
      <c r="W2193">
        <v>0.3810789</v>
      </c>
      <c r="X2193">
        <v>0.89955549999999995</v>
      </c>
      <c r="Y2193">
        <v>-0.53151040000000005</v>
      </c>
      <c r="Z2193">
        <v>1.7031919999999999E-2</v>
      </c>
      <c r="AA2193">
        <v>0.84688050000000004</v>
      </c>
      <c r="AB2193">
        <v>24</v>
      </c>
      <c r="AC2193">
        <v>9.2299999999966006E-2</v>
      </c>
      <c r="AD2193">
        <v>-4.0282000000000102E-2</v>
      </c>
      <c r="AE2193">
        <v>-0.70129999999994597</v>
      </c>
      <c r="AF2193">
        <v>-0.47109215938289001</v>
      </c>
      <c r="AG2193">
        <v>-4.0282000000000102E-2</v>
      </c>
      <c r="AH2193">
        <v>0.52457944805266898</v>
      </c>
      <c r="AI2193">
        <v>93.269903396234497</v>
      </c>
      <c r="AJ2193">
        <v>131.925037317375</v>
      </c>
      <c r="AK2193">
        <v>0.70621105873193202</v>
      </c>
      <c r="AL2193">
        <v>67.599471469311197</v>
      </c>
      <c r="AM2193">
        <v>103.35101556535299</v>
      </c>
      <c r="AN2193">
        <v>0.99999998713634997</v>
      </c>
    </row>
    <row r="2194" spans="1:40" x14ac:dyDescent="0.25">
      <c r="A2194" t="str">
        <f>"20190304164642865"</f>
        <v>20190304164642865</v>
      </c>
      <c r="B2194" t="str">
        <f>"1551689202860718"</f>
        <v>1551689202860718</v>
      </c>
      <c r="C2194" t="s">
        <v>40</v>
      </c>
      <c r="D2194">
        <v>4.1159889999999999</v>
      </c>
      <c r="E2194">
        <v>0.35745300000000002</v>
      </c>
      <c r="F2194" t="s">
        <v>41</v>
      </c>
      <c r="G2194">
        <v>-488.27260000000001</v>
      </c>
      <c r="H2194">
        <v>1.078848</v>
      </c>
      <c r="I2194">
        <v>273.5829</v>
      </c>
      <c r="J2194">
        <v>-488.42140000000001</v>
      </c>
      <c r="K2194">
        <v>1.1177820000000001</v>
      </c>
      <c r="L2194">
        <v>274.166</v>
      </c>
      <c r="M2194">
        <v>-0.55251499999999998</v>
      </c>
      <c r="N2194">
        <v>-1.23354E-2</v>
      </c>
      <c r="O2194">
        <v>-0.83341169999999998</v>
      </c>
      <c r="P2194">
        <v>-0.32746140000000001</v>
      </c>
      <c r="Q2194">
        <v>0.37216549999999998</v>
      </c>
      <c r="R2194">
        <v>-0.86848219999999998</v>
      </c>
      <c r="S2194">
        <v>-0.1131287</v>
      </c>
      <c r="T2194">
        <v>-0.1560608</v>
      </c>
      <c r="U2194">
        <v>-3.4992369999999999</v>
      </c>
      <c r="V2194">
        <v>-0.21337120000000001</v>
      </c>
      <c r="W2194">
        <v>0.37976379999999998</v>
      </c>
      <c r="X2194">
        <v>0.9001401</v>
      </c>
      <c r="Y2194">
        <v>-0.52510000000000001</v>
      </c>
      <c r="Z2194">
        <v>1.793163E-2</v>
      </c>
      <c r="AA2194">
        <v>0.85085159999999904</v>
      </c>
      <c r="AB2194">
        <v>24</v>
      </c>
      <c r="AC2194">
        <v>0.14879999999999399</v>
      </c>
      <c r="AD2194">
        <v>-3.8934000000000003E-2</v>
      </c>
      <c r="AE2194">
        <v>-0.58310000000000095</v>
      </c>
      <c r="AF2194">
        <v>-0.444357129432222</v>
      </c>
      <c r="AG2194">
        <v>-3.8934000000000003E-2</v>
      </c>
      <c r="AH2194">
        <v>0.402095769821817</v>
      </c>
      <c r="AI2194">
        <v>93.717177645532303</v>
      </c>
      <c r="AJ2194">
        <v>137.85826719540799</v>
      </c>
      <c r="AK2194">
        <v>0.60054152474399602</v>
      </c>
      <c r="AL2194">
        <v>67.680947489413498</v>
      </c>
      <c r="AM2194">
        <v>103.335387046045</v>
      </c>
      <c r="AN2194">
        <v>1.00000000620394</v>
      </c>
    </row>
    <row r="2195" spans="1:40" x14ac:dyDescent="0.25">
      <c r="A2195" t="str">
        <f>"20190304164642888"</f>
        <v>20190304164642888</v>
      </c>
      <c r="B2195" t="str">
        <f>"1551689202880238"</f>
        <v>1551689202880238</v>
      </c>
      <c r="C2195" t="s">
        <v>40</v>
      </c>
      <c r="D2195">
        <v>4.123024</v>
      </c>
      <c r="E2195">
        <v>0.3586473</v>
      </c>
      <c r="F2195" t="s">
        <v>41</v>
      </c>
      <c r="G2195">
        <v>-488.44130000000001</v>
      </c>
      <c r="H2195">
        <v>1.0725559999999901</v>
      </c>
      <c r="I2195">
        <v>273.209</v>
      </c>
      <c r="J2195">
        <v>-488.5453</v>
      </c>
      <c r="K2195">
        <v>1.117774</v>
      </c>
      <c r="L2195">
        <v>273.95699999999999</v>
      </c>
      <c r="M2195">
        <v>-0.54330590000000001</v>
      </c>
      <c r="N2195">
        <v>-1.221182E-2</v>
      </c>
      <c r="O2195">
        <v>-0.83944609999999997</v>
      </c>
      <c r="P2195">
        <v>-0.31805879999999997</v>
      </c>
      <c r="Q2195">
        <v>0.37073400000000001</v>
      </c>
      <c r="R2195">
        <v>-0.87257960000000001</v>
      </c>
      <c r="S2195">
        <v>-7.2784420000000002E-2</v>
      </c>
      <c r="T2195">
        <v>-0.16529269999999999</v>
      </c>
      <c r="U2195">
        <v>-3.4977109999999998</v>
      </c>
      <c r="V2195">
        <v>-0.2134963</v>
      </c>
      <c r="W2195">
        <v>0.37822210000000001</v>
      </c>
      <c r="X2195">
        <v>0.90075930000000004</v>
      </c>
      <c r="Y2195">
        <v>-0.52551440000000005</v>
      </c>
      <c r="Z2195">
        <v>2.0216049999999999E-2</v>
      </c>
      <c r="AA2195">
        <v>0.85054449999999904</v>
      </c>
      <c r="AB2195">
        <v>24</v>
      </c>
      <c r="AC2195">
        <v>0.10399999999998499</v>
      </c>
      <c r="AD2195">
        <v>-4.5218000000000202E-2</v>
      </c>
      <c r="AE2195">
        <v>-0.74799999999999001</v>
      </c>
      <c r="AF2195">
        <v>-0.49196821153034098</v>
      </c>
      <c r="AG2195">
        <v>-4.5218000000000202E-2</v>
      </c>
      <c r="AH2195">
        <v>0.56940304732143299</v>
      </c>
      <c r="AI2195">
        <v>93.438800524485998</v>
      </c>
      <c r="AJ2195">
        <v>130.827244752571</v>
      </c>
      <c r="AK2195">
        <v>0.75385490578711301</v>
      </c>
      <c r="AL2195">
        <v>67.776400498440196</v>
      </c>
      <c r="AM2195">
        <v>103.33408158328299</v>
      </c>
      <c r="AN2195">
        <v>0.99999997178929401</v>
      </c>
    </row>
    <row r="2196" spans="1:40" x14ac:dyDescent="0.25">
      <c r="A2196" t="str">
        <f>"20190304164642909"</f>
        <v>20190304164642909</v>
      </c>
      <c r="B2196" t="str">
        <f>"1551689202900737"</f>
        <v>1551689202900737</v>
      </c>
      <c r="C2196" t="s">
        <v>40</v>
      </c>
      <c r="D2196">
        <v>4.1313060000000004</v>
      </c>
      <c r="E2196">
        <v>0.35913539999999999</v>
      </c>
      <c r="F2196" t="s">
        <v>41</v>
      </c>
      <c r="G2196">
        <v>-488.55739999999997</v>
      </c>
      <c r="H2196">
        <v>1.071796</v>
      </c>
      <c r="I2196">
        <v>273.03320000000002</v>
      </c>
      <c r="J2196">
        <v>-488.65969999999999</v>
      </c>
      <c r="K2196">
        <v>1.1177520000000001</v>
      </c>
      <c r="L2196">
        <v>273.7593</v>
      </c>
      <c r="M2196">
        <v>-0.53461150000000002</v>
      </c>
      <c r="N2196">
        <v>-1.21002E-2</v>
      </c>
      <c r="O2196">
        <v>-0.84501150000000003</v>
      </c>
      <c r="P2196">
        <v>-0.30829240000000002</v>
      </c>
      <c r="Q2196">
        <v>0.37009340000000002</v>
      </c>
      <c r="R2196">
        <v>-0.87634859999999903</v>
      </c>
      <c r="S2196">
        <v>-4.4525149999999999E-2</v>
      </c>
      <c r="T2196">
        <v>-0.1738739</v>
      </c>
      <c r="U2196">
        <v>-3.4957280000000002</v>
      </c>
      <c r="V2196">
        <v>-0.21439430000000001</v>
      </c>
      <c r="W2196">
        <v>0.37746659999999999</v>
      </c>
      <c r="X2196">
        <v>0.90086290000000002</v>
      </c>
      <c r="Y2196">
        <v>-0.52358570000000004</v>
      </c>
      <c r="Z2196">
        <v>2.242945E-2</v>
      </c>
      <c r="AA2196">
        <v>0.85167769999999998</v>
      </c>
      <c r="AB2196">
        <v>24</v>
      </c>
      <c r="AC2196">
        <v>0.10230000000001301</v>
      </c>
      <c r="AD2196">
        <v>-4.5956000000000101E-2</v>
      </c>
      <c r="AE2196">
        <v>-0.72609999999997399</v>
      </c>
      <c r="AF2196">
        <v>-0.47280366032538901</v>
      </c>
      <c r="AG2196">
        <v>-4.5956000000000101E-2</v>
      </c>
      <c r="AH2196">
        <v>0.55672618723494605</v>
      </c>
      <c r="AI2196">
        <v>93.600233599939799</v>
      </c>
      <c r="AJ2196">
        <v>130.339815901588</v>
      </c>
      <c r="AK2196">
        <v>0.73184650214798896</v>
      </c>
      <c r="AL2196">
        <v>67.823152949443397</v>
      </c>
      <c r="AM2196">
        <v>103.38666731175201</v>
      </c>
      <c r="AN2196">
        <v>0.99999995729222901</v>
      </c>
    </row>
    <row r="2197" spans="1:40" x14ac:dyDescent="0.25">
      <c r="A2197" t="str">
        <f>"20190304164642931"</f>
        <v>20190304164642931</v>
      </c>
      <c r="B2197" t="str">
        <f>"1551689202920254"</f>
        <v>1551689202920254</v>
      </c>
      <c r="C2197" t="s">
        <v>40</v>
      </c>
      <c r="D2197">
        <v>4.128965</v>
      </c>
      <c r="E2197">
        <v>0.37483509999999998</v>
      </c>
      <c r="F2197" t="s">
        <v>41</v>
      </c>
      <c r="G2197">
        <v>-488.66180000000003</v>
      </c>
      <c r="H2197">
        <v>1.0719529999999999</v>
      </c>
      <c r="I2197">
        <v>272.85219999999998</v>
      </c>
      <c r="J2197">
        <v>-488.7747</v>
      </c>
      <c r="K2197">
        <v>1.117726</v>
      </c>
      <c r="L2197">
        <v>273.55590000000001</v>
      </c>
      <c r="M2197">
        <v>-0.525696099999999</v>
      </c>
      <c r="N2197">
        <v>-1.198742E-2</v>
      </c>
      <c r="O2197">
        <v>-0.85058809999999996</v>
      </c>
      <c r="P2197">
        <v>-0.29765419999999998</v>
      </c>
      <c r="Q2197">
        <v>0.36949609999999999</v>
      </c>
      <c r="R2197">
        <v>-0.88026959999999999</v>
      </c>
      <c r="S2197">
        <v>-8.6364749999999994E-3</v>
      </c>
      <c r="T2197">
        <v>-0.17647349999999901</v>
      </c>
      <c r="U2197">
        <v>-3.4947509999999999</v>
      </c>
      <c r="V2197">
        <v>-0.21594959999999999</v>
      </c>
      <c r="W2197">
        <v>0.37674590000000002</v>
      </c>
      <c r="X2197">
        <v>0.90079310000000001</v>
      </c>
      <c r="Y2197">
        <v>-0.52336850000000001</v>
      </c>
      <c r="Z2197">
        <v>2.3445069999999998E-2</v>
      </c>
      <c r="AA2197">
        <v>0.85178390000000004</v>
      </c>
      <c r="AB2197">
        <v>24</v>
      </c>
      <c r="AC2197">
        <v>0.112899999999967</v>
      </c>
      <c r="AD2197">
        <v>-4.57729999999998E-2</v>
      </c>
      <c r="AE2197">
        <v>-0.70370000000002597</v>
      </c>
      <c r="AF2197">
        <v>-0.46408291328872903</v>
      </c>
      <c r="AG2197">
        <v>-4.57729999999998E-2</v>
      </c>
      <c r="AH2197">
        <v>0.53703128336990902</v>
      </c>
      <c r="AI2197">
        <v>93.689882038091895</v>
      </c>
      <c r="AJ2197">
        <v>130.83238376939801</v>
      </c>
      <c r="AK2197">
        <v>0.71124589085174095</v>
      </c>
      <c r="AL2197">
        <v>67.867737683265005</v>
      </c>
      <c r="AM2197">
        <v>103.481253634859</v>
      </c>
      <c r="AN2197">
        <v>0.99999995595728897</v>
      </c>
    </row>
    <row r="2198" spans="1:40" x14ac:dyDescent="0.25">
      <c r="A2198" t="str">
        <f>"20190304164642955"</f>
        <v>20190304164642955</v>
      </c>
      <c r="B2198" t="str">
        <f>"1551689202950510"</f>
        <v>1551689202950510</v>
      </c>
      <c r="C2198" t="s">
        <v>40</v>
      </c>
      <c r="D2198">
        <v>4.1488060000000004</v>
      </c>
      <c r="E2198">
        <v>0.37674930000000001</v>
      </c>
      <c r="F2198" t="s">
        <v>41</v>
      </c>
      <c r="G2198">
        <v>-488.79680000000002</v>
      </c>
      <c r="H2198">
        <v>1.071002</v>
      </c>
      <c r="I2198">
        <v>272.68119999999999</v>
      </c>
      <c r="J2198">
        <v>-488.89339999999999</v>
      </c>
      <c r="K2198">
        <v>1.117683</v>
      </c>
      <c r="L2198">
        <v>273.34059999999999</v>
      </c>
      <c r="M2198">
        <v>-0.51630149999999997</v>
      </c>
      <c r="N2198">
        <v>-1.1870240000000001E-2</v>
      </c>
      <c r="O2198">
        <v>-0.85632459999999899</v>
      </c>
      <c r="P2198">
        <v>-0.28613549999999999</v>
      </c>
      <c r="Q2198">
        <v>0.3690812</v>
      </c>
      <c r="R2198">
        <v>-0.88425429999999905</v>
      </c>
      <c r="S2198">
        <v>-8.6395260000000001E-2</v>
      </c>
      <c r="T2198">
        <v>-0.18455240000000001</v>
      </c>
      <c r="U2198">
        <v>-3.456299</v>
      </c>
      <c r="V2198">
        <v>-0.2178609</v>
      </c>
      <c r="W2198">
        <v>0.37620300000000001</v>
      </c>
      <c r="X2198">
        <v>0.90055980000000002</v>
      </c>
      <c r="Y2198">
        <v>-0.494531</v>
      </c>
      <c r="Z2198">
        <v>2.6596560000000002E-2</v>
      </c>
      <c r="AA2198">
        <v>0.868753</v>
      </c>
      <c r="AB2198">
        <v>24</v>
      </c>
      <c r="AC2198">
        <v>9.6599999999966699E-2</v>
      </c>
      <c r="AD2198">
        <v>-4.6680999999999903E-2</v>
      </c>
      <c r="AE2198">
        <v>-0.65940000000000498</v>
      </c>
      <c r="AF2198">
        <v>-0.42113375059605401</v>
      </c>
      <c r="AG2198">
        <v>-4.6680999999999903E-2</v>
      </c>
      <c r="AH2198">
        <v>0.51230842145948796</v>
      </c>
      <c r="AI2198">
        <v>94.026361427238996</v>
      </c>
      <c r="AJ2198">
        <v>129.421287779284</v>
      </c>
      <c r="AK2198">
        <v>0.66482529310369398</v>
      </c>
      <c r="AL2198">
        <v>67.901315148962496</v>
      </c>
      <c r="AM2198">
        <v>103.59955253602899</v>
      </c>
      <c r="AN2198">
        <v>1.0000000111669201</v>
      </c>
    </row>
    <row r="2199" spans="1:40" x14ac:dyDescent="0.25">
      <c r="A2199" t="str">
        <f>"20190304164642977"</f>
        <v>20190304164642977</v>
      </c>
      <c r="B2199" t="str">
        <f>"1551689202970030"</f>
        <v>1551689202970030</v>
      </c>
      <c r="C2199" t="s">
        <v>40</v>
      </c>
      <c r="D2199">
        <v>4.1259160000000001</v>
      </c>
      <c r="E2199">
        <v>0.37804009999999999</v>
      </c>
      <c r="F2199" t="s">
        <v>41</v>
      </c>
      <c r="G2199">
        <v>-488.91199999999998</v>
      </c>
      <c r="H2199">
        <v>1.0576970000000001</v>
      </c>
      <c r="I2199">
        <v>272.2835</v>
      </c>
      <c r="J2199">
        <v>-489.01010000000002</v>
      </c>
      <c r="K2199">
        <v>1.117626</v>
      </c>
      <c r="L2199">
        <v>273.12329999999997</v>
      </c>
      <c r="M2199">
        <v>-0.50690069999999998</v>
      </c>
      <c r="N2199">
        <v>-1.175435E-2</v>
      </c>
      <c r="O2199">
        <v>-0.86192429999999998</v>
      </c>
      <c r="P2199">
        <v>-0.27548630000000002</v>
      </c>
      <c r="Q2199">
        <v>0.36828179999999999</v>
      </c>
      <c r="R2199">
        <v>-0.88796189999999997</v>
      </c>
      <c r="S2199">
        <v>-6.0089110000000001E-2</v>
      </c>
      <c r="T2199">
        <v>-0.19600239999999999</v>
      </c>
      <c r="U2199">
        <v>-3.4551090000000002</v>
      </c>
      <c r="V2199">
        <v>-0.21895000000000001</v>
      </c>
      <c r="W2199">
        <v>0.37530380000000002</v>
      </c>
      <c r="X2199">
        <v>0.90067079999999999</v>
      </c>
      <c r="Y2199">
        <v>-0.4916121</v>
      </c>
      <c r="Z2199">
        <v>2.9591280000000001E-2</v>
      </c>
      <c r="AA2199">
        <v>0.87031139999999996</v>
      </c>
      <c r="AB2199">
        <v>24</v>
      </c>
      <c r="AC2199">
        <v>9.8100000000044901E-2</v>
      </c>
      <c r="AD2199">
        <v>-5.99290000000001E-2</v>
      </c>
      <c r="AE2199">
        <v>-0.83979999999996802</v>
      </c>
      <c r="AF2199">
        <v>-0.507734459439799</v>
      </c>
      <c r="AG2199">
        <v>-5.99290000000001E-2</v>
      </c>
      <c r="AH2199">
        <v>0.67079368474463297</v>
      </c>
      <c r="AI2199">
        <v>94.074592116286496</v>
      </c>
      <c r="AJ2199">
        <v>127.12266105661</v>
      </c>
      <c r="AK2199">
        <v>0.84341563528126995</v>
      </c>
      <c r="AL2199">
        <v>67.956908470850607</v>
      </c>
      <c r="AM2199">
        <v>103.663373628877</v>
      </c>
      <c r="AN2199">
        <v>0.99999996738353902</v>
      </c>
    </row>
    <row r="2200" spans="1:40" x14ac:dyDescent="0.25">
      <c r="A2200" t="str">
        <f>"20190304164643000"</f>
        <v>20190304164643000</v>
      </c>
      <c r="B2200" t="str">
        <f>"1551689202990529"</f>
        <v>1551689202990529</v>
      </c>
      <c r="C2200" t="s">
        <v>40</v>
      </c>
      <c r="D2200">
        <v>4.1177799999999998</v>
      </c>
      <c r="E2200">
        <v>0.37911509999999998</v>
      </c>
      <c r="F2200" t="s">
        <v>41</v>
      </c>
      <c r="G2200">
        <v>-489.01900000000001</v>
      </c>
      <c r="H2200">
        <v>1.058514</v>
      </c>
      <c r="I2200">
        <v>272.10070000000002</v>
      </c>
      <c r="J2200">
        <v>-489.11950000000002</v>
      </c>
      <c r="K2200">
        <v>1.1175630000000001</v>
      </c>
      <c r="L2200">
        <v>272.91449999999998</v>
      </c>
      <c r="M2200">
        <v>-0.49793520000000002</v>
      </c>
      <c r="N2200">
        <v>-1.1648189999999999E-2</v>
      </c>
      <c r="O2200">
        <v>-0.86713609999999897</v>
      </c>
      <c r="P2200">
        <v>-0.2658317</v>
      </c>
      <c r="Q2200">
        <v>0.36713839999999998</v>
      </c>
      <c r="R2200">
        <v>-0.89137169999999899</v>
      </c>
      <c r="S2200">
        <v>-3.0029299999999998E-2</v>
      </c>
      <c r="T2200">
        <v>-0.19957469999999999</v>
      </c>
      <c r="U2200">
        <v>-3.4519959999999998</v>
      </c>
      <c r="V2200">
        <v>-0.2195618</v>
      </c>
      <c r="W2200">
        <v>0.37408049999999998</v>
      </c>
      <c r="X2200">
        <v>0.90103080000000002</v>
      </c>
      <c r="Y2200">
        <v>-0.49014400000000002</v>
      </c>
      <c r="Z2200">
        <v>3.0924529999999999E-2</v>
      </c>
      <c r="AA2200">
        <v>0.87109269999999905</v>
      </c>
      <c r="AB2200">
        <v>24</v>
      </c>
      <c r="AC2200">
        <v>0.10050000000001</v>
      </c>
      <c r="AD2200">
        <v>-5.90489999999999E-2</v>
      </c>
      <c r="AE2200">
        <v>-0.813799999999957</v>
      </c>
      <c r="AF2200">
        <v>-0.489859891458858</v>
      </c>
      <c r="AG2200">
        <v>-5.90489999999999E-2</v>
      </c>
      <c r="AH2200">
        <v>0.652294627180666</v>
      </c>
      <c r="AI2200">
        <v>94.140190538582004</v>
      </c>
      <c r="AJ2200">
        <v>126.905798255305</v>
      </c>
      <c r="AK2200">
        <v>0.81788616464019603</v>
      </c>
      <c r="AL2200">
        <v>68.032507712942603</v>
      </c>
      <c r="AM2200">
        <v>103.694848014768</v>
      </c>
      <c r="AN2200">
        <v>1.0000000535240601</v>
      </c>
    </row>
    <row r="2201" spans="1:40" x14ac:dyDescent="0.25">
      <c r="A2201" t="str">
        <f>"20190304164643022"</f>
        <v>20190304164643022</v>
      </c>
      <c r="B2201" t="str">
        <f>"1551689203010046"</f>
        <v>1551689203010046</v>
      </c>
      <c r="C2201" t="s">
        <v>40</v>
      </c>
      <c r="D2201">
        <v>4.1414220000000004</v>
      </c>
      <c r="E2201">
        <v>0.38034010000000001</v>
      </c>
      <c r="F2201" t="s">
        <v>41</v>
      </c>
      <c r="G2201">
        <v>-489.12049999999999</v>
      </c>
      <c r="H2201">
        <v>1.057585</v>
      </c>
      <c r="I2201">
        <v>271.9153</v>
      </c>
      <c r="J2201">
        <v>-489.23059999999998</v>
      </c>
      <c r="K2201">
        <v>1.117497</v>
      </c>
      <c r="L2201">
        <v>272.69740000000002</v>
      </c>
      <c r="M2201">
        <v>-0.4886877</v>
      </c>
      <c r="N2201">
        <v>-1.15402E-2</v>
      </c>
      <c r="O2201">
        <v>-0.87238280000000001</v>
      </c>
      <c r="P2201">
        <v>-0.25691520000000001</v>
      </c>
      <c r="Q2201">
        <v>0.36531770000000002</v>
      </c>
      <c r="R2201">
        <v>-0.89472790000000002</v>
      </c>
      <c r="S2201">
        <v>-1.953125E-3</v>
      </c>
      <c r="T2201">
        <v>-0.20698</v>
      </c>
      <c r="U2201">
        <v>-3.4502259999999998</v>
      </c>
      <c r="V2201">
        <v>-0.2192673</v>
      </c>
      <c r="W2201">
        <v>0.37220120000000001</v>
      </c>
      <c r="X2201">
        <v>0.90188029999999997</v>
      </c>
      <c r="Y2201">
        <v>-0.487954</v>
      </c>
      <c r="Z2201">
        <v>3.3103929999999997E-2</v>
      </c>
      <c r="AA2201">
        <v>0.87224139999999994</v>
      </c>
      <c r="AB2201">
        <v>24</v>
      </c>
      <c r="AC2201">
        <v>0.110099999999988</v>
      </c>
      <c r="AD2201">
        <v>-5.9911999999999903E-2</v>
      </c>
      <c r="AE2201">
        <v>-0.78210000000001401</v>
      </c>
      <c r="AF2201">
        <v>-0.47554733650574199</v>
      </c>
      <c r="AG2201">
        <v>-5.9911999999999903E-2</v>
      </c>
      <c r="AH2201">
        <v>0.62493179294887302</v>
      </c>
      <c r="AI2201">
        <v>94.362789493369206</v>
      </c>
      <c r="AJ2201">
        <v>127.269639280986</v>
      </c>
      <c r="AK2201">
        <v>0.78757505219502699</v>
      </c>
      <c r="AL2201">
        <v>68.148564322451804</v>
      </c>
      <c r="AM2201">
        <v>103.664769738337</v>
      </c>
      <c r="AN2201">
        <v>0.99999997882940905</v>
      </c>
    </row>
    <row r="2202" spans="1:40" x14ac:dyDescent="0.25">
      <c r="A2202" t="str">
        <f>"20190304164643046"</f>
        <v>20190304164643046</v>
      </c>
      <c r="B2202" t="str">
        <f>"1551689203040302"</f>
        <v>1551689203040302</v>
      </c>
      <c r="C2202" t="s">
        <v>40</v>
      </c>
      <c r="D2202">
        <v>4.141006</v>
      </c>
      <c r="E2202">
        <v>0.3963042</v>
      </c>
      <c r="F2202" t="s">
        <v>41</v>
      </c>
      <c r="G2202">
        <v>-489.22320000000002</v>
      </c>
      <c r="H2202">
        <v>1.0579510000000001</v>
      </c>
      <c r="I2202">
        <v>271.7294</v>
      </c>
      <c r="J2202">
        <v>-489.33550000000002</v>
      </c>
      <c r="K2202">
        <v>1.1174329999999999</v>
      </c>
      <c r="L2202">
        <v>272.4873</v>
      </c>
      <c r="M2202">
        <v>-0.47983199999999998</v>
      </c>
      <c r="N2202">
        <v>-1.1436200000000001E-2</v>
      </c>
      <c r="O2202">
        <v>-0.87728600000000001</v>
      </c>
      <c r="P2202">
        <v>-0.24901770000000001</v>
      </c>
      <c r="Q2202">
        <v>0.3649057</v>
      </c>
      <c r="R2202">
        <v>-0.89712579999999997</v>
      </c>
      <c r="S2202">
        <v>2.5787350000000001E-2</v>
      </c>
      <c r="T2202">
        <v>-0.21205779999999999</v>
      </c>
      <c r="U2202">
        <v>-3.4469599999999998</v>
      </c>
      <c r="V2202">
        <v>-0.218108</v>
      </c>
      <c r="W2202">
        <v>0.37174620000000003</v>
      </c>
      <c r="X2202">
        <v>0.90234899999999996</v>
      </c>
      <c r="Y2202">
        <v>-0.4861336</v>
      </c>
      <c r="Z2202">
        <v>3.4793440000000002E-2</v>
      </c>
      <c r="AA2202">
        <v>0.87319159999999996</v>
      </c>
      <c r="AB2202">
        <v>24</v>
      </c>
      <c r="AC2202">
        <v>0.11230000000000399</v>
      </c>
      <c r="AD2202">
        <v>-5.9481999999999799E-2</v>
      </c>
      <c r="AE2202">
        <v>-0.75790000000000601</v>
      </c>
      <c r="AF2202">
        <v>-0.45944489152614798</v>
      </c>
      <c r="AG2202">
        <v>-5.9481999999999799E-2</v>
      </c>
      <c r="AH2202">
        <v>0.607388952298067</v>
      </c>
      <c r="AI2202">
        <v>94.465903652529406</v>
      </c>
      <c r="AJ2202">
        <v>127.104814415571</v>
      </c>
      <c r="AK2202">
        <v>0.76390382643839205</v>
      </c>
      <c r="AL2202">
        <v>68.176650293790104</v>
      </c>
      <c r="AM2202">
        <v>103.588410381655</v>
      </c>
      <c r="AN2202">
        <v>1.0000000273397101</v>
      </c>
    </row>
    <row r="2203" spans="1:40" x14ac:dyDescent="0.25">
      <c r="A2203" t="str">
        <f>"20190304164643067"</f>
        <v>20190304164643067</v>
      </c>
      <c r="B2203" t="str">
        <f>"1551689203060798"</f>
        <v>1551689203060798</v>
      </c>
      <c r="C2203" t="s">
        <v>40</v>
      </c>
      <c r="D2203">
        <v>4.1409739999999999</v>
      </c>
      <c r="E2203">
        <v>0.39786300000000002</v>
      </c>
      <c r="F2203" t="s">
        <v>41</v>
      </c>
      <c r="G2203">
        <v>-489.35390000000001</v>
      </c>
      <c r="H2203">
        <v>1.05714</v>
      </c>
      <c r="I2203">
        <v>271.55070000000001</v>
      </c>
      <c r="J2203">
        <v>-489.44380000000001</v>
      </c>
      <c r="K2203">
        <v>1.117354</v>
      </c>
      <c r="L2203">
        <v>272.26519999999999</v>
      </c>
      <c r="M2203">
        <v>-0.47058100000000003</v>
      </c>
      <c r="N2203">
        <v>-1.1331000000000001E-2</v>
      </c>
      <c r="O2203">
        <v>-0.88228410000000002</v>
      </c>
      <c r="P2203">
        <v>-0.2410977</v>
      </c>
      <c r="Q2203">
        <v>0.36505009999999999</v>
      </c>
      <c r="R2203">
        <v>-0.89922769999999996</v>
      </c>
      <c r="S2203">
        <v>-6.6040039999999994E-2</v>
      </c>
      <c r="T2203">
        <v>-0.21977669999999999</v>
      </c>
      <c r="U2203">
        <v>-3.4150999999999998</v>
      </c>
      <c r="V2203">
        <v>-0.21648719999999999</v>
      </c>
      <c r="W2203">
        <v>0.37185639999999998</v>
      </c>
      <c r="X2203">
        <v>0.90269379999999999</v>
      </c>
      <c r="Y2203">
        <v>-0.45321889999999998</v>
      </c>
      <c r="Z2203">
        <v>3.8164150000000001E-2</v>
      </c>
      <c r="AA2203">
        <v>0.89058189999999904</v>
      </c>
      <c r="AB2203">
        <v>24</v>
      </c>
      <c r="AC2203">
        <v>8.9899999999999994E-2</v>
      </c>
      <c r="AD2203">
        <v>-6.0214000000000198E-2</v>
      </c>
      <c r="AE2203">
        <v>-0.71449999999998604</v>
      </c>
      <c r="AF2203">
        <v>-0.41268881847404798</v>
      </c>
      <c r="AG2203">
        <v>-6.0214000000000198E-2</v>
      </c>
      <c r="AH2203">
        <v>0.58404117344568296</v>
      </c>
      <c r="AI2203">
        <v>94.8129317988125</v>
      </c>
      <c r="AJ2203">
        <v>125.24537589128801</v>
      </c>
      <c r="AK2203">
        <v>0.71766418258773101</v>
      </c>
      <c r="AL2203">
        <v>68.169847927466293</v>
      </c>
      <c r="AM2203">
        <v>103.48617176801</v>
      </c>
      <c r="AN2203">
        <v>0.99999999327161904</v>
      </c>
    </row>
    <row r="2204" spans="1:40" x14ac:dyDescent="0.25">
      <c r="A2204" t="str">
        <f>"20190304164643089"</f>
        <v>20190304164643089</v>
      </c>
      <c r="B2204" t="str">
        <f>"1551689203080332"</f>
        <v>1551689203080332</v>
      </c>
      <c r="C2204" t="s">
        <v>40</v>
      </c>
      <c r="D2204">
        <v>4.1597089999999897</v>
      </c>
      <c r="E2204">
        <v>0.40017170000000002</v>
      </c>
      <c r="F2204" t="s">
        <v>41</v>
      </c>
      <c r="G2204">
        <v>-489.45620000000002</v>
      </c>
      <c r="H2204">
        <v>1.056916</v>
      </c>
      <c r="I2204">
        <v>271.3193</v>
      </c>
      <c r="J2204">
        <v>-489.54219999999998</v>
      </c>
      <c r="K2204">
        <v>1.1172789999999999</v>
      </c>
      <c r="L2204">
        <v>272.05810000000002</v>
      </c>
      <c r="M2204">
        <v>-0.46206160000000002</v>
      </c>
      <c r="N2204">
        <v>-1.124093E-2</v>
      </c>
      <c r="O2204">
        <v>-0.88677680000000003</v>
      </c>
      <c r="P2204">
        <v>-0.23442250000000001</v>
      </c>
      <c r="Q2204">
        <v>0.36619479999999999</v>
      </c>
      <c r="R2204">
        <v>-0.90052659999999995</v>
      </c>
      <c r="S2204">
        <v>-4.4342039999999999E-2</v>
      </c>
      <c r="T2204">
        <v>-0.21802849999999999</v>
      </c>
      <c r="U2204">
        <v>-3.412811</v>
      </c>
      <c r="V2204">
        <v>-0.2142249</v>
      </c>
      <c r="W2204">
        <v>0.37298710000000002</v>
      </c>
      <c r="X2204">
        <v>0.90276710000000004</v>
      </c>
      <c r="Y2204">
        <v>-0.45028760000000001</v>
      </c>
      <c r="Z2204">
        <v>3.8348510000000002E-2</v>
      </c>
      <c r="AA2204">
        <v>0.89205970000000001</v>
      </c>
      <c r="AB2204">
        <v>24</v>
      </c>
      <c r="AC2204">
        <v>8.5999999999955806E-2</v>
      </c>
      <c r="AD2204">
        <v>-6.0363000000000097E-2</v>
      </c>
      <c r="AE2204">
        <v>-0.73880000000002599</v>
      </c>
      <c r="AF2204">
        <v>-0.41492738186157102</v>
      </c>
      <c r="AG2204">
        <v>-6.0363000000000097E-2</v>
      </c>
      <c r="AH2204">
        <v>0.61142513252873798</v>
      </c>
      <c r="AI2204">
        <v>94.670159180268499</v>
      </c>
      <c r="AJ2204">
        <v>124.161732095335</v>
      </c>
      <c r="AK2204">
        <v>0.74138324547785905</v>
      </c>
      <c r="AL2204">
        <v>68.100043548397494</v>
      </c>
      <c r="AM2204">
        <v>103.34926654229</v>
      </c>
      <c r="AN2204">
        <v>1.0000000606944099</v>
      </c>
    </row>
    <row r="2205" spans="1:40" x14ac:dyDescent="0.25">
      <c r="A2205" t="str">
        <f>"20190304164643111"</f>
        <v>20190304164643111</v>
      </c>
      <c r="B2205" t="str">
        <f>"1551689203100814"</f>
        <v>1551689203100814</v>
      </c>
      <c r="C2205" t="s">
        <v>40</v>
      </c>
      <c r="D2205">
        <v>4.1577869999999999</v>
      </c>
      <c r="E2205">
        <v>0.40176479999999998</v>
      </c>
      <c r="F2205" t="s">
        <v>41</v>
      </c>
      <c r="G2205">
        <v>-489.55200000000002</v>
      </c>
      <c r="H2205">
        <v>1.0546450000000001</v>
      </c>
      <c r="I2205">
        <v>271.08159999999998</v>
      </c>
      <c r="J2205">
        <v>-489.64069999999998</v>
      </c>
      <c r="K2205">
        <v>1.1172169999999999</v>
      </c>
      <c r="L2205">
        <v>271.84609999999998</v>
      </c>
      <c r="M2205">
        <v>-0.45343820000000001</v>
      </c>
      <c r="N2205">
        <v>-1.1157250000000001E-2</v>
      </c>
      <c r="O2205">
        <v>-0.89121799999999995</v>
      </c>
      <c r="P2205">
        <v>-0.22723090000000001</v>
      </c>
      <c r="Q2205">
        <v>0.36706749999999999</v>
      </c>
      <c r="R2205">
        <v>-0.90201339999999997</v>
      </c>
      <c r="S2205">
        <v>-3.3477779999999999E-2</v>
      </c>
      <c r="T2205">
        <v>-0.2187895</v>
      </c>
      <c r="U2205">
        <v>-3.4116209999999998</v>
      </c>
      <c r="V2205">
        <v>-0.21245849999999999</v>
      </c>
      <c r="W2205">
        <v>0.37384430000000002</v>
      </c>
      <c r="X2205">
        <v>0.90282989999999996</v>
      </c>
      <c r="Y2205">
        <v>-0.44446020000000003</v>
      </c>
      <c r="Z2205">
        <v>3.91291E-2</v>
      </c>
      <c r="AA2205">
        <v>0.89494359999999995</v>
      </c>
      <c r="AB2205">
        <v>24</v>
      </c>
      <c r="AC2205">
        <v>8.8700000000017099E-2</v>
      </c>
      <c r="AD2205">
        <v>-6.2571999999999794E-2</v>
      </c>
      <c r="AE2205">
        <v>-0.76449999999999796</v>
      </c>
      <c r="AF2205">
        <v>-0.42293541534619</v>
      </c>
      <c r="AG2205">
        <v>-6.2571999999999794E-2</v>
      </c>
      <c r="AH2205">
        <v>0.63694585664822601</v>
      </c>
      <c r="AI2205">
        <v>94.678600896576896</v>
      </c>
      <c r="AJ2205">
        <v>123.584370644825</v>
      </c>
      <c r="AK2205">
        <v>0.76713078744070495</v>
      </c>
      <c r="AL2205">
        <v>68.047098515345496</v>
      </c>
      <c r="AM2205">
        <v>103.242199743722</v>
      </c>
      <c r="AN2205">
        <v>1.00000000159937</v>
      </c>
    </row>
    <row r="2206" spans="1:40" x14ac:dyDescent="0.25">
      <c r="A2206" t="str">
        <f>"20190304164643133"</f>
        <v>20190304164643133</v>
      </c>
      <c r="B2206" t="str">
        <f>"1551689203130094"</f>
        <v>1551689203130094</v>
      </c>
      <c r="C2206" t="s">
        <v>40</v>
      </c>
      <c r="D2206">
        <v>4.1626310000000002</v>
      </c>
      <c r="E2206">
        <v>0.4035956</v>
      </c>
      <c r="F2206" t="s">
        <v>42</v>
      </c>
      <c r="G2206">
        <v>-489.72730000000001</v>
      </c>
      <c r="H2206" s="1">
        <v>-2.166578E-6</v>
      </c>
      <c r="I2206">
        <v>254.5703</v>
      </c>
      <c r="J2206">
        <v>-489.74290000000002</v>
      </c>
      <c r="K2206">
        <v>1.1171519999999999</v>
      </c>
      <c r="L2206">
        <v>271.62090000000001</v>
      </c>
      <c r="M2206">
        <v>-0.44437539999999998</v>
      </c>
      <c r="N2206">
        <v>-1.107738E-2</v>
      </c>
      <c r="O2206">
        <v>-0.89577229999999997</v>
      </c>
      <c r="P2206">
        <v>-0.2191748</v>
      </c>
      <c r="Q2206">
        <v>0.36805120000000002</v>
      </c>
      <c r="R2206">
        <v>-0.90360459999999998</v>
      </c>
      <c r="S2206">
        <v>-1.7089839999999999E-2</v>
      </c>
      <c r="T2206">
        <v>-0.22061459999999999</v>
      </c>
      <c r="U2206">
        <v>-3.4114070000000001</v>
      </c>
      <c r="V2206">
        <v>-0.2111304</v>
      </c>
      <c r="W2206">
        <v>0.37480639999999998</v>
      </c>
      <c r="X2206">
        <v>0.90274259999999995</v>
      </c>
      <c r="Y2206">
        <v>-0.43967099999999998</v>
      </c>
      <c r="Z2206">
        <v>4.0129940000000003E-2</v>
      </c>
      <c r="AA2206">
        <v>0.897262</v>
      </c>
      <c r="AB2206">
        <v>24</v>
      </c>
      <c r="AC2206">
        <v>1.5600000000006199E-2</v>
      </c>
      <c r="AD2206">
        <v>-1.117154166578</v>
      </c>
      <c r="AE2206">
        <v>-17.050599999999999</v>
      </c>
      <c r="AF2206">
        <v>-7.5588570883792103</v>
      </c>
      <c r="AG2206">
        <v>-1.117154166578</v>
      </c>
      <c r="AH2206">
        <v>15.202197135859301</v>
      </c>
      <c r="AI2206">
        <v>93.764702299823</v>
      </c>
      <c r="AJ2206">
        <v>116.437546054802</v>
      </c>
      <c r="AK2206">
        <v>17.0144395050783</v>
      </c>
      <c r="AL2206">
        <v>67.987653302874193</v>
      </c>
      <c r="AM2206">
        <v>103.163540266269</v>
      </c>
      <c r="AN2206">
        <v>1.00000004256993</v>
      </c>
    </row>
    <row r="2207" spans="1:40" x14ac:dyDescent="0.25">
      <c r="A2207" t="str">
        <f>"20190304164643157"</f>
        <v>20190304164643157</v>
      </c>
      <c r="B2207" t="str">
        <f>"1551689203150590"</f>
        <v>1551689203150590</v>
      </c>
      <c r="C2207" t="s">
        <v>40</v>
      </c>
      <c r="D2207">
        <v>4.1521359999999996</v>
      </c>
      <c r="E2207">
        <v>0.41336650000000003</v>
      </c>
      <c r="F2207" t="s">
        <v>42</v>
      </c>
      <c r="G2207">
        <v>-489.73820000000001</v>
      </c>
      <c r="H2207" s="1">
        <v>-2.0528500000000002E-6</v>
      </c>
      <c r="I2207">
        <v>254.3098</v>
      </c>
      <c r="J2207">
        <v>-489.84449999999998</v>
      </c>
      <c r="K2207">
        <v>1.117105</v>
      </c>
      <c r="L2207">
        <v>271.39030000000002</v>
      </c>
      <c r="M2207">
        <v>-0.4352104</v>
      </c>
      <c r="N2207">
        <v>-1.100519E-2</v>
      </c>
      <c r="O2207">
        <v>-0.90026149999999905</v>
      </c>
      <c r="P2207">
        <v>-0.21107319999999999</v>
      </c>
      <c r="Q2207">
        <v>0.36950189999999999</v>
      </c>
      <c r="R2207">
        <v>-0.90494019999999997</v>
      </c>
      <c r="S2207">
        <v>9.1552729999999996E-4</v>
      </c>
      <c r="T2207">
        <v>-0.22005620000000001</v>
      </c>
      <c r="U2207">
        <v>-3.4099430000000002</v>
      </c>
      <c r="V2207">
        <v>-0.2097127</v>
      </c>
      <c r="W2207">
        <v>0.37623830000000003</v>
      </c>
      <c r="X2207">
        <v>0.90247730000000004</v>
      </c>
      <c r="Y2207">
        <v>-0.43524190000000001</v>
      </c>
      <c r="Z2207">
        <v>4.058001E-2</v>
      </c>
      <c r="AA2207">
        <v>0.89939859999999905</v>
      </c>
      <c r="AB2207">
        <v>24</v>
      </c>
      <c r="AC2207">
        <v>0.106299999999976</v>
      </c>
      <c r="AD2207">
        <v>-1.11710705285</v>
      </c>
      <c r="AE2207">
        <v>-17.080500000000001</v>
      </c>
      <c r="AF2207">
        <v>-7.4976950926800798</v>
      </c>
      <c r="AG2207">
        <v>-1.11710705285</v>
      </c>
      <c r="AH2207">
        <v>15.266283582510701</v>
      </c>
      <c r="AI2207">
        <v>93.757843948140803</v>
      </c>
      <c r="AJ2207">
        <v>116.15693445802199</v>
      </c>
      <c r="AK2207">
        <v>17.044728636501102</v>
      </c>
      <c r="AL2207">
        <v>67.899131410194599</v>
      </c>
      <c r="AM2207">
        <v>103.081910060925</v>
      </c>
      <c r="AN2207">
        <v>0.99999997597173396</v>
      </c>
    </row>
    <row r="2208" spans="1:40" x14ac:dyDescent="0.25">
      <c r="A2208" t="str">
        <f>"20190304164643178"</f>
        <v>20190304164643178</v>
      </c>
      <c r="B2208" t="str">
        <f>"1551689203170110"</f>
        <v>1551689203170110</v>
      </c>
      <c r="C2208" t="s">
        <v>40</v>
      </c>
      <c r="D2208">
        <v>4.1649180000000001</v>
      </c>
      <c r="E2208">
        <v>0.41159459999999998</v>
      </c>
      <c r="F2208" t="s">
        <v>41</v>
      </c>
      <c r="G2208">
        <v>-489.85759999999999</v>
      </c>
      <c r="H2208">
        <v>1.045885</v>
      </c>
      <c r="I2208">
        <v>270.3526</v>
      </c>
      <c r="J2208">
        <v>-489.93889999999999</v>
      </c>
      <c r="K2208">
        <v>1.117067</v>
      </c>
      <c r="L2208">
        <v>271.1705</v>
      </c>
      <c r="M2208">
        <v>-0.42656240000000001</v>
      </c>
      <c r="N2208">
        <v>-1.0944519999999999E-2</v>
      </c>
      <c r="O2208">
        <v>-0.90439210000000003</v>
      </c>
      <c r="P2208">
        <v>-0.20290330000000001</v>
      </c>
      <c r="Q2208">
        <v>0.37054350000000003</v>
      </c>
      <c r="R2208">
        <v>-0.90638200000000002</v>
      </c>
      <c r="S2208">
        <v>-4.2602540000000001E-2</v>
      </c>
      <c r="T2208">
        <v>-0.2333674</v>
      </c>
      <c r="U2208">
        <v>-3.4004819999999998</v>
      </c>
      <c r="V2208">
        <v>-0.2089954</v>
      </c>
      <c r="W2208">
        <v>0.37725379999999997</v>
      </c>
      <c r="X2208">
        <v>0.90221980000000002</v>
      </c>
      <c r="Y2208">
        <v>-0.41500169999999997</v>
      </c>
      <c r="Z2208">
        <v>4.4688579999999999E-2</v>
      </c>
      <c r="AA2208">
        <v>0.90872249999999999</v>
      </c>
      <c r="AB2208">
        <v>25</v>
      </c>
      <c r="AC2208">
        <v>8.1299999999998804E-2</v>
      </c>
      <c r="AD2208">
        <v>-7.1181999999999995E-2</v>
      </c>
      <c r="AE2208">
        <v>-0.81790000000000795</v>
      </c>
      <c r="AF2208">
        <v>-0.41929293525696198</v>
      </c>
      <c r="AG2208">
        <v>-7.1181999999999995E-2</v>
      </c>
      <c r="AH2208">
        <v>0.69981615993924595</v>
      </c>
      <c r="AI2208">
        <v>94.986596655628702</v>
      </c>
      <c r="AJ2208">
        <v>120.927817751614</v>
      </c>
      <c r="AK2208">
        <v>0.81891153392323901</v>
      </c>
      <c r="AL2208">
        <v>67.836320760026595</v>
      </c>
      <c r="AM2208">
        <v>103.04229029225699</v>
      </c>
      <c r="AN2208">
        <v>1.00000003717381</v>
      </c>
    </row>
    <row r="2209" spans="1:40" x14ac:dyDescent="0.25">
      <c r="A2209" t="str">
        <f>"20190304164643201"</f>
        <v>20190304164643201</v>
      </c>
      <c r="B2209" t="str">
        <f>"1551689203190609"</f>
        <v>1551689203190609</v>
      </c>
      <c r="C2209" t="s">
        <v>40</v>
      </c>
      <c r="D2209">
        <v>4.1747540000000001</v>
      </c>
      <c r="E2209">
        <v>0.41302509999999998</v>
      </c>
      <c r="F2209" t="s">
        <v>41</v>
      </c>
      <c r="G2209">
        <v>-489.93759999999997</v>
      </c>
      <c r="H2209">
        <v>1.0606089999999999</v>
      </c>
      <c r="I2209">
        <v>270.14089999999999</v>
      </c>
      <c r="J2209">
        <v>-490.029</v>
      </c>
      <c r="K2209">
        <v>1.117035</v>
      </c>
      <c r="L2209">
        <v>270.95569999999998</v>
      </c>
      <c r="M2209">
        <v>-0.41817359999999998</v>
      </c>
      <c r="N2209">
        <v>-1.0892570000000001E-2</v>
      </c>
      <c r="O2209">
        <v>-0.90830180000000005</v>
      </c>
      <c r="P2209">
        <v>-0.19476350000000001</v>
      </c>
      <c r="Q2209">
        <v>0.37072680000000002</v>
      </c>
      <c r="R2209">
        <v>-0.90809079999999998</v>
      </c>
      <c r="S2209">
        <v>4.5471189999999996E-3</v>
      </c>
      <c r="T2209">
        <v>-0.18572089999999999</v>
      </c>
      <c r="U2209">
        <v>-3.3868100000000001</v>
      </c>
      <c r="V2209">
        <v>-0.20868120000000001</v>
      </c>
      <c r="W2209">
        <v>0.37740970000000001</v>
      </c>
      <c r="X2209">
        <v>0.90222729999999995</v>
      </c>
      <c r="Y2209">
        <v>-0.41923050000000001</v>
      </c>
      <c r="Z2209">
        <v>3.3825889999999997E-2</v>
      </c>
      <c r="AA2209">
        <v>0.90724950000000004</v>
      </c>
      <c r="AB2209">
        <v>25</v>
      </c>
      <c r="AC2209">
        <v>9.1400000000021395E-2</v>
      </c>
      <c r="AD2209">
        <v>-5.6425999999999997E-2</v>
      </c>
      <c r="AE2209">
        <v>-0.81479999999999098</v>
      </c>
      <c r="AF2209">
        <v>-0.42177419387121201</v>
      </c>
      <c r="AG2209">
        <v>-5.6425999999999997E-2</v>
      </c>
      <c r="AH2209">
        <v>0.69859623293155904</v>
      </c>
      <c r="AI2209">
        <v>93.955458604119301</v>
      </c>
      <c r="AJ2209">
        <v>121.12128262560699</v>
      </c>
      <c r="AK2209">
        <v>0.81799392464606702</v>
      </c>
      <c r="AL2209">
        <v>67.826674773859494</v>
      </c>
      <c r="AM2209">
        <v>103.02324706042999</v>
      </c>
      <c r="AN2209">
        <v>1.0000000128764099</v>
      </c>
    </row>
    <row r="2210" spans="1:40" x14ac:dyDescent="0.25">
      <c r="A2210" t="str">
        <f>"20190304164643223"</f>
        <v>20190304164643223</v>
      </c>
      <c r="B2210" t="str">
        <f>"1551689203220862"</f>
        <v>1551689203220862</v>
      </c>
      <c r="C2210" t="s">
        <v>40</v>
      </c>
      <c r="D2210">
        <v>4.2165739999999996</v>
      </c>
      <c r="E2210">
        <v>0.42106650000000001</v>
      </c>
      <c r="F2210" t="s">
        <v>41</v>
      </c>
      <c r="G2210">
        <v>-490.02269999999999</v>
      </c>
      <c r="H2210">
        <v>1.057318</v>
      </c>
      <c r="I2210">
        <v>269.89550000000003</v>
      </c>
      <c r="J2210">
        <v>-490.12310000000002</v>
      </c>
      <c r="K2210">
        <v>1.116997</v>
      </c>
      <c r="L2210">
        <v>270.7253</v>
      </c>
      <c r="M2210">
        <v>-0.40924949999999999</v>
      </c>
      <c r="N2210">
        <v>-1.084356E-2</v>
      </c>
      <c r="O2210">
        <v>-0.91235809999999995</v>
      </c>
      <c r="P2210">
        <v>-0.18607299999999999</v>
      </c>
      <c r="Q2210">
        <v>0.37072769999999999</v>
      </c>
      <c r="R2210">
        <v>-0.90991069999999996</v>
      </c>
      <c r="S2210">
        <v>2.1026610000000001E-2</v>
      </c>
      <c r="T2210">
        <v>-0.19067500000000001</v>
      </c>
      <c r="U2210">
        <v>-3.3859859999999999</v>
      </c>
      <c r="V2210">
        <v>-0.2084348</v>
      </c>
      <c r="W2210">
        <v>0.37738500000000003</v>
      </c>
      <c r="X2210">
        <v>0.90229459999999995</v>
      </c>
      <c r="Y2210">
        <v>-0.4147401</v>
      </c>
      <c r="Z2210">
        <v>3.5461529999999998E-2</v>
      </c>
      <c r="AA2210">
        <v>0.90924870000000002</v>
      </c>
      <c r="AB2210">
        <v>25</v>
      </c>
      <c r="AC2210">
        <v>0.100400000000036</v>
      </c>
      <c r="AD2210">
        <v>-5.9679000000000003E-2</v>
      </c>
      <c r="AE2210">
        <v>-0.829799999999977</v>
      </c>
      <c r="AF2210">
        <v>-0.42903419358853601</v>
      </c>
      <c r="AG2210">
        <v>-5.9679000000000003E-2</v>
      </c>
      <c r="AH2210">
        <v>0.71239651578049601</v>
      </c>
      <c r="AI2210">
        <v>94.104680505381396</v>
      </c>
      <c r="AJ2210">
        <v>121.0580632491</v>
      </c>
      <c r="AK2210">
        <v>0.833750992806219</v>
      </c>
      <c r="AL2210">
        <v>67.828203263415702</v>
      </c>
      <c r="AM2210">
        <v>103.00745591530701</v>
      </c>
      <c r="AN2210">
        <v>1.00000002463259</v>
      </c>
    </row>
    <row r="2211" spans="1:40" x14ac:dyDescent="0.25">
      <c r="A2211" t="str">
        <f>"20190304164643247"</f>
        <v>20190304164643247</v>
      </c>
      <c r="B2211" t="str">
        <f>"1551689203240382"</f>
        <v>1551689203240382</v>
      </c>
      <c r="C2211" t="s">
        <v>40</v>
      </c>
      <c r="D2211">
        <v>4.2311290000000001</v>
      </c>
      <c r="E2211">
        <v>0.43981039999999999</v>
      </c>
      <c r="F2211" t="s">
        <v>42</v>
      </c>
      <c r="G2211">
        <v>-490.18579999999997</v>
      </c>
      <c r="H2211" s="1">
        <v>-1.2193990000000001E-6</v>
      </c>
      <c r="I2211">
        <v>252.31630000000001</v>
      </c>
      <c r="J2211">
        <v>-490.21589999999998</v>
      </c>
      <c r="K2211">
        <v>1.116943</v>
      </c>
      <c r="L2211">
        <v>270.49200000000002</v>
      </c>
      <c r="M2211">
        <v>-0.40028960000000002</v>
      </c>
      <c r="N2211">
        <v>-1.0799130000000001E-2</v>
      </c>
      <c r="O2211">
        <v>-0.91632519999999995</v>
      </c>
      <c r="P2211">
        <v>-0.17790139999999999</v>
      </c>
      <c r="Q2211">
        <v>0.36996610000000002</v>
      </c>
      <c r="R2211">
        <v>-0.91185309999999997</v>
      </c>
      <c r="S2211">
        <v>-1.1505130000000001E-2</v>
      </c>
      <c r="T2211">
        <v>-0.2049763</v>
      </c>
      <c r="U2211">
        <v>-3.378174</v>
      </c>
      <c r="V2211">
        <v>-0.20776549999999999</v>
      </c>
      <c r="W2211">
        <v>0.37661470000000002</v>
      </c>
      <c r="X2211">
        <v>0.90277070000000004</v>
      </c>
      <c r="Y2211">
        <v>-0.39700220000000003</v>
      </c>
      <c r="Z2211">
        <v>3.9711030000000001E-2</v>
      </c>
      <c r="AA2211">
        <v>0.91695819999999995</v>
      </c>
      <c r="AB2211">
        <v>25</v>
      </c>
      <c r="AC2211">
        <v>3.0100000000004401E-2</v>
      </c>
      <c r="AD2211">
        <v>-1.116944219399</v>
      </c>
      <c r="AE2211">
        <v>-18.175699999999999</v>
      </c>
      <c r="AF2211">
        <v>-7.2760725634589898</v>
      </c>
      <c r="AG2211">
        <v>-1.116944219399</v>
      </c>
      <c r="AH2211">
        <v>16.581154329385701</v>
      </c>
      <c r="AI2211">
        <v>93.529794643046998</v>
      </c>
      <c r="AJ2211">
        <v>113.69262530818401</v>
      </c>
      <c r="AK2211">
        <v>18.1417605328941</v>
      </c>
      <c r="AL2211">
        <v>67.8758544731173</v>
      </c>
      <c r="AM2211">
        <v>102.960494249983</v>
      </c>
      <c r="AN2211">
        <v>1.0000000360124099</v>
      </c>
    </row>
    <row r="2212" spans="1:40" x14ac:dyDescent="0.25">
      <c r="A2212" t="str">
        <f>"20190304164643269"</f>
        <v>20190304164643269</v>
      </c>
      <c r="B2212" t="str">
        <f>"1551689203260878"</f>
        <v>1551689203260878</v>
      </c>
      <c r="C2212" t="s">
        <v>40</v>
      </c>
      <c r="D2212">
        <v>4.2450039999999998</v>
      </c>
      <c r="E2212">
        <v>0.44271519999999998</v>
      </c>
      <c r="F2212" t="s">
        <v>42</v>
      </c>
      <c r="G2212">
        <v>-490.95979999999997</v>
      </c>
      <c r="H2212" s="1">
        <v>-8.9878519999999997E-7</v>
      </c>
      <c r="I2212">
        <v>251.0889</v>
      </c>
      <c r="J2212">
        <v>-490.30250000000001</v>
      </c>
      <c r="K2212">
        <v>1.1168899999999999</v>
      </c>
      <c r="L2212">
        <v>270.26830000000001</v>
      </c>
      <c r="M2212">
        <v>-0.39178770000000002</v>
      </c>
      <c r="N2212">
        <v>-1.075985E-2</v>
      </c>
      <c r="O2212">
        <v>-0.9199927</v>
      </c>
      <c r="P2212">
        <v>-0.170011299999999</v>
      </c>
      <c r="Q2212">
        <v>0.36883129999999997</v>
      </c>
      <c r="R2212">
        <v>-0.91381619999999997</v>
      </c>
      <c r="S2212">
        <v>-0.1281738</v>
      </c>
      <c r="T2212">
        <v>-0.19244520000000001</v>
      </c>
      <c r="U2212">
        <v>-3.3430789999999999</v>
      </c>
      <c r="V2212">
        <v>-0.20733099999999999</v>
      </c>
      <c r="W2212">
        <v>0.37547829999999999</v>
      </c>
      <c r="X2212">
        <v>0.90334369999999997</v>
      </c>
      <c r="Y2212">
        <v>-0.35614639999999997</v>
      </c>
      <c r="Z2212">
        <v>3.8035909999999999E-2</v>
      </c>
      <c r="AA2212">
        <v>0.93365569999999998</v>
      </c>
      <c r="AB2212">
        <v>25</v>
      </c>
      <c r="AC2212">
        <v>-0.65729999999996302</v>
      </c>
      <c r="AD2212">
        <v>-1.1168908987852</v>
      </c>
      <c r="AE2212">
        <v>-19.179400000000001</v>
      </c>
      <c r="AF2212">
        <v>-6.8866156229703597</v>
      </c>
      <c r="AG2212">
        <v>-1.1168908987852</v>
      </c>
      <c r="AH2212">
        <v>17.8430289303503</v>
      </c>
      <c r="AI2212">
        <v>93.3420972800849</v>
      </c>
      <c r="AJ2212">
        <v>111.10437053538701</v>
      </c>
      <c r="AK2212">
        <v>19.1584603094207</v>
      </c>
      <c r="AL2212">
        <v>67.946121499377398</v>
      </c>
      <c r="AM2212">
        <v>102.926373677941</v>
      </c>
      <c r="AN2212">
        <v>0.99999996883078901</v>
      </c>
    </row>
    <row r="2213" spans="1:40" x14ac:dyDescent="0.25">
      <c r="A2213" t="str">
        <f>"20190304164643290"</f>
        <v>20190304164643290</v>
      </c>
      <c r="B2213" t="str">
        <f>"1551689203280402"</f>
        <v>1551689203280402</v>
      </c>
      <c r="C2213" t="s">
        <v>40</v>
      </c>
      <c r="D2213">
        <v>4.2621370000000001</v>
      </c>
      <c r="E2213">
        <v>0.44383099999999998</v>
      </c>
      <c r="F2213" t="s">
        <v>42</v>
      </c>
      <c r="G2213">
        <v>-491.0016</v>
      </c>
      <c r="H2213" s="1">
        <v>-9.6172890000000006E-7</v>
      </c>
      <c r="I2213">
        <v>251.2097</v>
      </c>
      <c r="J2213">
        <v>-490.38479999999998</v>
      </c>
      <c r="K2213">
        <v>1.1168290000000001</v>
      </c>
      <c r="L2213">
        <v>270.05</v>
      </c>
      <c r="M2213">
        <v>-0.38358150000000002</v>
      </c>
      <c r="N2213">
        <v>-1.072766E-2</v>
      </c>
      <c r="O2213">
        <v>-0.92344499999999996</v>
      </c>
      <c r="P2213">
        <v>-0.16246549999999901</v>
      </c>
      <c r="Q2213">
        <v>0.36739690000000003</v>
      </c>
      <c r="R2213">
        <v>-0.91576489999999999</v>
      </c>
      <c r="S2213">
        <v>-0.1224976</v>
      </c>
      <c r="T2213">
        <v>-0.195683</v>
      </c>
      <c r="U2213">
        <v>-3.3391419999999998</v>
      </c>
      <c r="V2213">
        <v>-0.2068885</v>
      </c>
      <c r="W2213">
        <v>0.37405529999999998</v>
      </c>
      <c r="X2213">
        <v>0.90403529999999999</v>
      </c>
      <c r="Y2213">
        <v>-0.34936430000000002</v>
      </c>
      <c r="Z2213">
        <v>3.93149E-2</v>
      </c>
      <c r="AA2213">
        <v>0.93616180000000004</v>
      </c>
      <c r="AB2213">
        <v>25</v>
      </c>
      <c r="AC2213">
        <v>-0.61680000000001201</v>
      </c>
      <c r="AD2213">
        <v>-1.1168299617288999</v>
      </c>
      <c r="AE2213">
        <v>-18.840299999999999</v>
      </c>
      <c r="AF2213">
        <v>-6.6343032262156401</v>
      </c>
      <c r="AG2213">
        <v>-1.1168299617288999</v>
      </c>
      <c r="AH2213">
        <v>17.5738960522479</v>
      </c>
      <c r="AI2213">
        <v>93.402515488896299</v>
      </c>
      <c r="AJ2213">
        <v>110.68197102625101</v>
      </c>
      <c r="AK2213">
        <v>18.817627664400302</v>
      </c>
      <c r="AL2213">
        <v>68.034063848596006</v>
      </c>
      <c r="AM2213">
        <v>102.89017043286</v>
      </c>
      <c r="AN2213">
        <v>1.0000000212682101</v>
      </c>
    </row>
    <row r="2214" spans="1:40" x14ac:dyDescent="0.25">
      <c r="A2214" t="str">
        <f>"20190304164643312"</f>
        <v>20190304164643312</v>
      </c>
      <c r="B2214" t="str">
        <f>"1551689203300894"</f>
        <v>1551689203300894</v>
      </c>
      <c r="C2214" t="s">
        <v>40</v>
      </c>
      <c r="D2214">
        <v>4.2737889999999998</v>
      </c>
      <c r="E2214">
        <v>0.44481520000000002</v>
      </c>
      <c r="F2214" t="s">
        <v>42</v>
      </c>
      <c r="G2214">
        <v>-490.97539999999998</v>
      </c>
      <c r="H2214" s="1">
        <v>-9.580585E-7</v>
      </c>
      <c r="I2214">
        <v>251.2174</v>
      </c>
      <c r="J2214">
        <v>-490.46910000000003</v>
      </c>
      <c r="K2214">
        <v>1.1167560000000001</v>
      </c>
      <c r="L2214">
        <v>269.82069999999999</v>
      </c>
      <c r="M2214">
        <v>-0.37506830000000002</v>
      </c>
      <c r="N2214">
        <v>-1.0705569999999999E-2</v>
      </c>
      <c r="O2214">
        <v>-0.92693550000000002</v>
      </c>
      <c r="P2214">
        <v>-0.1543224</v>
      </c>
      <c r="Q2214">
        <v>0.36679119999999998</v>
      </c>
      <c r="R2214">
        <v>-0.91741450000000002</v>
      </c>
      <c r="S2214">
        <v>-0.1046448</v>
      </c>
      <c r="T2214">
        <v>-0.1978818</v>
      </c>
      <c r="U2214">
        <v>-3.336792</v>
      </c>
      <c r="V2214">
        <v>-0.20661979999999999</v>
      </c>
      <c r="W2214">
        <v>0.37347059999999999</v>
      </c>
      <c r="X2214">
        <v>0.90433839999999999</v>
      </c>
      <c r="Y2214">
        <v>-0.3457211</v>
      </c>
      <c r="Z2214">
        <v>4.0270069999999998E-2</v>
      </c>
      <c r="AA2214">
        <v>0.9374728</v>
      </c>
      <c r="AB2214">
        <v>25</v>
      </c>
      <c r="AC2214">
        <v>-0.50629999999995301</v>
      </c>
      <c r="AD2214">
        <v>-1.1167569580584999</v>
      </c>
      <c r="AE2214">
        <v>-18.603299999999901</v>
      </c>
      <c r="AF2214">
        <v>-6.48521991429139</v>
      </c>
      <c r="AG2214">
        <v>-1.1167569580584999</v>
      </c>
      <c r="AH2214">
        <v>17.372396188573902</v>
      </c>
      <c r="AI2214">
        <v>93.446413342157697</v>
      </c>
      <c r="AJ2214">
        <v>110.47090552767401</v>
      </c>
      <c r="AK2214">
        <v>18.577011944144001</v>
      </c>
      <c r="AL2214">
        <v>68.070181602853296</v>
      </c>
      <c r="AM2214">
        <v>102.86981609308199</v>
      </c>
      <c r="AN2214">
        <v>0.99999998626547904</v>
      </c>
    </row>
    <row r="2215" spans="1:40" x14ac:dyDescent="0.25">
      <c r="A2215" t="str">
        <f>"20190304164643338"</f>
        <v>20190304164643338</v>
      </c>
      <c r="B2215" t="str">
        <f>"1551689203331150"</f>
        <v>1551689203331150</v>
      </c>
      <c r="C2215" t="s">
        <v>40</v>
      </c>
      <c r="D2215">
        <v>4.2976070000000002</v>
      </c>
      <c r="E2215">
        <v>0.4464186</v>
      </c>
      <c r="F2215" t="s">
        <v>42</v>
      </c>
      <c r="G2215">
        <v>-490.93400000000003</v>
      </c>
      <c r="H2215" s="1">
        <v>-9.1913739999999995E-7</v>
      </c>
      <c r="I2215">
        <v>251.1523</v>
      </c>
      <c r="J2215">
        <v>-490.56349999999998</v>
      </c>
      <c r="K2215">
        <v>1.1166640000000001</v>
      </c>
      <c r="L2215">
        <v>269.55619999999999</v>
      </c>
      <c r="M2215">
        <v>-0.36541469999999998</v>
      </c>
      <c r="N2215">
        <v>-1.0699180000000001E-2</v>
      </c>
      <c r="O2215">
        <v>-0.93078329999999998</v>
      </c>
      <c r="P2215">
        <v>-0.14534859999999999</v>
      </c>
      <c r="Q2215">
        <v>0.36604920000000002</v>
      </c>
      <c r="R2215">
        <v>-0.91917450000000001</v>
      </c>
      <c r="S2215">
        <v>-8.306885E-2</v>
      </c>
      <c r="T2215">
        <v>-0.19955500000000001</v>
      </c>
      <c r="U2215">
        <v>-3.3358759999999998</v>
      </c>
      <c r="V2215">
        <v>-0.2060717</v>
      </c>
      <c r="W2215">
        <v>0.37278</v>
      </c>
      <c r="X2215">
        <v>0.90474829999999995</v>
      </c>
      <c r="Y2215">
        <v>-0.34201939999999997</v>
      </c>
      <c r="Z2215">
        <v>4.109082E-2</v>
      </c>
      <c r="AA2215">
        <v>0.93879409999999996</v>
      </c>
      <c r="AB2215">
        <v>25</v>
      </c>
      <c r="AC2215">
        <v>-0.37050000000004901</v>
      </c>
      <c r="AD2215">
        <v>-1.1166649191373901</v>
      </c>
      <c r="AE2215">
        <v>-18.4039</v>
      </c>
      <c r="AF2215">
        <v>-6.3571713174843802</v>
      </c>
      <c r="AG2215">
        <v>-1.1166649191373901</v>
      </c>
      <c r="AH2215">
        <v>17.2031100756016</v>
      </c>
      <c r="AI2215">
        <v>93.484232483711097</v>
      </c>
      <c r="AJ2215">
        <v>110.28109450469</v>
      </c>
      <c r="AK2215">
        <v>18.3741003582419</v>
      </c>
      <c r="AL2215">
        <v>68.112829963126401</v>
      </c>
      <c r="AM2215">
        <v>102.83118559393</v>
      </c>
      <c r="AN2215">
        <v>0.99999998014688896</v>
      </c>
    </row>
    <row r="2216" spans="1:40" x14ac:dyDescent="0.25">
      <c r="A2216" t="str">
        <f>"20190304164643350"</f>
        <v>20190304164643350</v>
      </c>
      <c r="B2216" t="str">
        <f>"1551689203340911"</f>
        <v>1551689203340911</v>
      </c>
      <c r="C2216" t="s">
        <v>40</v>
      </c>
      <c r="D2216">
        <v>4.4019329999999997</v>
      </c>
      <c r="E2216">
        <v>0.4464186</v>
      </c>
      <c r="F2216" t="s">
        <v>42</v>
      </c>
      <c r="G2216">
        <v>-490.90679999999998</v>
      </c>
      <c r="H2216" s="1">
        <v>-8.8427300000000005E-7</v>
      </c>
      <c r="I2216">
        <v>251.08799999999999</v>
      </c>
      <c r="J2216">
        <v>-490.61040000000003</v>
      </c>
      <c r="K2216">
        <v>1.116619</v>
      </c>
      <c r="L2216">
        <v>269.42180000000002</v>
      </c>
      <c r="M2216">
        <v>-0.36057080000000002</v>
      </c>
      <c r="N2216">
        <v>-1.0704460000000001E-2</v>
      </c>
      <c r="O2216">
        <v>-0.93267060000000002</v>
      </c>
      <c r="P2216">
        <v>-0.1407648</v>
      </c>
      <c r="Q2216">
        <v>0.36555019999999999</v>
      </c>
      <c r="R2216">
        <v>-0.92008659999999998</v>
      </c>
      <c r="S2216">
        <v>-6.19812E-2</v>
      </c>
      <c r="T2216">
        <v>-0.20160710000000001</v>
      </c>
      <c r="U2216">
        <v>-3.3343199999999902</v>
      </c>
      <c r="V2216">
        <v>-0.205897</v>
      </c>
      <c r="W2216">
        <v>0.37231449999999999</v>
      </c>
      <c r="X2216">
        <v>0.9049798</v>
      </c>
      <c r="Y2216">
        <v>-0.34305609999999997</v>
      </c>
      <c r="Z2216">
        <v>4.1787159999999997E-2</v>
      </c>
      <c r="AA2216">
        <v>0.93838500000000002</v>
      </c>
      <c r="AB2216">
        <v>25</v>
      </c>
      <c r="AC2216">
        <v>-0.29639999999994798</v>
      </c>
      <c r="AD2216">
        <v>-1.116619884273</v>
      </c>
      <c r="AE2216">
        <v>-18.3338</v>
      </c>
      <c r="AF2216">
        <v>-6.3111466772585096</v>
      </c>
      <c r="AG2216">
        <v>-1.116619884273</v>
      </c>
      <c r="AH2216">
        <v>17.143675986750001</v>
      </c>
      <c r="AI2216">
        <v>93.497730658605406</v>
      </c>
      <c r="AJ2216">
        <v>110.210308094</v>
      </c>
      <c r="AK2216">
        <v>18.3025418640825</v>
      </c>
      <c r="AL2216">
        <v>68.141571660817206</v>
      </c>
      <c r="AM2216">
        <v>102.817496140833</v>
      </c>
      <c r="AN2216">
        <v>1.0000000499636399</v>
      </c>
    </row>
    <row r="2217" spans="1:40" x14ac:dyDescent="0.25">
      <c r="A2217" t="str">
        <f>"20190304164643369"</f>
        <v>20190304164643369</v>
      </c>
      <c r="B2217" t="str">
        <f>"1551689203360430"</f>
        <v>1551689203360430</v>
      </c>
      <c r="C2217" t="s">
        <v>40</v>
      </c>
      <c r="D2217">
        <v>4.2804089999999997</v>
      </c>
      <c r="E2217">
        <v>0.40637830000000003</v>
      </c>
      <c r="F2217" t="s">
        <v>42</v>
      </c>
      <c r="G2217">
        <v>-490.85969999999998</v>
      </c>
      <c r="H2217" s="1">
        <v>-8.9067949999999997E-7</v>
      </c>
      <c r="I2217">
        <v>251.13210000000001</v>
      </c>
      <c r="J2217">
        <v>-490.67329999999998</v>
      </c>
      <c r="K2217">
        <v>1.116563</v>
      </c>
      <c r="L2217">
        <v>269.23779999999999</v>
      </c>
      <c r="M2217">
        <v>-0.35401110000000002</v>
      </c>
      <c r="N2217">
        <v>-1.0718480000000001E-2</v>
      </c>
      <c r="O2217">
        <v>-0.93517989999999995</v>
      </c>
      <c r="P2217">
        <v>-0.1333675</v>
      </c>
      <c r="Q2217">
        <v>0.36585420000000002</v>
      </c>
      <c r="R2217">
        <v>-0.92106659999999996</v>
      </c>
      <c r="S2217">
        <v>-4.5440670000000002E-2</v>
      </c>
      <c r="T2217">
        <v>-0.20357620000000001</v>
      </c>
      <c r="U2217">
        <v>-3.334473</v>
      </c>
      <c r="V2217">
        <v>-0.2067234</v>
      </c>
      <c r="W2217">
        <v>0.37264589999999997</v>
      </c>
      <c r="X2217">
        <v>0.90465490000000004</v>
      </c>
      <c r="Y2217">
        <v>-0.34111269999999999</v>
      </c>
      <c r="Z2217">
        <v>4.2521799999999998E-2</v>
      </c>
      <c r="AA2217">
        <v>0.93906020000000001</v>
      </c>
      <c r="AB2217">
        <v>25</v>
      </c>
      <c r="AC2217">
        <v>-0.18639999999999099</v>
      </c>
      <c r="AD2217">
        <v>-1.1165638906794999</v>
      </c>
      <c r="AE2217">
        <v>-18.105699999999899</v>
      </c>
      <c r="AF2217">
        <v>-6.2120364266017596</v>
      </c>
      <c r="AG2217">
        <v>-1.1165638906794999</v>
      </c>
      <c r="AH2217">
        <v>16.934652103502501</v>
      </c>
      <c r="AI2217">
        <v>93.542113388887202</v>
      </c>
      <c r="AJ2217">
        <v>110.14424805333201</v>
      </c>
      <c r="AK2217">
        <v>18.072591218584499</v>
      </c>
      <c r="AL2217">
        <v>68.121110601325995</v>
      </c>
      <c r="AM2217">
        <v>102.871699331991</v>
      </c>
      <c r="AN2217">
        <v>1.0000000094941801</v>
      </c>
    </row>
    <row r="2218" spans="1:40" x14ac:dyDescent="0.25">
      <c r="A2218" t="str">
        <f>"20190304164643390"</f>
        <v>20190304164643390</v>
      </c>
      <c r="B2218" t="str">
        <f>"1551689203380926"</f>
        <v>1551689203380926</v>
      </c>
      <c r="C2218" t="s">
        <v>40</v>
      </c>
      <c r="D2218">
        <v>4.2471230000000002</v>
      </c>
      <c r="E2218">
        <v>0.39643620000000002</v>
      </c>
      <c r="F2218" t="s">
        <v>42</v>
      </c>
      <c r="G2218">
        <v>-489.08030000000002</v>
      </c>
      <c r="H2218" s="1">
        <v>-7.251656E-7</v>
      </c>
      <c r="I2218">
        <v>250.94290000000001</v>
      </c>
      <c r="J2218">
        <v>-490.75110000000001</v>
      </c>
      <c r="K2218">
        <v>1.116501</v>
      </c>
      <c r="L2218">
        <v>269.0052</v>
      </c>
      <c r="M2218">
        <v>-0.34583989999999998</v>
      </c>
      <c r="N2218">
        <v>-1.076271E-2</v>
      </c>
      <c r="O2218">
        <v>-0.93823190000000001</v>
      </c>
      <c r="P2218">
        <v>-0.1245724</v>
      </c>
      <c r="Q2218">
        <v>0.36639070000000001</v>
      </c>
      <c r="R2218">
        <v>-0.92208449999999997</v>
      </c>
      <c r="S2218">
        <v>0.29446409999999901</v>
      </c>
      <c r="T2218">
        <v>-0.20638509999999999</v>
      </c>
      <c r="U2218">
        <v>-3.3816220000000001</v>
      </c>
      <c r="V2218">
        <v>-0.20733099999999999</v>
      </c>
      <c r="W2218">
        <v>0.37324810000000003</v>
      </c>
      <c r="X2218">
        <v>0.9042675</v>
      </c>
      <c r="Y2218">
        <v>-0.42567450000000001</v>
      </c>
      <c r="Z2218">
        <v>4.1342740000000003E-2</v>
      </c>
      <c r="AA2218">
        <v>0.90393140000000005</v>
      </c>
      <c r="AB2218">
        <v>25</v>
      </c>
      <c r="AC2218">
        <v>1.6707999999999801</v>
      </c>
      <c r="AD2218">
        <v>-1.1165017251656</v>
      </c>
      <c r="AE2218">
        <v>-18.0623</v>
      </c>
      <c r="AF2218">
        <v>-7.7852191931375501</v>
      </c>
      <c r="AG2218">
        <v>-1.1165017251656</v>
      </c>
      <c r="AH2218">
        <v>16.307960042148999</v>
      </c>
      <c r="AI2218">
        <v>93.535488024457507</v>
      </c>
      <c r="AJ2218">
        <v>115.519234501489</v>
      </c>
      <c r="AK2218">
        <v>18.105407333827699</v>
      </c>
      <c r="AL2218">
        <v>68.083923953314098</v>
      </c>
      <c r="AM2218">
        <v>102.91361099791899</v>
      </c>
      <c r="AN2218">
        <v>0.99999999963542996</v>
      </c>
    </row>
    <row r="2219" spans="1:40" x14ac:dyDescent="0.25">
      <c r="A2219" t="str">
        <f>"20190304164643416"</f>
        <v>20190304164643416</v>
      </c>
      <c r="B2219" t="str">
        <f>"1551689203410207"</f>
        <v>1551689203410207</v>
      </c>
      <c r="C2219" t="s">
        <v>40</v>
      </c>
      <c r="D2219">
        <v>4.2416700000000001</v>
      </c>
      <c r="E2219">
        <v>0.39085999999999999</v>
      </c>
      <c r="F2219" t="s">
        <v>42</v>
      </c>
      <c r="G2219">
        <v>-488.54419999999999</v>
      </c>
      <c r="H2219" s="1">
        <v>-6.7390439999999999E-7</v>
      </c>
      <c r="I2219">
        <v>250.49010000000001</v>
      </c>
      <c r="J2219">
        <v>-490.83109999999999</v>
      </c>
      <c r="K2219">
        <v>1.1164339999999999</v>
      </c>
      <c r="L2219">
        <v>268.7595</v>
      </c>
      <c r="M2219">
        <v>-0.33738360000000001</v>
      </c>
      <c r="N2219">
        <v>-1.0854590000000001E-2</v>
      </c>
      <c r="O2219">
        <v>-0.94130460000000005</v>
      </c>
      <c r="P2219">
        <v>-0.1155191</v>
      </c>
      <c r="Q2219">
        <v>0.36706810000000001</v>
      </c>
      <c r="R2219">
        <v>-0.92299290000000001</v>
      </c>
      <c r="S2219">
        <v>0.40399170000000001</v>
      </c>
      <c r="T2219">
        <v>-0.2043818</v>
      </c>
      <c r="U2219">
        <v>-3.3892820000000001</v>
      </c>
      <c r="V2219">
        <v>-0.20790429999999999</v>
      </c>
      <c r="W2219">
        <v>0.3740424</v>
      </c>
      <c r="X2219">
        <v>0.90380749999999999</v>
      </c>
      <c r="Y2219">
        <v>-0.44614120000000002</v>
      </c>
      <c r="Z2219">
        <v>4.0457189999999997E-2</v>
      </c>
      <c r="AA2219">
        <v>0.894047699999999</v>
      </c>
      <c r="AB2219">
        <v>25</v>
      </c>
      <c r="AC2219">
        <v>2.2869000000000002</v>
      </c>
      <c r="AD2219">
        <v>-1.11643467390439</v>
      </c>
      <c r="AE2219">
        <v>-18.269399999999901</v>
      </c>
      <c r="AF2219">
        <v>-8.2864884998868202</v>
      </c>
      <c r="AG2219">
        <v>-1.11643467390439</v>
      </c>
      <c r="AH2219">
        <v>16.3663015035768</v>
      </c>
      <c r="AI2219">
        <v>93.482684011226198</v>
      </c>
      <c r="AJ2219">
        <v>116.85373464179401</v>
      </c>
      <c r="AK2219">
        <v>18.378469548518801</v>
      </c>
      <c r="AL2219">
        <v>68.034859308750995</v>
      </c>
      <c r="AM2219">
        <v>102.95448496634501</v>
      </c>
      <c r="AN2219">
        <v>0.99999995600624902</v>
      </c>
    </row>
    <row r="2220" spans="1:40" x14ac:dyDescent="0.25">
      <c r="A2220" t="str">
        <f>"20190304164643437"</f>
        <v>20190304164643437</v>
      </c>
      <c r="B2220" t="str">
        <f>"1551689203430703"</f>
        <v>1551689203430703</v>
      </c>
      <c r="C2220" t="s">
        <v>40</v>
      </c>
      <c r="D2220">
        <v>4.2556050000000001</v>
      </c>
      <c r="E2220">
        <v>0.39028449999999998</v>
      </c>
      <c r="F2220" t="s">
        <v>41</v>
      </c>
      <c r="G2220">
        <v>-490.68329999999997</v>
      </c>
      <c r="H2220">
        <v>1.054989</v>
      </c>
      <c r="I2220">
        <v>267.71719999999999</v>
      </c>
      <c r="J2220">
        <v>-490.9058</v>
      </c>
      <c r="K2220">
        <v>1.116352</v>
      </c>
      <c r="L2220">
        <v>268.52249999999998</v>
      </c>
      <c r="M2220">
        <v>-0.32941789999999999</v>
      </c>
      <c r="N2220">
        <v>-1.097923E-2</v>
      </c>
      <c r="O2220">
        <v>-0.94412030000000002</v>
      </c>
      <c r="P2220">
        <v>-0.10687190000000001</v>
      </c>
      <c r="Q2220">
        <v>0.36713129999999999</v>
      </c>
      <c r="R2220">
        <v>-0.92400950000000004</v>
      </c>
      <c r="S2220">
        <v>0.48059079999999899</v>
      </c>
      <c r="T2220">
        <v>-0.19984460000000001</v>
      </c>
      <c r="U2220">
        <v>-3.389923</v>
      </c>
      <c r="V2220">
        <v>-0.20863100000000001</v>
      </c>
      <c r="W2220">
        <v>0.3742587</v>
      </c>
      <c r="X2220">
        <v>0.90355050000000003</v>
      </c>
      <c r="Y2220">
        <v>-0.4583854</v>
      </c>
      <c r="Z2220">
        <v>3.9132109999999998E-2</v>
      </c>
      <c r="AA2220">
        <v>0.887891599999999</v>
      </c>
      <c r="AB2220">
        <v>25</v>
      </c>
      <c r="AC2220">
        <v>0.22250000000002401</v>
      </c>
      <c r="AD2220">
        <v>-6.1363000000000001E-2</v>
      </c>
      <c r="AE2220">
        <v>-0.80529999999998803</v>
      </c>
      <c r="AF2220">
        <v>-0.47282505210590198</v>
      </c>
      <c r="AG2220">
        <v>-6.1363000000000001E-2</v>
      </c>
      <c r="AH2220">
        <v>0.68335969774743899</v>
      </c>
      <c r="AI2220">
        <v>94.223242480542694</v>
      </c>
      <c r="AJ2220">
        <v>124.679840460656</v>
      </c>
      <c r="AK2220">
        <v>0.833252317232554</v>
      </c>
      <c r="AL2220">
        <v>68.021496322819104</v>
      </c>
      <c r="AM2220">
        <v>103.00180189099299</v>
      </c>
      <c r="AN2220">
        <v>0.99999998736846996</v>
      </c>
    </row>
    <row r="2221" spans="1:40" x14ac:dyDescent="0.25">
      <c r="A2221" t="str">
        <f>"20190304164643460"</f>
        <v>20190304164643460</v>
      </c>
      <c r="B2221" t="str">
        <f>"1551689203450222"</f>
        <v>1551689203450222</v>
      </c>
      <c r="C2221" t="s">
        <v>40</v>
      </c>
      <c r="D2221">
        <v>4.2510089999999998</v>
      </c>
      <c r="E2221">
        <v>0.3906483</v>
      </c>
      <c r="F2221" t="s">
        <v>41</v>
      </c>
      <c r="G2221">
        <v>-490.7527</v>
      </c>
      <c r="H2221">
        <v>1.05569</v>
      </c>
      <c r="I2221">
        <v>267.50990000000002</v>
      </c>
      <c r="J2221">
        <v>-490.98099999999999</v>
      </c>
      <c r="K2221">
        <v>1.116266</v>
      </c>
      <c r="L2221">
        <v>268.27780000000001</v>
      </c>
      <c r="M2221">
        <v>-0.32133329999999999</v>
      </c>
      <c r="N2221">
        <v>-1.111943E-2</v>
      </c>
      <c r="O2221">
        <v>-0.94690079999999999</v>
      </c>
      <c r="P2221">
        <v>-9.898216E-2</v>
      </c>
      <c r="Q2221">
        <v>0.3662801</v>
      </c>
      <c r="R2221">
        <v>-0.92522490000000002</v>
      </c>
      <c r="S2221">
        <v>0.51333620000000002</v>
      </c>
      <c r="T2221">
        <v>-0.20282520000000001</v>
      </c>
      <c r="U2221">
        <v>-3.3866580000000002</v>
      </c>
      <c r="V2221">
        <v>-0.2086201</v>
      </c>
      <c r="W2221">
        <v>0.37358999999999998</v>
      </c>
      <c r="X2221">
        <v>0.90382980000000002</v>
      </c>
      <c r="Y2221">
        <v>-0.45929989999999998</v>
      </c>
      <c r="Z2221">
        <v>3.9974049999999997E-2</v>
      </c>
      <c r="AA2221">
        <v>0.88738139999999999</v>
      </c>
      <c r="AB2221">
        <v>25</v>
      </c>
      <c r="AC2221">
        <v>0.22829999999999001</v>
      </c>
      <c r="AD2221">
        <v>-6.0575999999999901E-2</v>
      </c>
      <c r="AE2221">
        <v>-0.76789999999999703</v>
      </c>
      <c r="AF2221">
        <v>-0.46032602703898801</v>
      </c>
      <c r="AG2221">
        <v>-6.0575999999999901E-2</v>
      </c>
      <c r="AH2221">
        <v>0.65008830885538804</v>
      </c>
      <c r="AI2221">
        <v>94.3487779140942</v>
      </c>
      <c r="AJ2221">
        <v>125.302221771818</v>
      </c>
      <c r="AK2221">
        <v>0.79886438915247604</v>
      </c>
      <c r="AL2221">
        <v>68.062808625064207</v>
      </c>
      <c r="AM2221">
        <v>102.99726452858999</v>
      </c>
      <c r="AN2221">
        <v>1.0000000707960199</v>
      </c>
    </row>
    <row r="2222" spans="1:40" x14ac:dyDescent="0.25">
      <c r="A2222" t="str">
        <f>"20190304164643481"</f>
        <v>20190304164643481</v>
      </c>
      <c r="B2222" t="str">
        <f>"1551689203470721"</f>
        <v>1551689203470721</v>
      </c>
      <c r="C2222" t="s">
        <v>40</v>
      </c>
      <c r="D2222">
        <v>4.2766919999999997</v>
      </c>
      <c r="E2222">
        <v>0.39158280000000001</v>
      </c>
      <c r="F2222" t="s">
        <v>41</v>
      </c>
      <c r="G2222">
        <v>-490.82580000000002</v>
      </c>
      <c r="H2222">
        <v>1.056729</v>
      </c>
      <c r="I2222">
        <v>267.30259999999998</v>
      </c>
      <c r="J2222">
        <v>-491.04469999999998</v>
      </c>
      <c r="K2222">
        <v>1.116193</v>
      </c>
      <c r="L2222">
        <v>268.06490000000002</v>
      </c>
      <c r="M2222">
        <v>-0.31443169999999998</v>
      </c>
      <c r="N2222">
        <v>-1.126158E-2</v>
      </c>
      <c r="O2222">
        <v>-0.94921339999999998</v>
      </c>
      <c r="P2222">
        <v>-9.3762150000000002E-2</v>
      </c>
      <c r="Q2222">
        <v>0.36511969999999999</v>
      </c>
      <c r="R2222">
        <v>-0.92622709999999997</v>
      </c>
      <c r="S2222">
        <v>0.53814700000000004</v>
      </c>
      <c r="T2222">
        <v>-0.20644000000000001</v>
      </c>
      <c r="U2222">
        <v>-3.3817140000000001</v>
      </c>
      <c r="V2222">
        <v>-0.20717849999999999</v>
      </c>
      <c r="W2222">
        <v>0.37263079999999998</v>
      </c>
      <c r="X2222">
        <v>0.90455700000000006</v>
      </c>
      <c r="Y2222">
        <v>-0.45937139999999999</v>
      </c>
      <c r="Z2222">
        <v>4.0989699999999997E-2</v>
      </c>
      <c r="AA2222">
        <v>0.88729799999999903</v>
      </c>
      <c r="AB2222">
        <v>25</v>
      </c>
      <c r="AC2222">
        <v>0.21889999999996201</v>
      </c>
      <c r="AD2222">
        <v>-5.9463999999999899E-2</v>
      </c>
      <c r="AE2222">
        <v>-0.76230000000003795</v>
      </c>
      <c r="AF2222">
        <v>-0.44500090209708698</v>
      </c>
      <c r="AG2222">
        <v>-5.9463999999999899E-2</v>
      </c>
      <c r="AH2222">
        <v>0.65113742790342</v>
      </c>
      <c r="AI2222">
        <v>94.311800069500407</v>
      </c>
      <c r="AJ2222">
        <v>124.34951593752101</v>
      </c>
      <c r="AK2222">
        <v>0.79091195475849496</v>
      </c>
      <c r="AL2222">
        <v>68.122042815146699</v>
      </c>
      <c r="AM2222">
        <v>102.90043879662799</v>
      </c>
      <c r="AN2222">
        <v>1.00000000510994</v>
      </c>
    </row>
    <row r="2223" spans="1:40" x14ac:dyDescent="0.25">
      <c r="A2223" t="str">
        <f>"20190304164643502"</f>
        <v>20190304164643502</v>
      </c>
      <c r="B2223" t="str">
        <f>"1551689203500975"</f>
        <v>1551689203500975</v>
      </c>
      <c r="C2223" t="s">
        <v>40</v>
      </c>
      <c r="D2223">
        <v>4.2995199999999896</v>
      </c>
      <c r="E2223">
        <v>0.39322689999999999</v>
      </c>
      <c r="F2223" t="s">
        <v>41</v>
      </c>
      <c r="G2223">
        <v>-490.88690000000003</v>
      </c>
      <c r="H2223">
        <v>1.0549139999999999</v>
      </c>
      <c r="I2223">
        <v>267.09370000000001</v>
      </c>
      <c r="J2223">
        <v>-491.11189999999999</v>
      </c>
      <c r="K2223">
        <v>1.116115</v>
      </c>
      <c r="L2223">
        <v>267.8347</v>
      </c>
      <c r="M2223">
        <v>-0.307141</v>
      </c>
      <c r="N2223">
        <v>-1.145652E-2</v>
      </c>
      <c r="O2223">
        <v>-0.95159510000000003</v>
      </c>
      <c r="P2223">
        <v>-8.8459709999999997E-2</v>
      </c>
      <c r="Q2223">
        <v>0.36381019999999997</v>
      </c>
      <c r="R2223">
        <v>-0.92726330000000001</v>
      </c>
      <c r="S2223">
        <v>0.5495911</v>
      </c>
      <c r="T2223">
        <v>-0.21311649999999999</v>
      </c>
      <c r="U2223">
        <v>-3.3786010000000002</v>
      </c>
      <c r="V2223">
        <v>-0.205452</v>
      </c>
      <c r="W2223">
        <v>0.37158550000000001</v>
      </c>
      <c r="X2223">
        <v>0.90538039999999997</v>
      </c>
      <c r="Y2223">
        <v>-0.45559119999999997</v>
      </c>
      <c r="Z2223">
        <v>4.2805570000000001E-2</v>
      </c>
      <c r="AA2223">
        <v>0.88915940000000004</v>
      </c>
      <c r="AB2223">
        <v>25</v>
      </c>
      <c r="AC2223">
        <v>0.22499999999996501</v>
      </c>
      <c r="AD2223">
        <v>-6.1200999999999998E-2</v>
      </c>
      <c r="AE2223">
        <v>-0.740999999999985</v>
      </c>
      <c r="AF2223">
        <v>-0.43898758156137602</v>
      </c>
      <c r="AG2223">
        <v>-6.1200999999999998E-2</v>
      </c>
      <c r="AH2223">
        <v>0.63211895961611597</v>
      </c>
      <c r="AI2223">
        <v>94.546770077180298</v>
      </c>
      <c r="AJ2223">
        <v>124.778814769723</v>
      </c>
      <c r="AK2223">
        <v>0.77202981695804096</v>
      </c>
      <c r="AL2223">
        <v>68.186567284488106</v>
      </c>
      <c r="AM2223">
        <v>102.785232785216</v>
      </c>
      <c r="AN2223">
        <v>0.99999998840920401</v>
      </c>
    </row>
    <row r="2224" spans="1:40" x14ac:dyDescent="0.25">
      <c r="A2224" t="str">
        <f>"20190304164643526"</f>
        <v>20190304164643526</v>
      </c>
      <c r="B2224" t="str">
        <f>"1551689203520495"</f>
        <v>1551689203520495</v>
      </c>
      <c r="C2224" t="s">
        <v>40</v>
      </c>
      <c r="D2224">
        <v>4.2312890000000003</v>
      </c>
      <c r="E2224">
        <v>0.39458739999999998</v>
      </c>
      <c r="F2224" t="s">
        <v>41</v>
      </c>
      <c r="G2224">
        <v>-490.95530000000002</v>
      </c>
      <c r="H2224">
        <v>1.053348</v>
      </c>
      <c r="I2224">
        <v>266.88529999999997</v>
      </c>
      <c r="J2224">
        <v>-491.1823</v>
      </c>
      <c r="K2224">
        <v>1.1160209999999999</v>
      </c>
      <c r="L2224">
        <v>267.58699999999999</v>
      </c>
      <c r="M2224">
        <v>-0.29949379999999998</v>
      </c>
      <c r="N2224">
        <v>-1.171227E-2</v>
      </c>
      <c r="O2224">
        <v>-0.95402659999999995</v>
      </c>
      <c r="P2224">
        <v>-8.2144659999999994E-2</v>
      </c>
      <c r="Q2224">
        <v>0.36301640000000002</v>
      </c>
      <c r="R2224">
        <v>-0.92815510000000001</v>
      </c>
      <c r="S2224">
        <v>0.55685419999999997</v>
      </c>
      <c r="T2224">
        <v>-0.2231756</v>
      </c>
      <c r="U2224">
        <v>-3.376007</v>
      </c>
      <c r="V2224">
        <v>-0.20430680000000001</v>
      </c>
      <c r="W2224">
        <v>0.37111040000000001</v>
      </c>
      <c r="X2224">
        <v>0.90583429999999998</v>
      </c>
      <c r="Y2224">
        <v>-0.45038060000000002</v>
      </c>
      <c r="Z2224">
        <v>4.5474819999999999E-2</v>
      </c>
      <c r="AA2224">
        <v>0.89167779999999996</v>
      </c>
      <c r="AB2224">
        <v>25</v>
      </c>
      <c r="AC2224">
        <v>0.226999999999975</v>
      </c>
      <c r="AD2224">
        <v>-6.2672999999999895E-2</v>
      </c>
      <c r="AE2224">
        <v>-0.70170000000001598</v>
      </c>
      <c r="AF2224">
        <v>-0.42368830872870999</v>
      </c>
      <c r="AG2224">
        <v>-6.2672999999999895E-2</v>
      </c>
      <c r="AH2224">
        <v>0.59718387638707304</v>
      </c>
      <c r="AI2224">
        <v>94.892227338608805</v>
      </c>
      <c r="AJ2224">
        <v>125.354829591038</v>
      </c>
      <c r="AK2224">
        <v>0.73489337328559901</v>
      </c>
      <c r="AL2224">
        <v>68.215884899316293</v>
      </c>
      <c r="AM2224">
        <v>102.710125812051</v>
      </c>
      <c r="AN2224">
        <v>0.99999998828544401</v>
      </c>
    </row>
    <row r="2225" spans="1:40" x14ac:dyDescent="0.25">
      <c r="A2225" t="str">
        <f>"20190304164643540"</f>
        <v>20190304164643540</v>
      </c>
      <c r="B2225" t="str">
        <f>"1551689203530255"</f>
        <v>1551689203530255</v>
      </c>
      <c r="C2225" t="s">
        <v>40</v>
      </c>
      <c r="D2225">
        <v>4.2869650000000004</v>
      </c>
      <c r="E2225">
        <v>0.39519480000000001</v>
      </c>
      <c r="F2225" t="s">
        <v>41</v>
      </c>
      <c r="G2225">
        <v>-491.02480000000003</v>
      </c>
      <c r="H2225">
        <v>1.0522769999999999</v>
      </c>
      <c r="I2225">
        <v>266.65069999999997</v>
      </c>
      <c r="J2225">
        <v>-491.226</v>
      </c>
      <c r="K2225">
        <v>1.1159539999999999</v>
      </c>
      <c r="L2225">
        <v>267.42950000000002</v>
      </c>
      <c r="M2225">
        <v>-0.29473579999999999</v>
      </c>
      <c r="N2225">
        <v>-1.1884530000000001E-2</v>
      </c>
      <c r="O2225">
        <v>-0.95550500000000005</v>
      </c>
      <c r="P2225">
        <v>-7.8397439999999999E-2</v>
      </c>
      <c r="Q2225">
        <v>0.36257990000000001</v>
      </c>
      <c r="R2225">
        <v>-0.92864939999999996</v>
      </c>
      <c r="S2225">
        <v>0.56784060000000003</v>
      </c>
      <c r="T2225">
        <v>-0.2295635</v>
      </c>
      <c r="U2225">
        <v>-3.3722840000000001</v>
      </c>
      <c r="V2225">
        <v>-0.20340620000000001</v>
      </c>
      <c r="W2225">
        <v>0.3708921</v>
      </c>
      <c r="X2225">
        <v>0.9061264</v>
      </c>
      <c r="Y2225">
        <v>-0.44889410000000002</v>
      </c>
      <c r="Z2225">
        <v>4.7160720000000003E-2</v>
      </c>
      <c r="AA2225">
        <v>0.89233960000000001</v>
      </c>
      <c r="AB2225">
        <v>25</v>
      </c>
      <c r="AC2225">
        <v>0.20119999999997101</v>
      </c>
      <c r="AD2225">
        <v>-6.36769999999999E-2</v>
      </c>
      <c r="AE2225">
        <v>-0.77880000000004601</v>
      </c>
      <c r="AF2225">
        <v>-0.41919055651614801</v>
      </c>
      <c r="AG2225">
        <v>-6.36769999999999E-2</v>
      </c>
      <c r="AH2225">
        <v>0.680629294926965</v>
      </c>
      <c r="AI2225">
        <v>94.554560849057793</v>
      </c>
      <c r="AJ2225">
        <v>121.628364739321</v>
      </c>
      <c r="AK2225">
        <v>0.80189258639427197</v>
      </c>
      <c r="AL2225">
        <v>68.229355051152496</v>
      </c>
      <c r="AM2225">
        <v>102.65195869772499</v>
      </c>
      <c r="AN2225">
        <v>1.0000000424088999</v>
      </c>
    </row>
    <row r="2226" spans="1:40" x14ac:dyDescent="0.25">
      <c r="A2226" t="str">
        <f>"20190304164643560"</f>
        <v>20190304164643560</v>
      </c>
      <c r="B2226" t="str">
        <f>"1551689203550750"</f>
        <v>1551689203550750</v>
      </c>
      <c r="C2226" t="s">
        <v>40</v>
      </c>
      <c r="D2226">
        <v>4.3264990000000001</v>
      </c>
      <c r="E2226">
        <v>0.3964162</v>
      </c>
      <c r="F2226" t="s">
        <v>41</v>
      </c>
      <c r="G2226">
        <v>-491.0609</v>
      </c>
      <c r="H2226">
        <v>1.0491760000000001</v>
      </c>
      <c r="I2226">
        <v>266.46510000000001</v>
      </c>
      <c r="J2226">
        <v>-491.28140000000002</v>
      </c>
      <c r="K2226">
        <v>1.1158570000000001</v>
      </c>
      <c r="L2226">
        <v>267.22629999999998</v>
      </c>
      <c r="M2226">
        <v>-0.28871629999999998</v>
      </c>
      <c r="N2226">
        <v>-1.2103650000000001E-2</v>
      </c>
      <c r="O2226">
        <v>-0.95733829999999998</v>
      </c>
      <c r="P2226">
        <v>-7.369626E-2</v>
      </c>
      <c r="Q2226">
        <v>0.36239670000000002</v>
      </c>
      <c r="R2226">
        <v>-0.92910590000000004</v>
      </c>
      <c r="S2226">
        <v>0.57693479999999997</v>
      </c>
      <c r="T2226">
        <v>-0.23338030000000001</v>
      </c>
      <c r="U2226">
        <v>-3.3702999999999999</v>
      </c>
      <c r="V2226">
        <v>-0.20219000000000001</v>
      </c>
      <c r="W2226">
        <v>0.37098769999999998</v>
      </c>
      <c r="X2226">
        <v>0.90635940000000004</v>
      </c>
      <c r="Y2226">
        <v>-0.44568150000000001</v>
      </c>
      <c r="Z2226">
        <v>4.818778E-2</v>
      </c>
      <c r="AA2226">
        <v>0.89389370000000001</v>
      </c>
      <c r="AB2226">
        <v>25</v>
      </c>
      <c r="AC2226">
        <v>0.22050000000001499</v>
      </c>
      <c r="AD2226">
        <v>-6.6680999999999699E-2</v>
      </c>
      <c r="AE2226">
        <v>-0.76119999999997301</v>
      </c>
      <c r="AF2226">
        <v>-0.42786630707222101</v>
      </c>
      <c r="AG2226">
        <v>-6.6680999999999699E-2</v>
      </c>
      <c r="AH2226">
        <v>0.66043694197197</v>
      </c>
      <c r="AI2226">
        <v>94.843471128376905</v>
      </c>
      <c r="AJ2226">
        <v>122.937320797792</v>
      </c>
      <c r="AK2226">
        <v>0.78974229138998697</v>
      </c>
      <c r="AL2226">
        <v>68.223456164482499</v>
      </c>
      <c r="AM2226">
        <v>102.57559399695</v>
      </c>
      <c r="AN2226">
        <v>1.0000000158098199</v>
      </c>
    </row>
    <row r="2227" spans="1:40" x14ac:dyDescent="0.25">
      <c r="A2227" t="str">
        <f>"20190304164643581"</f>
        <v>20190304164643581</v>
      </c>
      <c r="B2227" t="str">
        <f>"1551689203570270"</f>
        <v>1551689203570270</v>
      </c>
      <c r="C2227" t="s">
        <v>40</v>
      </c>
      <c r="D2227">
        <v>4.3005599999999999</v>
      </c>
      <c r="E2227">
        <v>0.39748339999999999</v>
      </c>
      <c r="F2227" t="s">
        <v>41</v>
      </c>
      <c r="G2227">
        <v>-491.11309999999997</v>
      </c>
      <c r="H2227">
        <v>1.047558</v>
      </c>
      <c r="I2227">
        <v>266.25490000000002</v>
      </c>
      <c r="J2227">
        <v>-491.34019999999998</v>
      </c>
      <c r="K2227">
        <v>1.115748</v>
      </c>
      <c r="L2227">
        <v>267.00479999999999</v>
      </c>
      <c r="M2227">
        <v>-0.28233029999999998</v>
      </c>
      <c r="N2227">
        <v>-1.2326220000000001E-2</v>
      </c>
      <c r="O2227">
        <v>-0.95923820000000004</v>
      </c>
      <c r="P2227">
        <v>-6.8220379999999997E-2</v>
      </c>
      <c r="Q2227">
        <v>0.36224590000000001</v>
      </c>
      <c r="R2227">
        <v>-0.9295831</v>
      </c>
      <c r="S2227">
        <v>0.58425899999999997</v>
      </c>
      <c r="T2227">
        <v>-0.23677090000000001</v>
      </c>
      <c r="U2227">
        <v>-3.3676149999999998</v>
      </c>
      <c r="V2227">
        <v>-0.2013769</v>
      </c>
      <c r="W2227">
        <v>0.37111880000000003</v>
      </c>
      <c r="X2227">
        <v>0.90648669999999998</v>
      </c>
      <c r="Y2227">
        <v>-0.44170739999999997</v>
      </c>
      <c r="Z2227">
        <v>4.9145710000000002E-2</v>
      </c>
      <c r="AA2227">
        <v>0.89581200000000005</v>
      </c>
      <c r="AB2227">
        <v>25</v>
      </c>
      <c r="AC2227">
        <v>0.22710000000000699</v>
      </c>
      <c r="AD2227">
        <v>-6.8189999999999903E-2</v>
      </c>
      <c r="AE2227">
        <v>-0.74989999999996804</v>
      </c>
      <c r="AF2227">
        <v>-0.42636576533141002</v>
      </c>
      <c r="AG2227">
        <v>-6.8189999999999903E-2</v>
      </c>
      <c r="AH2227">
        <v>0.650339526523252</v>
      </c>
      <c r="AI2227">
        <v>95.011334557950704</v>
      </c>
      <c r="AJ2227">
        <v>123.249044209451</v>
      </c>
      <c r="AK2227">
        <v>0.780627402609675</v>
      </c>
      <c r="AL2227">
        <v>68.2153663757434</v>
      </c>
      <c r="AM2227">
        <v>102.52491733245699</v>
      </c>
      <c r="AN2227">
        <v>0.99999997842196897</v>
      </c>
    </row>
    <row r="2228" spans="1:40" x14ac:dyDescent="0.25">
      <c r="A2228" t="str">
        <f>"20190304164643604"</f>
        <v>20190304164643604</v>
      </c>
      <c r="B2228" t="str">
        <f>"1551689203600527"</f>
        <v>1551689203600527</v>
      </c>
      <c r="C2228" t="s">
        <v>40</v>
      </c>
      <c r="D2228">
        <v>4.3471409999999997</v>
      </c>
      <c r="E2228">
        <v>0.39866869999999999</v>
      </c>
      <c r="F2228" t="s">
        <v>41</v>
      </c>
      <c r="G2228">
        <v>-491.17070000000001</v>
      </c>
      <c r="H2228">
        <v>1.046902</v>
      </c>
      <c r="I2228">
        <v>266.04509999999999</v>
      </c>
      <c r="J2228">
        <v>-491.40219999999999</v>
      </c>
      <c r="K2228">
        <v>1.1156219999999999</v>
      </c>
      <c r="L2228">
        <v>266.76609999999999</v>
      </c>
      <c r="M2228">
        <v>-0.27564919999999998</v>
      </c>
      <c r="N2228">
        <v>-1.2544720000000001E-2</v>
      </c>
      <c r="O2228">
        <v>-0.96117680000000005</v>
      </c>
      <c r="P2228">
        <v>-6.272577E-2</v>
      </c>
      <c r="Q2228">
        <v>0.36262870000000003</v>
      </c>
      <c r="R2228">
        <v>-0.9298208</v>
      </c>
      <c r="S2228">
        <v>0.59481809999999902</v>
      </c>
      <c r="T2228">
        <v>-0.24139640000000001</v>
      </c>
      <c r="U2228">
        <v>-3.365021</v>
      </c>
      <c r="V2228">
        <v>-0.20025109999999999</v>
      </c>
      <c r="W2228">
        <v>0.37178600000000001</v>
      </c>
      <c r="X2228">
        <v>0.90646269999999995</v>
      </c>
      <c r="Y2228">
        <v>-0.43828990000000001</v>
      </c>
      <c r="Z2228">
        <v>5.0424589999999998E-2</v>
      </c>
      <c r="AA2228">
        <v>0.8974181</v>
      </c>
      <c r="AB2228">
        <v>25</v>
      </c>
      <c r="AC2228">
        <v>0.231499999999982</v>
      </c>
      <c r="AD2228">
        <v>-6.8719999999999795E-2</v>
      </c>
      <c r="AE2228">
        <v>-0.72100000000000297</v>
      </c>
      <c r="AF2228">
        <v>-0.41784737670615302</v>
      </c>
      <c r="AG2228">
        <v>-6.8719999999999795E-2</v>
      </c>
      <c r="AH2228">
        <v>0.62410523798157502</v>
      </c>
      <c r="AI2228">
        <v>95.227797334611694</v>
      </c>
      <c r="AJ2228">
        <v>123.80287391646</v>
      </c>
      <c r="AK2228">
        <v>0.75420568593471404</v>
      </c>
      <c r="AL2228">
        <v>68.174192766626703</v>
      </c>
      <c r="AM2228">
        <v>102.457407822256</v>
      </c>
      <c r="AN2228">
        <v>0.99999997966924903</v>
      </c>
    </row>
    <row r="2229" spans="1:40" x14ac:dyDescent="0.25">
      <c r="A2229" t="str">
        <f>"20190304164643628"</f>
        <v>20190304164643628</v>
      </c>
      <c r="B2229" t="str">
        <f>"1551689203621022"</f>
        <v>1551689203621022</v>
      </c>
      <c r="C2229" t="s">
        <v>40</v>
      </c>
      <c r="D2229">
        <v>4.3564819999999997</v>
      </c>
      <c r="E2229">
        <v>0.39926279999999997</v>
      </c>
      <c r="F2229" t="s">
        <v>41</v>
      </c>
      <c r="G2229">
        <v>-491.22820000000002</v>
      </c>
      <c r="H2229">
        <v>1.0468770000000001</v>
      </c>
      <c r="I2229">
        <v>265.79899999999998</v>
      </c>
      <c r="J2229">
        <v>-491.46899999999999</v>
      </c>
      <c r="K2229">
        <v>1.11548</v>
      </c>
      <c r="L2229">
        <v>266.5016</v>
      </c>
      <c r="M2229">
        <v>-0.26847349999999998</v>
      </c>
      <c r="N2229">
        <v>-1.2763160000000001E-2</v>
      </c>
      <c r="O2229">
        <v>-0.96320260000000002</v>
      </c>
      <c r="P2229">
        <v>-5.6677249999999998E-2</v>
      </c>
      <c r="Q2229">
        <v>0.36297560000000001</v>
      </c>
      <c r="R2229">
        <v>-0.93007359999999994</v>
      </c>
      <c r="S2229">
        <v>0.60568239999999995</v>
      </c>
      <c r="T2229">
        <v>-0.2387898</v>
      </c>
      <c r="U2229">
        <v>-3.360382</v>
      </c>
      <c r="V2229">
        <v>-0.19920119999999999</v>
      </c>
      <c r="W2229">
        <v>0.37242330000000001</v>
      </c>
      <c r="X2229">
        <v>0.90643240000000003</v>
      </c>
      <c r="Y2229">
        <v>-0.43461670000000002</v>
      </c>
      <c r="Z2229">
        <v>4.9869030000000002E-2</v>
      </c>
      <c r="AA2229">
        <v>0.89923379999999997</v>
      </c>
      <c r="AB2229">
        <v>25</v>
      </c>
      <c r="AC2229">
        <v>0.240799999999978</v>
      </c>
      <c r="AD2229">
        <v>-6.86029999999999E-2</v>
      </c>
      <c r="AE2229">
        <v>-0.70259999999996103</v>
      </c>
      <c r="AF2229">
        <v>-0.41704477664420198</v>
      </c>
      <c r="AG2229">
        <v>-6.86029999999999E-2</v>
      </c>
      <c r="AH2229">
        <v>0.60696904016449904</v>
      </c>
      <c r="AI2229">
        <v>95.322053763523002</v>
      </c>
      <c r="AJ2229">
        <v>124.49272340828701</v>
      </c>
      <c r="AK2229">
        <v>0.73962431886291102</v>
      </c>
      <c r="AL2229">
        <v>68.134852864976594</v>
      </c>
      <c r="AM2229">
        <v>102.394519726711</v>
      </c>
      <c r="AN2229">
        <v>0.99999996411704395</v>
      </c>
    </row>
    <row r="2230" spans="1:40" x14ac:dyDescent="0.25">
      <c r="A2230" t="str">
        <f>"20190304164643651"</f>
        <v>20190304164643651</v>
      </c>
      <c r="B2230" t="str">
        <f>"1551689203640543"</f>
        <v>1551689203640543</v>
      </c>
      <c r="C2230" t="s">
        <v>40</v>
      </c>
      <c r="D2230">
        <v>4.3849629999999999</v>
      </c>
      <c r="E2230">
        <v>0.39998719999999999</v>
      </c>
      <c r="F2230" t="s">
        <v>42</v>
      </c>
      <c r="G2230">
        <v>-488.51150000000001</v>
      </c>
      <c r="H2230" s="1">
        <v>-7.1685620000000001E-7</v>
      </c>
      <c r="I2230">
        <v>250.5908</v>
      </c>
      <c r="J2230">
        <v>-491.52679999999998</v>
      </c>
      <c r="K2230">
        <v>1.1153360000000001</v>
      </c>
      <c r="L2230">
        <v>266.267</v>
      </c>
      <c r="M2230">
        <v>-0.2623143</v>
      </c>
      <c r="N2230">
        <v>-1.293535E-2</v>
      </c>
      <c r="O2230">
        <v>-0.96489570000000002</v>
      </c>
      <c r="P2230">
        <v>-5.1865910000000001E-2</v>
      </c>
      <c r="Q2230">
        <v>0.36330970000000001</v>
      </c>
      <c r="R2230">
        <v>-0.93022349999999998</v>
      </c>
      <c r="S2230">
        <v>0.62368769999999996</v>
      </c>
      <c r="T2230">
        <v>-0.23524020000000001</v>
      </c>
      <c r="U2230">
        <v>-3.3553769999999998</v>
      </c>
      <c r="V2230">
        <v>-0.19792660000000001</v>
      </c>
      <c r="W2230">
        <v>0.37300040000000001</v>
      </c>
      <c r="X2230">
        <v>0.90647440000000001</v>
      </c>
      <c r="Y2230">
        <v>-0.43377710000000003</v>
      </c>
      <c r="Z2230">
        <v>4.9011640000000002E-2</v>
      </c>
      <c r="AA2230">
        <v>0.89968619999999899</v>
      </c>
      <c r="AB2230">
        <v>25</v>
      </c>
      <c r="AC2230">
        <v>3.0152999999999599</v>
      </c>
      <c r="AD2230">
        <v>-1.1153367168561901</v>
      </c>
      <c r="AE2230">
        <v>-15.6761999999999</v>
      </c>
      <c r="AF2230">
        <v>-6.9880176069688797</v>
      </c>
      <c r="AG2230">
        <v>-1.1153367168561901</v>
      </c>
      <c r="AH2230">
        <v>14.266500551652801</v>
      </c>
      <c r="AI2230">
        <v>94.016073360171902</v>
      </c>
      <c r="AJ2230">
        <v>116.096537952608</v>
      </c>
      <c r="AK2230">
        <v>15.9251186512875</v>
      </c>
      <c r="AL2230">
        <v>68.099221712775204</v>
      </c>
      <c r="AM2230">
        <v>102.317087932373</v>
      </c>
      <c r="AN2230">
        <v>1.0000000376215299</v>
      </c>
    </row>
    <row r="2231" spans="1:40" x14ac:dyDescent="0.25">
      <c r="A2231" t="str">
        <f>"20190304164643672"</f>
        <v>20190304164643672</v>
      </c>
      <c r="B2231" t="str">
        <f>"1551689203661038"</f>
        <v>1551689203661038</v>
      </c>
      <c r="C2231" t="s">
        <v>40</v>
      </c>
      <c r="D2231">
        <v>4.6815709999999999</v>
      </c>
      <c r="E2231">
        <v>0.45533370000000001</v>
      </c>
      <c r="F2231" t="s">
        <v>42</v>
      </c>
      <c r="G2231">
        <v>-488.48230000000001</v>
      </c>
      <c r="H2231" s="1">
        <v>-6.0067169999999996E-7</v>
      </c>
      <c r="I2231">
        <v>250.22649999999999</v>
      </c>
      <c r="J2231">
        <v>-491.58179999999999</v>
      </c>
      <c r="K2231">
        <v>1.115191</v>
      </c>
      <c r="L2231">
        <v>266.03800000000001</v>
      </c>
      <c r="M2231">
        <v>-0.25649379999999999</v>
      </c>
      <c r="N2231">
        <v>-1.308281E-2</v>
      </c>
      <c r="O2231">
        <v>-0.96645740000000002</v>
      </c>
      <c r="P2231">
        <v>-4.6897370000000001E-2</v>
      </c>
      <c r="Q2231">
        <v>0.36357640000000002</v>
      </c>
      <c r="R2231">
        <v>-0.93038339999999997</v>
      </c>
      <c r="S2231">
        <v>0.63610840000000002</v>
      </c>
      <c r="T2231">
        <v>-0.23303940000000001</v>
      </c>
      <c r="U2231">
        <v>-3.3515009999999998</v>
      </c>
      <c r="V2231">
        <v>-0.19713800000000001</v>
      </c>
      <c r="W2231">
        <v>0.3734825</v>
      </c>
      <c r="X2231">
        <v>0.90644769999999997</v>
      </c>
      <c r="Y2231">
        <v>-0.43176039999999999</v>
      </c>
      <c r="Z2231">
        <v>4.8526300000000001E-2</v>
      </c>
      <c r="AA2231">
        <v>0.90068199999999998</v>
      </c>
      <c r="AB2231">
        <v>25</v>
      </c>
      <c r="AC2231">
        <v>3.0994999999999702</v>
      </c>
      <c r="AD2231">
        <v>-1.1151916006717</v>
      </c>
      <c r="AE2231">
        <v>-15.811500000000001</v>
      </c>
      <c r="AF2231">
        <v>-7.0180697089288397</v>
      </c>
      <c r="AG2231">
        <v>-1.1151916006717</v>
      </c>
      <c r="AH2231">
        <v>14.4183072845775</v>
      </c>
      <c r="AI2231">
        <v>93.978211480640994</v>
      </c>
      <c r="AJ2231">
        <v>115.95437011541</v>
      </c>
      <c r="AK2231">
        <v>16.0743441451928</v>
      </c>
      <c r="AL2231">
        <v>68.069446934096405</v>
      </c>
      <c r="AM2231">
        <v>102.269852781042</v>
      </c>
      <c r="AN2231">
        <v>1.0000000008427601</v>
      </c>
    </row>
    <row r="2232" spans="1:40" x14ac:dyDescent="0.25">
      <c r="A2232" t="str">
        <f>"20190304164643695"</f>
        <v>20190304164643695</v>
      </c>
      <c r="B2232" t="str">
        <f>"1551689203690319"</f>
        <v>1551689203690319</v>
      </c>
      <c r="C2232" t="s">
        <v>40</v>
      </c>
      <c r="D2232">
        <v>4.5548400000000004</v>
      </c>
      <c r="E2232">
        <v>0.51560799999999996</v>
      </c>
      <c r="F2232" t="s">
        <v>42</v>
      </c>
      <c r="G2232">
        <v>-490.8544</v>
      </c>
      <c r="H2232" s="1">
        <v>-2.3564570000000001E-6</v>
      </c>
      <c r="I2232">
        <v>254.5521</v>
      </c>
      <c r="J2232">
        <v>-491.63670000000002</v>
      </c>
      <c r="K2232">
        <v>1.1150409999999999</v>
      </c>
      <c r="L2232">
        <v>265.80459999999999</v>
      </c>
      <c r="M2232">
        <v>-0.25076599999999999</v>
      </c>
      <c r="N2232">
        <v>-1.3212730000000001E-2</v>
      </c>
      <c r="O2232">
        <v>-0.96795759999999997</v>
      </c>
      <c r="P2232">
        <v>-4.1877259999999999E-2</v>
      </c>
      <c r="Q2232">
        <v>0.36382949999999997</v>
      </c>
      <c r="R2232">
        <v>-0.93052389999999996</v>
      </c>
      <c r="S2232">
        <v>0.21298220000000001</v>
      </c>
      <c r="T2232">
        <v>-0.32650380000000001</v>
      </c>
      <c r="U2232">
        <v>-3.3627929999999999</v>
      </c>
      <c r="V2232">
        <v>-0.19648570000000001</v>
      </c>
      <c r="W2232">
        <v>0.3739381</v>
      </c>
      <c r="X2232">
        <v>0.90640149999999997</v>
      </c>
      <c r="Y2232">
        <v>-0.31102649999999998</v>
      </c>
      <c r="Z2232">
        <v>7.6248850000000007E-2</v>
      </c>
      <c r="AA2232">
        <v>0.9473376</v>
      </c>
      <c r="AB2232">
        <v>25</v>
      </c>
      <c r="AC2232">
        <v>0.78230000000001998</v>
      </c>
      <c r="AD2232">
        <v>-1.1150433564569999</v>
      </c>
      <c r="AE2232">
        <v>-11.2524999999999</v>
      </c>
      <c r="AF2232">
        <v>-3.5446509836145301</v>
      </c>
      <c r="AG2232">
        <v>-1.1150433564569999</v>
      </c>
      <c r="AH2232">
        <v>10.5931834811584</v>
      </c>
      <c r="AI2232">
        <v>95.700402000013398</v>
      </c>
      <c r="AJ2232">
        <v>108.50107678659499</v>
      </c>
      <c r="AK2232">
        <v>11.226014811495</v>
      </c>
      <c r="AL2232">
        <v>68.041304006149105</v>
      </c>
      <c r="AM2232">
        <v>102.231082348443</v>
      </c>
      <c r="AN2232">
        <v>1.0000000060691701</v>
      </c>
    </row>
    <row r="2233" spans="1:40" x14ac:dyDescent="0.25">
      <c r="A2233" t="str">
        <f>"20190304164643718"</f>
        <v>20190304164643718</v>
      </c>
      <c r="B2233" t="str">
        <f>"1551689203710816"</f>
        <v>1551689203710816</v>
      </c>
      <c r="C2233" t="s">
        <v>40</v>
      </c>
      <c r="D2233">
        <v>4.4600299999999997</v>
      </c>
      <c r="E2233">
        <v>0.51787589999999994</v>
      </c>
      <c r="F2233" t="s">
        <v>42</v>
      </c>
      <c r="G2233">
        <v>-492.32499999999999</v>
      </c>
      <c r="H2233" s="1">
        <v>-3.574697E-6</v>
      </c>
      <c r="I2233">
        <v>256.47969999999998</v>
      </c>
      <c r="J2233">
        <v>-491.69450000000001</v>
      </c>
      <c r="K2233">
        <v>1.1148579999999999</v>
      </c>
      <c r="L2233">
        <v>265.55270000000002</v>
      </c>
      <c r="M2233">
        <v>-0.2448389</v>
      </c>
      <c r="N2233">
        <v>-1.333025E-2</v>
      </c>
      <c r="O2233">
        <v>-0.96947220000000001</v>
      </c>
      <c r="P2233">
        <v>-3.6708169999999998E-2</v>
      </c>
      <c r="Q2233">
        <v>0.3643479</v>
      </c>
      <c r="R2233">
        <v>-0.93053929999999996</v>
      </c>
      <c r="S2233">
        <v>-0.24877929999999901</v>
      </c>
      <c r="T2233">
        <v>-0.4030205</v>
      </c>
      <c r="U2233">
        <v>-3.3703609999999999</v>
      </c>
      <c r="V2233">
        <v>-0.1957594</v>
      </c>
      <c r="W2233">
        <v>0.37465480000000001</v>
      </c>
      <c r="X2233">
        <v>0.90626260000000003</v>
      </c>
      <c r="Y2233">
        <v>-0.1730305</v>
      </c>
      <c r="Z2233">
        <v>9.9170159999999993E-2</v>
      </c>
      <c r="AA2233">
        <v>0.97991110000000003</v>
      </c>
      <c r="AB2233">
        <v>25</v>
      </c>
      <c r="AC2233">
        <v>-0.63049999999998296</v>
      </c>
      <c r="AD2233">
        <v>-1.1148615746970001</v>
      </c>
      <c r="AE2233">
        <v>-9.0730000000000306</v>
      </c>
      <c r="AF2233">
        <v>-1.5864754669104499</v>
      </c>
      <c r="AG2233">
        <v>-1.1148615746970001</v>
      </c>
      <c r="AH2233">
        <v>8.8186761547500598</v>
      </c>
      <c r="AI2233">
        <v>97.092470967291405</v>
      </c>
      <c r="AJ2233">
        <v>100.198396336261</v>
      </c>
      <c r="AK2233">
        <v>9.0293338547315791</v>
      </c>
      <c r="AL2233">
        <v>67.997019421879301</v>
      </c>
      <c r="AM2233">
        <v>102.189036602378</v>
      </c>
      <c r="AN2233">
        <v>0.999999931005077</v>
      </c>
    </row>
    <row r="2234" spans="1:40" x14ac:dyDescent="0.25">
      <c r="A2234" t="str">
        <f>"20190304164643741"</f>
        <v>20190304164643741</v>
      </c>
      <c r="B2234" t="str">
        <f>"1551689203730338"</f>
        <v>1551689203730338</v>
      </c>
      <c r="C2234" t="s">
        <v>40</v>
      </c>
      <c r="D2234">
        <v>4.4967680000000003</v>
      </c>
      <c r="E2234">
        <v>0.51951950000000002</v>
      </c>
      <c r="F2234" t="s">
        <v>42</v>
      </c>
      <c r="G2234">
        <v>-492.39370000000002</v>
      </c>
      <c r="H2234" s="1">
        <v>-3.3919270000000002E-6</v>
      </c>
      <c r="I2234">
        <v>256.0111</v>
      </c>
      <c r="J2234">
        <v>-491.74799999999999</v>
      </c>
      <c r="K2234">
        <v>1.1147020000000001</v>
      </c>
      <c r="L2234">
        <v>265.31389999999999</v>
      </c>
      <c r="M2234">
        <v>-0.23940249999999999</v>
      </c>
      <c r="N2234">
        <v>-1.3425879999999999E-2</v>
      </c>
      <c r="O2234">
        <v>-0.97082760000000001</v>
      </c>
      <c r="P2234">
        <v>-3.1561810000000003E-2</v>
      </c>
      <c r="Q2234">
        <v>0.36501790000000001</v>
      </c>
      <c r="R2234">
        <v>-0.93046549999999995</v>
      </c>
      <c r="S2234">
        <v>-0.2468262</v>
      </c>
      <c r="T2234">
        <v>-0.39355810000000002</v>
      </c>
      <c r="U2234">
        <v>-3.3682859999999999</v>
      </c>
      <c r="V2234">
        <v>-0.19549150000000001</v>
      </c>
      <c r="W2234">
        <v>0.37548540000000002</v>
      </c>
      <c r="X2234">
        <v>0.90597669999999997</v>
      </c>
      <c r="Y2234">
        <v>-0.16802020000000001</v>
      </c>
      <c r="Z2234">
        <v>9.6820080000000003E-2</v>
      </c>
      <c r="AA2234">
        <v>0.98101740000000004</v>
      </c>
      <c r="AB2234">
        <v>25</v>
      </c>
      <c r="AC2234">
        <v>-0.64569999999997596</v>
      </c>
      <c r="AD2234">
        <v>-1.114705391927</v>
      </c>
      <c r="AE2234">
        <v>-9.3027999999999906</v>
      </c>
      <c r="AF2234">
        <v>-1.57784833942359</v>
      </c>
      <c r="AG2234">
        <v>-1.114705391927</v>
      </c>
      <c r="AH2234">
        <v>9.0574026822387896</v>
      </c>
      <c r="AI2234">
        <v>96.913095050672197</v>
      </c>
      <c r="AJ2234">
        <v>99.882064445411203</v>
      </c>
      <c r="AK2234">
        <v>9.2611401480184607</v>
      </c>
      <c r="AL2234">
        <v>67.945683227513996</v>
      </c>
      <c r="AM2234">
        <v>102.176580265818</v>
      </c>
      <c r="AN2234">
        <v>0.99999999656414995</v>
      </c>
    </row>
    <row r="2235" spans="1:40" x14ac:dyDescent="0.25">
      <c r="A2235" t="str">
        <f>"20190304164643761"</f>
        <v>20190304164643761</v>
      </c>
      <c r="B2235" t="str">
        <f>"1551689203750830"</f>
        <v>1551689203750830</v>
      </c>
      <c r="C2235" t="s">
        <v>40</v>
      </c>
      <c r="D2235">
        <v>4.4807980000000001</v>
      </c>
      <c r="E2235">
        <v>0.52052909999999997</v>
      </c>
      <c r="F2235" t="s">
        <v>42</v>
      </c>
      <c r="G2235">
        <v>-492.40780000000001</v>
      </c>
      <c r="H2235" s="1">
        <v>-3.4443190000000001E-6</v>
      </c>
      <c r="I2235">
        <v>256.12450000000001</v>
      </c>
      <c r="J2235">
        <v>-491.79559999999998</v>
      </c>
      <c r="K2235">
        <v>1.114576</v>
      </c>
      <c r="L2235">
        <v>265.0976</v>
      </c>
      <c r="M2235">
        <v>-0.23464260000000001</v>
      </c>
      <c r="N2235">
        <v>-1.3500659999999999E-2</v>
      </c>
      <c r="O2235">
        <v>-0.97198810000000002</v>
      </c>
      <c r="P2235">
        <v>-2.7211579999999999E-2</v>
      </c>
      <c r="Q2235">
        <v>0.36472529999999997</v>
      </c>
      <c r="R2235">
        <v>-0.93071780000000004</v>
      </c>
      <c r="S2235">
        <v>-0.2424316</v>
      </c>
      <c r="T2235">
        <v>-0.4096012</v>
      </c>
      <c r="U2235">
        <v>-3.3766780000000001</v>
      </c>
      <c r="V2235">
        <v>-0.1951909</v>
      </c>
      <c r="W2235">
        <v>0.37532720000000003</v>
      </c>
      <c r="X2235">
        <v>0.90610710000000005</v>
      </c>
      <c r="Y2235">
        <v>-0.164664899999999</v>
      </c>
      <c r="Z2235">
        <v>0.1011387</v>
      </c>
      <c r="AA2235">
        <v>0.98115059999999998</v>
      </c>
      <c r="AB2235">
        <v>25</v>
      </c>
      <c r="AC2235">
        <v>-0.61220000000002905</v>
      </c>
      <c r="AD2235">
        <v>-1.114579444319</v>
      </c>
      <c r="AE2235">
        <v>-8.9730999999999792</v>
      </c>
      <c r="AF2235">
        <v>-1.4877103603733299</v>
      </c>
      <c r="AG2235">
        <v>-1.114579444319</v>
      </c>
      <c r="AH2235">
        <v>8.7320983160421992</v>
      </c>
      <c r="AI2235">
        <v>97.171751557982105</v>
      </c>
      <c r="AJ2235">
        <v>99.668793231998905</v>
      </c>
      <c r="AK2235">
        <v>8.9277718639696193</v>
      </c>
      <c r="AL2235">
        <v>67.9554635914035</v>
      </c>
      <c r="AM2235">
        <v>102.15671654749001</v>
      </c>
      <c r="AN2235">
        <v>1.00000003558652</v>
      </c>
    </row>
    <row r="2236" spans="1:40" x14ac:dyDescent="0.25">
      <c r="A2236" t="str">
        <f>"20190304164643783"</f>
        <v>20190304164643783</v>
      </c>
      <c r="B2236" t="str">
        <f>"1551689203770351"</f>
        <v>1551689203770351</v>
      </c>
      <c r="C2236" t="s">
        <v>40</v>
      </c>
      <c r="D2236">
        <v>4.5049020000000004</v>
      </c>
      <c r="E2236">
        <v>0.52156939999999996</v>
      </c>
      <c r="F2236" t="s">
        <v>42</v>
      </c>
      <c r="G2236">
        <v>-492.4128</v>
      </c>
      <c r="H2236" s="1">
        <v>-3.4773959999999998E-6</v>
      </c>
      <c r="I2236">
        <v>256.19850000000002</v>
      </c>
      <c r="J2236">
        <v>-491.84530000000001</v>
      </c>
      <c r="K2236">
        <v>1.1144449999999999</v>
      </c>
      <c r="L2236">
        <v>264.86680000000001</v>
      </c>
      <c r="M2236">
        <v>-0.22975699999999999</v>
      </c>
      <c r="N2236">
        <v>-1.3568149999999999E-2</v>
      </c>
      <c r="O2236">
        <v>-0.9731535</v>
      </c>
      <c r="P2236">
        <v>-2.3315929999999999E-2</v>
      </c>
      <c r="Q2236">
        <v>0.36449359999999997</v>
      </c>
      <c r="R2236">
        <v>-0.93091389999999996</v>
      </c>
      <c r="S2236">
        <v>-0.23458860000000001</v>
      </c>
      <c r="T2236">
        <v>-0.42364679999999999</v>
      </c>
      <c r="U2236">
        <v>-3.3825069999999999</v>
      </c>
      <c r="V2236">
        <v>-0.1943201</v>
      </c>
      <c r="W2236">
        <v>0.37523220000000002</v>
      </c>
      <c r="X2236">
        <v>0.90633359999999996</v>
      </c>
      <c r="Y2236">
        <v>-0.16211919999999999</v>
      </c>
      <c r="Z2236">
        <v>0.1049881</v>
      </c>
      <c r="AA2236">
        <v>0.98117019999999999</v>
      </c>
      <c r="AB2236">
        <v>25</v>
      </c>
      <c r="AC2236">
        <v>-0.56749999999999501</v>
      </c>
      <c r="AD2236">
        <v>-1.1144484773959999</v>
      </c>
      <c r="AE2236">
        <v>-8.6682999999999808</v>
      </c>
      <c r="AF2236">
        <v>-1.4161622757457999</v>
      </c>
      <c r="AG2236">
        <v>-1.1144484773959999</v>
      </c>
      <c r="AH2236">
        <v>8.4280472758412497</v>
      </c>
      <c r="AI2236">
        <v>97.429608507850702</v>
      </c>
      <c r="AJ2236">
        <v>99.538290859953307</v>
      </c>
      <c r="AK2236">
        <v>8.6185550925796708</v>
      </c>
      <c r="AL2236">
        <v>67.961336217284199</v>
      </c>
      <c r="AM2236">
        <v>102.101149067017</v>
      </c>
      <c r="AN2236">
        <v>1.0000000498349</v>
      </c>
    </row>
    <row r="2237" spans="1:40" x14ac:dyDescent="0.25">
      <c r="A2237" t="str">
        <f>"20190304164643805"</f>
        <v>20190304164643805</v>
      </c>
      <c r="B2237" t="str">
        <f>"1551689203800607"</f>
        <v>1551689203800607</v>
      </c>
      <c r="C2237" t="s">
        <v>40</v>
      </c>
      <c r="D2237">
        <v>4.5238630000000004</v>
      </c>
      <c r="E2237">
        <v>0.52281489999999997</v>
      </c>
      <c r="F2237" t="s">
        <v>42</v>
      </c>
      <c r="G2237">
        <v>-492.42759999999998</v>
      </c>
      <c r="H2237" s="1">
        <v>-3.4580810000000001E-6</v>
      </c>
      <c r="I2237">
        <v>256.14429999999999</v>
      </c>
      <c r="J2237">
        <v>-491.89550000000003</v>
      </c>
      <c r="K2237">
        <v>1.114303</v>
      </c>
      <c r="L2237">
        <v>264.62909999999999</v>
      </c>
      <c r="M2237">
        <v>-0.2249369</v>
      </c>
      <c r="N2237">
        <v>-1.362524E-2</v>
      </c>
      <c r="O2237">
        <v>-0.97427810000000004</v>
      </c>
      <c r="P2237">
        <v>-2.055479E-2</v>
      </c>
      <c r="Q2237">
        <v>0.3637553</v>
      </c>
      <c r="R2237">
        <v>-0.93126779999999998</v>
      </c>
      <c r="S2237">
        <v>-0.2260742</v>
      </c>
      <c r="T2237">
        <v>-0.4326663</v>
      </c>
      <c r="U2237">
        <v>-3.3863829999999999</v>
      </c>
      <c r="V2237">
        <v>-0.19243450000000001</v>
      </c>
      <c r="W2237">
        <v>0.37463930000000001</v>
      </c>
      <c r="X2237">
        <v>0.90698089999999998</v>
      </c>
      <c r="Y2237">
        <v>-0.15978410000000001</v>
      </c>
      <c r="Z2237">
        <v>0.10752</v>
      </c>
      <c r="AA2237">
        <v>0.98127900000000001</v>
      </c>
      <c r="AB2237">
        <v>24</v>
      </c>
      <c r="AC2237">
        <v>-0.53209999999995705</v>
      </c>
      <c r="AD2237">
        <v>-1.114306458081</v>
      </c>
      <c r="AE2237">
        <v>-8.4847999999999999</v>
      </c>
      <c r="AF2237">
        <v>-1.3667790661333299</v>
      </c>
      <c r="AG2237">
        <v>-1.114306458081</v>
      </c>
      <c r="AH2237">
        <v>8.2453671514155005</v>
      </c>
      <c r="AI2237">
        <v>97.594120737012105</v>
      </c>
      <c r="AJ2237">
        <v>99.411953269562204</v>
      </c>
      <c r="AK2237">
        <v>8.4318351122269402</v>
      </c>
      <c r="AL2237">
        <v>67.997978806741401</v>
      </c>
      <c r="AM2237">
        <v>101.978829305717</v>
      </c>
      <c r="AN2237">
        <v>0.99999999742977497</v>
      </c>
    </row>
    <row r="2238" spans="1:40" x14ac:dyDescent="0.25">
      <c r="A2238" t="str">
        <f>"20190304164643843"</f>
        <v>20190304164643843</v>
      </c>
      <c r="B2238" t="str">
        <f>"1551689203830863"</f>
        <v>1551689203830863</v>
      </c>
      <c r="C2238" t="s">
        <v>40</v>
      </c>
      <c r="D2238">
        <v>4.5232400000000004</v>
      </c>
      <c r="E2238">
        <v>0.52361499999999905</v>
      </c>
      <c r="F2238" t="s">
        <v>42</v>
      </c>
      <c r="G2238">
        <v>-492.44369999999998</v>
      </c>
      <c r="H2238" s="1">
        <v>-3.4662960000000001E-6</v>
      </c>
      <c r="I2238">
        <v>256.15350000000001</v>
      </c>
      <c r="J2238">
        <v>-491.97640000000001</v>
      </c>
      <c r="K2238">
        <v>1.114058</v>
      </c>
      <c r="L2238">
        <v>264.23570000000001</v>
      </c>
      <c r="M2238">
        <v>-0.2173966</v>
      </c>
      <c r="N2238">
        <v>-1.3697580000000001E-2</v>
      </c>
      <c r="O2238">
        <v>-0.9759873</v>
      </c>
      <c r="P2238">
        <v>-1.4707899999999999E-2</v>
      </c>
      <c r="Q2238">
        <v>0.36196450000000002</v>
      </c>
      <c r="R2238">
        <v>-0.93207589999999996</v>
      </c>
      <c r="S2238">
        <v>-0.2192993</v>
      </c>
      <c r="T2238">
        <v>-0.44578119999999999</v>
      </c>
      <c r="U2238">
        <v>-3.3906860000000001</v>
      </c>
      <c r="V2238">
        <v>-0.1910171</v>
      </c>
      <c r="W2238">
        <v>0.37305389999999999</v>
      </c>
      <c r="X2238">
        <v>0.90793349999999995</v>
      </c>
      <c r="Y2238">
        <v>-0.1542114</v>
      </c>
      <c r="Z2238">
        <v>0.111295699999999</v>
      </c>
      <c r="AA2238">
        <v>0.98174950000000005</v>
      </c>
      <c r="AB2238">
        <v>24</v>
      </c>
      <c r="AC2238">
        <v>-0.46729999999996602</v>
      </c>
      <c r="AD2238">
        <v>-1.114061466296</v>
      </c>
      <c r="AE2238">
        <v>-8.0822000000000003</v>
      </c>
      <c r="AF2238">
        <v>-1.2769052505149201</v>
      </c>
      <c r="AG2238">
        <v>-1.114061466296</v>
      </c>
      <c r="AH2238">
        <v>7.8419604603530697</v>
      </c>
      <c r="AI2238">
        <v>97.981831209935294</v>
      </c>
      <c r="AJ2238">
        <v>99.248298117414805</v>
      </c>
      <c r="AK2238">
        <v>8.0229647781365099</v>
      </c>
      <c r="AL2238">
        <v>68.095916885582199</v>
      </c>
      <c r="AM2238">
        <v>101.880995938241</v>
      </c>
      <c r="AN2238">
        <v>0.999999992609935</v>
      </c>
    </row>
    <row r="2239" spans="1:40" x14ac:dyDescent="0.25">
      <c r="A2239" t="str">
        <f>"20190304164643883"</f>
        <v>20190304164643883</v>
      </c>
      <c r="B2239" t="str">
        <f>"1551689203880639"</f>
        <v>1551689203880639</v>
      </c>
      <c r="C2239" t="s">
        <v>40</v>
      </c>
      <c r="D2239">
        <v>4.5136830000000003</v>
      </c>
      <c r="E2239">
        <v>0.52465479999999998</v>
      </c>
      <c r="F2239" t="s">
        <v>42</v>
      </c>
      <c r="G2239">
        <v>-492.45859999999999</v>
      </c>
      <c r="H2239" s="1">
        <v>-3.4210680000000001E-6</v>
      </c>
      <c r="I2239">
        <v>256.03879999999998</v>
      </c>
      <c r="J2239">
        <v>-492.06200000000001</v>
      </c>
      <c r="K2239">
        <v>1.1138680000000001</v>
      </c>
      <c r="L2239">
        <v>263.80520000000001</v>
      </c>
      <c r="M2239">
        <v>-0.2096462</v>
      </c>
      <c r="N2239">
        <v>-1.375548E-2</v>
      </c>
      <c r="O2239">
        <v>-0.97768069999999896</v>
      </c>
      <c r="P2239">
        <v>-7.5156299999999997E-3</v>
      </c>
      <c r="Q2239">
        <v>0.36153069999999998</v>
      </c>
      <c r="R2239">
        <v>-0.93233029999999995</v>
      </c>
      <c r="S2239">
        <v>-0.199707</v>
      </c>
      <c r="T2239">
        <v>-0.46136490000000002</v>
      </c>
      <c r="U2239">
        <v>-3.3945919999999998</v>
      </c>
      <c r="V2239">
        <v>-0.19065009999999999</v>
      </c>
      <c r="W2239">
        <v>0.37277909999999997</v>
      </c>
      <c r="X2239">
        <v>0.90812349999999997</v>
      </c>
      <c r="Y2239">
        <v>-0.1521158</v>
      </c>
      <c r="Z2239">
        <v>0.115757399999999</v>
      </c>
      <c r="AA2239">
        <v>0.98156049999999995</v>
      </c>
      <c r="AB2239">
        <v>24</v>
      </c>
      <c r="AC2239">
        <v>-0.39660000000003398</v>
      </c>
      <c r="AD2239">
        <v>-1.1138714210680001</v>
      </c>
      <c r="AE2239">
        <v>-7.7664000000000302</v>
      </c>
      <c r="AF2239">
        <v>-1.2156251121193</v>
      </c>
      <c r="AG2239">
        <v>-1.1138714210680001</v>
      </c>
      <c r="AH2239">
        <v>7.5225942830876802</v>
      </c>
      <c r="AI2239">
        <v>98.316248832502296</v>
      </c>
      <c r="AJ2239">
        <v>99.179445624291802</v>
      </c>
      <c r="AK2239">
        <v>7.7011608672868697</v>
      </c>
      <c r="AL2239">
        <v>68.112886098716302</v>
      </c>
      <c r="AM2239">
        <v>101.856405102032</v>
      </c>
      <c r="AN2239">
        <v>1.0000000046395301</v>
      </c>
    </row>
    <row r="2240" spans="1:40" x14ac:dyDescent="0.25">
      <c r="A2240" t="str">
        <f>"20190304164643906"</f>
        <v>20190304164643906</v>
      </c>
      <c r="B2240" t="str">
        <f>"1551689203900159"</f>
        <v>1551689203900159</v>
      </c>
      <c r="C2240" t="s">
        <v>40</v>
      </c>
      <c r="D2240">
        <v>4.524559</v>
      </c>
      <c r="E2240">
        <v>0.52522100000000005</v>
      </c>
      <c r="F2240" t="s">
        <v>42</v>
      </c>
      <c r="G2240">
        <v>-492.49650000000003</v>
      </c>
      <c r="H2240" s="1">
        <v>-3.270007E-6</v>
      </c>
      <c r="I2240">
        <v>255.66319999999999</v>
      </c>
      <c r="J2240">
        <v>-492.10969999999998</v>
      </c>
      <c r="K2240">
        <v>1.113788</v>
      </c>
      <c r="L2240">
        <v>263.55869999999999</v>
      </c>
      <c r="M2240">
        <v>-0.20539569999999999</v>
      </c>
      <c r="N2240">
        <v>-1.3781180000000001E-2</v>
      </c>
      <c r="O2240">
        <v>-0.97858199999999995</v>
      </c>
      <c r="P2240">
        <v>-3.6484389999999998E-3</v>
      </c>
      <c r="Q2240">
        <v>0.36252570000000001</v>
      </c>
      <c r="R2240">
        <v>-0.93196650000000003</v>
      </c>
      <c r="S2240">
        <v>-0.1812744</v>
      </c>
      <c r="T2240">
        <v>-0.46465190000000001</v>
      </c>
      <c r="U2240">
        <v>-3.3964539999999999</v>
      </c>
      <c r="V2240">
        <v>-0.19032009999999999</v>
      </c>
      <c r="W2240">
        <v>0.37383369999999999</v>
      </c>
      <c r="X2240">
        <v>0.90775910000000004</v>
      </c>
      <c r="Y2240">
        <v>-0.15316579999999999</v>
      </c>
      <c r="Z2240">
        <v>0.1167483</v>
      </c>
      <c r="AA2240">
        <v>0.98127980000000004</v>
      </c>
      <c r="AB2240">
        <v>24</v>
      </c>
      <c r="AC2240">
        <v>-0.38680000000004999</v>
      </c>
      <c r="AD2240">
        <v>-1.1137912700070001</v>
      </c>
      <c r="AE2240">
        <v>-7.8954999999999904</v>
      </c>
      <c r="AF2240">
        <v>-1.2191024835776001</v>
      </c>
      <c r="AG2240">
        <v>-1.1137912700070001</v>
      </c>
      <c r="AH2240">
        <v>7.6546218067187999</v>
      </c>
      <c r="AI2240">
        <v>98.177127412625197</v>
      </c>
      <c r="AJ2240">
        <v>99.049131722232403</v>
      </c>
      <c r="AK2240">
        <v>7.8307073028241696</v>
      </c>
      <c r="AL2240">
        <v>68.047752822481399</v>
      </c>
      <c r="AM2240">
        <v>101.84107940370301</v>
      </c>
      <c r="AN2240">
        <v>0.99999997967625398</v>
      </c>
    </row>
    <row r="2241" spans="1:40" x14ac:dyDescent="0.25">
      <c r="A2241" t="str">
        <f>"20190304164643929"</f>
        <v>20190304164643929</v>
      </c>
      <c r="B2241" t="str">
        <f>"1551689203920658"</f>
        <v>1551689203920658</v>
      </c>
      <c r="C2241" t="s">
        <v>40</v>
      </c>
      <c r="D2241">
        <v>4.5017339999999999</v>
      </c>
      <c r="E2241">
        <v>0.52581929999999999</v>
      </c>
      <c r="F2241" t="s">
        <v>42</v>
      </c>
      <c r="G2241">
        <v>-492.51429999999999</v>
      </c>
      <c r="H2241" s="1">
        <v>-3.1767189999999999E-6</v>
      </c>
      <c r="I2241">
        <v>255.43459999999999</v>
      </c>
      <c r="J2241">
        <v>-492.15559999999999</v>
      </c>
      <c r="K2241">
        <v>1.1137250000000001</v>
      </c>
      <c r="L2241">
        <v>263.31619999999998</v>
      </c>
      <c r="M2241">
        <v>-0.20132079999999999</v>
      </c>
      <c r="N2241">
        <v>-1.3801880000000001E-2</v>
      </c>
      <c r="O2241">
        <v>-0.97942819999999997</v>
      </c>
      <c r="P2241">
        <v>7.5076709999999998E-4</v>
      </c>
      <c r="Q2241">
        <v>0.36384549999999999</v>
      </c>
      <c r="R2241">
        <v>-0.93145940000000005</v>
      </c>
      <c r="S2241">
        <v>-0.16934199999999999</v>
      </c>
      <c r="T2241">
        <v>-0.4660802</v>
      </c>
      <c r="U2241">
        <v>-3.399597</v>
      </c>
      <c r="V2241">
        <v>-0.1906774</v>
      </c>
      <c r="W2241">
        <v>0.37519010000000003</v>
      </c>
      <c r="X2241">
        <v>0.90712429999999999</v>
      </c>
      <c r="Y2241">
        <v>-0.15253849999999999</v>
      </c>
      <c r="Z2241">
        <v>0.1171857</v>
      </c>
      <c r="AA2241">
        <v>0.98132540000000001</v>
      </c>
      <c r="AB2241">
        <v>24</v>
      </c>
      <c r="AC2241">
        <v>-0.35869999999999802</v>
      </c>
      <c r="AD2241">
        <v>-1.1137281767189999</v>
      </c>
      <c r="AE2241">
        <v>-7.8815999999999899</v>
      </c>
      <c r="AF2241">
        <v>-1.2113879874368201</v>
      </c>
      <c r="AG2241">
        <v>-1.1137281767189999</v>
      </c>
      <c r="AH2241">
        <v>7.6401747540172797</v>
      </c>
      <c r="AI2241">
        <v>98.192809851535003</v>
      </c>
      <c r="AJ2241">
        <v>99.009533532042795</v>
      </c>
      <c r="AK2241">
        <v>7.8153772512686199</v>
      </c>
      <c r="AL2241">
        <v>67.963937078627694</v>
      </c>
      <c r="AM2241">
        <v>101.87074609689</v>
      </c>
      <c r="AN2241">
        <v>0.99999998882962904</v>
      </c>
    </row>
    <row r="2242" spans="1:40" x14ac:dyDescent="0.25">
      <c r="A2242" t="str">
        <f>"20190304164643950"</f>
        <v>20190304164643950</v>
      </c>
      <c r="B2242" t="str">
        <f>"1551689203940175"</f>
        <v>1551689203940175</v>
      </c>
      <c r="C2242" t="s">
        <v>40</v>
      </c>
      <c r="D2242">
        <v>4.4821879999999998</v>
      </c>
      <c r="E2242">
        <v>0.52640480000000001</v>
      </c>
      <c r="F2242" t="s">
        <v>42</v>
      </c>
      <c r="G2242">
        <v>-492.53660000000002</v>
      </c>
      <c r="H2242" s="1">
        <v>-3.0643980000000002E-6</v>
      </c>
      <c r="I2242">
        <v>255.1591</v>
      </c>
      <c r="J2242">
        <v>-492.19779999999997</v>
      </c>
      <c r="K2242">
        <v>1.1136809999999999</v>
      </c>
      <c r="L2242">
        <v>263.08920000000001</v>
      </c>
      <c r="M2242">
        <v>-0.19758400000000001</v>
      </c>
      <c r="N2242">
        <v>-1.381754E-2</v>
      </c>
      <c r="O2242">
        <v>-0.98018859999999997</v>
      </c>
      <c r="P2242">
        <v>5.060897E-3</v>
      </c>
      <c r="Q2242">
        <v>0.3647725</v>
      </c>
      <c r="R2242">
        <v>-0.93108270000000004</v>
      </c>
      <c r="S2242">
        <v>-0.15890499999999999</v>
      </c>
      <c r="T2242">
        <v>-0.46453420000000001</v>
      </c>
      <c r="U2242">
        <v>-3.4023439999999998</v>
      </c>
      <c r="V2242">
        <v>-0.191307</v>
      </c>
      <c r="W2242">
        <v>0.37614389999999998</v>
      </c>
      <c r="X2242">
        <v>0.90659659999999997</v>
      </c>
      <c r="Y2242">
        <v>-0.151811</v>
      </c>
      <c r="Z2242">
        <v>0.1168043</v>
      </c>
      <c r="AA2242">
        <v>0.98148360000000001</v>
      </c>
      <c r="AB2242">
        <v>24</v>
      </c>
      <c r="AC2242">
        <v>-0.33880000000004801</v>
      </c>
      <c r="AD2242">
        <v>-1.1136840643979999</v>
      </c>
      <c r="AE2242">
        <v>-7.9301000000000004</v>
      </c>
      <c r="AF2242">
        <v>-1.21104917975704</v>
      </c>
      <c r="AG2242">
        <v>-1.1136840643979999</v>
      </c>
      <c r="AH2242">
        <v>7.6893057197242998</v>
      </c>
      <c r="AI2242">
        <v>98.142156740943406</v>
      </c>
      <c r="AJ2242">
        <v>98.950438894939495</v>
      </c>
      <c r="AK2242">
        <v>7.8633551848094196</v>
      </c>
      <c r="AL2242">
        <v>67.904969467698905</v>
      </c>
      <c r="AM2242">
        <v>101.915558503216</v>
      </c>
      <c r="AN2242">
        <v>0.99999999844388399</v>
      </c>
    </row>
    <row r="2243" spans="1:40" x14ac:dyDescent="0.25">
      <c r="A2243" t="str">
        <f>"20190304164643972"</f>
        <v>20190304164643972</v>
      </c>
      <c r="B2243" t="str">
        <f>"1551689203960671"</f>
        <v>1551689203960671</v>
      </c>
      <c r="C2243" t="s">
        <v>40</v>
      </c>
      <c r="D2243">
        <v>4.4459920000000004</v>
      </c>
      <c r="E2243">
        <v>0.52700000000000002</v>
      </c>
      <c r="F2243" t="s">
        <v>42</v>
      </c>
      <c r="G2243">
        <v>-492.55439999999999</v>
      </c>
      <c r="H2243" s="1">
        <v>-2.9706180000000001E-6</v>
      </c>
      <c r="I2243">
        <v>254.92939999999999</v>
      </c>
      <c r="J2243">
        <v>-492.23869999999999</v>
      </c>
      <c r="K2243">
        <v>1.1136330000000001</v>
      </c>
      <c r="L2243">
        <v>262.8639</v>
      </c>
      <c r="M2243">
        <v>-0.19393630000000001</v>
      </c>
      <c r="N2243">
        <v>-1.38301E-2</v>
      </c>
      <c r="O2243">
        <v>-0.98091680000000003</v>
      </c>
      <c r="P2243">
        <v>9.14856E-3</v>
      </c>
      <c r="Q2243">
        <v>0.36537029999999998</v>
      </c>
      <c r="R2243">
        <v>-0.93081760000000002</v>
      </c>
      <c r="S2243">
        <v>-0.14880370000000001</v>
      </c>
      <c r="T2243">
        <v>-0.46471390000000001</v>
      </c>
      <c r="U2243">
        <v>-3.4048769999999902</v>
      </c>
      <c r="V2243">
        <v>-0.19183020000000001</v>
      </c>
      <c r="W2243">
        <v>0.37676809999999999</v>
      </c>
      <c r="X2243">
        <v>0.9062268</v>
      </c>
      <c r="Y2243">
        <v>-0.15107499999999999</v>
      </c>
      <c r="Z2243">
        <v>0.11690349999999999</v>
      </c>
      <c r="AA2243">
        <v>0.98158540000000005</v>
      </c>
      <c r="AB2243">
        <v>24</v>
      </c>
      <c r="AC2243">
        <v>-0.31569999999999199</v>
      </c>
      <c r="AD2243">
        <v>-1.1136359706179999</v>
      </c>
      <c r="AE2243">
        <v>-7.9345000000000097</v>
      </c>
      <c r="AF2243">
        <v>-1.20551933638013</v>
      </c>
      <c r="AG2243">
        <v>-1.1136359706179999</v>
      </c>
      <c r="AH2243">
        <v>7.6937385420651703</v>
      </c>
      <c r="AI2243">
        <v>98.138178080283097</v>
      </c>
      <c r="AJ2243">
        <v>98.905175563781199</v>
      </c>
      <c r="AK2243">
        <v>7.8668338420930004</v>
      </c>
      <c r="AL2243">
        <v>67.866366023044193</v>
      </c>
      <c r="AM2243">
        <v>101.95194589055799</v>
      </c>
      <c r="AN2243">
        <v>1.0000000199239401</v>
      </c>
    </row>
    <row r="2244" spans="1:40" x14ac:dyDescent="0.25">
      <c r="A2244" t="str">
        <f>"20190304164643995"</f>
        <v>20190304164643995</v>
      </c>
      <c r="B2244" t="str">
        <f>"1551689203990927"</f>
        <v>1551689203990927</v>
      </c>
      <c r="C2244" t="s">
        <v>40</v>
      </c>
      <c r="D2244">
        <v>4.3956850000000003</v>
      </c>
      <c r="E2244">
        <v>0.53781259999999997</v>
      </c>
      <c r="F2244" t="s">
        <v>42</v>
      </c>
      <c r="G2244">
        <v>-492.5693</v>
      </c>
      <c r="H2244" s="1">
        <v>-2.8852949999999998E-6</v>
      </c>
      <c r="I2244">
        <v>254.72130000000001</v>
      </c>
      <c r="J2244">
        <v>-492.28140000000002</v>
      </c>
      <c r="K2244">
        <v>1.1135949999999999</v>
      </c>
      <c r="L2244">
        <v>262.625</v>
      </c>
      <c r="M2244">
        <v>-0.19012009999999999</v>
      </c>
      <c r="N2244">
        <v>-1.38409E-2</v>
      </c>
      <c r="O2244">
        <v>-0.98166359999999997</v>
      </c>
      <c r="P2244">
        <v>1.358881E-2</v>
      </c>
      <c r="Q2244">
        <v>0.36535440000000002</v>
      </c>
      <c r="R2244">
        <v>-0.93076970000000003</v>
      </c>
      <c r="S2244">
        <v>-0.13833619999999999</v>
      </c>
      <c r="T2244">
        <v>-0.46599649999999998</v>
      </c>
      <c r="U2244">
        <v>-3.407257</v>
      </c>
      <c r="V2244">
        <v>-0.1925858</v>
      </c>
      <c r="W2244">
        <v>0.37677949999999999</v>
      </c>
      <c r="X2244">
        <v>0.90606180000000003</v>
      </c>
      <c r="Y2244">
        <v>-0.1502732</v>
      </c>
      <c r="Z2244">
        <v>0.1173192</v>
      </c>
      <c r="AA2244">
        <v>0.9816589</v>
      </c>
      <c r="AB2244">
        <v>24</v>
      </c>
      <c r="AC2244">
        <v>-0.28789999999997901</v>
      </c>
      <c r="AD2244">
        <v>-1.1135978852949999</v>
      </c>
      <c r="AE2244">
        <v>-7.9036999999999802</v>
      </c>
      <c r="AF2244">
        <v>-1.19642820441984</v>
      </c>
      <c r="AG2244">
        <v>-1.1135978852949999</v>
      </c>
      <c r="AH2244">
        <v>7.6623477353142802</v>
      </c>
      <c r="AI2244">
        <v>98.171463457675699</v>
      </c>
      <c r="AJ2244">
        <v>98.874720075454206</v>
      </c>
      <c r="AK2244">
        <v>7.8347376162409299</v>
      </c>
      <c r="AL2244">
        <v>67.865661207402297</v>
      </c>
      <c r="AM2244">
        <v>101.99978334818699</v>
      </c>
      <c r="AN2244">
        <v>1.0000000337005599</v>
      </c>
    </row>
    <row r="2245" spans="1:40" x14ac:dyDescent="0.25">
      <c r="A2245" t="str">
        <f>"20190304164644020"</f>
        <v>20190304164644020</v>
      </c>
      <c r="B2245" t="str">
        <f>"1551689204010447"</f>
        <v>1551689204010447</v>
      </c>
      <c r="C2245" t="s">
        <v>40</v>
      </c>
      <c r="D2245">
        <v>4.3776359999999999</v>
      </c>
      <c r="E2245">
        <v>0.53763609999999995</v>
      </c>
      <c r="F2245" t="s">
        <v>42</v>
      </c>
      <c r="G2245">
        <v>-492.74990000000003</v>
      </c>
      <c r="H2245" s="1">
        <v>-3.0306630000000001E-6</v>
      </c>
      <c r="I2245">
        <v>254.94810000000001</v>
      </c>
      <c r="J2245">
        <v>-492.3272</v>
      </c>
      <c r="K2245">
        <v>1.1135539999999999</v>
      </c>
      <c r="L2245">
        <v>262.36180000000002</v>
      </c>
      <c r="M2245">
        <v>-0.18597379999999999</v>
      </c>
      <c r="N2245">
        <v>-1.384997E-2</v>
      </c>
      <c r="O2245">
        <v>-0.98245720000000003</v>
      </c>
      <c r="P2245">
        <v>1.9169479999999999E-2</v>
      </c>
      <c r="Q2245">
        <v>0.36615760000000003</v>
      </c>
      <c r="R2245">
        <v>-0.93035570000000001</v>
      </c>
      <c r="S2245">
        <v>-0.2088013</v>
      </c>
      <c r="T2245">
        <v>-0.49623640000000002</v>
      </c>
      <c r="U2245">
        <v>-3.4209589999999999</v>
      </c>
      <c r="V2245">
        <v>-0.1941013</v>
      </c>
      <c r="W2245">
        <v>0.37759690000000001</v>
      </c>
      <c r="X2245">
        <v>0.90539780000000003</v>
      </c>
      <c r="Y2245">
        <v>-0.12613060000000001</v>
      </c>
      <c r="Z2245">
        <v>0.1254789</v>
      </c>
      <c r="AA2245">
        <v>0.98404579999999997</v>
      </c>
      <c r="AB2245">
        <v>24</v>
      </c>
      <c r="AC2245">
        <v>-0.42270000000002</v>
      </c>
      <c r="AD2245">
        <v>-1.113557030663</v>
      </c>
      <c r="AE2245">
        <v>-7.4137000000000004</v>
      </c>
      <c r="AF2245">
        <v>-0.94236986657052402</v>
      </c>
      <c r="AG2245">
        <v>-1.113557030663</v>
      </c>
      <c r="AH2245">
        <v>7.2010248439686197</v>
      </c>
      <c r="AI2245">
        <v>98.717342628801802</v>
      </c>
      <c r="AJ2245">
        <v>97.455704547034898</v>
      </c>
      <c r="AK2245">
        <v>7.3473007988929098</v>
      </c>
      <c r="AL2245">
        <v>67.815090617545394</v>
      </c>
      <c r="AM2245">
        <v>102.10005022396</v>
      </c>
      <c r="AN2245">
        <v>0.99999995489806903</v>
      </c>
    </row>
    <row r="2246" spans="1:40" x14ac:dyDescent="0.25">
      <c r="A2246" t="str">
        <f>"20190304164644042"</f>
        <v>20190304164644042</v>
      </c>
      <c r="B2246" t="str">
        <f>"1551689204030943"</f>
        <v>1551689204030943</v>
      </c>
      <c r="C2246" t="s">
        <v>40</v>
      </c>
      <c r="D2246">
        <v>4.3531649999999997</v>
      </c>
      <c r="E2246">
        <v>0.53842900000000005</v>
      </c>
      <c r="F2246" t="s">
        <v>42</v>
      </c>
      <c r="G2246">
        <v>-492.7475</v>
      </c>
      <c r="H2246" s="1">
        <v>-2.9496999999999999E-6</v>
      </c>
      <c r="I2246">
        <v>254.76089999999999</v>
      </c>
      <c r="J2246">
        <v>-492.3673</v>
      </c>
      <c r="K2246">
        <v>1.1135299999999999</v>
      </c>
      <c r="L2246">
        <v>262.12670000000003</v>
      </c>
      <c r="M2246">
        <v>-0.18230479999999999</v>
      </c>
      <c r="N2246">
        <v>-1.385663E-2</v>
      </c>
      <c r="O2246">
        <v>-0.98314460000000004</v>
      </c>
      <c r="P2246">
        <v>2.4754100000000001E-2</v>
      </c>
      <c r="Q2246">
        <v>0.36603950000000002</v>
      </c>
      <c r="R2246">
        <v>-0.93027009999999999</v>
      </c>
      <c r="S2246">
        <v>-0.1894226</v>
      </c>
      <c r="T2246">
        <v>-0.50192170000000003</v>
      </c>
      <c r="U2246">
        <v>-3.4260250000000001</v>
      </c>
      <c r="V2246">
        <v>-0.19614500000000001</v>
      </c>
      <c r="W2246">
        <v>0.3774825</v>
      </c>
      <c r="X2246">
        <v>0.90500499999999995</v>
      </c>
      <c r="Y2246">
        <v>-0.12806909999999999</v>
      </c>
      <c r="Z2246">
        <v>0.1269758</v>
      </c>
      <c r="AA2246">
        <v>0.98360329999999996</v>
      </c>
      <c r="AB2246">
        <v>24</v>
      </c>
      <c r="AC2246">
        <v>-0.38020000000000198</v>
      </c>
      <c r="AD2246">
        <v>-1.1135329496999999</v>
      </c>
      <c r="AE2246">
        <v>-7.3658000000000303</v>
      </c>
      <c r="AF2246">
        <v>-0.94752460361329005</v>
      </c>
      <c r="AG2246">
        <v>-1.1135329496999999</v>
      </c>
      <c r="AH2246">
        <v>7.14871533213792</v>
      </c>
      <c r="AI2246">
        <v>98.778074838514996</v>
      </c>
      <c r="AJ2246">
        <v>97.550244854945603</v>
      </c>
      <c r="AK2246">
        <v>7.2967040096514699</v>
      </c>
      <c r="AL2246">
        <v>67.822169566405194</v>
      </c>
      <c r="AM2246">
        <v>102.228786167037</v>
      </c>
      <c r="AN2246">
        <v>0.99999997442812405</v>
      </c>
    </row>
    <row r="2247" spans="1:40" x14ac:dyDescent="0.25">
      <c r="A2247" t="str">
        <f>"20190304164644062"</f>
        <v>20190304164644062</v>
      </c>
      <c r="B2247" t="str">
        <f>"1551689204050463"</f>
        <v>1551689204050463</v>
      </c>
      <c r="C2247" t="s">
        <v>40</v>
      </c>
      <c r="D2247">
        <v>4.3999550000000003</v>
      </c>
      <c r="E2247">
        <v>0.53855549999999996</v>
      </c>
      <c r="F2247" t="s">
        <v>42</v>
      </c>
      <c r="G2247">
        <v>-492.77089999999998</v>
      </c>
      <c r="H2247" s="1">
        <v>-2.8201369999999999E-6</v>
      </c>
      <c r="I2247">
        <v>254.4443</v>
      </c>
      <c r="J2247">
        <v>-492.40230000000003</v>
      </c>
      <c r="K2247">
        <v>1.113524</v>
      </c>
      <c r="L2247">
        <v>261.91719999999998</v>
      </c>
      <c r="M2247">
        <v>-0.17905639999999901</v>
      </c>
      <c r="N2247">
        <v>-1.3861699999999999E-2</v>
      </c>
      <c r="O2247">
        <v>-0.98374099999999998</v>
      </c>
      <c r="P2247">
        <v>3.0165979999999998E-2</v>
      </c>
      <c r="Q2247">
        <v>0.3666973</v>
      </c>
      <c r="R2247">
        <v>-0.92985099999999998</v>
      </c>
      <c r="S2247">
        <v>-0.1799316</v>
      </c>
      <c r="T2247">
        <v>-0.49643900000000002</v>
      </c>
      <c r="U2247">
        <v>-3.4249879999999999</v>
      </c>
      <c r="V2247">
        <v>-0.19837450000000001</v>
      </c>
      <c r="W2247">
        <v>0.37812980000000002</v>
      </c>
      <c r="X2247">
        <v>0.90424850000000001</v>
      </c>
      <c r="Y2247">
        <v>-0.1274874</v>
      </c>
      <c r="Z2247">
        <v>0.12564249999999999</v>
      </c>
      <c r="AA2247">
        <v>0.98385009999999995</v>
      </c>
      <c r="AB2247">
        <v>24</v>
      </c>
      <c r="AC2247">
        <v>-0.36859999999995802</v>
      </c>
      <c r="AD2247">
        <v>-1.1135268201370001</v>
      </c>
      <c r="AE2247">
        <v>-7.4728999999999797</v>
      </c>
      <c r="AF2247">
        <v>-0.95441746393275495</v>
      </c>
      <c r="AG2247">
        <v>-1.1135268201370001</v>
      </c>
      <c r="AH2247">
        <v>7.2573637799462896</v>
      </c>
      <c r="AI2247">
        <v>98.6497586765622</v>
      </c>
      <c r="AJ2247">
        <v>97.491986495236105</v>
      </c>
      <c r="AK2247">
        <v>7.4040653501370803</v>
      </c>
      <c r="AL2247">
        <v>67.782113087495802</v>
      </c>
      <c r="AM2247">
        <v>102.37355875154201</v>
      </c>
      <c r="AN2247">
        <v>0.99999996882526898</v>
      </c>
    </row>
    <row r="2248" spans="1:40" x14ac:dyDescent="0.25">
      <c r="A2248" t="str">
        <f>"20190304164644084"</f>
        <v>20190304164644084</v>
      </c>
      <c r="B2248" t="str">
        <f>"1551689204080719"</f>
        <v>1551689204080719</v>
      </c>
      <c r="C2248" t="s">
        <v>40</v>
      </c>
      <c r="D2248">
        <v>4.3326440000000002</v>
      </c>
      <c r="E2248">
        <v>0.5383964</v>
      </c>
      <c r="F2248" t="s">
        <v>42</v>
      </c>
      <c r="G2248">
        <v>-492.76600000000002</v>
      </c>
      <c r="H2248" s="1">
        <v>-2.7495929999999999E-6</v>
      </c>
      <c r="I2248">
        <v>254.28290000000001</v>
      </c>
      <c r="J2248">
        <v>-492.4409</v>
      </c>
      <c r="K2248">
        <v>1.113518</v>
      </c>
      <c r="L2248">
        <v>261.68150000000003</v>
      </c>
      <c r="M2248">
        <v>-0.175416299999999</v>
      </c>
      <c r="N2248">
        <v>-1.3866470000000001E-2</v>
      </c>
      <c r="O2248">
        <v>-0.98439690000000002</v>
      </c>
      <c r="P2248">
        <v>3.5457299999999997E-2</v>
      </c>
      <c r="Q2248">
        <v>0.36749720000000002</v>
      </c>
      <c r="R2248">
        <v>-0.92934879999999997</v>
      </c>
      <c r="S2248">
        <v>-0.16336059999999999</v>
      </c>
      <c r="T2248">
        <v>-0.50013180000000002</v>
      </c>
      <c r="U2248">
        <v>-3.4288639999999999</v>
      </c>
      <c r="V2248">
        <v>-0.200127</v>
      </c>
      <c r="W2248">
        <v>0.37891900000000001</v>
      </c>
      <c r="X2248">
        <v>0.90353170000000005</v>
      </c>
      <c r="Y2248">
        <v>-0.12862290000000001</v>
      </c>
      <c r="Z2248">
        <v>0.12663830000000001</v>
      </c>
      <c r="AA2248">
        <v>0.98357459999999997</v>
      </c>
      <c r="AB2248">
        <v>24</v>
      </c>
      <c r="AC2248">
        <v>-0.32509999999996297</v>
      </c>
      <c r="AD2248">
        <v>-1.113520749593</v>
      </c>
      <c r="AE2248">
        <v>-7.3986000000000098</v>
      </c>
      <c r="AF2248">
        <v>-0.956281916667306</v>
      </c>
      <c r="AG2248">
        <v>-1.113520749593</v>
      </c>
      <c r="AH2248">
        <v>7.1785981331296398</v>
      </c>
      <c r="AI2248">
        <v>98.741254250353904</v>
      </c>
      <c r="AJ2248">
        <v>97.587863794395503</v>
      </c>
      <c r="AK2248">
        <v>7.3271191283403798</v>
      </c>
      <c r="AL2248">
        <v>67.733260407351494</v>
      </c>
      <c r="AM2248">
        <v>102.48905005372301</v>
      </c>
      <c r="AN2248">
        <v>0.99999997879744396</v>
      </c>
    </row>
    <row r="2249" spans="1:40" x14ac:dyDescent="0.25">
      <c r="A2249" t="str">
        <f>"20190304164644109"</f>
        <v>20190304164644109</v>
      </c>
      <c r="B2249" t="str">
        <f>"1551689204100239"</f>
        <v>1551689204100239</v>
      </c>
      <c r="C2249" t="s">
        <v>40</v>
      </c>
      <c r="D2249">
        <v>4.3094659999999996</v>
      </c>
      <c r="E2249">
        <v>0.54339029999999999</v>
      </c>
      <c r="F2249" t="s">
        <v>42</v>
      </c>
      <c r="G2249">
        <v>-492.82060000000001</v>
      </c>
      <c r="H2249" s="1">
        <v>-2.1146620000000001E-6</v>
      </c>
      <c r="I2249">
        <v>252.76900000000001</v>
      </c>
      <c r="J2249">
        <v>-492.48169999999999</v>
      </c>
      <c r="K2249">
        <v>1.113523</v>
      </c>
      <c r="L2249">
        <v>261.4255</v>
      </c>
      <c r="M2249">
        <v>-0.1714685</v>
      </c>
      <c r="N2249">
        <v>-1.387064E-2</v>
      </c>
      <c r="O2249">
        <v>-0.98509190000000002</v>
      </c>
      <c r="P2249">
        <v>4.1340830000000002E-2</v>
      </c>
      <c r="Q2249">
        <v>0.36810989999999999</v>
      </c>
      <c r="R2249">
        <v>-0.92886279999999999</v>
      </c>
      <c r="S2249">
        <v>-0.14495849999999999</v>
      </c>
      <c r="T2249">
        <v>-0.42499959999999998</v>
      </c>
      <c r="U2249">
        <v>-3.4016419999999998</v>
      </c>
      <c r="V2249">
        <v>-0.20219889999999999</v>
      </c>
      <c r="W2249">
        <v>0.37951370000000001</v>
      </c>
      <c r="X2249">
        <v>0.90282059999999997</v>
      </c>
      <c r="Y2249">
        <v>-0.1295019</v>
      </c>
      <c r="Z2249">
        <v>0.10693179999999999</v>
      </c>
      <c r="AA2249">
        <v>0.98579660000000002</v>
      </c>
      <c r="AB2249">
        <v>24</v>
      </c>
      <c r="AC2249">
        <v>-0.33890000000002302</v>
      </c>
      <c r="AD2249">
        <v>-1.113525114662</v>
      </c>
      <c r="AE2249">
        <v>-8.6564999999999905</v>
      </c>
      <c r="AF2249">
        <v>-1.1318797906720699</v>
      </c>
      <c r="AG2249">
        <v>-1.113525114662</v>
      </c>
      <c r="AH2249">
        <v>8.4468306397714308</v>
      </c>
      <c r="AI2249">
        <v>97.444079517391302</v>
      </c>
      <c r="AJ2249">
        <v>97.632199957601401</v>
      </c>
      <c r="AK2249">
        <v>8.5947680537927393</v>
      </c>
      <c r="AL2249">
        <v>67.696437559527297</v>
      </c>
      <c r="AM2249">
        <v>102.623847816528</v>
      </c>
      <c r="AN2249">
        <v>1.00000003971662</v>
      </c>
    </row>
    <row r="2250" spans="1:40" x14ac:dyDescent="0.25">
      <c r="A2250" t="str">
        <f>"20190304164644129"</f>
        <v>20190304164644129</v>
      </c>
      <c r="B2250" t="str">
        <f>"1551689204120738"</f>
        <v>1551689204120738</v>
      </c>
      <c r="C2250" t="s">
        <v>40</v>
      </c>
      <c r="D2250">
        <v>4.3609720000000003</v>
      </c>
      <c r="E2250">
        <v>0.54801230000000001</v>
      </c>
      <c r="F2250" t="s">
        <v>42</v>
      </c>
      <c r="G2250">
        <v>-492.91410000000002</v>
      </c>
      <c r="H2250" s="1">
        <v>-2.0322140000000002E-6</v>
      </c>
      <c r="I2250">
        <v>252.5189</v>
      </c>
      <c r="J2250">
        <v>-492.51679999999999</v>
      </c>
      <c r="K2250">
        <v>1.113526</v>
      </c>
      <c r="L2250">
        <v>261.20060000000001</v>
      </c>
      <c r="M2250">
        <v>-0.167989</v>
      </c>
      <c r="N2250">
        <v>-1.3873440000000001E-2</v>
      </c>
      <c r="O2250">
        <v>-0.98569130000000005</v>
      </c>
      <c r="P2250">
        <v>4.6113849999999998E-2</v>
      </c>
      <c r="Q2250">
        <v>0.36888929999999998</v>
      </c>
      <c r="R2250">
        <v>-0.92832879999999995</v>
      </c>
      <c r="S2250">
        <v>-0.1653442</v>
      </c>
      <c r="T2250">
        <v>-0.42580390000000001</v>
      </c>
      <c r="U2250">
        <v>-3.405853</v>
      </c>
      <c r="V2250">
        <v>-0.20361480000000001</v>
      </c>
      <c r="W2250">
        <v>0.38027680000000003</v>
      </c>
      <c r="X2250">
        <v>0.90218100000000001</v>
      </c>
      <c r="Y2250">
        <v>-0.1201697</v>
      </c>
      <c r="Z2250">
        <v>0.1071809</v>
      </c>
      <c r="AA2250">
        <v>0.98695060000000001</v>
      </c>
      <c r="AB2250">
        <v>24</v>
      </c>
      <c r="AC2250">
        <v>-0.39730000000002902</v>
      </c>
      <c r="AD2250">
        <v>-1.113528032214</v>
      </c>
      <c r="AE2250">
        <v>-8.6816999999999993</v>
      </c>
      <c r="AF2250">
        <v>-1.0496852654377899</v>
      </c>
      <c r="AG2250">
        <v>-1.113528032214</v>
      </c>
      <c r="AH2250">
        <v>8.48574045330305</v>
      </c>
      <c r="AI2250">
        <v>97.419918418450294</v>
      </c>
      <c r="AJ2250">
        <v>97.051660544510696</v>
      </c>
      <c r="AK2250">
        <v>8.6226199542730306</v>
      </c>
      <c r="AL2250">
        <v>67.649170523046493</v>
      </c>
      <c r="AM2250">
        <v>102.718101922513</v>
      </c>
      <c r="AN2250">
        <v>0.99999999407913998</v>
      </c>
    </row>
    <row r="2251" spans="1:40" x14ac:dyDescent="0.25">
      <c r="A2251" t="str">
        <f>"20190304164644150"</f>
        <v>20190304164644150</v>
      </c>
      <c r="B2251" t="str">
        <f>"1551689204140255"</f>
        <v>1551689204140255</v>
      </c>
      <c r="C2251" t="s">
        <v>40</v>
      </c>
      <c r="D2251">
        <v>4.4020890000000001</v>
      </c>
      <c r="E2251">
        <v>0.55083549999999903</v>
      </c>
      <c r="F2251" t="s">
        <v>42</v>
      </c>
      <c r="G2251">
        <v>-492.9896</v>
      </c>
      <c r="H2251" s="1">
        <v>-2.0725480000000001E-6</v>
      </c>
      <c r="I2251">
        <v>252.566</v>
      </c>
      <c r="J2251">
        <v>-492.55</v>
      </c>
      <c r="K2251">
        <v>1.1135389999999901</v>
      </c>
      <c r="L2251">
        <v>260.9819</v>
      </c>
      <c r="M2251">
        <v>-0.16458499999999901</v>
      </c>
      <c r="N2251">
        <v>-1.387597E-2</v>
      </c>
      <c r="O2251">
        <v>-0.98626530000000001</v>
      </c>
      <c r="P2251">
        <v>4.8738650000000001E-2</v>
      </c>
      <c r="Q2251">
        <v>0.36985770000000001</v>
      </c>
      <c r="R2251">
        <v>-0.92780940000000001</v>
      </c>
      <c r="S2251">
        <v>-0.18707280000000001</v>
      </c>
      <c r="T2251">
        <v>-0.4405268</v>
      </c>
      <c r="U2251">
        <v>-3.4159549999999999</v>
      </c>
      <c r="V2251">
        <v>-0.20299880000000001</v>
      </c>
      <c r="W2251">
        <v>0.38124279999999999</v>
      </c>
      <c r="X2251">
        <v>0.90191209999999999</v>
      </c>
      <c r="Y2251">
        <v>-0.1106475</v>
      </c>
      <c r="Z2251">
        <v>0.11110159999999999</v>
      </c>
      <c r="AA2251">
        <v>0.98763020000000001</v>
      </c>
      <c r="AB2251">
        <v>24</v>
      </c>
      <c r="AC2251">
        <v>-0.439599999999984</v>
      </c>
      <c r="AD2251">
        <v>-1.1135410725479999</v>
      </c>
      <c r="AE2251">
        <v>-8.4159000000000201</v>
      </c>
      <c r="AF2251">
        <v>-0.935330041884328</v>
      </c>
      <c r="AG2251">
        <v>-1.1135410725479999</v>
      </c>
      <c r="AH2251">
        <v>8.2297812267050094</v>
      </c>
      <c r="AI2251">
        <v>97.656978867981806</v>
      </c>
      <c r="AJ2251">
        <v>96.483950922530497</v>
      </c>
      <c r="AK2251">
        <v>8.3572791653102598</v>
      </c>
      <c r="AL2251">
        <v>67.589314439492995</v>
      </c>
      <c r="AM2251">
        <v>102.68453002614</v>
      </c>
      <c r="AN2251">
        <v>1.0000000107398399</v>
      </c>
    </row>
    <row r="2252" spans="1:40" x14ac:dyDescent="0.25">
      <c r="A2252" t="str">
        <f>"20190304164644173"</f>
        <v>20190304164644173</v>
      </c>
      <c r="B2252" t="str">
        <f>"1551689204160751"</f>
        <v>1551689204160751</v>
      </c>
      <c r="C2252" t="s">
        <v>40</v>
      </c>
      <c r="D2252">
        <v>4.379918</v>
      </c>
      <c r="E2252">
        <v>0.55288110000000001</v>
      </c>
      <c r="F2252" t="s">
        <v>42</v>
      </c>
      <c r="G2252">
        <v>-493.04899999999998</v>
      </c>
      <c r="H2252" s="1">
        <v>-2.0524189999999999E-6</v>
      </c>
      <c r="I2252">
        <v>252.48230000000001</v>
      </c>
      <c r="J2252">
        <v>-492.5847</v>
      </c>
      <c r="K2252">
        <v>1.113558</v>
      </c>
      <c r="L2252">
        <v>260.74860000000001</v>
      </c>
      <c r="M2252">
        <v>-0.16092329999999999</v>
      </c>
      <c r="N2252">
        <v>-1.387829E-2</v>
      </c>
      <c r="O2252">
        <v>-0.98686940000000001</v>
      </c>
      <c r="P2252">
        <v>5.0438040000000003E-2</v>
      </c>
      <c r="Q2252">
        <v>0.37071660000000001</v>
      </c>
      <c r="R2252">
        <v>-0.92737559999999997</v>
      </c>
      <c r="S2252">
        <v>-0.20092769999999999</v>
      </c>
      <c r="T2252">
        <v>-0.44841890000000001</v>
      </c>
      <c r="U2252">
        <v>-3.4227599999999998</v>
      </c>
      <c r="V2252">
        <v>-0.20125589999999999</v>
      </c>
      <c r="W2252">
        <v>0.38210709999999998</v>
      </c>
      <c r="X2252">
        <v>0.90193690000000004</v>
      </c>
      <c r="Y2252">
        <v>-0.10309840000000001</v>
      </c>
      <c r="Z2252">
        <v>0.1132123</v>
      </c>
      <c r="AA2252">
        <v>0.98820730000000001</v>
      </c>
      <c r="AB2252">
        <v>24</v>
      </c>
      <c r="AC2252">
        <v>-0.46430000000003702</v>
      </c>
      <c r="AD2252">
        <v>-1.1135600524189999</v>
      </c>
      <c r="AE2252">
        <v>-8.2662999999999993</v>
      </c>
      <c r="AF2252">
        <v>-0.85662446828051597</v>
      </c>
      <c r="AG2252">
        <v>-1.1135600524189999</v>
      </c>
      <c r="AH2252">
        <v>8.0869747685622801</v>
      </c>
      <c r="AI2252">
        <v>97.797128427331202</v>
      </c>
      <c r="AJ2252">
        <v>96.046590292751105</v>
      </c>
      <c r="AK2252">
        <v>8.2081046763161591</v>
      </c>
      <c r="AL2252">
        <v>67.535736850042099</v>
      </c>
      <c r="AM2252">
        <v>102.578769003714</v>
      </c>
      <c r="AN2252">
        <v>0.99999997236841398</v>
      </c>
    </row>
    <row r="2253" spans="1:40" x14ac:dyDescent="0.25">
      <c r="A2253" t="str">
        <f>"20190304164644197"</f>
        <v>20190304164644197</v>
      </c>
      <c r="B2253" t="str">
        <f>"1551689204191007"</f>
        <v>1551689204191007</v>
      </c>
      <c r="C2253" t="s">
        <v>40</v>
      </c>
      <c r="D2253">
        <v>4.3454610000000002</v>
      </c>
      <c r="E2253">
        <v>0.55473850000000002</v>
      </c>
      <c r="F2253" t="s">
        <v>42</v>
      </c>
      <c r="G2253">
        <v>-493.13389999999998</v>
      </c>
      <c r="H2253" s="1">
        <v>-1.8103649999999999E-6</v>
      </c>
      <c r="I2253">
        <v>251.86539999999999</v>
      </c>
      <c r="J2253">
        <v>-492.6216</v>
      </c>
      <c r="K2253">
        <v>1.113583</v>
      </c>
      <c r="L2253">
        <v>260.49220000000003</v>
      </c>
      <c r="M2253">
        <v>-0.15685639999999901</v>
      </c>
      <c r="N2253">
        <v>-1.38806E-2</v>
      </c>
      <c r="O2253">
        <v>-0.98752399999999996</v>
      </c>
      <c r="P2253">
        <v>5.2226160000000001E-2</v>
      </c>
      <c r="Q2253">
        <v>0.37041230000000003</v>
      </c>
      <c r="R2253">
        <v>-0.92739839999999996</v>
      </c>
      <c r="S2253">
        <v>-0.21130370000000001</v>
      </c>
      <c r="T2253">
        <v>-0.42843199999999998</v>
      </c>
      <c r="U2253">
        <v>-3.4177249999999999</v>
      </c>
      <c r="V2253">
        <v>-0.19930490000000001</v>
      </c>
      <c r="W2253">
        <v>0.38181409999999999</v>
      </c>
      <c r="X2253">
        <v>0.90249409999999997</v>
      </c>
      <c r="Y2253">
        <v>-9.5898629999999999E-2</v>
      </c>
      <c r="Z2253">
        <v>0.10796500000000001</v>
      </c>
      <c r="AA2253">
        <v>0.98951860000000003</v>
      </c>
      <c r="AB2253">
        <v>24</v>
      </c>
      <c r="AC2253">
        <v>-0.51229999999998199</v>
      </c>
      <c r="AD2253">
        <v>-1.1135848103649999</v>
      </c>
      <c r="AE2253">
        <v>-8.6268000000000296</v>
      </c>
      <c r="AF2253">
        <v>-0.833502126531942</v>
      </c>
      <c r="AG2253">
        <v>-1.1135848103649999</v>
      </c>
      <c r="AH2253">
        <v>8.4598872904392302</v>
      </c>
      <c r="AI2253">
        <v>97.463074253762699</v>
      </c>
      <c r="AJ2253">
        <v>95.626850982994398</v>
      </c>
      <c r="AK2253">
        <v>8.5734759515463903</v>
      </c>
      <c r="AL2253">
        <v>67.553903059906204</v>
      </c>
      <c r="AM2253">
        <v>102.45320216829199</v>
      </c>
      <c r="AN2253">
        <v>1.0000000253288099</v>
      </c>
    </row>
    <row r="2254" spans="1:40" x14ac:dyDescent="0.25">
      <c r="A2254" t="str">
        <f>"20190304164644221"</f>
        <v>20190304164644221</v>
      </c>
      <c r="B2254" t="str">
        <f>"1551689204210530"</f>
        <v>1551689204210530</v>
      </c>
      <c r="C2254" t="s">
        <v>40</v>
      </c>
      <c r="D2254">
        <v>4.7302780000000002</v>
      </c>
      <c r="E2254">
        <v>0.55580569999999996</v>
      </c>
      <c r="F2254" t="s">
        <v>42</v>
      </c>
      <c r="G2254">
        <v>-493.19450000000001</v>
      </c>
      <c r="H2254" s="1">
        <v>-1.7068889999999901E-6</v>
      </c>
      <c r="I2254">
        <v>251.5866</v>
      </c>
      <c r="J2254">
        <v>-492.65480000000002</v>
      </c>
      <c r="K2254">
        <v>1.1136060000000001</v>
      </c>
      <c r="L2254">
        <v>260.25459999999998</v>
      </c>
      <c r="M2254">
        <v>-0.15305279999999999</v>
      </c>
      <c r="N2254">
        <v>-1.3882530000000001E-2</v>
      </c>
      <c r="O2254">
        <v>-0.98812060000000002</v>
      </c>
      <c r="P2254">
        <v>5.3872730000000001E-2</v>
      </c>
      <c r="Q2254">
        <v>0.36942530000000001</v>
      </c>
      <c r="R2254">
        <v>-0.92769760000000001</v>
      </c>
      <c r="S2254">
        <v>-0.2198792</v>
      </c>
      <c r="T2254">
        <v>-0.42738559999999998</v>
      </c>
      <c r="U2254">
        <v>-3.4179379999999999</v>
      </c>
      <c r="V2254">
        <v>-0.19749359999999999</v>
      </c>
      <c r="W2254">
        <v>0.38084119999999999</v>
      </c>
      <c r="X2254">
        <v>0.90330299999999997</v>
      </c>
      <c r="Y2254">
        <v>-8.9600269999999996E-2</v>
      </c>
      <c r="Z2254">
        <v>0.10780090000000001</v>
      </c>
      <c r="AA2254">
        <v>0.99012659999999997</v>
      </c>
      <c r="AB2254">
        <v>24</v>
      </c>
      <c r="AC2254">
        <v>-0.53969999999998197</v>
      </c>
      <c r="AD2254">
        <v>-1.11360770688899</v>
      </c>
      <c r="AE2254">
        <v>-8.6679999999999708</v>
      </c>
      <c r="AF2254">
        <v>-0.78061474402280795</v>
      </c>
      <c r="AG2254">
        <v>-1.11360770688899</v>
      </c>
      <c r="AH2254">
        <v>8.5085693043561097</v>
      </c>
      <c r="AI2254">
        <v>97.425694081397594</v>
      </c>
      <c r="AJ2254">
        <v>95.241900450149799</v>
      </c>
      <c r="AK2254">
        <v>8.61656736238157</v>
      </c>
      <c r="AL2254">
        <v>67.614202352340897</v>
      </c>
      <c r="AM2254">
        <v>102.332795897202</v>
      </c>
      <c r="AN2254">
        <v>1.0000000257336901</v>
      </c>
    </row>
    <row r="2255" spans="1:40" x14ac:dyDescent="0.25">
      <c r="A2255" t="str">
        <f>"20190304164644242"</f>
        <v>20190304164644242</v>
      </c>
      <c r="B2255" t="str">
        <f>"1551689204231023"</f>
        <v>1551689204231023</v>
      </c>
      <c r="C2255" t="s">
        <v>40</v>
      </c>
      <c r="D2255">
        <v>4.3715900000000003</v>
      </c>
      <c r="E2255">
        <v>0.55649630000000005</v>
      </c>
      <c r="F2255" t="s">
        <v>42</v>
      </c>
      <c r="G2255">
        <v>-493.22190000000001</v>
      </c>
      <c r="H2255" s="1">
        <v>-1.6728920000000001E-6</v>
      </c>
      <c r="I2255">
        <v>251.49039999999999</v>
      </c>
      <c r="J2255">
        <v>-492.68669999999997</v>
      </c>
      <c r="K2255">
        <v>1.1136189999999999</v>
      </c>
      <c r="L2255">
        <v>260.02080000000001</v>
      </c>
      <c r="M2255">
        <v>-0.14928429999999901</v>
      </c>
      <c r="N2255">
        <v>-1.388405E-2</v>
      </c>
      <c r="O2255">
        <v>-0.98869689999999999</v>
      </c>
      <c r="P2255">
        <v>5.7783170000000002E-2</v>
      </c>
      <c r="Q2255">
        <v>0.36835250000000003</v>
      </c>
      <c r="R2255">
        <v>-0.92788910000000002</v>
      </c>
      <c r="S2255">
        <v>-0.22125239999999999</v>
      </c>
      <c r="T2255">
        <v>-0.43451509999999999</v>
      </c>
      <c r="U2255">
        <v>-3.419708</v>
      </c>
      <c r="V2255">
        <v>-0.1979303</v>
      </c>
      <c r="W2255">
        <v>0.37976510000000002</v>
      </c>
      <c r="X2255">
        <v>0.90366040000000003</v>
      </c>
      <c r="Y2255">
        <v>-8.5456539999999998E-2</v>
      </c>
      <c r="Z2255">
        <v>0.10986369999999999</v>
      </c>
      <c r="AA2255">
        <v>0.99026619999999999</v>
      </c>
      <c r="AB2255">
        <v>24</v>
      </c>
      <c r="AC2255">
        <v>-0.53520000000003098</v>
      </c>
      <c r="AD2255">
        <v>-1.113620672892</v>
      </c>
      <c r="AE2255">
        <v>-8.5304000000000109</v>
      </c>
      <c r="AF2255">
        <v>-0.73195048630262904</v>
      </c>
      <c r="AG2255">
        <v>-1.113620672892</v>
      </c>
      <c r="AH2255">
        <v>8.3725663597008104</v>
      </c>
      <c r="AI2255">
        <v>97.547889466711297</v>
      </c>
      <c r="AJ2255">
        <v>94.996236550676102</v>
      </c>
      <c r="AK2255">
        <v>8.4779578888482803</v>
      </c>
      <c r="AL2255">
        <v>67.680867454528396</v>
      </c>
      <c r="AM2255">
        <v>102.354491123331</v>
      </c>
      <c r="AN2255">
        <v>1.0000000266821201</v>
      </c>
    </row>
    <row r="2256" spans="1:40" x14ac:dyDescent="0.25">
      <c r="A2256" t="str">
        <f>"20190304164644264"</f>
        <v>20190304164644264</v>
      </c>
      <c r="B2256" t="str">
        <f>"1551689204260303"</f>
        <v>1551689204260303</v>
      </c>
      <c r="C2256" t="s">
        <v>40</v>
      </c>
      <c r="D2256">
        <v>4.3607809999999896</v>
      </c>
      <c r="E2256">
        <v>0.55748640000000005</v>
      </c>
      <c r="F2256" t="s">
        <v>42</v>
      </c>
      <c r="G2256">
        <v>-493.22269999999997</v>
      </c>
      <c r="H2256" s="1">
        <v>-1.6818060000000001E-6</v>
      </c>
      <c r="I2256">
        <v>251.51060000000001</v>
      </c>
      <c r="J2256">
        <v>-492.71609999999998</v>
      </c>
      <c r="K2256">
        <v>1.1136170000000001</v>
      </c>
      <c r="L2256">
        <v>259.79770000000002</v>
      </c>
      <c r="M2256">
        <v>-0.1456691</v>
      </c>
      <c r="N2256">
        <v>-1.3884840000000001E-2</v>
      </c>
      <c r="O2256">
        <v>-0.98923609999999995</v>
      </c>
      <c r="P2256">
        <v>6.4314800000000005E-2</v>
      </c>
      <c r="Q2256">
        <v>0.36754769999999998</v>
      </c>
      <c r="R2256">
        <v>-0.9277782</v>
      </c>
      <c r="S2256">
        <v>-0.21569820000000001</v>
      </c>
      <c r="T2256">
        <v>-0.44811669999999998</v>
      </c>
      <c r="U2256">
        <v>-3.4244690000000002</v>
      </c>
      <c r="V2256">
        <v>-0.20105439999999999</v>
      </c>
      <c r="W2256">
        <v>0.37893389999999999</v>
      </c>
      <c r="X2256">
        <v>0.90331950000000005</v>
      </c>
      <c r="Y2256">
        <v>-8.3528729999999995E-2</v>
      </c>
      <c r="Z2256">
        <v>0.113618</v>
      </c>
      <c r="AA2256">
        <v>0.99000699999999997</v>
      </c>
      <c r="AB2256">
        <v>24</v>
      </c>
      <c r="AC2256">
        <v>-0.50659999999999095</v>
      </c>
      <c r="AD2256">
        <v>-1.1136186818060001</v>
      </c>
      <c r="AE2256">
        <v>-8.2871000000000095</v>
      </c>
      <c r="AF2256">
        <v>-0.69361669263079695</v>
      </c>
      <c r="AG2256">
        <v>-1.1136186818060001</v>
      </c>
      <c r="AH2256">
        <v>8.1262928684308999</v>
      </c>
      <c r="AI2256">
        <v>97.775225327715006</v>
      </c>
      <c r="AJ2256">
        <v>94.878635167510495</v>
      </c>
      <c r="AK2256">
        <v>8.23151787146662</v>
      </c>
      <c r="AL2256">
        <v>67.732337129962204</v>
      </c>
      <c r="AM2256">
        <v>102.547950658465</v>
      </c>
      <c r="AN2256">
        <v>0.99999994570440798</v>
      </c>
    </row>
    <row r="2257" spans="1:40" x14ac:dyDescent="0.25">
      <c r="A2257" t="str">
        <f>"20190304164644286"</f>
        <v>20190304164644286</v>
      </c>
      <c r="B2257" t="str">
        <f>"1551689204280800"</f>
        <v>1551689204280800</v>
      </c>
      <c r="C2257" t="s">
        <v>40</v>
      </c>
      <c r="D2257">
        <v>4.4113569999999998</v>
      </c>
      <c r="E2257">
        <v>0.55803760000000002</v>
      </c>
      <c r="F2257" t="s">
        <v>42</v>
      </c>
      <c r="G2257">
        <v>-493.21629999999999</v>
      </c>
      <c r="H2257" s="1">
        <v>-1.6403519999999999E-6</v>
      </c>
      <c r="I2257">
        <v>251.41800000000001</v>
      </c>
      <c r="J2257">
        <v>-492.74540000000002</v>
      </c>
      <c r="K2257">
        <v>1.1136079999999999</v>
      </c>
      <c r="L2257">
        <v>259.56959999999998</v>
      </c>
      <c r="M2257">
        <v>-0.14196339999999999</v>
      </c>
      <c r="N2257">
        <v>-1.3885E-2</v>
      </c>
      <c r="O2257">
        <v>-0.9897745</v>
      </c>
      <c r="P2257">
        <v>7.0241869999999998E-2</v>
      </c>
      <c r="Q2257">
        <v>0.36815150000000002</v>
      </c>
      <c r="R2257">
        <v>-0.92710859999999995</v>
      </c>
      <c r="S2257">
        <v>-0.2046509</v>
      </c>
      <c r="T2257">
        <v>-0.4555845</v>
      </c>
      <c r="U2257">
        <v>-3.4281619999999999</v>
      </c>
      <c r="V2257">
        <v>-0.20342689999999999</v>
      </c>
      <c r="W2257">
        <v>0.3795133</v>
      </c>
      <c r="X2257">
        <v>0.90254480000000004</v>
      </c>
      <c r="Y2257">
        <v>-8.3055499999999893E-2</v>
      </c>
      <c r="Z2257">
        <v>0.1156861</v>
      </c>
      <c r="AA2257">
        <v>0.98980729999999995</v>
      </c>
      <c r="AB2257">
        <v>24</v>
      </c>
      <c r="AC2257">
        <v>-0.47089999999997101</v>
      </c>
      <c r="AD2257">
        <v>-1.1136096403519999</v>
      </c>
      <c r="AE2257">
        <v>-8.15159999999997</v>
      </c>
      <c r="AF2257">
        <v>-0.67858834969909199</v>
      </c>
      <c r="AG2257">
        <v>-1.1136096403519999</v>
      </c>
      <c r="AH2257">
        <v>7.9873098978284496</v>
      </c>
      <c r="AI2257">
        <v>97.909018510428396</v>
      </c>
      <c r="AJ2257">
        <v>94.856091379176902</v>
      </c>
      <c r="AK2257">
        <v>8.09306666124656</v>
      </c>
      <c r="AL2257">
        <v>67.696460980787407</v>
      </c>
      <c r="AM2257">
        <v>102.701790958117</v>
      </c>
      <c r="AN2257">
        <v>0.99999998226376896</v>
      </c>
    </row>
    <row r="2258" spans="1:40" x14ac:dyDescent="0.25">
      <c r="A2258" t="str">
        <f>"20190304164644309"</f>
        <v>20190304164644309</v>
      </c>
      <c r="B2258" t="str">
        <f>"1551689204300334"</f>
        <v>1551689204300334</v>
      </c>
      <c r="C2258" t="s">
        <v>40</v>
      </c>
      <c r="D2258">
        <v>4.4219879999999998</v>
      </c>
      <c r="E2258">
        <v>0.55852060000000003</v>
      </c>
      <c r="F2258" t="s">
        <v>42</v>
      </c>
      <c r="G2258">
        <v>-493.20240000000001</v>
      </c>
      <c r="H2258" s="1">
        <v>-1.56648E-6</v>
      </c>
      <c r="I2258">
        <v>251.2544</v>
      </c>
      <c r="J2258">
        <v>-492.77609999999999</v>
      </c>
      <c r="K2258">
        <v>1.113607</v>
      </c>
      <c r="L2258">
        <v>259.32279999999997</v>
      </c>
      <c r="M2258">
        <v>-0.13794279999999901</v>
      </c>
      <c r="N2258">
        <v>-1.388358E-2</v>
      </c>
      <c r="O2258">
        <v>-0.99034299999999997</v>
      </c>
      <c r="P2258">
        <v>7.5977050000000004E-2</v>
      </c>
      <c r="Q2258">
        <v>0.36739260000000001</v>
      </c>
      <c r="R2258">
        <v>-0.92695740000000004</v>
      </c>
      <c r="S2258">
        <v>-0.18865970000000001</v>
      </c>
      <c r="T2258">
        <v>-0.45971830000000002</v>
      </c>
      <c r="U2258">
        <v>-3.4326780000000001</v>
      </c>
      <c r="V2258">
        <v>-0.20538980000000001</v>
      </c>
      <c r="W2258">
        <v>0.37874200000000002</v>
      </c>
      <c r="X2258">
        <v>0.90242429999999996</v>
      </c>
      <c r="Y2258">
        <v>-8.3687479999999995E-2</v>
      </c>
      <c r="Z2258">
        <v>0.116794</v>
      </c>
      <c r="AA2258">
        <v>0.98962399999999995</v>
      </c>
      <c r="AB2258">
        <v>24</v>
      </c>
      <c r="AC2258">
        <v>-0.42630000000002599</v>
      </c>
      <c r="AD2258">
        <v>-1.11360856648</v>
      </c>
      <c r="AE2258">
        <v>-8.0683999999999596</v>
      </c>
      <c r="AF2258">
        <v>-0.67798152043580995</v>
      </c>
      <c r="AG2258">
        <v>-1.11360856648</v>
      </c>
      <c r="AH2258">
        <v>7.8999892206094398</v>
      </c>
      <c r="AI2258">
        <v>97.994730137051107</v>
      </c>
      <c r="AJ2258">
        <v>94.905137212414402</v>
      </c>
      <c r="AK2258">
        <v>8.0068478608710603</v>
      </c>
      <c r="AL2258">
        <v>67.744220060295405</v>
      </c>
      <c r="AM2258">
        <v>102.821976202077</v>
      </c>
      <c r="AN2258">
        <v>1.0000000448692601</v>
      </c>
    </row>
    <row r="2259" spans="1:40" x14ac:dyDescent="0.25">
      <c r="A2259" t="str">
        <f>"20190304164644330"</f>
        <v>20190304164644330</v>
      </c>
      <c r="B2259" t="str">
        <f>"1551689204320819"</f>
        <v>1551689204320819</v>
      </c>
      <c r="C2259" t="s">
        <v>40</v>
      </c>
      <c r="D2259">
        <v>4.4298799999999998</v>
      </c>
      <c r="E2259">
        <v>0.55896749999999995</v>
      </c>
      <c r="F2259" t="s">
        <v>42</v>
      </c>
      <c r="G2259">
        <v>-493.1798</v>
      </c>
      <c r="H2259" s="1">
        <v>-1.5209779999999999E-6</v>
      </c>
      <c r="I2259">
        <v>251.16229999999999</v>
      </c>
      <c r="J2259">
        <v>-492.8023</v>
      </c>
      <c r="K2259">
        <v>1.1136060000000001</v>
      </c>
      <c r="L2259">
        <v>259.1044</v>
      </c>
      <c r="M2259">
        <v>-0.13438699999999901</v>
      </c>
      <c r="N2259">
        <v>-1.387998E-2</v>
      </c>
      <c r="O2259">
        <v>-0.99083169999999998</v>
      </c>
      <c r="P2259">
        <v>8.0204620000000004E-2</v>
      </c>
      <c r="Q2259">
        <v>0.36600539999999998</v>
      </c>
      <c r="R2259">
        <v>-0.92715009999999998</v>
      </c>
      <c r="S2259">
        <v>-0.17001340000000001</v>
      </c>
      <c r="T2259">
        <v>-0.4689178</v>
      </c>
      <c r="U2259">
        <v>-3.436188</v>
      </c>
      <c r="V2259">
        <v>-0.20633109999999999</v>
      </c>
      <c r="W2259">
        <v>0.37735360000000001</v>
      </c>
      <c r="X2259">
        <v>0.90279109999999996</v>
      </c>
      <c r="Y2259">
        <v>-8.5532490000000003E-2</v>
      </c>
      <c r="Z2259">
        <v>0.11933299999999999</v>
      </c>
      <c r="AA2259">
        <v>0.98916320000000002</v>
      </c>
      <c r="AB2259">
        <v>24</v>
      </c>
      <c r="AC2259">
        <v>-0.377499999999997</v>
      </c>
      <c r="AD2259">
        <v>-1.1136075209780001</v>
      </c>
      <c r="AE2259">
        <v>-7.9421000000000097</v>
      </c>
      <c r="AF2259">
        <v>-0.68000377577928695</v>
      </c>
      <c r="AG2259">
        <v>-1.1136075209780001</v>
      </c>
      <c r="AH2259">
        <v>7.7683927726452504</v>
      </c>
      <c r="AI2259">
        <v>98.127175565113703</v>
      </c>
      <c r="AJ2259">
        <v>95.002616514019195</v>
      </c>
      <c r="AK2259">
        <v>7.8772109985666798</v>
      </c>
      <c r="AL2259">
        <v>67.830145794823594</v>
      </c>
      <c r="AM2259">
        <v>102.873725824673</v>
      </c>
      <c r="AN2259">
        <v>1.00000001624968</v>
      </c>
    </row>
    <row r="2260" spans="1:40" x14ac:dyDescent="0.25">
      <c r="A2260" t="str">
        <f>"20190304164644353"</f>
        <v>20190304164644353</v>
      </c>
      <c r="B2260" t="str">
        <f>"1551689204340335"</f>
        <v>1551689204340335</v>
      </c>
      <c r="C2260" t="s">
        <v>40</v>
      </c>
      <c r="D2260">
        <v>4.4956950000000004</v>
      </c>
      <c r="E2260">
        <v>0.55925329999999995</v>
      </c>
      <c r="F2260" t="s">
        <v>42</v>
      </c>
      <c r="G2260">
        <v>-493.16340000000002</v>
      </c>
      <c r="H2260" s="1">
        <v>-1.4965040000000001E-6</v>
      </c>
      <c r="I2260">
        <v>251.1155</v>
      </c>
      <c r="J2260">
        <v>-492.82900000000001</v>
      </c>
      <c r="K2260">
        <v>1.1136010000000001</v>
      </c>
      <c r="L2260">
        <v>258.87610000000001</v>
      </c>
      <c r="M2260">
        <v>-0.13067400000000001</v>
      </c>
      <c r="N2260">
        <v>-1.387528E-2</v>
      </c>
      <c r="O2260">
        <v>-0.99132819999999999</v>
      </c>
      <c r="P2260">
        <v>8.3507330000000005E-2</v>
      </c>
      <c r="Q2260">
        <v>0.36546800000000002</v>
      </c>
      <c r="R2260">
        <v>-0.92707070000000003</v>
      </c>
      <c r="S2260">
        <v>-0.15539549999999999</v>
      </c>
      <c r="T2260">
        <v>-0.47929070000000001</v>
      </c>
      <c r="U2260">
        <v>-3.4383699999999999</v>
      </c>
      <c r="V2260">
        <v>-0.20618220000000001</v>
      </c>
      <c r="W2260">
        <v>0.37682009999999999</v>
      </c>
      <c r="X2260">
        <v>0.90304790000000001</v>
      </c>
      <c r="Y2260">
        <v>-8.6040329999999998E-2</v>
      </c>
      <c r="Z2260">
        <v>0.1222536</v>
      </c>
      <c r="AA2260">
        <v>0.98876240000000004</v>
      </c>
      <c r="AB2260">
        <v>24</v>
      </c>
      <c r="AC2260">
        <v>-0.33440000000001602</v>
      </c>
      <c r="AD2260">
        <v>-1.1136024965039999</v>
      </c>
      <c r="AE2260">
        <v>-7.7606000000000099</v>
      </c>
      <c r="AF2260">
        <v>-0.66892618457981201</v>
      </c>
      <c r="AG2260">
        <v>-1.1136024965039999</v>
      </c>
      <c r="AH2260">
        <v>7.5819174152476103</v>
      </c>
      <c r="AI2260">
        <v>98.323761125745193</v>
      </c>
      <c r="AJ2260">
        <v>95.041952203344806</v>
      </c>
      <c r="AK2260">
        <v>7.69240173497663</v>
      </c>
      <c r="AL2260">
        <v>67.863149082588194</v>
      </c>
      <c r="AM2260">
        <v>102.86120797014399</v>
      </c>
      <c r="AN2260">
        <v>0.999999998527629</v>
      </c>
    </row>
    <row r="2261" spans="1:40" x14ac:dyDescent="0.25">
      <c r="A2261" t="str">
        <f>"20190304164644379"</f>
        <v>20190304164644379</v>
      </c>
      <c r="B2261" t="str">
        <f>"1551689204370592"</f>
        <v>1551689204370592</v>
      </c>
      <c r="C2261" t="s">
        <v>40</v>
      </c>
      <c r="D2261">
        <v>4.9678019999999998</v>
      </c>
      <c r="E2261">
        <v>0.5594884</v>
      </c>
      <c r="F2261" t="s">
        <v>42</v>
      </c>
      <c r="G2261">
        <v>-493.15609999999998</v>
      </c>
      <c r="H2261" s="1">
        <v>-1.4523310000000001E-6</v>
      </c>
      <c r="I2261">
        <v>251.017</v>
      </c>
      <c r="J2261">
        <v>-492.86040000000003</v>
      </c>
      <c r="K2261">
        <v>1.113594</v>
      </c>
      <c r="L2261">
        <v>258.59640000000002</v>
      </c>
      <c r="M2261">
        <v>-0.12612110000000001</v>
      </c>
      <c r="N2261">
        <v>-1.3862599999999999E-2</v>
      </c>
      <c r="O2261">
        <v>-0.99191799999999997</v>
      </c>
      <c r="P2261">
        <v>8.8153560000000006E-2</v>
      </c>
      <c r="Q2261">
        <v>0.3653168</v>
      </c>
      <c r="R2261">
        <v>-0.92669970000000002</v>
      </c>
      <c r="S2261">
        <v>-0.1432495</v>
      </c>
      <c r="T2261">
        <v>-0.4875968</v>
      </c>
      <c r="U2261">
        <v>-3.4411619999999998</v>
      </c>
      <c r="V2261">
        <v>-0.20656640000000001</v>
      </c>
      <c r="W2261">
        <v>0.37665759999999998</v>
      </c>
      <c r="X2261">
        <v>0.90302789999999999</v>
      </c>
      <c r="Y2261">
        <v>-8.4997349999999999E-2</v>
      </c>
      <c r="Z2261">
        <v>0.1246062</v>
      </c>
      <c r="AA2261">
        <v>0.98855890000000002</v>
      </c>
      <c r="AB2261">
        <v>24</v>
      </c>
      <c r="AC2261">
        <v>-0.295699999999953</v>
      </c>
      <c r="AD2261">
        <v>-1.1135954523310001</v>
      </c>
      <c r="AE2261">
        <v>-7.5794000000000201</v>
      </c>
      <c r="AF2261">
        <v>-0.64869393476245396</v>
      </c>
      <c r="AG2261">
        <v>-1.1135954523310001</v>
      </c>
      <c r="AH2261">
        <v>7.3967352177250598</v>
      </c>
      <c r="AI2261">
        <v>98.529456684289798</v>
      </c>
      <c r="AJ2261">
        <v>95.012018457419103</v>
      </c>
      <c r="AK2261">
        <v>7.5081682542138104</v>
      </c>
      <c r="AL2261">
        <v>67.873200410140697</v>
      </c>
      <c r="AM2261">
        <v>102.88465028473701</v>
      </c>
      <c r="AN2261">
        <v>1.0000000067125601</v>
      </c>
    </row>
    <row r="2262" spans="1:40" x14ac:dyDescent="0.25">
      <c r="A2262" t="str">
        <f>"20190304164644398"</f>
        <v>20190304164644398</v>
      </c>
      <c r="B2262" t="str">
        <f>"1551689204391087"</f>
        <v>1551689204391087</v>
      </c>
      <c r="C2262" t="s">
        <v>40</v>
      </c>
      <c r="D2262">
        <v>4.49899</v>
      </c>
      <c r="E2262">
        <v>0.51678570000000001</v>
      </c>
      <c r="F2262" t="s">
        <v>41</v>
      </c>
      <c r="G2262">
        <v>-492.89319999999998</v>
      </c>
      <c r="H2262">
        <v>0.98837580000000003</v>
      </c>
      <c r="I2262">
        <v>257.72050000000002</v>
      </c>
      <c r="J2262">
        <v>-492.88249999999999</v>
      </c>
      <c r="K2262">
        <v>1.1135919999999999</v>
      </c>
      <c r="L2262">
        <v>258.39249999999998</v>
      </c>
      <c r="M2262">
        <v>-0.1227955</v>
      </c>
      <c r="N2262">
        <v>-1.384956E-2</v>
      </c>
      <c r="O2262">
        <v>-0.99233570000000004</v>
      </c>
      <c r="P2262">
        <v>9.1365639999999998E-2</v>
      </c>
      <c r="Q2262">
        <v>0.36545850000000002</v>
      </c>
      <c r="R2262">
        <v>-0.92633290000000001</v>
      </c>
      <c r="S2262">
        <v>-0.1281738</v>
      </c>
      <c r="T2262">
        <v>-0.4926411</v>
      </c>
      <c r="U2262">
        <v>-3.4436949999999902</v>
      </c>
      <c r="V2262">
        <v>-0.20666499999999999</v>
      </c>
      <c r="W2262">
        <v>0.3767857</v>
      </c>
      <c r="X2262">
        <v>0.90295190000000003</v>
      </c>
      <c r="Y2262">
        <v>-8.6013149999999997E-2</v>
      </c>
      <c r="Z2262">
        <v>0.12601219999999999</v>
      </c>
      <c r="AA2262">
        <v>0.98829279999999997</v>
      </c>
      <c r="AB2262">
        <v>24</v>
      </c>
      <c r="AC2262">
        <v>-1.06999999999857E-2</v>
      </c>
      <c r="AD2262">
        <v>-0.125216199999999</v>
      </c>
      <c r="AE2262">
        <v>-0.67199999999996796</v>
      </c>
      <c r="AF2262">
        <v>-6.9495179470521501E-2</v>
      </c>
      <c r="AG2262">
        <v>-0.125216199999999</v>
      </c>
      <c r="AH2262">
        <v>0.64581036640883105</v>
      </c>
      <c r="AI2262">
        <v>100.91146072664699</v>
      </c>
      <c r="AJ2262">
        <v>96.141922224803906</v>
      </c>
      <c r="AK2262">
        <v>0.66149807715003095</v>
      </c>
      <c r="AL2262">
        <v>67.865277154234093</v>
      </c>
      <c r="AM2262">
        <v>102.891643824544</v>
      </c>
      <c r="AN2262">
        <v>1.00000000983155</v>
      </c>
    </row>
    <row r="2263" spans="1:40" x14ac:dyDescent="0.25">
      <c r="A2263" t="str">
        <f>"20190304164644421"</f>
        <v>20190304164644421</v>
      </c>
      <c r="B2263" t="str">
        <f>"1551689204410607"</f>
        <v>1551689204410607</v>
      </c>
      <c r="C2263" t="s">
        <v>40</v>
      </c>
      <c r="D2263">
        <v>4.4505749999999997</v>
      </c>
      <c r="E2263">
        <v>0.4967316</v>
      </c>
      <c r="F2263" t="s">
        <v>42</v>
      </c>
      <c r="G2263">
        <v>-492.36989999999997</v>
      </c>
      <c r="H2263" s="1">
        <v>-1.038557E-6</v>
      </c>
      <c r="I2263">
        <v>250.5401</v>
      </c>
      <c r="J2263">
        <v>-492.90660000000003</v>
      </c>
      <c r="K2263">
        <v>1.1135969999999999</v>
      </c>
      <c r="L2263">
        <v>258.1626</v>
      </c>
      <c r="M2263">
        <v>-0.1190309</v>
      </c>
      <c r="N2263">
        <v>-1.383503E-2</v>
      </c>
      <c r="O2263">
        <v>-0.99279419999999996</v>
      </c>
      <c r="P2263">
        <v>9.4087850000000001E-2</v>
      </c>
      <c r="Q2263">
        <v>0.36594589999999999</v>
      </c>
      <c r="R2263">
        <v>-0.92586789999999997</v>
      </c>
      <c r="S2263">
        <v>0.2224121</v>
      </c>
      <c r="T2263">
        <v>-0.48320790000000002</v>
      </c>
      <c r="U2263">
        <v>-3.4073030000000002</v>
      </c>
      <c r="V2263">
        <v>-0.205874</v>
      </c>
      <c r="W2263">
        <v>0.37726130000000002</v>
      </c>
      <c r="X2263">
        <v>0.90293400000000001</v>
      </c>
      <c r="Y2263">
        <v>-0.18275140000000001</v>
      </c>
      <c r="Z2263">
        <v>0.1238233</v>
      </c>
      <c r="AA2263">
        <v>0.97533060000000005</v>
      </c>
      <c r="AB2263">
        <v>24</v>
      </c>
      <c r="AC2263">
        <v>0.53670000000005302</v>
      </c>
      <c r="AD2263">
        <v>-1.1135980385569999</v>
      </c>
      <c r="AE2263">
        <v>-7.6224999999999996</v>
      </c>
      <c r="AF2263">
        <v>-1.4103308127423799</v>
      </c>
      <c r="AG2263">
        <v>-1.1135980385569999</v>
      </c>
      <c r="AH2263">
        <v>7.3483434435503696</v>
      </c>
      <c r="AI2263">
        <v>98.465071695155999</v>
      </c>
      <c r="AJ2263">
        <v>100.864380858457</v>
      </c>
      <c r="AK2263">
        <v>7.5648717740103404</v>
      </c>
      <c r="AL2263">
        <v>67.835855896306896</v>
      </c>
      <c r="AM2263">
        <v>102.844187339179</v>
      </c>
      <c r="AN2263">
        <v>1.0000000003548399</v>
      </c>
    </row>
    <row r="2264" spans="1:40" x14ac:dyDescent="0.25">
      <c r="A2264" t="str">
        <f>"20190304164644444"</f>
        <v>20190304164644444</v>
      </c>
      <c r="B2264" t="str">
        <f>"1551689204440394"</f>
        <v>1551689204440394</v>
      </c>
      <c r="C2264" t="s">
        <v>40</v>
      </c>
      <c r="D2264">
        <v>4.3878149999999998</v>
      </c>
      <c r="E2264">
        <v>0.48568729999999899</v>
      </c>
      <c r="F2264" t="s">
        <v>42</v>
      </c>
      <c r="G2264">
        <v>-491.85770000000002</v>
      </c>
      <c r="H2264" s="1">
        <v>-4.4545640000000004E-6</v>
      </c>
      <c r="I2264">
        <v>249.10839999999999</v>
      </c>
      <c r="J2264">
        <v>-492.93049999999999</v>
      </c>
      <c r="K2264">
        <v>1.1136140000000001</v>
      </c>
      <c r="L2264">
        <v>257.92450000000002</v>
      </c>
      <c r="M2264">
        <v>-0.11509659999999999</v>
      </c>
      <c r="N2264">
        <v>-1.3819680000000001E-2</v>
      </c>
      <c r="O2264">
        <v>-0.99325830000000004</v>
      </c>
      <c r="P2264">
        <v>9.6778870000000003E-2</v>
      </c>
      <c r="Q2264">
        <v>0.366867</v>
      </c>
      <c r="R2264">
        <v>-0.92522590000000005</v>
      </c>
      <c r="S2264">
        <v>0.38970949999999999</v>
      </c>
      <c r="T2264">
        <v>-0.4137632</v>
      </c>
      <c r="U2264">
        <v>-3.3641359999999998</v>
      </c>
      <c r="V2264">
        <v>-0.2048924</v>
      </c>
      <c r="W2264">
        <v>0.37816559999999999</v>
      </c>
      <c r="X2264">
        <v>0.902779</v>
      </c>
      <c r="Y2264">
        <v>-0.22778490000000001</v>
      </c>
      <c r="Z2264">
        <v>0.1050377</v>
      </c>
      <c r="AA2264">
        <v>0.96802949999999999</v>
      </c>
      <c r="AB2264">
        <v>24</v>
      </c>
      <c r="AC2264">
        <v>1.07279999999997</v>
      </c>
      <c r="AD2264">
        <v>-1.11361845456399</v>
      </c>
      <c r="AE2264">
        <v>-8.8161000000000307</v>
      </c>
      <c r="AF2264">
        <v>-2.0482641357978002</v>
      </c>
      <c r="AG2264">
        <v>-1.11361845456399</v>
      </c>
      <c r="AH2264">
        <v>8.5003608647547804</v>
      </c>
      <c r="AI2264">
        <v>97.258285589265597</v>
      </c>
      <c r="AJ2264">
        <v>103.54783966773201</v>
      </c>
      <c r="AK2264">
        <v>8.81428765490414</v>
      </c>
      <c r="AL2264">
        <v>67.7798985623444</v>
      </c>
      <c r="AM2264">
        <v>102.787086878683</v>
      </c>
      <c r="AN2264">
        <v>1.0000000197210599</v>
      </c>
    </row>
    <row r="2265" spans="1:40" x14ac:dyDescent="0.25">
      <c r="A2265" t="str">
        <f>"20190304164644464"</f>
        <v>20190304164644464</v>
      </c>
      <c r="B2265" t="str">
        <f>"1551689204460890"</f>
        <v>1551689204460890</v>
      </c>
      <c r="C2265" t="s">
        <v>40</v>
      </c>
      <c r="D2265">
        <v>4.3659210000000002</v>
      </c>
      <c r="E2265">
        <v>0.483377</v>
      </c>
      <c r="F2265" t="s">
        <v>42</v>
      </c>
      <c r="G2265">
        <v>-491.48970000000003</v>
      </c>
      <c r="H2265" s="1">
        <v>-4.0324380000000003E-6</v>
      </c>
      <c r="I2265">
        <v>248.06479999999999</v>
      </c>
      <c r="J2265">
        <v>-492.95139999999998</v>
      </c>
      <c r="K2265">
        <v>1.113642</v>
      </c>
      <c r="L2265">
        <v>257.70839999999998</v>
      </c>
      <c r="M2265">
        <v>-0.1114758</v>
      </c>
      <c r="N2265">
        <v>-1.380199E-2</v>
      </c>
      <c r="O2265">
        <v>-0.99367150000000004</v>
      </c>
      <c r="P2265">
        <v>9.8670149999999998E-2</v>
      </c>
      <c r="Q2265">
        <v>0.36754920000000002</v>
      </c>
      <c r="R2265">
        <v>-0.92475510000000005</v>
      </c>
      <c r="S2265">
        <v>0.48822019999999999</v>
      </c>
      <c r="T2265">
        <v>-0.37735629999999998</v>
      </c>
      <c r="U2265">
        <v>-3.3410190000000002</v>
      </c>
      <c r="V2265">
        <v>-0.2034357</v>
      </c>
      <c r="W2265">
        <v>0.37882890000000002</v>
      </c>
      <c r="X2265">
        <v>0.90283029999999997</v>
      </c>
      <c r="Y2265">
        <v>-0.2531197</v>
      </c>
      <c r="Z2265">
        <v>9.4945299999999996E-2</v>
      </c>
      <c r="AA2265">
        <v>0.96276470000000003</v>
      </c>
      <c r="AB2265">
        <v>23</v>
      </c>
      <c r="AC2265">
        <v>1.46169999999995</v>
      </c>
      <c r="AD2265">
        <v>-1.113646032438</v>
      </c>
      <c r="AE2265">
        <v>-9.6435999999999904</v>
      </c>
      <c r="AF2265">
        <v>-2.4951901007900501</v>
      </c>
      <c r="AG2265">
        <v>-1.113646032438</v>
      </c>
      <c r="AH2265">
        <v>9.29929419492791</v>
      </c>
      <c r="AI2265">
        <v>96.597778025069005</v>
      </c>
      <c r="AJ2265">
        <v>105.019840693042</v>
      </c>
      <c r="AK2265">
        <v>9.6924224860694892</v>
      </c>
      <c r="AL2265">
        <v>67.738838769469197</v>
      </c>
      <c r="AM2265">
        <v>102.698436037775</v>
      </c>
      <c r="AN2265">
        <v>0.99999998505389398</v>
      </c>
    </row>
    <row r="2266" spans="1:40" x14ac:dyDescent="0.25">
      <c r="A2266" t="str">
        <f>"20190304164644488"</f>
        <v>20190304164644488</v>
      </c>
      <c r="B2266" t="str">
        <f>"1551689204480411"</f>
        <v>1551689204480411</v>
      </c>
      <c r="C2266" t="s">
        <v>40</v>
      </c>
      <c r="D2266">
        <v>4.3545769999999999</v>
      </c>
      <c r="E2266">
        <v>0.4822128</v>
      </c>
      <c r="F2266" t="s">
        <v>42</v>
      </c>
      <c r="G2266">
        <v>-491.38639999999998</v>
      </c>
      <c r="H2266" s="1">
        <v>-3.8022359999999999E-6</v>
      </c>
      <c r="I2266">
        <v>247.59229999999999</v>
      </c>
      <c r="J2266">
        <v>-492.9735</v>
      </c>
      <c r="K2266">
        <v>1.1136839999999999</v>
      </c>
      <c r="L2266">
        <v>257.46890000000002</v>
      </c>
      <c r="M2266">
        <v>-0.10738549999999999</v>
      </c>
      <c r="N2266">
        <v>-1.3777630000000001E-2</v>
      </c>
      <c r="O2266">
        <v>-0.99412199999999995</v>
      </c>
      <c r="P2266">
        <v>0.1011203</v>
      </c>
      <c r="Q2266">
        <v>0.36746580000000001</v>
      </c>
      <c r="R2266">
        <v>-0.92452330000000005</v>
      </c>
      <c r="S2266">
        <v>0.51593020000000001</v>
      </c>
      <c r="T2266">
        <v>-0.36713610000000002</v>
      </c>
      <c r="U2266">
        <v>-3.3349760000000002</v>
      </c>
      <c r="V2266">
        <v>-0.2021481</v>
      </c>
      <c r="W2266">
        <v>0.37871470000000002</v>
      </c>
      <c r="X2266">
        <v>0.90316739999999995</v>
      </c>
      <c r="Y2266">
        <v>-0.25725120000000001</v>
      </c>
      <c r="Z2266">
        <v>9.2189779999999999E-2</v>
      </c>
      <c r="AA2266">
        <v>0.96193700000000004</v>
      </c>
      <c r="AB2266">
        <v>23</v>
      </c>
      <c r="AC2266">
        <v>1.5871000000000199</v>
      </c>
      <c r="AD2266">
        <v>-1.1136878022359999</v>
      </c>
      <c r="AE2266">
        <v>-9.8766000000000194</v>
      </c>
      <c r="AF2266">
        <v>-2.60632023213005</v>
      </c>
      <c r="AG2266">
        <v>-1.1136878022359999</v>
      </c>
      <c r="AH2266">
        <v>9.5308959225020597</v>
      </c>
      <c r="AI2266">
        <v>96.430776937576994</v>
      </c>
      <c r="AJ2266">
        <v>105.29419516802599</v>
      </c>
      <c r="AK2266">
        <v>9.9433989540210099</v>
      </c>
      <c r="AL2266">
        <v>67.745909440551998</v>
      </c>
      <c r="AM2266">
        <v>102.616086849792</v>
      </c>
      <c r="AN2266">
        <v>1.0000000153762201</v>
      </c>
    </row>
    <row r="2267" spans="1:40" x14ac:dyDescent="0.25">
      <c r="A2267" t="str">
        <f>"20190304164644510"</f>
        <v>20190304164644510</v>
      </c>
      <c r="B2267" t="str">
        <f>"1551689204500906"</f>
        <v>1551689204500906</v>
      </c>
      <c r="C2267" t="s">
        <v>40</v>
      </c>
      <c r="D2267">
        <v>4.3441660000000004</v>
      </c>
      <c r="E2267">
        <v>0.48170750000000001</v>
      </c>
      <c r="F2267" t="s">
        <v>42</v>
      </c>
      <c r="G2267">
        <v>-491.3322</v>
      </c>
      <c r="H2267" s="1">
        <v>-3.6485369999999998E-6</v>
      </c>
      <c r="I2267">
        <v>247.26769999999999</v>
      </c>
      <c r="J2267">
        <v>-492.99419999999998</v>
      </c>
      <c r="K2267">
        <v>1.1137319999999999</v>
      </c>
      <c r="L2267">
        <v>257.23399999999998</v>
      </c>
      <c r="M2267">
        <v>-0.1032749</v>
      </c>
      <c r="N2267">
        <v>-1.3750500000000001E-2</v>
      </c>
      <c r="O2267">
        <v>-0.99455800000000005</v>
      </c>
      <c r="P2267">
        <v>0.1037637</v>
      </c>
      <c r="Q2267">
        <v>0.36714960000000002</v>
      </c>
      <c r="R2267">
        <v>-0.92435650000000003</v>
      </c>
      <c r="S2267">
        <v>0.53591919999999904</v>
      </c>
      <c r="T2267">
        <v>-0.3636317</v>
      </c>
      <c r="U2267">
        <v>-3.3308260000000001</v>
      </c>
      <c r="V2267">
        <v>-0.20105700000000001</v>
      </c>
      <c r="W2267">
        <v>0.37835669999999999</v>
      </c>
      <c r="X2267">
        <v>0.9035609</v>
      </c>
      <c r="Y2267">
        <v>-0.25908399999999998</v>
      </c>
      <c r="Z2267">
        <v>9.1339249999999997E-2</v>
      </c>
      <c r="AA2267">
        <v>0.9615262</v>
      </c>
      <c r="AB2267">
        <v>23</v>
      </c>
      <c r="AC2267">
        <v>1.6619999999999699</v>
      </c>
      <c r="AD2267">
        <v>-1.113735648537</v>
      </c>
      <c r="AE2267">
        <v>-9.9663000000000395</v>
      </c>
      <c r="AF2267">
        <v>-2.6502757097931799</v>
      </c>
      <c r="AG2267">
        <v>-1.113735648537</v>
      </c>
      <c r="AH2267">
        <v>9.6244010859404003</v>
      </c>
      <c r="AI2267">
        <v>96.366007704573903</v>
      </c>
      <c r="AJ2267">
        <v>105.395982585292</v>
      </c>
      <c r="AK2267">
        <v>10.044573893191901</v>
      </c>
      <c r="AL2267">
        <v>67.768070153127695</v>
      </c>
      <c r="AM2267">
        <v>102.544861501284</v>
      </c>
      <c r="AN2267">
        <v>1.00000000484635</v>
      </c>
    </row>
    <row r="2268" spans="1:40" x14ac:dyDescent="0.25">
      <c r="A2268" t="str">
        <f>"20190304164644532"</f>
        <v>20190304164644532</v>
      </c>
      <c r="B2268" t="str">
        <f>"1551689204520430"</f>
        <v>1551689204520430</v>
      </c>
      <c r="C2268" t="s">
        <v>40</v>
      </c>
      <c r="D2268">
        <v>4.3759699999999997</v>
      </c>
      <c r="E2268">
        <v>0.48181780000000002</v>
      </c>
      <c r="F2268" t="s">
        <v>42</v>
      </c>
      <c r="G2268">
        <v>-491.30160000000001</v>
      </c>
      <c r="H2268" s="1">
        <v>-3.5259469999999998E-6</v>
      </c>
      <c r="I2268">
        <v>247.0009</v>
      </c>
      <c r="J2268">
        <v>-493.01240000000001</v>
      </c>
      <c r="K2268">
        <v>1.113794</v>
      </c>
      <c r="L2268">
        <v>257.01589999999999</v>
      </c>
      <c r="M2268">
        <v>-9.9351159999999994E-2</v>
      </c>
      <c r="N2268">
        <v>-1.372261E-2</v>
      </c>
      <c r="O2268">
        <v>-0.9949578</v>
      </c>
      <c r="P2268">
        <v>0.10635120000000001</v>
      </c>
      <c r="Q2268">
        <v>0.36710609999999999</v>
      </c>
      <c r="R2268">
        <v>-0.92407930000000005</v>
      </c>
      <c r="S2268">
        <v>0.55038450000000005</v>
      </c>
      <c r="T2268">
        <v>-0.3621626</v>
      </c>
      <c r="U2268">
        <v>-3.3276059999999998</v>
      </c>
      <c r="V2268">
        <v>-0.20008049999999999</v>
      </c>
      <c r="W2268">
        <v>0.37826539999999997</v>
      </c>
      <c r="X2268">
        <v>0.90381590000000001</v>
      </c>
      <c r="Y2268">
        <v>-0.25949800000000001</v>
      </c>
      <c r="Z2268">
        <v>9.1069639999999993E-2</v>
      </c>
      <c r="AA2268">
        <v>0.96144010000000002</v>
      </c>
      <c r="AB2268">
        <v>23</v>
      </c>
      <c r="AC2268">
        <v>1.7108000000000001</v>
      </c>
      <c r="AD2268">
        <v>-1.1137975259470001</v>
      </c>
      <c r="AE2268">
        <v>-10.014999999999899</v>
      </c>
      <c r="AF2268">
        <v>-2.6653979044662299</v>
      </c>
      <c r="AG2268">
        <v>-1.1137975259470001</v>
      </c>
      <c r="AH2268">
        <v>9.6791345166262808</v>
      </c>
      <c r="AI2268">
        <v>96.330642859265396</v>
      </c>
      <c r="AJ2268">
        <v>105.39625893675</v>
      </c>
      <c r="AK2268">
        <v>10.1010165779927</v>
      </c>
      <c r="AL2268">
        <v>67.773722317986795</v>
      </c>
      <c r="AM2268">
        <v>102.482436057467</v>
      </c>
      <c r="AN2268">
        <v>1.0000000502051001</v>
      </c>
    </row>
    <row r="2269" spans="1:40" x14ac:dyDescent="0.25">
      <c r="A2269" t="str">
        <f>"20190304164644554"</f>
        <v>20190304164644554</v>
      </c>
      <c r="B2269" t="str">
        <f>"1551689204550214"</f>
        <v>1551689204550214</v>
      </c>
      <c r="C2269" t="s">
        <v>40</v>
      </c>
      <c r="D2269">
        <v>4.3875469999999996</v>
      </c>
      <c r="E2269">
        <v>0.48186760000000001</v>
      </c>
      <c r="F2269" t="s">
        <v>42</v>
      </c>
      <c r="G2269">
        <v>-491.27379999999999</v>
      </c>
      <c r="H2269" s="1">
        <v>-3.3914080000000001E-6</v>
      </c>
      <c r="I2269">
        <v>246.7045</v>
      </c>
      <c r="J2269">
        <v>-493.03039999999999</v>
      </c>
      <c r="K2269">
        <v>1.1138669999999999</v>
      </c>
      <c r="L2269">
        <v>256.7867</v>
      </c>
      <c r="M2269">
        <v>-9.5113740000000002E-2</v>
      </c>
      <c r="N2269">
        <v>-1.36867E-2</v>
      </c>
      <c r="O2269">
        <v>-0.99537260000000005</v>
      </c>
      <c r="P2269">
        <v>0.1096882</v>
      </c>
      <c r="Q2269">
        <v>0.3675175</v>
      </c>
      <c r="R2269">
        <v>-0.92352559999999995</v>
      </c>
      <c r="S2269">
        <v>0.56054689999999996</v>
      </c>
      <c r="T2269">
        <v>-0.35911419999999999</v>
      </c>
      <c r="U2269">
        <v>-3.3246310000000001</v>
      </c>
      <c r="V2269">
        <v>-0.19955059999999999</v>
      </c>
      <c r="W2269">
        <v>0.37860949999999999</v>
      </c>
      <c r="X2269">
        <v>0.90378890000000001</v>
      </c>
      <c r="Y2269">
        <v>-0.25839849999999998</v>
      </c>
      <c r="Z2269">
        <v>9.0382069999999995E-2</v>
      </c>
      <c r="AA2269">
        <v>0.96180109999999996</v>
      </c>
      <c r="AB2269">
        <v>23</v>
      </c>
      <c r="AC2269">
        <v>1.7565999999999899</v>
      </c>
      <c r="AD2269">
        <v>-1.1138703914079999</v>
      </c>
      <c r="AE2269">
        <v>-10.0822</v>
      </c>
      <c r="AF2269">
        <v>-2.6759804578183801</v>
      </c>
      <c r="AG2269">
        <v>-1.1138703914079999</v>
      </c>
      <c r="AH2269">
        <v>9.7538464456809493</v>
      </c>
      <c r="AI2269">
        <v>96.284580517539695</v>
      </c>
      <c r="AJ2269">
        <v>105.341690969021</v>
      </c>
      <c r="AK2269">
        <v>10.1754164114007</v>
      </c>
      <c r="AL2269">
        <v>67.752421209655097</v>
      </c>
      <c r="AM2269">
        <v>102.45076969825401</v>
      </c>
      <c r="AN2269">
        <v>0.99999998560690995</v>
      </c>
    </row>
    <row r="2270" spans="1:40" x14ac:dyDescent="0.25">
      <c r="A2270" t="str">
        <f>"20190304164644577"</f>
        <v>20190304164644577</v>
      </c>
      <c r="B2270" t="str">
        <f>"1551689204570710"</f>
        <v>1551689204570710</v>
      </c>
      <c r="C2270" t="s">
        <v>40</v>
      </c>
      <c r="D2270">
        <v>4.3949199999999999</v>
      </c>
      <c r="E2270">
        <v>0.48182750000000002</v>
      </c>
      <c r="F2270" t="s">
        <v>42</v>
      </c>
      <c r="G2270">
        <v>-491.2253</v>
      </c>
      <c r="H2270" s="1">
        <v>-3.2010080000000002E-6</v>
      </c>
      <c r="I2270">
        <v>246.29079999999999</v>
      </c>
      <c r="J2270">
        <v>-493.04820000000001</v>
      </c>
      <c r="K2270">
        <v>1.113936</v>
      </c>
      <c r="L2270">
        <v>256.54509999999999</v>
      </c>
      <c r="M2270">
        <v>-9.0507069999999995E-2</v>
      </c>
      <c r="N2270">
        <v>-1.3638610000000001E-2</v>
      </c>
      <c r="O2270">
        <v>-0.99580239999999998</v>
      </c>
      <c r="P2270">
        <v>0.114881399999999</v>
      </c>
      <c r="Q2270">
        <v>0.36820760000000002</v>
      </c>
      <c r="R2270">
        <v>-0.92261870000000001</v>
      </c>
      <c r="S2270">
        <v>0.57113649999999905</v>
      </c>
      <c r="T2270">
        <v>-0.35242079999999998</v>
      </c>
      <c r="U2270">
        <v>-3.3208310000000001</v>
      </c>
      <c r="V2270">
        <v>-0.20050950000000001</v>
      </c>
      <c r="W2270">
        <v>0.37920579999999998</v>
      </c>
      <c r="X2270">
        <v>0.90332659999999998</v>
      </c>
      <c r="Y2270">
        <v>-0.25712249999999998</v>
      </c>
      <c r="Z2270">
        <v>8.8684639999999995E-2</v>
      </c>
      <c r="AA2270">
        <v>0.96230090000000001</v>
      </c>
      <c r="AB2270">
        <v>23</v>
      </c>
      <c r="AC2270">
        <v>1.8229</v>
      </c>
      <c r="AD2270">
        <v>-1.113939201008</v>
      </c>
      <c r="AE2270">
        <v>-10.254300000000001</v>
      </c>
      <c r="AF2270">
        <v>-2.7125603335174602</v>
      </c>
      <c r="AG2270">
        <v>-1.113939201008</v>
      </c>
      <c r="AH2270">
        <v>9.9335729509929998</v>
      </c>
      <c r="AI2270">
        <v>96.174137037094198</v>
      </c>
      <c r="AJ2270">
        <v>105.273392146161</v>
      </c>
      <c r="AK2270">
        <v>10.357350804101101</v>
      </c>
      <c r="AL2270">
        <v>67.715503764121294</v>
      </c>
      <c r="AM2270">
        <v>102.514920584701</v>
      </c>
      <c r="AN2270">
        <v>1.0000000223057199</v>
      </c>
    </row>
    <row r="2271" spans="1:40" x14ac:dyDescent="0.25">
      <c r="A2271" t="str">
        <f>"20190304164644599"</f>
        <v>20190304164644599</v>
      </c>
      <c r="B2271" t="str">
        <f>"1551689204590229"</f>
        <v>1551689204590229</v>
      </c>
      <c r="C2271" t="s">
        <v>40</v>
      </c>
      <c r="D2271">
        <v>4.4099079999999997</v>
      </c>
      <c r="E2271">
        <v>0.48179060000000001</v>
      </c>
      <c r="F2271" t="s">
        <v>42</v>
      </c>
      <c r="G2271">
        <v>-491.1789</v>
      </c>
      <c r="H2271" s="1">
        <v>-3.0605370000000001E-6</v>
      </c>
      <c r="I2271">
        <v>245.99209999999999</v>
      </c>
      <c r="J2271">
        <v>-493.0641</v>
      </c>
      <c r="K2271">
        <v>1.113988</v>
      </c>
      <c r="L2271">
        <v>256.3116</v>
      </c>
      <c r="M2271">
        <v>-8.5949579999999998E-2</v>
      </c>
      <c r="N2271">
        <v>-1.3590420000000001E-2</v>
      </c>
      <c r="O2271">
        <v>-0.99620679999999995</v>
      </c>
      <c r="P2271">
        <v>0.1192896</v>
      </c>
      <c r="Q2271">
        <v>0.36849589999999999</v>
      </c>
      <c r="R2271">
        <v>-0.92194399999999999</v>
      </c>
      <c r="S2271">
        <v>0.58773799999999998</v>
      </c>
      <c r="T2271">
        <v>-0.35025489999999998</v>
      </c>
      <c r="U2271">
        <v>-3.3181759999999998</v>
      </c>
      <c r="V2271">
        <v>-0.2007449</v>
      </c>
      <c r="W2271">
        <v>0.37941619999999998</v>
      </c>
      <c r="X2271">
        <v>0.90318600000000004</v>
      </c>
      <c r="Y2271">
        <v>-0.25751200000000002</v>
      </c>
      <c r="Z2271">
        <v>8.8206480000000004E-2</v>
      </c>
      <c r="AA2271">
        <v>0.96224069999999995</v>
      </c>
      <c r="AB2271">
        <v>23</v>
      </c>
      <c r="AC2271">
        <v>1.88519999999999</v>
      </c>
      <c r="AD2271">
        <v>-1.113991060537</v>
      </c>
      <c r="AE2271">
        <v>-10.3195</v>
      </c>
      <c r="AF2271">
        <v>-2.7344253247903598</v>
      </c>
      <c r="AG2271">
        <v>-1.113991060537</v>
      </c>
      <c r="AH2271">
        <v>10.0064172313445</v>
      </c>
      <c r="AI2271">
        <v>96.129512449679595</v>
      </c>
      <c r="AJ2271">
        <v>105.283907049793</v>
      </c>
      <c r="AK2271">
        <v>10.4329499063093</v>
      </c>
      <c r="AL2271">
        <v>67.702475955253007</v>
      </c>
      <c r="AM2271">
        <v>102.531038373041</v>
      </c>
      <c r="AN2271">
        <v>1.00000005914722</v>
      </c>
    </row>
    <row r="2272" spans="1:40" x14ac:dyDescent="0.25">
      <c r="A2272" t="str">
        <f>"20190304164644622"</f>
        <v>20190304164644622</v>
      </c>
      <c r="B2272" t="str">
        <f>"1551689204610729"</f>
        <v>1551689204610729</v>
      </c>
      <c r="C2272" t="s">
        <v>40</v>
      </c>
      <c r="D2272">
        <v>4.4030940000000003</v>
      </c>
      <c r="E2272">
        <v>0.48185859999999903</v>
      </c>
      <c r="F2272" t="s">
        <v>42</v>
      </c>
      <c r="G2272">
        <v>-491.15730000000002</v>
      </c>
      <c r="H2272" s="1">
        <v>-2.9760610000000002E-6</v>
      </c>
      <c r="I2272">
        <v>245.80850000000001</v>
      </c>
      <c r="J2272">
        <v>-493.07850000000002</v>
      </c>
      <c r="K2272">
        <v>1.1140239999999999</v>
      </c>
      <c r="L2272">
        <v>256.08530000000002</v>
      </c>
      <c r="M2272">
        <v>-8.1454680000000002E-2</v>
      </c>
      <c r="N2272">
        <v>-1.354524E-2</v>
      </c>
      <c r="O2272">
        <v>-0.9965851</v>
      </c>
      <c r="P2272">
        <v>0.1244368</v>
      </c>
      <c r="Q2272">
        <v>0.36794490000000002</v>
      </c>
      <c r="R2272">
        <v>-0.92148359999999996</v>
      </c>
      <c r="S2272">
        <v>0.60211179999999997</v>
      </c>
      <c r="T2272">
        <v>-0.35177920000000001</v>
      </c>
      <c r="U2272">
        <v>-3.3166959999999999</v>
      </c>
      <c r="V2272">
        <v>-0.20177429999999999</v>
      </c>
      <c r="W2272">
        <v>0.37879629999999997</v>
      </c>
      <c r="X2272">
        <v>0.90321680000000004</v>
      </c>
      <c r="Y2272">
        <v>-0.25725969999999998</v>
      </c>
      <c r="Z2272">
        <v>8.8762740000000007E-2</v>
      </c>
      <c r="AA2272">
        <v>0.96225700000000003</v>
      </c>
      <c r="AB2272">
        <v>23</v>
      </c>
      <c r="AC2272">
        <v>1.92119999999999</v>
      </c>
      <c r="AD2272">
        <v>-1.114026976061</v>
      </c>
      <c r="AE2272">
        <v>-10.2768</v>
      </c>
      <c r="AF2272">
        <v>-2.72108913265438</v>
      </c>
      <c r="AG2272">
        <v>-1.114026976061</v>
      </c>
      <c r="AH2272">
        <v>9.9729048935073408</v>
      </c>
      <c r="AI2272">
        <v>96.150798660864496</v>
      </c>
      <c r="AJ2272">
        <v>105.26156736636101</v>
      </c>
      <c r="AK2272">
        <v>10.3973176438052</v>
      </c>
      <c r="AL2272">
        <v>67.740858464742303</v>
      </c>
      <c r="AM2272">
        <v>102.59283592744799</v>
      </c>
      <c r="AN2272">
        <v>1.0000000464182</v>
      </c>
    </row>
    <row r="2273" spans="1:40" x14ac:dyDescent="0.25">
      <c r="A2273" t="str">
        <f>"20190304164644647"</f>
        <v>20190304164644647</v>
      </c>
      <c r="B2273" t="str">
        <f>"1551689204640513"</f>
        <v>1551689204640513</v>
      </c>
      <c r="C2273" t="s">
        <v>40</v>
      </c>
      <c r="D2273">
        <v>4.4113889999999998</v>
      </c>
      <c r="E2273">
        <v>0.48203030000000002</v>
      </c>
      <c r="F2273" t="s">
        <v>42</v>
      </c>
      <c r="G2273">
        <v>-491.14049999999997</v>
      </c>
      <c r="H2273" s="1">
        <v>-2.929222E-6</v>
      </c>
      <c r="I2273">
        <v>245.7098</v>
      </c>
      <c r="J2273">
        <v>-493.09370000000001</v>
      </c>
      <c r="K2273">
        <v>1.1140380000000001</v>
      </c>
      <c r="L2273">
        <v>255.82400000000001</v>
      </c>
      <c r="M2273">
        <v>-7.6197290000000001E-2</v>
      </c>
      <c r="N2273">
        <v>-1.348419E-2</v>
      </c>
      <c r="O2273">
        <v>-0.99700160000000004</v>
      </c>
      <c r="P2273">
        <v>0.1313781</v>
      </c>
      <c r="Q2273">
        <v>0.3664193</v>
      </c>
      <c r="R2273">
        <v>-0.92112819999999995</v>
      </c>
      <c r="S2273">
        <v>0.61901859999999997</v>
      </c>
      <c r="T2273">
        <v>-0.35583880000000001</v>
      </c>
      <c r="U2273">
        <v>-3.3141020000000001</v>
      </c>
      <c r="V2273">
        <v>-0.2038905</v>
      </c>
      <c r="W2273">
        <v>0.37718849999999998</v>
      </c>
      <c r="X2273">
        <v>0.90341439999999995</v>
      </c>
      <c r="Y2273">
        <v>-0.25702180000000002</v>
      </c>
      <c r="Z2273">
        <v>9.0098700000000004E-2</v>
      </c>
      <c r="AA2273">
        <v>0.96219650000000001</v>
      </c>
      <c r="AB2273">
        <v>23</v>
      </c>
      <c r="AC2273">
        <v>1.95320000000003</v>
      </c>
      <c r="AD2273">
        <v>-1.1140409292219999</v>
      </c>
      <c r="AE2273">
        <v>-10.1142</v>
      </c>
      <c r="AF2273">
        <v>-2.68683993172254</v>
      </c>
      <c r="AG2273">
        <v>-1.1140409292219999</v>
      </c>
      <c r="AH2273">
        <v>9.8210807277077308</v>
      </c>
      <c r="AI2273">
        <v>96.244065009797296</v>
      </c>
      <c r="AJ2273">
        <v>105.300522555005</v>
      </c>
      <c r="AK2273">
        <v>10.242744879710299</v>
      </c>
      <c r="AL2273">
        <v>67.840360676832503</v>
      </c>
      <c r="AM2273">
        <v>102.71794090375199</v>
      </c>
      <c r="AN2273">
        <v>1.00000003932492</v>
      </c>
    </row>
    <row r="2274" spans="1:40" x14ac:dyDescent="0.25">
      <c r="A2274" t="str">
        <f>"20190304164644667"</f>
        <v>20190304164644667</v>
      </c>
      <c r="B2274" t="str">
        <f>"1551689204661008"</f>
        <v>1551689204661008</v>
      </c>
      <c r="C2274" t="s">
        <v>40</v>
      </c>
      <c r="D2274">
        <v>4.4053570000000004</v>
      </c>
      <c r="E2274">
        <v>0.4822208</v>
      </c>
      <c r="F2274" t="s">
        <v>42</v>
      </c>
      <c r="G2274">
        <v>-491.13959999999997</v>
      </c>
      <c r="H2274" s="1">
        <v>-2.9227009999999998E-6</v>
      </c>
      <c r="I2274">
        <v>245.6951</v>
      </c>
      <c r="J2274">
        <v>-493.10509999999999</v>
      </c>
      <c r="K2274">
        <v>1.1140330000000001</v>
      </c>
      <c r="L2274">
        <v>255.61019999999999</v>
      </c>
      <c r="M2274">
        <v>-7.1862809999999999E-2</v>
      </c>
      <c r="N2274">
        <v>-1.342312E-2</v>
      </c>
      <c r="O2274">
        <v>-0.9973244</v>
      </c>
      <c r="P2274">
        <v>0.1377526</v>
      </c>
      <c r="Q2274">
        <v>0.3653459</v>
      </c>
      <c r="R2274">
        <v>-0.92062310000000003</v>
      </c>
      <c r="S2274">
        <v>0.63867189999999996</v>
      </c>
      <c r="T2274">
        <v>-0.36412159999999999</v>
      </c>
      <c r="U2274">
        <v>-3.3105929999999999</v>
      </c>
      <c r="V2274">
        <v>-0.2062621</v>
      </c>
      <c r="W2274">
        <v>0.37603639999999999</v>
      </c>
      <c r="X2274">
        <v>0.9033563</v>
      </c>
      <c r="Y2274">
        <v>-0.25847059999999999</v>
      </c>
      <c r="Z2274">
        <v>9.2632709999999993E-2</v>
      </c>
      <c r="AA2274">
        <v>0.96156750000000002</v>
      </c>
      <c r="AB2274">
        <v>23</v>
      </c>
      <c r="AC2274">
        <v>1.96550000000002</v>
      </c>
      <c r="AD2274">
        <v>-1.1140359227009999</v>
      </c>
      <c r="AE2274">
        <v>-9.91509999999999</v>
      </c>
      <c r="AF2274">
        <v>-2.64092928442345</v>
      </c>
      <c r="AG2274">
        <v>-1.1140359227009999</v>
      </c>
      <c r="AH2274">
        <v>9.6312119074810401</v>
      </c>
      <c r="AI2274">
        <v>96.365122931330404</v>
      </c>
      <c r="AJ2274">
        <v>105.333910661907</v>
      </c>
      <c r="AK2274">
        <v>10.048672864075</v>
      </c>
      <c r="AL2274">
        <v>67.911617207134398</v>
      </c>
      <c r="AM2274">
        <v>102.861779854581</v>
      </c>
      <c r="AN2274">
        <v>1.0000000163855201</v>
      </c>
    </row>
    <row r="2275" spans="1:40" x14ac:dyDescent="0.25">
      <c r="A2275" t="str">
        <f>"20190304164644691"</f>
        <v>20190304164644691</v>
      </c>
      <c r="B2275" t="str">
        <f>"1551689204680528"</f>
        <v>1551689204680528</v>
      </c>
      <c r="C2275" t="s">
        <v>40</v>
      </c>
      <c r="D2275">
        <v>4.4217149999999998</v>
      </c>
      <c r="E2275">
        <v>0.48250169999999998</v>
      </c>
      <c r="F2275" t="s">
        <v>42</v>
      </c>
      <c r="G2275">
        <v>-491.12880000000001</v>
      </c>
      <c r="H2275" s="1">
        <v>-2.900383E-6</v>
      </c>
      <c r="I2275">
        <v>245.6498</v>
      </c>
      <c r="J2275">
        <v>-493.11649999999997</v>
      </c>
      <c r="K2275">
        <v>1.114028</v>
      </c>
      <c r="L2275">
        <v>255.37690000000001</v>
      </c>
      <c r="M2275">
        <v>-6.7125500000000005E-2</v>
      </c>
      <c r="N2275">
        <v>-1.335153E-2</v>
      </c>
      <c r="O2275">
        <v>-0.99765530000000002</v>
      </c>
      <c r="P2275">
        <v>0.14482030000000001</v>
      </c>
      <c r="Q2275">
        <v>0.36469879999999999</v>
      </c>
      <c r="R2275">
        <v>-0.91979480000000002</v>
      </c>
      <c r="S2275">
        <v>0.65621949999999996</v>
      </c>
      <c r="T2275">
        <v>-0.36991309999999999</v>
      </c>
      <c r="U2275">
        <v>-3.3072970000000002</v>
      </c>
      <c r="V2275">
        <v>-0.2089375</v>
      </c>
      <c r="W2275">
        <v>0.3753011</v>
      </c>
      <c r="X2275">
        <v>0.90304720000000005</v>
      </c>
      <c r="Y2275">
        <v>-0.25894020000000001</v>
      </c>
      <c r="Z2275">
        <v>9.4475619999999996E-2</v>
      </c>
      <c r="AA2275">
        <v>0.9612619</v>
      </c>
      <c r="AB2275">
        <v>23</v>
      </c>
      <c r="AC2275">
        <v>1.9876999999999601</v>
      </c>
      <c r="AD2275">
        <v>-1.114030900383</v>
      </c>
      <c r="AE2275">
        <v>-9.7271000000000001</v>
      </c>
      <c r="AF2275">
        <v>-2.60343075606005</v>
      </c>
      <c r="AG2275">
        <v>-1.114030900383</v>
      </c>
      <c r="AH2275">
        <v>9.45270058426701</v>
      </c>
      <c r="AI2275">
        <v>96.482293380636804</v>
      </c>
      <c r="AJ2275">
        <v>105.39844066097901</v>
      </c>
      <c r="AK2275">
        <v>9.8677487242232491</v>
      </c>
      <c r="AL2275">
        <v>67.957076589930793</v>
      </c>
      <c r="AM2275">
        <v>103.027261655187</v>
      </c>
      <c r="AN2275">
        <v>1.00000001999765</v>
      </c>
    </row>
    <row r="2276" spans="1:40" x14ac:dyDescent="0.25">
      <c r="A2276" t="str">
        <f>"20190304164644713"</f>
        <v>20190304164644713</v>
      </c>
      <c r="B2276" t="str">
        <f>"1551689204701024"</f>
        <v>1551689204701024</v>
      </c>
      <c r="C2276" t="s">
        <v>40</v>
      </c>
      <c r="D2276">
        <v>4.40517</v>
      </c>
      <c r="E2276">
        <v>0.48284840000000001</v>
      </c>
      <c r="F2276" t="s">
        <v>42</v>
      </c>
      <c r="G2276">
        <v>-491.0951</v>
      </c>
      <c r="H2276" s="1">
        <v>-2.848226E-6</v>
      </c>
      <c r="I2276">
        <v>245.54920000000001</v>
      </c>
      <c r="J2276">
        <v>-493.1266</v>
      </c>
      <c r="K2276">
        <v>1.1140139999999901</v>
      </c>
      <c r="L2276">
        <v>255.14879999999999</v>
      </c>
      <c r="M2276">
        <v>-6.2495330000000002E-2</v>
      </c>
      <c r="N2276">
        <v>-1.3278180000000001E-2</v>
      </c>
      <c r="O2276">
        <v>-0.99795710000000004</v>
      </c>
      <c r="P2276">
        <v>0.15116569999999999</v>
      </c>
      <c r="Q2276">
        <v>0.36384620000000001</v>
      </c>
      <c r="R2276">
        <v>-0.91911120000000002</v>
      </c>
      <c r="S2276">
        <v>0.67938229999999999</v>
      </c>
      <c r="T2276">
        <v>-0.37442399999999998</v>
      </c>
      <c r="U2276">
        <v>-3.3030849999999998</v>
      </c>
      <c r="V2276">
        <v>-0.21099970000000001</v>
      </c>
      <c r="W2276">
        <v>0.3743688</v>
      </c>
      <c r="X2276">
        <v>0.9029547</v>
      </c>
      <c r="Y2276">
        <v>-0.26113809999999998</v>
      </c>
      <c r="Z2276">
        <v>9.593103E-2</v>
      </c>
      <c r="AA2276">
        <v>0.96052280000000001</v>
      </c>
      <c r="AB2276">
        <v>23</v>
      </c>
      <c r="AC2276">
        <v>2.0314999999999901</v>
      </c>
      <c r="AD2276">
        <v>-1.11401684822599</v>
      </c>
      <c r="AE2276">
        <v>-9.5995999999999793</v>
      </c>
      <c r="AF2276">
        <v>-2.5940737697910401</v>
      </c>
      <c r="AG2276">
        <v>-1.11401684822599</v>
      </c>
      <c r="AH2276">
        <v>9.3335526681554608</v>
      </c>
      <c r="AI2276">
        <v>96.560041902041306</v>
      </c>
      <c r="AJ2276">
        <v>105.53220462493699</v>
      </c>
      <c r="AK2276">
        <v>9.7511772453628005</v>
      </c>
      <c r="AL2276">
        <v>68.014694517135794</v>
      </c>
      <c r="AM2276">
        <v>103.152692108541</v>
      </c>
      <c r="AN2276">
        <v>1.0000000310328001</v>
      </c>
    </row>
    <row r="2277" spans="1:40" x14ac:dyDescent="0.25">
      <c r="A2277" t="str">
        <f>"20190304164644733"</f>
        <v>20190304164644733</v>
      </c>
      <c r="B2277" t="str">
        <f>"1551689204720544"</f>
        <v>1551689204720544</v>
      </c>
      <c r="C2277" t="s">
        <v>40</v>
      </c>
      <c r="D2277">
        <v>4.3844960000000004</v>
      </c>
      <c r="E2277">
        <v>0.48318699999999998</v>
      </c>
      <c r="F2277" t="s">
        <v>42</v>
      </c>
      <c r="G2277">
        <v>-491.07380000000001</v>
      </c>
      <c r="H2277" s="1">
        <v>-2.8027759999999998E-6</v>
      </c>
      <c r="I2277">
        <v>245.4564</v>
      </c>
      <c r="J2277">
        <v>-493.13490000000002</v>
      </c>
      <c r="K2277">
        <v>1.113991</v>
      </c>
      <c r="L2277">
        <v>254.9384</v>
      </c>
      <c r="M2277">
        <v>-5.8236509999999998E-2</v>
      </c>
      <c r="N2277">
        <v>-1.3209790000000001E-2</v>
      </c>
      <c r="O2277">
        <v>-0.99821539999999997</v>
      </c>
      <c r="P2277">
        <v>0.15693840000000001</v>
      </c>
      <c r="Q2277">
        <v>0.36288320000000002</v>
      </c>
      <c r="R2277">
        <v>-0.91852420000000001</v>
      </c>
      <c r="S2277">
        <v>0.69876099999999997</v>
      </c>
      <c r="T2277">
        <v>-0.37920860000000001</v>
      </c>
      <c r="U2277">
        <v>-3.2992400000000002</v>
      </c>
      <c r="V2277">
        <v>-0.21283659999999999</v>
      </c>
      <c r="W2277">
        <v>0.37333519999999998</v>
      </c>
      <c r="X2277">
        <v>0.90295150000000002</v>
      </c>
      <c r="Y2277">
        <v>-0.26261400000000001</v>
      </c>
      <c r="Z2277">
        <v>9.7463910000000001E-2</v>
      </c>
      <c r="AA2277">
        <v>0.95996599999999999</v>
      </c>
      <c r="AB2277">
        <v>23</v>
      </c>
      <c r="AC2277">
        <v>2.0611000000000099</v>
      </c>
      <c r="AD2277">
        <v>-1.1139938027759999</v>
      </c>
      <c r="AE2277">
        <v>-9.4819999999999993</v>
      </c>
      <c r="AF2277">
        <v>-2.5758977644953198</v>
      </c>
      <c r="AG2277">
        <v>-1.1139938027759999</v>
      </c>
      <c r="AH2277">
        <v>9.2242866206491403</v>
      </c>
      <c r="AI2277">
        <v>96.634676062875599</v>
      </c>
      <c r="AJ2277">
        <v>105.60248154545</v>
      </c>
      <c r="AK2277">
        <v>9.6417682582419495</v>
      </c>
      <c r="AL2277">
        <v>68.078544664627699</v>
      </c>
      <c r="AM2277">
        <v>103.263210447815</v>
      </c>
      <c r="AN2277">
        <v>1.0000000006054199</v>
      </c>
    </row>
    <row r="2278" spans="1:40" x14ac:dyDescent="0.25">
      <c r="A2278" t="str">
        <f>"20190304164644760"</f>
        <v>20190304164644760</v>
      </c>
      <c r="B2278" t="str">
        <f>"1551689204750331"</f>
        <v>1551689204750331</v>
      </c>
      <c r="C2278" t="s">
        <v>40</v>
      </c>
      <c r="D2278">
        <v>4.4246650000000001</v>
      </c>
      <c r="E2278">
        <v>0.48391770000000001</v>
      </c>
      <c r="F2278" t="s">
        <v>42</v>
      </c>
      <c r="G2278">
        <v>-491.0643</v>
      </c>
      <c r="H2278" s="1">
        <v>-2.7693310000000001E-6</v>
      </c>
      <c r="I2278">
        <v>245.3844</v>
      </c>
      <c r="J2278">
        <v>-493.14420000000001</v>
      </c>
      <c r="K2278">
        <v>1.113958</v>
      </c>
      <c r="L2278">
        <v>254.66890000000001</v>
      </c>
      <c r="M2278">
        <v>-5.2798989999999997E-2</v>
      </c>
      <c r="N2278">
        <v>-1.31197999999999E-2</v>
      </c>
      <c r="O2278">
        <v>-0.99851900000000005</v>
      </c>
      <c r="P2278">
        <v>0.16334789999999999</v>
      </c>
      <c r="Q2278">
        <v>0.36241889999999999</v>
      </c>
      <c r="R2278">
        <v>-0.91758949999999995</v>
      </c>
      <c r="S2278">
        <v>0.71432499999999999</v>
      </c>
      <c r="T2278">
        <v>-0.38430170000000002</v>
      </c>
      <c r="U2278">
        <v>-3.2958980000000002</v>
      </c>
      <c r="V2278">
        <v>-0.21422530000000001</v>
      </c>
      <c r="W2278">
        <v>0.3727839</v>
      </c>
      <c r="X2278">
        <v>0.90285090000000001</v>
      </c>
      <c r="Y2278">
        <v>-0.26185659999999999</v>
      </c>
      <c r="Z2278">
        <v>9.9148650000000005E-2</v>
      </c>
      <c r="AA2278">
        <v>0.96000030000000003</v>
      </c>
      <c r="AB2278">
        <v>23</v>
      </c>
      <c r="AC2278">
        <v>2.0798999999999999</v>
      </c>
      <c r="AD2278">
        <v>-1.1139607693310001</v>
      </c>
      <c r="AE2278">
        <v>-9.2844999999999995</v>
      </c>
      <c r="AF2278">
        <v>-2.53253809401556</v>
      </c>
      <c r="AG2278">
        <v>-1.1139607693310001</v>
      </c>
      <c r="AH2278">
        <v>9.0378354762379001</v>
      </c>
      <c r="AI2278">
        <v>96.768416889637393</v>
      </c>
      <c r="AJ2278">
        <v>105.653674877754</v>
      </c>
      <c r="AK2278">
        <v>9.4518319858529498</v>
      </c>
      <c r="AL2278">
        <v>68.112590332429605</v>
      </c>
      <c r="AM2278">
        <v>103.348095883113</v>
      </c>
      <c r="AN2278">
        <v>1.0000000314450499</v>
      </c>
    </row>
    <row r="2279" spans="1:40" x14ac:dyDescent="0.25">
      <c r="A2279" t="str">
        <f>"20190304164644778"</f>
        <v>20190304164644778</v>
      </c>
      <c r="B2279" t="str">
        <f>"1551689204770827"</f>
        <v>1551689204770827</v>
      </c>
      <c r="C2279" t="s">
        <v>40</v>
      </c>
      <c r="D2279">
        <v>4.4462289999999998</v>
      </c>
      <c r="E2279">
        <v>0.48440480000000002</v>
      </c>
      <c r="F2279" t="s">
        <v>42</v>
      </c>
      <c r="G2279">
        <v>-491.05259999999998</v>
      </c>
      <c r="H2279" s="1">
        <v>-2.6988439999999998E-6</v>
      </c>
      <c r="I2279">
        <v>245.22730000000001</v>
      </c>
      <c r="J2279">
        <v>-493.15010000000001</v>
      </c>
      <c r="K2279">
        <v>1.113936</v>
      </c>
      <c r="L2279">
        <v>254.4709</v>
      </c>
      <c r="M2279">
        <v>-4.8811849999999997E-2</v>
      </c>
      <c r="N2279">
        <v>-1.305066E-2</v>
      </c>
      <c r="O2279">
        <v>-0.99872269999999996</v>
      </c>
      <c r="P2279">
        <v>0.1678134</v>
      </c>
      <c r="Q2279">
        <v>0.36200529999999997</v>
      </c>
      <c r="R2279">
        <v>-0.91694659999999995</v>
      </c>
      <c r="S2279">
        <v>0.72949219999999904</v>
      </c>
      <c r="T2279">
        <v>-0.38852320000000001</v>
      </c>
      <c r="U2279">
        <v>-3.293015</v>
      </c>
      <c r="V2279">
        <v>-0.2150174</v>
      </c>
      <c r="W2279">
        <v>0.37230649999999998</v>
      </c>
      <c r="X2279">
        <v>0.90285959999999998</v>
      </c>
      <c r="Y2279">
        <v>-0.26236700000000002</v>
      </c>
      <c r="Z2279">
        <v>0.1005091</v>
      </c>
      <c r="AA2279">
        <v>0.95971949999999995</v>
      </c>
      <c r="AB2279">
        <v>23</v>
      </c>
      <c r="AC2279">
        <v>2.0975000000000201</v>
      </c>
      <c r="AD2279">
        <v>-1.1139386988439901</v>
      </c>
      <c r="AE2279">
        <v>-9.2435999999999794</v>
      </c>
      <c r="AF2279">
        <v>-2.5115472085156698</v>
      </c>
      <c r="AG2279">
        <v>-1.1139386988439901</v>
      </c>
      <c r="AH2279">
        <v>9.0058060157085507</v>
      </c>
      <c r="AI2279">
        <v>96.794459317330904</v>
      </c>
      <c r="AJ2279">
        <v>105.582770549174</v>
      </c>
      <c r="AK2279">
        <v>9.4155865880972804</v>
      </c>
      <c r="AL2279">
        <v>68.142065183309995</v>
      </c>
      <c r="AM2279">
        <v>103.39555026644901</v>
      </c>
      <c r="AN2279">
        <v>1.00000003477858</v>
      </c>
    </row>
    <row r="2280" spans="1:40" x14ac:dyDescent="0.25">
      <c r="A2280" t="str">
        <f>"20190304164644802"</f>
        <v>20190304164644802</v>
      </c>
      <c r="B2280" t="str">
        <f>"1551689204790350"</f>
        <v>1551689204790350</v>
      </c>
      <c r="C2280" t="s">
        <v>40</v>
      </c>
      <c r="D2280">
        <v>4.4442539999999999</v>
      </c>
      <c r="E2280">
        <v>0.48467569999999999</v>
      </c>
      <c r="F2280" t="s">
        <v>42</v>
      </c>
      <c r="G2280">
        <v>-491.04660000000001</v>
      </c>
      <c r="H2280" s="1">
        <v>-2.6467769999999998E-6</v>
      </c>
      <c r="I2280">
        <v>245.1097</v>
      </c>
      <c r="J2280">
        <v>-493.15609999999998</v>
      </c>
      <c r="K2280">
        <v>1.113918</v>
      </c>
      <c r="L2280">
        <v>254.23599999999999</v>
      </c>
      <c r="M2280">
        <v>-4.4091480000000002E-2</v>
      </c>
      <c r="N2280">
        <v>-1.2968810000000001E-2</v>
      </c>
      <c r="O2280">
        <v>-0.99894349999999998</v>
      </c>
      <c r="P2280">
        <v>0.17210129999999901</v>
      </c>
      <c r="Q2280">
        <v>0.36283189999999998</v>
      </c>
      <c r="R2280">
        <v>-0.91582459999999999</v>
      </c>
      <c r="S2280">
        <v>0.73950199999999999</v>
      </c>
      <c r="T2280">
        <v>-0.39160800000000001</v>
      </c>
      <c r="U2280">
        <v>-3.2909700000000002</v>
      </c>
      <c r="V2280">
        <v>-0.21495710000000001</v>
      </c>
      <c r="W2280">
        <v>0.37306</v>
      </c>
      <c r="X2280">
        <v>0.9025628</v>
      </c>
      <c r="Y2280">
        <v>-0.26069249999999999</v>
      </c>
      <c r="Z2280">
        <v>0.1015841</v>
      </c>
      <c r="AA2280">
        <v>0.96006259999999999</v>
      </c>
      <c r="AB2280">
        <v>23</v>
      </c>
      <c r="AC2280">
        <v>2.1094999999999602</v>
      </c>
      <c r="AD2280">
        <v>-1.113920646777</v>
      </c>
      <c r="AE2280">
        <v>-9.1262999999999792</v>
      </c>
      <c r="AF2280">
        <v>-2.4748740708588102</v>
      </c>
      <c r="AG2280">
        <v>-1.113920646777</v>
      </c>
      <c r="AH2280">
        <v>8.8985599878873707</v>
      </c>
      <c r="AI2280">
        <v>96.876794936864897</v>
      </c>
      <c r="AJ2280">
        <v>105.542351949946</v>
      </c>
      <c r="AK2280">
        <v>9.3032354980380596</v>
      </c>
      <c r="AL2280">
        <v>68.095539509132095</v>
      </c>
      <c r="AM2280">
        <v>103.39617403618399</v>
      </c>
      <c r="AN2280">
        <v>0.99999996319212403</v>
      </c>
    </row>
    <row r="2281" spans="1:40" x14ac:dyDescent="0.25">
      <c r="A2281" t="str">
        <f>"20190304164644824"</f>
        <v>20190304164644824</v>
      </c>
      <c r="B2281" t="str">
        <f>"1551689204820602"</f>
        <v>1551689204820602</v>
      </c>
      <c r="C2281" t="s">
        <v>40</v>
      </c>
      <c r="D2281">
        <v>4.4267099999999999</v>
      </c>
      <c r="E2281">
        <v>0.49568489999999998</v>
      </c>
      <c r="F2281" t="s">
        <v>42</v>
      </c>
      <c r="G2281">
        <v>-491.00749999999999</v>
      </c>
      <c r="H2281" s="1">
        <v>-2.5159400000000002E-6</v>
      </c>
      <c r="I2281">
        <v>244.8289</v>
      </c>
      <c r="J2281">
        <v>-493.16090000000003</v>
      </c>
      <c r="K2281">
        <v>1.1139079999999999</v>
      </c>
      <c r="L2281">
        <v>254.0061</v>
      </c>
      <c r="M2281">
        <v>-3.9475499999999997E-2</v>
      </c>
      <c r="N2281">
        <v>-1.289003E-2</v>
      </c>
      <c r="O2281">
        <v>-0.99913750000000001</v>
      </c>
      <c r="P2281">
        <v>0.17639659999999999</v>
      </c>
      <c r="Q2281">
        <v>0.36346830000000002</v>
      </c>
      <c r="R2281">
        <v>-0.91475450000000003</v>
      </c>
      <c r="S2281">
        <v>0.75119019999999903</v>
      </c>
      <c r="T2281">
        <v>-0.38944669999999998</v>
      </c>
      <c r="U2281">
        <v>-3.2888950000000001</v>
      </c>
      <c r="V2281">
        <v>-0.21501129999999999</v>
      </c>
      <c r="W2281">
        <v>0.37362410000000001</v>
      </c>
      <c r="X2281">
        <v>0.90231660000000002</v>
      </c>
      <c r="Y2281">
        <v>-0.25962289999999999</v>
      </c>
      <c r="Z2281">
        <v>0.1011201</v>
      </c>
      <c r="AA2281">
        <v>0.96040130000000001</v>
      </c>
      <c r="AB2281">
        <v>23</v>
      </c>
      <c r="AC2281">
        <v>2.1534000000000302</v>
      </c>
      <c r="AD2281">
        <v>-1.11391051593999</v>
      </c>
      <c r="AE2281">
        <v>-9.1771999999999991</v>
      </c>
      <c r="AF2281">
        <v>-2.4794039636639602</v>
      </c>
      <c r="AG2281">
        <v>-1.11391051593999</v>
      </c>
      <c r="AH2281">
        <v>8.9599175023878903</v>
      </c>
      <c r="AI2281">
        <v>96.832526075445301</v>
      </c>
      <c r="AJ2281">
        <v>105.46792349531</v>
      </c>
      <c r="AK2281">
        <v>9.3631384856868998</v>
      </c>
      <c r="AL2281">
        <v>68.060701533537198</v>
      </c>
      <c r="AM2281">
        <v>103.402954158482</v>
      </c>
      <c r="AN2281">
        <v>1.0000000369320201</v>
      </c>
    </row>
    <row r="2282" spans="1:40" x14ac:dyDescent="0.25">
      <c r="A2282" t="str">
        <f>"20190304164644847"</f>
        <v>20190304164644847</v>
      </c>
      <c r="B2282" t="str">
        <f>"1551689204840630"</f>
        <v>1551689204840630</v>
      </c>
      <c r="C2282" t="s">
        <v>40</v>
      </c>
      <c r="D2282">
        <v>4.432925</v>
      </c>
      <c r="E2282">
        <v>0.49610100000000001</v>
      </c>
      <c r="F2282" t="s">
        <v>42</v>
      </c>
      <c r="G2282">
        <v>-491.33589999999998</v>
      </c>
      <c r="H2282" s="1">
        <v>-2.7390130000000001E-6</v>
      </c>
      <c r="I2282">
        <v>245.14519999999999</v>
      </c>
      <c r="J2282">
        <v>-493.16489999999999</v>
      </c>
      <c r="K2282">
        <v>1.113901</v>
      </c>
      <c r="L2282">
        <v>253.76910000000001</v>
      </c>
      <c r="M2282">
        <v>-3.4716160000000003E-2</v>
      </c>
      <c r="N2282">
        <v>-1.2810530000000001E-2</v>
      </c>
      <c r="O2282">
        <v>-0.99931530000000002</v>
      </c>
      <c r="P2282">
        <v>0.18137030000000001</v>
      </c>
      <c r="Q2282">
        <v>0.3636916</v>
      </c>
      <c r="R2282">
        <v>-0.91369210000000001</v>
      </c>
      <c r="S2282">
        <v>0.68246459999999998</v>
      </c>
      <c r="T2282">
        <v>-0.41654089999999999</v>
      </c>
      <c r="U2282">
        <v>-3.3134769999999998</v>
      </c>
      <c r="V2282">
        <v>-0.21561959999999999</v>
      </c>
      <c r="W2282">
        <v>0.37377090000000002</v>
      </c>
      <c r="X2282">
        <v>0.90211059999999998</v>
      </c>
      <c r="Y2282">
        <v>-0.23421</v>
      </c>
      <c r="Z2282">
        <v>0.1088573</v>
      </c>
      <c r="AA2282">
        <v>0.96607229999999999</v>
      </c>
      <c r="AB2282">
        <v>23</v>
      </c>
      <c r="AC2282">
        <v>1.829</v>
      </c>
      <c r="AD2282">
        <v>-1.113903739013</v>
      </c>
      <c r="AE2282">
        <v>-8.6239000000000097</v>
      </c>
      <c r="AF2282">
        <v>-2.0938808711702199</v>
      </c>
      <c r="AG2282">
        <v>-1.113903739013</v>
      </c>
      <c r="AH2282">
        <v>8.4207589005805996</v>
      </c>
      <c r="AI2282">
        <v>97.315141796257294</v>
      </c>
      <c r="AJ2282">
        <v>103.963800191928</v>
      </c>
      <c r="AK2282">
        <v>8.7483883718172493</v>
      </c>
      <c r="AL2282">
        <v>68.051633062588607</v>
      </c>
      <c r="AM2282">
        <v>103.442456940139</v>
      </c>
      <c r="AN2282">
        <v>1.00000001611166</v>
      </c>
    </row>
    <row r="2283" spans="1:40" x14ac:dyDescent="0.25">
      <c r="A2283" t="str">
        <f>"20190304164644870"</f>
        <v>20190304164644870</v>
      </c>
      <c r="B2283" t="str">
        <f>"1551689204861125"</f>
        <v>1551689204861125</v>
      </c>
      <c r="C2283" t="s">
        <v>40</v>
      </c>
      <c r="D2283">
        <v>4.4516260000000001</v>
      </c>
      <c r="E2283">
        <v>0.4968342</v>
      </c>
      <c r="F2283" t="s">
        <v>42</v>
      </c>
      <c r="G2283">
        <v>-491.30430000000001</v>
      </c>
      <c r="H2283" s="1">
        <v>-2.633067E-6</v>
      </c>
      <c r="I2283">
        <v>244.9179</v>
      </c>
      <c r="J2283">
        <v>-493.16759999999999</v>
      </c>
      <c r="K2283">
        <v>1.113891</v>
      </c>
      <c r="L2283">
        <v>253.53100000000001</v>
      </c>
      <c r="M2283">
        <v>-2.9933209999999998E-2</v>
      </c>
      <c r="N2283">
        <v>-1.273201E-2</v>
      </c>
      <c r="O2283">
        <v>-0.99947079999999999</v>
      </c>
      <c r="P2283">
        <v>0.18658089999999999</v>
      </c>
      <c r="Q2283">
        <v>0.3641973</v>
      </c>
      <c r="R2283">
        <v>-0.91244080000000005</v>
      </c>
      <c r="S2283">
        <v>0.69601440000000003</v>
      </c>
      <c r="T2283">
        <v>-0.41669689999999998</v>
      </c>
      <c r="U2283">
        <v>-3.3111109999999999</v>
      </c>
      <c r="V2283">
        <v>-0.216448</v>
      </c>
      <c r="W2283">
        <v>0.37419639999999998</v>
      </c>
      <c r="X2283">
        <v>0.90173579999999998</v>
      </c>
      <c r="Y2283">
        <v>-0.2334823</v>
      </c>
      <c r="Z2283">
        <v>0.10906</v>
      </c>
      <c r="AA2283">
        <v>0.96622560000000002</v>
      </c>
      <c r="AB2283">
        <v>23</v>
      </c>
      <c r="AC2283">
        <v>1.86329999999998</v>
      </c>
      <c r="AD2283">
        <v>-1.113893633067</v>
      </c>
      <c r="AE2283">
        <v>-8.6130999999999691</v>
      </c>
      <c r="AF2283">
        <v>-2.0869594749907199</v>
      </c>
      <c r="AG2283">
        <v>-1.113893633067</v>
      </c>
      <c r="AH2283">
        <v>8.4189483073495204</v>
      </c>
      <c r="AI2283">
        <v>97.317933347892406</v>
      </c>
      <c r="AJ2283">
        <v>103.922317090758</v>
      </c>
      <c r="AK2283">
        <v>8.74498996442329</v>
      </c>
      <c r="AL2283">
        <v>68.025347404560307</v>
      </c>
      <c r="AM2283">
        <v>103.497620223562</v>
      </c>
      <c r="AN2283">
        <v>1.00000006773929</v>
      </c>
    </row>
    <row r="2284" spans="1:40" x14ac:dyDescent="0.25">
      <c r="A2284" t="str">
        <f>"20190304164644891"</f>
        <v>20190304164644891</v>
      </c>
      <c r="B2284" t="str">
        <f>"1551689204880645"</f>
        <v>1551689204880645</v>
      </c>
      <c r="C2284" t="s">
        <v>40</v>
      </c>
      <c r="D2284">
        <v>4.453119</v>
      </c>
      <c r="E2284">
        <v>0.49736429999999998</v>
      </c>
      <c r="F2284" t="s">
        <v>42</v>
      </c>
      <c r="G2284">
        <v>-491.27929999999998</v>
      </c>
      <c r="H2284" s="1">
        <v>-2.5410520000000001E-6</v>
      </c>
      <c r="I2284">
        <v>244.71889999999999</v>
      </c>
      <c r="J2284">
        <v>-493.16930000000002</v>
      </c>
      <c r="K2284">
        <v>1.1138840000000001</v>
      </c>
      <c r="L2284">
        <v>253.30940000000001</v>
      </c>
      <c r="M2284">
        <v>-2.5479000000000002E-2</v>
      </c>
      <c r="N2284">
        <v>-1.265959E-2</v>
      </c>
      <c r="O2284">
        <v>-0.99959520000000002</v>
      </c>
      <c r="P2284">
        <v>0.19139229999999999</v>
      </c>
      <c r="Q2284">
        <v>0.36511179999999999</v>
      </c>
      <c r="R2284">
        <v>-0.9110779</v>
      </c>
      <c r="S2284">
        <v>0.70925899999999997</v>
      </c>
      <c r="T2284">
        <v>-0.41838609999999998</v>
      </c>
      <c r="U2284">
        <v>-3.3098749999999999</v>
      </c>
      <c r="V2284">
        <v>-0.21718589999999999</v>
      </c>
      <c r="W2284">
        <v>0.37503409999999998</v>
      </c>
      <c r="X2284">
        <v>0.90121010000000001</v>
      </c>
      <c r="Y2284">
        <v>-0.2329109</v>
      </c>
      <c r="Z2284">
        <v>0.1096502</v>
      </c>
      <c r="AA2284">
        <v>0.96629670000000001</v>
      </c>
      <c r="AB2284">
        <v>23</v>
      </c>
      <c r="AC2284">
        <v>1.8900000000000401</v>
      </c>
      <c r="AD2284">
        <v>-1.113886541052</v>
      </c>
      <c r="AE2284">
        <v>-8.5905000000000094</v>
      </c>
      <c r="AF2284">
        <v>-2.0750049018294199</v>
      </c>
      <c r="AG2284">
        <v>-1.113886541052</v>
      </c>
      <c r="AH2284">
        <v>8.4047664825767008</v>
      </c>
      <c r="AI2284">
        <v>97.331798245779396</v>
      </c>
      <c r="AJ2284">
        <v>103.868105272932</v>
      </c>
      <c r="AK2284">
        <v>8.7284871653452996</v>
      </c>
      <c r="AL2284">
        <v>67.973578813934793</v>
      </c>
      <c r="AM2284">
        <v>103.549551713613</v>
      </c>
      <c r="AN2284">
        <v>0.999999967831814</v>
      </c>
    </row>
    <row r="2285" spans="1:40" x14ac:dyDescent="0.25">
      <c r="A2285" t="str">
        <f>"20190304164644923"</f>
        <v>20190304164644923</v>
      </c>
      <c r="B2285" t="str">
        <f>"1551689204920661"</f>
        <v>1551689204920661</v>
      </c>
      <c r="C2285" t="s">
        <v>40</v>
      </c>
      <c r="D2285">
        <v>4.455552</v>
      </c>
      <c r="E2285">
        <v>0.49786330000000001</v>
      </c>
      <c r="F2285" t="s">
        <v>42</v>
      </c>
      <c r="G2285">
        <v>-491.23239999999998</v>
      </c>
      <c r="H2285" s="1">
        <v>-2.4111749999999998E-6</v>
      </c>
      <c r="I2285">
        <v>244.4453</v>
      </c>
      <c r="J2285">
        <v>-493.16969999999998</v>
      </c>
      <c r="K2285">
        <v>1.1138729999999999</v>
      </c>
      <c r="L2285">
        <v>252.98390000000001</v>
      </c>
      <c r="M2285">
        <v>-1.8932770000000002E-2</v>
      </c>
      <c r="N2285">
        <v>-1.2558059999999999E-2</v>
      </c>
      <c r="O2285">
        <v>-0.99974200000000002</v>
      </c>
      <c r="P2285">
        <v>0.1975006</v>
      </c>
      <c r="Q2285">
        <v>0.36526219999999998</v>
      </c>
      <c r="R2285">
        <v>-0.90971270000000004</v>
      </c>
      <c r="S2285">
        <v>0.72271730000000001</v>
      </c>
      <c r="T2285">
        <v>-0.41563420000000001</v>
      </c>
      <c r="U2285">
        <v>-3.3075410000000001</v>
      </c>
      <c r="V2285">
        <v>-0.2173301</v>
      </c>
      <c r="W2285">
        <v>0.37509160000000002</v>
      </c>
      <c r="X2285">
        <v>0.90115140000000005</v>
      </c>
      <c r="Y2285">
        <v>-0.23045940000000001</v>
      </c>
      <c r="Z2285">
        <v>0.1090613</v>
      </c>
      <c r="AA2285">
        <v>0.966951</v>
      </c>
      <c r="AB2285">
        <v>23</v>
      </c>
      <c r="AC2285">
        <v>1.93729999999999</v>
      </c>
      <c r="AD2285">
        <v>-1.113875411175</v>
      </c>
      <c r="AE2285">
        <v>-8.5386000000000006</v>
      </c>
      <c r="AF2285">
        <v>-2.0652005080480902</v>
      </c>
      <c r="AG2285">
        <v>-1.113875411175</v>
      </c>
      <c r="AH2285">
        <v>8.3650043853438891</v>
      </c>
      <c r="AI2285">
        <v>97.3661919599529</v>
      </c>
      <c r="AJ2285">
        <v>103.868184318494</v>
      </c>
      <c r="AK2285">
        <v>8.6878691252161993</v>
      </c>
      <c r="AL2285">
        <v>67.970024759636203</v>
      </c>
      <c r="AM2285">
        <v>103.55906647324301</v>
      </c>
      <c r="AN2285">
        <v>0.99999996323926399</v>
      </c>
    </row>
    <row r="2286" spans="1:40" x14ac:dyDescent="0.25">
      <c r="A2286" t="str">
        <f>"20190304164644948"</f>
        <v>20190304164644948</v>
      </c>
      <c r="B2286" t="str">
        <f>"1551689204941156"</f>
        <v>1551689204941156</v>
      </c>
      <c r="C2286" t="s">
        <v>40</v>
      </c>
      <c r="D2286">
        <v>4.4675479999999999</v>
      </c>
      <c r="E2286">
        <v>0.49821019999999999</v>
      </c>
      <c r="F2286" t="s">
        <v>42</v>
      </c>
      <c r="G2286">
        <v>-491.18430000000001</v>
      </c>
      <c r="H2286" s="1">
        <v>-2.2684580000000001E-6</v>
      </c>
      <c r="I2286">
        <v>244.14240000000001</v>
      </c>
      <c r="J2286">
        <v>-493.16849999999999</v>
      </c>
      <c r="K2286">
        <v>1.113858</v>
      </c>
      <c r="L2286">
        <v>252.71899999999999</v>
      </c>
      <c r="M2286">
        <v>-1.35996E-2</v>
      </c>
      <c r="N2286">
        <v>-1.248465E-2</v>
      </c>
      <c r="O2286">
        <v>-0.99982950000000004</v>
      </c>
      <c r="P2286">
        <v>0.20217460000000001</v>
      </c>
      <c r="Q2286">
        <v>0.3654173</v>
      </c>
      <c r="R2286">
        <v>-0.90862310000000002</v>
      </c>
      <c r="S2286">
        <v>0.74188229999999999</v>
      </c>
      <c r="T2286">
        <v>-0.41622350000000002</v>
      </c>
      <c r="U2286">
        <v>-3.303833</v>
      </c>
      <c r="V2286">
        <v>-0.21715400000000001</v>
      </c>
      <c r="W2286">
        <v>0.3751813</v>
      </c>
      <c r="X2286">
        <v>0.90115650000000003</v>
      </c>
      <c r="Y2286">
        <v>-0.23083680000000001</v>
      </c>
      <c r="Z2286">
        <v>0.1093789</v>
      </c>
      <c r="AA2286">
        <v>0.96682500000000005</v>
      </c>
      <c r="AB2286">
        <v>23</v>
      </c>
      <c r="AC2286">
        <v>1.98419999999998</v>
      </c>
      <c r="AD2286">
        <v>-1.1138602684579999</v>
      </c>
      <c r="AE2286">
        <v>-8.5766000000000098</v>
      </c>
      <c r="AF2286">
        <v>-2.0675625514882099</v>
      </c>
      <c r="AG2286">
        <v>-1.1138602684579999</v>
      </c>
      <c r="AH2286">
        <v>8.4141116795002997</v>
      </c>
      <c r="AI2286">
        <v>97.325522155793294</v>
      </c>
      <c r="AJ2286">
        <v>103.805513186501</v>
      </c>
      <c r="AK2286">
        <v>8.7357183423613893</v>
      </c>
      <c r="AL2286">
        <v>67.9644801747298</v>
      </c>
      <c r="AM2286">
        <v>103.548411028529</v>
      </c>
      <c r="AN2286">
        <v>0.99999995253896801</v>
      </c>
    </row>
    <row r="2287" spans="1:40" x14ac:dyDescent="0.25">
      <c r="A2287" t="str">
        <f>"20190304164644968"</f>
        <v>20190304164644968</v>
      </c>
      <c r="B2287" t="str">
        <f>"1551689204960677"</f>
        <v>1551689204960677</v>
      </c>
      <c r="C2287" t="s">
        <v>40</v>
      </c>
      <c r="D2287">
        <v>4.476839</v>
      </c>
      <c r="E2287">
        <v>0.49861359999999899</v>
      </c>
      <c r="F2287" t="s">
        <v>42</v>
      </c>
      <c r="G2287">
        <v>-491.1626</v>
      </c>
      <c r="H2287" s="1">
        <v>-2.1776020000000002E-6</v>
      </c>
      <c r="I2287">
        <v>243.94409999999999</v>
      </c>
      <c r="J2287">
        <v>-493.16660000000002</v>
      </c>
      <c r="K2287">
        <v>1.11385499999999</v>
      </c>
      <c r="L2287">
        <v>252.51150000000001</v>
      </c>
      <c r="M2287">
        <v>-9.4221770000000003E-3</v>
      </c>
      <c r="N2287">
        <v>-1.243377E-2</v>
      </c>
      <c r="O2287">
        <v>-0.9998785</v>
      </c>
      <c r="P2287">
        <v>0.20543420000000001</v>
      </c>
      <c r="Q2287">
        <v>0.3654</v>
      </c>
      <c r="R2287">
        <v>-0.90789839999999999</v>
      </c>
      <c r="S2287">
        <v>0.75491330000000001</v>
      </c>
      <c r="T2287">
        <v>-0.4191918</v>
      </c>
      <c r="U2287">
        <v>-3.3023530000000001</v>
      </c>
      <c r="V2287">
        <v>-0.2166196</v>
      </c>
      <c r="W2287">
        <v>0.37512430000000002</v>
      </c>
      <c r="X2287">
        <v>0.90130889999999997</v>
      </c>
      <c r="Y2287">
        <v>-0.23047200000000001</v>
      </c>
      <c r="Z2287">
        <v>0.1103068</v>
      </c>
      <c r="AA2287">
        <v>0.96680670000000002</v>
      </c>
      <c r="AB2287">
        <v>23</v>
      </c>
      <c r="AC2287">
        <v>2.0040000000000102</v>
      </c>
      <c r="AD2287">
        <v>-1.1138571776020001</v>
      </c>
      <c r="AE2287">
        <v>-8.5674000000000099</v>
      </c>
      <c r="AF2287">
        <v>-2.0517592338564601</v>
      </c>
      <c r="AG2287">
        <v>-1.1138571776020001</v>
      </c>
      <c r="AH2287">
        <v>8.4133041728136799</v>
      </c>
      <c r="AI2287">
        <v>97.329302434443804</v>
      </c>
      <c r="AJ2287">
        <v>103.705250087363</v>
      </c>
      <c r="AK2287">
        <v>8.7312130239786807</v>
      </c>
      <c r="AL2287">
        <v>67.968004744710299</v>
      </c>
      <c r="AM2287">
        <v>103.514092497603</v>
      </c>
      <c r="AN2287">
        <v>1.0000000123869299</v>
      </c>
    </row>
    <row r="2288" spans="1:40" x14ac:dyDescent="0.25">
      <c r="A2288" t="str">
        <f>"20190304164644991"</f>
        <v>20190304164644991</v>
      </c>
      <c r="B2288" t="str">
        <f>"1551689204980197"</f>
        <v>1551689204980197</v>
      </c>
      <c r="C2288" t="s">
        <v>40</v>
      </c>
      <c r="D2288">
        <v>4.4752769999999904</v>
      </c>
      <c r="E2288">
        <v>0.4989634</v>
      </c>
      <c r="F2288" t="s">
        <v>42</v>
      </c>
      <c r="G2288">
        <v>-491.1465</v>
      </c>
      <c r="H2288" s="1">
        <v>-2.102085E-6</v>
      </c>
      <c r="I2288">
        <v>243.77799999999999</v>
      </c>
      <c r="J2288">
        <v>-493.1635</v>
      </c>
      <c r="K2288">
        <v>1.1138539999999999</v>
      </c>
      <c r="L2288">
        <v>252.2818</v>
      </c>
      <c r="M2288">
        <v>-4.7976240000000003E-3</v>
      </c>
      <c r="N2288">
        <v>-1.238291E-2</v>
      </c>
      <c r="O2288">
        <v>-0.99991180000000002</v>
      </c>
      <c r="P2288">
        <v>0.20780380000000001</v>
      </c>
      <c r="Q2288">
        <v>0.3659618</v>
      </c>
      <c r="R2288">
        <v>-0.90713270000000001</v>
      </c>
      <c r="S2288">
        <v>0.76351930000000001</v>
      </c>
      <c r="T2288">
        <v>-0.4210025</v>
      </c>
      <c r="U2288">
        <v>-3.300964</v>
      </c>
      <c r="V2288">
        <v>-0.2147974</v>
      </c>
      <c r="W2288">
        <v>0.37565460000000001</v>
      </c>
      <c r="X2288">
        <v>0.90152410000000005</v>
      </c>
      <c r="Y2288">
        <v>-0.22844139999999999</v>
      </c>
      <c r="Z2288">
        <v>0.1109372</v>
      </c>
      <c r="AA2288">
        <v>0.96721639999999998</v>
      </c>
      <c r="AB2288">
        <v>23</v>
      </c>
      <c r="AC2288">
        <v>2.0169999999999901</v>
      </c>
      <c r="AD2288">
        <v>-1.113856102085</v>
      </c>
      <c r="AE2288">
        <v>-8.5038000000000107</v>
      </c>
      <c r="AF2288">
        <v>-2.0248880118719401</v>
      </c>
      <c r="AG2288">
        <v>-1.113856102085</v>
      </c>
      <c r="AH2288">
        <v>8.3582626302691594</v>
      </c>
      <c r="AI2288">
        <v>97.379725582663994</v>
      </c>
      <c r="AJ2288">
        <v>103.618205587177</v>
      </c>
      <c r="AK2288">
        <v>8.6718741384621492</v>
      </c>
      <c r="AL2288">
        <v>67.935223164095106</v>
      </c>
      <c r="AM2288">
        <v>103.401447250986</v>
      </c>
      <c r="AN2288">
        <v>1.00000000221436</v>
      </c>
    </row>
    <row r="2289" spans="1:40" x14ac:dyDescent="0.25">
      <c r="A2289" t="str">
        <f>"20190304164645012"</f>
        <v>20190304164645012</v>
      </c>
      <c r="B2289" t="str">
        <f>"1551689205000696"</f>
        <v>1551689205000696</v>
      </c>
      <c r="C2289" t="s">
        <v>40</v>
      </c>
      <c r="D2289">
        <v>4.4971800000000002</v>
      </c>
      <c r="E2289">
        <v>0.49895089999999997</v>
      </c>
      <c r="F2289" t="s">
        <v>42</v>
      </c>
      <c r="G2289">
        <v>-491.11450000000002</v>
      </c>
      <c r="H2289" s="1">
        <v>-1.9904609999999998E-6</v>
      </c>
      <c r="I2289">
        <v>243.5377</v>
      </c>
      <c r="J2289">
        <v>-493.15960000000001</v>
      </c>
      <c r="K2289">
        <v>1.11385499999999</v>
      </c>
      <c r="L2289">
        <v>252.0624</v>
      </c>
      <c r="M2289">
        <v>-3.7923280000000002E-4</v>
      </c>
      <c r="N2289">
        <v>-1.233943E-2</v>
      </c>
      <c r="O2289">
        <v>-0.99992360000000002</v>
      </c>
      <c r="P2289">
        <v>0.20888319999999999</v>
      </c>
      <c r="Q2289">
        <v>0.36716969999999999</v>
      </c>
      <c r="R2289">
        <v>-0.90639630000000004</v>
      </c>
      <c r="S2289">
        <v>0.77319340000000003</v>
      </c>
      <c r="T2289">
        <v>-0.42031000000000002</v>
      </c>
      <c r="U2289">
        <v>-3.2995760000000001</v>
      </c>
      <c r="V2289">
        <v>-0.2118804</v>
      </c>
      <c r="W2289">
        <v>0.37684580000000001</v>
      </c>
      <c r="X2289">
        <v>0.9017172</v>
      </c>
      <c r="Y2289">
        <v>-0.22692580000000001</v>
      </c>
      <c r="Z2289">
        <v>0.11082110000000001</v>
      </c>
      <c r="AA2289">
        <v>0.96758639999999996</v>
      </c>
      <c r="AB2289">
        <v>23</v>
      </c>
      <c r="AC2289">
        <v>2.0450999999999899</v>
      </c>
      <c r="AD2289">
        <v>-1.1138569904609901</v>
      </c>
      <c r="AE2289">
        <v>-8.5246999999999904</v>
      </c>
      <c r="AF2289">
        <v>-2.0157909743201201</v>
      </c>
      <c r="AG2289">
        <v>-1.1138569904609901</v>
      </c>
      <c r="AH2289">
        <v>8.3885037420199193</v>
      </c>
      <c r="AI2289">
        <v>97.356666046215494</v>
      </c>
      <c r="AJ2289">
        <v>103.51220124372399</v>
      </c>
      <c r="AK2289">
        <v>8.6989129020373301</v>
      </c>
      <c r="AL2289">
        <v>67.861559071626999</v>
      </c>
      <c r="AM2289">
        <v>103.223157680645</v>
      </c>
      <c r="AN2289">
        <v>0.99999998482881902</v>
      </c>
    </row>
    <row r="2290" spans="1:40" x14ac:dyDescent="0.25">
      <c r="A2290" t="str">
        <f>"20190304164645036"</f>
        <v>20190304164645036</v>
      </c>
      <c r="B2290" t="str">
        <f>"1551689205030949"</f>
        <v>1551689205030949</v>
      </c>
      <c r="C2290" t="s">
        <v>40</v>
      </c>
      <c r="D2290">
        <v>4.4918509999999996</v>
      </c>
      <c r="E2290">
        <v>0.4971177</v>
      </c>
      <c r="F2290" t="s">
        <v>42</v>
      </c>
      <c r="G2290">
        <v>-491.05889999999999</v>
      </c>
      <c r="H2290" s="1">
        <v>-1.832654E-6</v>
      </c>
      <c r="I2290">
        <v>243.20429999999999</v>
      </c>
      <c r="J2290">
        <v>-493.15410000000003</v>
      </c>
      <c r="K2290">
        <v>1.1138570000000001</v>
      </c>
      <c r="L2290">
        <v>251.82310000000001</v>
      </c>
      <c r="M2290">
        <v>4.4374289999999997E-3</v>
      </c>
      <c r="N2290">
        <v>-1.2297590000000001E-2</v>
      </c>
      <c r="O2290">
        <v>-0.99991459999999999</v>
      </c>
      <c r="P2290">
        <v>0.2090901</v>
      </c>
      <c r="Q2290">
        <v>0.36918060000000003</v>
      </c>
      <c r="R2290">
        <v>-0.90553139999999999</v>
      </c>
      <c r="S2290">
        <v>0.78201290000000001</v>
      </c>
      <c r="T2290">
        <v>-0.41465229999999997</v>
      </c>
      <c r="U2290">
        <v>-3.2975919999999999</v>
      </c>
      <c r="V2290">
        <v>-0.20773639999999999</v>
      </c>
      <c r="W2290">
        <v>0.37884970000000001</v>
      </c>
      <c r="X2290">
        <v>0.90184169999999997</v>
      </c>
      <c r="Y2290">
        <v>-0.22486049999999999</v>
      </c>
      <c r="Z2290">
        <v>0.1092974</v>
      </c>
      <c r="AA2290">
        <v>0.96824160000000004</v>
      </c>
      <c r="AB2290">
        <v>23</v>
      </c>
      <c r="AC2290">
        <v>2.0952000000000299</v>
      </c>
      <c r="AD2290">
        <v>-1.11385883265399</v>
      </c>
      <c r="AE2290">
        <v>-8.6188000000000198</v>
      </c>
      <c r="AF2290">
        <v>-2.0249969840653099</v>
      </c>
      <c r="AG2290">
        <v>-1.11385883265399</v>
      </c>
      <c r="AH2290">
        <v>8.4940618660304796</v>
      </c>
      <c r="AI2290">
        <v>97.269334436806801</v>
      </c>
      <c r="AJ2290">
        <v>103.409102055868</v>
      </c>
      <c r="AK2290">
        <v>8.8028621066394201</v>
      </c>
      <c r="AL2290">
        <v>67.7375509014622</v>
      </c>
      <c r="AM2290">
        <v>102.971637972878</v>
      </c>
      <c r="AN2290">
        <v>0.99999997946696895</v>
      </c>
    </row>
    <row r="2291" spans="1:40" x14ac:dyDescent="0.25">
      <c r="A2291" t="str">
        <f>"20190304164645060"</f>
        <v>20190304164645060</v>
      </c>
      <c r="B2291" t="str">
        <f>"1551689205050469"</f>
        <v>1551689205050469</v>
      </c>
      <c r="C2291" t="s">
        <v>40</v>
      </c>
      <c r="D2291">
        <v>4.4863080000000002</v>
      </c>
      <c r="E2291">
        <v>0.49603530000000001</v>
      </c>
      <c r="F2291" t="s">
        <v>42</v>
      </c>
      <c r="G2291">
        <v>-490.86900000000003</v>
      </c>
      <c r="H2291" s="1">
        <v>-1.4618820000000001E-6</v>
      </c>
      <c r="I2291">
        <v>242.45779999999999</v>
      </c>
      <c r="J2291">
        <v>-493.14729999999997</v>
      </c>
      <c r="K2291">
        <v>1.1138619999999999</v>
      </c>
      <c r="L2291">
        <v>251.57839999999999</v>
      </c>
      <c r="M2291">
        <v>9.3476600000000007E-3</v>
      </c>
      <c r="N2291">
        <v>-1.2260439999999999E-2</v>
      </c>
      <c r="O2291">
        <v>-0.99988109999999997</v>
      </c>
      <c r="P2291">
        <v>0.210479</v>
      </c>
      <c r="Q2291">
        <v>0.37134279999999997</v>
      </c>
      <c r="R2291">
        <v>-0.90432489999999999</v>
      </c>
      <c r="S2291">
        <v>0.80203250000000004</v>
      </c>
      <c r="T2291">
        <v>-0.39095249999999998</v>
      </c>
      <c r="U2291">
        <v>-3.2871250000000001</v>
      </c>
      <c r="V2291">
        <v>-0.20469309999999999</v>
      </c>
      <c r="W2291">
        <v>0.3809999</v>
      </c>
      <c r="X2291">
        <v>0.90163179999999998</v>
      </c>
      <c r="Y2291">
        <v>-0.22651740000000001</v>
      </c>
      <c r="Z2291">
        <v>0.1027266</v>
      </c>
      <c r="AA2291">
        <v>0.96857479999999996</v>
      </c>
      <c r="AB2291">
        <v>23</v>
      </c>
      <c r="AC2291">
        <v>2.2782999999999398</v>
      </c>
      <c r="AD2291">
        <v>-1.113863461882</v>
      </c>
      <c r="AE2291">
        <v>-9.1205999999999907</v>
      </c>
      <c r="AF2291">
        <v>-2.1625777952766101</v>
      </c>
      <c r="AG2291">
        <v>-1.113863461882</v>
      </c>
      <c r="AH2291">
        <v>9.0149409932521003</v>
      </c>
      <c r="AI2291">
        <v>96.851176738743405</v>
      </c>
      <c r="AJ2291">
        <v>103.489675292589</v>
      </c>
      <c r="AK2291">
        <v>9.3373762719597195</v>
      </c>
      <c r="AL2291">
        <v>67.604368560734102</v>
      </c>
      <c r="AM2291">
        <v>102.790777250671</v>
      </c>
      <c r="AN2291">
        <v>1.00000004587942</v>
      </c>
    </row>
    <row r="2292" spans="1:40" x14ac:dyDescent="0.25">
      <c r="A2292" t="str">
        <f>"20190304164645081"</f>
        <v>20190304164645081</v>
      </c>
      <c r="B2292" t="str">
        <f>"1551689205070965"</f>
        <v>1551689205070965</v>
      </c>
      <c r="C2292" t="s">
        <v>40</v>
      </c>
      <c r="D2292">
        <v>4.5104319999999998</v>
      </c>
      <c r="E2292">
        <v>0.49526520000000002</v>
      </c>
      <c r="F2292" t="s">
        <v>42</v>
      </c>
      <c r="G2292">
        <v>-490.72019999999998</v>
      </c>
      <c r="H2292" s="1">
        <v>-1.1635069999999999E-6</v>
      </c>
      <c r="I2292">
        <v>241.8546</v>
      </c>
      <c r="J2292">
        <v>-493.13990000000001</v>
      </c>
      <c r="K2292">
        <v>1.113864</v>
      </c>
      <c r="L2292">
        <v>251.34829999999999</v>
      </c>
      <c r="M2292">
        <v>1.39501E-2</v>
      </c>
      <c r="N2292">
        <v>-1.2229459999999999E-2</v>
      </c>
      <c r="O2292">
        <v>-0.9998281</v>
      </c>
      <c r="P2292">
        <v>0.21340020000000001</v>
      </c>
      <c r="Q2292">
        <v>0.3740697</v>
      </c>
      <c r="R2292">
        <v>-0.9025147</v>
      </c>
      <c r="S2292">
        <v>0.81896969999999902</v>
      </c>
      <c r="T2292">
        <v>-0.37584610000000002</v>
      </c>
      <c r="U2292">
        <v>-3.2810820000000001</v>
      </c>
      <c r="V2292">
        <v>-0.20347409999999999</v>
      </c>
      <c r="W2292">
        <v>0.38370179999999998</v>
      </c>
      <c r="X2292">
        <v>0.90076149999999999</v>
      </c>
      <c r="Y2292">
        <v>-0.22726850000000001</v>
      </c>
      <c r="Z2292">
        <v>9.8485870000000003E-2</v>
      </c>
      <c r="AA2292">
        <v>0.96883929999999996</v>
      </c>
      <c r="AB2292">
        <v>23</v>
      </c>
      <c r="AC2292">
        <v>2.4197000000000299</v>
      </c>
      <c r="AD2292">
        <v>-1.113865163507</v>
      </c>
      <c r="AE2292">
        <v>-9.4936999999999898</v>
      </c>
      <c r="AF2292">
        <v>-2.25783207039122</v>
      </c>
      <c r="AG2292">
        <v>-1.113865163507</v>
      </c>
      <c r="AH2292">
        <v>9.4049660409634104</v>
      </c>
      <c r="AI2292">
        <v>96.569338409763105</v>
      </c>
      <c r="AJ2292">
        <v>103.499421076601</v>
      </c>
      <c r="AK2292">
        <v>9.7361125451710198</v>
      </c>
      <c r="AL2292">
        <v>67.436830682617</v>
      </c>
      <c r="AM2292">
        <v>102.728975984492</v>
      </c>
      <c r="AN2292">
        <v>1.00000003028814</v>
      </c>
    </row>
    <row r="2293" spans="1:40" x14ac:dyDescent="0.25">
      <c r="A2293" t="str">
        <f>"20190304164645103"</f>
        <v>20190304164645103</v>
      </c>
      <c r="B2293" t="str">
        <f>"1551689205090489"</f>
        <v>1551689205090489</v>
      </c>
      <c r="C2293" t="s">
        <v>40</v>
      </c>
      <c r="D2293">
        <v>4.4860280000000001</v>
      </c>
      <c r="E2293">
        <v>0.49443140000000002</v>
      </c>
      <c r="F2293" t="s">
        <v>42</v>
      </c>
      <c r="G2293">
        <v>-490.56130000000002</v>
      </c>
      <c r="H2293" s="1">
        <v>-8.503708E-7</v>
      </c>
      <c r="I2293">
        <v>241.22319999999999</v>
      </c>
      <c r="J2293">
        <v>-493.13220000000001</v>
      </c>
      <c r="K2293">
        <v>1.1138520000000001</v>
      </c>
      <c r="L2293">
        <v>251.13929999999999</v>
      </c>
      <c r="M2293">
        <v>1.8093060000000001E-2</v>
      </c>
      <c r="N2293">
        <v>-1.2204110000000001E-2</v>
      </c>
      <c r="O2293">
        <v>-0.99976200000000004</v>
      </c>
      <c r="P2293">
        <v>0.21874779999999999</v>
      </c>
      <c r="Q2293">
        <v>0.37547340000000001</v>
      </c>
      <c r="R2293">
        <v>-0.90064929999999999</v>
      </c>
      <c r="S2293">
        <v>0.83432009999999901</v>
      </c>
      <c r="T2293">
        <v>-0.36040519999999998</v>
      </c>
      <c r="U2293">
        <v>-3.2761079999999998</v>
      </c>
      <c r="V2293">
        <v>-0.20509089999999999</v>
      </c>
      <c r="W2293">
        <v>0.38507029999999998</v>
      </c>
      <c r="X2293">
        <v>0.89981029999999995</v>
      </c>
      <c r="Y2293">
        <v>-0.22795879999999999</v>
      </c>
      <c r="Z2293">
        <v>9.4096890000000002E-2</v>
      </c>
      <c r="AA2293">
        <v>0.96911329999999996</v>
      </c>
      <c r="AB2293">
        <v>23</v>
      </c>
      <c r="AC2293">
        <v>2.5708999999999902</v>
      </c>
      <c r="AD2293">
        <v>-1.1138528503708001</v>
      </c>
      <c r="AE2293">
        <v>-9.9161000000000001</v>
      </c>
      <c r="AF2293">
        <v>-2.36311453524592</v>
      </c>
      <c r="AG2293">
        <v>-1.1138528503708001</v>
      </c>
      <c r="AH2293">
        <v>9.8446046306244295</v>
      </c>
      <c r="AI2293">
        <v>96.278331473015598</v>
      </c>
      <c r="AJ2293">
        <v>103.497986336861</v>
      </c>
      <c r="AK2293">
        <v>10.185343333058601</v>
      </c>
      <c r="AL2293">
        <v>67.351895229355307</v>
      </c>
      <c r="AM2293">
        <v>102.839897054689</v>
      </c>
      <c r="AN2293">
        <v>0.99999999459549505</v>
      </c>
    </row>
    <row r="2294" spans="1:40" x14ac:dyDescent="0.25">
      <c r="A2294" t="str">
        <f>"20190304164645124"</f>
        <v>20190304164645124</v>
      </c>
      <c r="B2294" t="str">
        <f>"1551689205120741"</f>
        <v>1551689205120741</v>
      </c>
      <c r="C2294" t="s">
        <v>40</v>
      </c>
      <c r="D2294">
        <v>4.5246870000000001</v>
      </c>
      <c r="E2294">
        <v>0.49360999999999999</v>
      </c>
      <c r="F2294" t="s">
        <v>42</v>
      </c>
      <c r="G2294">
        <v>-490.41590000000002</v>
      </c>
      <c r="H2294" s="1">
        <v>-6.148173E-7</v>
      </c>
      <c r="I2294">
        <v>240.76429999999999</v>
      </c>
      <c r="J2294">
        <v>-493.12310000000002</v>
      </c>
      <c r="K2294">
        <v>1.1138110000000001</v>
      </c>
      <c r="L2294">
        <v>250.91419999999999</v>
      </c>
      <c r="M2294">
        <v>2.24805E-2</v>
      </c>
      <c r="N2294">
        <v>-1.217855E-2</v>
      </c>
      <c r="O2294">
        <v>-0.99967309999999998</v>
      </c>
      <c r="P2294">
        <v>0.2260335</v>
      </c>
      <c r="Q2294">
        <v>0.3749768</v>
      </c>
      <c r="R2294">
        <v>-0.89905579999999996</v>
      </c>
      <c r="S2294">
        <v>0.85598750000000001</v>
      </c>
      <c r="T2294">
        <v>-0.3510007</v>
      </c>
      <c r="U2294">
        <v>-3.2693940000000001</v>
      </c>
      <c r="V2294">
        <v>-0.2083931</v>
      </c>
      <c r="W2294">
        <v>0.38454440000000001</v>
      </c>
      <c r="X2294">
        <v>0.89927639999999998</v>
      </c>
      <c r="Y2294">
        <v>-0.23024739999999999</v>
      </c>
      <c r="Z2294">
        <v>9.1463810000000006E-2</v>
      </c>
      <c r="AA2294">
        <v>0.96882429999999997</v>
      </c>
      <c r="AB2294">
        <v>23</v>
      </c>
      <c r="AC2294">
        <v>2.7071999999999998</v>
      </c>
      <c r="AD2294">
        <v>-1.1138116148173001</v>
      </c>
      <c r="AE2294">
        <v>-10.149900000000001</v>
      </c>
      <c r="AF2294">
        <v>-2.4507717832648099</v>
      </c>
      <c r="AG2294">
        <v>-1.1138116148173001</v>
      </c>
      <c r="AH2294">
        <v>10.0947109439036</v>
      </c>
      <c r="AI2294">
        <v>96.119959430873294</v>
      </c>
      <c r="AJ2294">
        <v>103.646126602744</v>
      </c>
      <c r="AK2294">
        <v>10.4474900185603</v>
      </c>
      <c r="AL2294">
        <v>67.384542498239995</v>
      </c>
      <c r="AM2294">
        <v>103.047099024557</v>
      </c>
      <c r="AN2294">
        <v>1.0000000616479601</v>
      </c>
    </row>
    <row r="2295" spans="1:40" x14ac:dyDescent="0.25">
      <c r="A2295" t="str">
        <f>"20190304164645147"</f>
        <v>20190304164645147</v>
      </c>
      <c r="B2295" t="str">
        <f>"1551689205140261"</f>
        <v>1551689205140261</v>
      </c>
      <c r="C2295" t="s">
        <v>40</v>
      </c>
      <c r="D2295">
        <v>4.5078779999999998</v>
      </c>
      <c r="E2295">
        <v>0.49310130000000002</v>
      </c>
      <c r="F2295" t="s">
        <v>42</v>
      </c>
      <c r="G2295">
        <v>-490.30860000000001</v>
      </c>
      <c r="H2295" s="1">
        <v>-4.7591539999999998E-7</v>
      </c>
      <c r="I2295">
        <v>240.50710000000001</v>
      </c>
      <c r="J2295">
        <v>-493.11219999999997</v>
      </c>
      <c r="K2295">
        <v>1.1137049999999999</v>
      </c>
      <c r="L2295">
        <v>250.67160000000001</v>
      </c>
      <c r="M2295">
        <v>2.7083090000000001E-2</v>
      </c>
      <c r="N2295">
        <v>-1.2152100000000001E-2</v>
      </c>
      <c r="O2295">
        <v>-0.99955950000000005</v>
      </c>
      <c r="P2295">
        <v>0.23485539999999999</v>
      </c>
      <c r="Q2295">
        <v>0.37213810000000003</v>
      </c>
      <c r="R2295">
        <v>-0.89797380000000004</v>
      </c>
      <c r="S2295">
        <v>0.88180539999999996</v>
      </c>
      <c r="T2295">
        <v>-0.34896650000000001</v>
      </c>
      <c r="U2295">
        <v>-3.2606510000000002</v>
      </c>
      <c r="V2295">
        <v>-0.21298120000000001</v>
      </c>
      <c r="W2295">
        <v>0.38169380000000003</v>
      </c>
      <c r="X2295">
        <v>0.89941589999999905</v>
      </c>
      <c r="Y2295">
        <v>-0.23357549999999999</v>
      </c>
      <c r="Z2295">
        <v>9.1007229999999995E-2</v>
      </c>
      <c r="AA2295">
        <v>0.96807030000000005</v>
      </c>
      <c r="AB2295">
        <v>23</v>
      </c>
      <c r="AC2295">
        <v>2.8035999999999599</v>
      </c>
      <c r="AD2295">
        <v>-1.1137054759153999</v>
      </c>
      <c r="AE2295">
        <v>-10.1645</v>
      </c>
      <c r="AF2295">
        <v>-2.4993809580023001</v>
      </c>
      <c r="AG2295">
        <v>-1.1137054759153999</v>
      </c>
      <c r="AH2295">
        <v>10.1237617760784</v>
      </c>
      <c r="AI2295">
        <v>96.096214097682505</v>
      </c>
      <c r="AJ2295">
        <v>103.86801514275</v>
      </c>
      <c r="AK2295">
        <v>10.4870299684465</v>
      </c>
      <c r="AL2295">
        <v>67.561361240238099</v>
      </c>
      <c r="AM2295">
        <v>103.322217660476</v>
      </c>
      <c r="AN2295">
        <v>1.00000005484234</v>
      </c>
    </row>
    <row r="2296" spans="1:40" x14ac:dyDescent="0.25">
      <c r="A2296" t="str">
        <f>"20190304164645173"</f>
        <v>20190304164645173</v>
      </c>
      <c r="B2296" t="str">
        <f>"1551689205160757"</f>
        <v>1551689205160757</v>
      </c>
      <c r="C2296" t="s">
        <v>40</v>
      </c>
      <c r="D2296">
        <v>4.5088369999999998</v>
      </c>
      <c r="E2296">
        <v>0.49278349999999999</v>
      </c>
      <c r="F2296" t="s">
        <v>42</v>
      </c>
      <c r="G2296">
        <v>-490.27609999999999</v>
      </c>
      <c r="H2296" s="1">
        <v>-4.8415750000000005E-7</v>
      </c>
      <c r="I2296">
        <v>240.54650000000001</v>
      </c>
      <c r="J2296">
        <v>-493.09949999999998</v>
      </c>
      <c r="K2296">
        <v>1.113556</v>
      </c>
      <c r="L2296">
        <v>250.40989999999999</v>
      </c>
      <c r="M2296">
        <v>3.1857980000000001E-2</v>
      </c>
      <c r="N2296">
        <v>-1.212485E-2</v>
      </c>
      <c r="O2296">
        <v>-0.9994191</v>
      </c>
      <c r="P2296">
        <v>0.24327260000000001</v>
      </c>
      <c r="Q2296">
        <v>0.36906470000000002</v>
      </c>
      <c r="R2296">
        <v>-0.89700059999999904</v>
      </c>
      <c r="S2296">
        <v>0.91061400000000003</v>
      </c>
      <c r="T2296">
        <v>-0.35757719999999998</v>
      </c>
      <c r="U2296">
        <v>-3.2508849999999998</v>
      </c>
      <c r="V2296">
        <v>-0.21696679999999999</v>
      </c>
      <c r="W2296">
        <v>0.37863920000000001</v>
      </c>
      <c r="X2296">
        <v>0.89975430000000001</v>
      </c>
      <c r="Y2296">
        <v>-0.23756279999999999</v>
      </c>
      <c r="Z2296">
        <v>9.3668580000000001E-2</v>
      </c>
      <c r="AA2296">
        <v>0.96684550000000002</v>
      </c>
      <c r="AB2296">
        <v>23</v>
      </c>
      <c r="AC2296">
        <v>2.8233999999999901</v>
      </c>
      <c r="AD2296">
        <v>-1.1135564841574901</v>
      </c>
      <c r="AE2296">
        <v>-9.8633999999999808</v>
      </c>
      <c r="AF2296">
        <v>-2.4785171401341599</v>
      </c>
      <c r="AG2296">
        <v>-1.1135564841574901</v>
      </c>
      <c r="AH2296">
        <v>9.83251390330995</v>
      </c>
      <c r="AI2296">
        <v>96.266952368537304</v>
      </c>
      <c r="AJ2296">
        <v>104.14800838655999</v>
      </c>
      <c r="AK2296">
        <v>10.2010482263408</v>
      </c>
      <c r="AL2296">
        <v>67.750583409125795</v>
      </c>
      <c r="AM2296">
        <v>103.557480001212</v>
      </c>
      <c r="AN2296">
        <v>1.0000000182236799</v>
      </c>
    </row>
    <row r="2297" spans="1:40" x14ac:dyDescent="0.25">
      <c r="A2297" t="str">
        <f>"20190304164645191"</f>
        <v>20190304164645191</v>
      </c>
      <c r="B2297" t="str">
        <f>"1551689205180277"</f>
        <v>1551689205180277</v>
      </c>
      <c r="C2297" t="s">
        <v>40</v>
      </c>
      <c r="D2297">
        <v>4.5082309999999897</v>
      </c>
      <c r="E2297">
        <v>0.49252879999999899</v>
      </c>
      <c r="F2297" t="s">
        <v>42</v>
      </c>
      <c r="G2297">
        <v>-490.25420000000003</v>
      </c>
      <c r="H2297" s="1">
        <v>-4.9814830000000002E-7</v>
      </c>
      <c r="I2297">
        <v>240.5926</v>
      </c>
      <c r="J2297">
        <v>-493.08940000000001</v>
      </c>
      <c r="K2297">
        <v>1.1134200000000001</v>
      </c>
      <c r="L2297">
        <v>250.21379999999999</v>
      </c>
      <c r="M2297">
        <v>3.5255639999999998E-2</v>
      </c>
      <c r="N2297">
        <v>-1.2105400000000001E-2</v>
      </c>
      <c r="O2297">
        <v>-0.99930509999999995</v>
      </c>
      <c r="P2297">
        <v>0.24735489999999999</v>
      </c>
      <c r="Q2297">
        <v>0.36632530000000002</v>
      </c>
      <c r="R2297">
        <v>-0.89700709999999995</v>
      </c>
      <c r="S2297">
        <v>0.93933109999999997</v>
      </c>
      <c r="T2297">
        <v>-0.36761870000000002</v>
      </c>
      <c r="U2297">
        <v>-3.2409819999999998</v>
      </c>
      <c r="V2297">
        <v>-0.21784329999999999</v>
      </c>
      <c r="W2297">
        <v>0.37595079999999997</v>
      </c>
      <c r="X2297">
        <v>0.90066939999999995</v>
      </c>
      <c r="Y2297">
        <v>-0.2428574</v>
      </c>
      <c r="Z2297">
        <v>9.6727960000000002E-2</v>
      </c>
      <c r="AA2297">
        <v>0.96522739999999996</v>
      </c>
      <c r="AB2297">
        <v>23</v>
      </c>
      <c r="AC2297">
        <v>2.83519999999998</v>
      </c>
      <c r="AD2297">
        <v>-1.1134204981483</v>
      </c>
      <c r="AE2297">
        <v>-9.6211999999999804</v>
      </c>
      <c r="AF2297">
        <v>-2.4638502443235</v>
      </c>
      <c r="AG2297">
        <v>-1.1134204981483</v>
      </c>
      <c r="AH2297">
        <v>9.5969248686933302</v>
      </c>
      <c r="AI2297">
        <v>96.411666428942894</v>
      </c>
      <c r="AJ2297">
        <v>104.398760743469</v>
      </c>
      <c r="AK2297">
        <v>9.9705180491032799</v>
      </c>
      <c r="AL2297">
        <v>67.916910603089406</v>
      </c>
      <c r="AM2297">
        <v>103.596901356914</v>
      </c>
      <c r="AN2297">
        <v>1.0000000377359399</v>
      </c>
    </row>
    <row r="2298" spans="1:40" x14ac:dyDescent="0.25">
      <c r="A2298" t="str">
        <f>"20190304164645214"</f>
        <v>20190304164645214</v>
      </c>
      <c r="B2298" t="str">
        <f>"1551689205210533"</f>
        <v>1551689205210533</v>
      </c>
      <c r="C2298" t="s">
        <v>40</v>
      </c>
      <c r="D2298">
        <v>4.5330779999999997</v>
      </c>
      <c r="E2298">
        <v>0.49234030000000001</v>
      </c>
      <c r="F2298" t="s">
        <v>42</v>
      </c>
      <c r="G2298">
        <v>-490.25779999999997</v>
      </c>
      <c r="H2298" s="1">
        <v>-5.1970979999999995E-7</v>
      </c>
      <c r="I2298">
        <v>240.64070000000001</v>
      </c>
      <c r="J2298">
        <v>-493.07709999999997</v>
      </c>
      <c r="K2298">
        <v>1.1132500000000001</v>
      </c>
      <c r="L2298">
        <v>249.98750000000001</v>
      </c>
      <c r="M2298">
        <v>3.8977980000000002E-2</v>
      </c>
      <c r="N2298">
        <v>-1.208384E-2</v>
      </c>
      <c r="O2298">
        <v>-0.99916719999999903</v>
      </c>
      <c r="P2298">
        <v>0.25072290000000003</v>
      </c>
      <c r="Q2298">
        <v>0.36404700000000001</v>
      </c>
      <c r="R2298">
        <v>-0.89699949999999995</v>
      </c>
      <c r="S2298">
        <v>0.95663450000000005</v>
      </c>
      <c r="T2298">
        <v>-0.37616480000000002</v>
      </c>
      <c r="U2298">
        <v>-3.2342529999999998</v>
      </c>
      <c r="V2298">
        <v>-0.2176815</v>
      </c>
      <c r="W2298">
        <v>0.37374570000000001</v>
      </c>
      <c r="X2298">
        <v>0.90162569999999997</v>
      </c>
      <c r="Y2298">
        <v>-0.2444595</v>
      </c>
      <c r="Z2298">
        <v>9.9348119999999998E-2</v>
      </c>
      <c r="AA2298">
        <v>0.96455659999999999</v>
      </c>
      <c r="AB2298">
        <v>23</v>
      </c>
      <c r="AC2298">
        <v>2.8192999999999899</v>
      </c>
      <c r="AD2298">
        <v>-1.1132505197097999</v>
      </c>
      <c r="AE2298">
        <v>-9.3468</v>
      </c>
      <c r="AF2298">
        <v>-2.421326886768</v>
      </c>
      <c r="AG2298">
        <v>-1.1132505197097999</v>
      </c>
      <c r="AH2298">
        <v>9.3282991693580097</v>
      </c>
      <c r="AI2298">
        <v>96.589218313151406</v>
      </c>
      <c r="AJ2298">
        <v>104.55102308669601</v>
      </c>
      <c r="AK2298">
        <v>9.7015110166027796</v>
      </c>
      <c r="AL2298">
        <v>68.053189207686103</v>
      </c>
      <c r="AM2298">
        <v>103.573299286382</v>
      </c>
      <c r="AN2298">
        <v>0.99999999330561495</v>
      </c>
    </row>
    <row r="2299" spans="1:40" x14ac:dyDescent="0.25">
      <c r="A2299" t="str">
        <f>"20190304164645237"</f>
        <v>20190304164645237</v>
      </c>
      <c r="B2299" t="str">
        <f>"1551689205231029"</f>
        <v>1551689205231029</v>
      </c>
      <c r="C2299" t="s">
        <v>40</v>
      </c>
      <c r="D2299">
        <v>4.5158379999999996</v>
      </c>
      <c r="E2299">
        <v>0.49237829999999999</v>
      </c>
      <c r="F2299" t="s">
        <v>42</v>
      </c>
      <c r="G2299">
        <v>-490.25220000000002</v>
      </c>
      <c r="H2299" s="1">
        <v>-5.0416379999999995E-7</v>
      </c>
      <c r="I2299">
        <v>240.6079</v>
      </c>
      <c r="J2299">
        <v>-493.06380000000001</v>
      </c>
      <c r="K2299">
        <v>1.1130869999999999</v>
      </c>
      <c r="L2299">
        <v>249.75479999999999</v>
      </c>
      <c r="M2299">
        <v>4.2549120000000003E-2</v>
      </c>
      <c r="N2299">
        <v>-1.206286E-2</v>
      </c>
      <c r="O2299">
        <v>-0.99902179999999996</v>
      </c>
      <c r="P2299">
        <v>0.25179000000000001</v>
      </c>
      <c r="Q2299">
        <v>0.3628673</v>
      </c>
      <c r="R2299">
        <v>-0.89717860000000005</v>
      </c>
      <c r="S2299">
        <v>0.97225950000000005</v>
      </c>
      <c r="T2299">
        <v>-0.38315070000000001</v>
      </c>
      <c r="U2299">
        <v>-3.2281949999999999</v>
      </c>
      <c r="V2299">
        <v>-0.21534819999999999</v>
      </c>
      <c r="W2299">
        <v>0.37265520000000002</v>
      </c>
      <c r="X2299">
        <v>0.90263680000000002</v>
      </c>
      <c r="Y2299">
        <v>-0.2457068</v>
      </c>
      <c r="Z2299">
        <v>0.1015012</v>
      </c>
      <c r="AA2299">
        <v>0.96401539999999997</v>
      </c>
      <c r="AB2299">
        <v>23</v>
      </c>
      <c r="AC2299">
        <v>2.8115999999999901</v>
      </c>
      <c r="AD2299">
        <v>-1.1130875041638</v>
      </c>
      <c r="AE2299">
        <v>-9.1468999999999792</v>
      </c>
      <c r="AF2299">
        <v>-2.3875290844385999</v>
      </c>
      <c r="AG2299">
        <v>-1.1130875041638</v>
      </c>
      <c r="AH2299">
        <v>9.1346619673963705</v>
      </c>
      <c r="AI2299">
        <v>96.723724110804596</v>
      </c>
      <c r="AJ2299">
        <v>104.647731163194</v>
      </c>
      <c r="AK2299">
        <v>9.5069084448922503</v>
      </c>
      <c r="AL2299">
        <v>68.120535460019198</v>
      </c>
      <c r="AM2299">
        <v>103.41860619660299</v>
      </c>
      <c r="AN2299">
        <v>0.99999996902225896</v>
      </c>
    </row>
    <row r="2300" spans="1:40" x14ac:dyDescent="0.25">
      <c r="A2300" t="str">
        <f>"20190304164645260"</f>
        <v>20190304164645260</v>
      </c>
      <c r="B2300" t="str">
        <f>"1551689205250549"</f>
        <v>1551689205250549</v>
      </c>
      <c r="C2300" t="s">
        <v>40</v>
      </c>
      <c r="D2300">
        <v>4.4950530000000004</v>
      </c>
      <c r="E2300">
        <v>0.49236669999999999</v>
      </c>
      <c r="F2300" t="s">
        <v>42</v>
      </c>
      <c r="G2300">
        <v>-490.2389</v>
      </c>
      <c r="H2300" s="1">
        <v>-4.3429800000000002E-7</v>
      </c>
      <c r="I2300">
        <v>240.45330000000001</v>
      </c>
      <c r="J2300">
        <v>-493.04910000000001</v>
      </c>
      <c r="K2300">
        <v>1.1129309999999999</v>
      </c>
      <c r="L2300">
        <v>249.5095</v>
      </c>
      <c r="M2300">
        <v>4.6077239999999998E-2</v>
      </c>
      <c r="N2300">
        <v>-1.2042829999999999E-2</v>
      </c>
      <c r="O2300">
        <v>-0.99886540000000001</v>
      </c>
      <c r="P2300">
        <v>0.25345590000000001</v>
      </c>
      <c r="Q2300">
        <v>0.3632474</v>
      </c>
      <c r="R2300">
        <v>-0.8965554</v>
      </c>
      <c r="S2300">
        <v>0.97946169999999999</v>
      </c>
      <c r="T2300">
        <v>-0.38593280000000002</v>
      </c>
      <c r="U2300">
        <v>-3.2250369999999999</v>
      </c>
      <c r="V2300">
        <v>-0.213702</v>
      </c>
      <c r="W2300">
        <v>0.3731061</v>
      </c>
      <c r="X2300">
        <v>0.90284180000000003</v>
      </c>
      <c r="Y2300">
        <v>-0.24449070000000001</v>
      </c>
      <c r="Z2300">
        <v>0.10240249999999999</v>
      </c>
      <c r="AA2300">
        <v>0.96422920000000001</v>
      </c>
      <c r="AB2300">
        <v>23</v>
      </c>
      <c r="AC2300">
        <v>2.8102</v>
      </c>
      <c r="AD2300">
        <v>-1.1129314342979999</v>
      </c>
      <c r="AE2300">
        <v>-9.0561999999999898</v>
      </c>
      <c r="AF2300">
        <v>-2.3574242957258802</v>
      </c>
      <c r="AG2300">
        <v>-1.1129314342979999</v>
      </c>
      <c r="AH2300">
        <v>9.0513847111299093</v>
      </c>
      <c r="AI2300">
        <v>96.785581758168306</v>
      </c>
      <c r="AJ2300">
        <v>104.598311599634</v>
      </c>
      <c r="AK2300">
        <v>9.4193222089704296</v>
      </c>
      <c r="AL2300">
        <v>68.092693729717894</v>
      </c>
      <c r="AM2300">
        <v>103.316782140896</v>
      </c>
      <c r="AN2300">
        <v>1.00000001124422</v>
      </c>
    </row>
    <row r="2301" spans="1:40" x14ac:dyDescent="0.25">
      <c r="A2301" t="str">
        <f>"20190304164645281"</f>
        <v>20190304164645281</v>
      </c>
      <c r="B2301" t="str">
        <f>"1551689205271045"</f>
        <v>1551689205271045</v>
      </c>
      <c r="C2301" t="s">
        <v>40</v>
      </c>
      <c r="D2301">
        <v>4.516972</v>
      </c>
      <c r="E2301">
        <v>0.49238569999999998</v>
      </c>
      <c r="F2301" t="s">
        <v>42</v>
      </c>
      <c r="G2301">
        <v>-490.18310000000002</v>
      </c>
      <c r="H2301" s="1">
        <v>-2.8952950000000001E-7</v>
      </c>
      <c r="I2301">
        <v>240.15039999999999</v>
      </c>
      <c r="J2301">
        <v>-493.03530000000001</v>
      </c>
      <c r="K2301">
        <v>1.1128340000000001</v>
      </c>
      <c r="L2301">
        <v>249.28720000000001</v>
      </c>
      <c r="M2301">
        <v>4.9111469999999997E-2</v>
      </c>
      <c r="N2301">
        <v>-1.2028479999999999E-2</v>
      </c>
      <c r="O2301">
        <v>-0.99872099999999997</v>
      </c>
      <c r="P2301">
        <v>0.25534780000000001</v>
      </c>
      <c r="Q2301">
        <v>0.3652878</v>
      </c>
      <c r="R2301">
        <v>-0.89518850000000005</v>
      </c>
      <c r="S2301">
        <v>0.98681640000000004</v>
      </c>
      <c r="T2301">
        <v>-0.3832006</v>
      </c>
      <c r="U2301">
        <v>-3.2224729999999999</v>
      </c>
      <c r="V2301">
        <v>-0.21281600000000001</v>
      </c>
      <c r="W2301">
        <v>0.37518360000000001</v>
      </c>
      <c r="X2301">
        <v>0.90219000000000005</v>
      </c>
      <c r="Y2301">
        <v>-0.24379700000000001</v>
      </c>
      <c r="Z2301">
        <v>0.1016575</v>
      </c>
      <c r="AA2301">
        <v>0.96448370000000005</v>
      </c>
      <c r="AB2301">
        <v>23</v>
      </c>
      <c r="AC2301">
        <v>2.8521999999999799</v>
      </c>
      <c r="AD2301">
        <v>-1.1128342895295</v>
      </c>
      <c r="AE2301">
        <v>-9.1368000000000205</v>
      </c>
      <c r="AF2301">
        <v>-2.3679948562444499</v>
      </c>
      <c r="AG2301">
        <v>-1.1128342895295</v>
      </c>
      <c r="AH2301">
        <v>9.1422802643956693</v>
      </c>
      <c r="AI2301">
        <v>96.720477815397402</v>
      </c>
      <c r="AJ2301">
        <v>104.52138260877101</v>
      </c>
      <c r="AK2301">
        <v>9.5093158653980705</v>
      </c>
      <c r="AL2301">
        <v>67.964341193295297</v>
      </c>
      <c r="AM2301">
        <v>103.272769924841</v>
      </c>
      <c r="AN2301">
        <v>1.0000000898324699</v>
      </c>
    </row>
    <row r="2302" spans="1:40" x14ac:dyDescent="0.25">
      <c r="A2302" t="str">
        <f>"20190304164645303"</f>
        <v>20190304164645303</v>
      </c>
      <c r="B2302" t="str">
        <f>"1551689205290569"</f>
        <v>1551689205290569</v>
      </c>
      <c r="C2302" t="s">
        <v>40</v>
      </c>
      <c r="D2302">
        <v>4.5175330000000002</v>
      </c>
      <c r="E2302">
        <v>0.49250260000000001</v>
      </c>
      <c r="F2302" t="s">
        <v>42</v>
      </c>
      <c r="G2302">
        <v>-490.08679999999998</v>
      </c>
      <c r="H2302" s="1">
        <v>-8.0081720000000005E-8</v>
      </c>
      <c r="I2302">
        <v>239.72200000000001</v>
      </c>
      <c r="J2302">
        <v>-493.0213</v>
      </c>
      <c r="K2302">
        <v>1.1127750000000001</v>
      </c>
      <c r="L2302">
        <v>249.0701</v>
      </c>
      <c r="M2302">
        <v>5.194505E-2</v>
      </c>
      <c r="N2302">
        <v>-1.202141E-2</v>
      </c>
      <c r="O2302">
        <v>-0.99857759999999995</v>
      </c>
      <c r="P2302">
        <v>0.2578278</v>
      </c>
      <c r="Q2302">
        <v>0.36813580000000001</v>
      </c>
      <c r="R2302">
        <v>-0.89330900000000002</v>
      </c>
      <c r="S2302">
        <v>0.99288940000000003</v>
      </c>
      <c r="T2302">
        <v>-0.37472899999999998</v>
      </c>
      <c r="U2302">
        <v>-3.2209469999999998</v>
      </c>
      <c r="V2302">
        <v>-0.21276110000000001</v>
      </c>
      <c r="W2302">
        <v>0.37804949999999998</v>
      </c>
      <c r="X2302">
        <v>0.90100570000000002</v>
      </c>
      <c r="Y2302">
        <v>-0.2429132</v>
      </c>
      <c r="Z2302">
        <v>9.9197750000000001E-2</v>
      </c>
      <c r="AA2302">
        <v>0.96496269999999995</v>
      </c>
      <c r="AB2302">
        <v>23</v>
      </c>
      <c r="AC2302">
        <v>2.9345000000000101</v>
      </c>
      <c r="AD2302">
        <v>-1.11277508008172</v>
      </c>
      <c r="AE2302">
        <v>-9.3480999999999792</v>
      </c>
      <c r="AF2302">
        <v>-2.4137800663004199</v>
      </c>
      <c r="AG2302">
        <v>-1.11277508008172</v>
      </c>
      <c r="AH2302">
        <v>9.3670965962048598</v>
      </c>
      <c r="AI2302">
        <v>96.562352141156893</v>
      </c>
      <c r="AJ2302">
        <v>104.45001872669999</v>
      </c>
      <c r="AK2302">
        <v>9.7368938183566893</v>
      </c>
      <c r="AL2302">
        <v>67.787083362836896</v>
      </c>
      <c r="AM2302">
        <v>103.286290569182</v>
      </c>
      <c r="AN2302">
        <v>0.99999999077797497</v>
      </c>
    </row>
    <row r="2303" spans="1:40" x14ac:dyDescent="0.25">
      <c r="A2303" t="str">
        <f>"20190304164645326"</f>
        <v>20190304164645326</v>
      </c>
      <c r="B2303" t="str">
        <f>"1551689205320821"</f>
        <v>1551689205320821</v>
      </c>
      <c r="C2303" t="s">
        <v>40</v>
      </c>
      <c r="D2303">
        <v>4.5145569999999999</v>
      </c>
      <c r="E2303">
        <v>0.4926683</v>
      </c>
      <c r="F2303" t="s">
        <v>42</v>
      </c>
      <c r="G2303">
        <v>-489.94889999999998</v>
      </c>
      <c r="H2303" s="1">
        <v>-4.1192420000000002E-6</v>
      </c>
      <c r="I2303">
        <v>239.21369999999999</v>
      </c>
      <c r="J2303">
        <v>-493.005</v>
      </c>
      <c r="K2303">
        <v>1.1127389999999999</v>
      </c>
      <c r="L2303">
        <v>248.82820000000001</v>
      </c>
      <c r="M2303">
        <v>5.4981780000000001E-2</v>
      </c>
      <c r="N2303">
        <v>-1.2018640000000001E-2</v>
      </c>
      <c r="O2303">
        <v>-0.99841519999999995</v>
      </c>
      <c r="P2303">
        <v>0.26110280000000002</v>
      </c>
      <c r="Q2303">
        <v>0.3705852</v>
      </c>
      <c r="R2303">
        <v>-0.89134290000000005</v>
      </c>
      <c r="S2303">
        <v>1.0032650000000001</v>
      </c>
      <c r="T2303">
        <v>-0.36336299999999999</v>
      </c>
      <c r="U2303">
        <v>-3.2184910000000002</v>
      </c>
      <c r="V2303">
        <v>-0.21333759999999999</v>
      </c>
      <c r="W2303">
        <v>0.38051190000000001</v>
      </c>
      <c r="X2303">
        <v>0.89983210000000002</v>
      </c>
      <c r="Y2303">
        <v>-0.2431112</v>
      </c>
      <c r="Z2303">
        <v>9.5873920000000001E-2</v>
      </c>
      <c r="AA2303">
        <v>0.96524880000000002</v>
      </c>
      <c r="AB2303">
        <v>23</v>
      </c>
      <c r="AC2303">
        <v>3.05610000000001</v>
      </c>
      <c r="AD2303">
        <v>-1.1127431192420001</v>
      </c>
      <c r="AE2303">
        <v>-9.6145000000000191</v>
      </c>
      <c r="AF2303">
        <v>-2.4924933966131801</v>
      </c>
      <c r="AG2303">
        <v>-1.1127431192420001</v>
      </c>
      <c r="AH2303">
        <v>9.6505910657456599</v>
      </c>
      <c r="AI2303">
        <v>96.370108343445693</v>
      </c>
      <c r="AJ2303">
        <v>104.48152794165701</v>
      </c>
      <c r="AK2303">
        <v>10.029188825614501</v>
      </c>
      <c r="AL2303">
        <v>67.634606017908197</v>
      </c>
      <c r="AM2303">
        <v>103.33776285035</v>
      </c>
      <c r="AN2303">
        <v>1.00000002290288</v>
      </c>
    </row>
    <row r="2304" spans="1:40" x14ac:dyDescent="0.25">
      <c r="A2304" t="str">
        <f>"20190304164645349"</f>
        <v>20190304164645349</v>
      </c>
      <c r="B2304" t="str">
        <f>"1551689205340341"</f>
        <v>1551689205340341</v>
      </c>
      <c r="C2304" t="s">
        <v>40</v>
      </c>
      <c r="D2304">
        <v>4.4913499999999997</v>
      </c>
      <c r="E2304">
        <v>0.49281599999999998</v>
      </c>
      <c r="F2304" t="s">
        <v>42</v>
      </c>
      <c r="G2304">
        <v>-489.80189999999999</v>
      </c>
      <c r="H2304" s="1">
        <v>-3.9217159999999997E-6</v>
      </c>
      <c r="I2304">
        <v>238.6925</v>
      </c>
      <c r="J2304">
        <v>-492.98899999999998</v>
      </c>
      <c r="K2304">
        <v>1.112711</v>
      </c>
      <c r="L2304">
        <v>248.59719999999999</v>
      </c>
      <c r="M2304">
        <v>5.78013E-2</v>
      </c>
      <c r="N2304">
        <v>-1.2016789999999999E-2</v>
      </c>
      <c r="O2304">
        <v>-0.99825580000000003</v>
      </c>
      <c r="P2304">
        <v>0.26495730000000001</v>
      </c>
      <c r="Q2304">
        <v>0.3728147</v>
      </c>
      <c r="R2304">
        <v>-0.88927350000000005</v>
      </c>
      <c r="S2304">
        <v>1.0159910000000001</v>
      </c>
      <c r="T2304">
        <v>-0.35294579999999998</v>
      </c>
      <c r="U2304">
        <v>-3.2149049999999999</v>
      </c>
      <c r="V2304">
        <v>-0.21471860000000001</v>
      </c>
      <c r="W2304">
        <v>0.38274209999999997</v>
      </c>
      <c r="X2304">
        <v>0.89855689999999999</v>
      </c>
      <c r="Y2304">
        <v>-0.24424660000000001</v>
      </c>
      <c r="Z2304">
        <v>9.2835269999999998E-2</v>
      </c>
      <c r="AA2304">
        <v>0.96525910000000004</v>
      </c>
      <c r="AB2304">
        <v>23</v>
      </c>
      <c r="AC2304">
        <v>3.18710000000004</v>
      </c>
      <c r="AD2304">
        <v>-1.1127149217159999</v>
      </c>
      <c r="AE2304">
        <v>-9.9046999999999894</v>
      </c>
      <c r="AF2304">
        <v>-2.5797216228589499</v>
      </c>
      <c r="AG2304">
        <v>-1.1127149217159999</v>
      </c>
      <c r="AH2304">
        <v>9.9584786677189001</v>
      </c>
      <c r="AI2304">
        <v>96.173403167781899</v>
      </c>
      <c r="AJ2304">
        <v>104.52309986623099</v>
      </c>
      <c r="AK2304">
        <v>10.3471926397389</v>
      </c>
      <c r="AL2304">
        <v>67.4963627160393</v>
      </c>
      <c r="AM2304">
        <v>103.439344116638</v>
      </c>
      <c r="AN2304">
        <v>1.00000004741798</v>
      </c>
    </row>
    <row r="2305" spans="1:40" x14ac:dyDescent="0.25">
      <c r="A2305" t="str">
        <f>"20190304164645374"</f>
        <v>20190304164645374</v>
      </c>
      <c r="B2305" t="str">
        <f>"1551689205370597"</f>
        <v>1551689205370597</v>
      </c>
      <c r="C2305" t="s">
        <v>40</v>
      </c>
      <c r="D2305">
        <v>4.4900529999999996</v>
      </c>
      <c r="E2305">
        <v>0.49305090000000001</v>
      </c>
      <c r="F2305" t="s">
        <v>42</v>
      </c>
      <c r="G2305">
        <v>-489.65989999999999</v>
      </c>
      <c r="H2305" s="1">
        <v>-3.7442559999999999E-6</v>
      </c>
      <c r="I2305">
        <v>238.2201</v>
      </c>
      <c r="J2305">
        <v>-492.97019999999998</v>
      </c>
      <c r="K2305">
        <v>1.112684</v>
      </c>
      <c r="L2305">
        <v>248.33750000000001</v>
      </c>
      <c r="M2305">
        <v>6.0919929999999997E-2</v>
      </c>
      <c r="N2305">
        <v>-1.201495E-2</v>
      </c>
      <c r="O2305">
        <v>-0.99807029999999997</v>
      </c>
      <c r="P2305">
        <v>0.26835179999999997</v>
      </c>
      <c r="Q2305">
        <v>0.375384</v>
      </c>
      <c r="R2305">
        <v>-0.88717199999999996</v>
      </c>
      <c r="S2305">
        <v>1.03009</v>
      </c>
      <c r="T2305">
        <v>-0.344306</v>
      </c>
      <c r="U2305">
        <v>-3.2109679999999998</v>
      </c>
      <c r="V2305">
        <v>-0.21538679999999999</v>
      </c>
      <c r="W2305">
        <v>0.38531149999999997</v>
      </c>
      <c r="X2305">
        <v>0.89729799999999904</v>
      </c>
      <c r="Y2305">
        <v>-0.24547930000000001</v>
      </c>
      <c r="Z2305">
        <v>9.0314240000000004E-2</v>
      </c>
      <c r="AA2305">
        <v>0.96518559999999998</v>
      </c>
      <c r="AB2305">
        <v>23</v>
      </c>
      <c r="AC2305">
        <v>3.3102999999999798</v>
      </c>
      <c r="AD2305">
        <v>-1.1126877442559999</v>
      </c>
      <c r="AE2305">
        <v>-10.1174</v>
      </c>
      <c r="AF2305">
        <v>-2.6587072743566802</v>
      </c>
      <c r="AG2305">
        <v>-1.1126877442559999</v>
      </c>
      <c r="AH2305">
        <v>10.1889642721691</v>
      </c>
      <c r="AI2305">
        <v>96.031890401439298</v>
      </c>
      <c r="AJ2305">
        <v>104.624646807228</v>
      </c>
      <c r="AK2305">
        <v>10.5887577801399</v>
      </c>
      <c r="AL2305">
        <v>67.336921590190897</v>
      </c>
      <c r="AM2305">
        <v>103.497863327822</v>
      </c>
      <c r="AN2305">
        <v>1.0000000632252399</v>
      </c>
    </row>
    <row r="2306" spans="1:40" x14ac:dyDescent="0.25">
      <c r="A2306" t="str">
        <f>"20190304164645394"</f>
        <v>20190304164645394</v>
      </c>
      <c r="B2306" t="str">
        <f>"1551689205391094"</f>
        <v>1551689205391094</v>
      </c>
      <c r="C2306" t="s">
        <v>40</v>
      </c>
      <c r="D2306">
        <v>4.5029810000000001</v>
      </c>
      <c r="E2306">
        <v>0.49326829999999999</v>
      </c>
      <c r="F2306" t="s">
        <v>42</v>
      </c>
      <c r="G2306">
        <v>-489.50850000000003</v>
      </c>
      <c r="H2306" s="1">
        <v>-3.5403889999999999E-6</v>
      </c>
      <c r="I2306">
        <v>237.6823</v>
      </c>
      <c r="J2306">
        <v>-492.95490000000001</v>
      </c>
      <c r="K2306">
        <v>1.1126720000000001</v>
      </c>
      <c r="L2306">
        <v>248.1335</v>
      </c>
      <c r="M2306">
        <v>6.3350950000000003E-2</v>
      </c>
      <c r="N2306">
        <v>-1.2014749999999999E-2</v>
      </c>
      <c r="O2306">
        <v>-0.997919</v>
      </c>
      <c r="P2306">
        <v>0.27071119999999999</v>
      </c>
      <c r="Q2306">
        <v>0.37708330000000001</v>
      </c>
      <c r="R2306">
        <v>-0.8857332</v>
      </c>
      <c r="S2306">
        <v>1.0422359999999999</v>
      </c>
      <c r="T2306">
        <v>-0.33500340000000001</v>
      </c>
      <c r="U2306">
        <v>-3.2080229999999998</v>
      </c>
      <c r="V2306">
        <v>-0.21562439999999999</v>
      </c>
      <c r="W2306">
        <v>0.38701059999999998</v>
      </c>
      <c r="X2306">
        <v>0.89650929999999995</v>
      </c>
      <c r="Y2306">
        <v>-0.24676400000000001</v>
      </c>
      <c r="Z2306">
        <v>8.7576459999999995E-2</v>
      </c>
      <c r="AA2306">
        <v>0.96511029999999998</v>
      </c>
      <c r="AB2306">
        <v>23</v>
      </c>
      <c r="AC2306">
        <v>3.4463999999999801</v>
      </c>
      <c r="AD2306">
        <v>-1.1126755403890001</v>
      </c>
      <c r="AE2306">
        <v>-10.4512</v>
      </c>
      <c r="AF2306">
        <v>-2.7492299203300599</v>
      </c>
      <c r="AG2306">
        <v>-1.1126755403890001</v>
      </c>
      <c r="AH2306">
        <v>10.540794742652601</v>
      </c>
      <c r="AI2306">
        <v>95.832078285904799</v>
      </c>
      <c r="AJ2306">
        <v>104.618112401546</v>
      </c>
      <c r="AK2306">
        <v>10.950098895432401</v>
      </c>
      <c r="AL2306">
        <v>67.231382520712202</v>
      </c>
      <c r="AM2306">
        <v>103.523658425058</v>
      </c>
      <c r="AN2306">
        <v>1.0000000056870999</v>
      </c>
    </row>
    <row r="2307" spans="1:40" x14ac:dyDescent="0.25">
      <c r="A2307" t="str">
        <f>"20190304164645416"</f>
        <v>20190304164645416</v>
      </c>
      <c r="B2307" t="str">
        <f>"1551689205410613"</f>
        <v>1551689205410613</v>
      </c>
      <c r="C2307" t="s">
        <v>40</v>
      </c>
      <c r="D2307">
        <v>4.4746110000000003</v>
      </c>
      <c r="E2307">
        <v>0.49350260000000001</v>
      </c>
      <c r="F2307" t="s">
        <v>42</v>
      </c>
      <c r="G2307">
        <v>-489.39780000000002</v>
      </c>
      <c r="H2307" s="1">
        <v>-3.3932969999999999E-6</v>
      </c>
      <c r="I2307">
        <v>237.2936</v>
      </c>
      <c r="J2307">
        <v>-492.93729999999999</v>
      </c>
      <c r="K2307">
        <v>1.1126549999999999</v>
      </c>
      <c r="L2307">
        <v>247.9051</v>
      </c>
      <c r="M2307">
        <v>6.6069420000000004E-2</v>
      </c>
      <c r="N2307">
        <v>-1.201579E-2</v>
      </c>
      <c r="O2307">
        <v>-0.99774300000000005</v>
      </c>
      <c r="P2307">
        <v>0.27327590000000002</v>
      </c>
      <c r="Q2307">
        <v>0.37748100000000001</v>
      </c>
      <c r="R2307">
        <v>-0.88477609999999995</v>
      </c>
      <c r="S2307">
        <v>1.0519099999999999</v>
      </c>
      <c r="T2307">
        <v>-0.32903929999999998</v>
      </c>
      <c r="U2307">
        <v>-3.2055660000000001</v>
      </c>
      <c r="V2307">
        <v>-0.21578339999999999</v>
      </c>
      <c r="W2307">
        <v>0.3874107</v>
      </c>
      <c r="X2307">
        <v>0.89629820000000004</v>
      </c>
      <c r="Y2307">
        <v>-0.24702379999999999</v>
      </c>
      <c r="Z2307">
        <v>8.5824380000000006E-2</v>
      </c>
      <c r="AA2307">
        <v>0.96520119999999998</v>
      </c>
      <c r="AB2307">
        <v>23</v>
      </c>
      <c r="AC2307">
        <v>3.5394999999999701</v>
      </c>
      <c r="AD2307">
        <v>-1.112658393297</v>
      </c>
      <c r="AE2307">
        <v>-10.611499999999999</v>
      </c>
      <c r="AF2307">
        <v>-2.8028884188032501</v>
      </c>
      <c r="AG2307">
        <v>-1.112658393297</v>
      </c>
      <c r="AH2307">
        <v>10.7161587326854</v>
      </c>
      <c r="AI2307">
        <v>95.736163863593802</v>
      </c>
      <c r="AJ2307">
        <v>104.65775573795</v>
      </c>
      <c r="AK2307">
        <v>11.1323964254128</v>
      </c>
      <c r="AL2307">
        <v>67.206518636688799</v>
      </c>
      <c r="AM2307">
        <v>103.536334157645</v>
      </c>
      <c r="AN2307">
        <v>0.99999999475664503</v>
      </c>
    </row>
    <row r="2308" spans="1:40" x14ac:dyDescent="0.25">
      <c r="A2308" t="str">
        <f>"20190304164645440"</f>
        <v>20190304164645440</v>
      </c>
      <c r="B2308" t="str">
        <f>"1551689205431110"</f>
        <v>1551689205431110</v>
      </c>
      <c r="C2308" t="s">
        <v>40</v>
      </c>
      <c r="D2308">
        <v>4.4792500000000004</v>
      </c>
      <c r="E2308">
        <v>0.4937086</v>
      </c>
      <c r="F2308" t="s">
        <v>42</v>
      </c>
      <c r="G2308">
        <v>-489.35039999999998</v>
      </c>
      <c r="H2308" s="1">
        <v>-3.299589E-6</v>
      </c>
      <c r="I2308">
        <v>237.0556</v>
      </c>
      <c r="J2308">
        <v>-492.9169</v>
      </c>
      <c r="K2308">
        <v>1.1126549999999999</v>
      </c>
      <c r="L2308">
        <v>247.6516</v>
      </c>
      <c r="M2308">
        <v>6.908852E-2</v>
      </c>
      <c r="N2308">
        <v>-1.201754E-2</v>
      </c>
      <c r="O2308">
        <v>-0.99753820000000004</v>
      </c>
      <c r="P2308">
        <v>0.27673959999999997</v>
      </c>
      <c r="Q2308">
        <v>0.37825750000000002</v>
      </c>
      <c r="R2308">
        <v>-0.88336689999999995</v>
      </c>
      <c r="S2308">
        <v>1.0591740000000001</v>
      </c>
      <c r="T2308">
        <v>-0.32855780000000001</v>
      </c>
      <c r="U2308">
        <v>-3.2037659999999999</v>
      </c>
      <c r="V2308">
        <v>-0.2166148</v>
      </c>
      <c r="W2308">
        <v>0.38817760000000001</v>
      </c>
      <c r="X2308">
        <v>0.895765699999999</v>
      </c>
      <c r="Y2308">
        <v>-0.24623120000000001</v>
      </c>
      <c r="Z2308">
        <v>8.5685700000000004E-2</v>
      </c>
      <c r="AA2308">
        <v>0.9654161</v>
      </c>
      <c r="AB2308">
        <v>23</v>
      </c>
      <c r="AC2308">
        <v>3.5665000000000102</v>
      </c>
      <c r="AD2308">
        <v>-1.112658299589</v>
      </c>
      <c r="AE2308">
        <v>-10.596</v>
      </c>
      <c r="AF2308">
        <v>-2.79814782415548</v>
      </c>
      <c r="AG2308">
        <v>-1.112658299589</v>
      </c>
      <c r="AH2308">
        <v>10.7110128172027</v>
      </c>
      <c r="AI2308">
        <v>95.739342908198196</v>
      </c>
      <c r="AJ2308">
        <v>104.64075839191401</v>
      </c>
      <c r="AK2308">
        <v>11.126249831266099</v>
      </c>
      <c r="AL2308">
        <v>67.158848337885402</v>
      </c>
      <c r="AM2308">
        <v>103.594336115865</v>
      </c>
      <c r="AN2308">
        <v>1.0000000050086399</v>
      </c>
    </row>
    <row r="2309" spans="1:40" x14ac:dyDescent="0.25">
      <c r="A2309" t="str">
        <f>"20190304164645462"</f>
        <v>20190304164645462</v>
      </c>
      <c r="B2309" t="str">
        <f>"1551689205450630"</f>
        <v>1551689205450630</v>
      </c>
      <c r="C2309" t="s">
        <v>40</v>
      </c>
      <c r="D2309">
        <v>4.4933209999999999</v>
      </c>
      <c r="E2309">
        <v>0.49394929999999898</v>
      </c>
      <c r="F2309" t="s">
        <v>42</v>
      </c>
      <c r="G2309">
        <v>-489.274</v>
      </c>
      <c r="H2309" s="1">
        <v>-3.1824869999999999E-6</v>
      </c>
      <c r="I2309">
        <v>236.751</v>
      </c>
      <c r="J2309">
        <v>-492.89859999999999</v>
      </c>
      <c r="K2309">
        <v>1.1126689999999999</v>
      </c>
      <c r="L2309">
        <v>247.43190000000001</v>
      </c>
      <c r="M2309">
        <v>7.1710650000000001E-2</v>
      </c>
      <c r="N2309">
        <v>-1.201906E-2</v>
      </c>
      <c r="O2309">
        <v>-0.99735309999999999</v>
      </c>
      <c r="P2309">
        <v>0.28006110000000001</v>
      </c>
      <c r="Q2309">
        <v>0.37840000000000001</v>
      </c>
      <c r="R2309">
        <v>-0.88225819999999999</v>
      </c>
      <c r="S2309">
        <v>1.0697019999999999</v>
      </c>
      <c r="T2309">
        <v>-0.32672119999999999</v>
      </c>
      <c r="U2309">
        <v>-3.2008510000000001</v>
      </c>
      <c r="V2309">
        <v>-0.21764939999999999</v>
      </c>
      <c r="W2309">
        <v>0.3883086</v>
      </c>
      <c r="X2309">
        <v>0.89545810000000003</v>
      </c>
      <c r="Y2309">
        <v>-0.24682029999999999</v>
      </c>
      <c r="Z2309">
        <v>8.5150130000000004E-2</v>
      </c>
      <c r="AA2309">
        <v>0.96531299999999998</v>
      </c>
      <c r="AB2309">
        <v>23</v>
      </c>
      <c r="AC2309">
        <v>3.6245999999999801</v>
      </c>
      <c r="AD2309">
        <v>-1.1126721824869901</v>
      </c>
      <c r="AE2309">
        <v>-10.680899999999999</v>
      </c>
      <c r="AF2309">
        <v>-2.8218168509405102</v>
      </c>
      <c r="AG2309">
        <v>-1.1126721824869901</v>
      </c>
      <c r="AH2309">
        <v>10.808159028268101</v>
      </c>
      <c r="AI2309">
        <v>95.688385202023497</v>
      </c>
      <c r="AJ2309">
        <v>104.632274814726</v>
      </c>
      <c r="AK2309">
        <v>11.225728987743601</v>
      </c>
      <c r="AL2309">
        <v>67.150704050998101</v>
      </c>
      <c r="AM2309">
        <v>103.661355134551</v>
      </c>
      <c r="AN2309">
        <v>1.0000000195049601</v>
      </c>
    </row>
    <row r="2310" spans="1:40" x14ac:dyDescent="0.25">
      <c r="A2310" t="str">
        <f>"20190304164645485"</f>
        <v>20190304164645485</v>
      </c>
      <c r="B2310" t="str">
        <f>"1551689205480886"</f>
        <v>1551689205480886</v>
      </c>
      <c r="C2310" t="s">
        <v>40</v>
      </c>
      <c r="D2310">
        <v>4.4684489999999997</v>
      </c>
      <c r="E2310">
        <v>0.49429709999999899</v>
      </c>
      <c r="F2310" t="s">
        <v>42</v>
      </c>
      <c r="G2310">
        <v>-489.23309999999998</v>
      </c>
      <c r="H2310" s="1">
        <v>-3.1084300000000002E-6</v>
      </c>
      <c r="I2310">
        <v>236.5615</v>
      </c>
      <c r="J2310">
        <v>-492.8777</v>
      </c>
      <c r="K2310">
        <v>1.1126879999999999</v>
      </c>
      <c r="L2310">
        <v>247.18770000000001</v>
      </c>
      <c r="M2310">
        <v>7.4635049999999994E-2</v>
      </c>
      <c r="N2310">
        <v>-1.2020629999999999E-2</v>
      </c>
      <c r="O2310">
        <v>-0.99713859999999999</v>
      </c>
      <c r="P2310">
        <v>0.2839988</v>
      </c>
      <c r="Q2310">
        <v>0.37844460000000002</v>
      </c>
      <c r="R2310">
        <v>-0.88097939999999997</v>
      </c>
      <c r="S2310">
        <v>1.078522</v>
      </c>
      <c r="T2310">
        <v>-0.32738230000000001</v>
      </c>
      <c r="U2310">
        <v>-3.1984249999999999</v>
      </c>
      <c r="V2310">
        <v>-0.2190455</v>
      </c>
      <c r="W2310">
        <v>0.38833669999999998</v>
      </c>
      <c r="X2310">
        <v>0.89510540000000005</v>
      </c>
      <c r="Y2310">
        <v>-0.2465861</v>
      </c>
      <c r="Z2310">
        <v>8.5349560000000005E-2</v>
      </c>
      <c r="AA2310">
        <v>0.96535530000000003</v>
      </c>
      <c r="AB2310">
        <v>23</v>
      </c>
      <c r="AC2310">
        <v>3.64460000000002</v>
      </c>
      <c r="AD2310">
        <v>-1.11269110843</v>
      </c>
      <c r="AE2310">
        <v>-10.626200000000001</v>
      </c>
      <c r="AF2310">
        <v>-2.81368551963818</v>
      </c>
      <c r="AG2310">
        <v>-1.11269110843</v>
      </c>
      <c r="AH2310">
        <v>10.7630021013939</v>
      </c>
      <c r="AI2310">
        <v>95.711718568612099</v>
      </c>
      <c r="AJ2310">
        <v>104.650505314835</v>
      </c>
      <c r="AK2310">
        <v>11.1802111760383</v>
      </c>
      <c r="AL2310">
        <v>67.148956469852905</v>
      </c>
      <c r="AM2310">
        <v>103.750881873637</v>
      </c>
      <c r="AN2310">
        <v>1.00000000037315</v>
      </c>
    </row>
    <row r="2311" spans="1:40" x14ac:dyDescent="0.25">
      <c r="A2311" t="str">
        <f>"20190304164645506"</f>
        <v>20190304164645506</v>
      </c>
      <c r="B2311" t="str">
        <f>"1551689205500406"</f>
        <v>1551689205500406</v>
      </c>
      <c r="C2311" t="s">
        <v>40</v>
      </c>
      <c r="D2311">
        <v>4.4786729999999997</v>
      </c>
      <c r="E2311">
        <v>0.50334009999999996</v>
      </c>
      <c r="F2311" t="s">
        <v>42</v>
      </c>
      <c r="G2311">
        <v>-489.20479999999998</v>
      </c>
      <c r="H2311" s="1">
        <v>-3.0430649999999998E-6</v>
      </c>
      <c r="I2311">
        <v>236.3974</v>
      </c>
      <c r="J2311">
        <v>-492.85860000000002</v>
      </c>
      <c r="K2311">
        <v>1.112703</v>
      </c>
      <c r="L2311">
        <v>246.97190000000001</v>
      </c>
      <c r="M2311">
        <v>7.7229080000000006E-2</v>
      </c>
      <c r="N2311">
        <v>-1.202193E-2</v>
      </c>
      <c r="O2311">
        <v>-0.99694090000000002</v>
      </c>
      <c r="P2311">
        <v>0.28711029999999998</v>
      </c>
      <c r="Q2311">
        <v>0.37813819999999998</v>
      </c>
      <c r="R2311">
        <v>-0.88010189999999999</v>
      </c>
      <c r="S2311">
        <v>1.0879209999999999</v>
      </c>
      <c r="T2311">
        <v>-0.32958559999999998</v>
      </c>
      <c r="U2311">
        <v>-3.1961520000000001</v>
      </c>
      <c r="V2311">
        <v>-0.2198842</v>
      </c>
      <c r="W2311">
        <v>0.3880208</v>
      </c>
      <c r="X2311">
        <v>0.89503679999999997</v>
      </c>
      <c r="Y2311">
        <v>-0.24680099999999999</v>
      </c>
      <c r="Z2311">
        <v>8.5991799999999993E-2</v>
      </c>
      <c r="AA2311">
        <v>0.96524330000000003</v>
      </c>
      <c r="AB2311">
        <v>23</v>
      </c>
      <c r="AC2311">
        <v>3.6538000000000399</v>
      </c>
      <c r="AD2311">
        <v>-1.112706043065</v>
      </c>
      <c r="AE2311">
        <v>-10.5745</v>
      </c>
      <c r="AF2311">
        <v>-2.7984868984095499</v>
      </c>
      <c r="AG2311">
        <v>-1.112706043065</v>
      </c>
      <c r="AH2311">
        <v>10.7190861494985</v>
      </c>
      <c r="AI2311">
        <v>95.735523458337099</v>
      </c>
      <c r="AJ2311">
        <v>104.63190141562499</v>
      </c>
      <c r="AK2311">
        <v>11.1341120678398</v>
      </c>
      <c r="AL2311">
        <v>67.168597187662002</v>
      </c>
      <c r="AM2311">
        <v>103.80254022607301</v>
      </c>
      <c r="AN2311">
        <v>1.0000000379982501</v>
      </c>
    </row>
    <row r="2312" spans="1:40" x14ac:dyDescent="0.25">
      <c r="A2312" t="str">
        <f>"20190304164645528"</f>
        <v>20190304164645528</v>
      </c>
      <c r="B2312" t="str">
        <f>"1551689205520902"</f>
        <v>1551689205520902</v>
      </c>
      <c r="C2312" t="s">
        <v>40</v>
      </c>
      <c r="D2312">
        <v>4.4701320000000004</v>
      </c>
      <c r="E2312">
        <v>0.50348499999999996</v>
      </c>
      <c r="F2312" t="s">
        <v>42</v>
      </c>
      <c r="G2312">
        <v>-489.82319999999999</v>
      </c>
      <c r="H2312" s="1">
        <v>-3.4096529999999999E-6</v>
      </c>
      <c r="I2312">
        <v>237.5076</v>
      </c>
      <c r="J2312">
        <v>-492.8374</v>
      </c>
      <c r="K2312">
        <v>1.1127089999999999</v>
      </c>
      <c r="L2312">
        <v>246.7397</v>
      </c>
      <c r="M2312">
        <v>8.0017840000000007E-2</v>
      </c>
      <c r="N2312">
        <v>-1.202316E-2</v>
      </c>
      <c r="O2312">
        <v>-0.99672119999999997</v>
      </c>
      <c r="P2312">
        <v>0.29029149999999998</v>
      </c>
      <c r="Q2312">
        <v>0.37841570000000002</v>
      </c>
      <c r="R2312">
        <v>-0.87893849999999996</v>
      </c>
      <c r="S2312">
        <v>1.03714</v>
      </c>
      <c r="T2312">
        <v>-0.38018600000000002</v>
      </c>
      <c r="U2312">
        <v>-3.2337189999999998</v>
      </c>
      <c r="V2312">
        <v>-0.22063820000000001</v>
      </c>
      <c r="W2312">
        <v>0.3882893</v>
      </c>
      <c r="X2312">
        <v>0.89473469999999999</v>
      </c>
      <c r="Y2312">
        <v>-0.2265248</v>
      </c>
      <c r="Z2312">
        <v>0.10011979999999999</v>
      </c>
      <c r="AA2312">
        <v>0.96884599999999998</v>
      </c>
      <c r="AB2312">
        <v>23</v>
      </c>
      <c r="AC2312">
        <v>3.01420000000001</v>
      </c>
      <c r="AD2312">
        <v>-1.1127124096529999</v>
      </c>
      <c r="AE2312">
        <v>-9.2321000000000009</v>
      </c>
      <c r="AF2312">
        <v>-2.236389705893</v>
      </c>
      <c r="AG2312">
        <v>-1.1127124096529999</v>
      </c>
      <c r="AH2312">
        <v>9.3213355021826008</v>
      </c>
      <c r="AI2312">
        <v>96.621175996298504</v>
      </c>
      <c r="AJ2312">
        <v>103.49148573558701</v>
      </c>
      <c r="AK2312">
        <v>9.6502260785677798</v>
      </c>
      <c r="AL2312">
        <v>67.151903294446797</v>
      </c>
      <c r="AM2312">
        <v>103.85254694988301</v>
      </c>
      <c r="AN2312">
        <v>0.99999998958891001</v>
      </c>
    </row>
    <row r="2313" spans="1:40" x14ac:dyDescent="0.25">
      <c r="A2313" t="str">
        <f>"20190304164645551"</f>
        <v>20190304164645551</v>
      </c>
      <c r="B2313" t="str">
        <f>"1551689205541397"</f>
        <v>1551689205541397</v>
      </c>
      <c r="C2313" t="s">
        <v>40</v>
      </c>
      <c r="D2313">
        <v>4.4236040000000001</v>
      </c>
      <c r="E2313">
        <v>0.47339769999999998</v>
      </c>
      <c r="F2313" t="s">
        <v>42</v>
      </c>
      <c r="G2313">
        <v>-489.75560000000002</v>
      </c>
      <c r="H2313" s="1">
        <v>-3.3008459999999998E-6</v>
      </c>
      <c r="I2313">
        <v>237.2261</v>
      </c>
      <c r="J2313">
        <v>-492.81630000000001</v>
      </c>
      <c r="K2313">
        <v>1.112698</v>
      </c>
      <c r="L2313">
        <v>246.51599999999999</v>
      </c>
      <c r="M2313">
        <v>8.2690609999999998E-2</v>
      </c>
      <c r="N2313">
        <v>-1.2023829999999999E-2</v>
      </c>
      <c r="O2313">
        <v>-0.99650269999999996</v>
      </c>
      <c r="P2313">
        <v>0.293850099999999</v>
      </c>
      <c r="Q2313">
        <v>0.37837359999999998</v>
      </c>
      <c r="R2313">
        <v>-0.87777299999999903</v>
      </c>
      <c r="S2313">
        <v>1.046387</v>
      </c>
      <c r="T2313">
        <v>-0.37781579999999998</v>
      </c>
      <c r="U2313">
        <v>-3.2303160000000002</v>
      </c>
      <c r="V2313">
        <v>-0.2218639</v>
      </c>
      <c r="W2313">
        <v>0.38824140000000001</v>
      </c>
      <c r="X2313">
        <v>0.89445239999999904</v>
      </c>
      <c r="Y2313">
        <v>-0.22674349999999999</v>
      </c>
      <c r="Z2313">
        <v>9.9459480000000003E-2</v>
      </c>
      <c r="AA2313">
        <v>0.96886280000000002</v>
      </c>
      <c r="AB2313">
        <v>23</v>
      </c>
      <c r="AC2313">
        <v>3.06069999999999</v>
      </c>
      <c r="AD2313">
        <v>-1.1127013008460001</v>
      </c>
      <c r="AE2313">
        <v>-9.2898999999999798</v>
      </c>
      <c r="AF2313">
        <v>-2.2528187446251402</v>
      </c>
      <c r="AG2313">
        <v>-1.1127013008460001</v>
      </c>
      <c r="AH2313">
        <v>9.3896740079823502</v>
      </c>
      <c r="AI2313">
        <v>96.573339753955807</v>
      </c>
      <c r="AJ2313">
        <v>103.491677036901</v>
      </c>
      <c r="AK2313">
        <v>9.7200449822631008</v>
      </c>
      <c r="AL2313">
        <v>67.154882506072198</v>
      </c>
      <c r="AM2313">
        <v>103.930737914098</v>
      </c>
      <c r="AN2313">
        <v>1.00000003533146</v>
      </c>
    </row>
    <row r="2314" spans="1:40" x14ac:dyDescent="0.25">
      <c r="A2314" t="str">
        <f>"20190304164645575"</f>
        <v>20190304164645575</v>
      </c>
      <c r="B2314" t="str">
        <f>"1551689205570678"</f>
        <v>1551689205570678</v>
      </c>
      <c r="C2314" t="s">
        <v>40</v>
      </c>
      <c r="D2314">
        <v>4.3952549999999997</v>
      </c>
      <c r="E2314">
        <v>0.46033829999999998</v>
      </c>
      <c r="F2314" t="s">
        <v>42</v>
      </c>
      <c r="G2314">
        <v>-487.9076</v>
      </c>
      <c r="H2314" s="1">
        <v>-2.454371E-6</v>
      </c>
      <c r="I2314">
        <v>234.4888</v>
      </c>
      <c r="J2314">
        <v>-492.79230000000001</v>
      </c>
      <c r="K2314">
        <v>1.1126720000000001</v>
      </c>
      <c r="L2314">
        <v>246.26660000000001</v>
      </c>
      <c r="M2314">
        <v>8.5629350000000007E-2</v>
      </c>
      <c r="N2314">
        <v>-1.2023850000000001E-2</v>
      </c>
      <c r="O2314">
        <v>-0.99625469999999905</v>
      </c>
      <c r="P2314">
        <v>0.29781259999999998</v>
      </c>
      <c r="Q2314">
        <v>0.37822499999999998</v>
      </c>
      <c r="R2314">
        <v>-0.87650119999999898</v>
      </c>
      <c r="S2314">
        <v>1.2718510000000001</v>
      </c>
      <c r="T2314">
        <v>-0.2882982</v>
      </c>
      <c r="U2314">
        <v>-3.1162260000000002</v>
      </c>
      <c r="V2314">
        <v>-0.22324669999999999</v>
      </c>
      <c r="W2314">
        <v>0.38809589999999999</v>
      </c>
      <c r="X2314">
        <v>0.89417139999999995</v>
      </c>
      <c r="Y2314">
        <v>-0.29599170000000002</v>
      </c>
      <c r="Z2314">
        <v>7.4353600000000006E-2</v>
      </c>
      <c r="AA2314">
        <v>0.95229219999999903</v>
      </c>
      <c r="AB2314">
        <v>23</v>
      </c>
      <c r="AC2314">
        <v>4.8846999999999996</v>
      </c>
      <c r="AD2314">
        <v>-1.1126744543710001</v>
      </c>
      <c r="AE2314">
        <v>-11.777799999999999</v>
      </c>
      <c r="AF2314">
        <v>-3.8289997909691902</v>
      </c>
      <c r="AG2314">
        <v>-1.1126744543710001</v>
      </c>
      <c r="AH2314">
        <v>12.0609924051672</v>
      </c>
      <c r="AI2314">
        <v>95.025051662530899</v>
      </c>
      <c r="AJ2314">
        <v>107.61306685291601</v>
      </c>
      <c r="AK2314">
        <v>12.7030241138932</v>
      </c>
      <c r="AL2314">
        <v>67.163927599352405</v>
      </c>
      <c r="AM2314">
        <v>104.018381944916</v>
      </c>
      <c r="AN2314">
        <v>1.0000000046178299</v>
      </c>
    </row>
    <row r="2315" spans="1:40" x14ac:dyDescent="0.25">
      <c r="A2315" t="str">
        <f>"20190304164645593"</f>
        <v>20190304164645593</v>
      </c>
      <c r="B2315" t="str">
        <f>"1551689205591173"</f>
        <v>1551689205591173</v>
      </c>
      <c r="C2315" t="s">
        <v>40</v>
      </c>
      <c r="D2315">
        <v>4.2859920000000002</v>
      </c>
      <c r="E2315">
        <v>0.45753260000000001</v>
      </c>
      <c r="F2315" t="s">
        <v>42</v>
      </c>
      <c r="G2315">
        <v>-487.49149999999997</v>
      </c>
      <c r="H2315" s="1">
        <v>-2.5135970000000001E-6</v>
      </c>
      <c r="I2315">
        <v>234.45480000000001</v>
      </c>
      <c r="J2315">
        <v>-492.77330000000001</v>
      </c>
      <c r="K2315">
        <v>1.1126400000000001</v>
      </c>
      <c r="L2315">
        <v>246.07599999999999</v>
      </c>
      <c r="M2315">
        <v>8.7829599999999994E-2</v>
      </c>
      <c r="N2315">
        <v>-1.202335E-2</v>
      </c>
      <c r="O2315">
        <v>-0.99606309999999998</v>
      </c>
      <c r="P2315">
        <v>0.30194219999999999</v>
      </c>
      <c r="Q2315">
        <v>0.37827119999999997</v>
      </c>
      <c r="R2315">
        <v>-0.87506719999999905</v>
      </c>
      <c r="S2315">
        <v>1.3815</v>
      </c>
      <c r="T2315">
        <v>-0.28998990000000002</v>
      </c>
      <c r="U2315">
        <v>-3.0784449999999999</v>
      </c>
      <c r="V2315">
        <v>-0.22547200000000001</v>
      </c>
      <c r="W2315">
        <v>0.38814209999999999</v>
      </c>
      <c r="X2315">
        <v>0.89359279999999996</v>
      </c>
      <c r="Y2315">
        <v>-0.3263817</v>
      </c>
      <c r="Z2315">
        <v>7.4800619999999998E-2</v>
      </c>
      <c r="AA2315">
        <v>0.94227380000000005</v>
      </c>
      <c r="AB2315">
        <v>23</v>
      </c>
      <c r="AC2315">
        <v>5.2818000000000298</v>
      </c>
      <c r="AD2315">
        <v>-1.1126425135969999</v>
      </c>
      <c r="AE2315">
        <v>-11.6211999999999</v>
      </c>
      <c r="AF2315">
        <v>-4.2086523452445697</v>
      </c>
      <c r="AG2315">
        <v>-1.1126425135969999</v>
      </c>
      <c r="AH2315">
        <v>11.9494322848076</v>
      </c>
      <c r="AI2315">
        <v>95.019097177005804</v>
      </c>
      <c r="AJ2315">
        <v>109.40252945167001</v>
      </c>
      <c r="AK2315">
        <v>12.7176908224488</v>
      </c>
      <c r="AL2315">
        <v>67.161055325226798</v>
      </c>
      <c r="AM2315">
        <v>104.16132210149</v>
      </c>
      <c r="AN2315">
        <v>1.00000000239412</v>
      </c>
    </row>
    <row r="2316" spans="1:40" x14ac:dyDescent="0.25">
      <c r="A2316" t="str">
        <f>"20190304164645617"</f>
        <v>20190304164645617</v>
      </c>
      <c r="B2316" t="str">
        <f>"1551689205610694"</f>
        <v>1551689205610694</v>
      </c>
      <c r="C2316" t="s">
        <v>40</v>
      </c>
      <c r="D2316">
        <v>4.3535120000000003</v>
      </c>
      <c r="E2316">
        <v>0.45572550000000001</v>
      </c>
      <c r="F2316" t="s">
        <v>42</v>
      </c>
      <c r="G2316">
        <v>-487.38249999999999</v>
      </c>
      <c r="H2316" s="1">
        <v>-2.5107910000000001E-6</v>
      </c>
      <c r="I2316">
        <v>234.4032</v>
      </c>
      <c r="J2316">
        <v>-492.74869999999999</v>
      </c>
      <c r="K2316">
        <v>1.11259</v>
      </c>
      <c r="L2316">
        <v>245.8339</v>
      </c>
      <c r="M2316">
        <v>9.0561379999999997E-2</v>
      </c>
      <c r="N2316">
        <v>-1.20231E-2</v>
      </c>
      <c r="O2316">
        <v>-0.99581830000000005</v>
      </c>
      <c r="P2316">
        <v>0.30633719999999998</v>
      </c>
      <c r="Q2316">
        <v>0.3778339</v>
      </c>
      <c r="R2316">
        <v>-0.87372729999999998</v>
      </c>
      <c r="S2316">
        <v>1.415985</v>
      </c>
      <c r="T2316">
        <v>-0.29225459999999998</v>
      </c>
      <c r="U2316">
        <v>-3.066055</v>
      </c>
      <c r="V2316">
        <v>-0.2274611</v>
      </c>
      <c r="W2316">
        <v>0.3877179</v>
      </c>
      <c r="X2316">
        <v>0.89327279999999998</v>
      </c>
      <c r="Y2316">
        <v>-0.3339472</v>
      </c>
      <c r="Z2316">
        <v>7.5459059999999994E-2</v>
      </c>
      <c r="AA2316">
        <v>0.93956649999999997</v>
      </c>
      <c r="AB2316">
        <v>23</v>
      </c>
      <c r="AC2316">
        <v>5.3661999999999903</v>
      </c>
      <c r="AD2316">
        <v>-1.112592510791</v>
      </c>
      <c r="AE2316">
        <v>-11.4307</v>
      </c>
      <c r="AF2316">
        <v>-4.2756994469686997</v>
      </c>
      <c r="AG2316">
        <v>-1.112592510791</v>
      </c>
      <c r="AH2316">
        <v>11.7782939326197</v>
      </c>
      <c r="AI2316">
        <v>95.0740871603861</v>
      </c>
      <c r="AJ2316">
        <v>109.95166549464901</v>
      </c>
      <c r="AK2316">
        <v>12.5796532471711</v>
      </c>
      <c r="AL2316">
        <v>67.187425404704996</v>
      </c>
      <c r="AM2316">
        <v>104.2860694531</v>
      </c>
      <c r="AN2316">
        <v>1.00000000860673</v>
      </c>
    </row>
    <row r="2317" spans="1:40" x14ac:dyDescent="0.25">
      <c r="A2317" t="str">
        <f>"20190304164645640"</f>
        <v>20190304164645640</v>
      </c>
      <c r="B2317" t="str">
        <f>"1551689205631190"</f>
        <v>1551689205631190</v>
      </c>
      <c r="C2317" t="s">
        <v>40</v>
      </c>
      <c r="D2317">
        <v>4.3907800000000003</v>
      </c>
      <c r="E2317">
        <v>0.45497989999999999</v>
      </c>
      <c r="F2317" t="s">
        <v>42</v>
      </c>
      <c r="G2317">
        <v>-487.3476</v>
      </c>
      <c r="H2317" s="1">
        <v>-2.5237839999999999E-6</v>
      </c>
      <c r="I2317">
        <v>234.41900000000001</v>
      </c>
      <c r="J2317">
        <v>-492.7242</v>
      </c>
      <c r="K2317">
        <v>1.1125290000000001</v>
      </c>
      <c r="L2317">
        <v>245.59729999999999</v>
      </c>
      <c r="M2317">
        <v>9.3140299999999995E-2</v>
      </c>
      <c r="N2317">
        <v>-1.20286E-2</v>
      </c>
      <c r="O2317">
        <v>-0.99558040000000003</v>
      </c>
      <c r="P2317">
        <v>0.3111429</v>
      </c>
      <c r="Q2317">
        <v>0.37725920000000002</v>
      </c>
      <c r="R2317">
        <v>-0.8722761</v>
      </c>
      <c r="S2317">
        <v>1.44577</v>
      </c>
      <c r="T2317">
        <v>-0.29781750000000001</v>
      </c>
      <c r="U2317">
        <v>-3.0555110000000001</v>
      </c>
      <c r="V2317">
        <v>-0.23000080000000001</v>
      </c>
      <c r="W2317">
        <v>0.38716309999999998</v>
      </c>
      <c r="X2317">
        <v>0.89286299999999996</v>
      </c>
      <c r="Y2317">
        <v>-0.34018500000000002</v>
      </c>
      <c r="Z2317">
        <v>7.7080910000000002E-2</v>
      </c>
      <c r="AA2317">
        <v>0.93719399999999997</v>
      </c>
      <c r="AB2317">
        <v>23</v>
      </c>
      <c r="AC2317">
        <v>5.3765999999999901</v>
      </c>
      <c r="AD2317">
        <v>-1.1125315237839899</v>
      </c>
      <c r="AE2317">
        <v>-11.178299999999901</v>
      </c>
      <c r="AF2317">
        <v>-4.27758847390424</v>
      </c>
      <c r="AG2317">
        <v>-1.1125315237839899</v>
      </c>
      <c r="AH2317">
        <v>11.537701484809</v>
      </c>
      <c r="AI2317">
        <v>95.166178792909093</v>
      </c>
      <c r="AJ2317">
        <v>110.34219919816501</v>
      </c>
      <c r="AK2317">
        <v>12.3553245645776</v>
      </c>
      <c r="AL2317">
        <v>67.221905680432201</v>
      </c>
      <c r="AM2317">
        <v>104.445295632254</v>
      </c>
      <c r="AN2317">
        <v>0.99999998538562396</v>
      </c>
    </row>
    <row r="2318" spans="1:40" x14ac:dyDescent="0.25">
      <c r="A2318" t="str">
        <f>"20190304164645667"</f>
        <v>20190304164645667</v>
      </c>
      <c r="B2318" t="str">
        <f>"1551689205660470"</f>
        <v>1551689205660470</v>
      </c>
      <c r="C2318" t="s">
        <v>40</v>
      </c>
      <c r="D2318">
        <v>4.3486719999999996</v>
      </c>
      <c r="E2318">
        <v>0.45588899999999999</v>
      </c>
      <c r="F2318" t="s">
        <v>42</v>
      </c>
      <c r="G2318">
        <v>-487.33429999999998</v>
      </c>
      <c r="H2318" s="1">
        <v>-2.5260909999999998E-6</v>
      </c>
      <c r="I2318">
        <v>234.41890000000001</v>
      </c>
      <c r="J2318">
        <v>-492.69459999999998</v>
      </c>
      <c r="K2318">
        <v>1.1124620000000001</v>
      </c>
      <c r="L2318">
        <v>245.31890000000001</v>
      </c>
      <c r="M2318">
        <v>9.6062839999999997E-2</v>
      </c>
      <c r="N2318">
        <v>-1.204554E-2</v>
      </c>
      <c r="O2318">
        <v>-0.99530240000000003</v>
      </c>
      <c r="P2318">
        <v>0.31653340000000002</v>
      </c>
      <c r="Q2318">
        <v>0.37679200000000002</v>
      </c>
      <c r="R2318">
        <v>-0.87053689999999995</v>
      </c>
      <c r="S2318">
        <v>1.4689030000000001</v>
      </c>
      <c r="T2318">
        <v>-0.3031992</v>
      </c>
      <c r="U2318">
        <v>-3.0464630000000001</v>
      </c>
      <c r="V2318">
        <v>-0.23283409999999999</v>
      </c>
      <c r="W2318">
        <v>0.38673099999999999</v>
      </c>
      <c r="X2318">
        <v>0.89231569999999905</v>
      </c>
      <c r="Y2318">
        <v>-0.34422989999999998</v>
      </c>
      <c r="Z2318">
        <v>7.866281E-2</v>
      </c>
      <c r="AA2318">
        <v>0.93558430000000004</v>
      </c>
      <c r="AB2318">
        <v>23</v>
      </c>
      <c r="AC2318">
        <v>5.3602999999999899</v>
      </c>
      <c r="AD2318">
        <v>-1.112464526091</v>
      </c>
      <c r="AE2318">
        <v>-10.9</v>
      </c>
      <c r="AF2318">
        <v>-4.2526744581577001</v>
      </c>
      <c r="AG2318">
        <v>-1.112464526091</v>
      </c>
      <c r="AH2318">
        <v>11.2700141447602</v>
      </c>
      <c r="AI2318">
        <v>95.276515423446</v>
      </c>
      <c r="AJ2318">
        <v>110.673707970837</v>
      </c>
      <c r="AK2318">
        <v>12.096943258194299</v>
      </c>
      <c r="AL2318">
        <v>67.2487537370681</v>
      </c>
      <c r="AM2318">
        <v>104.62424608667401</v>
      </c>
      <c r="AN2318">
        <v>0.999999946475148</v>
      </c>
    </row>
    <row r="2319" spans="1:40" x14ac:dyDescent="0.25">
      <c r="A2319" t="str">
        <f>"20190304164645689"</f>
        <v>20190304164645689</v>
      </c>
      <c r="B2319" t="str">
        <f>"1551689205680965"</f>
        <v>1551689205680965</v>
      </c>
      <c r="C2319" t="s">
        <v>40</v>
      </c>
      <c r="D2319">
        <v>4.3572419999999896</v>
      </c>
      <c r="E2319">
        <v>0.45625700000000002</v>
      </c>
      <c r="F2319" t="s">
        <v>42</v>
      </c>
      <c r="G2319">
        <v>-487.298</v>
      </c>
      <c r="H2319" s="1">
        <v>-2.4549899999999999E-6</v>
      </c>
      <c r="I2319">
        <v>234.23820000000001</v>
      </c>
      <c r="J2319">
        <v>-492.67039999999997</v>
      </c>
      <c r="K2319">
        <v>1.112417</v>
      </c>
      <c r="L2319">
        <v>245.09639999999999</v>
      </c>
      <c r="M2319">
        <v>9.8312819999999995E-2</v>
      </c>
      <c r="N2319">
        <v>-1.207716E-2</v>
      </c>
      <c r="O2319">
        <v>-0.99508240000000003</v>
      </c>
      <c r="P2319">
        <v>0.32024360000000002</v>
      </c>
      <c r="Q2319">
        <v>0.37630980000000003</v>
      </c>
      <c r="R2319">
        <v>-0.86938799999999905</v>
      </c>
      <c r="S2319">
        <v>1.4805299999999999</v>
      </c>
      <c r="T2319">
        <v>-0.30519839999999998</v>
      </c>
      <c r="U2319">
        <v>-3.0399319999999999</v>
      </c>
      <c r="V2319">
        <v>-0.23456199999999999</v>
      </c>
      <c r="W2319">
        <v>0.38629649999999999</v>
      </c>
      <c r="X2319">
        <v>0.8920515</v>
      </c>
      <c r="Y2319">
        <v>-0.34576669999999998</v>
      </c>
      <c r="Z2319">
        <v>7.9277790000000001E-2</v>
      </c>
      <c r="AA2319">
        <v>0.9349655</v>
      </c>
      <c r="AB2319">
        <v>23</v>
      </c>
      <c r="AC2319">
        <v>5.3723999999999696</v>
      </c>
      <c r="AD2319">
        <v>-1.1124194549899999</v>
      </c>
      <c r="AE2319">
        <v>-10.858199999999901</v>
      </c>
      <c r="AF2319">
        <v>-4.2430157088775502</v>
      </c>
      <c r="AG2319">
        <v>-1.1124194549899999</v>
      </c>
      <c r="AH2319">
        <v>11.239039408250299</v>
      </c>
      <c r="AI2319">
        <v>95.290448095610301</v>
      </c>
      <c r="AJ2319">
        <v>110.682763601717</v>
      </c>
      <c r="AK2319">
        <v>12.064686741471</v>
      </c>
      <c r="AL2319">
        <v>67.275750178103905</v>
      </c>
      <c r="AM2319">
        <v>104.73224550760401</v>
      </c>
      <c r="AN2319">
        <v>1.0000000982042401</v>
      </c>
    </row>
    <row r="2320" spans="1:40" x14ac:dyDescent="0.25">
      <c r="A2320" t="str">
        <f>"20190304164645720"</f>
        <v>20190304164645720</v>
      </c>
      <c r="B2320" t="str">
        <f>"1551689205711222"</f>
        <v>1551689205711222</v>
      </c>
      <c r="C2320" t="s">
        <v>40</v>
      </c>
      <c r="D2320">
        <v>4.3400049999999997</v>
      </c>
      <c r="E2320">
        <v>0.45653270000000001</v>
      </c>
      <c r="F2320" t="s">
        <v>42</v>
      </c>
      <c r="G2320">
        <v>-487.3322</v>
      </c>
      <c r="H2320" s="1">
        <v>-2.44646E-6</v>
      </c>
      <c r="I2320">
        <v>234.23240000000001</v>
      </c>
      <c r="J2320">
        <v>-492.63549999999998</v>
      </c>
      <c r="K2320">
        <v>1.112395</v>
      </c>
      <c r="L2320">
        <v>244.78129999999999</v>
      </c>
      <c r="M2320">
        <v>0.1013812</v>
      </c>
      <c r="N2320">
        <v>-1.218911E-2</v>
      </c>
      <c r="O2320">
        <v>-0.99477309999999997</v>
      </c>
      <c r="P2320">
        <v>0.32453219999999999</v>
      </c>
      <c r="Q2320">
        <v>0.37663079999999999</v>
      </c>
      <c r="R2320">
        <v>-0.86765689999999995</v>
      </c>
      <c r="S2320">
        <v>1.4916990000000001</v>
      </c>
      <c r="T2320">
        <v>-0.31084719999999999</v>
      </c>
      <c r="U2320">
        <v>-3.0357509999999999</v>
      </c>
      <c r="V2320">
        <v>-0.2361819</v>
      </c>
      <c r="W2320">
        <v>0.38673879999999999</v>
      </c>
      <c r="X2320">
        <v>0.89143209999999995</v>
      </c>
      <c r="Y2320">
        <v>-0.34609509999999899</v>
      </c>
      <c r="Z2320">
        <v>8.0844689999999997E-2</v>
      </c>
      <c r="AA2320">
        <v>0.93470969999999998</v>
      </c>
      <c r="AB2320">
        <v>23</v>
      </c>
      <c r="AC2320">
        <v>5.3032999999999699</v>
      </c>
      <c r="AD2320">
        <v>-1.1123974464599999</v>
      </c>
      <c r="AE2320">
        <v>-10.5488999999999</v>
      </c>
      <c r="AF2320">
        <v>-4.1694219732763003</v>
      </c>
      <c r="AG2320">
        <v>-1.1123974464599999</v>
      </c>
      <c r="AH2320">
        <v>10.935168626040101</v>
      </c>
      <c r="AI2320">
        <v>95.429748951478501</v>
      </c>
      <c r="AJ2320">
        <v>110.871127015326</v>
      </c>
      <c r="AK2320">
        <v>11.7558249625478</v>
      </c>
      <c r="AL2320">
        <v>67.248270147035001</v>
      </c>
      <c r="AM2320">
        <v>104.839367945253</v>
      </c>
      <c r="AN2320">
        <v>0.99999998911172905</v>
      </c>
    </row>
    <row r="2321" spans="1:40" x14ac:dyDescent="0.25">
      <c r="A2321" t="str">
        <f>"20190304164645744"</f>
        <v>20190304164645744</v>
      </c>
      <c r="B2321" t="str">
        <f>"1551689205740502"</f>
        <v>1551689205740502</v>
      </c>
      <c r="C2321" t="s">
        <v>40</v>
      </c>
      <c r="D2321">
        <v>4.365964</v>
      </c>
      <c r="E2321">
        <v>0.45669219999999999</v>
      </c>
      <c r="F2321" t="s">
        <v>42</v>
      </c>
      <c r="G2321">
        <v>-487.24880000000002</v>
      </c>
      <c r="H2321" s="1">
        <v>-2.3399600000000002E-6</v>
      </c>
      <c r="I2321">
        <v>233.94970000000001</v>
      </c>
      <c r="J2321">
        <v>-492.60719999999998</v>
      </c>
      <c r="K2321">
        <v>1.1123970000000001</v>
      </c>
      <c r="L2321">
        <v>244.53110000000001</v>
      </c>
      <c r="M2321">
        <v>0.1037574</v>
      </c>
      <c r="N2321">
        <v>-1.2332060000000001E-2</v>
      </c>
      <c r="O2321">
        <v>-0.99452620000000003</v>
      </c>
      <c r="P2321">
        <v>0.32722180000000001</v>
      </c>
      <c r="Q2321">
        <v>0.37600210000000001</v>
      </c>
      <c r="R2321">
        <v>-0.86691890000000005</v>
      </c>
      <c r="S2321">
        <v>1.5064390000000001</v>
      </c>
      <c r="T2321">
        <v>-0.31109320000000001</v>
      </c>
      <c r="U2321">
        <v>-3.029175</v>
      </c>
      <c r="V2321">
        <v>-0.23675869999999999</v>
      </c>
      <c r="W2321">
        <v>0.38625599999999999</v>
      </c>
      <c r="X2321">
        <v>0.89148839999999996</v>
      </c>
      <c r="Y2321">
        <v>-0.34830800000000001</v>
      </c>
      <c r="Z2321">
        <v>8.0799040000000003E-2</v>
      </c>
      <c r="AA2321">
        <v>0.93389140000000004</v>
      </c>
      <c r="AB2321">
        <v>23</v>
      </c>
      <c r="AC2321">
        <v>5.3583999999999596</v>
      </c>
      <c r="AD2321">
        <v>-1.1123993399599901</v>
      </c>
      <c r="AE2321">
        <v>-10.5814</v>
      </c>
      <c r="AF2321">
        <v>-4.1945959331292899</v>
      </c>
      <c r="AG2321">
        <v>-1.1123993399599901</v>
      </c>
      <c r="AH2321">
        <v>10.9836811723266</v>
      </c>
      <c r="AI2321">
        <v>95.404830460687194</v>
      </c>
      <c r="AJ2321">
        <v>110.901529408347</v>
      </c>
      <c r="AK2321">
        <v>11.8098822783756</v>
      </c>
      <c r="AL2321">
        <v>67.278262927706393</v>
      </c>
      <c r="AM2321">
        <v>104.873106137036</v>
      </c>
      <c r="AN2321">
        <v>0.99999997344812397</v>
      </c>
    </row>
    <row r="2322" spans="1:40" x14ac:dyDescent="0.25">
      <c r="A2322" t="str">
        <f>"20190304164645762"</f>
        <v>20190304164645762</v>
      </c>
      <c r="B2322" t="str">
        <f>"1551689205750261"</f>
        <v>1551689205750261</v>
      </c>
      <c r="C2322" t="s">
        <v>40</v>
      </c>
      <c r="D2322">
        <v>4.2990529999999998</v>
      </c>
      <c r="E2322">
        <v>0.45669219999999999</v>
      </c>
      <c r="F2322" t="s">
        <v>42</v>
      </c>
      <c r="G2322">
        <v>-487.19439999999997</v>
      </c>
      <c r="H2322" s="1">
        <v>-2.2543659999999999E-6</v>
      </c>
      <c r="I2322">
        <v>233.7277</v>
      </c>
      <c r="J2322">
        <v>-492.5847</v>
      </c>
      <c r="K2322">
        <v>1.1124000000000001</v>
      </c>
      <c r="L2322">
        <v>244.33699999999999</v>
      </c>
      <c r="M2322">
        <v>0.1055898</v>
      </c>
      <c r="N2322">
        <v>-1.24493E-2</v>
      </c>
      <c r="O2322">
        <v>-0.99433199999999999</v>
      </c>
      <c r="P2322">
        <v>0.32979389999999997</v>
      </c>
      <c r="Q2322">
        <v>0.37606079999999997</v>
      </c>
      <c r="R2322">
        <v>-0.86591859999999998</v>
      </c>
      <c r="S2322">
        <v>1.5149539999999999</v>
      </c>
      <c r="T2322">
        <v>-0.31134149999999999</v>
      </c>
      <c r="U2322">
        <v>-3.0236969999999999</v>
      </c>
      <c r="V2322">
        <v>-0.2377591</v>
      </c>
      <c r="W2322">
        <v>0.38641959999999997</v>
      </c>
      <c r="X2322">
        <v>0.89115119999999903</v>
      </c>
      <c r="Y2322">
        <v>-0.34935660000000002</v>
      </c>
      <c r="Z2322">
        <v>8.0813969999999999E-2</v>
      </c>
      <c r="AA2322">
        <v>0.9334983</v>
      </c>
      <c r="AB2322">
        <v>23</v>
      </c>
      <c r="AC2322">
        <v>5.3903000000000203</v>
      </c>
      <c r="AD2322">
        <v>-1.1124022543659999</v>
      </c>
      <c r="AE2322">
        <v>-10.609299999999999</v>
      </c>
      <c r="AF2322">
        <v>-4.2031141668612904</v>
      </c>
      <c r="AG2322">
        <v>-1.1124022543659999</v>
      </c>
      <c r="AH2322">
        <v>11.0228671145893</v>
      </c>
      <c r="AI2322">
        <v>95.386786783715095</v>
      </c>
      <c r="AJ2322">
        <v>110.87227981318701</v>
      </c>
      <c r="AK2322">
        <v>11.8493547039948</v>
      </c>
      <c r="AL2322">
        <v>67.268100418529301</v>
      </c>
      <c r="AM2322">
        <v>104.93854678559499</v>
      </c>
      <c r="AN2322">
        <v>0.99999997907920402</v>
      </c>
    </row>
    <row r="2323" spans="1:40" x14ac:dyDescent="0.25">
      <c r="A2323" t="str">
        <f>"20190304164645784"</f>
        <v>20190304164645784</v>
      </c>
      <c r="B2323" t="str">
        <f>"1551689205780518"</f>
        <v>1551689205780518</v>
      </c>
      <c r="C2323" t="s">
        <v>40</v>
      </c>
      <c r="D2323">
        <v>4.2275700000000001</v>
      </c>
      <c r="E2323">
        <v>0.41576089999999999</v>
      </c>
      <c r="F2323" t="s">
        <v>42</v>
      </c>
      <c r="G2323">
        <v>-487.13639999999998</v>
      </c>
      <c r="H2323" s="1">
        <v>-2.184691E-6</v>
      </c>
      <c r="I2323">
        <v>233.54130000000001</v>
      </c>
      <c r="J2323">
        <v>-492.55970000000002</v>
      </c>
      <c r="K2323">
        <v>1.112428</v>
      </c>
      <c r="L2323">
        <v>244.12360000000001</v>
      </c>
      <c r="M2323">
        <v>0.1076143</v>
      </c>
      <c r="N2323">
        <v>-1.2574689999999999E-2</v>
      </c>
      <c r="O2323">
        <v>-0.99411340000000004</v>
      </c>
      <c r="P2323">
        <v>0.33305439999999997</v>
      </c>
      <c r="Q2323">
        <v>0.37576850000000001</v>
      </c>
      <c r="R2323">
        <v>-0.86479660000000003</v>
      </c>
      <c r="S2323">
        <v>1.523773</v>
      </c>
      <c r="T2323">
        <v>-0.31111490000000003</v>
      </c>
      <c r="U2323">
        <v>-3.0193180000000002</v>
      </c>
      <c r="V2323">
        <v>-0.2392994</v>
      </c>
      <c r="W2323">
        <v>0.38622869999999998</v>
      </c>
      <c r="X2323">
        <v>0.89082159999999999</v>
      </c>
      <c r="Y2323">
        <v>-0.350170599999999</v>
      </c>
      <c r="Z2323">
        <v>8.064963E-2</v>
      </c>
      <c r="AA2323">
        <v>0.93320749999999997</v>
      </c>
      <c r="AB2323">
        <v>23</v>
      </c>
      <c r="AC2323">
        <v>5.4233000000000402</v>
      </c>
      <c r="AD2323">
        <v>-1.1124301846910001</v>
      </c>
      <c r="AE2323">
        <v>-10.5823</v>
      </c>
      <c r="AF2323">
        <v>-4.21600552637915</v>
      </c>
      <c r="AG2323">
        <v>-1.1124301846910001</v>
      </c>
      <c r="AH2323">
        <v>11.008163712400201</v>
      </c>
      <c r="AI2323">
        <v>95.391070254587305</v>
      </c>
      <c r="AJ2323">
        <v>110.956289830533</v>
      </c>
      <c r="AK2323">
        <v>11.8402648548618</v>
      </c>
      <c r="AL2323">
        <v>67.2799585510448</v>
      </c>
      <c r="AM2323">
        <v>105.036267839337</v>
      </c>
      <c r="AN2323">
        <v>0.99999996728530405</v>
      </c>
    </row>
    <row r="2324" spans="1:40" x14ac:dyDescent="0.25">
      <c r="A2324" t="str">
        <f>"20190304164645808"</f>
        <v>20190304164645808</v>
      </c>
      <c r="B2324" t="str">
        <f>"1551689205801014"</f>
        <v>1551689205801014</v>
      </c>
      <c r="C2324" t="s">
        <v>40</v>
      </c>
      <c r="D2324">
        <v>4.2008000000000001</v>
      </c>
      <c r="E2324">
        <v>0.4153367</v>
      </c>
      <c r="F2324" t="s">
        <v>41</v>
      </c>
      <c r="G2324">
        <v>-492.04</v>
      </c>
      <c r="H2324">
        <v>1.0318039999999999</v>
      </c>
      <c r="I2324">
        <v>243.3047</v>
      </c>
      <c r="J2324">
        <v>-492.53019999999998</v>
      </c>
      <c r="K2324">
        <v>1.112476</v>
      </c>
      <c r="L2324">
        <v>243.8766</v>
      </c>
      <c r="M2324">
        <v>0.1099974</v>
      </c>
      <c r="N2324">
        <v>-1.271386E-2</v>
      </c>
      <c r="O2324">
        <v>-0.99385080000000003</v>
      </c>
      <c r="P2324">
        <v>0.33663480000000001</v>
      </c>
      <c r="Q2324">
        <v>0.37576140000000002</v>
      </c>
      <c r="R2324">
        <v>-0.86341229999999902</v>
      </c>
      <c r="S2324">
        <v>1.832611</v>
      </c>
      <c r="T2324">
        <v>-0.2842269</v>
      </c>
      <c r="U2324">
        <v>-2.886749</v>
      </c>
      <c r="V2324">
        <v>-0.24088899999999999</v>
      </c>
      <c r="W2324">
        <v>0.38631840000000001</v>
      </c>
      <c r="X2324">
        <v>0.89035419999999998</v>
      </c>
      <c r="Y2324">
        <v>-0.43819710000000001</v>
      </c>
      <c r="Z2324">
        <v>7.2168469999999998E-2</v>
      </c>
      <c r="AA2324">
        <v>0.89597709999999997</v>
      </c>
      <c r="AB2324">
        <v>23</v>
      </c>
      <c r="AC2324">
        <v>0.490199999999958</v>
      </c>
      <c r="AD2324">
        <v>-8.0671999999999799E-2</v>
      </c>
      <c r="AE2324">
        <v>-0.57189999999999896</v>
      </c>
      <c r="AF2324">
        <v>-0.41950045853448098</v>
      </c>
      <c r="AG2324">
        <v>-8.0671999999999799E-2</v>
      </c>
      <c r="AH2324">
        <v>0.61529638767075401</v>
      </c>
      <c r="AI2324">
        <v>96.182681858722503</v>
      </c>
      <c r="AJ2324">
        <v>124.285617947456</v>
      </c>
      <c r="AK2324">
        <v>0.74905156763424396</v>
      </c>
      <c r="AL2324">
        <v>67.274387652986903</v>
      </c>
      <c r="AM2324">
        <v>105.139162685416</v>
      </c>
      <c r="AN2324">
        <v>1.0000000089785901</v>
      </c>
    </row>
    <row r="2325" spans="1:40" x14ac:dyDescent="0.25">
      <c r="A2325" t="str">
        <f>"20190304164645832"</f>
        <v>20190304164645832</v>
      </c>
      <c r="B2325" t="str">
        <f>"1551689205820534"</f>
        <v>1551689205820534</v>
      </c>
      <c r="C2325" t="s">
        <v>40</v>
      </c>
      <c r="D2325">
        <v>4.1957459999999998</v>
      </c>
      <c r="E2325">
        <v>0.4150335</v>
      </c>
      <c r="F2325" t="s">
        <v>41</v>
      </c>
      <c r="G2325">
        <v>-491.99259999999998</v>
      </c>
      <c r="H2325">
        <v>1.027366</v>
      </c>
      <c r="I2325">
        <v>243.03749999999999</v>
      </c>
      <c r="J2325">
        <v>-492.5009</v>
      </c>
      <c r="K2325">
        <v>1.1125400000000001</v>
      </c>
      <c r="L2325">
        <v>243.63800000000001</v>
      </c>
      <c r="M2325">
        <v>0.1123697</v>
      </c>
      <c r="N2325">
        <v>-1.284192E-2</v>
      </c>
      <c r="O2325">
        <v>-0.99358389999999996</v>
      </c>
      <c r="P2325">
        <v>0.33945039999999999</v>
      </c>
      <c r="Q2325">
        <v>0.37635809999999997</v>
      </c>
      <c r="R2325">
        <v>-0.86204950000000002</v>
      </c>
      <c r="S2325">
        <v>1.8475649999999999</v>
      </c>
      <c r="T2325">
        <v>-0.2922186</v>
      </c>
      <c r="U2325">
        <v>-2.881424</v>
      </c>
      <c r="V2325">
        <v>-0.24174960000000001</v>
      </c>
      <c r="W2325">
        <v>0.38699220000000001</v>
      </c>
      <c r="X2325">
        <v>0.88982819999999996</v>
      </c>
      <c r="Y2325">
        <v>-0.4400075</v>
      </c>
      <c r="Z2325">
        <v>7.4361559999999993E-2</v>
      </c>
      <c r="AA2325">
        <v>0.89490990000000004</v>
      </c>
      <c r="AB2325">
        <v>23</v>
      </c>
      <c r="AC2325">
        <v>0.50830000000001896</v>
      </c>
      <c r="AD2325">
        <v>-8.5173999999999805E-2</v>
      </c>
      <c r="AE2325">
        <v>-0.60050000000001003</v>
      </c>
      <c r="AF2325">
        <v>-0.43252717186406697</v>
      </c>
      <c r="AG2325">
        <v>-8.5173999999999805E-2</v>
      </c>
      <c r="AH2325">
        <v>0.64624400867881304</v>
      </c>
      <c r="AI2325">
        <v>96.250689991019399</v>
      </c>
      <c r="AJ2325">
        <v>123.794153783729</v>
      </c>
      <c r="AK2325">
        <v>0.78228235531040302</v>
      </c>
      <c r="AL2325">
        <v>67.232526406755795</v>
      </c>
      <c r="AM2325">
        <v>105.199318144838</v>
      </c>
      <c r="AN2325">
        <v>1.0000000287381099</v>
      </c>
    </row>
    <row r="2326" spans="1:40" x14ac:dyDescent="0.25">
      <c r="A2326" t="str">
        <f>"20190304164645853"</f>
        <v>20190304164645853</v>
      </c>
      <c r="B2326" t="str">
        <f>"1551689205841029"</f>
        <v>1551689205841029</v>
      </c>
      <c r="C2326" t="s">
        <v>40</v>
      </c>
      <c r="D2326">
        <v>4.1671690000000003</v>
      </c>
      <c r="E2326">
        <v>0.415024</v>
      </c>
      <c r="F2326" t="s">
        <v>42</v>
      </c>
      <c r="G2326">
        <v>-485.50720000000001</v>
      </c>
      <c r="H2326" s="1">
        <v>-2.2747910000000002E-6</v>
      </c>
      <c r="I2326">
        <v>232.81989999999999</v>
      </c>
      <c r="J2326">
        <v>-492.47390000000001</v>
      </c>
      <c r="K2326">
        <v>1.112608</v>
      </c>
      <c r="L2326">
        <v>243.42169999999999</v>
      </c>
      <c r="M2326">
        <v>0.1146123</v>
      </c>
      <c r="N2326">
        <v>-1.2950110000000001E-2</v>
      </c>
      <c r="O2326">
        <v>-0.99332600000000004</v>
      </c>
      <c r="P2326">
        <v>0.34198220000000001</v>
      </c>
      <c r="Q2326">
        <v>0.37658439999999999</v>
      </c>
      <c r="R2326">
        <v>-0.86094859999999895</v>
      </c>
      <c r="S2326">
        <v>1.859863</v>
      </c>
      <c r="T2326">
        <v>-0.29586289999999998</v>
      </c>
      <c r="U2326">
        <v>-2.8769070000000001</v>
      </c>
      <c r="V2326">
        <v>-0.242427</v>
      </c>
      <c r="W2326">
        <v>0.38727440000000002</v>
      </c>
      <c r="X2326">
        <v>0.88952109999999995</v>
      </c>
      <c r="Y2326">
        <v>-0.44127919999999998</v>
      </c>
      <c r="Z2326">
        <v>7.5300839999999994E-2</v>
      </c>
      <c r="AA2326">
        <v>0.89420499999999903</v>
      </c>
      <c r="AB2326">
        <v>23</v>
      </c>
      <c r="AC2326">
        <v>6.9667000000000003</v>
      </c>
      <c r="AD2326">
        <v>-1.1126102747910001</v>
      </c>
      <c r="AE2326">
        <v>-10.6017999999999</v>
      </c>
      <c r="AF2326">
        <v>-5.6620328506141204</v>
      </c>
      <c r="AG2326">
        <v>-1.1126102747910001</v>
      </c>
      <c r="AH2326">
        <v>11.2439729908796</v>
      </c>
      <c r="AI2326">
        <v>95.050611319199504</v>
      </c>
      <c r="AJ2326">
        <v>116.728069484024</v>
      </c>
      <c r="AK2326">
        <v>12.6381741657818</v>
      </c>
      <c r="AL2326">
        <v>67.214990619345897</v>
      </c>
      <c r="AM2326">
        <v>105.244946425762</v>
      </c>
      <c r="AN2326">
        <v>1.00000004928478</v>
      </c>
    </row>
    <row r="2327" spans="1:40" x14ac:dyDescent="0.25">
      <c r="A2327" t="str">
        <f>"20190304164645887"</f>
        <v>20190304164645887</v>
      </c>
      <c r="B2327" t="str">
        <f>"1551689205881046"</f>
        <v>1551689205881046</v>
      </c>
      <c r="C2327" t="s">
        <v>40</v>
      </c>
      <c r="D2327">
        <v>4.1537009999999999</v>
      </c>
      <c r="E2327">
        <v>0.41523539999999998</v>
      </c>
      <c r="F2327" t="s">
        <v>42</v>
      </c>
      <c r="G2327">
        <v>-485.55500000000001</v>
      </c>
      <c r="H2327" s="1">
        <v>-2.2496270000000001E-6</v>
      </c>
      <c r="I2327">
        <v>232.7833</v>
      </c>
      <c r="J2327">
        <v>-492.42939999999999</v>
      </c>
      <c r="K2327">
        <v>1.1127320000000001</v>
      </c>
      <c r="L2327">
        <v>243.07650000000001</v>
      </c>
      <c r="M2327">
        <v>0.1184452</v>
      </c>
      <c r="N2327">
        <v>-1.3102569999999999E-2</v>
      </c>
      <c r="O2327">
        <v>-0.99287420000000004</v>
      </c>
      <c r="P2327">
        <v>0.34629569999999998</v>
      </c>
      <c r="Q2327">
        <v>0.37563249999999998</v>
      </c>
      <c r="R2327">
        <v>-0.8596393</v>
      </c>
      <c r="S2327">
        <v>1.8688959999999999</v>
      </c>
      <c r="T2327">
        <v>-0.30053340000000001</v>
      </c>
      <c r="U2327">
        <v>-2.873596</v>
      </c>
      <c r="V2327">
        <v>-0.24352070000000001</v>
      </c>
      <c r="W2327">
        <v>0.3863857</v>
      </c>
      <c r="X2327">
        <v>0.88960869999999903</v>
      </c>
      <c r="Y2327">
        <v>-0.44020930000000003</v>
      </c>
      <c r="Z2327">
        <v>7.6524410000000001E-2</v>
      </c>
      <c r="AA2327">
        <v>0.89462830000000004</v>
      </c>
      <c r="AB2327">
        <v>23</v>
      </c>
      <c r="AC2327">
        <v>6.8743999999999801</v>
      </c>
      <c r="AD2327">
        <v>-1.1127342496269901</v>
      </c>
      <c r="AE2327">
        <v>-10.293200000000001</v>
      </c>
      <c r="AF2327">
        <v>-5.5617666332110396</v>
      </c>
      <c r="AG2327">
        <v>-1.1127342496269901</v>
      </c>
      <c r="AH2327">
        <v>10.946571976270301</v>
      </c>
      <c r="AI2327">
        <v>95.178277393440297</v>
      </c>
      <c r="AJ2327">
        <v>116.93434739552001</v>
      </c>
      <c r="AK2327">
        <v>12.3287819197299</v>
      </c>
      <c r="AL2327">
        <v>67.270205366962003</v>
      </c>
      <c r="AM2327">
        <v>105.309065623489</v>
      </c>
      <c r="AN2327">
        <v>0.99999993980433299</v>
      </c>
    </row>
    <row r="2328" spans="1:40" x14ac:dyDescent="0.25">
      <c r="A2328" t="str">
        <f>"20190304164645909"</f>
        <v>20190304164645909</v>
      </c>
      <c r="B2328" t="str">
        <f>"1551689205900568"</f>
        <v>1551689205900568</v>
      </c>
      <c r="C2328" t="s">
        <v>40</v>
      </c>
      <c r="D2328">
        <v>4.1309909999999999</v>
      </c>
      <c r="E2328">
        <v>0.41516649999999999</v>
      </c>
      <c r="F2328" t="s">
        <v>41</v>
      </c>
      <c r="G2328">
        <v>-491.89319999999998</v>
      </c>
      <c r="H2328">
        <v>1.025031</v>
      </c>
      <c r="I2328">
        <v>242.26089999999999</v>
      </c>
      <c r="J2328">
        <v>-492.39909999999998</v>
      </c>
      <c r="K2328">
        <v>1.1128169999999999</v>
      </c>
      <c r="L2328">
        <v>242.84870000000001</v>
      </c>
      <c r="M2328">
        <v>0.121133199999999</v>
      </c>
      <c r="N2328">
        <v>-1.3191019999999999E-2</v>
      </c>
      <c r="O2328">
        <v>-0.99254880000000001</v>
      </c>
      <c r="P2328">
        <v>0.34921099999999999</v>
      </c>
      <c r="Q2328">
        <v>0.37504219999999999</v>
      </c>
      <c r="R2328">
        <v>-0.85871730000000002</v>
      </c>
      <c r="S2328">
        <v>1.884125</v>
      </c>
      <c r="T2328">
        <v>-0.3081084</v>
      </c>
      <c r="U2328">
        <v>-2.8654630000000001</v>
      </c>
      <c r="V2328">
        <v>-0.24417939999999999</v>
      </c>
      <c r="W2328">
        <v>0.38582309999999997</v>
      </c>
      <c r="X2328">
        <v>0.88967240000000003</v>
      </c>
      <c r="Y2328">
        <v>-0.44216529999999998</v>
      </c>
      <c r="Z2328">
        <v>7.8684279999999995E-2</v>
      </c>
      <c r="AA2328">
        <v>0.89347559999999904</v>
      </c>
      <c r="AB2328">
        <v>23</v>
      </c>
      <c r="AC2328">
        <v>0.50589999999999602</v>
      </c>
      <c r="AD2328">
        <v>-8.7785999999999906E-2</v>
      </c>
      <c r="AE2328">
        <v>-0.58780000000001498</v>
      </c>
      <c r="AF2328">
        <v>-0.42551359301810099</v>
      </c>
      <c r="AG2328">
        <v>-8.7785999999999906E-2</v>
      </c>
      <c r="AH2328">
        <v>0.63660059410502101</v>
      </c>
      <c r="AI2328">
        <v>96.540150893122203</v>
      </c>
      <c r="AJ2328">
        <v>123.759374378937</v>
      </c>
      <c r="AK2328">
        <v>0.77073245426285197</v>
      </c>
      <c r="AL2328">
        <v>67.305151453630799</v>
      </c>
      <c r="AM2328">
        <v>105.347477662595</v>
      </c>
      <c r="AN2328">
        <v>1.00000001159986</v>
      </c>
    </row>
    <row r="2329" spans="1:40" x14ac:dyDescent="0.25">
      <c r="A2329" t="str">
        <f>"20190304164645930"</f>
        <v>20190304164645930</v>
      </c>
      <c r="B2329" t="str">
        <f>"1551689205921062"</f>
        <v>1551689205921062</v>
      </c>
      <c r="C2329" t="s">
        <v>40</v>
      </c>
      <c r="D2329">
        <v>4.1657590000000004</v>
      </c>
      <c r="E2329">
        <v>0.41526160000000001</v>
      </c>
      <c r="F2329" t="s">
        <v>42</v>
      </c>
      <c r="G2329">
        <v>-485.61509999999998</v>
      </c>
      <c r="H2329" s="1">
        <v>-2.1727340000000001E-6</v>
      </c>
      <c r="I2329">
        <v>232.60429999999999</v>
      </c>
      <c r="J2329">
        <v>-492.3698</v>
      </c>
      <c r="K2329">
        <v>1.112906</v>
      </c>
      <c r="L2329">
        <v>242.6335</v>
      </c>
      <c r="M2329">
        <v>0.1237953</v>
      </c>
      <c r="N2329">
        <v>-1.326549E-2</v>
      </c>
      <c r="O2329">
        <v>-0.99221930000000003</v>
      </c>
      <c r="P2329">
        <v>0.35193380000000002</v>
      </c>
      <c r="Q2329">
        <v>0.37503350000000002</v>
      </c>
      <c r="R2329">
        <v>-0.85760919999999896</v>
      </c>
      <c r="S2329">
        <v>1.8934329999999999</v>
      </c>
      <c r="T2329">
        <v>-0.31059209999999998</v>
      </c>
      <c r="U2329">
        <v>-2.8592379999999999</v>
      </c>
      <c r="V2329">
        <v>-0.24469109999999999</v>
      </c>
      <c r="W2329">
        <v>0.38583060000000002</v>
      </c>
      <c r="X2329">
        <v>0.88952849999999895</v>
      </c>
      <c r="Y2329">
        <v>-0.44264409999999998</v>
      </c>
      <c r="Z2329">
        <v>7.9388710000000001E-2</v>
      </c>
      <c r="AA2329">
        <v>0.89317619999999898</v>
      </c>
      <c r="AB2329">
        <v>23</v>
      </c>
      <c r="AC2329">
        <v>6.7547000000000104</v>
      </c>
      <c r="AD2329">
        <v>-1.112908172734</v>
      </c>
      <c r="AE2329">
        <v>-10.029199999999999</v>
      </c>
      <c r="AF2329">
        <v>-5.4151828575488796</v>
      </c>
      <c r="AG2329">
        <v>-1.112908172734</v>
      </c>
      <c r="AH2329">
        <v>10.697692009256899</v>
      </c>
      <c r="AI2329">
        <v>95.302895926362694</v>
      </c>
      <c r="AJ2329">
        <v>116.848580480385</v>
      </c>
      <c r="AK2329">
        <v>12.041735103652901</v>
      </c>
      <c r="AL2329">
        <v>67.304684656998404</v>
      </c>
      <c r="AM2329">
        <v>105.38048861711199</v>
      </c>
      <c r="AN2329">
        <v>0.999999969313909</v>
      </c>
    </row>
    <row r="2330" spans="1:40" x14ac:dyDescent="0.25">
      <c r="A2330" t="str">
        <f>"20190304164645953"</f>
        <v>20190304164645953</v>
      </c>
      <c r="B2330" t="str">
        <f>"1551689205950341"</f>
        <v>1551689205950341</v>
      </c>
      <c r="C2330" t="s">
        <v>40</v>
      </c>
      <c r="D2330">
        <v>4.1304660000000002</v>
      </c>
      <c r="E2330">
        <v>0.41546440000000001</v>
      </c>
      <c r="F2330" t="s">
        <v>42</v>
      </c>
      <c r="G2330">
        <v>-485.58780000000002</v>
      </c>
      <c r="H2330" s="1">
        <v>-2.1254279999999999E-6</v>
      </c>
      <c r="I2330">
        <v>232.44399999999999</v>
      </c>
      <c r="J2330">
        <v>-492.33859999999999</v>
      </c>
      <c r="K2330">
        <v>1.1129929999999999</v>
      </c>
      <c r="L2330">
        <v>242.4101</v>
      </c>
      <c r="M2330">
        <v>0.12669720000000001</v>
      </c>
      <c r="N2330">
        <v>-1.333443E-2</v>
      </c>
      <c r="O2330">
        <v>-0.99185190000000001</v>
      </c>
      <c r="P2330">
        <v>0.3544774</v>
      </c>
      <c r="Q2330">
        <v>0.37456250000000002</v>
      </c>
      <c r="R2330">
        <v>-0.85676629999999998</v>
      </c>
      <c r="S2330">
        <v>1.900055</v>
      </c>
      <c r="T2330">
        <v>-0.31179750000000001</v>
      </c>
      <c r="U2330">
        <v>-2.8547359999999999</v>
      </c>
      <c r="V2330">
        <v>-0.24478069999999999</v>
      </c>
      <c r="W2330">
        <v>0.38537349999999998</v>
      </c>
      <c r="X2330">
        <v>0.88970199999999999</v>
      </c>
      <c r="Y2330">
        <v>-0.44209219999999999</v>
      </c>
      <c r="Z2330">
        <v>7.9717899999999994E-2</v>
      </c>
      <c r="AA2330">
        <v>0.893420199999999</v>
      </c>
      <c r="AB2330">
        <v>23</v>
      </c>
      <c r="AC2330">
        <v>6.7507999999999697</v>
      </c>
      <c r="AD2330">
        <v>-1.1129951254279999</v>
      </c>
      <c r="AE2330">
        <v>-9.9660999999999795</v>
      </c>
      <c r="AF2330">
        <v>-5.3875399359928897</v>
      </c>
      <c r="AG2330">
        <v>-1.1129951254279999</v>
      </c>
      <c r="AH2330">
        <v>10.6501061061717</v>
      </c>
      <c r="AI2330">
        <v>95.327579917620895</v>
      </c>
      <c r="AJ2330">
        <v>116.833354665204</v>
      </c>
      <c r="AK2330">
        <v>11.9870390332167</v>
      </c>
      <c r="AL2330">
        <v>67.333070139870401</v>
      </c>
      <c r="AM2330">
        <v>105.382995508965</v>
      </c>
      <c r="AN2330">
        <v>0.999999987199369</v>
      </c>
    </row>
    <row r="2331" spans="1:40" x14ac:dyDescent="0.25">
      <c r="A2331" t="str">
        <f>"20190304164645986"</f>
        <v>20190304164645986</v>
      </c>
      <c r="B2331" t="str">
        <f>"1551689205980598"</f>
        <v>1551689205980598</v>
      </c>
      <c r="C2331" t="s">
        <v>40</v>
      </c>
      <c r="D2331">
        <v>4.1386399999999997</v>
      </c>
      <c r="E2331">
        <v>0.41542259999999998</v>
      </c>
      <c r="F2331" t="s">
        <v>42</v>
      </c>
      <c r="G2331">
        <v>-485.59109999999998</v>
      </c>
      <c r="H2331" s="1">
        <v>-2.0863159999999998E-6</v>
      </c>
      <c r="I2331">
        <v>232.33160000000001</v>
      </c>
      <c r="J2331">
        <v>-492.291</v>
      </c>
      <c r="K2331">
        <v>1.1131279999999999</v>
      </c>
      <c r="L2331">
        <v>242.08080000000001</v>
      </c>
      <c r="M2331">
        <v>0.13125709999999999</v>
      </c>
      <c r="N2331">
        <v>-1.342199E-2</v>
      </c>
      <c r="O2331">
        <v>-0.99125759999999996</v>
      </c>
      <c r="P2331">
        <v>0.3585296</v>
      </c>
      <c r="Q2331">
        <v>0.37254809999999999</v>
      </c>
      <c r="R2331">
        <v>-0.85595849999999996</v>
      </c>
      <c r="S2331">
        <v>1.9078980000000001</v>
      </c>
      <c r="T2331">
        <v>-0.31470500000000001</v>
      </c>
      <c r="U2331">
        <v>-2.8497620000000001</v>
      </c>
      <c r="V2331">
        <v>-0.2449006</v>
      </c>
      <c r="W2331">
        <v>0.38336969999999998</v>
      </c>
      <c r="X2331">
        <v>0.8905343</v>
      </c>
      <c r="Y2331">
        <v>-0.44034970000000001</v>
      </c>
      <c r="Z2331">
        <v>8.0535949999999995E-2</v>
      </c>
      <c r="AA2331">
        <v>0.89420699999999997</v>
      </c>
      <c r="AB2331">
        <v>23</v>
      </c>
      <c r="AC2331">
        <v>6.6999000000000102</v>
      </c>
      <c r="AD2331">
        <v>-1.1131300863160001</v>
      </c>
      <c r="AE2331">
        <v>-9.7492000000000001</v>
      </c>
      <c r="AF2331">
        <v>-5.3150950634330902</v>
      </c>
      <c r="AG2331">
        <v>-1.1131300863160001</v>
      </c>
      <c r="AH2331">
        <v>10.451781538372099</v>
      </c>
      <c r="AI2331">
        <v>95.422923623487904</v>
      </c>
      <c r="AJ2331">
        <v>116.95492244082099</v>
      </c>
      <c r="AK2331">
        <v>11.7783288903073</v>
      </c>
      <c r="AL2331">
        <v>67.457433172544597</v>
      </c>
      <c r="AM2331">
        <v>105.37647062060501</v>
      </c>
      <c r="AN2331">
        <v>0.99999998511747001</v>
      </c>
    </row>
    <row r="2332" spans="1:40" x14ac:dyDescent="0.25">
      <c r="A2332" t="str">
        <f>"20190304164646008"</f>
        <v>20190304164646008</v>
      </c>
      <c r="B2332" t="str">
        <f>"1551689206001094"</f>
        <v>1551689206001094</v>
      </c>
      <c r="C2332" t="s">
        <v>40</v>
      </c>
      <c r="D2332">
        <v>4.1483629999999998</v>
      </c>
      <c r="E2332">
        <v>0.41545219999999999</v>
      </c>
      <c r="F2332" t="s">
        <v>41</v>
      </c>
      <c r="G2332">
        <v>-491.74740000000003</v>
      </c>
      <c r="H2332">
        <v>1.0216320000000001</v>
      </c>
      <c r="I2332">
        <v>241.2766</v>
      </c>
      <c r="J2332">
        <v>-492.25700000000001</v>
      </c>
      <c r="K2332">
        <v>1.113213</v>
      </c>
      <c r="L2332">
        <v>241.85310000000001</v>
      </c>
      <c r="M2332">
        <v>0.13456379999999901</v>
      </c>
      <c r="N2332">
        <v>-1.347452E-2</v>
      </c>
      <c r="O2332">
        <v>-0.99081330000000001</v>
      </c>
      <c r="P2332">
        <v>0.3620488</v>
      </c>
      <c r="Q2332">
        <v>0.37074089999999998</v>
      </c>
      <c r="R2332">
        <v>-0.85526150000000001</v>
      </c>
      <c r="S2332">
        <v>1.92099</v>
      </c>
      <c r="T2332">
        <v>-0.32324920000000001</v>
      </c>
      <c r="U2332">
        <v>-2.8409270000000002</v>
      </c>
      <c r="V2332">
        <v>-0.24556410000000001</v>
      </c>
      <c r="W2332">
        <v>0.38156329999999999</v>
      </c>
      <c r="X2332">
        <v>0.89112719999999901</v>
      </c>
      <c r="Y2332">
        <v>-0.44135059999999898</v>
      </c>
      <c r="Z2332">
        <v>8.3058560000000003E-2</v>
      </c>
      <c r="AA2332">
        <v>0.89348249999999996</v>
      </c>
      <c r="AB2332">
        <v>23</v>
      </c>
      <c r="AC2332">
        <v>0.50959999999992001</v>
      </c>
      <c r="AD2332">
        <v>-9.1581000000000107E-2</v>
      </c>
      <c r="AE2332">
        <v>-0.57650000000001</v>
      </c>
      <c r="AF2332">
        <v>-0.42141139165909502</v>
      </c>
      <c r="AG2332">
        <v>-9.1581000000000107E-2</v>
      </c>
      <c r="AH2332">
        <v>0.63089818208772797</v>
      </c>
      <c r="AI2332">
        <v>96.882780974240404</v>
      </c>
      <c r="AJ2332">
        <v>123.741127788588</v>
      </c>
      <c r="AK2332">
        <v>0.76420360948025901</v>
      </c>
      <c r="AL2332">
        <v>67.569448871186495</v>
      </c>
      <c r="AM2332">
        <v>105.40638083202199</v>
      </c>
      <c r="AN2332">
        <v>0.99999998284776903</v>
      </c>
    </row>
    <row r="2333" spans="1:40" x14ac:dyDescent="0.25">
      <c r="A2333" t="str">
        <f>"20190304164646033"</f>
        <v>20190304164646033</v>
      </c>
      <c r="B2333" t="str">
        <f>"1551689206030374"</f>
        <v>1551689206030374</v>
      </c>
      <c r="C2333" t="s">
        <v>40</v>
      </c>
      <c r="D2333">
        <v>4.1382510000000003</v>
      </c>
      <c r="E2333">
        <v>0.41541090000000003</v>
      </c>
      <c r="F2333" t="s">
        <v>42</v>
      </c>
      <c r="G2333">
        <v>-485.76179999999999</v>
      </c>
      <c r="H2333" s="1">
        <v>-2.0338840000000001E-6</v>
      </c>
      <c r="I2333">
        <v>232.31100000000001</v>
      </c>
      <c r="J2333">
        <v>-492.21969999999999</v>
      </c>
      <c r="K2333">
        <v>1.1132959999999901</v>
      </c>
      <c r="L2333">
        <v>241.60910000000001</v>
      </c>
      <c r="M2333">
        <v>0.13824139999999999</v>
      </c>
      <c r="N2333">
        <v>-1.3523749999999999E-2</v>
      </c>
      <c r="O2333">
        <v>-0.99030640000000003</v>
      </c>
      <c r="P2333">
        <v>0.36670049999999998</v>
      </c>
      <c r="Q2333">
        <v>0.36915340000000002</v>
      </c>
      <c r="R2333">
        <v>-0.85396530000000004</v>
      </c>
      <c r="S2333">
        <v>1.9292910000000001</v>
      </c>
      <c r="T2333">
        <v>-0.33065870000000003</v>
      </c>
      <c r="U2333">
        <v>-2.8343050000000001</v>
      </c>
      <c r="V2333">
        <v>-0.24709139999999999</v>
      </c>
      <c r="W2333">
        <v>0.37996550000000001</v>
      </c>
      <c r="X2333">
        <v>0.89138779999999995</v>
      </c>
      <c r="Y2333">
        <v>-0.44067010000000001</v>
      </c>
      <c r="Z2333">
        <v>8.5263119999999998E-2</v>
      </c>
      <c r="AA2333">
        <v>0.89361069999999998</v>
      </c>
      <c r="AB2333">
        <v>23</v>
      </c>
      <c r="AC2333">
        <v>6.4578999999999898</v>
      </c>
      <c r="AD2333">
        <v>-1.1132980338839999</v>
      </c>
      <c r="AE2333">
        <v>-9.29810000000003</v>
      </c>
      <c r="AF2333">
        <v>-5.0614344591972698</v>
      </c>
      <c r="AG2333">
        <v>-1.1132980338839999</v>
      </c>
      <c r="AH2333">
        <v>10.0048815023111</v>
      </c>
      <c r="AI2333">
        <v>95.670456376208804</v>
      </c>
      <c r="AJ2333">
        <v>116.83468852012901</v>
      </c>
      <c r="AK2333">
        <v>11.2674400452049</v>
      </c>
      <c r="AL2333">
        <v>67.668456113266899</v>
      </c>
      <c r="AM2333">
        <v>105.493296067017</v>
      </c>
      <c r="AN2333">
        <v>1.0000000755665199</v>
      </c>
    </row>
    <row r="2334" spans="1:40" x14ac:dyDescent="0.25">
      <c r="A2334" t="str">
        <f>"20190304164646055"</f>
        <v>20190304164646055</v>
      </c>
      <c r="B2334" t="str">
        <f>"1551689206050870"</f>
        <v>1551689206050870</v>
      </c>
      <c r="C2334" t="s">
        <v>40</v>
      </c>
      <c r="D2334">
        <v>4.1275399999999998</v>
      </c>
      <c r="E2334">
        <v>0.41542259999999998</v>
      </c>
      <c r="F2334" t="s">
        <v>42</v>
      </c>
      <c r="G2334">
        <v>-485.81</v>
      </c>
      <c r="H2334" s="1">
        <v>-2.0110249999999999E-6</v>
      </c>
      <c r="I2334">
        <v>232.28149999999999</v>
      </c>
      <c r="J2334">
        <v>-492.18630000000002</v>
      </c>
      <c r="K2334">
        <v>1.113362</v>
      </c>
      <c r="L2334">
        <v>241.39769999999999</v>
      </c>
      <c r="M2334">
        <v>0.14155719999999999</v>
      </c>
      <c r="N2334">
        <v>-1.3560829999999999E-2</v>
      </c>
      <c r="O2334">
        <v>-0.98983730000000003</v>
      </c>
      <c r="P2334">
        <v>0.37129909999999999</v>
      </c>
      <c r="Q2334">
        <v>0.36815399999999998</v>
      </c>
      <c r="R2334">
        <v>-0.85240849999999901</v>
      </c>
      <c r="S2334">
        <v>1.941376</v>
      </c>
      <c r="T2334">
        <v>-0.33720050000000001</v>
      </c>
      <c r="U2334">
        <v>-2.8251650000000001</v>
      </c>
      <c r="V2334">
        <v>-0.24891920000000001</v>
      </c>
      <c r="W2334">
        <v>0.37894679999999997</v>
      </c>
      <c r="X2334">
        <v>0.89131280000000002</v>
      </c>
      <c r="Y2334">
        <v>-0.44150909999999899</v>
      </c>
      <c r="Z2334">
        <v>8.722974E-2</v>
      </c>
      <c r="AA2334">
        <v>0.89300659999999898</v>
      </c>
      <c r="AB2334">
        <v>23</v>
      </c>
      <c r="AC2334">
        <v>6.3763000000000103</v>
      </c>
      <c r="AD2334">
        <v>-1.113364011025</v>
      </c>
      <c r="AE2334">
        <v>-9.1161999999999903</v>
      </c>
      <c r="AF2334">
        <v>-4.9717014168184797</v>
      </c>
      <c r="AG2334">
        <v>-1.113364011025</v>
      </c>
      <c r="AH2334">
        <v>9.8286359801084906</v>
      </c>
      <c r="AI2334">
        <v>95.7719315294935</v>
      </c>
      <c r="AJ2334">
        <v>116.83203789392</v>
      </c>
      <c r="AK2334">
        <v>11.070658500221301</v>
      </c>
      <c r="AL2334">
        <v>67.731539169868796</v>
      </c>
      <c r="AM2334">
        <v>105.60358957095001</v>
      </c>
      <c r="AN2334">
        <v>0.99999997640135896</v>
      </c>
    </row>
    <row r="2335" spans="1:40" x14ac:dyDescent="0.25">
      <c r="A2335" t="str">
        <f>"20190304164646076"</f>
        <v>20190304164646076</v>
      </c>
      <c r="B2335" t="str">
        <f>"1551689206070391"</f>
        <v>1551689206070391</v>
      </c>
      <c r="C2335" t="s">
        <v>40</v>
      </c>
      <c r="D2335">
        <v>4.1301899999999998</v>
      </c>
      <c r="E2335">
        <v>0.41534379999999999</v>
      </c>
      <c r="F2335" t="s">
        <v>41</v>
      </c>
      <c r="G2335">
        <v>-491.59769999999997</v>
      </c>
      <c r="H2335">
        <v>1.010913</v>
      </c>
      <c r="I2335">
        <v>240.55009999999999</v>
      </c>
      <c r="J2335">
        <v>-492.15100000000001</v>
      </c>
      <c r="K2335">
        <v>1.113435</v>
      </c>
      <c r="L2335">
        <v>241.18010000000001</v>
      </c>
      <c r="M2335">
        <v>0.14510899999999999</v>
      </c>
      <c r="N2335">
        <v>-1.3595049999999999E-2</v>
      </c>
      <c r="O2335">
        <v>-0.98932220000000004</v>
      </c>
      <c r="P2335">
        <v>0.37546819999999997</v>
      </c>
      <c r="Q2335">
        <v>0.36764000000000002</v>
      </c>
      <c r="R2335">
        <v>-0.85080219999999995</v>
      </c>
      <c r="S2335">
        <v>1.955109</v>
      </c>
      <c r="T2335">
        <v>-0.34017629999999999</v>
      </c>
      <c r="U2335">
        <v>-2.8147579999999999</v>
      </c>
      <c r="V2335">
        <v>-0.25012400000000001</v>
      </c>
      <c r="W2335">
        <v>0.37841059999999999</v>
      </c>
      <c r="X2335">
        <v>0.89120330000000003</v>
      </c>
      <c r="Y2335">
        <v>-0.44272640000000002</v>
      </c>
      <c r="Z2335">
        <v>8.8156970000000001E-2</v>
      </c>
      <c r="AA2335">
        <v>0.89231260000000001</v>
      </c>
      <c r="AB2335">
        <v>23</v>
      </c>
      <c r="AC2335">
        <v>0.55330000000003499</v>
      </c>
      <c r="AD2335">
        <v>-0.102522</v>
      </c>
      <c r="AE2335">
        <v>-0.63000000000002299</v>
      </c>
      <c r="AF2335">
        <v>-0.449298277688783</v>
      </c>
      <c r="AG2335">
        <v>-0.102522</v>
      </c>
      <c r="AH2335">
        <v>0.69326230460334803</v>
      </c>
      <c r="AI2335">
        <v>97.074235053313501</v>
      </c>
      <c r="AJ2335">
        <v>122.946980189573</v>
      </c>
      <c r="AK2335">
        <v>0.83246160620298404</v>
      </c>
      <c r="AL2335">
        <v>67.7647327966002</v>
      </c>
      <c r="AM2335">
        <v>105.677239842999</v>
      </c>
      <c r="AN2335">
        <v>0.99999995974962397</v>
      </c>
    </row>
    <row r="2336" spans="1:40" x14ac:dyDescent="0.25">
      <c r="A2336" t="str">
        <f>"20190304164646099"</f>
        <v>20190304164646099</v>
      </c>
      <c r="B2336" t="str">
        <f>"1551689206090888"</f>
        <v>1551689206090888</v>
      </c>
      <c r="C2336" t="s">
        <v>40</v>
      </c>
      <c r="D2336">
        <v>4.1274689999999996</v>
      </c>
      <c r="E2336">
        <v>0.41528320000000002</v>
      </c>
      <c r="F2336" t="s">
        <v>41</v>
      </c>
      <c r="G2336">
        <v>-491.57029999999997</v>
      </c>
      <c r="H2336">
        <v>1.01213</v>
      </c>
      <c r="I2336">
        <v>240.3509</v>
      </c>
      <c r="J2336">
        <v>-492.11290000000002</v>
      </c>
      <c r="K2336">
        <v>1.1135139999999999</v>
      </c>
      <c r="L2336">
        <v>240.95079999999999</v>
      </c>
      <c r="M2336">
        <v>0.14896579999999901</v>
      </c>
      <c r="N2336">
        <v>-1.362741E-2</v>
      </c>
      <c r="O2336">
        <v>-0.98874839999999997</v>
      </c>
      <c r="P2336">
        <v>0.37867109999999998</v>
      </c>
      <c r="Q2336">
        <v>0.3669443</v>
      </c>
      <c r="R2336">
        <v>-0.84968269999999901</v>
      </c>
      <c r="S2336">
        <v>1.966675</v>
      </c>
      <c r="T2336">
        <v>-0.34281840000000002</v>
      </c>
      <c r="U2336">
        <v>-2.8063199999999999</v>
      </c>
      <c r="V2336">
        <v>-0.25002380000000002</v>
      </c>
      <c r="W2336">
        <v>0.37770510000000002</v>
      </c>
      <c r="X2336">
        <v>0.89153069999999901</v>
      </c>
      <c r="Y2336">
        <v>-0.44291659999999999</v>
      </c>
      <c r="Z2336">
        <v>8.8968610000000004E-2</v>
      </c>
      <c r="AA2336">
        <v>0.89213759999999998</v>
      </c>
      <c r="AB2336">
        <v>23</v>
      </c>
      <c r="AC2336">
        <v>0.54260000000004904</v>
      </c>
      <c r="AD2336">
        <v>-0.101383999999999</v>
      </c>
      <c r="AE2336">
        <v>-0.599899999999991</v>
      </c>
      <c r="AF2336">
        <v>-0.44025559721475599</v>
      </c>
      <c r="AG2336">
        <v>-0.101383999999999</v>
      </c>
      <c r="AH2336">
        <v>0.66361647115257105</v>
      </c>
      <c r="AI2336">
        <v>97.255126567796694</v>
      </c>
      <c r="AJ2336">
        <v>123.56104071016399</v>
      </c>
      <c r="AK2336">
        <v>0.80280167359062804</v>
      </c>
      <c r="AL2336">
        <v>67.808396851411601</v>
      </c>
      <c r="AM2336">
        <v>105.665795744859</v>
      </c>
      <c r="AN2336">
        <v>1.00000001608746</v>
      </c>
    </row>
    <row r="2337" spans="1:40" x14ac:dyDescent="0.25">
      <c r="A2337" t="str">
        <f>"20190304164646122"</f>
        <v>20190304164646122</v>
      </c>
      <c r="B2337" t="str">
        <f>"1551689206111382"</f>
        <v>1551689206111382</v>
      </c>
      <c r="C2337" t="s">
        <v>40</v>
      </c>
      <c r="D2337">
        <v>4.1040400000000004</v>
      </c>
      <c r="E2337">
        <v>0.4152419</v>
      </c>
      <c r="F2337" t="s">
        <v>41</v>
      </c>
      <c r="G2337">
        <v>-491.54759999999999</v>
      </c>
      <c r="H2337">
        <v>1.014931</v>
      </c>
      <c r="I2337">
        <v>240.15</v>
      </c>
      <c r="J2337">
        <v>-492.07479999999998</v>
      </c>
      <c r="K2337">
        <v>1.1135839999999999</v>
      </c>
      <c r="L2337">
        <v>240.72790000000001</v>
      </c>
      <c r="M2337">
        <v>0.1528264</v>
      </c>
      <c r="N2337">
        <v>-1.3654980000000001E-2</v>
      </c>
      <c r="O2337">
        <v>-0.98815889999999995</v>
      </c>
      <c r="P2337">
        <v>0.38122040000000001</v>
      </c>
      <c r="Q2337">
        <v>0.36654330000000002</v>
      </c>
      <c r="R2337">
        <v>-0.84871529999999995</v>
      </c>
      <c r="S2337">
        <v>1.97641</v>
      </c>
      <c r="T2337">
        <v>-0.34452529999999998</v>
      </c>
      <c r="U2337">
        <v>-2.798737</v>
      </c>
      <c r="V2337">
        <v>-0.2492461</v>
      </c>
      <c r="W2337">
        <v>0.37729889999999999</v>
      </c>
      <c r="X2337">
        <v>0.89192039999999995</v>
      </c>
      <c r="Y2337">
        <v>-0.4425984</v>
      </c>
      <c r="Z2337">
        <v>8.9512179999999997E-2</v>
      </c>
      <c r="AA2337">
        <v>0.89224110000000001</v>
      </c>
      <c r="AB2337">
        <v>23</v>
      </c>
      <c r="AC2337">
        <v>0.52719999999999301</v>
      </c>
      <c r="AD2337">
        <v>-9.8652999999999796E-2</v>
      </c>
      <c r="AE2337">
        <v>-0.57789999999999897</v>
      </c>
      <c r="AF2337">
        <v>-0.42590522174795797</v>
      </c>
      <c r="AG2337">
        <v>-9.8652999999999796E-2</v>
      </c>
      <c r="AH2337">
        <v>0.64148491032447197</v>
      </c>
      <c r="AI2337">
        <v>97.301016071933901</v>
      </c>
      <c r="AJ2337">
        <v>123.581633874548</v>
      </c>
      <c r="AK2337">
        <v>0.77629283295363005</v>
      </c>
      <c r="AL2337">
        <v>67.833530569532002</v>
      </c>
      <c r="AM2337">
        <v>105.612957679331</v>
      </c>
      <c r="AN2337">
        <v>1.00000003912128</v>
      </c>
    </row>
    <row r="2338" spans="1:40" x14ac:dyDescent="0.25">
      <c r="A2338" t="str">
        <f>"20190304164646143"</f>
        <v>20190304164646143</v>
      </c>
      <c r="B2338" t="str">
        <f>"1551689206140663"</f>
        <v>1551689206140663</v>
      </c>
      <c r="C2338" t="s">
        <v>40</v>
      </c>
      <c r="D2338">
        <v>4.1019930000000002</v>
      </c>
      <c r="E2338">
        <v>0.41517159999999897</v>
      </c>
      <c r="F2338" t="s">
        <v>41</v>
      </c>
      <c r="G2338">
        <v>-491.52159999999998</v>
      </c>
      <c r="H2338">
        <v>1.017409</v>
      </c>
      <c r="I2338">
        <v>239.9495</v>
      </c>
      <c r="J2338">
        <v>-492.03809999999999</v>
      </c>
      <c r="K2338">
        <v>1.113648</v>
      </c>
      <c r="L2338">
        <v>240.51910000000001</v>
      </c>
      <c r="M2338">
        <v>0.15655820000000001</v>
      </c>
      <c r="N2338">
        <v>-1.3677989999999999E-2</v>
      </c>
      <c r="O2338">
        <v>-0.98757399999999995</v>
      </c>
      <c r="P2338">
        <v>0.38453159999999997</v>
      </c>
      <c r="Q2338">
        <v>0.36641980000000002</v>
      </c>
      <c r="R2338">
        <v>-0.84727319999999995</v>
      </c>
      <c r="S2338">
        <v>1.9854130000000001</v>
      </c>
      <c r="T2338">
        <v>-0.34491280000000002</v>
      </c>
      <c r="U2338">
        <v>-2.7919619999999998</v>
      </c>
      <c r="V2338">
        <v>-0.24940960000000001</v>
      </c>
      <c r="W2338">
        <v>0.37715710000000002</v>
      </c>
      <c r="X2338">
        <v>0.89193459999999902</v>
      </c>
      <c r="Y2338">
        <v>-0.44213980000000003</v>
      </c>
      <c r="Z2338">
        <v>8.9658390000000004E-2</v>
      </c>
      <c r="AA2338">
        <v>0.89245379999999996</v>
      </c>
      <c r="AB2338">
        <v>23</v>
      </c>
      <c r="AC2338">
        <v>0.51650000000000695</v>
      </c>
      <c r="AD2338">
        <v>-9.6238999999999894E-2</v>
      </c>
      <c r="AE2338">
        <v>-0.56960000000000799</v>
      </c>
      <c r="AF2338">
        <v>-0.41445302159359099</v>
      </c>
      <c r="AG2338">
        <v>-9.6238999999999894E-2</v>
      </c>
      <c r="AH2338">
        <v>0.63351999621695498</v>
      </c>
      <c r="AI2338">
        <v>97.244828476821098</v>
      </c>
      <c r="AJ2338">
        <v>123.192980128272</v>
      </c>
      <c r="AK2338">
        <v>0.76313880640142295</v>
      </c>
      <c r="AL2338">
        <v>67.842301820646298</v>
      </c>
      <c r="AM2338">
        <v>105.622462876771</v>
      </c>
      <c r="AN2338">
        <v>0.99999997866486401</v>
      </c>
    </row>
    <row r="2339" spans="1:40" x14ac:dyDescent="0.25">
      <c r="A2339" t="str">
        <f>"20190304164646167"</f>
        <v>20190304164646167</v>
      </c>
      <c r="B2339" t="str">
        <f>"1551689206161158"</f>
        <v>1551689206161158</v>
      </c>
      <c r="C2339" t="s">
        <v>40</v>
      </c>
      <c r="D2339">
        <v>4.0923879999999997</v>
      </c>
      <c r="E2339">
        <v>0.41509390000000002</v>
      </c>
      <c r="F2339" t="s">
        <v>41</v>
      </c>
      <c r="G2339">
        <v>-491.48570000000001</v>
      </c>
      <c r="H2339">
        <v>1.0184420000000001</v>
      </c>
      <c r="I2339">
        <v>239.74850000000001</v>
      </c>
      <c r="J2339">
        <v>-491.99439999999998</v>
      </c>
      <c r="K2339">
        <v>1.1137429999999999</v>
      </c>
      <c r="L2339">
        <v>240.2764</v>
      </c>
      <c r="M2339">
        <v>0.1610625</v>
      </c>
      <c r="N2339">
        <v>-1.3703069999999999E-2</v>
      </c>
      <c r="O2339">
        <v>-0.98684930000000004</v>
      </c>
      <c r="P2339">
        <v>0.3887312</v>
      </c>
      <c r="Q2339">
        <v>0.36703449999999999</v>
      </c>
      <c r="R2339">
        <v>-0.84508869999999903</v>
      </c>
      <c r="S2339">
        <v>1.996094</v>
      </c>
      <c r="T2339">
        <v>-0.34388069999999998</v>
      </c>
      <c r="U2339">
        <v>-2.783569</v>
      </c>
      <c r="V2339">
        <v>-0.24989439999999999</v>
      </c>
      <c r="W2339">
        <v>0.37773329999999999</v>
      </c>
      <c r="X2339">
        <v>0.89155499999999899</v>
      </c>
      <c r="Y2339">
        <v>-0.44160129999999997</v>
      </c>
      <c r="Z2339">
        <v>8.940012E-2</v>
      </c>
      <c r="AA2339">
        <v>0.89274629999999999</v>
      </c>
      <c r="AB2339">
        <v>23</v>
      </c>
      <c r="AC2339">
        <v>0.50869999999997595</v>
      </c>
      <c r="AD2339">
        <v>-9.5300999999999803E-2</v>
      </c>
      <c r="AE2339">
        <v>-0.52789999999998805</v>
      </c>
      <c r="AF2339">
        <v>-0.41009434253641702</v>
      </c>
      <c r="AG2339">
        <v>-9.5300999999999803E-2</v>
      </c>
      <c r="AH2339">
        <v>0.59292701564772599</v>
      </c>
      <c r="AI2339">
        <v>97.530370287763503</v>
      </c>
      <c r="AJ2339">
        <v>124.66943485730999</v>
      </c>
      <c r="AK2339">
        <v>0.72720155133655695</v>
      </c>
      <c r="AL2339">
        <v>67.806651173401704</v>
      </c>
      <c r="AM2339">
        <v>105.65767985713801</v>
      </c>
      <c r="AN2339">
        <v>0.99999998755262398</v>
      </c>
    </row>
    <row r="2340" spans="1:40" x14ac:dyDescent="0.25">
      <c r="A2340" t="str">
        <f>"20190304164646190"</f>
        <v>20190304164646190</v>
      </c>
      <c r="B2340" t="str">
        <f>"1551689206180678"</f>
        <v>1551689206180678</v>
      </c>
      <c r="C2340" t="s">
        <v>40</v>
      </c>
      <c r="D2340">
        <v>4.0936539999999999</v>
      </c>
      <c r="E2340">
        <v>0.41498040000000003</v>
      </c>
      <c r="F2340" t="s">
        <v>41</v>
      </c>
      <c r="G2340">
        <v>-491.4196</v>
      </c>
      <c r="H2340">
        <v>1.016202</v>
      </c>
      <c r="I2340">
        <v>239.48310000000001</v>
      </c>
      <c r="J2340">
        <v>-491.95339999999999</v>
      </c>
      <c r="K2340">
        <v>1.1138509999999999</v>
      </c>
      <c r="L2340">
        <v>240.0557</v>
      </c>
      <c r="M2340">
        <v>0.16533110000000001</v>
      </c>
      <c r="N2340">
        <v>-1.3725330000000001E-2</v>
      </c>
      <c r="O2340">
        <v>-0.98614279999999999</v>
      </c>
      <c r="P2340">
        <v>0.3924783</v>
      </c>
      <c r="Q2340">
        <v>0.36909360000000002</v>
      </c>
      <c r="R2340">
        <v>-0.84245550000000002</v>
      </c>
      <c r="S2340">
        <v>2.0101930000000001</v>
      </c>
      <c r="T2340">
        <v>-0.3410009</v>
      </c>
      <c r="U2340">
        <v>-2.7733759999999998</v>
      </c>
      <c r="V2340">
        <v>-0.25024580000000002</v>
      </c>
      <c r="W2340">
        <v>0.37973960000000001</v>
      </c>
      <c r="X2340">
        <v>0.8906037</v>
      </c>
      <c r="Y2340">
        <v>-0.44230190000000003</v>
      </c>
      <c r="Z2340">
        <v>8.8589760000000004E-2</v>
      </c>
      <c r="AA2340">
        <v>0.89248019999999995</v>
      </c>
      <c r="AB2340">
        <v>23</v>
      </c>
      <c r="AC2340">
        <v>0.53379999999998495</v>
      </c>
      <c r="AD2340">
        <v>-9.7648999999999805E-2</v>
      </c>
      <c r="AE2340">
        <v>-0.572599999999994</v>
      </c>
      <c r="AF2340">
        <v>-0.425159577719465</v>
      </c>
      <c r="AG2340">
        <v>-9.7648999999999805E-2</v>
      </c>
      <c r="AH2340">
        <v>0.64297583769842204</v>
      </c>
      <c r="AI2340">
        <v>97.219793172908993</v>
      </c>
      <c r="AJ2340">
        <v>123.474162778863</v>
      </c>
      <c r="AK2340">
        <v>0.77699029697389399</v>
      </c>
      <c r="AL2340">
        <v>67.682447059840698</v>
      </c>
      <c r="AM2340">
        <v>105.694537806889</v>
      </c>
      <c r="AN2340">
        <v>1.00000003733974</v>
      </c>
    </row>
    <row r="2341" spans="1:40" x14ac:dyDescent="0.25">
      <c r="A2341" t="str">
        <f>"20190304164646209"</f>
        <v>20190304164646209</v>
      </c>
      <c r="B2341" t="str">
        <f>"1551689206201174"</f>
        <v>1551689206201174</v>
      </c>
      <c r="C2341" t="s">
        <v>40</v>
      </c>
      <c r="D2341">
        <v>4.0967549999999999</v>
      </c>
      <c r="E2341">
        <v>0.41488140000000001</v>
      </c>
      <c r="F2341" t="s">
        <v>42</v>
      </c>
      <c r="G2341">
        <v>-485.18380000000002</v>
      </c>
      <c r="H2341" s="1">
        <v>-1.6770579999999999E-6</v>
      </c>
      <c r="I2341">
        <v>230.81049999999999</v>
      </c>
      <c r="J2341">
        <v>-491.91699999999997</v>
      </c>
      <c r="K2341">
        <v>1.113955</v>
      </c>
      <c r="L2341">
        <v>239.86500000000001</v>
      </c>
      <c r="M2341">
        <v>0.16917879999999999</v>
      </c>
      <c r="N2341">
        <v>-1.3744340000000001E-2</v>
      </c>
      <c r="O2341">
        <v>-0.98548970000000002</v>
      </c>
      <c r="P2341">
        <v>0.39603070000000001</v>
      </c>
      <c r="Q2341">
        <v>0.3708458</v>
      </c>
      <c r="R2341">
        <v>-0.84001999999999999</v>
      </c>
      <c r="S2341">
        <v>2.0239259999999999</v>
      </c>
      <c r="T2341">
        <v>-0.33301170000000002</v>
      </c>
      <c r="U2341">
        <v>-2.7640530000000001</v>
      </c>
      <c r="V2341">
        <v>-0.2507645</v>
      </c>
      <c r="W2341">
        <v>0.38143329999999998</v>
      </c>
      <c r="X2341">
        <v>0.88973359999999901</v>
      </c>
      <c r="Y2341">
        <v>-0.44325419999999999</v>
      </c>
      <c r="Z2341">
        <v>8.6251820000000007E-2</v>
      </c>
      <c r="AA2341">
        <v>0.89223669999999999</v>
      </c>
      <c r="AB2341">
        <v>22</v>
      </c>
      <c r="AC2341">
        <v>6.7331999999999503</v>
      </c>
      <c r="AD2341">
        <v>-1.1139566770580001</v>
      </c>
      <c r="AE2341">
        <v>-9.0545000000000098</v>
      </c>
      <c r="AF2341">
        <v>-5.0548846459176904</v>
      </c>
      <c r="AG2341">
        <v>-1.1139566770580001</v>
      </c>
      <c r="AH2341">
        <v>9.9660479377971605</v>
      </c>
      <c r="AI2341">
        <v>95.692756021509993</v>
      </c>
      <c r="AJ2341">
        <v>116.89460424957301</v>
      </c>
      <c r="AK2341">
        <v>11.2300877004753</v>
      </c>
      <c r="AL2341">
        <v>67.577508044532394</v>
      </c>
      <c r="AM2341">
        <v>105.740077793727</v>
      </c>
      <c r="AN2341">
        <v>1.0000000378890399</v>
      </c>
    </row>
    <row r="2342" spans="1:40" x14ac:dyDescent="0.25">
      <c r="A2342" t="str">
        <f>"20190304164646232"</f>
        <v>20190304164646232</v>
      </c>
      <c r="B2342" t="str">
        <f>"1551689206230454"</f>
        <v>1551689206230454</v>
      </c>
      <c r="C2342" t="s">
        <v>40</v>
      </c>
      <c r="D2342">
        <v>4.1146140000000004</v>
      </c>
      <c r="E2342">
        <v>0.4147844</v>
      </c>
      <c r="F2342" t="s">
        <v>42</v>
      </c>
      <c r="G2342">
        <v>-484.9554</v>
      </c>
      <c r="H2342" s="1">
        <v>-1.61532999999999E-6</v>
      </c>
      <c r="I2342">
        <v>230.45050000000001</v>
      </c>
      <c r="J2342">
        <v>-491.87380000000002</v>
      </c>
      <c r="K2342">
        <v>1.114082</v>
      </c>
      <c r="L2342">
        <v>239.6447</v>
      </c>
      <c r="M2342">
        <v>0.17381250000000001</v>
      </c>
      <c r="N2342">
        <v>-1.3766179999999999E-2</v>
      </c>
      <c r="O2342">
        <v>-0.98468250000000002</v>
      </c>
      <c r="P2342">
        <v>0.40090789999999998</v>
      </c>
      <c r="Q2342">
        <v>0.37041429999999997</v>
      </c>
      <c r="R2342">
        <v>-0.83789340000000001</v>
      </c>
      <c r="S2342">
        <v>2.0370789999999999</v>
      </c>
      <c r="T2342">
        <v>-0.32596209999999998</v>
      </c>
      <c r="U2342">
        <v>-2.7548370000000002</v>
      </c>
      <c r="V2342">
        <v>-0.25184289999999998</v>
      </c>
      <c r="W2342">
        <v>0.38093379999999999</v>
      </c>
      <c r="X2342">
        <v>0.88964299999999996</v>
      </c>
      <c r="Y2342">
        <v>-0.4433339</v>
      </c>
      <c r="Z2342">
        <v>8.4190180000000003E-2</v>
      </c>
      <c r="AA2342">
        <v>0.89239400000000002</v>
      </c>
      <c r="AB2342">
        <v>22</v>
      </c>
      <c r="AC2342">
        <v>6.9184000000000099</v>
      </c>
      <c r="AD2342">
        <v>-1.11408361533</v>
      </c>
      <c r="AE2342">
        <v>-9.1941999999999897</v>
      </c>
      <c r="AF2342">
        <v>-5.1664214361769298</v>
      </c>
      <c r="AG2342">
        <v>-1.11408361533</v>
      </c>
      <c r="AH2342">
        <v>10.161583186828899</v>
      </c>
      <c r="AI2342">
        <v>95.581819786456506</v>
      </c>
      <c r="AJ2342">
        <v>116.950004814064</v>
      </c>
      <c r="AK2342">
        <v>11.453858110740599</v>
      </c>
      <c r="AL2342">
        <v>67.608464494300605</v>
      </c>
      <c r="AM2342">
        <v>105.80592129892</v>
      </c>
      <c r="AN2342">
        <v>1.0000000368559201</v>
      </c>
    </row>
    <row r="2343" spans="1:40" x14ac:dyDescent="0.25">
      <c r="A2343" t="str">
        <f>"20190304164646254"</f>
        <v>20190304164646254</v>
      </c>
      <c r="B2343" t="str">
        <f>"1551689206250950"</f>
        <v>1551689206250950</v>
      </c>
      <c r="C2343" t="s">
        <v>40</v>
      </c>
      <c r="D2343">
        <v>4.109445</v>
      </c>
      <c r="E2343">
        <v>0.41473189999999999</v>
      </c>
      <c r="F2343" t="s">
        <v>42</v>
      </c>
      <c r="G2343">
        <v>-484.88150000000002</v>
      </c>
      <c r="H2343" s="1">
        <v>-1.5850139999999901E-6</v>
      </c>
      <c r="I2343">
        <v>230.30359999999999</v>
      </c>
      <c r="J2343">
        <v>-491.83139999999997</v>
      </c>
      <c r="K2343">
        <v>1.1142129999999999</v>
      </c>
      <c r="L2343">
        <v>239.4348</v>
      </c>
      <c r="M2343">
        <v>0.17844109999999999</v>
      </c>
      <c r="N2343">
        <v>-1.3786980000000001E-2</v>
      </c>
      <c r="O2343">
        <v>-0.98385389999999995</v>
      </c>
      <c r="P2343">
        <v>0.40574559999999998</v>
      </c>
      <c r="Q2343">
        <v>0.37022250000000001</v>
      </c>
      <c r="R2343">
        <v>-0.83564699999999903</v>
      </c>
      <c r="S2343">
        <v>2.05307</v>
      </c>
      <c r="T2343">
        <v>-0.3271134</v>
      </c>
      <c r="U2343">
        <v>-2.7426910000000002</v>
      </c>
      <c r="V2343">
        <v>-0.25291390000000002</v>
      </c>
      <c r="W2343">
        <v>0.38067020000000001</v>
      </c>
      <c r="X2343">
        <v>0.88945200000000002</v>
      </c>
      <c r="Y2343">
        <v>-0.44433149999999899</v>
      </c>
      <c r="Z2343">
        <v>8.457916E-2</v>
      </c>
      <c r="AA2343">
        <v>0.89186089999999996</v>
      </c>
      <c r="AB2343">
        <v>22</v>
      </c>
      <c r="AC2343">
        <v>6.9498999999999498</v>
      </c>
      <c r="AD2343">
        <v>-1.1142145850139999</v>
      </c>
      <c r="AE2343">
        <v>-9.1311999999999998</v>
      </c>
      <c r="AF2343">
        <v>-5.16015069202225</v>
      </c>
      <c r="AG2343">
        <v>-1.1142145850139999</v>
      </c>
      <c r="AH2343">
        <v>10.129387813746799</v>
      </c>
      <c r="AI2343">
        <v>95.597860646752494</v>
      </c>
      <c r="AJ2343">
        <v>116.99537368625001</v>
      </c>
      <c r="AK2343">
        <v>11.422483389662601</v>
      </c>
      <c r="AL2343">
        <v>67.624798643014202</v>
      </c>
      <c r="AM2343">
        <v>105.872995671889</v>
      </c>
      <c r="AN2343">
        <v>1.0000000511426199</v>
      </c>
    </row>
    <row r="2344" spans="1:40" x14ac:dyDescent="0.25">
      <c r="A2344" t="str">
        <f>"20190304164646279"</f>
        <v>20190304164646279</v>
      </c>
      <c r="B2344" t="str">
        <f>"1551689206270471"</f>
        <v>1551689206270471</v>
      </c>
      <c r="C2344" t="s">
        <v>40</v>
      </c>
      <c r="D2344">
        <v>4.086951</v>
      </c>
      <c r="E2344">
        <v>0.41464640000000003</v>
      </c>
      <c r="F2344" t="s">
        <v>42</v>
      </c>
      <c r="G2344">
        <v>-484.80439999999999</v>
      </c>
      <c r="H2344" s="1">
        <v>-1.5564240000000001E-6</v>
      </c>
      <c r="I2344">
        <v>230.15940000000001</v>
      </c>
      <c r="J2344">
        <v>-491.78140000000002</v>
      </c>
      <c r="K2344">
        <v>1.1143780000000001</v>
      </c>
      <c r="L2344">
        <v>239.19579999999999</v>
      </c>
      <c r="M2344">
        <v>0.18399699999999999</v>
      </c>
      <c r="N2344">
        <v>-1.3810660000000001E-2</v>
      </c>
      <c r="O2344">
        <v>-0.98282979999999998</v>
      </c>
      <c r="P2344">
        <v>0.41123559999999998</v>
      </c>
      <c r="Q2344">
        <v>0.37079780000000001</v>
      </c>
      <c r="R2344">
        <v>-0.83270290000000002</v>
      </c>
      <c r="S2344">
        <v>2.068848</v>
      </c>
      <c r="T2344">
        <v>-0.32804169999999999</v>
      </c>
      <c r="U2344">
        <v>-2.730804</v>
      </c>
      <c r="V2344">
        <v>-0.25393860000000001</v>
      </c>
      <c r="W2344">
        <v>0.38115949999999998</v>
      </c>
      <c r="X2344">
        <v>0.88895029999999997</v>
      </c>
      <c r="Y2344">
        <v>-0.44440030000000003</v>
      </c>
      <c r="Z2344">
        <v>8.4891789999999995E-2</v>
      </c>
      <c r="AA2344">
        <v>0.8917969</v>
      </c>
      <c r="AB2344">
        <v>22</v>
      </c>
      <c r="AC2344">
        <v>6.9770000000000296</v>
      </c>
      <c r="AD2344">
        <v>-1.114379556424</v>
      </c>
      <c r="AE2344">
        <v>-9.0363999999999791</v>
      </c>
      <c r="AF2344">
        <v>-5.14599693279908</v>
      </c>
      <c r="AG2344">
        <v>-1.114379556424</v>
      </c>
      <c r="AH2344">
        <v>10.0700117856271</v>
      </c>
      <c r="AI2344">
        <v>95.627865259484196</v>
      </c>
      <c r="AJ2344">
        <v>117.06802908097799</v>
      </c>
      <c r="AK2344">
        <v>11.3634617784732</v>
      </c>
      <c r="AL2344">
        <v>67.594476889626307</v>
      </c>
      <c r="AM2344">
        <v>105.942583265438</v>
      </c>
      <c r="AN2344">
        <v>1.00000000644015</v>
      </c>
    </row>
    <row r="2345" spans="1:40" x14ac:dyDescent="0.25">
      <c r="A2345" t="str">
        <f>"20190304164646324"</f>
        <v>20190304164646324</v>
      </c>
      <c r="B2345" t="str">
        <f>"1551689206321222"</f>
        <v>1551689206321222</v>
      </c>
      <c r="C2345" t="s">
        <v>40</v>
      </c>
      <c r="D2345">
        <v>4.1235099999999996</v>
      </c>
      <c r="E2345">
        <v>0.41457109999999903</v>
      </c>
      <c r="F2345" t="s">
        <v>41</v>
      </c>
      <c r="G2345">
        <v>-491.18099999999998</v>
      </c>
      <c r="H2345">
        <v>1.0205470000000001</v>
      </c>
      <c r="I2345">
        <v>238.41380000000001</v>
      </c>
      <c r="J2345">
        <v>-491.68709999999999</v>
      </c>
      <c r="K2345">
        <v>1.1146290000000001</v>
      </c>
      <c r="L2345">
        <v>238.7662</v>
      </c>
      <c r="M2345">
        <v>0.19461880000000001</v>
      </c>
      <c r="N2345">
        <v>-1.385113E-2</v>
      </c>
      <c r="O2345">
        <v>-0.98078109999999996</v>
      </c>
      <c r="P2345">
        <v>0.42022310000000002</v>
      </c>
      <c r="Q2345">
        <v>0.37297340000000001</v>
      </c>
      <c r="R2345">
        <v>-0.82722649999999998</v>
      </c>
      <c r="S2345">
        <v>2.0873110000000001</v>
      </c>
      <c r="T2345">
        <v>-0.32601370000000002</v>
      </c>
      <c r="U2345">
        <v>-2.7170559999999999</v>
      </c>
      <c r="V2345">
        <v>-0.25437019999999999</v>
      </c>
      <c r="W2345">
        <v>0.38320890000000002</v>
      </c>
      <c r="X2345">
        <v>0.88794519999999899</v>
      </c>
      <c r="Y2345">
        <v>-0.44073990000000002</v>
      </c>
      <c r="Z2345">
        <v>8.4306359999999997E-2</v>
      </c>
      <c r="AA2345">
        <v>0.89366699999999999</v>
      </c>
      <c r="AB2345">
        <v>22</v>
      </c>
      <c r="AC2345">
        <v>0.50610000000000299</v>
      </c>
      <c r="AD2345">
        <v>-9.4082000000000193E-2</v>
      </c>
      <c r="AE2345">
        <v>-0.352399999999988</v>
      </c>
      <c r="AF2345">
        <v>-0.41810008791675501</v>
      </c>
      <c r="AG2345">
        <v>-9.4082000000000193E-2</v>
      </c>
      <c r="AH2345">
        <v>0.43406429854737699</v>
      </c>
      <c r="AI2345">
        <v>98.872652620058005</v>
      </c>
      <c r="AJ2345">
        <v>133.92676234046201</v>
      </c>
      <c r="AK2345">
        <v>0.60997616470926497</v>
      </c>
      <c r="AL2345">
        <v>67.467407754357595</v>
      </c>
      <c r="AM2345">
        <v>105.985451392268</v>
      </c>
      <c r="AN2345">
        <v>0.99999996894514398</v>
      </c>
    </row>
    <row r="2346" spans="1:40" x14ac:dyDescent="0.25">
      <c r="A2346" t="str">
        <f>"20190304164646343"</f>
        <v>20190304164646343</v>
      </c>
      <c r="B2346" t="str">
        <f>"1551689206340742"</f>
        <v>1551689206340742</v>
      </c>
      <c r="C2346" t="s">
        <v>40</v>
      </c>
      <c r="D2346">
        <v>4.1250910000000003</v>
      </c>
      <c r="E2346">
        <v>0.41455360000000002</v>
      </c>
      <c r="F2346" t="s">
        <v>41</v>
      </c>
      <c r="G2346">
        <v>-491.10590000000002</v>
      </c>
      <c r="H2346">
        <v>1.0269950000000001</v>
      </c>
      <c r="I2346">
        <v>238.02629999999999</v>
      </c>
      <c r="J2346">
        <v>-491.64339999999999</v>
      </c>
      <c r="K2346">
        <v>1.114716</v>
      </c>
      <c r="L2346">
        <v>238.5752</v>
      </c>
      <c r="M2346">
        <v>0.19955870000000001</v>
      </c>
      <c r="N2346">
        <v>-1.386652E-2</v>
      </c>
      <c r="O2346">
        <v>-0.97978790000000004</v>
      </c>
      <c r="P2346">
        <v>0.4233558</v>
      </c>
      <c r="Q2346">
        <v>0.37342839999999999</v>
      </c>
      <c r="R2346">
        <v>-0.82542190000000004</v>
      </c>
      <c r="S2346">
        <v>2.11795</v>
      </c>
      <c r="T2346">
        <v>-0.31910559999999899</v>
      </c>
      <c r="U2346">
        <v>-2.6945800000000002</v>
      </c>
      <c r="V2346">
        <v>-0.2533706</v>
      </c>
      <c r="W2346">
        <v>0.38364140000000002</v>
      </c>
      <c r="X2346">
        <v>0.88804419999999995</v>
      </c>
      <c r="Y2346">
        <v>-0.44622410000000001</v>
      </c>
      <c r="Z2346">
        <v>8.2331219999999997E-2</v>
      </c>
      <c r="AA2346">
        <v>0.89112599999999997</v>
      </c>
      <c r="AB2346">
        <v>22</v>
      </c>
      <c r="AC2346">
        <v>0.53749999999996501</v>
      </c>
      <c r="AD2346">
        <v>-8.7720999999999896E-2</v>
      </c>
      <c r="AE2346">
        <v>-0.54890000000000305</v>
      </c>
      <c r="AF2346">
        <v>-0.411769634149806</v>
      </c>
      <c r="AG2346">
        <v>-8.7720999999999896E-2</v>
      </c>
      <c r="AH2346">
        <v>0.63682738072273304</v>
      </c>
      <c r="AI2346">
        <v>96.598229587187205</v>
      </c>
      <c r="AJ2346">
        <v>122.886521574328</v>
      </c>
      <c r="AK2346">
        <v>0.76341228591570498</v>
      </c>
      <c r="AL2346">
        <v>67.440576063204503</v>
      </c>
      <c r="AM2346">
        <v>105.92413960891901</v>
      </c>
      <c r="AN2346">
        <v>0.99999994294597805</v>
      </c>
    </row>
    <row r="2347" spans="1:40" x14ac:dyDescent="0.25">
      <c r="A2347" t="str">
        <f>"20190304164646367"</f>
        <v>20190304164646367</v>
      </c>
      <c r="B2347" t="str">
        <f>"1551689206361238"</f>
        <v>1551689206361238</v>
      </c>
      <c r="C2347" t="s">
        <v>40</v>
      </c>
      <c r="D2347">
        <v>4.2207759999999999</v>
      </c>
      <c r="E2347">
        <v>0.41455229999999998</v>
      </c>
      <c r="F2347" t="s">
        <v>41</v>
      </c>
      <c r="G2347">
        <v>-491.05840000000001</v>
      </c>
      <c r="H2347">
        <v>1.027628</v>
      </c>
      <c r="I2347">
        <v>237.83750000000001</v>
      </c>
      <c r="J2347">
        <v>-491.59050000000002</v>
      </c>
      <c r="K2347">
        <v>1.1147879999999999</v>
      </c>
      <c r="L2347">
        <v>238.35050000000001</v>
      </c>
      <c r="M2347">
        <v>0.20550950000000001</v>
      </c>
      <c r="N2347">
        <v>-1.388239E-2</v>
      </c>
      <c r="O2347">
        <v>-0.97855669999999995</v>
      </c>
      <c r="P2347">
        <v>0.42716199999999999</v>
      </c>
      <c r="Q2347">
        <v>0.37414760000000002</v>
      </c>
      <c r="R2347">
        <v>-0.82313210000000003</v>
      </c>
      <c r="S2347">
        <v>2.1304630000000002</v>
      </c>
      <c r="T2347">
        <v>-0.31701770000000001</v>
      </c>
      <c r="U2347">
        <v>-2.685165</v>
      </c>
      <c r="V2347">
        <v>-0.25220369999999998</v>
      </c>
      <c r="W2347">
        <v>0.3843432</v>
      </c>
      <c r="X2347">
        <v>0.888073</v>
      </c>
      <c r="Y2347">
        <v>-0.44489339999999999</v>
      </c>
      <c r="Z2347">
        <v>8.1723489999999996E-2</v>
      </c>
      <c r="AA2347">
        <v>0.89184699999999995</v>
      </c>
      <c r="AB2347">
        <v>22</v>
      </c>
      <c r="AC2347">
        <v>0.53210000000001401</v>
      </c>
      <c r="AD2347">
        <v>-8.7159999999999904E-2</v>
      </c>
      <c r="AE2347">
        <v>-0.51300000000000501</v>
      </c>
      <c r="AF2347">
        <v>-0.409607625392097</v>
      </c>
      <c r="AG2347">
        <v>-8.7159999999999904E-2</v>
      </c>
      <c r="AH2347">
        <v>0.60302439696948695</v>
      </c>
      <c r="AI2347">
        <v>96.818132326872302</v>
      </c>
      <c r="AJ2347">
        <v>124.18652222179099</v>
      </c>
      <c r="AK2347">
        <v>0.73417552105730499</v>
      </c>
      <c r="AL2347">
        <v>67.397029286080695</v>
      </c>
      <c r="AM2347">
        <v>105.854007205432</v>
      </c>
      <c r="AN2347">
        <v>1.00000002750446</v>
      </c>
    </row>
    <row r="2348" spans="1:40" x14ac:dyDescent="0.25">
      <c r="A2348" t="str">
        <f>"20190304164646389"</f>
        <v>20190304164646389</v>
      </c>
      <c r="B2348" t="str">
        <f>"1551689206380759"</f>
        <v>1551689206380759</v>
      </c>
      <c r="C2348" t="s">
        <v>40</v>
      </c>
      <c r="D2348">
        <v>4.1396850000000001</v>
      </c>
      <c r="E2348">
        <v>0.41317999999999999</v>
      </c>
      <c r="F2348" t="s">
        <v>41</v>
      </c>
      <c r="G2348">
        <v>-490.98849999999999</v>
      </c>
      <c r="H2348">
        <v>1.02681</v>
      </c>
      <c r="I2348">
        <v>237.6002</v>
      </c>
      <c r="J2348">
        <v>-491.53910000000002</v>
      </c>
      <c r="K2348">
        <v>1.1148420000000001</v>
      </c>
      <c r="L2348">
        <v>238.13820000000001</v>
      </c>
      <c r="M2348">
        <v>0.2112684</v>
      </c>
      <c r="N2348">
        <v>-1.3896250000000001E-2</v>
      </c>
      <c r="O2348">
        <v>-0.97732940000000001</v>
      </c>
      <c r="P2348">
        <v>0.4327551</v>
      </c>
      <c r="Q2348">
        <v>0.37375940000000002</v>
      </c>
      <c r="R2348">
        <v>-0.82038230000000001</v>
      </c>
      <c r="S2348">
        <v>2.1460569999999999</v>
      </c>
      <c r="T2348">
        <v>-0.31346180000000001</v>
      </c>
      <c r="U2348">
        <v>-2.673416</v>
      </c>
      <c r="V2348">
        <v>-0.25303639999999999</v>
      </c>
      <c r="W2348">
        <v>0.3839245</v>
      </c>
      <c r="X2348">
        <v>0.88801719999999895</v>
      </c>
      <c r="Y2348">
        <v>-0.4447585</v>
      </c>
      <c r="Z2348">
        <v>8.0688099999999999E-2</v>
      </c>
      <c r="AA2348">
        <v>0.89200859999999904</v>
      </c>
      <c r="AB2348">
        <v>22</v>
      </c>
      <c r="AC2348">
        <v>0.55060000000003095</v>
      </c>
      <c r="AD2348">
        <v>-8.8032000000000096E-2</v>
      </c>
      <c r="AE2348">
        <v>-0.53800000000001003</v>
      </c>
      <c r="AF2348">
        <v>-0.419016532272805</v>
      </c>
      <c r="AG2348">
        <v>-8.8032000000000096E-2</v>
      </c>
      <c r="AH2348">
        <v>0.63389987800139802</v>
      </c>
      <c r="AI2348">
        <v>96.608327934037305</v>
      </c>
      <c r="AJ2348">
        <v>123.465251583287</v>
      </c>
      <c r="AK2348">
        <v>0.76495329443836901</v>
      </c>
      <c r="AL2348">
        <v>67.423011742945803</v>
      </c>
      <c r="AM2348">
        <v>105.904657580338</v>
      </c>
      <c r="AN2348">
        <v>0.99999999446052401</v>
      </c>
    </row>
    <row r="2349" spans="1:40" x14ac:dyDescent="0.25">
      <c r="A2349" t="str">
        <f>"20190304164646411"</f>
        <v>20190304164646411</v>
      </c>
      <c r="B2349" t="str">
        <f>"1551689206401254"</f>
        <v>1551689206401254</v>
      </c>
      <c r="C2349" t="s">
        <v>40</v>
      </c>
      <c r="D2349">
        <v>4.1461439999999996</v>
      </c>
      <c r="E2349">
        <v>0.41409370000000001</v>
      </c>
      <c r="F2349" t="s">
        <v>41</v>
      </c>
      <c r="G2349">
        <v>-490.93130000000002</v>
      </c>
      <c r="H2349">
        <v>1.0418799999999999</v>
      </c>
      <c r="I2349">
        <v>237.39689999999999</v>
      </c>
      <c r="J2349">
        <v>-491.48660000000001</v>
      </c>
      <c r="K2349">
        <v>1.114887</v>
      </c>
      <c r="L2349">
        <v>237.92750000000001</v>
      </c>
      <c r="M2349">
        <v>0.2170733</v>
      </c>
      <c r="N2349">
        <v>-1.3909370000000001E-2</v>
      </c>
      <c r="O2349">
        <v>-0.97605629999999999</v>
      </c>
      <c r="P2349">
        <v>0.43971149999999998</v>
      </c>
      <c r="Q2349">
        <v>0.37409290000000001</v>
      </c>
      <c r="R2349">
        <v>-0.81652219999999998</v>
      </c>
      <c r="S2349">
        <v>2.1606749999999999</v>
      </c>
      <c r="T2349">
        <v>-0.25937719999999997</v>
      </c>
      <c r="U2349">
        <v>-2.635284</v>
      </c>
      <c r="V2349">
        <v>-0.25539820000000002</v>
      </c>
      <c r="W2349">
        <v>0.38420900000000002</v>
      </c>
      <c r="X2349">
        <v>0.8872177</v>
      </c>
      <c r="Y2349">
        <v>-0.44943129999999998</v>
      </c>
      <c r="Z2349">
        <v>6.5177139999999995E-2</v>
      </c>
      <c r="AA2349">
        <v>0.89093409999999995</v>
      </c>
      <c r="AB2349">
        <v>22</v>
      </c>
      <c r="AC2349">
        <v>0.55529999999998803</v>
      </c>
      <c r="AD2349">
        <v>-7.3007000000000197E-2</v>
      </c>
      <c r="AE2349">
        <v>-0.53060000000002105</v>
      </c>
      <c r="AF2349">
        <v>-0.423043790887143</v>
      </c>
      <c r="AG2349">
        <v>-7.3007000000000197E-2</v>
      </c>
      <c r="AH2349">
        <v>0.63278046336818095</v>
      </c>
      <c r="AI2349">
        <v>95.478730694618605</v>
      </c>
      <c r="AJ2349">
        <v>123.764608120459</v>
      </c>
      <c r="AK2349">
        <v>0.764661484499916</v>
      </c>
      <c r="AL2349">
        <v>67.405357724426906</v>
      </c>
      <c r="AM2349">
        <v>106.05921464599101</v>
      </c>
      <c r="AN2349">
        <v>1.0000000217187599</v>
      </c>
    </row>
    <row r="2350" spans="1:40" x14ac:dyDescent="0.25">
      <c r="A2350" t="str">
        <f>"20190304164646434"</f>
        <v>20190304164646434</v>
      </c>
      <c r="B2350" t="str">
        <f>"1551689206430534"</f>
        <v>1551689206430534</v>
      </c>
      <c r="C2350" t="s">
        <v>40</v>
      </c>
      <c r="D2350">
        <v>4.1455219999999997</v>
      </c>
      <c r="E2350">
        <v>0.41452319999999998</v>
      </c>
      <c r="F2350" t="s">
        <v>45</v>
      </c>
      <c r="G2350">
        <v>-482.07159999999999</v>
      </c>
      <c r="H2350" s="1">
        <v>3.7631399999999999E-6</v>
      </c>
      <c r="I2350">
        <v>226.5514</v>
      </c>
      <c r="J2350">
        <v>-491.43200000000002</v>
      </c>
      <c r="K2350">
        <v>1.1149199999999999</v>
      </c>
      <c r="L2350">
        <v>237.71379999999999</v>
      </c>
      <c r="M2350">
        <v>0.22302159999999999</v>
      </c>
      <c r="N2350">
        <v>-1.392082E-2</v>
      </c>
      <c r="O2350">
        <v>-0.97471430000000003</v>
      </c>
      <c r="P2350">
        <v>0.44623010000000002</v>
      </c>
      <c r="Q2350">
        <v>0.37549159999999998</v>
      </c>
      <c r="R2350">
        <v>-0.81233290000000002</v>
      </c>
      <c r="S2350">
        <v>2.1707459999999998</v>
      </c>
      <c r="T2350">
        <v>-0.25704850000000001</v>
      </c>
      <c r="U2350">
        <v>-2.6228940000000001</v>
      </c>
      <c r="V2350">
        <v>-0.25728089999999998</v>
      </c>
      <c r="W2350">
        <v>0.38556620000000003</v>
      </c>
      <c r="X2350">
        <v>0.88608419999999899</v>
      </c>
      <c r="Y2350">
        <v>-0.4481077</v>
      </c>
      <c r="Z2350">
        <v>6.4569139999999997E-2</v>
      </c>
      <c r="AA2350">
        <v>0.89164469999999996</v>
      </c>
      <c r="AB2350">
        <v>22</v>
      </c>
      <c r="AC2350">
        <v>9.3603999999999701</v>
      </c>
      <c r="AD2350">
        <v>-1.1149162368600001</v>
      </c>
      <c r="AE2350">
        <v>-11.1623999999999</v>
      </c>
      <c r="AF2350">
        <v>-6.59626400935052</v>
      </c>
      <c r="AG2350">
        <v>-1.1149162368600001</v>
      </c>
      <c r="AH2350">
        <v>12.893454161747799</v>
      </c>
      <c r="AI2350">
        <v>94.4020629473724</v>
      </c>
      <c r="AJ2350">
        <v>117.09418965756301</v>
      </c>
      <c r="AK2350">
        <v>14.525663403692</v>
      </c>
      <c r="AL2350">
        <v>67.321104441508197</v>
      </c>
      <c r="AM2350">
        <v>106.191033965438</v>
      </c>
      <c r="AN2350">
        <v>0.99999998278844404</v>
      </c>
    </row>
    <row r="2351" spans="1:40" x14ac:dyDescent="0.25">
      <c r="A2351" t="str">
        <f>"20190304164646456"</f>
        <v>20190304164646456</v>
      </c>
      <c r="B2351" t="str">
        <f>"1551689206450387"</f>
        <v>1551689206450387</v>
      </c>
      <c r="C2351" t="s">
        <v>40</v>
      </c>
      <c r="D2351">
        <v>4.133305</v>
      </c>
      <c r="E2351">
        <v>0.41483759999999997</v>
      </c>
      <c r="F2351" t="s">
        <v>45</v>
      </c>
      <c r="G2351">
        <v>-481.69229999999999</v>
      </c>
      <c r="H2351" s="1">
        <v>3.5795289999999999E-6</v>
      </c>
      <c r="I2351">
        <v>226.10130000000001</v>
      </c>
      <c r="J2351">
        <v>-491.37709999999998</v>
      </c>
      <c r="K2351">
        <v>1.1149420000000001</v>
      </c>
      <c r="L2351">
        <v>237.5051</v>
      </c>
      <c r="M2351">
        <v>0.22885749999999999</v>
      </c>
      <c r="N2351">
        <v>-1.3928319999999999E-2</v>
      </c>
      <c r="O2351">
        <v>-0.97336040000000001</v>
      </c>
      <c r="P2351">
        <v>0.45167550000000001</v>
      </c>
      <c r="Q2351">
        <v>0.37646770000000002</v>
      </c>
      <c r="R2351">
        <v>-0.80886420000000003</v>
      </c>
      <c r="S2351">
        <v>2.1869200000000002</v>
      </c>
      <c r="T2351">
        <v>-0.25033939999999999</v>
      </c>
      <c r="U2351">
        <v>-2.607437</v>
      </c>
      <c r="V2351">
        <v>-0.25804470000000002</v>
      </c>
      <c r="W2351">
        <v>0.3865304</v>
      </c>
      <c r="X2351">
        <v>0.88544179999999995</v>
      </c>
      <c r="Y2351">
        <v>-0.44868649999999999</v>
      </c>
      <c r="Z2351">
        <v>6.2632160000000006E-2</v>
      </c>
      <c r="AA2351">
        <v>0.89149179999999995</v>
      </c>
      <c r="AB2351">
        <v>22</v>
      </c>
      <c r="AC2351">
        <v>9.6847999999999903</v>
      </c>
      <c r="AD2351">
        <v>-1.114938420471</v>
      </c>
      <c r="AE2351">
        <v>-11.403799999999899</v>
      </c>
      <c r="AF2351">
        <v>-6.7799642628140599</v>
      </c>
      <c r="AG2351">
        <v>-1.114938420471</v>
      </c>
      <c r="AH2351">
        <v>13.2441863686541</v>
      </c>
      <c r="AI2351">
        <v>94.285455040448397</v>
      </c>
      <c r="AJ2351">
        <v>117.108815954585</v>
      </c>
      <c r="AK2351">
        <v>14.920438185727701</v>
      </c>
      <c r="AL2351">
        <v>67.261217705196898</v>
      </c>
      <c r="AM2351">
        <v>106.247730648545</v>
      </c>
      <c r="AN2351">
        <v>0.99999999925474403</v>
      </c>
    </row>
    <row r="2352" spans="1:40" x14ac:dyDescent="0.25">
      <c r="A2352" t="str">
        <f>"20190304164646480"</f>
        <v>20190304164646480</v>
      </c>
      <c r="B2352" t="str">
        <f>"1551689206470883"</f>
        <v>1551689206470883</v>
      </c>
      <c r="C2352" t="s">
        <v>40</v>
      </c>
      <c r="D2352">
        <v>4.1541990000000002</v>
      </c>
      <c r="E2352">
        <v>0.41502339999999999</v>
      </c>
      <c r="F2352" t="s">
        <v>41</v>
      </c>
      <c r="G2352">
        <v>-490.72089999999997</v>
      </c>
      <c r="H2352">
        <v>1.042119</v>
      </c>
      <c r="I2352">
        <v>236.73320000000001</v>
      </c>
      <c r="J2352">
        <v>-491.31580000000002</v>
      </c>
      <c r="K2352">
        <v>1.114924</v>
      </c>
      <c r="L2352">
        <v>237.2782</v>
      </c>
      <c r="M2352">
        <v>0.23519989999999999</v>
      </c>
      <c r="N2352">
        <v>-1.393285E-2</v>
      </c>
      <c r="O2352">
        <v>-0.97184709999999996</v>
      </c>
      <c r="P2352">
        <v>0.45620929999999998</v>
      </c>
      <c r="Q2352">
        <v>0.37738729999999998</v>
      </c>
      <c r="R2352">
        <v>-0.80588579999999999</v>
      </c>
      <c r="S2352">
        <v>2.203522</v>
      </c>
      <c r="T2352">
        <v>-0.24457999999999999</v>
      </c>
      <c r="U2352">
        <v>-2.5922239999999999</v>
      </c>
      <c r="V2352">
        <v>-0.25732460000000001</v>
      </c>
      <c r="W2352">
        <v>0.38747130000000002</v>
      </c>
      <c r="X2352">
        <v>0.88524009999999997</v>
      </c>
      <c r="Y2352">
        <v>-0.44882889999999998</v>
      </c>
      <c r="Z2352">
        <v>6.0963209999999997E-2</v>
      </c>
      <c r="AA2352">
        <v>0.89153579999999999</v>
      </c>
      <c r="AB2352">
        <v>22</v>
      </c>
      <c r="AC2352">
        <v>0.59490000000005205</v>
      </c>
      <c r="AD2352">
        <v>-7.2804999999999995E-2</v>
      </c>
      <c r="AE2352">
        <v>-0.54499999999998705</v>
      </c>
      <c r="AF2352">
        <v>-0.44637672639631198</v>
      </c>
      <c r="AG2352">
        <v>-7.2804999999999995E-2</v>
      </c>
      <c r="AH2352">
        <v>0.66423323375149301</v>
      </c>
      <c r="AI2352">
        <v>95.198100733966697</v>
      </c>
      <c r="AJ2352">
        <v>123.90181343184901</v>
      </c>
      <c r="AK2352">
        <v>0.80359102702385499</v>
      </c>
      <c r="AL2352">
        <v>67.202752383095699</v>
      </c>
      <c r="AM2352">
        <v>106.20827066491999</v>
      </c>
      <c r="AN2352">
        <v>0.99999999636842996</v>
      </c>
    </row>
    <row r="2353" spans="1:40" x14ac:dyDescent="0.25">
      <c r="A2353" t="str">
        <f>"20190304164646502"</f>
        <v>20190304164646502</v>
      </c>
      <c r="B2353" t="str">
        <f>"1551689206491380"</f>
        <v>1551689206491380</v>
      </c>
      <c r="C2353" t="s">
        <v>40</v>
      </c>
      <c r="D2353">
        <v>4.1577229999999998</v>
      </c>
      <c r="E2353">
        <v>0.42819030000000002</v>
      </c>
      <c r="F2353" t="s">
        <v>41</v>
      </c>
      <c r="G2353">
        <v>-490.68119999999999</v>
      </c>
      <c r="H2353">
        <v>1.0464</v>
      </c>
      <c r="I2353">
        <v>236.54150000000001</v>
      </c>
      <c r="J2353">
        <v>-491.25940000000003</v>
      </c>
      <c r="K2353">
        <v>1.1148849999999999</v>
      </c>
      <c r="L2353">
        <v>237.07419999999999</v>
      </c>
      <c r="M2353">
        <v>0.24088770000000001</v>
      </c>
      <c r="N2353">
        <v>-1.393483E-2</v>
      </c>
      <c r="O2353">
        <v>-0.97045320000000002</v>
      </c>
      <c r="P2353">
        <v>0.46137479999999997</v>
      </c>
      <c r="Q2353">
        <v>0.37748599999999999</v>
      </c>
      <c r="R2353">
        <v>-0.80289350000000004</v>
      </c>
      <c r="S2353">
        <v>2.221222</v>
      </c>
      <c r="T2353">
        <v>-0.23973420000000001</v>
      </c>
      <c r="U2353">
        <v>-2.5774840000000001</v>
      </c>
      <c r="V2353">
        <v>-0.25780209999999998</v>
      </c>
      <c r="W2353">
        <v>0.38758920000000002</v>
      </c>
      <c r="X2353">
        <v>0.88504959999999899</v>
      </c>
      <c r="Y2353">
        <v>-0.44969310000000001</v>
      </c>
      <c r="Z2353">
        <v>5.9545859999999999E-2</v>
      </c>
      <c r="AA2353">
        <v>0.89119609999999905</v>
      </c>
      <c r="AB2353">
        <v>22</v>
      </c>
      <c r="AC2353">
        <v>0.57820000000003802</v>
      </c>
      <c r="AD2353">
        <v>-6.8485000000000101E-2</v>
      </c>
      <c r="AE2353">
        <v>-0.53269999999997697</v>
      </c>
      <c r="AF2353">
        <v>-0.42957733447907098</v>
      </c>
      <c r="AG2353">
        <v>-6.8485000000000101E-2</v>
      </c>
      <c r="AH2353">
        <v>0.65136253699026503</v>
      </c>
      <c r="AI2353">
        <v>95.016094572361197</v>
      </c>
      <c r="AJ2353">
        <v>123.405080598803</v>
      </c>
      <c r="AK2353">
        <v>0.78326243119246997</v>
      </c>
      <c r="AL2353">
        <v>67.195425949646193</v>
      </c>
      <c r="AM2353">
        <v>106.24007469131</v>
      </c>
      <c r="AN2353">
        <v>1.0000000525906001</v>
      </c>
    </row>
    <row r="2354" spans="1:40" x14ac:dyDescent="0.25">
      <c r="A2354" t="str">
        <f>"20190304164646522"</f>
        <v>20190304164646522</v>
      </c>
      <c r="B2354" t="str">
        <f>"1551689206510904"</f>
        <v>1551689206510904</v>
      </c>
      <c r="C2354" t="s">
        <v>40</v>
      </c>
      <c r="D2354">
        <v>4.1648129999999997</v>
      </c>
      <c r="E2354">
        <v>0.4284172</v>
      </c>
      <c r="F2354" t="s">
        <v>41</v>
      </c>
      <c r="G2354">
        <v>-490.59980000000002</v>
      </c>
      <c r="H2354">
        <v>1.0140849999999999</v>
      </c>
      <c r="I2354">
        <v>236.2672</v>
      </c>
      <c r="J2354">
        <v>-491.20420000000001</v>
      </c>
      <c r="K2354">
        <v>1.1148309999999999</v>
      </c>
      <c r="L2354">
        <v>236.87880000000001</v>
      </c>
      <c r="M2354">
        <v>0.24628910000000001</v>
      </c>
      <c r="N2354">
        <v>-1.393498E-2</v>
      </c>
      <c r="O2354">
        <v>-0.96909650000000003</v>
      </c>
      <c r="P2354">
        <v>0.46744629999999998</v>
      </c>
      <c r="Q2354">
        <v>0.37753219999999998</v>
      </c>
      <c r="R2354">
        <v>-0.79935199999999995</v>
      </c>
      <c r="S2354">
        <v>2.1643680000000001</v>
      </c>
      <c r="T2354">
        <v>-0.3307909</v>
      </c>
      <c r="U2354">
        <v>-2.648209</v>
      </c>
      <c r="V2354">
        <v>-0.2595459</v>
      </c>
      <c r="W2354">
        <v>0.38764589999999999</v>
      </c>
      <c r="X2354">
        <v>0.88451489999999999</v>
      </c>
      <c r="Y2354">
        <v>-0.41995929999999998</v>
      </c>
      <c r="Z2354">
        <v>8.5853819999999997E-2</v>
      </c>
      <c r="AA2354">
        <v>0.90347290000000002</v>
      </c>
      <c r="AB2354">
        <v>22</v>
      </c>
      <c r="AC2354">
        <v>0.60439999999999805</v>
      </c>
      <c r="AD2354">
        <v>-0.100745999999999</v>
      </c>
      <c r="AE2354">
        <v>-0.61160000000000903</v>
      </c>
      <c r="AF2354">
        <v>-0.42924107863026201</v>
      </c>
      <c r="AG2354">
        <v>-0.100745999999999</v>
      </c>
      <c r="AH2354">
        <v>0.73158525489178405</v>
      </c>
      <c r="AI2354">
        <v>96.773541082335299</v>
      </c>
      <c r="AJ2354">
        <v>120.40131432429401</v>
      </c>
      <c r="AK2354">
        <v>0.85417483296732</v>
      </c>
      <c r="AL2354">
        <v>67.191900808803993</v>
      </c>
      <c r="AM2354">
        <v>106.353431805677</v>
      </c>
      <c r="AN2354">
        <v>1.00000001315781</v>
      </c>
    </row>
    <row r="2355" spans="1:40" x14ac:dyDescent="0.25">
      <c r="A2355" t="str">
        <f>"20190304164646545"</f>
        <v>20190304164646545</v>
      </c>
      <c r="B2355" t="str">
        <f>"1551689206541156"</f>
        <v>1551689206541156</v>
      </c>
      <c r="C2355" t="s">
        <v>40</v>
      </c>
      <c r="D2355">
        <v>4.140587</v>
      </c>
      <c r="E2355">
        <v>0.42165160000000002</v>
      </c>
      <c r="F2355" t="s">
        <v>45</v>
      </c>
      <c r="G2355">
        <v>-483.91430000000003</v>
      </c>
      <c r="H2355" s="1">
        <v>4.5421579999999996E-6</v>
      </c>
      <c r="I2355">
        <v>228.0583</v>
      </c>
      <c r="J2355">
        <v>-491.14409999999998</v>
      </c>
      <c r="K2355">
        <v>1.114744</v>
      </c>
      <c r="L2355">
        <v>236.67</v>
      </c>
      <c r="M2355">
        <v>0.25197190000000003</v>
      </c>
      <c r="N2355">
        <v>-1.393252E-2</v>
      </c>
      <c r="O2355">
        <v>-0.96763429999999995</v>
      </c>
      <c r="P2355">
        <v>0.47407939999999998</v>
      </c>
      <c r="Q2355">
        <v>0.37624980000000002</v>
      </c>
      <c r="R2355">
        <v>-0.79604350000000001</v>
      </c>
      <c r="S2355">
        <v>2.1788020000000001</v>
      </c>
      <c r="T2355">
        <v>-0.3331964</v>
      </c>
      <c r="U2355">
        <v>-2.6362610000000002</v>
      </c>
      <c r="V2355">
        <v>-0.26148779999999999</v>
      </c>
      <c r="W2355">
        <v>0.38639279999999998</v>
      </c>
      <c r="X2355">
        <v>0.88449129999999998</v>
      </c>
      <c r="Y2355">
        <v>-0.41954560000000002</v>
      </c>
      <c r="Z2355">
        <v>8.6580569999999996E-2</v>
      </c>
      <c r="AA2355">
        <v>0.9035957</v>
      </c>
      <c r="AB2355">
        <v>22</v>
      </c>
      <c r="AC2355">
        <v>7.2297999999999503</v>
      </c>
      <c r="AD2355">
        <v>-1.114739457842</v>
      </c>
      <c r="AE2355">
        <v>-8.6116999999999795</v>
      </c>
      <c r="AF2355">
        <v>-4.7793895576824603</v>
      </c>
      <c r="AG2355">
        <v>-1.114739457842</v>
      </c>
      <c r="AH2355">
        <v>10.056823469864399</v>
      </c>
      <c r="AI2355">
        <v>95.717044170818895</v>
      </c>
      <c r="AJ2355">
        <v>115.41886586318</v>
      </c>
      <c r="AK2355">
        <v>11.190393509924901</v>
      </c>
      <c r="AL2355">
        <v>67.269767260429006</v>
      </c>
      <c r="AM2355">
        <v>106.469595890978</v>
      </c>
      <c r="AN2355">
        <v>1.00000006260818</v>
      </c>
    </row>
    <row r="2356" spans="1:40" x14ac:dyDescent="0.25">
      <c r="A2356" t="str">
        <f>"20190304164646568"</f>
        <v>20190304164646568</v>
      </c>
      <c r="B2356" t="str">
        <f>"1551689206561183"</f>
        <v>1551689206561183</v>
      </c>
      <c r="C2356" t="s">
        <v>40</v>
      </c>
      <c r="D2356">
        <v>4.1801579999999996</v>
      </c>
      <c r="E2356">
        <v>0.4216705</v>
      </c>
      <c r="F2356" t="s">
        <v>41</v>
      </c>
      <c r="G2356">
        <v>-490.49669999999998</v>
      </c>
      <c r="H2356">
        <v>1.0344930000000001</v>
      </c>
      <c r="I2356">
        <v>235.92330000000001</v>
      </c>
      <c r="J2356">
        <v>-491.08069999999998</v>
      </c>
      <c r="K2356">
        <v>1.11463</v>
      </c>
      <c r="L2356">
        <v>236.45429999999999</v>
      </c>
      <c r="M2356">
        <v>0.2577005</v>
      </c>
      <c r="N2356">
        <v>-1.3926279999999999E-2</v>
      </c>
      <c r="O2356">
        <v>-0.9661246</v>
      </c>
      <c r="P2356">
        <v>0.47943259999999999</v>
      </c>
      <c r="Q2356">
        <v>0.3754574</v>
      </c>
      <c r="R2356">
        <v>-0.79320679999999999</v>
      </c>
      <c r="S2356">
        <v>2.2296450000000001</v>
      </c>
      <c r="T2356">
        <v>-0.27637889999999998</v>
      </c>
      <c r="U2356">
        <v>-2.571396</v>
      </c>
      <c r="V2356">
        <v>-0.26200899999999999</v>
      </c>
      <c r="W2356">
        <v>0.38565909999999998</v>
      </c>
      <c r="X2356">
        <v>0.88465720000000003</v>
      </c>
      <c r="Y2356">
        <v>-0.43636520000000001</v>
      </c>
      <c r="Z2356">
        <v>7.0419239999999994E-2</v>
      </c>
      <c r="AA2356">
        <v>0.89700979999999997</v>
      </c>
      <c r="AB2356">
        <v>22</v>
      </c>
      <c r="AC2356">
        <v>0.58400000000000296</v>
      </c>
      <c r="AD2356">
        <v>-8.0136999999999903E-2</v>
      </c>
      <c r="AE2356">
        <v>-0.53099999999997705</v>
      </c>
      <c r="AF2356">
        <v>-0.42305839635397902</v>
      </c>
      <c r="AG2356">
        <v>-8.0136999999999903E-2</v>
      </c>
      <c r="AH2356">
        <v>0.65680332629809601</v>
      </c>
      <c r="AI2356">
        <v>95.856568719055701</v>
      </c>
      <c r="AJ2356">
        <v>122.786286238028</v>
      </c>
      <c r="AK2356">
        <v>0.78536039811722402</v>
      </c>
      <c r="AL2356">
        <v>67.315336137567101</v>
      </c>
      <c r="AM2356">
        <v>106.49771350719899</v>
      </c>
      <c r="AN2356">
        <v>1.0000000095028201</v>
      </c>
    </row>
    <row r="2357" spans="1:40" x14ac:dyDescent="0.25">
      <c r="A2357" t="str">
        <f>"20190304164646590"</f>
        <v>20190304164646590</v>
      </c>
      <c r="B2357" t="str">
        <f>"1551689206580704"</f>
        <v>1551689206580704</v>
      </c>
      <c r="C2357" t="s">
        <v>40</v>
      </c>
      <c r="D2357">
        <v>4.160819</v>
      </c>
      <c r="E2357">
        <v>0.42205130000000002</v>
      </c>
      <c r="F2357" t="s">
        <v>45</v>
      </c>
      <c r="G2357">
        <v>-482.07729999999998</v>
      </c>
      <c r="H2357" s="1">
        <v>3.685273E-6</v>
      </c>
      <c r="I2357">
        <v>226.1934</v>
      </c>
      <c r="J2357">
        <v>-491.01940000000002</v>
      </c>
      <c r="K2357">
        <v>1.1145</v>
      </c>
      <c r="L2357">
        <v>236.2492</v>
      </c>
      <c r="M2357">
        <v>0.26297989999999999</v>
      </c>
      <c r="N2357">
        <v>-1.391707E-2</v>
      </c>
      <c r="O2357">
        <v>-0.96470109999999998</v>
      </c>
      <c r="P2357">
        <v>0.48438579999999998</v>
      </c>
      <c r="Q2357">
        <v>0.37546030000000002</v>
      </c>
      <c r="R2357">
        <v>-0.79018999999999995</v>
      </c>
      <c r="S2357">
        <v>2.2439269999999998</v>
      </c>
      <c r="T2357">
        <v>-0.2778004</v>
      </c>
      <c r="U2357">
        <v>-2.5573429999999999</v>
      </c>
      <c r="V2357">
        <v>-0.26258979999999998</v>
      </c>
      <c r="W2357">
        <v>0.38572669999999998</v>
      </c>
      <c r="X2357">
        <v>0.8844554</v>
      </c>
      <c r="Y2357">
        <v>-0.43669609999999898</v>
      </c>
      <c r="Z2357">
        <v>7.0906490000000003E-2</v>
      </c>
      <c r="AA2357">
        <v>0.89681039999999901</v>
      </c>
      <c r="AB2357">
        <v>22</v>
      </c>
      <c r="AC2357">
        <v>8.9421000000000301</v>
      </c>
      <c r="AD2357">
        <v>-1.1144963147269999</v>
      </c>
      <c r="AE2357">
        <v>-10.0558</v>
      </c>
      <c r="AF2357">
        <v>-5.9418016530258901</v>
      </c>
      <c r="AG2357">
        <v>-1.1144963147269999</v>
      </c>
      <c r="AH2357">
        <v>11.9714820944587</v>
      </c>
      <c r="AI2357">
        <v>94.766843430022703</v>
      </c>
      <c r="AJ2357">
        <v>116.396568372218</v>
      </c>
      <c r="AK2357">
        <v>13.411319564360101</v>
      </c>
      <c r="AL2357">
        <v>67.311136044385293</v>
      </c>
      <c r="AM2357">
        <v>106.53585606694401</v>
      </c>
      <c r="AN2357">
        <v>0.99999992237304103</v>
      </c>
    </row>
    <row r="2358" spans="1:40" x14ac:dyDescent="0.25">
      <c r="A2358" t="str">
        <f>"20190304164646613"</f>
        <v>20190304164646613</v>
      </c>
      <c r="B2358" t="str">
        <f>"1551689206610959"</f>
        <v>1551689206610959</v>
      </c>
      <c r="C2358" t="s">
        <v>40</v>
      </c>
      <c r="D2358">
        <v>4.151904</v>
      </c>
      <c r="E2358">
        <v>0.4224773</v>
      </c>
      <c r="F2358" t="s">
        <v>45</v>
      </c>
      <c r="G2358">
        <v>-482.01139999999998</v>
      </c>
      <c r="H2358" s="1">
        <v>3.6486270000000002E-6</v>
      </c>
      <c r="I2358">
        <v>226.09379999999999</v>
      </c>
      <c r="J2358">
        <v>-490.95310000000001</v>
      </c>
      <c r="K2358">
        <v>1.1143379999999901</v>
      </c>
      <c r="L2358">
        <v>236.03100000000001</v>
      </c>
      <c r="M2358">
        <v>0.26838339999999999</v>
      </c>
      <c r="N2358">
        <v>-1.390418E-2</v>
      </c>
      <c r="O2358">
        <v>-0.96321179999999995</v>
      </c>
      <c r="P2358">
        <v>0.48832429999999899</v>
      </c>
      <c r="Q2358">
        <v>0.37515599999999999</v>
      </c>
      <c r="R2358">
        <v>-0.78790680000000002</v>
      </c>
      <c r="S2358">
        <v>2.2577820000000002</v>
      </c>
      <c r="T2358">
        <v>-0.27933859999999999</v>
      </c>
      <c r="U2358">
        <v>-2.5453489999999999</v>
      </c>
      <c r="V2358">
        <v>-0.26184990000000002</v>
      </c>
      <c r="W2358">
        <v>0.38552399999999998</v>
      </c>
      <c r="X2358">
        <v>0.88476319999999997</v>
      </c>
      <c r="Y2358">
        <v>-0.43646269999999998</v>
      </c>
      <c r="Z2358">
        <v>7.1388259999999995E-2</v>
      </c>
      <c r="AA2358">
        <v>0.89688579999999996</v>
      </c>
      <c r="AB2358">
        <v>22</v>
      </c>
      <c r="AC2358">
        <v>8.9417000000000204</v>
      </c>
      <c r="AD2358">
        <v>-1.11433435137299</v>
      </c>
      <c r="AE2358">
        <v>-9.93719999999999</v>
      </c>
      <c r="AF2358">
        <v>-5.90531233261758</v>
      </c>
      <c r="AG2358">
        <v>-1.11433435137299</v>
      </c>
      <c r="AH2358">
        <v>11.889970331441299</v>
      </c>
      <c r="AI2358">
        <v>94.798041460442207</v>
      </c>
      <c r="AJ2358">
        <v>116.411905742526</v>
      </c>
      <c r="AK2358">
        <v>13.322381516642199</v>
      </c>
      <c r="AL2358">
        <v>67.323725862935007</v>
      </c>
      <c r="AM2358">
        <v>106.486371586658</v>
      </c>
      <c r="AN2358">
        <v>1.00000002239012</v>
      </c>
    </row>
    <row r="2359" spans="1:40" x14ac:dyDescent="0.25">
      <c r="A2359" t="str">
        <f>"20190304164646637"</f>
        <v>20190304164646637</v>
      </c>
      <c r="B2359" t="str">
        <f>"1551689206630479"</f>
        <v>1551689206630479</v>
      </c>
      <c r="C2359" t="s">
        <v>40</v>
      </c>
      <c r="D2359">
        <v>4.1671579999999997</v>
      </c>
      <c r="E2359">
        <v>0.42564289999999999</v>
      </c>
      <c r="F2359" t="s">
        <v>45</v>
      </c>
      <c r="G2359">
        <v>-481.98289999999997</v>
      </c>
      <c r="H2359" s="1">
        <v>3.6254200000000002E-6</v>
      </c>
      <c r="I2359">
        <v>226.01740000000001</v>
      </c>
      <c r="J2359">
        <v>-490.88959999999997</v>
      </c>
      <c r="K2359">
        <v>1.114168</v>
      </c>
      <c r="L2359">
        <v>235.82560000000001</v>
      </c>
      <c r="M2359">
        <v>0.2732212</v>
      </c>
      <c r="N2359">
        <v>-1.3889840000000001E-2</v>
      </c>
      <c r="O2359">
        <v>-0.96185089999999995</v>
      </c>
      <c r="P2359">
        <v>0.49040270000000002</v>
      </c>
      <c r="Q2359">
        <v>0.37576779999999999</v>
      </c>
      <c r="R2359">
        <v>-0.78632309999999905</v>
      </c>
      <c r="S2359">
        <v>2.2705380000000002</v>
      </c>
      <c r="T2359">
        <v>-0.28206170000000003</v>
      </c>
      <c r="U2359">
        <v>-2.534653</v>
      </c>
      <c r="V2359">
        <v>-0.25964769999999998</v>
      </c>
      <c r="W2359">
        <v>0.38625209999999999</v>
      </c>
      <c r="X2359">
        <v>0.88509459999999995</v>
      </c>
      <c r="Y2359">
        <v>-0.43628729999999899</v>
      </c>
      <c r="Z2359">
        <v>7.2213520000000003E-2</v>
      </c>
      <c r="AA2359">
        <v>0.89690499999999995</v>
      </c>
      <c r="AB2359">
        <v>22</v>
      </c>
      <c r="AC2359">
        <v>8.9067000000000007</v>
      </c>
      <c r="AD2359">
        <v>-1.1141643745799901</v>
      </c>
      <c r="AE2359">
        <v>-9.8081999999999994</v>
      </c>
      <c r="AF2359">
        <v>-5.8463317842832296</v>
      </c>
      <c r="AG2359">
        <v>-1.1141643745799901</v>
      </c>
      <c r="AH2359">
        <v>11.785324057966299</v>
      </c>
      <c r="AI2359">
        <v>94.840849238884701</v>
      </c>
      <c r="AJ2359">
        <v>116.38457590634</v>
      </c>
      <c r="AK2359">
        <v>13.202833814631701</v>
      </c>
      <c r="AL2359">
        <v>67.278506584659098</v>
      </c>
      <c r="AM2359">
        <v>106.34936070685499</v>
      </c>
      <c r="AN2359">
        <v>1.00000003190942</v>
      </c>
    </row>
    <row r="2360" spans="1:40" x14ac:dyDescent="0.25">
      <c r="A2360" t="str">
        <f>"20190304164646659"</f>
        <v>20190304164646659</v>
      </c>
      <c r="B2360" t="str">
        <f>"1551689206650975"</f>
        <v>1551689206650975</v>
      </c>
      <c r="C2360" t="s">
        <v>40</v>
      </c>
      <c r="D2360">
        <v>4.1476379999999997</v>
      </c>
      <c r="E2360">
        <v>0.425506</v>
      </c>
      <c r="F2360" t="s">
        <v>41</v>
      </c>
      <c r="G2360">
        <v>-490.22340000000003</v>
      </c>
      <c r="H2360">
        <v>1.02932</v>
      </c>
      <c r="I2360">
        <v>235.07660000000001</v>
      </c>
      <c r="J2360">
        <v>-490.8227</v>
      </c>
      <c r="K2360">
        <v>1.113996</v>
      </c>
      <c r="L2360">
        <v>235.61179999999999</v>
      </c>
      <c r="M2360">
        <v>0.27800999999999998</v>
      </c>
      <c r="N2360">
        <v>-1.3873679999999999E-2</v>
      </c>
      <c r="O2360">
        <v>-0.96047800000000005</v>
      </c>
      <c r="P2360">
        <v>0.49176930000000002</v>
      </c>
      <c r="Q2360">
        <v>0.3771989</v>
      </c>
      <c r="R2360">
        <v>-0.7847826</v>
      </c>
      <c r="S2360">
        <v>2.2620849999999999</v>
      </c>
      <c r="T2360">
        <v>-0.28795599999999999</v>
      </c>
      <c r="U2360">
        <v>-2.5420989999999999</v>
      </c>
      <c r="V2360">
        <v>-0.25679030000000003</v>
      </c>
      <c r="W2360">
        <v>0.3878027</v>
      </c>
      <c r="X2360">
        <v>0.88525019999999999</v>
      </c>
      <c r="Y2360">
        <v>-0.42873939999999999</v>
      </c>
      <c r="Z2360">
        <v>7.3880509999999996E-2</v>
      </c>
      <c r="AA2360">
        <v>0.90040219999999904</v>
      </c>
      <c r="AB2360">
        <v>22</v>
      </c>
      <c r="AC2360">
        <v>0.59929999999997097</v>
      </c>
      <c r="AD2360">
        <v>-8.4675999999999904E-2</v>
      </c>
      <c r="AE2360">
        <v>-0.53519999999997403</v>
      </c>
      <c r="AF2360">
        <v>-0.42217590732324201</v>
      </c>
      <c r="AG2360">
        <v>-8.4675999999999904E-2</v>
      </c>
      <c r="AH2360">
        <v>0.67324764022802297</v>
      </c>
      <c r="AI2360">
        <v>96.082224035474994</v>
      </c>
      <c r="AJ2360">
        <v>122.09074418896201</v>
      </c>
      <c r="AK2360">
        <v>0.79916513110420695</v>
      </c>
      <c r="AL2360">
        <v>67.182155418899995</v>
      </c>
      <c r="AM2360">
        <v>106.17620325073401</v>
      </c>
      <c r="AN2360">
        <v>1.0000000544506999</v>
      </c>
    </row>
    <row r="2361" spans="1:40" x14ac:dyDescent="0.25">
      <c r="A2361" t="str">
        <f>"20190304164646683"</f>
        <v>20190304164646683</v>
      </c>
      <c r="B2361" t="str">
        <f>"1551689206670495"</f>
        <v>1551689206670495</v>
      </c>
      <c r="C2361" t="s">
        <v>40</v>
      </c>
      <c r="D2361">
        <v>4.1675639999999996</v>
      </c>
      <c r="E2361">
        <v>0.4255562</v>
      </c>
      <c r="F2361" t="s">
        <v>41</v>
      </c>
      <c r="G2361">
        <v>-490.16309999999999</v>
      </c>
      <c r="H2361">
        <v>1.0323329999999999</v>
      </c>
      <c r="I2361">
        <v>234.87649999999999</v>
      </c>
      <c r="J2361">
        <v>-490.75709999999998</v>
      </c>
      <c r="K2361">
        <v>1.11385499999999</v>
      </c>
      <c r="L2361">
        <v>235.40530000000001</v>
      </c>
      <c r="M2361">
        <v>0.28243600000000002</v>
      </c>
      <c r="N2361">
        <v>-1.3858189999999999E-2</v>
      </c>
      <c r="O2361">
        <v>-0.95918610000000004</v>
      </c>
      <c r="P2361">
        <v>0.49195800000000001</v>
      </c>
      <c r="Q2361">
        <v>0.37863279999999999</v>
      </c>
      <c r="R2361">
        <v>-0.7839739</v>
      </c>
      <c r="S2361">
        <v>2.2730709999999998</v>
      </c>
      <c r="T2361">
        <v>-0.28139209999999998</v>
      </c>
      <c r="U2361">
        <v>-2.5335390000000002</v>
      </c>
      <c r="V2361">
        <v>-0.2529594</v>
      </c>
      <c r="W2361">
        <v>0.38934540000000001</v>
      </c>
      <c r="X2361">
        <v>0.88567580000000001</v>
      </c>
      <c r="Y2361">
        <v>-0.42835590000000001</v>
      </c>
      <c r="Z2361">
        <v>7.191641E-2</v>
      </c>
      <c r="AA2361">
        <v>0.90074370000000004</v>
      </c>
      <c r="AB2361">
        <v>22</v>
      </c>
      <c r="AC2361">
        <v>0.59399999999999398</v>
      </c>
      <c r="AD2361">
        <v>-8.1521999999999803E-2</v>
      </c>
      <c r="AE2361">
        <v>-0.52880000000001803</v>
      </c>
      <c r="AF2361">
        <v>-0.41607271731198903</v>
      </c>
      <c r="AG2361">
        <v>-8.1521999999999803E-2</v>
      </c>
      <c r="AH2361">
        <v>0.66802983743219602</v>
      </c>
      <c r="AI2361">
        <v>95.913881458410899</v>
      </c>
      <c r="AJ2361">
        <v>121.91611708628101</v>
      </c>
      <c r="AK2361">
        <v>0.79121817868086797</v>
      </c>
      <c r="AL2361">
        <v>67.0862246350421</v>
      </c>
      <c r="AM2361">
        <v>105.93996336869</v>
      </c>
      <c r="AN2361">
        <v>0.99999996062757901</v>
      </c>
    </row>
    <row r="2362" spans="1:40" x14ac:dyDescent="0.25">
      <c r="A2362" t="str">
        <f>"20190304164646726"</f>
        <v>20190304164646726</v>
      </c>
      <c r="B2362" t="str">
        <f>"1551689206721249"</f>
        <v>1551689206721249</v>
      </c>
      <c r="C2362" t="s">
        <v>40</v>
      </c>
      <c r="D2362">
        <v>4.1539380000000001</v>
      </c>
      <c r="E2362">
        <v>0.42619839999999998</v>
      </c>
      <c r="F2362" t="s">
        <v>41</v>
      </c>
      <c r="G2362">
        <v>-490.0772</v>
      </c>
      <c r="H2362">
        <v>1.0312840000000001</v>
      </c>
      <c r="I2362">
        <v>234.6499</v>
      </c>
      <c r="J2362">
        <v>-490.62920000000003</v>
      </c>
      <c r="K2362">
        <v>1.1136539999999999</v>
      </c>
      <c r="L2362">
        <v>235.00899999999999</v>
      </c>
      <c r="M2362">
        <v>0.29041250000000002</v>
      </c>
      <c r="N2362">
        <v>-1.3829889999999999E-2</v>
      </c>
      <c r="O2362">
        <v>-0.95680180000000004</v>
      </c>
      <c r="P2362">
        <v>0.49351669999999997</v>
      </c>
      <c r="Q2362">
        <v>0.3830557</v>
      </c>
      <c r="R2362">
        <v>-0.78083939999999996</v>
      </c>
      <c r="S2362">
        <v>2.2789609999999998</v>
      </c>
      <c r="T2362">
        <v>-0.2765995</v>
      </c>
      <c r="U2362">
        <v>-2.5301670000000001</v>
      </c>
      <c r="V2362">
        <v>-0.2477519</v>
      </c>
      <c r="W2362">
        <v>0.39389999999999997</v>
      </c>
      <c r="X2362">
        <v>0.88513369999999902</v>
      </c>
      <c r="Y2362">
        <v>-0.42266429999999999</v>
      </c>
      <c r="Z2362">
        <v>7.0398390000000005E-2</v>
      </c>
      <c r="AA2362">
        <v>0.90354800000000002</v>
      </c>
      <c r="AB2362">
        <v>22</v>
      </c>
      <c r="AC2362">
        <v>0.55200000000002003</v>
      </c>
      <c r="AD2362">
        <v>-8.2369999999999999E-2</v>
      </c>
      <c r="AE2362">
        <v>-0.35910000000001202</v>
      </c>
      <c r="AF2362">
        <v>-0.41737780554815501</v>
      </c>
      <c r="AG2362">
        <v>-8.2369999999999999E-2</v>
      </c>
      <c r="AH2362">
        <v>0.49618029514744999</v>
      </c>
      <c r="AI2362">
        <v>97.240034271897301</v>
      </c>
      <c r="AJ2362">
        <v>130.069934163776</v>
      </c>
      <c r="AK2362">
        <v>0.65359309570772295</v>
      </c>
      <c r="AL2362">
        <v>66.802611013170505</v>
      </c>
      <c r="AM2362">
        <v>105.63711200979699</v>
      </c>
      <c r="AN2362">
        <v>0.99999994041464801</v>
      </c>
    </row>
    <row r="2363" spans="1:40" x14ac:dyDescent="0.25">
      <c r="A2363" t="str">
        <f>"20190304164646747"</f>
        <v>20190304164646747</v>
      </c>
      <c r="B2363" t="str">
        <f>"1551689206740767"</f>
        <v>1551689206740767</v>
      </c>
      <c r="C2363" t="s">
        <v>40</v>
      </c>
      <c r="D2363">
        <v>4.1183480000000001</v>
      </c>
      <c r="E2363">
        <v>0.42615459999999999</v>
      </c>
      <c r="F2363" t="s">
        <v>45</v>
      </c>
      <c r="G2363">
        <v>-481.01350000000002</v>
      </c>
      <c r="H2363" s="1">
        <v>3.031772E-6</v>
      </c>
      <c r="I2363">
        <v>224.3938</v>
      </c>
      <c r="J2363">
        <v>-490.56389999999999</v>
      </c>
      <c r="K2363">
        <v>1.113577</v>
      </c>
      <c r="L2363">
        <v>234.81020000000001</v>
      </c>
      <c r="M2363">
        <v>0.29420159999999901</v>
      </c>
      <c r="N2363">
        <v>-1.3816149999999999E-2</v>
      </c>
      <c r="O2363">
        <v>-0.95564369999999998</v>
      </c>
      <c r="P2363">
        <v>0.49473889999999998</v>
      </c>
      <c r="Q2363">
        <v>0.38574310000000001</v>
      </c>
      <c r="R2363">
        <v>-0.77874009999999905</v>
      </c>
      <c r="S2363">
        <v>2.2880549999999999</v>
      </c>
      <c r="T2363">
        <v>-0.2649938</v>
      </c>
      <c r="U2363">
        <v>-2.525909</v>
      </c>
      <c r="V2363">
        <v>-0.24593970000000001</v>
      </c>
      <c r="W2363">
        <v>0.3966266</v>
      </c>
      <c r="X2363">
        <v>0.88442129999999997</v>
      </c>
      <c r="Y2363">
        <v>-0.4217977</v>
      </c>
      <c r="Z2363">
        <v>6.6878610000000005E-2</v>
      </c>
      <c r="AA2363">
        <v>0.90422009999999997</v>
      </c>
      <c r="AB2363">
        <v>22</v>
      </c>
      <c r="AC2363">
        <v>9.5503999999999607</v>
      </c>
      <c r="AD2363">
        <v>-1.1135739682279999</v>
      </c>
      <c r="AE2363">
        <v>-10.416399999999999</v>
      </c>
      <c r="AF2363">
        <v>-6.0254226728174904</v>
      </c>
      <c r="AG2363">
        <v>-1.1135739682279999</v>
      </c>
      <c r="AH2363">
        <v>12.686552962536799</v>
      </c>
      <c r="AI2363">
        <v>94.533366320825095</v>
      </c>
      <c r="AJ2363">
        <v>115.405175557191</v>
      </c>
      <c r="AK2363">
        <v>14.088803761855299</v>
      </c>
      <c r="AL2363">
        <v>66.632540773945294</v>
      </c>
      <c r="AM2363">
        <v>105.540174866475</v>
      </c>
      <c r="AN2363">
        <v>1.0000000158786599</v>
      </c>
    </row>
    <row r="2364" spans="1:40" x14ac:dyDescent="0.25">
      <c r="A2364" t="str">
        <f>"20190304164646769"</f>
        <v>20190304164646769</v>
      </c>
      <c r="B2364" t="str">
        <f>"1551689206760794"</f>
        <v>1551689206760794</v>
      </c>
      <c r="C2364" t="s">
        <v>40</v>
      </c>
      <c r="D2364">
        <v>4.1537269999999999</v>
      </c>
      <c r="E2364">
        <v>0.42607640000000002</v>
      </c>
      <c r="F2364" t="s">
        <v>45</v>
      </c>
      <c r="G2364">
        <v>-480.58879999999999</v>
      </c>
      <c r="H2364" s="1">
        <v>2.8087139999999999E-6</v>
      </c>
      <c r="I2364">
        <v>223.84819999999999</v>
      </c>
      <c r="J2364">
        <v>-490.49610000000001</v>
      </c>
      <c r="K2364">
        <v>1.1135060000000001</v>
      </c>
      <c r="L2364">
        <v>234.6062</v>
      </c>
      <c r="M2364">
        <v>0.29797790000000002</v>
      </c>
      <c r="N2364">
        <v>-1.38026E-2</v>
      </c>
      <c r="O2364">
        <v>-0.95447300000000002</v>
      </c>
      <c r="P2364">
        <v>0.49685200000000002</v>
      </c>
      <c r="Q2364">
        <v>0.38780429999999999</v>
      </c>
      <c r="R2364">
        <v>-0.77636709999999998</v>
      </c>
      <c r="S2364">
        <v>2.294495</v>
      </c>
      <c r="T2364">
        <v>-0.25614599999999998</v>
      </c>
      <c r="U2364">
        <v>-2.5215000000000001</v>
      </c>
      <c r="V2364">
        <v>-0.24507870000000001</v>
      </c>
      <c r="W2364">
        <v>0.39871790000000001</v>
      </c>
      <c r="X2364">
        <v>0.8837197</v>
      </c>
      <c r="Y2364">
        <v>-0.42039290000000001</v>
      </c>
      <c r="Z2364">
        <v>6.4216949999999995E-2</v>
      </c>
      <c r="AA2364">
        <v>0.90506679999999995</v>
      </c>
      <c r="AB2364">
        <v>22</v>
      </c>
      <c r="AC2364">
        <v>9.90730000000001</v>
      </c>
      <c r="AD2364">
        <v>-1.1135031912859901</v>
      </c>
      <c r="AE2364">
        <v>-10.757999999999999</v>
      </c>
      <c r="AF2364">
        <v>-6.2151708579383396</v>
      </c>
      <c r="AG2364">
        <v>-1.1135031912859901</v>
      </c>
      <c r="AH2364">
        <v>13.145433685660199</v>
      </c>
      <c r="AI2364">
        <v>94.379083285353204</v>
      </c>
      <c r="AJ2364">
        <v>115.30481933620899</v>
      </c>
      <c r="AK2364">
        <v>14.5832323212126</v>
      </c>
      <c r="AL2364">
        <v>66.501947859970898</v>
      </c>
      <c r="AM2364">
        <v>105.500092541585</v>
      </c>
      <c r="AN2364">
        <v>1.0000000205710899</v>
      </c>
    </row>
    <row r="2365" spans="1:40" x14ac:dyDescent="0.25">
      <c r="A2365" t="str">
        <f>"20190304164646792"</f>
        <v>20190304164646792</v>
      </c>
      <c r="B2365" t="str">
        <f>"1551689206781290"</f>
        <v>1551689206781290</v>
      </c>
      <c r="C2365" t="s">
        <v>40</v>
      </c>
      <c r="D2365">
        <v>4.1351000000000004</v>
      </c>
      <c r="E2365">
        <v>0.42616890000000002</v>
      </c>
      <c r="F2365" t="s">
        <v>45</v>
      </c>
      <c r="G2365">
        <v>-480.27589999999998</v>
      </c>
      <c r="H2365" s="1">
        <v>2.6687069999999999E-6</v>
      </c>
      <c r="I2365">
        <v>223.4659</v>
      </c>
      <c r="J2365">
        <v>-490.42770000000002</v>
      </c>
      <c r="K2365">
        <v>1.11344</v>
      </c>
      <c r="L2365">
        <v>234.4024</v>
      </c>
      <c r="M2365">
        <v>0.30164600000000003</v>
      </c>
      <c r="N2365">
        <v>-1.378997E-2</v>
      </c>
      <c r="O2365">
        <v>-0.95332039999999996</v>
      </c>
      <c r="P2365">
        <v>0.4988649</v>
      </c>
      <c r="Q2365">
        <v>0.3886751</v>
      </c>
      <c r="R2365">
        <v>-0.77463899999999997</v>
      </c>
      <c r="S2365">
        <v>2.3061829999999999</v>
      </c>
      <c r="T2365">
        <v>-0.25126159999999997</v>
      </c>
      <c r="U2365">
        <v>-2.5137939999999999</v>
      </c>
      <c r="V2365">
        <v>-0.24402850000000001</v>
      </c>
      <c r="W2365">
        <v>0.39962690000000001</v>
      </c>
      <c r="X2365">
        <v>0.88359979999999905</v>
      </c>
      <c r="Y2365">
        <v>-0.42064430000000003</v>
      </c>
      <c r="Z2365">
        <v>6.273405E-2</v>
      </c>
      <c r="AA2365">
        <v>0.90505400000000003</v>
      </c>
      <c r="AB2365">
        <v>22</v>
      </c>
      <c r="AC2365">
        <v>10.1518</v>
      </c>
      <c r="AD2365">
        <v>-1.1134373312929999</v>
      </c>
      <c r="AE2365">
        <v>-10.936499999999899</v>
      </c>
      <c r="AF2365">
        <v>-6.3442493315685802</v>
      </c>
      <c r="AG2365">
        <v>-1.1134373312929999</v>
      </c>
      <c r="AH2365">
        <v>13.4148293127614</v>
      </c>
      <c r="AI2365">
        <v>94.291011499427398</v>
      </c>
      <c r="AJ2365">
        <v>115.310781318973</v>
      </c>
      <c r="AK2365">
        <v>14.881091618639701</v>
      </c>
      <c r="AL2365">
        <v>66.445145910704198</v>
      </c>
      <c r="AM2365">
        <v>105.438841252603</v>
      </c>
      <c r="AN2365">
        <v>1.00000008728794</v>
      </c>
    </row>
    <row r="2366" spans="1:40" x14ac:dyDescent="0.25">
      <c r="A2366" t="str">
        <f>"20190304164646815"</f>
        <v>20190304164646815</v>
      </c>
      <c r="B2366" t="str">
        <f>"1551689206810570"</f>
        <v>1551689206810570</v>
      </c>
      <c r="C2366" t="s">
        <v>40</v>
      </c>
      <c r="D2366">
        <v>4.1508710000000004</v>
      </c>
      <c r="E2366">
        <v>0.42685919999999999</v>
      </c>
      <c r="F2366" t="s">
        <v>45</v>
      </c>
      <c r="G2366">
        <v>-480.14249999999998</v>
      </c>
      <c r="H2366" s="1">
        <v>2.6012440000000001E-6</v>
      </c>
      <c r="I2366">
        <v>223.26779999999999</v>
      </c>
      <c r="J2366">
        <v>-490.3587</v>
      </c>
      <c r="K2366">
        <v>1.1133729999999999</v>
      </c>
      <c r="L2366">
        <v>234.19900000000001</v>
      </c>
      <c r="M2366">
        <v>0.30521679999999901</v>
      </c>
      <c r="N2366">
        <v>-1.377804E-2</v>
      </c>
      <c r="O2366">
        <v>-0.95218320000000001</v>
      </c>
      <c r="P2366">
        <v>0.50130839999999999</v>
      </c>
      <c r="Q2366">
        <v>0.38933139999999999</v>
      </c>
      <c r="R2366">
        <v>-0.77272959999999902</v>
      </c>
      <c r="S2366">
        <v>2.315887</v>
      </c>
      <c r="T2366">
        <v>-0.2507083</v>
      </c>
      <c r="U2366">
        <v>-2.507126</v>
      </c>
      <c r="V2366">
        <v>-0.24353830000000001</v>
      </c>
      <c r="W2366">
        <v>0.40031430000000001</v>
      </c>
      <c r="X2366">
        <v>0.88342369999999903</v>
      </c>
      <c r="Y2366">
        <v>-0.42034640000000001</v>
      </c>
      <c r="Z2366">
        <v>6.2540470000000001E-2</v>
      </c>
      <c r="AA2366">
        <v>0.90520579999999995</v>
      </c>
      <c r="AB2366">
        <v>22</v>
      </c>
      <c r="AC2366">
        <v>10.216200000000001</v>
      </c>
      <c r="AD2366">
        <v>-1.113370398756</v>
      </c>
      <c r="AE2366">
        <v>-10.9312</v>
      </c>
      <c r="AF2366">
        <v>-6.35671579709964</v>
      </c>
      <c r="AG2366">
        <v>-1.113370398756</v>
      </c>
      <c r="AH2366">
        <v>13.453449146513099</v>
      </c>
      <c r="AI2366">
        <v>94.279192998722095</v>
      </c>
      <c r="AJ2366">
        <v>115.290598874298</v>
      </c>
      <c r="AK2366">
        <v>14.9212172193738</v>
      </c>
      <c r="AL2366">
        <v>66.402170091811001</v>
      </c>
      <c r="AM2366">
        <v>105.412228975678</v>
      </c>
      <c r="AN2366">
        <v>0.99999993803653298</v>
      </c>
    </row>
    <row r="2367" spans="1:40" x14ac:dyDescent="0.25">
      <c r="A2367" t="str">
        <f>"20190304164646836"</f>
        <v>20190304164646836</v>
      </c>
      <c r="B2367" t="str">
        <f>"1551689206831066"</f>
        <v>1551689206831066</v>
      </c>
      <c r="C2367" t="s">
        <v>40</v>
      </c>
      <c r="D2367">
        <v>4.1485300000000001</v>
      </c>
      <c r="E2367">
        <v>0.42705720000000003</v>
      </c>
      <c r="F2367" t="s">
        <v>41</v>
      </c>
      <c r="G2367">
        <v>-489.666</v>
      </c>
      <c r="H2367">
        <v>1.0398810000000001</v>
      </c>
      <c r="I2367">
        <v>233.453</v>
      </c>
      <c r="J2367">
        <v>-490.28829999999999</v>
      </c>
      <c r="K2367">
        <v>1.113318</v>
      </c>
      <c r="L2367">
        <v>233.99379999999999</v>
      </c>
      <c r="M2367">
        <v>0.30873699999999998</v>
      </c>
      <c r="N2367">
        <v>-1.376696E-2</v>
      </c>
      <c r="O2367">
        <v>-0.95104770000000005</v>
      </c>
      <c r="P2367">
        <v>0.50418599999999902</v>
      </c>
      <c r="Q2367">
        <v>0.38927270000000003</v>
      </c>
      <c r="R2367">
        <v>-0.77088489999999998</v>
      </c>
      <c r="S2367">
        <v>2.321472</v>
      </c>
      <c r="T2367">
        <v>-0.24633840000000001</v>
      </c>
      <c r="U2367">
        <v>-2.500381</v>
      </c>
      <c r="V2367">
        <v>-0.24349699999999999</v>
      </c>
      <c r="W2367">
        <v>0.40028150000000001</v>
      </c>
      <c r="X2367">
        <v>0.88344999999999996</v>
      </c>
      <c r="Y2367">
        <v>-0.41935280000000003</v>
      </c>
      <c r="Z2367">
        <v>6.1263360000000003E-2</v>
      </c>
      <c r="AA2367">
        <v>0.9057539</v>
      </c>
      <c r="AB2367">
        <v>22</v>
      </c>
      <c r="AC2367">
        <v>0.62229999999999497</v>
      </c>
      <c r="AD2367">
        <v>-7.3436999999999905E-2</v>
      </c>
      <c r="AE2367">
        <v>-0.54079999999998996</v>
      </c>
      <c r="AF2367">
        <v>-0.42156756071806001</v>
      </c>
      <c r="AG2367">
        <v>-7.3436999999999905E-2</v>
      </c>
      <c r="AH2367">
        <v>0.70095916935019698</v>
      </c>
      <c r="AI2367">
        <v>95.130282029333799</v>
      </c>
      <c r="AJ2367">
        <v>121.02334432633999</v>
      </c>
      <c r="AK2367">
        <v>0.82125267629085597</v>
      </c>
      <c r="AL2367">
        <v>66.404222053875301</v>
      </c>
      <c r="AM2367">
        <v>105.40930261852201</v>
      </c>
      <c r="AN2367">
        <v>0.99999998537562396</v>
      </c>
    </row>
    <row r="2368" spans="1:40" x14ac:dyDescent="0.25">
      <c r="A2368" t="str">
        <f>"20190304164646858"</f>
        <v>20190304164646858</v>
      </c>
      <c r="B2368" t="str">
        <f>"1551689206850586"</f>
        <v>1551689206850586</v>
      </c>
      <c r="C2368" t="s">
        <v>40</v>
      </c>
      <c r="D2368">
        <v>4.3674460000000002</v>
      </c>
      <c r="E2368">
        <v>0.42717179999999999</v>
      </c>
      <c r="F2368" t="s">
        <v>41</v>
      </c>
      <c r="G2368">
        <v>-489.59719999999999</v>
      </c>
      <c r="H2368">
        <v>1.039857</v>
      </c>
      <c r="I2368">
        <v>233.25530000000001</v>
      </c>
      <c r="J2368">
        <v>-490.221</v>
      </c>
      <c r="K2368">
        <v>1.1132759999999999</v>
      </c>
      <c r="L2368">
        <v>233.7998</v>
      </c>
      <c r="M2368">
        <v>0.31201699999999999</v>
      </c>
      <c r="N2368">
        <v>-1.3757510000000001E-2</v>
      </c>
      <c r="O2368">
        <v>-0.94997690000000001</v>
      </c>
      <c r="P2368">
        <v>0.50718079999999999</v>
      </c>
      <c r="Q2368">
        <v>0.38882889999999998</v>
      </c>
      <c r="R2368">
        <v>-0.76914209999999905</v>
      </c>
      <c r="S2368">
        <v>2.3320919999999998</v>
      </c>
      <c r="T2368">
        <v>-0.24783069999999999</v>
      </c>
      <c r="U2368">
        <v>-2.4914399999999999</v>
      </c>
      <c r="V2368">
        <v>-0.24377779999999999</v>
      </c>
      <c r="W2368">
        <v>0.3998524</v>
      </c>
      <c r="X2368">
        <v>0.88356689999999904</v>
      </c>
      <c r="Y2368">
        <v>-0.41988150000000002</v>
      </c>
      <c r="Z2368">
        <v>6.1707199999999997E-2</v>
      </c>
      <c r="AA2368">
        <v>0.90547880000000003</v>
      </c>
      <c r="AB2368">
        <v>22</v>
      </c>
      <c r="AC2368">
        <v>0.62380000000001701</v>
      </c>
      <c r="AD2368">
        <v>-7.3418999999999901E-2</v>
      </c>
      <c r="AE2368">
        <v>-0.54449999999999898</v>
      </c>
      <c r="AF2368">
        <v>-0.41944460357223201</v>
      </c>
      <c r="AG2368">
        <v>-7.3418999999999901E-2</v>
      </c>
      <c r="AH2368">
        <v>0.70641208580743597</v>
      </c>
      <c r="AI2368">
        <v>95.106726089492</v>
      </c>
      <c r="AJ2368">
        <v>120.700467796461</v>
      </c>
      <c r="AK2368">
        <v>0.82482856400689597</v>
      </c>
      <c r="AL2368">
        <v>66.431048689231204</v>
      </c>
      <c r="AM2368">
        <v>105.4242828719</v>
      </c>
      <c r="AN2368">
        <v>1.0000000121671</v>
      </c>
    </row>
    <row r="2369" spans="1:40" x14ac:dyDescent="0.25">
      <c r="A2369" t="str">
        <f>"20190304164646881"</f>
        <v>20190304164646881</v>
      </c>
      <c r="B2369" t="str">
        <f>"1551689206871082"</f>
        <v>1551689206871082</v>
      </c>
      <c r="C2369" t="s">
        <v>40</v>
      </c>
      <c r="D2369">
        <v>4.1454240000000002</v>
      </c>
      <c r="E2369">
        <v>0.42712040000000001</v>
      </c>
      <c r="F2369" t="s">
        <v>41</v>
      </c>
      <c r="G2369">
        <v>-489.52069999999998</v>
      </c>
      <c r="H2369">
        <v>1.038084</v>
      </c>
      <c r="I2369">
        <v>233.05709999999999</v>
      </c>
      <c r="J2369">
        <v>-490.14729999999997</v>
      </c>
      <c r="K2369">
        <v>1.113254</v>
      </c>
      <c r="L2369">
        <v>233.58940000000001</v>
      </c>
      <c r="M2369">
        <v>0.31553379999999998</v>
      </c>
      <c r="N2369">
        <v>-1.37486E-2</v>
      </c>
      <c r="O2369">
        <v>-0.94881479999999996</v>
      </c>
      <c r="P2369">
        <v>0.51016790000000001</v>
      </c>
      <c r="Q2369">
        <v>0.38778669999999998</v>
      </c>
      <c r="R2369">
        <v>-0.76769189999999998</v>
      </c>
      <c r="S2369">
        <v>2.341675</v>
      </c>
      <c r="T2369">
        <v>-0.25143710000000002</v>
      </c>
      <c r="U2369">
        <v>-2.4834139999999998</v>
      </c>
      <c r="V2369">
        <v>-0.24375060000000001</v>
      </c>
      <c r="W2369">
        <v>0.39882020000000001</v>
      </c>
      <c r="X2369">
        <v>0.88404079999999996</v>
      </c>
      <c r="Y2369">
        <v>-0.41978270000000001</v>
      </c>
      <c r="Z2369">
        <v>6.2765840000000003E-2</v>
      </c>
      <c r="AA2369">
        <v>0.90545180000000003</v>
      </c>
      <c r="AB2369">
        <v>22</v>
      </c>
      <c r="AC2369">
        <v>0.62659999999999605</v>
      </c>
      <c r="AD2369">
        <v>-7.5170000000000098E-2</v>
      </c>
      <c r="AE2369">
        <v>-0.53230000000001998</v>
      </c>
      <c r="AF2369">
        <v>-0.423072487929813</v>
      </c>
      <c r="AG2369">
        <v>-7.5170000000000098E-2</v>
      </c>
      <c r="AH2369">
        <v>0.69700760376408</v>
      </c>
      <c r="AI2369">
        <v>95.267354143792403</v>
      </c>
      <c r="AJ2369">
        <v>121.257082332797</v>
      </c>
      <c r="AK2369">
        <v>0.81881649876395801</v>
      </c>
      <c r="AL2369">
        <v>66.495556356673205</v>
      </c>
      <c r="AM2369">
        <v>105.41476963829</v>
      </c>
      <c r="AN2369">
        <v>1.0000000214965199</v>
      </c>
    </row>
    <row r="2370" spans="1:40" x14ac:dyDescent="0.25">
      <c r="A2370" t="str">
        <f>"20190304164646906"</f>
        <v>20190304164646906</v>
      </c>
      <c r="B2370" t="str">
        <f>"1551689206900362"</f>
        <v>1551689206900362</v>
      </c>
      <c r="C2370" t="s">
        <v>40</v>
      </c>
      <c r="D2370">
        <v>4.1498650000000001</v>
      </c>
      <c r="E2370">
        <v>0.42705019999999999</v>
      </c>
      <c r="F2370" t="s">
        <v>41</v>
      </c>
      <c r="G2370">
        <v>-489.42610000000002</v>
      </c>
      <c r="H2370">
        <v>1.033555</v>
      </c>
      <c r="I2370">
        <v>232.82980000000001</v>
      </c>
      <c r="J2370">
        <v>-490.07080000000002</v>
      </c>
      <c r="K2370">
        <v>1.11324</v>
      </c>
      <c r="L2370">
        <v>233.37370000000001</v>
      </c>
      <c r="M2370">
        <v>0.31911400000000001</v>
      </c>
      <c r="N2370">
        <v>-1.3740789999999999E-2</v>
      </c>
      <c r="O2370">
        <v>-0.94761680000000004</v>
      </c>
      <c r="P2370">
        <v>0.51278900000000005</v>
      </c>
      <c r="Q2370">
        <v>0.3871618</v>
      </c>
      <c r="R2370">
        <v>-0.76625919999999903</v>
      </c>
      <c r="S2370">
        <v>2.352325</v>
      </c>
      <c r="T2370">
        <v>-0.25981279999999901</v>
      </c>
      <c r="U2370">
        <v>-2.4758610000000001</v>
      </c>
      <c r="V2370">
        <v>-0.2433266</v>
      </c>
      <c r="W2370">
        <v>0.39819749999999998</v>
      </c>
      <c r="X2370">
        <v>0.88443819999999995</v>
      </c>
      <c r="Y2370">
        <v>-0.4196684</v>
      </c>
      <c r="Z2370">
        <v>6.5207760000000003E-2</v>
      </c>
      <c r="AA2370">
        <v>0.90533220000000003</v>
      </c>
      <c r="AB2370">
        <v>21</v>
      </c>
      <c r="AC2370">
        <v>0.64470000000000005</v>
      </c>
      <c r="AD2370">
        <v>-7.9685000000000006E-2</v>
      </c>
      <c r="AE2370">
        <v>-0.54390000000000704</v>
      </c>
      <c r="AF2370">
        <v>-0.43353449060409199</v>
      </c>
      <c r="AG2370">
        <v>-7.9685000000000006E-2</v>
      </c>
      <c r="AH2370">
        <v>0.71482987907330697</v>
      </c>
      <c r="AI2370">
        <v>95.4446646756532</v>
      </c>
      <c r="AJ2370">
        <v>121.236235471052</v>
      </c>
      <c r="AK2370">
        <v>0.83981165137446601</v>
      </c>
      <c r="AL2370">
        <v>66.534456400503004</v>
      </c>
      <c r="AM2370">
        <v>105.382640880862</v>
      </c>
      <c r="AN2370">
        <v>1.00000000644652</v>
      </c>
    </row>
    <row r="2371" spans="1:40" x14ac:dyDescent="0.25">
      <c r="A2371" t="str">
        <f>"20190304164646928"</f>
        <v>20190304164646928</v>
      </c>
      <c r="B2371" t="str">
        <f>"1551689206920857"</f>
        <v>1551689206920857</v>
      </c>
      <c r="C2371" t="s">
        <v>40</v>
      </c>
      <c r="D2371">
        <v>4.1149329999999997</v>
      </c>
      <c r="E2371">
        <v>0.42697350000000001</v>
      </c>
      <c r="F2371" t="s">
        <v>45</v>
      </c>
      <c r="G2371">
        <v>-480.28460000000001</v>
      </c>
      <c r="H2371" s="1">
        <v>2.5975309999999999E-6</v>
      </c>
      <c r="I2371">
        <v>223.137</v>
      </c>
      <c r="J2371">
        <v>-489.99770000000001</v>
      </c>
      <c r="K2371">
        <v>1.1132379999999999</v>
      </c>
      <c r="L2371">
        <v>233.16990000000001</v>
      </c>
      <c r="M2371">
        <v>0.32249529999999998</v>
      </c>
      <c r="N2371">
        <v>-1.3734339999999999E-2</v>
      </c>
      <c r="O2371">
        <v>-0.94647139999999996</v>
      </c>
      <c r="P2371">
        <v>0.51502539999999997</v>
      </c>
      <c r="Q2371">
        <v>0.38628590000000002</v>
      </c>
      <c r="R2371">
        <v>-0.76520059999999901</v>
      </c>
      <c r="S2371">
        <v>2.3616640000000002</v>
      </c>
      <c r="T2371">
        <v>-0.26865430000000001</v>
      </c>
      <c r="U2371">
        <v>-2.4703979999999999</v>
      </c>
      <c r="V2371">
        <v>-0.24261079999999999</v>
      </c>
      <c r="W2371">
        <v>0.39732210000000001</v>
      </c>
      <c r="X2371">
        <v>0.88502839999999905</v>
      </c>
      <c r="Y2371">
        <v>-0.41909190000000002</v>
      </c>
      <c r="Z2371">
        <v>6.7756559999999993E-2</v>
      </c>
      <c r="AA2371">
        <v>0.90541210000000005</v>
      </c>
      <c r="AB2371">
        <v>21</v>
      </c>
      <c r="AC2371">
        <v>9.7130999999999901</v>
      </c>
      <c r="AD2371">
        <v>-1.1132354024690001</v>
      </c>
      <c r="AE2371">
        <v>-10.0329</v>
      </c>
      <c r="AF2371">
        <v>-5.9205438839078601</v>
      </c>
      <c r="AG2371">
        <v>-1.1132354024690001</v>
      </c>
      <c r="AH2371">
        <v>12.5497170242081</v>
      </c>
      <c r="AI2371">
        <v>94.5868095748488</v>
      </c>
      <c r="AJ2371">
        <v>115.256397600645</v>
      </c>
      <c r="AK2371">
        <v>13.9207589710579</v>
      </c>
      <c r="AL2371">
        <v>66.589125085828698</v>
      </c>
      <c r="AM2371">
        <v>105.329775731361</v>
      </c>
      <c r="AN2371">
        <v>1.0000000601157999</v>
      </c>
    </row>
    <row r="2372" spans="1:40" x14ac:dyDescent="0.25">
      <c r="A2372" t="str">
        <f>"20190304164646949"</f>
        <v>20190304164646949</v>
      </c>
      <c r="B2372" t="str">
        <f>"1551689206940378"</f>
        <v>1551689206940378</v>
      </c>
      <c r="C2372" t="s">
        <v>40</v>
      </c>
      <c r="D2372">
        <v>4.1307729999999996</v>
      </c>
      <c r="E2372">
        <v>0.4267918</v>
      </c>
      <c r="F2372" t="s">
        <v>45</v>
      </c>
      <c r="G2372">
        <v>-480.42219999999998</v>
      </c>
      <c r="H2372" s="1">
        <v>2.6362619999999999E-6</v>
      </c>
      <c r="I2372">
        <v>223.20179999999999</v>
      </c>
      <c r="J2372">
        <v>-489.93130000000002</v>
      </c>
      <c r="K2372">
        <v>1.113256</v>
      </c>
      <c r="L2372">
        <v>232.98660000000001</v>
      </c>
      <c r="M2372">
        <v>0.32555119999999999</v>
      </c>
      <c r="N2372">
        <v>-1.372933E-2</v>
      </c>
      <c r="O2372">
        <v>-0.94542490000000001</v>
      </c>
      <c r="P2372">
        <v>0.51727970000000001</v>
      </c>
      <c r="Q2372">
        <v>0.38611269999999998</v>
      </c>
      <c r="R2372">
        <v>-0.76376630000000001</v>
      </c>
      <c r="S2372">
        <v>2.3684080000000001</v>
      </c>
      <c r="T2372">
        <v>-0.27534710000000001</v>
      </c>
      <c r="U2372">
        <v>-2.4655</v>
      </c>
      <c r="V2372">
        <v>-0.24234459999999999</v>
      </c>
      <c r="W2372">
        <v>0.39713949999999998</v>
      </c>
      <c r="X2372">
        <v>0.88518319999999995</v>
      </c>
      <c r="Y2372">
        <v>-0.4182477</v>
      </c>
      <c r="Z2372">
        <v>6.9689879999999996E-2</v>
      </c>
      <c r="AA2372">
        <v>0.90565569999999895</v>
      </c>
      <c r="AB2372">
        <v>21</v>
      </c>
      <c r="AC2372">
        <v>9.5091000000000392</v>
      </c>
      <c r="AD2372">
        <v>-1.113253363738</v>
      </c>
      <c r="AE2372">
        <v>-9.7848000000000095</v>
      </c>
      <c r="AF2372">
        <v>-5.7668419418029497</v>
      </c>
      <c r="AG2372">
        <v>-1.113253363738</v>
      </c>
      <c r="AH2372">
        <v>12.2659975221453</v>
      </c>
      <c r="AI2372">
        <v>94.6954273261899</v>
      </c>
      <c r="AJ2372">
        <v>115.18049924537</v>
      </c>
      <c r="AK2372">
        <v>13.5996505192923</v>
      </c>
      <c r="AL2372">
        <v>66.600523645745099</v>
      </c>
      <c r="AM2372">
        <v>105.311193162442</v>
      </c>
      <c r="AN2372">
        <v>0.99999999258582495</v>
      </c>
    </row>
    <row r="2373" spans="1:40" x14ac:dyDescent="0.25">
      <c r="A2373" t="str">
        <f>"20190304164646970"</f>
        <v>20190304164646970</v>
      </c>
      <c r="B2373" t="str">
        <f>"1551689206960874"</f>
        <v>1551689206960874</v>
      </c>
      <c r="C2373" t="s">
        <v>40</v>
      </c>
      <c r="D2373">
        <v>4.0908410000000002</v>
      </c>
      <c r="E2373">
        <v>0.42657119999999998</v>
      </c>
      <c r="F2373" t="s">
        <v>45</v>
      </c>
      <c r="G2373">
        <v>-480.47039999999998</v>
      </c>
      <c r="H2373" s="1">
        <v>2.6413910000000002E-6</v>
      </c>
      <c r="I2373">
        <v>223.18639999999999</v>
      </c>
      <c r="J2373">
        <v>-489.8614</v>
      </c>
      <c r="K2373">
        <v>1.1132709999999999</v>
      </c>
      <c r="L2373">
        <v>232.79580000000001</v>
      </c>
      <c r="M2373">
        <v>0.32875670000000001</v>
      </c>
      <c r="N2373">
        <v>-1.3725060000000001E-2</v>
      </c>
      <c r="O2373">
        <v>-0.94431500000000002</v>
      </c>
      <c r="P2373">
        <v>0.52012599999999998</v>
      </c>
      <c r="Q2373">
        <v>0.38693699999999998</v>
      </c>
      <c r="R2373">
        <v>-0.76141210000000004</v>
      </c>
      <c r="S2373">
        <v>2.375305</v>
      </c>
      <c r="T2373">
        <v>-0.27949879999999999</v>
      </c>
      <c r="U2373">
        <v>-2.46048</v>
      </c>
      <c r="V2373">
        <v>-0.2428061</v>
      </c>
      <c r="W2373">
        <v>0.39794020000000002</v>
      </c>
      <c r="X2373">
        <v>0.88469699999999996</v>
      </c>
      <c r="Y2373">
        <v>-0.41734329999999997</v>
      </c>
      <c r="Z2373">
        <v>7.0866070000000003E-2</v>
      </c>
      <c r="AA2373">
        <v>0.9059815</v>
      </c>
      <c r="AB2373">
        <v>21</v>
      </c>
      <c r="AC2373">
        <v>9.3910000000000196</v>
      </c>
      <c r="AD2373">
        <v>-1.113268358609</v>
      </c>
      <c r="AE2373">
        <v>-9.6094000000000204</v>
      </c>
      <c r="AF2373">
        <v>-5.6705161928659402</v>
      </c>
      <c r="AG2373">
        <v>-1.113268358609</v>
      </c>
      <c r="AH2373">
        <v>12.079869869266799</v>
      </c>
      <c r="AI2373">
        <v>94.768841186129407</v>
      </c>
      <c r="AJ2373">
        <v>115.14623611571</v>
      </c>
      <c r="AK2373">
        <v>13.3909438199947</v>
      </c>
      <c r="AL2373">
        <v>66.550526403577805</v>
      </c>
      <c r="AM2373">
        <v>105.3470107742</v>
      </c>
      <c r="AN2373">
        <v>0.999999993391125</v>
      </c>
    </row>
    <row r="2374" spans="1:40" x14ac:dyDescent="0.25">
      <c r="A2374" t="str">
        <f>"20190304164646994"</f>
        <v>20190304164646994</v>
      </c>
      <c r="B2374" t="str">
        <f>"1551689206991130"</f>
        <v>1551689206991130</v>
      </c>
      <c r="C2374" t="s">
        <v>40</v>
      </c>
      <c r="D2374">
        <v>4.110252</v>
      </c>
      <c r="E2374">
        <v>0.42614209999999902</v>
      </c>
      <c r="F2374" t="s">
        <v>45</v>
      </c>
      <c r="G2374">
        <v>-480.38420000000002</v>
      </c>
      <c r="H2374" s="1">
        <v>2.5951919999999999E-6</v>
      </c>
      <c r="I2374">
        <v>223.04650000000001</v>
      </c>
      <c r="J2374">
        <v>-489.78559999999999</v>
      </c>
      <c r="K2374">
        <v>1.113299</v>
      </c>
      <c r="L2374">
        <v>232.59119999999999</v>
      </c>
      <c r="M2374">
        <v>0.33223340000000001</v>
      </c>
      <c r="N2374">
        <v>-1.372137E-2</v>
      </c>
      <c r="O2374">
        <v>-0.94309759999999998</v>
      </c>
      <c r="P2374">
        <v>0.52327729999999995</v>
      </c>
      <c r="Q2374">
        <v>0.38699879999999998</v>
      </c>
      <c r="R2374">
        <v>-0.75921859999999997</v>
      </c>
      <c r="S2374">
        <v>2.384827</v>
      </c>
      <c r="T2374">
        <v>-0.28014289999999997</v>
      </c>
      <c r="U2374">
        <v>-2.4533230000000001</v>
      </c>
      <c r="V2374">
        <v>-0.24325079999999999</v>
      </c>
      <c r="W2374">
        <v>0.3979801</v>
      </c>
      <c r="X2374">
        <v>0.88455689999999998</v>
      </c>
      <c r="Y2374">
        <v>-0.41711939999999997</v>
      </c>
      <c r="Z2374">
        <v>7.1009329999999996E-2</v>
      </c>
      <c r="AA2374">
        <v>0.90607349999999998</v>
      </c>
      <c r="AB2374">
        <v>21</v>
      </c>
      <c r="AC2374">
        <v>9.4013999999999598</v>
      </c>
      <c r="AD2374">
        <v>-1.1132964048080001</v>
      </c>
      <c r="AE2374">
        <v>-9.5446999999999704</v>
      </c>
      <c r="AF2374">
        <v>-5.6568421532180402</v>
      </c>
      <c r="AG2374">
        <v>-1.1132964048080001</v>
      </c>
      <c r="AH2374">
        <v>12.043020422946899</v>
      </c>
      <c r="AI2374">
        <v>94.7829341378674</v>
      </c>
      <c r="AJ2374">
        <v>115.160361904141</v>
      </c>
      <c r="AK2374">
        <v>13.3519149540019</v>
      </c>
      <c r="AL2374">
        <v>66.548034901107599</v>
      </c>
      <c r="AM2374">
        <v>105.37610988383599</v>
      </c>
      <c r="AN2374">
        <v>1.0000000105171301</v>
      </c>
    </row>
    <row r="2375" spans="1:40" x14ac:dyDescent="0.25">
      <c r="A2375" t="str">
        <f>"20190304164647016"</f>
        <v>20190304164647016</v>
      </c>
      <c r="B2375" t="str">
        <f>"1551689207010650"</f>
        <v>1551689207010650</v>
      </c>
      <c r="C2375" t="s">
        <v>40</v>
      </c>
      <c r="D2375">
        <v>4.0942959999999999</v>
      </c>
      <c r="E2375">
        <v>0.4258594</v>
      </c>
      <c r="F2375" t="s">
        <v>45</v>
      </c>
      <c r="G2375">
        <v>-480.36189999999999</v>
      </c>
      <c r="H2375" s="1">
        <v>2.5787290000000001E-6</v>
      </c>
      <c r="I2375">
        <v>222.99</v>
      </c>
      <c r="J2375">
        <v>-489.7124</v>
      </c>
      <c r="K2375">
        <v>1.1133309999999901</v>
      </c>
      <c r="L2375">
        <v>232.39590000000001</v>
      </c>
      <c r="M2375">
        <v>0.33559830000000002</v>
      </c>
      <c r="N2375">
        <v>-1.371869E-2</v>
      </c>
      <c r="O2375">
        <v>-0.94190549999999995</v>
      </c>
      <c r="P2375">
        <v>0.52528069999999905</v>
      </c>
      <c r="Q2375">
        <v>0.3885303</v>
      </c>
      <c r="R2375">
        <v>-0.75705009999999995</v>
      </c>
      <c r="S2375">
        <v>2.3979189999999999</v>
      </c>
      <c r="T2375">
        <v>-0.28328500000000001</v>
      </c>
      <c r="U2375">
        <v>-2.4430999999999998</v>
      </c>
      <c r="V2375">
        <v>-0.24271980000000001</v>
      </c>
      <c r="W2375">
        <v>0.39948909999999999</v>
      </c>
      <c r="X2375">
        <v>0.88402239999999999</v>
      </c>
      <c r="Y2375">
        <v>-0.41819790000000001</v>
      </c>
      <c r="Z2375">
        <v>7.1901399999999893E-2</v>
      </c>
      <c r="AA2375">
        <v>0.90550580000000003</v>
      </c>
      <c r="AB2375">
        <v>21</v>
      </c>
      <c r="AC2375">
        <v>9.3505000000000091</v>
      </c>
      <c r="AD2375">
        <v>-1.113328421271</v>
      </c>
      <c r="AE2375">
        <v>-9.4059000000000008</v>
      </c>
      <c r="AF2375">
        <v>-5.6116713543116896</v>
      </c>
      <c r="AG2375">
        <v>-1.113328421271</v>
      </c>
      <c r="AH2375">
        <v>11.914650969694099</v>
      </c>
      <c r="AI2375">
        <v>94.832009166269998</v>
      </c>
      <c r="AJ2375">
        <v>115.21992688264299</v>
      </c>
      <c r="AK2375">
        <v>13.2170065934781</v>
      </c>
      <c r="AL2375">
        <v>66.453757035792606</v>
      </c>
      <c r="AM2375">
        <v>105.352968238085</v>
      </c>
      <c r="AN2375">
        <v>1.0000000230163</v>
      </c>
    </row>
    <row r="2376" spans="1:40" x14ac:dyDescent="0.25">
      <c r="A2376" t="str">
        <f>"20190304164647038"</f>
        <v>20190304164647038</v>
      </c>
      <c r="B2376" t="str">
        <f>"1551689207031146"</f>
        <v>1551689207031146</v>
      </c>
      <c r="C2376" t="s">
        <v>40</v>
      </c>
      <c r="D2376">
        <v>4.0836290000000002</v>
      </c>
      <c r="E2376">
        <v>0.42545959999999999</v>
      </c>
      <c r="F2376" t="s">
        <v>41</v>
      </c>
      <c r="G2376">
        <v>-489.00400000000002</v>
      </c>
      <c r="H2376">
        <v>1.031202</v>
      </c>
      <c r="I2376">
        <v>231.6797</v>
      </c>
      <c r="J2376">
        <v>-489.63549999999998</v>
      </c>
      <c r="K2376">
        <v>1.1133649999999999</v>
      </c>
      <c r="L2376">
        <v>232.19329999999999</v>
      </c>
      <c r="M2376">
        <v>0.33913199999999999</v>
      </c>
      <c r="N2376">
        <v>-1.371636E-2</v>
      </c>
      <c r="O2376">
        <v>-0.9406388</v>
      </c>
      <c r="P2376">
        <v>0.52780799999999894</v>
      </c>
      <c r="Q2376">
        <v>0.38949820000000002</v>
      </c>
      <c r="R2376">
        <v>-0.754791199999999</v>
      </c>
      <c r="S2376">
        <v>2.4085999999999999</v>
      </c>
      <c r="T2376">
        <v>-0.27920279999999997</v>
      </c>
      <c r="U2376">
        <v>-2.4348299999999998</v>
      </c>
      <c r="V2376">
        <v>-0.24255550000000001</v>
      </c>
      <c r="W2376">
        <v>0.4004336</v>
      </c>
      <c r="X2376">
        <v>0.88364010000000004</v>
      </c>
      <c r="Y2376">
        <v>-0.41840440000000001</v>
      </c>
      <c r="Z2376">
        <v>7.0655919999999997E-2</v>
      </c>
      <c r="AA2376">
        <v>0.90550850000000005</v>
      </c>
      <c r="AB2376">
        <v>21</v>
      </c>
      <c r="AC2376">
        <v>0.63149999999995998</v>
      </c>
      <c r="AD2376">
        <v>-8.2162999999999903E-2</v>
      </c>
      <c r="AE2376">
        <v>-0.51359999999999595</v>
      </c>
      <c r="AF2376">
        <v>-0.415639901309582</v>
      </c>
      <c r="AG2376">
        <v>-8.2162999999999903E-2</v>
      </c>
      <c r="AH2376">
        <v>0.69030626573487097</v>
      </c>
      <c r="AI2376">
        <v>95.822167911753596</v>
      </c>
      <c r="AJ2376">
        <v>121.05254187440001</v>
      </c>
      <c r="AK2376">
        <v>0.80995680541770998</v>
      </c>
      <c r="AL2376">
        <v>66.394713108275596</v>
      </c>
      <c r="AM2376">
        <v>105.349390581435</v>
      </c>
      <c r="AN2376">
        <v>1.0000000324586</v>
      </c>
    </row>
    <row r="2377" spans="1:40" x14ac:dyDescent="0.25">
      <c r="A2377" t="str">
        <f>"20190304164647060"</f>
        <v>20190304164647060</v>
      </c>
      <c r="B2377" t="str">
        <f>"1551689207050667"</f>
        <v>1551689207050667</v>
      </c>
      <c r="C2377" t="s">
        <v>40</v>
      </c>
      <c r="D2377">
        <v>4.0584220000000002</v>
      </c>
      <c r="E2377">
        <v>0.42500510000000002</v>
      </c>
      <c r="F2377" t="s">
        <v>41</v>
      </c>
      <c r="G2377">
        <v>-488.91129999999998</v>
      </c>
      <c r="H2377">
        <v>1.0304990000000001</v>
      </c>
      <c r="I2377">
        <v>231.4682</v>
      </c>
      <c r="J2377">
        <v>-489.56240000000003</v>
      </c>
      <c r="K2377">
        <v>1.1133879999999901</v>
      </c>
      <c r="L2377">
        <v>232.00290000000001</v>
      </c>
      <c r="M2377">
        <v>0.34248610000000002</v>
      </c>
      <c r="N2377">
        <v>-1.371433E-2</v>
      </c>
      <c r="O2377">
        <v>-0.9394228</v>
      </c>
      <c r="P2377">
        <v>0.53151119999999996</v>
      </c>
      <c r="Q2377">
        <v>0.38926810000000001</v>
      </c>
      <c r="R2377">
        <v>-0.75230739999999996</v>
      </c>
      <c r="S2377">
        <v>2.421783</v>
      </c>
      <c r="T2377">
        <v>-0.27703050000000001</v>
      </c>
      <c r="U2377">
        <v>-2.4240719999999998</v>
      </c>
      <c r="V2377">
        <v>-0.24373400000000001</v>
      </c>
      <c r="W2377">
        <v>0.4001789</v>
      </c>
      <c r="X2377">
        <v>0.88343110000000002</v>
      </c>
      <c r="Y2377">
        <v>-0.41967650000000001</v>
      </c>
      <c r="Z2377">
        <v>6.9991460000000005E-2</v>
      </c>
      <c r="AA2377">
        <v>0.90497119999999998</v>
      </c>
      <c r="AB2377">
        <v>21</v>
      </c>
      <c r="AC2377">
        <v>0.65110000000004198</v>
      </c>
      <c r="AD2377">
        <v>-8.2888999999999699E-2</v>
      </c>
      <c r="AE2377">
        <v>-0.53470000000001505</v>
      </c>
      <c r="AF2377">
        <v>-0.42446274191672401</v>
      </c>
      <c r="AG2377">
        <v>-8.2888999999999699E-2</v>
      </c>
      <c r="AH2377">
        <v>0.71841663957615198</v>
      </c>
      <c r="AI2377">
        <v>95.6728556469604</v>
      </c>
      <c r="AJ2377">
        <v>120.575905738503</v>
      </c>
      <c r="AK2377">
        <v>0.83854735919705403</v>
      </c>
      <c r="AL2377">
        <v>66.410636183262298</v>
      </c>
      <c r="AM2377">
        <v>105.423901221384</v>
      </c>
      <c r="AN2377">
        <v>0.99999996160420901</v>
      </c>
    </row>
    <row r="2378" spans="1:40" x14ac:dyDescent="0.25">
      <c r="A2378" t="str">
        <f>"20190304164647083"</f>
        <v>20190304164647083</v>
      </c>
      <c r="B2378" t="str">
        <f>"1551689207080922"</f>
        <v>1551689207080922</v>
      </c>
      <c r="C2378" t="s">
        <v>40</v>
      </c>
      <c r="D2378">
        <v>4.067755</v>
      </c>
      <c r="E2378">
        <v>0.42428850000000001</v>
      </c>
      <c r="F2378" t="s">
        <v>41</v>
      </c>
      <c r="G2378">
        <v>-488.83139999999997</v>
      </c>
      <c r="H2378">
        <v>1.029274</v>
      </c>
      <c r="I2378">
        <v>231.27869999999999</v>
      </c>
      <c r="J2378">
        <v>-489.48329999999999</v>
      </c>
      <c r="K2378">
        <v>1.1134139999999999</v>
      </c>
      <c r="L2378">
        <v>231.79910000000001</v>
      </c>
      <c r="M2378">
        <v>0.34611510000000001</v>
      </c>
      <c r="N2378">
        <v>-1.3712520000000001E-2</v>
      </c>
      <c r="O2378">
        <v>-0.93809189999999998</v>
      </c>
      <c r="P2378">
        <v>0.53664799999999901</v>
      </c>
      <c r="Q2378">
        <v>0.38774900000000001</v>
      </c>
      <c r="R2378">
        <v>-0.74943979999999999</v>
      </c>
      <c r="S2378">
        <v>2.4352719999999999</v>
      </c>
      <c r="T2378">
        <v>-0.28018149999999997</v>
      </c>
      <c r="U2378">
        <v>-2.41214</v>
      </c>
      <c r="V2378">
        <v>-0.24612220000000001</v>
      </c>
      <c r="W2378">
        <v>0.39863270000000001</v>
      </c>
      <c r="X2378">
        <v>0.88346809999999998</v>
      </c>
      <c r="Y2378">
        <v>-0.42086489999999999</v>
      </c>
      <c r="Z2378">
        <v>7.0900370000000004E-2</v>
      </c>
      <c r="AA2378">
        <v>0.90434829999999999</v>
      </c>
      <c r="AB2378">
        <v>21</v>
      </c>
      <c r="AC2378">
        <v>0.65190000000001103</v>
      </c>
      <c r="AD2378">
        <v>-8.4139999999999798E-2</v>
      </c>
      <c r="AE2378">
        <v>-0.52040000000002296</v>
      </c>
      <c r="AF2378">
        <v>-0.42711849862483497</v>
      </c>
      <c r="AG2378">
        <v>-8.4139999999999798E-2</v>
      </c>
      <c r="AH2378">
        <v>0.70669207107244503</v>
      </c>
      <c r="AI2378">
        <v>95.818168549525097</v>
      </c>
      <c r="AJ2378">
        <v>121.148397918648</v>
      </c>
      <c r="AK2378">
        <v>0.83001411721981899</v>
      </c>
      <c r="AL2378">
        <v>66.507270888701001</v>
      </c>
      <c r="AM2378">
        <v>105.567113999</v>
      </c>
      <c r="AN2378">
        <v>1.00000002527986</v>
      </c>
    </row>
    <row r="2379" spans="1:40" x14ac:dyDescent="0.25">
      <c r="A2379" t="str">
        <f>"20190304164647107"</f>
        <v>20190304164647107</v>
      </c>
      <c r="B2379" t="str">
        <f>"1551689207100441"</f>
        <v>1551689207100441</v>
      </c>
      <c r="C2379" t="s">
        <v>40</v>
      </c>
      <c r="D2379">
        <v>4.059571</v>
      </c>
      <c r="E2379">
        <v>0.42380820000000002</v>
      </c>
      <c r="F2379" t="s">
        <v>45</v>
      </c>
      <c r="G2379">
        <v>-480.08920000000001</v>
      </c>
      <c r="H2379" s="1">
        <v>2.4461160000000002E-6</v>
      </c>
      <c r="I2379">
        <v>222.60890000000001</v>
      </c>
      <c r="J2379">
        <v>-489.40190000000001</v>
      </c>
      <c r="K2379">
        <v>1.113437</v>
      </c>
      <c r="L2379">
        <v>231.59209999999999</v>
      </c>
      <c r="M2379">
        <v>0.34985260000000001</v>
      </c>
      <c r="N2379">
        <v>-1.3710999999999999E-2</v>
      </c>
      <c r="O2379">
        <v>-0.93670439999999999</v>
      </c>
      <c r="P2379">
        <v>0.54207430000000001</v>
      </c>
      <c r="Q2379">
        <v>0.38631290000000001</v>
      </c>
      <c r="R2379">
        <v>-0.74626930000000002</v>
      </c>
      <c r="S2379">
        <v>2.451263</v>
      </c>
      <c r="T2379">
        <v>-0.29053119999999999</v>
      </c>
      <c r="U2379">
        <v>-2.3980709999999998</v>
      </c>
      <c r="V2379">
        <v>-0.24878549999999999</v>
      </c>
      <c r="W2379">
        <v>0.3971654</v>
      </c>
      <c r="X2379">
        <v>0.88338300000000003</v>
      </c>
      <c r="Y2379">
        <v>-0.42268119999999998</v>
      </c>
      <c r="Z2379">
        <v>7.3921039999999993E-2</v>
      </c>
      <c r="AA2379">
        <v>0.90325869999999997</v>
      </c>
      <c r="AB2379">
        <v>21</v>
      </c>
      <c r="AC2379">
        <v>9.3126999999999995</v>
      </c>
      <c r="AD2379">
        <v>-1.113434553884</v>
      </c>
      <c r="AE2379">
        <v>-8.9831999999999805</v>
      </c>
      <c r="AF2379">
        <v>-5.5399538672095598</v>
      </c>
      <c r="AG2379">
        <v>-1.113434553884</v>
      </c>
      <c r="AH2379">
        <v>11.587966694594501</v>
      </c>
      <c r="AI2379">
        <v>94.954476479884093</v>
      </c>
      <c r="AJ2379">
        <v>115.551445116728</v>
      </c>
      <c r="AK2379">
        <v>12.8923154426047</v>
      </c>
      <c r="AL2379">
        <v>66.598908176480705</v>
      </c>
      <c r="AM2379">
        <v>105.72871282910501</v>
      </c>
      <c r="AN2379">
        <v>1.0000000523282</v>
      </c>
    </row>
    <row r="2380" spans="1:40" x14ac:dyDescent="0.25">
      <c r="A2380" t="str">
        <f>"20190304164647128"</f>
        <v>20190304164647128</v>
      </c>
      <c r="B2380" t="str">
        <f>"1551689207120939"</f>
        <v>1551689207120939</v>
      </c>
      <c r="C2380" t="s">
        <v>40</v>
      </c>
      <c r="D2380">
        <v>4.0613080000000004</v>
      </c>
      <c r="E2380">
        <v>0.42332730000000002</v>
      </c>
      <c r="F2380" t="s">
        <v>45</v>
      </c>
      <c r="G2380">
        <v>-480.18740000000003</v>
      </c>
      <c r="H2380" s="1">
        <v>2.4841870000000001E-6</v>
      </c>
      <c r="I2380">
        <v>222.70230000000001</v>
      </c>
      <c r="J2380">
        <v>-489.32729999999998</v>
      </c>
      <c r="K2380">
        <v>1.1134770000000001</v>
      </c>
      <c r="L2380">
        <v>231.40450000000001</v>
      </c>
      <c r="M2380">
        <v>0.35329569999999999</v>
      </c>
      <c r="N2380">
        <v>-1.3710379999999999E-2</v>
      </c>
      <c r="O2380">
        <v>-0.93541129999999995</v>
      </c>
      <c r="P2380">
        <v>0.54597839999999997</v>
      </c>
      <c r="Q2380">
        <v>0.38583919999999999</v>
      </c>
      <c r="R2380">
        <v>-0.74366390000000004</v>
      </c>
      <c r="S2380">
        <v>2.4684140000000001</v>
      </c>
      <c r="T2380">
        <v>-0.29827229999999999</v>
      </c>
      <c r="U2380">
        <v>-2.381424</v>
      </c>
      <c r="V2380">
        <v>-0.250114</v>
      </c>
      <c r="W2380">
        <v>0.3966634</v>
      </c>
      <c r="X2380">
        <v>0.88323339999999995</v>
      </c>
      <c r="Y2380">
        <v>-0.42550320000000003</v>
      </c>
      <c r="Z2380">
        <v>7.6214160000000003E-2</v>
      </c>
      <c r="AA2380">
        <v>0.90174189999999999</v>
      </c>
      <c r="AB2380">
        <v>21</v>
      </c>
      <c r="AC2380">
        <v>9.1398999999999493</v>
      </c>
      <c r="AD2380">
        <v>-1.1134745158129999</v>
      </c>
      <c r="AE2380">
        <v>-8.7021999999999995</v>
      </c>
      <c r="AF2380">
        <v>-5.4333337872276699</v>
      </c>
      <c r="AG2380">
        <v>-1.1134745158129999</v>
      </c>
      <c r="AH2380">
        <v>11.282461915721701</v>
      </c>
      <c r="AI2380">
        <v>95.081224405962004</v>
      </c>
      <c r="AJ2380">
        <v>115.71423002608</v>
      </c>
      <c r="AK2380">
        <v>12.571988244526199</v>
      </c>
      <c r="AL2380">
        <v>66.630244783704597</v>
      </c>
      <c r="AM2380">
        <v>105.811059071606</v>
      </c>
      <c r="AN2380">
        <v>1.0000000523855499</v>
      </c>
    </row>
    <row r="2381" spans="1:40" x14ac:dyDescent="0.25">
      <c r="A2381" t="str">
        <f>"20190304164647149"</f>
        <v>20190304164647149</v>
      </c>
      <c r="B2381" t="str">
        <f>"1551689207140459"</f>
        <v>1551689207140459</v>
      </c>
      <c r="C2381" t="s">
        <v>40</v>
      </c>
      <c r="D2381">
        <v>4.0499559999999999</v>
      </c>
      <c r="E2381">
        <v>0.42283150000000003</v>
      </c>
      <c r="F2381" t="s">
        <v>45</v>
      </c>
      <c r="G2381">
        <v>-480.13310000000001</v>
      </c>
      <c r="H2381" s="1">
        <v>2.4631600000000001E-6</v>
      </c>
      <c r="I2381">
        <v>222.6508</v>
      </c>
      <c r="J2381">
        <v>-489.2559</v>
      </c>
      <c r="K2381">
        <v>1.1135189999999999</v>
      </c>
      <c r="L2381">
        <v>231.2268</v>
      </c>
      <c r="M2381">
        <v>0.356626</v>
      </c>
      <c r="N2381">
        <v>-1.3710979999999999E-2</v>
      </c>
      <c r="O2381">
        <v>-0.93414660000000005</v>
      </c>
      <c r="P2381">
        <v>0.54838140000000002</v>
      </c>
      <c r="Q2381">
        <v>0.38533299999999998</v>
      </c>
      <c r="R2381">
        <v>-0.74215640000000005</v>
      </c>
      <c r="S2381">
        <v>2.4849549999999998</v>
      </c>
      <c r="T2381">
        <v>-0.30094219999999999</v>
      </c>
      <c r="U2381">
        <v>-2.365875</v>
      </c>
      <c r="V2381">
        <v>-0.24976789999999999</v>
      </c>
      <c r="W2381">
        <v>0.3961385</v>
      </c>
      <c r="X2381">
        <v>0.88356679999999999</v>
      </c>
      <c r="Y2381">
        <v>-0.4281895</v>
      </c>
      <c r="Z2381">
        <v>7.7004569999999994E-2</v>
      </c>
      <c r="AA2381">
        <v>0.90040219999999904</v>
      </c>
      <c r="AB2381">
        <v>21</v>
      </c>
      <c r="AC2381">
        <v>9.1227999999999803</v>
      </c>
      <c r="AD2381">
        <v>-1.11351653684</v>
      </c>
      <c r="AE2381">
        <v>-8.5759999999999899</v>
      </c>
      <c r="AF2381">
        <v>-5.4212451416629204</v>
      </c>
      <c r="AG2381">
        <v>-1.11351653684</v>
      </c>
      <c r="AH2381">
        <v>11.1773266545946</v>
      </c>
      <c r="AI2381">
        <v>95.122070351067705</v>
      </c>
      <c r="AJ2381">
        <v>115.874388309737</v>
      </c>
      <c r="AK2381">
        <v>12.4724676430661</v>
      </c>
      <c r="AL2381">
        <v>66.663001738087303</v>
      </c>
      <c r="AM2381">
        <v>105.784610793147</v>
      </c>
      <c r="AN2381">
        <v>1.00000000255745</v>
      </c>
    </row>
    <row r="2382" spans="1:40" x14ac:dyDescent="0.25">
      <c r="A2382" t="str">
        <f>"20190304164647170"</f>
        <v>20190304164647170</v>
      </c>
      <c r="B2382" t="str">
        <f>"1551689207160954"</f>
        <v>1551689207160954</v>
      </c>
      <c r="C2382" t="s">
        <v>40</v>
      </c>
      <c r="D2382">
        <v>4.0599809999999996</v>
      </c>
      <c r="E2382">
        <v>0.42236299999999999</v>
      </c>
      <c r="F2382" t="s">
        <v>45</v>
      </c>
      <c r="G2382">
        <v>-480.04700000000003</v>
      </c>
      <c r="H2382" s="1">
        <v>2.4276319999999999E-6</v>
      </c>
      <c r="I2382">
        <v>222.5592</v>
      </c>
      <c r="J2382">
        <v>-489.17919999999998</v>
      </c>
      <c r="K2382">
        <v>1.113577</v>
      </c>
      <c r="L2382">
        <v>231.03829999999999</v>
      </c>
      <c r="M2382">
        <v>0.360247599999999</v>
      </c>
      <c r="N2382">
        <v>-1.371291E-2</v>
      </c>
      <c r="O2382">
        <v>-0.93275589999999997</v>
      </c>
      <c r="P2382">
        <v>0.55050639999999995</v>
      </c>
      <c r="Q2382">
        <v>0.38462030000000003</v>
      </c>
      <c r="R2382">
        <v>-0.74095200000000006</v>
      </c>
      <c r="S2382">
        <v>2.4993590000000001</v>
      </c>
      <c r="T2382">
        <v>-0.30221870000000001</v>
      </c>
      <c r="U2382">
        <v>-2.3524630000000002</v>
      </c>
      <c r="V2382">
        <v>-0.2487905</v>
      </c>
      <c r="W2382">
        <v>0.39540370000000002</v>
      </c>
      <c r="X2382">
        <v>0.8841715</v>
      </c>
      <c r="Y2382">
        <v>-0.42981599999999998</v>
      </c>
      <c r="Z2382">
        <v>7.7359750000000005E-2</v>
      </c>
      <c r="AA2382">
        <v>0.89959639999999996</v>
      </c>
      <c r="AB2382">
        <v>21</v>
      </c>
      <c r="AC2382">
        <v>9.1322000000000099</v>
      </c>
      <c r="AD2382">
        <v>-1.1135745723679999</v>
      </c>
      <c r="AE2382">
        <v>-8.4790999999999794</v>
      </c>
      <c r="AF2382">
        <v>-5.4207657062949099</v>
      </c>
      <c r="AG2382">
        <v>-1.1135745723679999</v>
      </c>
      <c r="AH2382">
        <v>11.1111119745316</v>
      </c>
      <c r="AI2382">
        <v>95.146960876368695</v>
      </c>
      <c r="AJ2382">
        <v>116.00630774896899</v>
      </c>
      <c r="AK2382">
        <v>12.412959295886999</v>
      </c>
      <c r="AL2382">
        <v>66.708846324270098</v>
      </c>
      <c r="AM2382">
        <v>105.71567956126</v>
      </c>
      <c r="AN2382">
        <v>1.0000000201380901</v>
      </c>
    </row>
    <row r="2383" spans="1:40" x14ac:dyDescent="0.25">
      <c r="A2383" t="str">
        <f>"20190304164647196"</f>
        <v>20190304164647196</v>
      </c>
      <c r="B2383" t="str">
        <f>"1551689207191209"</f>
        <v>1551689207191209</v>
      </c>
      <c r="C2383" t="s">
        <v>40</v>
      </c>
      <c r="D2383">
        <v>4.065734</v>
      </c>
      <c r="E2383">
        <v>0.4217109</v>
      </c>
      <c r="F2383" t="s">
        <v>45</v>
      </c>
      <c r="G2383">
        <v>-479.9828</v>
      </c>
      <c r="H2383" s="1">
        <v>2.3973919999999999E-6</v>
      </c>
      <c r="I2383">
        <v>222.47399999999999</v>
      </c>
      <c r="J2383">
        <v>-489.09120000000001</v>
      </c>
      <c r="K2383">
        <v>1.113675</v>
      </c>
      <c r="L2383">
        <v>230.82509999999999</v>
      </c>
      <c r="M2383">
        <v>0.36449090000000001</v>
      </c>
      <c r="N2383">
        <v>-1.3716910000000001E-2</v>
      </c>
      <c r="O2383">
        <v>-0.93110590000000004</v>
      </c>
      <c r="P2383">
        <v>0.55358609999999997</v>
      </c>
      <c r="Q2383">
        <v>0.384189</v>
      </c>
      <c r="R2383">
        <v>-0.73887849999999999</v>
      </c>
      <c r="S2383">
        <v>2.5126650000000001</v>
      </c>
      <c r="T2383">
        <v>-0.30425360000000001</v>
      </c>
      <c r="U2383">
        <v>-2.339966</v>
      </c>
      <c r="V2383">
        <v>-0.24844949999999999</v>
      </c>
      <c r="W2383">
        <v>0.39492500000000003</v>
      </c>
      <c r="X2383">
        <v>0.88448130000000003</v>
      </c>
      <c r="Y2383">
        <v>-0.430446</v>
      </c>
      <c r="Z2383">
        <v>7.791062E-2</v>
      </c>
      <c r="AA2383">
        <v>0.89924760000000004</v>
      </c>
      <c r="AB2383">
        <v>21</v>
      </c>
      <c r="AC2383">
        <v>9.1084000000000103</v>
      </c>
      <c r="AD2383">
        <v>-1.1136726026079999</v>
      </c>
      <c r="AE2383">
        <v>-8.3510999999999704</v>
      </c>
      <c r="AF2383">
        <v>-5.39368891990385</v>
      </c>
      <c r="AG2383">
        <v>-1.1136726026079999</v>
      </c>
      <c r="AH2383">
        <v>11.0073295936898</v>
      </c>
      <c r="AI2383">
        <v>95.191317782835</v>
      </c>
      <c r="AJ2383">
        <v>116.105262917548</v>
      </c>
      <c r="AK2383">
        <v>12.308267612243901</v>
      </c>
      <c r="AL2383">
        <v>66.738704395347298</v>
      </c>
      <c r="AM2383">
        <v>105.689974714263</v>
      </c>
      <c r="AN2383">
        <v>1.00000003986246</v>
      </c>
    </row>
    <row r="2384" spans="1:40" x14ac:dyDescent="0.25">
      <c r="A2384" t="str">
        <f>"20190304164647216"</f>
        <v>20190304164647216</v>
      </c>
      <c r="B2384" t="str">
        <f>"1551689207210730"</f>
        <v>1551689207210730</v>
      </c>
      <c r="C2384" t="s">
        <v>40</v>
      </c>
      <c r="D2384">
        <v>4.0768069999999996</v>
      </c>
      <c r="E2384">
        <v>0.42126229999999998</v>
      </c>
      <c r="F2384" t="s">
        <v>41</v>
      </c>
      <c r="G2384">
        <v>-488.35390000000001</v>
      </c>
      <c r="H2384">
        <v>1.023833</v>
      </c>
      <c r="I2384">
        <v>230.14529999999999</v>
      </c>
      <c r="J2384">
        <v>-489.01580000000001</v>
      </c>
      <c r="K2384">
        <v>1.1137729999999999</v>
      </c>
      <c r="L2384">
        <v>230.64529999999999</v>
      </c>
      <c r="M2384">
        <v>0.36822270000000001</v>
      </c>
      <c r="N2384">
        <v>-1.372193E-2</v>
      </c>
      <c r="O2384">
        <v>-0.92963640000000003</v>
      </c>
      <c r="P2384">
        <v>0.55577749999999904</v>
      </c>
      <c r="Q2384">
        <v>0.3847564</v>
      </c>
      <c r="R2384">
        <v>-0.73693560000000002</v>
      </c>
      <c r="S2384">
        <v>2.5256959999999999</v>
      </c>
      <c r="T2384">
        <v>-0.30764750000000002</v>
      </c>
      <c r="U2384">
        <v>-2.3278500000000002</v>
      </c>
      <c r="V2384">
        <v>-0.2477258</v>
      </c>
      <c r="W2384">
        <v>0.39544400000000002</v>
      </c>
      <c r="X2384">
        <v>0.88445229999999997</v>
      </c>
      <c r="Y2384">
        <v>-0.43141299999999999</v>
      </c>
      <c r="Z2384">
        <v>7.8862050000000003E-2</v>
      </c>
      <c r="AA2384">
        <v>0.89870110000000003</v>
      </c>
      <c r="AB2384">
        <v>21</v>
      </c>
      <c r="AC2384">
        <v>0.66190000000000204</v>
      </c>
      <c r="AD2384">
        <v>-8.9939999999999895E-2</v>
      </c>
      <c r="AE2384">
        <v>-0.5</v>
      </c>
      <c r="AF2384">
        <v>-0.42624478057738702</v>
      </c>
      <c r="AG2384">
        <v>-8.9939999999999895E-2</v>
      </c>
      <c r="AH2384">
        <v>0.70037808700126403</v>
      </c>
      <c r="AI2384">
        <v>96.260206788995106</v>
      </c>
      <c r="AJ2384">
        <v>121.32437607495901</v>
      </c>
      <c r="AK2384">
        <v>0.82480499593601897</v>
      </c>
      <c r="AL2384">
        <v>66.706330688968393</v>
      </c>
      <c r="AM2384">
        <v>105.647001364838</v>
      </c>
      <c r="AN2384">
        <v>0.99999995004846298</v>
      </c>
    </row>
    <row r="2385" spans="1:40" x14ac:dyDescent="0.25">
      <c r="A2385" t="str">
        <f>"20190304164647239"</f>
        <v>20190304164647239</v>
      </c>
      <c r="B2385" t="str">
        <f>"1551689207231226"</f>
        <v>1551689207231226</v>
      </c>
      <c r="C2385" t="s">
        <v>40</v>
      </c>
      <c r="D2385">
        <v>4.0857000000000001</v>
      </c>
      <c r="E2385">
        <v>0.42105569999999998</v>
      </c>
      <c r="F2385" t="s">
        <v>41</v>
      </c>
      <c r="G2385">
        <v>-488.28250000000003</v>
      </c>
      <c r="H2385">
        <v>1.0249729999999999</v>
      </c>
      <c r="I2385">
        <v>229.97450000000001</v>
      </c>
      <c r="J2385">
        <v>-488.93560000000002</v>
      </c>
      <c r="K2385">
        <v>1.113874</v>
      </c>
      <c r="L2385">
        <v>230.45660000000001</v>
      </c>
      <c r="M2385">
        <v>0.37227979999999999</v>
      </c>
      <c r="N2385">
        <v>-1.372844E-2</v>
      </c>
      <c r="O2385">
        <v>-0.92801920000000004</v>
      </c>
      <c r="P2385">
        <v>0.55712589999999995</v>
      </c>
      <c r="Q2385">
        <v>0.38597710000000002</v>
      </c>
      <c r="R2385">
        <v>-0.73527739999999997</v>
      </c>
      <c r="S2385">
        <v>2.5347599999999999</v>
      </c>
      <c r="T2385">
        <v>-0.30700809999999901</v>
      </c>
      <c r="U2385">
        <v>-2.3194889999999999</v>
      </c>
      <c r="V2385">
        <v>-0.245807</v>
      </c>
      <c r="W2385">
        <v>0.39662540000000002</v>
      </c>
      <c r="X2385">
        <v>0.88445869999999904</v>
      </c>
      <c r="Y2385">
        <v>-0.43070599999999998</v>
      </c>
      <c r="Z2385">
        <v>7.8600669999999997E-2</v>
      </c>
      <c r="AA2385">
        <v>0.89906299999999995</v>
      </c>
      <c r="AB2385">
        <v>21</v>
      </c>
      <c r="AC2385">
        <v>0.65309999999999402</v>
      </c>
      <c r="AD2385">
        <v>-8.8901000000000105E-2</v>
      </c>
      <c r="AE2385">
        <v>-0.48210000000000203</v>
      </c>
      <c r="AF2385">
        <v>-0.42159686132802499</v>
      </c>
      <c r="AG2385">
        <v>-8.8901000000000105E-2</v>
      </c>
      <c r="AH2385">
        <v>0.68241426113699899</v>
      </c>
      <c r="AI2385">
        <v>96.324246545490595</v>
      </c>
      <c r="AJ2385">
        <v>121.707853181242</v>
      </c>
      <c r="AK2385">
        <v>0.80705422685579098</v>
      </c>
      <c r="AL2385">
        <v>66.632615045963107</v>
      </c>
      <c r="AM2385">
        <v>105.531569778727</v>
      </c>
      <c r="AN2385">
        <v>0.99999999058992495</v>
      </c>
    </row>
    <row r="2386" spans="1:40" x14ac:dyDescent="0.25">
      <c r="A2386" t="str">
        <f>"20190304164647260"</f>
        <v>20190304164647260</v>
      </c>
      <c r="B2386" t="str">
        <f>"1551689207250747"</f>
        <v>1551689207250747</v>
      </c>
      <c r="C2386" t="s">
        <v>40</v>
      </c>
      <c r="D2386">
        <v>4.11287</v>
      </c>
      <c r="E2386">
        <v>0.4199331</v>
      </c>
      <c r="F2386" t="s">
        <v>41</v>
      </c>
      <c r="G2386">
        <v>-488.21030000000002</v>
      </c>
      <c r="H2386">
        <v>1.0269170000000001</v>
      </c>
      <c r="I2386">
        <v>229.79640000000001</v>
      </c>
      <c r="J2386">
        <v>-488.85590000000002</v>
      </c>
      <c r="K2386">
        <v>1.1139779999999999</v>
      </c>
      <c r="L2386">
        <v>230.27170000000001</v>
      </c>
      <c r="M2386">
        <v>0.3764093</v>
      </c>
      <c r="N2386">
        <v>-1.3735209999999999E-2</v>
      </c>
      <c r="O2386">
        <v>-0.92635160000000005</v>
      </c>
      <c r="P2386">
        <v>0.5584713</v>
      </c>
      <c r="Q2386">
        <v>0.38792199999999999</v>
      </c>
      <c r="R2386">
        <v>-0.7332301</v>
      </c>
      <c r="S2386">
        <v>2.5424500000000001</v>
      </c>
      <c r="T2386">
        <v>-0.3047646</v>
      </c>
      <c r="U2386">
        <v>-2.313599</v>
      </c>
      <c r="V2386">
        <v>-0.2439615</v>
      </c>
      <c r="W2386">
        <v>0.39852769999999998</v>
      </c>
      <c r="X2386">
        <v>0.88411450000000003</v>
      </c>
      <c r="Y2386">
        <v>-0.42923099999999997</v>
      </c>
      <c r="Z2386">
        <v>7.7834360000000005E-2</v>
      </c>
      <c r="AA2386">
        <v>0.89983480000000005</v>
      </c>
      <c r="AB2386">
        <v>21</v>
      </c>
      <c r="AC2386">
        <v>0.64560000000000095</v>
      </c>
      <c r="AD2386">
        <v>-8.7060999999999999E-2</v>
      </c>
      <c r="AE2386">
        <v>-0.475300000000004</v>
      </c>
      <c r="AF2386">
        <v>-0.41429889508103501</v>
      </c>
      <c r="AG2386">
        <v>-8.7060999999999999E-2</v>
      </c>
      <c r="AH2386">
        <v>0.67540406359369098</v>
      </c>
      <c r="AI2386">
        <v>96.270353640486505</v>
      </c>
      <c r="AJ2386">
        <v>121.525325217081</v>
      </c>
      <c r="AK2386">
        <v>0.79711595223357401</v>
      </c>
      <c r="AL2386">
        <v>66.513829768475802</v>
      </c>
      <c r="AM2386">
        <v>105.426247049409</v>
      </c>
      <c r="AN2386">
        <v>0.99999999512989501</v>
      </c>
    </row>
    <row r="2387" spans="1:40" x14ac:dyDescent="0.25">
      <c r="A2387" t="str">
        <f>"20190304164647284"</f>
        <v>20190304164647284</v>
      </c>
      <c r="B2387" t="str">
        <f>"1551689207281002"</f>
        <v>1551689207281002</v>
      </c>
      <c r="C2387" t="s">
        <v>40</v>
      </c>
      <c r="D2387">
        <v>4.093432</v>
      </c>
      <c r="E2387">
        <v>0.4193442</v>
      </c>
      <c r="F2387" t="s">
        <v>41</v>
      </c>
      <c r="G2387">
        <v>-488.11309999999997</v>
      </c>
      <c r="H2387">
        <v>0.99285659999999998</v>
      </c>
      <c r="I2387">
        <v>229.59899999999999</v>
      </c>
      <c r="J2387">
        <v>-488.76659999999998</v>
      </c>
      <c r="K2387">
        <v>1.114099</v>
      </c>
      <c r="L2387">
        <v>230.0677</v>
      </c>
      <c r="M2387">
        <v>0.38115959999999899</v>
      </c>
      <c r="N2387">
        <v>-1.374352E-2</v>
      </c>
      <c r="O2387">
        <v>-0.92440730000000004</v>
      </c>
      <c r="P2387">
        <v>0.5608938</v>
      </c>
      <c r="Q2387">
        <v>0.38893060000000002</v>
      </c>
      <c r="R2387">
        <v>-0.73084289999999996</v>
      </c>
      <c r="S2387">
        <v>2.5883790000000002</v>
      </c>
      <c r="T2387">
        <v>-0.4219986</v>
      </c>
      <c r="U2387">
        <v>-2.3432770000000001</v>
      </c>
      <c r="V2387">
        <v>-0.24265110000000001</v>
      </c>
      <c r="W2387">
        <v>0.3994896</v>
      </c>
      <c r="X2387">
        <v>0.88404099999999997</v>
      </c>
      <c r="Y2387">
        <v>-0.42447279999999998</v>
      </c>
      <c r="Z2387">
        <v>0.1097651</v>
      </c>
      <c r="AA2387">
        <v>0.89876279999999997</v>
      </c>
      <c r="AB2387">
        <v>21</v>
      </c>
      <c r="AC2387">
        <v>0.65350000000000796</v>
      </c>
      <c r="AD2387">
        <v>-0.1212424</v>
      </c>
      <c r="AE2387">
        <v>-0.46869999999998402</v>
      </c>
      <c r="AF2387">
        <v>-0.41603476702456199</v>
      </c>
      <c r="AG2387">
        <v>-0.1212424</v>
      </c>
      <c r="AH2387">
        <v>0.66725584480738698</v>
      </c>
      <c r="AI2387">
        <v>98.765274024284594</v>
      </c>
      <c r="AJ2387">
        <v>121.943585586777</v>
      </c>
      <c r="AK2387">
        <v>0.79562240375731097</v>
      </c>
      <c r="AL2387">
        <v>66.453725043026793</v>
      </c>
      <c r="AM2387">
        <v>105.348519955429</v>
      </c>
      <c r="AN2387">
        <v>0.99999999326018496</v>
      </c>
    </row>
    <row r="2388" spans="1:40" x14ac:dyDescent="0.25">
      <c r="A2388" t="str">
        <f>"20190304164647308"</f>
        <v>20190304164647308</v>
      </c>
      <c r="B2388" t="str">
        <f>"1551689207300522"</f>
        <v>1551689207300522</v>
      </c>
      <c r="C2388" t="s">
        <v>40</v>
      </c>
      <c r="D2388">
        <v>4.0882430000000003</v>
      </c>
      <c r="E2388">
        <v>0.41866700000000001</v>
      </c>
      <c r="F2388" t="s">
        <v>45</v>
      </c>
      <c r="G2388">
        <v>-481.86450000000002</v>
      </c>
      <c r="H2388" s="1">
        <v>3.061053E-6</v>
      </c>
      <c r="I2388">
        <v>223.8792</v>
      </c>
      <c r="J2388">
        <v>-488.67989999999998</v>
      </c>
      <c r="K2388">
        <v>1.114206</v>
      </c>
      <c r="L2388">
        <v>229.87309999999999</v>
      </c>
      <c r="M2388">
        <v>0.38588689999999998</v>
      </c>
      <c r="N2388">
        <v>-1.375316E-2</v>
      </c>
      <c r="O2388">
        <v>-0.92244369999999998</v>
      </c>
      <c r="P2388">
        <v>0.56452250000000004</v>
      </c>
      <c r="Q2388">
        <v>0.38938070000000002</v>
      </c>
      <c r="R2388">
        <v>-0.72780290000000003</v>
      </c>
      <c r="S2388">
        <v>2.601013</v>
      </c>
      <c r="T2388">
        <v>-0.41983819999999999</v>
      </c>
      <c r="U2388">
        <v>-2.3320919999999998</v>
      </c>
      <c r="V2388">
        <v>-0.2427211</v>
      </c>
      <c r="W2388">
        <v>0.3998835</v>
      </c>
      <c r="X2388">
        <v>0.88384370000000001</v>
      </c>
      <c r="Y2388">
        <v>-0.42422339999999997</v>
      </c>
      <c r="Z2388">
        <v>0.10900559999999999</v>
      </c>
      <c r="AA2388">
        <v>0.89897289999999996</v>
      </c>
      <c r="AB2388">
        <v>21</v>
      </c>
      <c r="AC2388">
        <v>6.8153999999999497</v>
      </c>
      <c r="AD2388">
        <v>-1.1142029389470001</v>
      </c>
      <c r="AE2388">
        <v>-5.9938999999999902</v>
      </c>
      <c r="AF2388">
        <v>-3.91522664106758</v>
      </c>
      <c r="AG2388">
        <v>-1.1142029389470001</v>
      </c>
      <c r="AH2388">
        <v>8.0386341381049</v>
      </c>
      <c r="AI2388">
        <v>97.103108701902499</v>
      </c>
      <c r="AJ2388">
        <v>115.968454634813</v>
      </c>
      <c r="AK2388">
        <v>9.0105541808697396</v>
      </c>
      <c r="AL2388">
        <v>66.429104696211297</v>
      </c>
      <c r="AM2388">
        <v>105.356004229954</v>
      </c>
      <c r="AN2388">
        <v>1.00000001599357</v>
      </c>
    </row>
    <row r="2389" spans="1:40" x14ac:dyDescent="0.25">
      <c r="A2389" t="str">
        <f>"20190304164647330"</f>
        <v>20190304164647330</v>
      </c>
      <c r="B2389" t="str">
        <f>"1551689207321018"</f>
        <v>1551689207321018</v>
      </c>
      <c r="C2389" t="s">
        <v>40</v>
      </c>
      <c r="D2389">
        <v>4.1010650000000002</v>
      </c>
      <c r="E2389">
        <v>0.41831740000000001</v>
      </c>
      <c r="F2389" t="s">
        <v>45</v>
      </c>
      <c r="G2389">
        <v>-481.73500000000001</v>
      </c>
      <c r="H2389" s="1">
        <v>2.9829319999999999E-6</v>
      </c>
      <c r="I2389">
        <v>223.7165</v>
      </c>
      <c r="J2389">
        <v>-488.5924</v>
      </c>
      <c r="K2389">
        <v>1.114312</v>
      </c>
      <c r="L2389">
        <v>229.67959999999999</v>
      </c>
      <c r="M2389">
        <v>0.3907658</v>
      </c>
      <c r="N2389">
        <v>-1.376425E-2</v>
      </c>
      <c r="O2389">
        <v>-0.92038719999999996</v>
      </c>
      <c r="P2389">
        <v>0.5696502</v>
      </c>
      <c r="Q2389">
        <v>0.38882119999999998</v>
      </c>
      <c r="R2389">
        <v>-0.72409730000000005</v>
      </c>
      <c r="S2389">
        <v>2.6149900000000001</v>
      </c>
      <c r="T2389">
        <v>-0.41953240000000003</v>
      </c>
      <c r="U2389">
        <v>-2.31813</v>
      </c>
      <c r="V2389">
        <v>-0.24427740000000001</v>
      </c>
      <c r="W2389">
        <v>0.39925749999999999</v>
      </c>
      <c r="X2389">
        <v>0.88369789999999904</v>
      </c>
      <c r="Y2389">
        <v>-0.42452380000000001</v>
      </c>
      <c r="Z2389">
        <v>0.108809199999999</v>
      </c>
      <c r="AA2389">
        <v>0.89885490000000001</v>
      </c>
      <c r="AB2389">
        <v>21</v>
      </c>
      <c r="AC2389">
        <v>6.8573999999999797</v>
      </c>
      <c r="AD2389">
        <v>-1.1143090170679999</v>
      </c>
      <c r="AE2389">
        <v>-5.9630999999999901</v>
      </c>
      <c r="AF2389">
        <v>-3.9226846478134498</v>
      </c>
      <c r="AG2389">
        <v>-1.1143090170679999</v>
      </c>
      <c r="AH2389">
        <v>8.0477685717941299</v>
      </c>
      <c r="AI2389">
        <v>97.094763336093095</v>
      </c>
      <c r="AJ2389">
        <v>115.985767498334</v>
      </c>
      <c r="AK2389">
        <v>9.0219575712185502</v>
      </c>
      <c r="AL2389">
        <v>66.4682303027393</v>
      </c>
      <c r="AM2389">
        <v>105.45220241014501</v>
      </c>
      <c r="AN2389">
        <v>0.99999998896070896</v>
      </c>
    </row>
    <row r="2390" spans="1:40" x14ac:dyDescent="0.25">
      <c r="A2390" t="str">
        <f>"20190304164647350"</f>
        <v>20190304164647350</v>
      </c>
      <c r="B2390" t="str">
        <f>"1551689207340539"</f>
        <v>1551689207340539</v>
      </c>
      <c r="C2390" t="s">
        <v>40</v>
      </c>
      <c r="D2390">
        <v>4.0906659999999997</v>
      </c>
      <c r="E2390">
        <v>0.41469400000000001</v>
      </c>
      <c r="F2390" t="s">
        <v>45</v>
      </c>
      <c r="G2390">
        <v>-481.68790000000001</v>
      </c>
      <c r="H2390" s="1">
        <v>2.9589120000000001E-6</v>
      </c>
      <c r="I2390">
        <v>223.64570000000001</v>
      </c>
      <c r="J2390">
        <v>-488.51650000000001</v>
      </c>
      <c r="K2390">
        <v>1.114392</v>
      </c>
      <c r="L2390">
        <v>229.5145</v>
      </c>
      <c r="M2390">
        <v>0.39506960000000002</v>
      </c>
      <c r="N2390">
        <v>-1.3774099999999999E-2</v>
      </c>
      <c r="O2390">
        <v>-0.91854800000000003</v>
      </c>
      <c r="P2390">
        <v>0.57439200000000001</v>
      </c>
      <c r="Q2390">
        <v>0.38797290000000001</v>
      </c>
      <c r="R2390">
        <v>-0.72079899999999997</v>
      </c>
      <c r="S2390">
        <v>2.6323240000000001</v>
      </c>
      <c r="T2390">
        <v>-0.42482530000000002</v>
      </c>
      <c r="U2390">
        <v>-2.3003999999999998</v>
      </c>
      <c r="V2390">
        <v>-0.24585360000000001</v>
      </c>
      <c r="W2390">
        <v>0.39835280000000001</v>
      </c>
      <c r="X2390">
        <v>0.88366909999999899</v>
      </c>
      <c r="Y2390">
        <v>-0.42652479999999998</v>
      </c>
      <c r="Z2390">
        <v>0.1102519</v>
      </c>
      <c r="AA2390">
        <v>0.8977311</v>
      </c>
      <c r="AB2390">
        <v>21</v>
      </c>
      <c r="AC2390">
        <v>6.82859999999999</v>
      </c>
      <c r="AD2390">
        <v>-1.114389041088</v>
      </c>
      <c r="AE2390">
        <v>-5.8687999999999896</v>
      </c>
      <c r="AF2390">
        <v>-3.8945311541466801</v>
      </c>
      <c r="AG2390">
        <v>-1.114389041088</v>
      </c>
      <c r="AH2390">
        <v>7.9672716299454898</v>
      </c>
      <c r="AI2390">
        <v>97.162325071610496</v>
      </c>
      <c r="AJ2390">
        <v>116.050132180232</v>
      </c>
      <c r="AK2390">
        <v>8.9379333780718202</v>
      </c>
      <c r="AL2390">
        <v>66.524755936766397</v>
      </c>
      <c r="AM2390">
        <v>105.547581608047</v>
      </c>
      <c r="AN2390">
        <v>1.0000000120978001</v>
      </c>
    </row>
    <row r="2391" spans="1:40" x14ac:dyDescent="0.25">
      <c r="A2391" t="str">
        <f>"20190304164647372"</f>
        <v>20190304164647372</v>
      </c>
      <c r="B2391" t="str">
        <f>"1551689207361034"</f>
        <v>1551689207361034</v>
      </c>
      <c r="C2391" t="s">
        <v>40</v>
      </c>
      <c r="D2391">
        <v>4.0962800000000001</v>
      </c>
      <c r="E2391">
        <v>0.41441020000000001</v>
      </c>
      <c r="F2391" t="s">
        <v>45</v>
      </c>
      <c r="G2391">
        <v>-479.8655</v>
      </c>
      <c r="H2391" s="1">
        <v>2.3651780000000001E-6</v>
      </c>
      <c r="I2391">
        <v>222.2002</v>
      </c>
      <c r="J2391">
        <v>-488.42939999999999</v>
      </c>
      <c r="K2391">
        <v>1.1144799999999999</v>
      </c>
      <c r="L2391">
        <v>229.32769999999999</v>
      </c>
      <c r="M2391">
        <v>0.40008090000000002</v>
      </c>
      <c r="N2391">
        <v>-1.378506E-2</v>
      </c>
      <c r="O2391">
        <v>-0.91637610000000003</v>
      </c>
      <c r="P2391">
        <v>0.57946039999999999</v>
      </c>
      <c r="Q2391">
        <v>0.38752039999999999</v>
      </c>
      <c r="R2391">
        <v>-0.71697529999999998</v>
      </c>
      <c r="S2391">
        <v>2.645905</v>
      </c>
      <c r="T2391">
        <v>-0.340833099999999</v>
      </c>
      <c r="U2391">
        <v>-2.2370610000000002</v>
      </c>
      <c r="V2391">
        <v>-0.247256</v>
      </c>
      <c r="W2391">
        <v>0.39784140000000001</v>
      </c>
      <c r="X2391">
        <v>0.88350810000000002</v>
      </c>
      <c r="Y2391">
        <v>-0.43812699999999999</v>
      </c>
      <c r="Z2391">
        <v>8.7506609999999999E-2</v>
      </c>
      <c r="AA2391">
        <v>0.89464370000000004</v>
      </c>
      <c r="AB2391">
        <v>21</v>
      </c>
      <c r="AC2391">
        <v>8.5638999999999896</v>
      </c>
      <c r="AD2391">
        <v>-1.114477634822</v>
      </c>
      <c r="AE2391">
        <v>-7.1274999999999897</v>
      </c>
      <c r="AF2391">
        <v>-4.94715445565578</v>
      </c>
      <c r="AG2391">
        <v>-1.114477634822</v>
      </c>
      <c r="AH2391">
        <v>9.8600188338225596</v>
      </c>
      <c r="AI2391">
        <v>95.768831089071298</v>
      </c>
      <c r="AJ2391">
        <v>116.64469848528999</v>
      </c>
      <c r="AK2391">
        <v>11.087667428723099</v>
      </c>
      <c r="AL2391">
        <v>66.556695262315301</v>
      </c>
      <c r="AM2391">
        <v>105.634652963584</v>
      </c>
      <c r="AN2391">
        <v>0.99999993592778302</v>
      </c>
    </row>
    <row r="2392" spans="1:40" x14ac:dyDescent="0.25">
      <c r="A2392" t="str">
        <f>"20190304164647395"</f>
        <v>20190304164647395</v>
      </c>
      <c r="B2392" t="str">
        <f>"1551689207390315"</f>
        <v>1551689207390315</v>
      </c>
      <c r="C2392" t="s">
        <v>40</v>
      </c>
      <c r="D2392">
        <v>4.1086010000000002</v>
      </c>
      <c r="E2392">
        <v>0.41413470000000002</v>
      </c>
      <c r="F2392" t="s">
        <v>45</v>
      </c>
      <c r="G2392">
        <v>-479.86700000000002</v>
      </c>
      <c r="H2392" s="1">
        <v>2.3635980000000001E-6</v>
      </c>
      <c r="I2392">
        <v>222.19560000000001</v>
      </c>
      <c r="J2392">
        <v>-488.34269999999998</v>
      </c>
      <c r="K2392">
        <v>1.1145480000000001</v>
      </c>
      <c r="L2392">
        <v>229.1448</v>
      </c>
      <c r="M2392">
        <v>0.40512189999999998</v>
      </c>
      <c r="N2392">
        <v>-1.3795129999999999E-2</v>
      </c>
      <c r="O2392">
        <v>-0.91415860000000004</v>
      </c>
      <c r="P2392">
        <v>0.58432249999999997</v>
      </c>
      <c r="Q2392">
        <v>0.38649240000000001</v>
      </c>
      <c r="R2392">
        <v>-0.71357630000000005</v>
      </c>
      <c r="S2392">
        <v>2.6637270000000002</v>
      </c>
      <c r="T2392">
        <v>-0.34671249999999998</v>
      </c>
      <c r="U2392">
        <v>-2.2187809999999999</v>
      </c>
      <c r="V2392">
        <v>-0.2482452</v>
      </c>
      <c r="W2392">
        <v>0.3967715</v>
      </c>
      <c r="X2392">
        <v>0.88371189999999999</v>
      </c>
      <c r="Y2392">
        <v>-0.43962859999999998</v>
      </c>
      <c r="Z2392">
        <v>8.9119050000000005E-2</v>
      </c>
      <c r="AA2392">
        <v>0.89374739999999997</v>
      </c>
      <c r="AB2392">
        <v>21</v>
      </c>
      <c r="AC2392">
        <v>8.4757000000000104</v>
      </c>
      <c r="AD2392">
        <v>-1.1145456364020001</v>
      </c>
      <c r="AE2392">
        <v>-6.9491999999999896</v>
      </c>
      <c r="AF2392">
        <v>-4.8828385874223201</v>
      </c>
      <c r="AG2392">
        <v>-1.1145456364020001</v>
      </c>
      <c r="AH2392">
        <v>9.6871226820056098</v>
      </c>
      <c r="AI2392">
        <v>95.866019243163294</v>
      </c>
      <c r="AJ2392">
        <v>116.750598012659</v>
      </c>
      <c r="AK2392">
        <v>10.9052588462021</v>
      </c>
      <c r="AL2392">
        <v>66.623496436419501</v>
      </c>
      <c r="AM2392">
        <v>105.690685219836</v>
      </c>
      <c r="AN2392">
        <v>1.00000001236845</v>
      </c>
    </row>
    <row r="2393" spans="1:40" x14ac:dyDescent="0.25">
      <c r="A2393" t="str">
        <f>"20190304164647417"</f>
        <v>20190304164647417</v>
      </c>
      <c r="B2393" t="str">
        <f>"1551689207410811"</f>
        <v>1551689207410811</v>
      </c>
      <c r="C2393" t="s">
        <v>40</v>
      </c>
      <c r="D2393">
        <v>4.1076410000000001</v>
      </c>
      <c r="E2393">
        <v>0.4142034</v>
      </c>
      <c r="F2393" t="s">
        <v>41</v>
      </c>
      <c r="G2393">
        <v>-487.56029999999998</v>
      </c>
      <c r="H2393">
        <v>1.0121119999999999</v>
      </c>
      <c r="I2393">
        <v>228.50280000000001</v>
      </c>
      <c r="J2393">
        <v>-488.25060000000002</v>
      </c>
      <c r="K2393">
        <v>1.1146160000000001</v>
      </c>
      <c r="L2393">
        <v>228.95419999999999</v>
      </c>
      <c r="M2393">
        <v>0.41050890000000001</v>
      </c>
      <c r="N2393">
        <v>-1.380491E-2</v>
      </c>
      <c r="O2393">
        <v>-0.91175220000000001</v>
      </c>
      <c r="P2393">
        <v>0.58823519999999996</v>
      </c>
      <c r="Q2393">
        <v>0.38575920000000002</v>
      </c>
      <c r="R2393">
        <v>-0.71075259999999996</v>
      </c>
      <c r="S2393">
        <v>2.6806030000000001</v>
      </c>
      <c r="T2393">
        <v>-0.35091539999999999</v>
      </c>
      <c r="U2393">
        <v>-2.1992189999999998</v>
      </c>
      <c r="V2393">
        <v>-0.24777379999999999</v>
      </c>
      <c r="W2393">
        <v>0.39602120000000002</v>
      </c>
      <c r="X2393">
        <v>0.88418059999999998</v>
      </c>
      <c r="Y2393">
        <v>-0.44090079999999998</v>
      </c>
      <c r="Z2393">
        <v>9.0273179999999995E-2</v>
      </c>
      <c r="AA2393">
        <v>0.89300460000000004</v>
      </c>
      <c r="AB2393">
        <v>21</v>
      </c>
      <c r="AC2393">
        <v>0.690300000000036</v>
      </c>
      <c r="AD2393">
        <v>-0.102503999999999</v>
      </c>
      <c r="AE2393">
        <v>-0.45139999999997799</v>
      </c>
      <c r="AF2393">
        <v>-0.43736585329726801</v>
      </c>
      <c r="AG2393">
        <v>-0.102503999999999</v>
      </c>
      <c r="AH2393">
        <v>0.68443410119715697</v>
      </c>
      <c r="AI2393">
        <v>97.192628148142205</v>
      </c>
      <c r="AJ2393">
        <v>122.579318569854</v>
      </c>
      <c r="AK2393">
        <v>0.81868553091404295</v>
      </c>
      <c r="AL2393">
        <v>66.670320835245505</v>
      </c>
      <c r="AM2393">
        <v>105.65445792696001</v>
      </c>
      <c r="AN2393">
        <v>0.99999999011611995</v>
      </c>
    </row>
    <row r="2394" spans="1:40" x14ac:dyDescent="0.25">
      <c r="A2394" t="str">
        <f>"20190304164647439"</f>
        <v>20190304164647439</v>
      </c>
      <c r="B2394" t="str">
        <f>"1551689207431307"</f>
        <v>1551689207431307</v>
      </c>
      <c r="C2394" t="s">
        <v>40</v>
      </c>
      <c r="D2394">
        <v>4.0421250000000004</v>
      </c>
      <c r="E2394">
        <v>0.41421069999999999</v>
      </c>
      <c r="F2394" t="s">
        <v>41</v>
      </c>
      <c r="G2394">
        <v>-487.48649999999998</v>
      </c>
      <c r="H2394">
        <v>1.0141800000000001</v>
      </c>
      <c r="I2394">
        <v>228.33539999999999</v>
      </c>
      <c r="J2394">
        <v>-488.16550000000001</v>
      </c>
      <c r="K2394">
        <v>1.1146560000000001</v>
      </c>
      <c r="L2394">
        <v>228.7807</v>
      </c>
      <c r="M2394">
        <v>0.41548889999999999</v>
      </c>
      <c r="N2394">
        <v>-1.381259E-2</v>
      </c>
      <c r="O2394">
        <v>-0.90949360000000001</v>
      </c>
      <c r="P2394">
        <v>0.59157959999999998</v>
      </c>
      <c r="Q2394">
        <v>0.38658429999999999</v>
      </c>
      <c r="R2394">
        <v>-0.70752119999999996</v>
      </c>
      <c r="S2394">
        <v>2.6950069999999999</v>
      </c>
      <c r="T2394">
        <v>-0.35423710000000003</v>
      </c>
      <c r="U2394">
        <v>-2.1827549999999998</v>
      </c>
      <c r="V2394">
        <v>-0.24732970000000001</v>
      </c>
      <c r="W2394">
        <v>0.39683360000000001</v>
      </c>
      <c r="X2394">
        <v>0.88394059999999897</v>
      </c>
      <c r="Y2394">
        <v>-0.44155610000000001</v>
      </c>
      <c r="Z2394">
        <v>9.1152810000000001E-2</v>
      </c>
      <c r="AA2394">
        <v>0.89259140000000003</v>
      </c>
      <c r="AB2394">
        <v>21</v>
      </c>
      <c r="AC2394">
        <v>0.67900000000003002</v>
      </c>
      <c r="AD2394">
        <v>-0.100476</v>
      </c>
      <c r="AE2394">
        <v>-0.44530000000000303</v>
      </c>
      <c r="AF2394">
        <v>-0.42604667770934801</v>
      </c>
      <c r="AG2394">
        <v>-0.100476</v>
      </c>
      <c r="AH2394">
        <v>0.67681674514192103</v>
      </c>
      <c r="AI2394">
        <v>97.160813677720199</v>
      </c>
      <c r="AJ2394">
        <v>122.189841149841</v>
      </c>
      <c r="AK2394">
        <v>0.80603480363299296</v>
      </c>
      <c r="AL2394">
        <v>66.619618235013107</v>
      </c>
      <c r="AM2394">
        <v>105.631807391664</v>
      </c>
      <c r="AN2394">
        <v>0.99999993545970201</v>
      </c>
    </row>
    <row r="2395" spans="1:40" x14ac:dyDescent="0.25">
      <c r="A2395" t="str">
        <f>"20190304164647461"</f>
        <v>20190304164647461</v>
      </c>
      <c r="B2395" t="str">
        <f>"1551689207450827"</f>
        <v>1551689207450827</v>
      </c>
      <c r="C2395" t="s">
        <v>40</v>
      </c>
      <c r="D2395">
        <v>4.1089120000000001</v>
      </c>
      <c r="E2395">
        <v>0.41403240000000002</v>
      </c>
      <c r="F2395" t="s">
        <v>41</v>
      </c>
      <c r="G2395">
        <v>-487.40600000000001</v>
      </c>
      <c r="H2395">
        <v>1.0164660000000001</v>
      </c>
      <c r="I2395">
        <v>228.17310000000001</v>
      </c>
      <c r="J2395">
        <v>-488.07319999999999</v>
      </c>
      <c r="K2395">
        <v>1.11469</v>
      </c>
      <c r="L2395">
        <v>228.59540000000001</v>
      </c>
      <c r="M2395">
        <v>0.42087170000000002</v>
      </c>
      <c r="N2395">
        <v>-1.3819150000000001E-2</v>
      </c>
      <c r="O2395">
        <v>-0.90701520000000002</v>
      </c>
      <c r="P2395">
        <v>0.59508380000000005</v>
      </c>
      <c r="Q2395">
        <v>0.38902379999999998</v>
      </c>
      <c r="R2395">
        <v>-0.70323290000000005</v>
      </c>
      <c r="S2395">
        <v>2.7091669999999999</v>
      </c>
      <c r="T2395">
        <v>-0.35006920000000002</v>
      </c>
      <c r="U2395">
        <v>-2.1661990000000002</v>
      </c>
      <c r="V2395">
        <v>-0.2470755</v>
      </c>
      <c r="W2395">
        <v>0.39925620000000001</v>
      </c>
      <c r="X2395">
        <v>0.88292029999999999</v>
      </c>
      <c r="Y2395">
        <v>-0.4419458</v>
      </c>
      <c r="Z2395">
        <v>8.9874499999999996E-2</v>
      </c>
      <c r="AA2395">
        <v>0.89252819999999899</v>
      </c>
      <c r="AB2395">
        <v>21</v>
      </c>
      <c r="AC2395">
        <v>0.66719999999997903</v>
      </c>
      <c r="AD2395">
        <v>-9.8223999999999798E-2</v>
      </c>
      <c r="AE2395">
        <v>-0.422300000000007</v>
      </c>
      <c r="AF2395">
        <v>-0.42095328210609401</v>
      </c>
      <c r="AG2395">
        <v>-9.8223999999999798E-2</v>
      </c>
      <c r="AH2395">
        <v>0.65378465039294498</v>
      </c>
      <c r="AI2395">
        <v>97.1994462566782</v>
      </c>
      <c r="AJ2395">
        <v>122.776329449182</v>
      </c>
      <c r="AK2395">
        <v>0.78376271216569005</v>
      </c>
      <c r="AL2395">
        <v>66.468312718080597</v>
      </c>
      <c r="AM2395">
        <v>105.633690075807</v>
      </c>
      <c r="AN2395">
        <v>1.00000003604538</v>
      </c>
    </row>
    <row r="2396" spans="1:40" x14ac:dyDescent="0.25">
      <c r="A2396" t="str">
        <f>"20190304164647485"</f>
        <v>20190304164647485</v>
      </c>
      <c r="B2396" t="str">
        <f>"1551689207481082"</f>
        <v>1551689207481082</v>
      </c>
      <c r="C2396" t="s">
        <v>40</v>
      </c>
      <c r="D2396">
        <v>4.1110660000000001</v>
      </c>
      <c r="E2396">
        <v>0.41376479999999999</v>
      </c>
      <c r="F2396" t="s">
        <v>41</v>
      </c>
      <c r="G2396">
        <v>-487.32859999999999</v>
      </c>
      <c r="H2396">
        <v>1.0211969999999999</v>
      </c>
      <c r="I2396">
        <v>228.00710000000001</v>
      </c>
      <c r="J2396">
        <v>-487.9753</v>
      </c>
      <c r="K2396">
        <v>1.114698</v>
      </c>
      <c r="L2396">
        <v>228.40180000000001</v>
      </c>
      <c r="M2396">
        <v>0.4265428</v>
      </c>
      <c r="N2396">
        <v>-1.382428E-2</v>
      </c>
      <c r="O2396">
        <v>-0.90436190000000005</v>
      </c>
      <c r="P2396">
        <v>0.59955789999999998</v>
      </c>
      <c r="Q2396">
        <v>0.39214179999999998</v>
      </c>
      <c r="R2396">
        <v>-0.69767840000000003</v>
      </c>
      <c r="S2396">
        <v>2.7228089999999998</v>
      </c>
      <c r="T2396">
        <v>-0.3418562</v>
      </c>
      <c r="U2396">
        <v>-2.1510929999999999</v>
      </c>
      <c r="V2396">
        <v>-0.24795310000000001</v>
      </c>
      <c r="W2396">
        <v>0.40234740000000002</v>
      </c>
      <c r="X2396">
        <v>0.88126949999999904</v>
      </c>
      <c r="Y2396">
        <v>-0.44174950000000002</v>
      </c>
      <c r="Z2396">
        <v>8.7401649999999997E-2</v>
      </c>
      <c r="AA2396">
        <v>0.89287079999999996</v>
      </c>
      <c r="AB2396">
        <v>21</v>
      </c>
      <c r="AC2396">
        <v>0.64670000000000905</v>
      </c>
      <c r="AD2396">
        <v>-9.3501000000000001E-2</v>
      </c>
      <c r="AE2396">
        <v>-0.3947</v>
      </c>
      <c r="AF2396">
        <v>-0.41028529021403698</v>
      </c>
      <c r="AG2396">
        <v>-9.3501000000000001E-2</v>
      </c>
      <c r="AH2396">
        <v>0.62336312145457395</v>
      </c>
      <c r="AI2396">
        <v>97.141459799286494</v>
      </c>
      <c r="AJ2396">
        <v>123.352122626172</v>
      </c>
      <c r="AK2396">
        <v>0.75210241161467295</v>
      </c>
      <c r="AL2396">
        <v>66.274993242111705</v>
      </c>
      <c r="AM2396">
        <v>105.71442479236001</v>
      </c>
      <c r="AN2396">
        <v>1.0000000508583</v>
      </c>
    </row>
    <row r="2397" spans="1:40" x14ac:dyDescent="0.25">
      <c r="A2397" t="str">
        <f>"20190304164647508"</f>
        <v>20190304164647508</v>
      </c>
      <c r="B2397" t="str">
        <f>"1551689207500602"</f>
        <v>1551689207500602</v>
      </c>
      <c r="C2397" t="s">
        <v>40</v>
      </c>
      <c r="D2397">
        <v>4.1571879999999997</v>
      </c>
      <c r="E2397">
        <v>0.4135318</v>
      </c>
      <c r="F2397" t="s">
        <v>41</v>
      </c>
      <c r="G2397">
        <v>-487.21559999999999</v>
      </c>
      <c r="H2397">
        <v>1.021779</v>
      </c>
      <c r="I2397">
        <v>227.8099</v>
      </c>
      <c r="J2397">
        <v>-487.88080000000002</v>
      </c>
      <c r="K2397">
        <v>1.114689</v>
      </c>
      <c r="L2397">
        <v>228.21799999999999</v>
      </c>
      <c r="M2397">
        <v>0.43194660000000001</v>
      </c>
      <c r="N2397">
        <v>-1.3827880000000001E-2</v>
      </c>
      <c r="O2397">
        <v>-0.90179330000000002</v>
      </c>
      <c r="P2397">
        <v>0.60498189999999996</v>
      </c>
      <c r="Q2397">
        <v>0.39391310000000002</v>
      </c>
      <c r="R2397">
        <v>-0.69197540000000002</v>
      </c>
      <c r="S2397">
        <v>2.7398989999999999</v>
      </c>
      <c r="T2397">
        <v>-0.33499679999999998</v>
      </c>
      <c r="U2397">
        <v>-2.1336819999999999</v>
      </c>
      <c r="V2397">
        <v>-0.2500021</v>
      </c>
      <c r="W2397">
        <v>0.40409200000000001</v>
      </c>
      <c r="X2397">
        <v>0.87989119999999998</v>
      </c>
      <c r="Y2397">
        <v>-0.44277850000000002</v>
      </c>
      <c r="Z2397">
        <v>8.5318599999999994E-2</v>
      </c>
      <c r="AA2397">
        <v>0.89256259999999998</v>
      </c>
      <c r="AB2397">
        <v>21</v>
      </c>
      <c r="AC2397">
        <v>0.66520000000002699</v>
      </c>
      <c r="AD2397">
        <v>-9.2910000000000006E-2</v>
      </c>
      <c r="AE2397">
        <v>-0.40809999999999003</v>
      </c>
      <c r="AF2397">
        <v>-0.41771540137109398</v>
      </c>
      <c r="AG2397">
        <v>-9.2910000000000006E-2</v>
      </c>
      <c r="AH2397">
        <v>0.64625551722118602</v>
      </c>
      <c r="AI2397">
        <v>96.884596486724107</v>
      </c>
      <c r="AJ2397">
        <v>122.87711624851499</v>
      </c>
      <c r="AK2397">
        <v>0.77509007101203198</v>
      </c>
      <c r="AL2397">
        <v>66.165759268786701</v>
      </c>
      <c r="AM2397">
        <v>105.86135517469999</v>
      </c>
      <c r="AN2397">
        <v>0.99999995915292395</v>
      </c>
    </row>
    <row r="2398" spans="1:40" x14ac:dyDescent="0.25">
      <c r="A2398" t="str">
        <f>"20190304164647530"</f>
        <v>20190304164647530</v>
      </c>
      <c r="B2398" t="str">
        <f>"1551689207521098"</f>
        <v>1551689207521098</v>
      </c>
      <c r="C2398" t="s">
        <v>40</v>
      </c>
      <c r="D2398">
        <v>4.1689309999999997</v>
      </c>
      <c r="E2398">
        <v>0.41340979999999999</v>
      </c>
      <c r="F2398" t="s">
        <v>41</v>
      </c>
      <c r="G2398">
        <v>-487.1078</v>
      </c>
      <c r="H2398">
        <v>1.0210060000000001</v>
      </c>
      <c r="I2398">
        <v>227.62430000000001</v>
      </c>
      <c r="J2398">
        <v>-487.78640000000001</v>
      </c>
      <c r="K2398">
        <v>1.114668</v>
      </c>
      <c r="L2398">
        <v>228.03700000000001</v>
      </c>
      <c r="M2398">
        <v>0.43726480000000001</v>
      </c>
      <c r="N2398">
        <v>-1.382981E-2</v>
      </c>
      <c r="O2398">
        <v>-0.89922669999999905</v>
      </c>
      <c r="P2398">
        <v>0.61104840000000005</v>
      </c>
      <c r="Q2398">
        <v>0.39380850000000001</v>
      </c>
      <c r="R2398">
        <v>-0.68668430000000003</v>
      </c>
      <c r="S2398">
        <v>2.7553100000000001</v>
      </c>
      <c r="T2398">
        <v>-0.3339665</v>
      </c>
      <c r="U2398">
        <v>-2.1165620000000001</v>
      </c>
      <c r="V2398">
        <v>-0.25251590000000002</v>
      </c>
      <c r="W2398">
        <v>0.40397240000000001</v>
      </c>
      <c r="X2398">
        <v>0.87922809999999996</v>
      </c>
      <c r="Y2398">
        <v>-0.44341809999999998</v>
      </c>
      <c r="Z2398">
        <v>8.4920609999999994E-2</v>
      </c>
      <c r="AA2398">
        <v>0.89228299999999905</v>
      </c>
      <c r="AB2398">
        <v>21</v>
      </c>
      <c r="AC2398">
        <v>0.67860000000001697</v>
      </c>
      <c r="AD2398">
        <v>-9.3662000000000106E-2</v>
      </c>
      <c r="AE2398">
        <v>-0.41270000000000001</v>
      </c>
      <c r="AF2398">
        <v>-0.42390201937488398</v>
      </c>
      <c r="AG2398">
        <v>-9.3662000000000106E-2</v>
      </c>
      <c r="AH2398">
        <v>0.65874160938039605</v>
      </c>
      <c r="AI2398">
        <v>96.818277769345499</v>
      </c>
      <c r="AJ2398">
        <v>122.761391320238</v>
      </c>
      <c r="AK2398">
        <v>0.78892711970319496</v>
      </c>
      <c r="AL2398">
        <v>66.173251944682804</v>
      </c>
      <c r="AM2398">
        <v>106.02416129460499</v>
      </c>
      <c r="AN2398">
        <v>1.0000000157720801</v>
      </c>
    </row>
    <row r="2399" spans="1:40" x14ac:dyDescent="0.25">
      <c r="A2399" t="str">
        <f>"20190304164647551"</f>
        <v>20190304164647551</v>
      </c>
      <c r="B2399" t="str">
        <f>"1551689207540618"</f>
        <v>1551689207540618</v>
      </c>
      <c r="C2399" t="s">
        <v>40</v>
      </c>
      <c r="D2399">
        <v>4.1658559999999998</v>
      </c>
      <c r="E2399">
        <v>0.40988219999999997</v>
      </c>
      <c r="F2399" t="s">
        <v>45</v>
      </c>
      <c r="G2399">
        <v>-479.29520000000002</v>
      </c>
      <c r="H2399">
        <v>8.0000420000000003E-2</v>
      </c>
      <c r="I2399">
        <v>221.61330000000001</v>
      </c>
      <c r="J2399">
        <v>-487.69979999999998</v>
      </c>
      <c r="K2399">
        <v>1.1146320000000001</v>
      </c>
      <c r="L2399">
        <v>227.87289999999999</v>
      </c>
      <c r="M2399">
        <v>0.44206879999999998</v>
      </c>
      <c r="N2399">
        <v>-1.3829940000000001E-2</v>
      </c>
      <c r="O2399">
        <v>-0.89687479999999997</v>
      </c>
      <c r="P2399">
        <v>0.6159694</v>
      </c>
      <c r="Q2399">
        <v>0.39258179999999998</v>
      </c>
      <c r="R2399">
        <v>-0.68298029999999998</v>
      </c>
      <c r="S2399">
        <v>2.771271</v>
      </c>
      <c r="T2399">
        <v>-0.33768280000000001</v>
      </c>
      <c r="U2399">
        <v>-2.0964809999999998</v>
      </c>
      <c r="V2399">
        <v>-0.25379220000000002</v>
      </c>
      <c r="W2399">
        <v>0.402756</v>
      </c>
      <c r="X2399">
        <v>0.8794187</v>
      </c>
      <c r="Y2399">
        <v>-0.44513190000000002</v>
      </c>
      <c r="Z2399">
        <v>8.5945779999999999E-2</v>
      </c>
      <c r="AA2399">
        <v>0.89133099999999998</v>
      </c>
      <c r="AB2399">
        <v>21</v>
      </c>
      <c r="AC2399">
        <v>8.4045999999999594</v>
      </c>
      <c r="AD2399">
        <v>-1.0346315800000001</v>
      </c>
      <c r="AE2399">
        <v>-6.2595999999999696</v>
      </c>
      <c r="AF2399">
        <v>-4.72509760812365</v>
      </c>
      <c r="AG2399">
        <v>-1.0346315800000001</v>
      </c>
      <c r="AH2399">
        <v>9.2403096143575798</v>
      </c>
      <c r="AI2399">
        <v>95.693089914686496</v>
      </c>
      <c r="AJ2399">
        <v>117.08325241843301</v>
      </c>
      <c r="AK2399">
        <v>10.429780998746701</v>
      </c>
      <c r="AL2399">
        <v>66.249418802686293</v>
      </c>
      <c r="AM2399">
        <v>106.097656566588</v>
      </c>
      <c r="AN2399">
        <v>1.00000006311326</v>
      </c>
    </row>
    <row r="2400" spans="1:40" x14ac:dyDescent="0.25">
      <c r="A2400" t="str">
        <f>"20190304164647574"</f>
        <v>20190304164647574</v>
      </c>
      <c r="B2400" t="str">
        <f>"1551689207570875"</f>
        <v>1551689207570875</v>
      </c>
      <c r="C2400" t="s">
        <v>40</v>
      </c>
      <c r="D2400">
        <v>4.1593730000000004</v>
      </c>
      <c r="E2400">
        <v>0.41011259999999999</v>
      </c>
      <c r="F2400" t="s">
        <v>41</v>
      </c>
      <c r="G2400">
        <v>-486.92790000000002</v>
      </c>
      <c r="H2400">
        <v>1.0077830000000001</v>
      </c>
      <c r="I2400">
        <v>227.30459999999999</v>
      </c>
      <c r="J2400">
        <v>-487.60079999999999</v>
      </c>
      <c r="K2400">
        <v>1.1145830000000001</v>
      </c>
      <c r="L2400">
        <v>227.68799999999999</v>
      </c>
      <c r="M2400">
        <v>0.44744420000000001</v>
      </c>
      <c r="N2400">
        <v>-1.3828180000000001E-2</v>
      </c>
      <c r="O2400">
        <v>-0.89420540000000004</v>
      </c>
      <c r="P2400">
        <v>0.62100449999999996</v>
      </c>
      <c r="Q2400">
        <v>0.39153199999999999</v>
      </c>
      <c r="R2400">
        <v>-0.67901140000000004</v>
      </c>
      <c r="S2400">
        <v>2.8183289999999999</v>
      </c>
      <c r="T2400">
        <v>-0.39014860000000001</v>
      </c>
      <c r="U2400">
        <v>-2.0749050000000002</v>
      </c>
      <c r="V2400">
        <v>-0.25470229999999999</v>
      </c>
      <c r="W2400">
        <v>0.40172790000000003</v>
      </c>
      <c r="X2400">
        <v>0.87962569999999995</v>
      </c>
      <c r="Y2400">
        <v>-0.4501658</v>
      </c>
      <c r="Z2400">
        <v>0.10015</v>
      </c>
      <c r="AA2400">
        <v>0.88731090000000001</v>
      </c>
      <c r="AB2400">
        <v>21</v>
      </c>
      <c r="AC2400">
        <v>0.67289999999996997</v>
      </c>
      <c r="AD2400">
        <v>-0.10680000000000001</v>
      </c>
      <c r="AE2400">
        <v>-0.38339999999999402</v>
      </c>
      <c r="AF2400">
        <v>-0.42217317125545201</v>
      </c>
      <c r="AG2400">
        <v>-0.10680000000000001</v>
      </c>
      <c r="AH2400">
        <v>0.63196671280752104</v>
      </c>
      <c r="AI2400">
        <v>97.999101451641394</v>
      </c>
      <c r="AJ2400">
        <v>123.744139994847</v>
      </c>
      <c r="AK2400">
        <v>0.76747531075900399</v>
      </c>
      <c r="AL2400">
        <v>66.313756860821499</v>
      </c>
      <c r="AM2400">
        <v>106.14877456702099</v>
      </c>
      <c r="AN2400">
        <v>0.99999996968209404</v>
      </c>
    </row>
    <row r="2401" spans="1:40" x14ac:dyDescent="0.25">
      <c r="A2401" t="str">
        <f>"20190304164647596"</f>
        <v>20190304164647596</v>
      </c>
      <c r="B2401" t="str">
        <f>"1551689207591371"</f>
        <v>1551689207591371</v>
      </c>
      <c r="C2401" t="s">
        <v>40</v>
      </c>
      <c r="D2401">
        <v>4.1482510000000001</v>
      </c>
      <c r="E2401">
        <v>0.41096700000000003</v>
      </c>
      <c r="F2401" t="s">
        <v>41</v>
      </c>
      <c r="G2401">
        <v>-486.77719999999999</v>
      </c>
      <c r="H2401">
        <v>1.000032</v>
      </c>
      <c r="I2401">
        <v>227.0909</v>
      </c>
      <c r="J2401">
        <v>-487.5059</v>
      </c>
      <c r="K2401">
        <v>1.114519</v>
      </c>
      <c r="L2401">
        <v>227.51339999999999</v>
      </c>
      <c r="M2401">
        <v>0.45247159999999897</v>
      </c>
      <c r="N2401">
        <v>-1.382477E-2</v>
      </c>
      <c r="O2401">
        <v>-0.89167189999999996</v>
      </c>
      <c r="P2401">
        <v>0.62577769999999899</v>
      </c>
      <c r="Q2401">
        <v>0.39073059999999998</v>
      </c>
      <c r="R2401">
        <v>-0.6750794</v>
      </c>
      <c r="S2401">
        <v>2.8331599999999999</v>
      </c>
      <c r="T2401">
        <v>-0.39408460000000001</v>
      </c>
      <c r="U2401">
        <v>-2.0543819999999999</v>
      </c>
      <c r="V2401">
        <v>-0.25568970000000002</v>
      </c>
      <c r="W2401">
        <v>0.4009509</v>
      </c>
      <c r="X2401">
        <v>0.87969379999999997</v>
      </c>
      <c r="Y2401">
        <v>-0.45146320000000001</v>
      </c>
      <c r="Z2401">
        <v>0.1012137</v>
      </c>
      <c r="AA2401">
        <v>0.88653079999999995</v>
      </c>
      <c r="AB2401">
        <v>20</v>
      </c>
      <c r="AC2401">
        <v>0.72870000000000301</v>
      </c>
      <c r="AD2401">
        <v>-0.11448699999999901</v>
      </c>
      <c r="AE2401">
        <v>-0.422499999999985</v>
      </c>
      <c r="AF2401">
        <v>-0.450316772979793</v>
      </c>
      <c r="AG2401">
        <v>-0.11448699999999901</v>
      </c>
      <c r="AH2401">
        <v>0.69369959524537395</v>
      </c>
      <c r="AI2401">
        <v>97.881304148371001</v>
      </c>
      <c r="AJ2401">
        <v>122.98971542691299</v>
      </c>
      <c r="AK2401">
        <v>0.834932091633523</v>
      </c>
      <c r="AL2401">
        <v>66.362363062675996</v>
      </c>
      <c r="AM2401">
        <v>106.206908404876</v>
      </c>
      <c r="AN2401">
        <v>1.0000000143276699</v>
      </c>
    </row>
    <row r="2402" spans="1:40" x14ac:dyDescent="0.25">
      <c r="A2402" t="str">
        <f>"20190304164647618"</f>
        <v>20190304164647618</v>
      </c>
      <c r="B2402" t="str">
        <f>"1551689207610891"</f>
        <v>1551689207610891</v>
      </c>
      <c r="C2402" t="s">
        <v>40</v>
      </c>
      <c r="D2402">
        <v>4.1553699999999996</v>
      </c>
      <c r="E2402">
        <v>0.4110606</v>
      </c>
      <c r="F2402" t="s">
        <v>41</v>
      </c>
      <c r="G2402">
        <v>-486.69560000000001</v>
      </c>
      <c r="H2402">
        <v>0.99569649999999998</v>
      </c>
      <c r="I2402">
        <v>226.93010000000001</v>
      </c>
      <c r="J2402">
        <v>-487.40899999999999</v>
      </c>
      <c r="K2402">
        <v>1.114447</v>
      </c>
      <c r="L2402">
        <v>227.3372</v>
      </c>
      <c r="M2402">
        <v>0.45748850000000002</v>
      </c>
      <c r="N2402">
        <v>-1.3820199999999999E-2</v>
      </c>
      <c r="O2402">
        <v>-0.88910840000000002</v>
      </c>
      <c r="P2402">
        <v>0.63085360000000001</v>
      </c>
      <c r="Q2402">
        <v>0.38916699999999999</v>
      </c>
      <c r="R2402">
        <v>-0.67124740000000005</v>
      </c>
      <c r="S2402">
        <v>2.8454280000000001</v>
      </c>
      <c r="T2402">
        <v>-0.4172517</v>
      </c>
      <c r="U2402">
        <v>-2.047806</v>
      </c>
      <c r="V2402">
        <v>-0.25689469999999998</v>
      </c>
      <c r="W2402">
        <v>0.39941529999999997</v>
      </c>
      <c r="X2402">
        <v>0.88004119999999997</v>
      </c>
      <c r="Y2402">
        <v>-0.44902110000000001</v>
      </c>
      <c r="Z2402">
        <v>0.10733520000000001</v>
      </c>
      <c r="AA2402">
        <v>0.88705080000000003</v>
      </c>
      <c r="AB2402">
        <v>20</v>
      </c>
      <c r="AC2402">
        <v>0.71339999999997805</v>
      </c>
      <c r="AD2402">
        <v>-0.118750499999999</v>
      </c>
      <c r="AE2402">
        <v>-0.40709999999998497</v>
      </c>
      <c r="AF2402">
        <v>-0.43891502648942599</v>
      </c>
      <c r="AG2402">
        <v>-0.118750499999999</v>
      </c>
      <c r="AH2402">
        <v>0.674299959493046</v>
      </c>
      <c r="AI2402">
        <v>98.395992171056406</v>
      </c>
      <c r="AJ2402">
        <v>123.060889856636</v>
      </c>
      <c r="AK2402">
        <v>0.81328255674198902</v>
      </c>
      <c r="AL2402">
        <v>66.458368633767407</v>
      </c>
      <c r="AM2402">
        <v>106.273165176573</v>
      </c>
      <c r="AN2402">
        <v>0.99999999122980998</v>
      </c>
    </row>
    <row r="2403" spans="1:40" x14ac:dyDescent="0.25">
      <c r="A2403" t="str">
        <f>"20190304164647641"</f>
        <v>20190304164647641</v>
      </c>
      <c r="B2403" t="str">
        <f>"1551689207630411"</f>
        <v>1551689207630411</v>
      </c>
      <c r="C2403" t="s">
        <v>40</v>
      </c>
      <c r="D2403">
        <v>4.1995760000000004</v>
      </c>
      <c r="E2403">
        <v>0.41113080000000002</v>
      </c>
      <c r="F2403" t="s">
        <v>41</v>
      </c>
      <c r="G2403">
        <v>-486.61259999999999</v>
      </c>
      <c r="H2403">
        <v>0.99532989999999999</v>
      </c>
      <c r="I2403">
        <v>226.7704</v>
      </c>
      <c r="J2403">
        <v>-487.31029999999998</v>
      </c>
      <c r="K2403">
        <v>1.1143719999999999</v>
      </c>
      <c r="L2403">
        <v>227.1602</v>
      </c>
      <c r="M2403">
        <v>0.4624742</v>
      </c>
      <c r="N2403">
        <v>-1.381484E-2</v>
      </c>
      <c r="O2403">
        <v>-0.88652540000000002</v>
      </c>
      <c r="P2403">
        <v>0.63610679999999997</v>
      </c>
      <c r="Q2403">
        <v>0.38611679999999998</v>
      </c>
      <c r="R2403">
        <v>-0.66804359999999996</v>
      </c>
      <c r="S2403">
        <v>2.8564150000000001</v>
      </c>
      <c r="T2403">
        <v>-0.42713770000000001</v>
      </c>
      <c r="U2403">
        <v>-2.032486</v>
      </c>
      <c r="V2403">
        <v>-0.25797490000000001</v>
      </c>
      <c r="W2403">
        <v>0.39640429999999999</v>
      </c>
      <c r="X2403">
        <v>0.88108609999999898</v>
      </c>
      <c r="Y2403">
        <v>-0.44851289999999999</v>
      </c>
      <c r="Z2403">
        <v>0.1099719</v>
      </c>
      <c r="AA2403">
        <v>0.88698500000000002</v>
      </c>
      <c r="AB2403">
        <v>20</v>
      </c>
      <c r="AC2403">
        <v>0.69769999999999699</v>
      </c>
      <c r="AD2403">
        <v>-0.119042099999999</v>
      </c>
      <c r="AE2403">
        <v>-0.38980000000000797</v>
      </c>
      <c r="AF2403">
        <v>-0.42878490315826201</v>
      </c>
      <c r="AG2403">
        <v>-0.119042099999999</v>
      </c>
      <c r="AH2403">
        <v>0.65379419704814001</v>
      </c>
      <c r="AI2403">
        <v>98.657094889330196</v>
      </c>
      <c r="AJ2403">
        <v>123.258496739265</v>
      </c>
      <c r="AK2403">
        <v>0.79086937407050495</v>
      </c>
      <c r="AL2403">
        <v>66.646416177043406</v>
      </c>
      <c r="AM2403">
        <v>106.319604906461</v>
      </c>
      <c r="AN2403">
        <v>1.00000006685085</v>
      </c>
    </row>
    <row r="2404" spans="1:40" x14ac:dyDescent="0.25">
      <c r="A2404" t="str">
        <f>"20190304164647667"</f>
        <v>20190304164647667</v>
      </c>
      <c r="B2404" t="str">
        <f>"1551689207660666"</f>
        <v>1551689207660666</v>
      </c>
      <c r="C2404" t="s">
        <v>40</v>
      </c>
      <c r="D2404">
        <v>4.1657929999999999</v>
      </c>
      <c r="E2404">
        <v>0.411188</v>
      </c>
      <c r="F2404" t="s">
        <v>41</v>
      </c>
      <c r="G2404">
        <v>-486.52980000000002</v>
      </c>
      <c r="H2404">
        <v>0.99439670000000002</v>
      </c>
      <c r="I2404">
        <v>226.6105</v>
      </c>
      <c r="J2404">
        <v>-487.19510000000002</v>
      </c>
      <c r="K2404">
        <v>1.1142989999999999</v>
      </c>
      <c r="L2404">
        <v>226.95599999999999</v>
      </c>
      <c r="M2404">
        <v>0.46814020000000001</v>
      </c>
      <c r="N2404">
        <v>-1.380761E-2</v>
      </c>
      <c r="O2404">
        <v>-0.88354659999999996</v>
      </c>
      <c r="P2404">
        <v>0.64208169999999898</v>
      </c>
      <c r="Q2404">
        <v>0.3828126</v>
      </c>
      <c r="R2404">
        <v>-0.66421869999999905</v>
      </c>
      <c r="S2404">
        <v>2.8650820000000001</v>
      </c>
      <c r="T2404">
        <v>-0.44032719999999997</v>
      </c>
      <c r="U2404">
        <v>-2.0171359999999998</v>
      </c>
      <c r="V2404">
        <v>-0.25927240000000001</v>
      </c>
      <c r="W2404">
        <v>0.39314260000000001</v>
      </c>
      <c r="X2404">
        <v>0.88216600000000001</v>
      </c>
      <c r="Y2404">
        <v>-0.44686480000000001</v>
      </c>
      <c r="Z2404">
        <v>0.1135179</v>
      </c>
      <c r="AA2404">
        <v>0.88736999999999999</v>
      </c>
      <c r="AB2404">
        <v>20</v>
      </c>
      <c r="AC2404">
        <v>0.665300000000002</v>
      </c>
      <c r="AD2404">
        <v>-0.1199023</v>
      </c>
      <c r="AE2404">
        <v>-0.34549999999998698</v>
      </c>
      <c r="AF2404">
        <v>-0.41549277424999098</v>
      </c>
      <c r="AG2404">
        <v>-0.1199023</v>
      </c>
      <c r="AH2404">
        <v>0.60139323342957496</v>
      </c>
      <c r="AI2404">
        <v>99.315449003627705</v>
      </c>
      <c r="AJ2404">
        <v>124.639962256084</v>
      </c>
      <c r="AK2404">
        <v>0.74073249436900201</v>
      </c>
      <c r="AL2404">
        <v>66.849818600589799</v>
      </c>
      <c r="AM2404">
        <v>106.378290190694</v>
      </c>
      <c r="AN2404">
        <v>1.0000000664462501</v>
      </c>
    </row>
    <row r="2405" spans="1:40" x14ac:dyDescent="0.25">
      <c r="A2405" t="str">
        <f>"20190304164647687"</f>
        <v>20190304164647687</v>
      </c>
      <c r="B2405" t="str">
        <f>"1551689207681163"</f>
        <v>1551689207681163</v>
      </c>
      <c r="C2405" t="s">
        <v>40</v>
      </c>
      <c r="D2405">
        <v>4.217327</v>
      </c>
      <c r="E2405">
        <v>0.42193930000000002</v>
      </c>
      <c r="F2405" t="s">
        <v>41</v>
      </c>
      <c r="G2405">
        <v>-486.42290000000003</v>
      </c>
      <c r="H2405">
        <v>0.99301589999999995</v>
      </c>
      <c r="I2405">
        <v>226.4204</v>
      </c>
      <c r="J2405">
        <v>-487.10559999999998</v>
      </c>
      <c r="K2405">
        <v>1.11425</v>
      </c>
      <c r="L2405">
        <v>226.79929999999999</v>
      </c>
      <c r="M2405">
        <v>0.47242279999999998</v>
      </c>
      <c r="N2405">
        <v>-1.3801249999999999E-2</v>
      </c>
      <c r="O2405">
        <v>-0.88126419999999905</v>
      </c>
      <c r="P2405">
        <v>0.64646020000000004</v>
      </c>
      <c r="Q2405">
        <v>0.38101829999999998</v>
      </c>
      <c r="R2405">
        <v>-0.660995</v>
      </c>
      <c r="S2405">
        <v>2.8775330000000001</v>
      </c>
      <c r="T2405">
        <v>-0.45189550000000001</v>
      </c>
      <c r="U2405">
        <v>-1.9954529999999999</v>
      </c>
      <c r="V2405">
        <v>-0.26028010000000001</v>
      </c>
      <c r="W2405">
        <v>0.39137539999999998</v>
      </c>
      <c r="X2405">
        <v>0.88265490000000002</v>
      </c>
      <c r="Y2405">
        <v>-0.44848460000000001</v>
      </c>
      <c r="Z2405">
        <v>0.1167739</v>
      </c>
      <c r="AA2405">
        <v>0.88612950000000001</v>
      </c>
      <c r="AB2405">
        <v>20</v>
      </c>
      <c r="AC2405">
        <v>0.68269999999995401</v>
      </c>
      <c r="AD2405">
        <v>-0.1212341</v>
      </c>
      <c r="AE2405">
        <v>-0.37889999999998702</v>
      </c>
      <c r="AF2405">
        <v>-0.41272793544930703</v>
      </c>
      <c r="AG2405">
        <v>-0.1212341</v>
      </c>
      <c r="AH2405">
        <v>0.64104180282165002</v>
      </c>
      <c r="AI2405">
        <v>99.035126350934803</v>
      </c>
      <c r="AJ2405">
        <v>122.775028414019</v>
      </c>
      <c r="AK2405">
        <v>0.77199523875985698</v>
      </c>
      <c r="AL2405">
        <v>66.959893388929999</v>
      </c>
      <c r="AM2405">
        <v>106.429902558013</v>
      </c>
      <c r="AN2405">
        <v>1.0000000533375799</v>
      </c>
    </row>
    <row r="2406" spans="1:40" x14ac:dyDescent="0.25">
      <c r="A2406" t="str">
        <f>"20190304164647711"</f>
        <v>20190304164647711</v>
      </c>
      <c r="B2406" t="str">
        <f>"1551689207700682"</f>
        <v>1551689207700682</v>
      </c>
      <c r="C2406" t="s">
        <v>40</v>
      </c>
      <c r="D2406">
        <v>4.4079269999999999</v>
      </c>
      <c r="E2406">
        <v>0.4219001</v>
      </c>
      <c r="F2406" t="s">
        <v>45</v>
      </c>
      <c r="G2406">
        <v>-481.22640000000001</v>
      </c>
      <c r="H2406" s="1">
        <v>2.6338530000000001E-6</v>
      </c>
      <c r="I2406">
        <v>222.54570000000001</v>
      </c>
      <c r="J2406">
        <v>-486.99979999999999</v>
      </c>
      <c r="K2406">
        <v>1.1142030000000001</v>
      </c>
      <c r="L2406">
        <v>226.61590000000001</v>
      </c>
      <c r="M2406">
        <v>0.47738190000000003</v>
      </c>
      <c r="N2406">
        <v>-1.3793450000000001E-2</v>
      </c>
      <c r="O2406">
        <v>-0.87858769999999997</v>
      </c>
      <c r="P2406">
        <v>0.65033660000000004</v>
      </c>
      <c r="Q2406">
        <v>0.38061109999999998</v>
      </c>
      <c r="R2406">
        <v>-0.65741719999999904</v>
      </c>
      <c r="S2406">
        <v>2.850403</v>
      </c>
      <c r="T2406">
        <v>-0.54021549999999996</v>
      </c>
      <c r="U2406">
        <v>-2.0622560000000001</v>
      </c>
      <c r="V2406">
        <v>-0.26032880000000003</v>
      </c>
      <c r="W2406">
        <v>0.39099840000000002</v>
      </c>
      <c r="X2406">
        <v>0.88280759999999903</v>
      </c>
      <c r="Y2406">
        <v>-0.42292600000000002</v>
      </c>
      <c r="Z2406">
        <v>0.13919989999999999</v>
      </c>
      <c r="AA2406">
        <v>0.8954088</v>
      </c>
      <c r="AB2406">
        <v>20</v>
      </c>
      <c r="AC2406">
        <v>5.7733999999999801</v>
      </c>
      <c r="AD2406">
        <v>-1.1142003661469999</v>
      </c>
      <c r="AE2406">
        <v>-4.0701999999999998</v>
      </c>
      <c r="AF2406">
        <v>-3.0537216711180601</v>
      </c>
      <c r="AG2406">
        <v>-1.1142003661469999</v>
      </c>
      <c r="AH2406">
        <v>6.17901709751537</v>
      </c>
      <c r="AI2406">
        <v>99.182759478760602</v>
      </c>
      <c r="AJ2406">
        <v>116.298965686541</v>
      </c>
      <c r="AK2406">
        <v>6.9818987955974698</v>
      </c>
      <c r="AL2406">
        <v>66.983364076654098</v>
      </c>
      <c r="AM2406">
        <v>106.430121771949</v>
      </c>
      <c r="AN2406">
        <v>1.0000000457648699</v>
      </c>
    </row>
    <row r="2407" spans="1:40" x14ac:dyDescent="0.25">
      <c r="A2407" t="str">
        <f>"20190304164647733"</f>
        <v>20190304164647733</v>
      </c>
      <c r="B2407" t="str">
        <f>"1551689207730939"</f>
        <v>1551689207730939</v>
      </c>
      <c r="C2407" t="s">
        <v>40</v>
      </c>
      <c r="D2407">
        <v>4.2069210000000004</v>
      </c>
      <c r="E2407">
        <v>0.4218846</v>
      </c>
      <c r="F2407" t="s">
        <v>45</v>
      </c>
      <c r="G2407">
        <v>-481.09820000000002</v>
      </c>
      <c r="H2407" s="1">
        <v>2.579339E-6</v>
      </c>
      <c r="I2407">
        <v>222.40199999999999</v>
      </c>
      <c r="J2407">
        <v>-486.89510000000001</v>
      </c>
      <c r="K2407">
        <v>1.114163</v>
      </c>
      <c r="L2407">
        <v>226.43680000000001</v>
      </c>
      <c r="M2407">
        <v>0.48217939999999998</v>
      </c>
      <c r="N2407">
        <v>-1.3786319999999999E-2</v>
      </c>
      <c r="O2407">
        <v>-0.87596430000000003</v>
      </c>
      <c r="P2407">
        <v>0.65276409999999996</v>
      </c>
      <c r="Q2407">
        <v>0.38127759999999999</v>
      </c>
      <c r="R2407">
        <v>-0.65461990000000003</v>
      </c>
      <c r="S2407">
        <v>2.862854</v>
      </c>
      <c r="T2407">
        <v>-0.54050450000000005</v>
      </c>
      <c r="U2407">
        <v>-2.0441889999999998</v>
      </c>
      <c r="V2407">
        <v>-0.25890800000000003</v>
      </c>
      <c r="W2407">
        <v>0.3916965</v>
      </c>
      <c r="X2407">
        <v>0.88291589999999998</v>
      </c>
      <c r="Y2407">
        <v>-0.42356199999999999</v>
      </c>
      <c r="Z2407">
        <v>0.1391502</v>
      </c>
      <c r="AA2407">
        <v>0.89511589999999996</v>
      </c>
      <c r="AB2407">
        <v>20</v>
      </c>
      <c r="AC2407">
        <v>5.7968999999999902</v>
      </c>
      <c r="AD2407">
        <v>-1.1141604206610001</v>
      </c>
      <c r="AE2407">
        <v>-4.03479999999999</v>
      </c>
      <c r="AF2407">
        <v>-3.0566132234343999</v>
      </c>
      <c r="AG2407">
        <v>-1.1141604206610001</v>
      </c>
      <c r="AH2407">
        <v>6.1763873324867999</v>
      </c>
      <c r="AI2407">
        <v>99.183844421732303</v>
      </c>
      <c r="AJ2407">
        <v>116.33020525481901</v>
      </c>
      <c r="AK2407">
        <v>6.9808307758851296</v>
      </c>
      <c r="AL2407">
        <v>66.939897996796901</v>
      </c>
      <c r="AM2407">
        <v>106.34335155703</v>
      </c>
      <c r="AN2407">
        <v>0.99999999352452895</v>
      </c>
    </row>
    <row r="2408" spans="1:40" x14ac:dyDescent="0.25">
      <c r="A2408" t="str">
        <f>"20190304164647776"</f>
        <v>20190304164647776</v>
      </c>
      <c r="B2408" t="str">
        <f>"1551689207770955"</f>
        <v>1551689207770955</v>
      </c>
      <c r="C2408" t="s">
        <v>40</v>
      </c>
      <c r="D2408">
        <v>4.219074</v>
      </c>
      <c r="E2408">
        <v>0.42117769999999999</v>
      </c>
      <c r="F2408" t="s">
        <v>45</v>
      </c>
      <c r="G2408">
        <v>-480.87709999999998</v>
      </c>
      <c r="H2408" s="1">
        <v>2.4929479999999999E-6</v>
      </c>
      <c r="I2408">
        <v>222.18860000000001</v>
      </c>
      <c r="J2408">
        <v>-486.70190000000002</v>
      </c>
      <c r="K2408">
        <v>1.1141179999999999</v>
      </c>
      <c r="L2408">
        <v>226.1121</v>
      </c>
      <c r="M2408">
        <v>0.49083120000000002</v>
      </c>
      <c r="N2408">
        <v>-1.3776139999999999E-2</v>
      </c>
      <c r="O2408">
        <v>-0.87114590000000003</v>
      </c>
      <c r="P2408">
        <v>0.65597240000000001</v>
      </c>
      <c r="Q2408">
        <v>0.38369150000000002</v>
      </c>
      <c r="R2408">
        <v>-0.6499857</v>
      </c>
      <c r="S2408">
        <v>2.8727420000000001</v>
      </c>
      <c r="T2408">
        <v>-0.53185559999999998</v>
      </c>
      <c r="U2408">
        <v>-2.0279240000000001</v>
      </c>
      <c r="V2408">
        <v>-0.25515320000000002</v>
      </c>
      <c r="W2408">
        <v>0.3941481</v>
      </c>
      <c r="X2408">
        <v>0.88291790000000003</v>
      </c>
      <c r="Y2408">
        <v>-0.41977900000000001</v>
      </c>
      <c r="Z2408">
        <v>0.13634869999999999</v>
      </c>
      <c r="AA2408">
        <v>0.89732639999999997</v>
      </c>
      <c r="AB2408">
        <v>20</v>
      </c>
      <c r="AC2408">
        <v>5.8248000000000397</v>
      </c>
      <c r="AD2408">
        <v>-1.1141155070519999</v>
      </c>
      <c r="AE2408">
        <v>-3.92349999999999</v>
      </c>
      <c r="AF2408">
        <v>-3.0714753615805601</v>
      </c>
      <c r="AG2408">
        <v>-1.1141155070519999</v>
      </c>
      <c r="AH2408">
        <v>6.1234258558053902</v>
      </c>
      <c r="AI2408">
        <v>99.237202874174599</v>
      </c>
      <c r="AJ2408">
        <v>116.63808081561901</v>
      </c>
      <c r="AK2408">
        <v>6.94057335321774</v>
      </c>
      <c r="AL2408">
        <v>66.787144922231107</v>
      </c>
      <c r="AM2408">
        <v>106.118690584983</v>
      </c>
      <c r="AN2408">
        <v>0.99999994917212798</v>
      </c>
    </row>
    <row r="2409" spans="1:40" x14ac:dyDescent="0.25">
      <c r="A2409" t="str">
        <f>"20190304164647797"</f>
        <v>20190304164647797</v>
      </c>
      <c r="B2409" t="str">
        <f>"1551689207790475"</f>
        <v>1551689207790475</v>
      </c>
      <c r="C2409" t="s">
        <v>40</v>
      </c>
      <c r="D2409">
        <v>4.2438549999999999</v>
      </c>
      <c r="E2409">
        <v>0.41902899999999998</v>
      </c>
      <c r="F2409" t="s">
        <v>41</v>
      </c>
      <c r="G2409">
        <v>-485.88560000000001</v>
      </c>
      <c r="H2409">
        <v>0.966727</v>
      </c>
      <c r="I2409">
        <v>225.5463</v>
      </c>
      <c r="J2409">
        <v>-486.60559999999998</v>
      </c>
      <c r="K2409">
        <v>1.114117</v>
      </c>
      <c r="L2409">
        <v>225.9528</v>
      </c>
      <c r="M2409">
        <v>0.49507210000000001</v>
      </c>
      <c r="N2409">
        <v>-1.3772019999999999E-2</v>
      </c>
      <c r="O2409">
        <v>-0.86874289999999998</v>
      </c>
      <c r="P2409">
        <v>0.65807850000000001</v>
      </c>
      <c r="Q2409">
        <v>0.38528380000000001</v>
      </c>
      <c r="R2409">
        <v>-0.64690760000000003</v>
      </c>
      <c r="S2409">
        <v>2.8921809999999999</v>
      </c>
      <c r="T2409">
        <v>-0.52227209999999902</v>
      </c>
      <c r="U2409">
        <v>-2.0049440000000001</v>
      </c>
      <c r="V2409">
        <v>-0.25418459999999998</v>
      </c>
      <c r="W2409">
        <v>0.39573829999999999</v>
      </c>
      <c r="X2409">
        <v>0.88248590000000005</v>
      </c>
      <c r="Y2409">
        <v>-0.42334539999999998</v>
      </c>
      <c r="Z2409">
        <v>0.13363829999999999</v>
      </c>
      <c r="AA2409">
        <v>0.89605780000000002</v>
      </c>
      <c r="AB2409">
        <v>20</v>
      </c>
      <c r="AC2409">
        <v>0.71999999999997</v>
      </c>
      <c r="AD2409">
        <v>-0.14738999999999999</v>
      </c>
      <c r="AE2409">
        <v>-0.40649999999999398</v>
      </c>
      <c r="AF2409">
        <v>-0.41122106052579999</v>
      </c>
      <c r="AG2409">
        <v>-0.14738999999999999</v>
      </c>
      <c r="AH2409">
        <v>0.687806953279269</v>
      </c>
      <c r="AI2409">
        <v>100.421616146898</v>
      </c>
      <c r="AJ2409">
        <v>120.874054562235</v>
      </c>
      <c r="AK2409">
        <v>0.81480364364629199</v>
      </c>
      <c r="AL2409">
        <v>66.687971814448602</v>
      </c>
      <c r="AM2409">
        <v>106.06811881313899</v>
      </c>
      <c r="AN2409">
        <v>0.999999988331429</v>
      </c>
    </row>
    <row r="2410" spans="1:40" x14ac:dyDescent="0.25">
      <c r="A2410" t="str">
        <f>"20190304164647820"</f>
        <v>20190304164647820</v>
      </c>
      <c r="B2410" t="str">
        <f>"1551689207810971"</f>
        <v>1551689207810971</v>
      </c>
      <c r="C2410" t="s">
        <v>40</v>
      </c>
      <c r="D2410">
        <v>4.5308519999999897</v>
      </c>
      <c r="E2410">
        <v>0.45502100000000001</v>
      </c>
      <c r="F2410" t="s">
        <v>41</v>
      </c>
      <c r="G2410">
        <v>-485.79059999999998</v>
      </c>
      <c r="H2410">
        <v>0.9651788</v>
      </c>
      <c r="I2410">
        <v>225.39750000000001</v>
      </c>
      <c r="J2410">
        <v>-486.49509999999998</v>
      </c>
      <c r="K2410">
        <v>1.114136</v>
      </c>
      <c r="L2410">
        <v>225.7722</v>
      </c>
      <c r="M2410">
        <v>0.4998938</v>
      </c>
      <c r="N2410">
        <v>-1.376791E-2</v>
      </c>
      <c r="O2410">
        <v>-0.86597739999999901</v>
      </c>
      <c r="P2410">
        <v>0.66013489999999997</v>
      </c>
      <c r="Q2410">
        <v>0.38735439999999999</v>
      </c>
      <c r="R2410">
        <v>-0.64356729999999995</v>
      </c>
      <c r="S2410">
        <v>2.917297</v>
      </c>
      <c r="T2410">
        <v>-0.53299989999999997</v>
      </c>
      <c r="U2410">
        <v>-1.987198</v>
      </c>
      <c r="V2410">
        <v>-0.252716</v>
      </c>
      <c r="W2410">
        <v>0.3978043</v>
      </c>
      <c r="X2410">
        <v>0.8819787</v>
      </c>
      <c r="Y2410">
        <v>-0.4253381</v>
      </c>
      <c r="Z2410">
        <v>0.13601369999999999</v>
      </c>
      <c r="AA2410">
        <v>0.89475569999999904</v>
      </c>
      <c r="AB2410">
        <v>20</v>
      </c>
      <c r="AC2410">
        <v>0.70449999999999502</v>
      </c>
      <c r="AD2410">
        <v>-0.14895720000000001</v>
      </c>
      <c r="AE2410">
        <v>-0.37469999999998999</v>
      </c>
      <c r="AF2410">
        <v>-0.40857306236253199</v>
      </c>
      <c r="AG2410">
        <v>-0.14895720000000001</v>
      </c>
      <c r="AH2410">
        <v>0.65393291295368405</v>
      </c>
      <c r="AI2410">
        <v>100.933751263723</v>
      </c>
      <c r="AJ2410">
        <v>121.996876139093</v>
      </c>
      <c r="AK2410">
        <v>0.78533333646562398</v>
      </c>
      <c r="AL2410">
        <v>66.5590145673102</v>
      </c>
      <c r="AM2410">
        <v>105.988754925563</v>
      </c>
      <c r="AN2410">
        <v>1.0000000325040801</v>
      </c>
    </row>
    <row r="2411" spans="1:40" x14ac:dyDescent="0.25">
      <c r="A2411" t="str">
        <f>"20190304164647843"</f>
        <v>20190304164647843</v>
      </c>
      <c r="B2411" t="str">
        <f>"1551689207831467"</f>
        <v>1551689207831467</v>
      </c>
      <c r="C2411" t="s">
        <v>40</v>
      </c>
      <c r="D2411">
        <v>4.297695</v>
      </c>
      <c r="E2411">
        <v>0.50463359999999902</v>
      </c>
      <c r="F2411" t="s">
        <v>45</v>
      </c>
      <c r="G2411">
        <v>-479.81099999999998</v>
      </c>
      <c r="H2411" s="1">
        <v>1.9943110000000002E-6</v>
      </c>
      <c r="I2411">
        <v>220.43549999999999</v>
      </c>
      <c r="J2411">
        <v>-486.39139999999998</v>
      </c>
      <c r="K2411">
        <v>1.114163</v>
      </c>
      <c r="L2411">
        <v>225.60499999999999</v>
      </c>
      <c r="M2411">
        <v>0.50438739999999904</v>
      </c>
      <c r="N2411">
        <v>-1.3764800000000001E-2</v>
      </c>
      <c r="O2411">
        <v>-0.86336789999999997</v>
      </c>
      <c r="P2411">
        <v>0.66270669999999898</v>
      </c>
      <c r="Q2411">
        <v>0.38915650000000002</v>
      </c>
      <c r="R2411">
        <v>-0.63982609999999995</v>
      </c>
      <c r="S2411">
        <v>2.7041019999999998</v>
      </c>
      <c r="T2411">
        <v>-0.45073410000000003</v>
      </c>
      <c r="U2411">
        <v>-2.1590419999999999</v>
      </c>
      <c r="V2411">
        <v>-0.25223089999999998</v>
      </c>
      <c r="W2411">
        <v>0.3995919</v>
      </c>
      <c r="X2411">
        <v>0.88130919999999902</v>
      </c>
      <c r="Y2411">
        <v>-0.35405300000000001</v>
      </c>
      <c r="Z2411">
        <v>0.1130965</v>
      </c>
      <c r="AA2411">
        <v>0.92836180000000001</v>
      </c>
      <c r="AB2411">
        <v>20</v>
      </c>
      <c r="AC2411">
        <v>6.5803999999999903</v>
      </c>
      <c r="AD2411">
        <v>-1.1141610056889999</v>
      </c>
      <c r="AE2411">
        <v>-5.1694999999999904</v>
      </c>
      <c r="AF2411">
        <v>-3.02061918032244</v>
      </c>
      <c r="AG2411">
        <v>-1.1141610056889999</v>
      </c>
      <c r="AH2411">
        <v>7.64742017940923</v>
      </c>
      <c r="AI2411">
        <v>97.716796293950395</v>
      </c>
      <c r="AJ2411">
        <v>111.55329540495801</v>
      </c>
      <c r="AK2411">
        <v>8.2975014540261007</v>
      </c>
      <c r="AL2411">
        <v>66.447331585549506</v>
      </c>
      <c r="AM2411">
        <v>105.971134082939</v>
      </c>
      <c r="AN2411">
        <v>1.0000000097325299</v>
      </c>
    </row>
    <row r="2412" spans="1:40" x14ac:dyDescent="0.25">
      <c r="A2412" t="str">
        <f>"20190304164647866"</f>
        <v>20190304164647866</v>
      </c>
      <c r="B2412" t="str">
        <f>"1551689207860747"</f>
        <v>1551689207860747</v>
      </c>
      <c r="C2412" t="s">
        <v>40</v>
      </c>
      <c r="D2412">
        <v>4.2926659999999996</v>
      </c>
      <c r="E2412">
        <v>0.51205559999999894</v>
      </c>
      <c r="F2412" t="s">
        <v>45</v>
      </c>
      <c r="G2412">
        <v>-480.1377</v>
      </c>
      <c r="H2412" s="1">
        <v>1.782504E-6</v>
      </c>
      <c r="I2412">
        <v>219.37479999999999</v>
      </c>
      <c r="J2412">
        <v>-486.2824</v>
      </c>
      <c r="K2412">
        <v>1.1141859999999999</v>
      </c>
      <c r="L2412">
        <v>225.43109999999999</v>
      </c>
      <c r="M2412">
        <v>0.50909539999999998</v>
      </c>
      <c r="N2412">
        <v>-1.376261E-2</v>
      </c>
      <c r="O2412">
        <v>-0.86060040000000004</v>
      </c>
      <c r="P2412">
        <v>0.66629579999999999</v>
      </c>
      <c r="Q2412">
        <v>0.38982420000000001</v>
      </c>
      <c r="R2412">
        <v>-0.63567890000000005</v>
      </c>
      <c r="S2412">
        <v>2.4374690000000001</v>
      </c>
      <c r="T2412">
        <v>-0.43425799999999998</v>
      </c>
      <c r="U2412">
        <v>-2.4282680000000001</v>
      </c>
      <c r="V2412">
        <v>-0.25260320000000003</v>
      </c>
      <c r="W2412">
        <v>0.40024100000000001</v>
      </c>
      <c r="X2412">
        <v>0.88090800000000002</v>
      </c>
      <c r="Y2412">
        <v>-0.24570719999999999</v>
      </c>
      <c r="Z2412">
        <v>0.10497570000000001</v>
      </c>
      <c r="AA2412">
        <v>0.96364309999999997</v>
      </c>
      <c r="AB2412">
        <v>20</v>
      </c>
      <c r="AC2412">
        <v>6.1447000000000003</v>
      </c>
      <c r="AD2412">
        <v>-1.1141842174959999</v>
      </c>
      <c r="AE2412">
        <v>-6.0562999999999896</v>
      </c>
      <c r="AF2412">
        <v>-2.1689326816380801</v>
      </c>
      <c r="AG2412">
        <v>-1.1141842174959999</v>
      </c>
      <c r="AH2412">
        <v>8.2042539905459293</v>
      </c>
      <c r="AI2412">
        <v>97.479868161850007</v>
      </c>
      <c r="AJ2412">
        <v>104.80832463327</v>
      </c>
      <c r="AK2412">
        <v>8.5589402959352192</v>
      </c>
      <c r="AL2412">
        <v>66.406756326850697</v>
      </c>
      <c r="AM2412">
        <v>106.000414432871</v>
      </c>
      <c r="AN2412">
        <v>1.0000000695976099</v>
      </c>
    </row>
    <row r="2413" spans="1:40" x14ac:dyDescent="0.25">
      <c r="A2413" t="str">
        <f>"20190304164647888"</f>
        <v>20190304164647888</v>
      </c>
      <c r="B2413" t="str">
        <f>"1551689207881243"</f>
        <v>1551689207881243</v>
      </c>
      <c r="C2413" t="s">
        <v>40</v>
      </c>
      <c r="D2413">
        <v>4.2822380000000004</v>
      </c>
      <c r="E2413">
        <v>0.51351970000000002</v>
      </c>
      <c r="F2413" t="s">
        <v>45</v>
      </c>
      <c r="G2413">
        <v>-480.24700000000001</v>
      </c>
      <c r="H2413" s="1">
        <v>1.7981479999999901E-6</v>
      </c>
      <c r="I2413">
        <v>219.28919999999999</v>
      </c>
      <c r="J2413">
        <v>-486.17399999999998</v>
      </c>
      <c r="K2413">
        <v>1.1142110000000001</v>
      </c>
      <c r="L2413">
        <v>225.2604</v>
      </c>
      <c r="M2413">
        <v>0.51375760000000004</v>
      </c>
      <c r="N2413">
        <v>-1.3761290000000001E-2</v>
      </c>
      <c r="O2413">
        <v>-0.85782519999999995</v>
      </c>
      <c r="P2413">
        <v>0.66995280000000001</v>
      </c>
      <c r="Q2413">
        <v>0.38962210000000003</v>
      </c>
      <c r="R2413">
        <v>-0.63194779999999995</v>
      </c>
      <c r="S2413">
        <v>2.416992</v>
      </c>
      <c r="T2413">
        <v>-0.44619609999999899</v>
      </c>
      <c r="U2413">
        <v>-2.459641</v>
      </c>
      <c r="V2413">
        <v>-0.25286209999999998</v>
      </c>
      <c r="W2413">
        <v>0.4000242</v>
      </c>
      <c r="X2413">
        <v>0.88093220000000005</v>
      </c>
      <c r="Y2413">
        <v>-0.2299834</v>
      </c>
      <c r="Z2413">
        <v>0.10701960000000001</v>
      </c>
      <c r="AA2413">
        <v>0.96729229999999999</v>
      </c>
      <c r="AB2413">
        <v>20</v>
      </c>
      <c r="AC2413">
        <v>5.9270000000000698</v>
      </c>
      <c r="AD2413">
        <v>-1.114209201852</v>
      </c>
      <c r="AE2413">
        <v>-5.9711999999999996</v>
      </c>
      <c r="AF2413">
        <v>-1.98200955308296</v>
      </c>
      <c r="AG2413">
        <v>-1.114209201852</v>
      </c>
      <c r="AH2413">
        <v>8.0272721455548499</v>
      </c>
      <c r="AI2413">
        <v>97.674721915994994</v>
      </c>
      <c r="AJ2413">
        <v>103.86946475409999</v>
      </c>
      <c r="AK2413">
        <v>8.3430762979134094</v>
      </c>
      <c r="AL2413">
        <v>66.420310444961103</v>
      </c>
      <c r="AM2413">
        <v>106.01555566733499</v>
      </c>
      <c r="AN2413">
        <v>1.0000000715994399</v>
      </c>
    </row>
    <row r="2414" spans="1:40" x14ac:dyDescent="0.25">
      <c r="A2414" t="str">
        <f>"20190304164647912"</f>
        <v>20190304164647912</v>
      </c>
      <c r="B2414" t="str">
        <f>"1551689207900763"</f>
        <v>1551689207900763</v>
      </c>
      <c r="C2414" t="s">
        <v>40</v>
      </c>
      <c r="D2414">
        <v>4.2547790000000001</v>
      </c>
      <c r="E2414">
        <v>0.51422380000000001</v>
      </c>
      <c r="F2414" t="s">
        <v>45</v>
      </c>
      <c r="G2414">
        <v>-480.1481</v>
      </c>
      <c r="H2414" s="1">
        <v>1.7749430000000001E-6</v>
      </c>
      <c r="I2414">
        <v>219.15969999999999</v>
      </c>
      <c r="J2414">
        <v>-486.06130000000002</v>
      </c>
      <c r="K2414">
        <v>1.1142379999999901</v>
      </c>
      <c r="L2414">
        <v>225.08510000000001</v>
      </c>
      <c r="M2414">
        <v>0.51859160000000004</v>
      </c>
      <c r="N2414">
        <v>-1.376057E-2</v>
      </c>
      <c r="O2414">
        <v>-0.85491130000000004</v>
      </c>
      <c r="P2414">
        <v>0.67450049999999995</v>
      </c>
      <c r="Q2414">
        <v>0.38948969999999999</v>
      </c>
      <c r="R2414">
        <v>-0.62717400000000001</v>
      </c>
      <c r="S2414">
        <v>2.4238279999999999</v>
      </c>
      <c r="T2414">
        <v>-0.44817129999999999</v>
      </c>
      <c r="U2414">
        <v>-2.4539179999999998</v>
      </c>
      <c r="V2414">
        <v>-0.25424200000000002</v>
      </c>
      <c r="W2414">
        <v>0.3998621</v>
      </c>
      <c r="X2414">
        <v>0.88060849999999902</v>
      </c>
      <c r="Y2414">
        <v>-0.226962</v>
      </c>
      <c r="Z2414">
        <v>0.107141</v>
      </c>
      <c r="AA2414">
        <v>0.96799230000000003</v>
      </c>
      <c r="AB2414">
        <v>20</v>
      </c>
      <c r="AC2414">
        <v>5.9132000000000096</v>
      </c>
      <c r="AD2414">
        <v>-1.1142362250569999</v>
      </c>
      <c r="AE2414">
        <v>-5.9254000000000202</v>
      </c>
      <c r="AF2414">
        <v>-1.94807314203709</v>
      </c>
      <c r="AG2414">
        <v>-1.1142362250569999</v>
      </c>
      <c r="AH2414">
        <v>7.9914158857583502</v>
      </c>
      <c r="AI2414">
        <v>97.714462712515299</v>
      </c>
      <c r="AJ2414">
        <v>103.69983717020099</v>
      </c>
      <c r="AK2414">
        <v>8.3005565591173696</v>
      </c>
      <c r="AL2414">
        <v>66.430442330670402</v>
      </c>
      <c r="AM2414">
        <v>106.10404899650899</v>
      </c>
      <c r="AN2414">
        <v>1.0000000119263199</v>
      </c>
    </row>
    <row r="2415" spans="1:40" x14ac:dyDescent="0.25">
      <c r="A2415" t="str">
        <f>"20190304164647934"</f>
        <v>20190304164647934</v>
      </c>
      <c r="B2415" t="str">
        <f>"1551689207931019"</f>
        <v>1551689207931019</v>
      </c>
      <c r="C2415" t="s">
        <v>40</v>
      </c>
      <c r="D2415">
        <v>4.2780389999999997</v>
      </c>
      <c r="E2415">
        <v>0.51480789999999998</v>
      </c>
      <c r="F2415" t="s">
        <v>45</v>
      </c>
      <c r="G2415">
        <v>-480.02109999999999</v>
      </c>
      <c r="H2415" s="1">
        <v>1.7471129999999999E-6</v>
      </c>
      <c r="I2415">
        <v>219.0384</v>
      </c>
      <c r="J2415">
        <v>-485.95310000000001</v>
      </c>
      <c r="K2415">
        <v>1.114269</v>
      </c>
      <c r="L2415">
        <v>224.91890000000001</v>
      </c>
      <c r="M2415">
        <v>0.52322380000000002</v>
      </c>
      <c r="N2415">
        <v>-1.3760649999999999E-2</v>
      </c>
      <c r="O2415">
        <v>-0.85208430000000002</v>
      </c>
      <c r="P2415">
        <v>0.67803440000000004</v>
      </c>
      <c r="Q2415">
        <v>0.38969910000000002</v>
      </c>
      <c r="R2415">
        <v>-0.62322100000000002</v>
      </c>
      <c r="S2415">
        <v>2.4380489999999999</v>
      </c>
      <c r="T2415">
        <v>-0.4497448</v>
      </c>
      <c r="U2415">
        <v>-2.440674</v>
      </c>
      <c r="V2415">
        <v>-0.2545384</v>
      </c>
      <c r="W2415">
        <v>0.4000495</v>
      </c>
      <c r="X2415">
        <v>0.88043769999999999</v>
      </c>
      <c r="Y2415">
        <v>-0.227105</v>
      </c>
      <c r="Z2415">
        <v>0.1072858</v>
      </c>
      <c r="AA2415">
        <v>0.96794270000000004</v>
      </c>
      <c r="AB2415">
        <v>20</v>
      </c>
      <c r="AC2415">
        <v>5.9320000000000102</v>
      </c>
      <c r="AD2415">
        <v>-1.1142672528869999</v>
      </c>
      <c r="AE2415">
        <v>-5.8805000000000103</v>
      </c>
      <c r="AF2415">
        <v>-1.9433502165533201</v>
      </c>
      <c r="AG2415">
        <v>-1.1142672528869999</v>
      </c>
      <c r="AH2415">
        <v>7.9733216328473899</v>
      </c>
      <c r="AI2415">
        <v>97.732039485762101</v>
      </c>
      <c r="AJ2415">
        <v>103.69772037645301</v>
      </c>
      <c r="AK2415">
        <v>8.2820323252125991</v>
      </c>
      <c r="AL2415">
        <v>66.418726290256998</v>
      </c>
      <c r="AM2415">
        <v>106.124813539223</v>
      </c>
      <c r="AN2415">
        <v>0.99999997155304898</v>
      </c>
    </row>
    <row r="2416" spans="1:40" x14ac:dyDescent="0.25">
      <c r="A2416" t="str">
        <f>"20190304164647976"</f>
        <v>20190304164647976</v>
      </c>
      <c r="B2416" t="str">
        <f>"1551689207971035"</f>
        <v>1551689207971035</v>
      </c>
      <c r="C2416" t="s">
        <v>40</v>
      </c>
      <c r="D2416">
        <v>4.3072410000000003</v>
      </c>
      <c r="E2416">
        <v>0.51588040000000002</v>
      </c>
      <c r="F2416" t="s">
        <v>45</v>
      </c>
      <c r="G2416">
        <v>-479.94040000000001</v>
      </c>
      <c r="H2416" s="1">
        <v>1.7397240000000001E-6</v>
      </c>
      <c r="I2416">
        <v>218.9503</v>
      </c>
      <c r="J2416">
        <v>-485.74700000000001</v>
      </c>
      <c r="K2416">
        <v>1.114323</v>
      </c>
      <c r="L2416">
        <v>224.60830000000001</v>
      </c>
      <c r="M2416">
        <v>0.53203880000000003</v>
      </c>
      <c r="N2416">
        <v>-1.3762659999999999E-2</v>
      </c>
      <c r="O2416">
        <v>-0.84660820000000003</v>
      </c>
      <c r="P2416">
        <v>0.6830003</v>
      </c>
      <c r="Q2416">
        <v>0.3901926</v>
      </c>
      <c r="R2416">
        <v>-0.61746290000000004</v>
      </c>
      <c r="S2416">
        <v>2.4500730000000002</v>
      </c>
      <c r="T2416">
        <v>-0.45404929999999899</v>
      </c>
      <c r="U2416">
        <v>-2.4321290000000002</v>
      </c>
      <c r="V2416">
        <v>-0.25266539999999998</v>
      </c>
      <c r="W2416">
        <v>0.40052359999999998</v>
      </c>
      <c r="X2416">
        <v>0.88076160000000003</v>
      </c>
      <c r="Y2416">
        <v>-0.221028</v>
      </c>
      <c r="Z2416">
        <v>0.10758280000000001</v>
      </c>
      <c r="AA2416">
        <v>0.9693155</v>
      </c>
      <c r="AB2416">
        <v>20</v>
      </c>
      <c r="AC2416">
        <v>5.80659999999994</v>
      </c>
      <c r="AD2416">
        <v>-1.114321260276</v>
      </c>
      <c r="AE2416">
        <v>-5.6580000000000101</v>
      </c>
      <c r="AF2416">
        <v>-1.8704842762398901</v>
      </c>
      <c r="AG2416">
        <v>-1.114321260276</v>
      </c>
      <c r="AH2416">
        <v>7.7340851510641304</v>
      </c>
      <c r="AI2416">
        <v>97.971962306441</v>
      </c>
      <c r="AJ2416">
        <v>103.59588587633399</v>
      </c>
      <c r="AK2416">
        <v>8.0347057458673898</v>
      </c>
      <c r="AL2416">
        <v>66.389084109073906</v>
      </c>
      <c r="AM2416">
        <v>106.006676522342</v>
      </c>
      <c r="AN2416">
        <v>0.99999997727433898</v>
      </c>
    </row>
    <row r="2417" spans="1:40" x14ac:dyDescent="0.25">
      <c r="A2417" t="str">
        <f>"20190304164647999"</f>
        <v>20190304164647999</v>
      </c>
      <c r="B2417" t="str">
        <f>"1551689207990555"</f>
        <v>1551689207990555</v>
      </c>
      <c r="C2417" t="s">
        <v>40</v>
      </c>
      <c r="D2417">
        <v>4.3067919999999997</v>
      </c>
      <c r="E2417">
        <v>0.51638909999999905</v>
      </c>
      <c r="F2417" t="s">
        <v>45</v>
      </c>
      <c r="G2417">
        <v>-479.78440000000001</v>
      </c>
      <c r="H2417" s="1">
        <v>1.800793E-6</v>
      </c>
      <c r="I2417">
        <v>218.76480000000001</v>
      </c>
      <c r="J2417">
        <v>-485.63659999999999</v>
      </c>
      <c r="K2417">
        <v>1.1143479999999999</v>
      </c>
      <c r="L2417">
        <v>224.44499999999999</v>
      </c>
      <c r="M2417">
        <v>0.53675419999999996</v>
      </c>
      <c r="N2417">
        <v>-1.3764480000000001E-2</v>
      </c>
      <c r="O2417">
        <v>-0.8436264</v>
      </c>
      <c r="P2417">
        <v>0.68570159999999902</v>
      </c>
      <c r="Q2417">
        <v>0.39033899999999999</v>
      </c>
      <c r="R2417">
        <v>-0.61436869999999999</v>
      </c>
      <c r="S2417">
        <v>2.4686889999999999</v>
      </c>
      <c r="T2417">
        <v>-0.46136199999999999</v>
      </c>
      <c r="U2417">
        <v>-2.4194179999999998</v>
      </c>
      <c r="V2417">
        <v>-0.25169019999999998</v>
      </c>
      <c r="W2417">
        <v>0.40066210000000002</v>
      </c>
      <c r="X2417">
        <v>0.88097780000000003</v>
      </c>
      <c r="Y2417">
        <v>-0.2216458</v>
      </c>
      <c r="Z2417">
        <v>0.1090646</v>
      </c>
      <c r="AA2417">
        <v>0.9690088</v>
      </c>
      <c r="AB2417">
        <v>20</v>
      </c>
      <c r="AC2417">
        <v>5.8521999999999803</v>
      </c>
      <c r="AD2417">
        <v>-1.1143461992069901</v>
      </c>
      <c r="AE2417">
        <v>-5.6801999999999797</v>
      </c>
      <c r="AF2417">
        <v>-1.8537690063913701</v>
      </c>
      <c r="AG2417">
        <v>-1.1143461992069901</v>
      </c>
      <c r="AH2417">
        <v>7.7885030953196104</v>
      </c>
      <c r="AI2417">
        <v>97.923951654678604</v>
      </c>
      <c r="AJ2417">
        <v>103.388066541108</v>
      </c>
      <c r="AK2417">
        <v>8.0832547557619101</v>
      </c>
      <c r="AL2417">
        <v>66.380423417837605</v>
      </c>
      <c r="AM2417">
        <v>105.944329049982</v>
      </c>
      <c r="AN2417">
        <v>0.99999997962264398</v>
      </c>
    </row>
    <row r="2418" spans="1:40" x14ac:dyDescent="0.25">
      <c r="A2418" t="str">
        <f>"20190304164648024"</f>
        <v>20190304164648024</v>
      </c>
      <c r="B2418" t="str">
        <f>"1551689208020811"</f>
        <v>1551689208020811</v>
      </c>
      <c r="C2418" t="s">
        <v>40</v>
      </c>
      <c r="D2418">
        <v>4.2628979999999999</v>
      </c>
      <c r="E2418">
        <v>0.51680859999999995</v>
      </c>
      <c r="F2418" t="s">
        <v>45</v>
      </c>
      <c r="G2418">
        <v>-479.7054</v>
      </c>
      <c r="H2418" s="1">
        <v>1.831709E-6</v>
      </c>
      <c r="I2418">
        <v>218.67</v>
      </c>
      <c r="J2418">
        <v>-485.5127</v>
      </c>
      <c r="K2418">
        <v>1.114392</v>
      </c>
      <c r="L2418">
        <v>224.26419999999999</v>
      </c>
      <c r="M2418">
        <v>0.5420393</v>
      </c>
      <c r="N2418">
        <v>-1.376666E-2</v>
      </c>
      <c r="O2418">
        <v>-0.84024049999999995</v>
      </c>
      <c r="P2418">
        <v>0.68930100000000005</v>
      </c>
      <c r="Q2418">
        <v>0.38976690000000003</v>
      </c>
      <c r="R2418">
        <v>-0.61069329999999999</v>
      </c>
      <c r="S2418">
        <v>2.4782099999999998</v>
      </c>
      <c r="T2418">
        <v>-0.46560049999999997</v>
      </c>
      <c r="U2418">
        <v>-2.4129179999999999</v>
      </c>
      <c r="V2418">
        <v>-0.2511661</v>
      </c>
      <c r="W2418">
        <v>0.40008139999999998</v>
      </c>
      <c r="X2418">
        <v>0.88139120000000004</v>
      </c>
      <c r="Y2418">
        <v>-0.2186263</v>
      </c>
      <c r="Z2418">
        <v>0.1096289</v>
      </c>
      <c r="AA2418">
        <v>0.96963089999999996</v>
      </c>
      <c r="AB2418">
        <v>20</v>
      </c>
      <c r="AC2418">
        <v>5.8072999999999899</v>
      </c>
      <c r="AD2418">
        <v>-1.114390168291</v>
      </c>
      <c r="AE2418">
        <v>-5.5941999999999998</v>
      </c>
      <c r="AF2418">
        <v>-1.8128030899894001</v>
      </c>
      <c r="AG2418">
        <v>-1.114390168291</v>
      </c>
      <c r="AH2418">
        <v>7.7018964741019902</v>
      </c>
      <c r="AI2418">
        <v>98.016901766903899</v>
      </c>
      <c r="AJ2418">
        <v>103.24469389982301</v>
      </c>
      <c r="AK2418">
        <v>7.9904524144783897</v>
      </c>
      <c r="AL2418">
        <v>66.416732514825696</v>
      </c>
      <c r="AM2418">
        <v>105.90572466748</v>
      </c>
      <c r="AN2418">
        <v>0.99999999192630495</v>
      </c>
    </row>
    <row r="2419" spans="1:40" x14ac:dyDescent="0.25">
      <c r="A2419" t="str">
        <f>"20190304164648043"</f>
        <v>20190304164648043</v>
      </c>
      <c r="B2419" t="str">
        <f>"1551689208041308"</f>
        <v>1551689208041308</v>
      </c>
      <c r="C2419" t="s">
        <v>40</v>
      </c>
      <c r="D2419">
        <v>4.5164879999999998</v>
      </c>
      <c r="E2419">
        <v>0.51673080000000005</v>
      </c>
      <c r="F2419" t="s">
        <v>45</v>
      </c>
      <c r="G2419">
        <v>-479.63589999999999</v>
      </c>
      <c r="H2419" s="1">
        <v>1.859242E-6</v>
      </c>
      <c r="I2419">
        <v>218.59469999999999</v>
      </c>
      <c r="J2419">
        <v>-485.416</v>
      </c>
      <c r="K2419">
        <v>1.114422</v>
      </c>
      <c r="L2419">
        <v>224.12479999999999</v>
      </c>
      <c r="M2419">
        <v>0.5461781</v>
      </c>
      <c r="N2419">
        <v>-1.376896E-2</v>
      </c>
      <c r="O2419">
        <v>-0.83755599999999997</v>
      </c>
      <c r="P2419">
        <v>0.69228250000000002</v>
      </c>
      <c r="Q2419">
        <v>0.38949440000000002</v>
      </c>
      <c r="R2419">
        <v>-0.60748610000000003</v>
      </c>
      <c r="S2419">
        <v>2.49057</v>
      </c>
      <c r="T2419">
        <v>-0.4722693</v>
      </c>
      <c r="U2419">
        <v>-2.4027099999999999</v>
      </c>
      <c r="V2419">
        <v>-0.2510655</v>
      </c>
      <c r="W2419">
        <v>0.39979480000000001</v>
      </c>
      <c r="X2419">
        <v>0.88154999999999994</v>
      </c>
      <c r="Y2419">
        <v>-0.21813679999999999</v>
      </c>
      <c r="Z2419">
        <v>0.1109882</v>
      </c>
      <c r="AA2419">
        <v>0.96958650000000002</v>
      </c>
      <c r="AB2419">
        <v>20</v>
      </c>
      <c r="AC2419">
        <v>5.7801</v>
      </c>
      <c r="AD2419">
        <v>-1.1144201407580001</v>
      </c>
      <c r="AE2419">
        <v>-5.5301</v>
      </c>
      <c r="AF2419">
        <v>-1.7862434340842199</v>
      </c>
      <c r="AG2419">
        <v>-1.1144201407580001</v>
      </c>
      <c r="AH2419">
        <v>7.6411723222052297</v>
      </c>
      <c r="AI2419">
        <v>98.082834635158804</v>
      </c>
      <c r="AJ2419">
        <v>103.157509741878</v>
      </c>
      <c r="AK2419">
        <v>7.9259139733895196</v>
      </c>
      <c r="AL2419">
        <v>66.434651059339402</v>
      </c>
      <c r="AM2419">
        <v>105.896956670672</v>
      </c>
      <c r="AN2419">
        <v>1.0000000849486399</v>
      </c>
    </row>
    <row r="2420" spans="1:40" x14ac:dyDescent="0.25">
      <c r="A2420" t="str">
        <f>"20190304164648066"</f>
        <v>20190304164648066</v>
      </c>
      <c r="B2420" t="str">
        <f>"1551689208060827"</f>
        <v>1551689208060827</v>
      </c>
      <c r="C2420" t="s">
        <v>40</v>
      </c>
      <c r="D2420">
        <v>4.3270949999999999</v>
      </c>
      <c r="E2420">
        <v>0.48349350000000002</v>
      </c>
      <c r="F2420" t="s">
        <v>45</v>
      </c>
      <c r="G2420">
        <v>-479.50549999999998</v>
      </c>
      <c r="H2420" s="1">
        <v>1.9117490000000001E-6</v>
      </c>
      <c r="I2420">
        <v>218.47300000000001</v>
      </c>
      <c r="J2420">
        <v>-485.30410000000001</v>
      </c>
      <c r="K2420">
        <v>1.1144620000000001</v>
      </c>
      <c r="L2420">
        <v>223.96559999999999</v>
      </c>
      <c r="M2420">
        <v>0.55097910000000005</v>
      </c>
      <c r="N2420">
        <v>-1.37728999999999E-2</v>
      </c>
      <c r="O2420">
        <v>-0.83440539999999996</v>
      </c>
      <c r="P2420">
        <v>0.69603809999999999</v>
      </c>
      <c r="Q2420">
        <v>0.3895362</v>
      </c>
      <c r="R2420">
        <v>-0.60315240000000003</v>
      </c>
      <c r="S2420">
        <v>2.5005489999999999</v>
      </c>
      <c r="T2420">
        <v>-0.47147670000000003</v>
      </c>
      <c r="U2420">
        <v>-2.3911129999999998</v>
      </c>
      <c r="V2420">
        <v>-0.25153219999999998</v>
      </c>
      <c r="W2420">
        <v>0.39980779999999999</v>
      </c>
      <c r="X2420">
        <v>0.88141099999999994</v>
      </c>
      <c r="Y2420">
        <v>-0.21685199999999999</v>
      </c>
      <c r="Z2420">
        <v>0.1104567</v>
      </c>
      <c r="AA2420">
        <v>0.9699354</v>
      </c>
      <c r="AB2420">
        <v>20</v>
      </c>
      <c r="AC2420">
        <v>5.79860000000002</v>
      </c>
      <c r="AD2420">
        <v>-1.1144600882510001</v>
      </c>
      <c r="AE2420">
        <v>-5.4926000000000004</v>
      </c>
      <c r="AF2420">
        <v>-1.7776370925117799</v>
      </c>
      <c r="AG2420">
        <v>-1.1144600882510001</v>
      </c>
      <c r="AH2420">
        <v>7.6301433478671497</v>
      </c>
      <c r="AI2420">
        <v>98.096046244213298</v>
      </c>
      <c r="AJ2420">
        <v>103.11458152517</v>
      </c>
      <c r="AK2420">
        <v>7.9133496340032599</v>
      </c>
      <c r="AL2420">
        <v>66.433837264032505</v>
      </c>
      <c r="AM2420">
        <v>105.927393895484</v>
      </c>
      <c r="AN2420">
        <v>1.0000000377493301</v>
      </c>
    </row>
    <row r="2421" spans="1:40" x14ac:dyDescent="0.25">
      <c r="A2421" t="str">
        <f>"20190304164648088"</f>
        <v>20190304164648088</v>
      </c>
      <c r="B2421" t="str">
        <f>"1551689208081324"</f>
        <v>1551689208081324</v>
      </c>
      <c r="C2421" t="s">
        <v>40</v>
      </c>
      <c r="D2421">
        <v>4.311077</v>
      </c>
      <c r="E2421">
        <v>0.47833409999999899</v>
      </c>
      <c r="F2421" t="s">
        <v>45</v>
      </c>
      <c r="G2421">
        <v>-477.63690000000003</v>
      </c>
      <c r="H2421" s="1">
        <v>2.709254E-6</v>
      </c>
      <c r="I2421">
        <v>217.761</v>
      </c>
      <c r="J2421">
        <v>-485.18819999999999</v>
      </c>
      <c r="K2421">
        <v>1.1145080000000001</v>
      </c>
      <c r="L2421">
        <v>223.80289999999999</v>
      </c>
      <c r="M2421">
        <v>0.55596659999999998</v>
      </c>
      <c r="N2421">
        <v>-1.3778159999999999E-2</v>
      </c>
      <c r="O2421">
        <v>-0.83109069999999996</v>
      </c>
      <c r="P2421">
        <v>0.70040340000000001</v>
      </c>
      <c r="Q2421">
        <v>0.38972430000000002</v>
      </c>
      <c r="R2421">
        <v>-0.59795509999999996</v>
      </c>
      <c r="S2421">
        <v>2.6607059999999998</v>
      </c>
      <c r="T2421">
        <v>-0.38674380000000003</v>
      </c>
      <c r="U2421">
        <v>-2.153152</v>
      </c>
      <c r="V2421">
        <v>-0.25278519999999999</v>
      </c>
      <c r="W2421">
        <v>0.39995429999999998</v>
      </c>
      <c r="X2421">
        <v>0.88098589999999999</v>
      </c>
      <c r="Y2421">
        <v>-0.29218880000000003</v>
      </c>
      <c r="Z2421">
        <v>9.2515890000000003E-2</v>
      </c>
      <c r="AA2421">
        <v>0.95187529999999998</v>
      </c>
      <c r="AB2421">
        <v>20</v>
      </c>
      <c r="AC2421">
        <v>7.5512999999999604</v>
      </c>
      <c r="AD2421">
        <v>-1.114505290746</v>
      </c>
      <c r="AE2421">
        <v>-6.0418999999999903</v>
      </c>
      <c r="AF2421">
        <v>-2.8787641522501701</v>
      </c>
      <c r="AG2421">
        <v>-1.114505290746</v>
      </c>
      <c r="AH2421">
        <v>9.0996586620235096</v>
      </c>
      <c r="AI2421">
        <v>96.6604628635545</v>
      </c>
      <c r="AJ2421">
        <v>107.555265927913</v>
      </c>
      <c r="AK2421">
        <v>9.6090162271025896</v>
      </c>
      <c r="AL2421">
        <v>66.424677860789302</v>
      </c>
      <c r="AM2421">
        <v>106.01000878489501</v>
      </c>
      <c r="AN2421">
        <v>0.99999997771316895</v>
      </c>
    </row>
    <row r="2422" spans="1:40" x14ac:dyDescent="0.25">
      <c r="A2422" t="str">
        <f>"20190304164648113"</f>
        <v>20190304164648113</v>
      </c>
      <c r="B2422" t="str">
        <f>"1551689208100843"</f>
        <v>1551689208100843</v>
      </c>
      <c r="C2422" t="s">
        <v>40</v>
      </c>
      <c r="D2422">
        <v>4.2610140000000003</v>
      </c>
      <c r="E2422">
        <v>0.4764429</v>
      </c>
      <c r="F2422" t="s">
        <v>45</v>
      </c>
      <c r="G2422">
        <v>-477.40539999999999</v>
      </c>
      <c r="H2422" s="1">
        <v>2.811112E-6</v>
      </c>
      <c r="I2422">
        <v>217.7422</v>
      </c>
      <c r="J2422">
        <v>-485.0634</v>
      </c>
      <c r="K2422">
        <v>1.1145609999999999</v>
      </c>
      <c r="L2422">
        <v>223.62989999999999</v>
      </c>
      <c r="M2422">
        <v>0.56134890000000004</v>
      </c>
      <c r="N2422">
        <v>-1.378395E-2</v>
      </c>
      <c r="O2422">
        <v>-0.82746459999999999</v>
      </c>
      <c r="P2422">
        <v>0.70522689999999999</v>
      </c>
      <c r="Q2422">
        <v>0.3895864</v>
      </c>
      <c r="R2422">
        <v>-0.59234909999999996</v>
      </c>
      <c r="S2422">
        <v>2.702118</v>
      </c>
      <c r="T2422">
        <v>-0.38694240000000002</v>
      </c>
      <c r="U2422">
        <v>-2.104187</v>
      </c>
      <c r="V2422">
        <v>-0.2542161</v>
      </c>
      <c r="W2422">
        <v>0.39977370000000001</v>
      </c>
      <c r="X2422">
        <v>0.88065609999999905</v>
      </c>
      <c r="Y2422">
        <v>-0.30375639999999998</v>
      </c>
      <c r="Z2422">
        <v>9.2691170000000003E-2</v>
      </c>
      <c r="AA2422">
        <v>0.94823009999999996</v>
      </c>
      <c r="AB2422">
        <v>20</v>
      </c>
      <c r="AC2422">
        <v>7.6580000000000101</v>
      </c>
      <c r="AD2422">
        <v>-1.1145581888879901</v>
      </c>
      <c r="AE2422">
        <v>-5.8876999999999899</v>
      </c>
      <c r="AF2422">
        <v>-2.99212338116573</v>
      </c>
      <c r="AG2422">
        <v>-1.1145581888879901</v>
      </c>
      <c r="AH2422">
        <v>9.0510463915155306</v>
      </c>
      <c r="AI2422">
        <v>96.668646301416999</v>
      </c>
      <c r="AJ2422">
        <v>108.293015241107</v>
      </c>
      <c r="AK2422">
        <v>9.5977332253976595</v>
      </c>
      <c r="AL2422">
        <v>66.435967903380799</v>
      </c>
      <c r="AM2422">
        <v>106.101668245894</v>
      </c>
      <c r="AN2422">
        <v>1.00000000158905</v>
      </c>
    </row>
    <row r="2423" spans="1:40" x14ac:dyDescent="0.25">
      <c r="A2423" t="str">
        <f>"20190304164648135"</f>
        <v>20190304164648135</v>
      </c>
      <c r="B2423" t="str">
        <f>"1551689208131099"</f>
        <v>1551689208131099</v>
      </c>
      <c r="C2423" t="s">
        <v>40</v>
      </c>
      <c r="D2423">
        <v>4.247433</v>
      </c>
      <c r="E2423">
        <v>0.47583330000000001</v>
      </c>
      <c r="F2423" t="s">
        <v>45</v>
      </c>
      <c r="G2423">
        <v>-477.27460000000002</v>
      </c>
      <c r="H2423" s="1">
        <v>2.8675800000000002E-6</v>
      </c>
      <c r="I2423">
        <v>217.70740000000001</v>
      </c>
      <c r="J2423">
        <v>-484.95119999999997</v>
      </c>
      <c r="K2423">
        <v>1.1145989999999999</v>
      </c>
      <c r="L2423">
        <v>223.47669999999999</v>
      </c>
      <c r="M2423">
        <v>0.56618959999999996</v>
      </c>
      <c r="N2423">
        <v>-1.378861E-2</v>
      </c>
      <c r="O2423">
        <v>-0.82415969999999905</v>
      </c>
      <c r="P2423">
        <v>0.70940599999999998</v>
      </c>
      <c r="Q2423">
        <v>0.38935029999999998</v>
      </c>
      <c r="R2423">
        <v>-0.58749459999999998</v>
      </c>
      <c r="S2423">
        <v>2.7275390000000002</v>
      </c>
      <c r="T2423">
        <v>-0.39030599999999999</v>
      </c>
      <c r="U2423">
        <v>-2.0739899999999998</v>
      </c>
      <c r="V2423">
        <v>-0.2552469</v>
      </c>
      <c r="W2423">
        <v>0.39950750000000002</v>
      </c>
      <c r="X2423">
        <v>0.88047869999999995</v>
      </c>
      <c r="Y2423">
        <v>-0.30900250000000001</v>
      </c>
      <c r="Z2423">
        <v>9.3494170000000001E-2</v>
      </c>
      <c r="AA2423">
        <v>0.94645460000000003</v>
      </c>
      <c r="AB2423">
        <v>20</v>
      </c>
      <c r="AC2423">
        <v>7.6765999999999499</v>
      </c>
      <c r="AD2423">
        <v>-1.11459613242</v>
      </c>
      <c r="AE2423">
        <v>-5.7692999999999799</v>
      </c>
      <c r="AF2423">
        <v>-3.0198343128410001</v>
      </c>
      <c r="AG2423">
        <v>-1.11459613242</v>
      </c>
      <c r="AH2423">
        <v>8.9811070966953892</v>
      </c>
      <c r="AI2423">
        <v>96.709031923038296</v>
      </c>
      <c r="AJ2423">
        <v>108.58485762018201</v>
      </c>
      <c r="AK2423">
        <v>9.5405455031528401</v>
      </c>
      <c r="AL2423">
        <v>66.452606009386102</v>
      </c>
      <c r="AM2423">
        <v>106.166641154846</v>
      </c>
      <c r="AN2423">
        <v>0.99999998183477501</v>
      </c>
    </row>
    <row r="2424" spans="1:40" x14ac:dyDescent="0.25">
      <c r="A2424" t="str">
        <f>"20190304164648157"</f>
        <v>20190304164648157</v>
      </c>
      <c r="B2424" t="str">
        <f>"1551689208150619"</f>
        <v>1551689208150619</v>
      </c>
      <c r="C2424" t="s">
        <v>40</v>
      </c>
      <c r="D2424">
        <v>4.2048259999999997</v>
      </c>
      <c r="E2424">
        <v>0.47592699999999999</v>
      </c>
      <c r="F2424" t="s">
        <v>45</v>
      </c>
      <c r="G2424">
        <v>-477.1909</v>
      </c>
      <c r="H2424" s="1">
        <v>2.9032E-6</v>
      </c>
      <c r="I2424">
        <v>217.67310000000001</v>
      </c>
      <c r="J2424">
        <v>-484.83199999999999</v>
      </c>
      <c r="K2424">
        <v>1.114628</v>
      </c>
      <c r="L2424">
        <v>223.31630000000001</v>
      </c>
      <c r="M2424">
        <v>0.5713298</v>
      </c>
      <c r="N2424">
        <v>-1.379038E-2</v>
      </c>
      <c r="O2424">
        <v>-0.82060489999999997</v>
      </c>
      <c r="P2424">
        <v>0.71452299999999902</v>
      </c>
      <c r="Q2424">
        <v>0.38796969999999997</v>
      </c>
      <c r="R2424">
        <v>-0.5821828</v>
      </c>
      <c r="S2424">
        <v>2.7451479999999999</v>
      </c>
      <c r="T2424">
        <v>-0.39428089999999999</v>
      </c>
      <c r="U2424">
        <v>-2.052994</v>
      </c>
      <c r="V2424">
        <v>-0.25695410000000002</v>
      </c>
      <c r="W2424">
        <v>0.39810040000000002</v>
      </c>
      <c r="X2424">
        <v>0.8806195</v>
      </c>
      <c r="Y2424">
        <v>-0.31053239999999999</v>
      </c>
      <c r="Z2424">
        <v>9.4304209999999999E-2</v>
      </c>
      <c r="AA2424">
        <v>0.94587330000000003</v>
      </c>
      <c r="AB2424">
        <v>20</v>
      </c>
      <c r="AC2424">
        <v>7.64109999999999</v>
      </c>
      <c r="AD2424">
        <v>-1.1146250968</v>
      </c>
      <c r="AE2424">
        <v>-5.6432000000000002</v>
      </c>
      <c r="AF2424">
        <v>-3.0051082146576502</v>
      </c>
      <c r="AG2424">
        <v>-1.1146250968</v>
      </c>
      <c r="AH2424">
        <v>8.8750805261848704</v>
      </c>
      <c r="AI2424">
        <v>96.783811212266599</v>
      </c>
      <c r="AJ2424">
        <v>108.706134823204</v>
      </c>
      <c r="AK2424">
        <v>9.4361071864665291</v>
      </c>
      <c r="AL2424">
        <v>66.540521617346997</v>
      </c>
      <c r="AM2424">
        <v>106.26660520356999</v>
      </c>
      <c r="AN2424">
        <v>1.0000000208836</v>
      </c>
    </row>
    <row r="2425" spans="1:40" x14ac:dyDescent="0.25">
      <c r="A2425" t="str">
        <f>"20190304164648178"</f>
        <v>20190304164648178</v>
      </c>
      <c r="B2425" t="str">
        <f>"1551689208171115"</f>
        <v>1551689208171115</v>
      </c>
      <c r="C2425" t="s">
        <v>40</v>
      </c>
      <c r="D2425">
        <v>4.1703320000000001</v>
      </c>
      <c r="E2425">
        <v>0.47574280000000002</v>
      </c>
      <c r="F2425" t="s">
        <v>45</v>
      </c>
      <c r="G2425">
        <v>-477.15210000000002</v>
      </c>
      <c r="H2425" s="1">
        <v>2.919411E-6</v>
      </c>
      <c r="I2425">
        <v>217.65029999999999</v>
      </c>
      <c r="J2425">
        <v>-484.7192</v>
      </c>
      <c r="K2425">
        <v>1.114635</v>
      </c>
      <c r="L2425">
        <v>223.16650000000001</v>
      </c>
      <c r="M2425">
        <v>0.5761752</v>
      </c>
      <c r="N2425">
        <v>-1.378742E-2</v>
      </c>
      <c r="O2425">
        <v>-0.81721009999999905</v>
      </c>
      <c r="P2425">
        <v>0.71894199999999997</v>
      </c>
      <c r="Q2425">
        <v>0.38693830000000001</v>
      </c>
      <c r="R2425">
        <v>-0.57740930000000001</v>
      </c>
      <c r="S2425">
        <v>2.7579959999999999</v>
      </c>
      <c r="T2425">
        <v>-0.40028330000000001</v>
      </c>
      <c r="U2425">
        <v>-2.0347900000000001</v>
      </c>
      <c r="V2425">
        <v>-0.25807229999999998</v>
      </c>
      <c r="W2425">
        <v>0.39705170000000001</v>
      </c>
      <c r="X2425">
        <v>0.88076599999999905</v>
      </c>
      <c r="Y2425">
        <v>-0.310919</v>
      </c>
      <c r="Z2425">
        <v>9.5666210000000002E-2</v>
      </c>
      <c r="AA2425">
        <v>0.94560949999999999</v>
      </c>
      <c r="AB2425">
        <v>20</v>
      </c>
      <c r="AC2425">
        <v>7.5670999999999804</v>
      </c>
      <c r="AD2425">
        <v>-1.114632080589</v>
      </c>
      <c r="AE2425">
        <v>-5.51620000000002</v>
      </c>
      <c r="AF2425">
        <v>-2.96390487805493</v>
      </c>
      <c r="AG2425">
        <v>-1.114632080589</v>
      </c>
      <c r="AH2425">
        <v>8.7448128157981095</v>
      </c>
      <c r="AI2425">
        <v>96.883258410993193</v>
      </c>
      <c r="AJ2425">
        <v>108.723211176878</v>
      </c>
      <c r="AK2425">
        <v>9.3004778363578193</v>
      </c>
      <c r="AL2425">
        <v>66.606006461559204</v>
      </c>
      <c r="AM2425">
        <v>106.33105550670599</v>
      </c>
      <c r="AN2425">
        <v>1.0000000556280799</v>
      </c>
    </row>
    <row r="2426" spans="1:40" x14ac:dyDescent="0.25">
      <c r="A2426" t="str">
        <f>"20190304164648201"</f>
        <v>20190304164648201</v>
      </c>
      <c r="B2426" t="str">
        <f>"1551689208190635"</f>
        <v>1551689208190635</v>
      </c>
      <c r="C2426" t="s">
        <v>40</v>
      </c>
      <c r="D2426">
        <v>4.1615390000000003</v>
      </c>
      <c r="E2426">
        <v>0.47562450000000001</v>
      </c>
      <c r="F2426" t="s">
        <v>45</v>
      </c>
      <c r="G2426">
        <v>-477.13819999999998</v>
      </c>
      <c r="H2426" s="1">
        <v>2.925584E-6</v>
      </c>
      <c r="I2426">
        <v>217.65049999999999</v>
      </c>
      <c r="J2426">
        <v>-484.60500000000002</v>
      </c>
      <c r="K2426">
        <v>1.114622</v>
      </c>
      <c r="L2426">
        <v>223.01689999999999</v>
      </c>
      <c r="M2426">
        <v>0.581045699999999</v>
      </c>
      <c r="N2426">
        <v>-1.376961E-2</v>
      </c>
      <c r="O2426">
        <v>-0.81375439999999999</v>
      </c>
      <c r="P2426">
        <v>0.7229757</v>
      </c>
      <c r="Q2426">
        <v>0.38624829999999999</v>
      </c>
      <c r="R2426">
        <v>-0.57281669999999996</v>
      </c>
      <c r="S2426">
        <v>2.7722169999999999</v>
      </c>
      <c r="T2426">
        <v>-0.40759830000000002</v>
      </c>
      <c r="U2426">
        <v>-2.01709</v>
      </c>
      <c r="V2426">
        <v>-0.2587236</v>
      </c>
      <c r="W2426">
        <v>0.39634079999999999</v>
      </c>
      <c r="X2426">
        <v>0.88089509999999904</v>
      </c>
      <c r="Y2426">
        <v>-0.31133240000000001</v>
      </c>
      <c r="Z2426">
        <v>9.7319559999999999E-2</v>
      </c>
      <c r="AA2426">
        <v>0.94530479999999995</v>
      </c>
      <c r="AB2426">
        <v>20</v>
      </c>
      <c r="AC2426">
        <v>7.4668000000000303</v>
      </c>
      <c r="AD2426">
        <v>-1.1146190744160001</v>
      </c>
      <c r="AE2426">
        <v>-5.3663999999999898</v>
      </c>
      <c r="AF2426">
        <v>-2.9154592701442201</v>
      </c>
      <c r="AG2426">
        <v>-1.1146190744160001</v>
      </c>
      <c r="AH2426">
        <v>8.5802336181670995</v>
      </c>
      <c r="AI2426">
        <v>97.012097198234997</v>
      </c>
      <c r="AJ2426">
        <v>108.76713758455</v>
      </c>
      <c r="AK2426">
        <v>9.1303169375025899</v>
      </c>
      <c r="AL2426">
        <v>66.650378743357393</v>
      </c>
      <c r="AM2426">
        <v>106.367795610396</v>
      </c>
      <c r="AN2426">
        <v>1.0000000540728</v>
      </c>
    </row>
    <row r="2427" spans="1:40" x14ac:dyDescent="0.25">
      <c r="A2427" t="str">
        <f>"20190304164648221"</f>
        <v>20190304164648221</v>
      </c>
      <c r="B2427" t="str">
        <f>"1551689208211131"</f>
        <v>1551689208211131</v>
      </c>
      <c r="C2427" t="s">
        <v>40</v>
      </c>
      <c r="D2427">
        <v>4.1413449999999896</v>
      </c>
      <c r="E2427">
        <v>0.47570810000000002</v>
      </c>
      <c r="F2427" t="s">
        <v>45</v>
      </c>
      <c r="G2427">
        <v>-477.15370000000001</v>
      </c>
      <c r="H2427" s="1">
        <v>2.9192610000000001E-6</v>
      </c>
      <c r="I2427">
        <v>217.6635</v>
      </c>
      <c r="J2427">
        <v>-484.49360000000001</v>
      </c>
      <c r="K2427">
        <v>1.1146130000000001</v>
      </c>
      <c r="L2427">
        <v>222.8725</v>
      </c>
      <c r="M2427">
        <v>0.58576909999999904</v>
      </c>
      <c r="N2427">
        <v>-1.373074E-2</v>
      </c>
      <c r="O2427">
        <v>-0.81036169999999996</v>
      </c>
      <c r="P2427">
        <v>0.72674659999999902</v>
      </c>
      <c r="Q2427">
        <v>0.3859996</v>
      </c>
      <c r="R2427">
        <v>-0.56819370000000002</v>
      </c>
      <c r="S2427">
        <v>2.7861940000000001</v>
      </c>
      <c r="T2427">
        <v>-0.41677760000000003</v>
      </c>
      <c r="U2427">
        <v>-2.0017550000000002</v>
      </c>
      <c r="V2427">
        <v>-0.25932450000000001</v>
      </c>
      <c r="W2427">
        <v>0.39605319999999999</v>
      </c>
      <c r="X2427">
        <v>0.88084779999999996</v>
      </c>
      <c r="Y2427">
        <v>-0.311274</v>
      </c>
      <c r="Z2427">
        <v>9.9400760000000005E-2</v>
      </c>
      <c r="AA2427">
        <v>0.94510740000000004</v>
      </c>
      <c r="AB2427">
        <v>20</v>
      </c>
      <c r="AC2427">
        <v>7.3399000000000001</v>
      </c>
      <c r="AD2427">
        <v>-1.11461008073899</v>
      </c>
      <c r="AE2427">
        <v>-5.2089999999999996</v>
      </c>
      <c r="AF2427">
        <v>-2.85321797034341</v>
      </c>
      <c r="AG2427">
        <v>-1.11461008073899</v>
      </c>
      <c r="AH2427">
        <v>8.3927505241227607</v>
      </c>
      <c r="AI2427">
        <v>97.166692927529596</v>
      </c>
      <c r="AJ2427">
        <v>108.776092073979</v>
      </c>
      <c r="AK2427">
        <v>8.9342861930060398</v>
      </c>
      <c r="AL2427">
        <v>66.668326578787301</v>
      </c>
      <c r="AM2427">
        <v>106.404602847864</v>
      </c>
      <c r="AN2427">
        <v>1.00000009014766</v>
      </c>
    </row>
    <row r="2428" spans="1:40" x14ac:dyDescent="0.25">
      <c r="A2428" t="str">
        <f>"20190304164648245"</f>
        <v>20190304164648245</v>
      </c>
      <c r="B2428" t="str">
        <f>"1551689208240411"</f>
        <v>1551689208240411</v>
      </c>
      <c r="C2428" t="s">
        <v>40</v>
      </c>
      <c r="D2428">
        <v>4.1162020000000004</v>
      </c>
      <c r="E2428">
        <v>0.47608460000000002</v>
      </c>
      <c r="F2428" t="s">
        <v>45</v>
      </c>
      <c r="G2428">
        <v>-477.10109999999997</v>
      </c>
      <c r="H2428" s="1">
        <v>2.941087E-6</v>
      </c>
      <c r="I2428">
        <v>217.62950000000001</v>
      </c>
      <c r="J2428">
        <v>-484.3682</v>
      </c>
      <c r="K2428">
        <v>1.11459</v>
      </c>
      <c r="L2428">
        <v>222.71209999999999</v>
      </c>
      <c r="M2428">
        <v>0.59102919999999903</v>
      </c>
      <c r="N2428">
        <v>-1.366267E-2</v>
      </c>
      <c r="O2428">
        <v>-0.80653450000000004</v>
      </c>
      <c r="P2428">
        <v>0.73053690000000004</v>
      </c>
      <c r="Q2428">
        <v>0.3858567</v>
      </c>
      <c r="R2428">
        <v>-0.56340970000000001</v>
      </c>
      <c r="S2428">
        <v>2.799744</v>
      </c>
      <c r="T2428">
        <v>-0.42213679999999898</v>
      </c>
      <c r="U2428">
        <v>-1.985687</v>
      </c>
      <c r="V2428">
        <v>-0.25943290000000002</v>
      </c>
      <c r="W2428">
        <v>0.3958526</v>
      </c>
      <c r="X2428">
        <v>0.88090599999999997</v>
      </c>
      <c r="Y2428">
        <v>-0.31074429999999997</v>
      </c>
      <c r="Z2428">
        <v>0.10046239999999999</v>
      </c>
      <c r="AA2428">
        <v>0.94516940000000005</v>
      </c>
      <c r="AB2428">
        <v>20</v>
      </c>
      <c r="AC2428">
        <v>7.2671000000000197</v>
      </c>
      <c r="AD2428">
        <v>-1.114587058913</v>
      </c>
      <c r="AE2428">
        <v>-5.0825999999999798</v>
      </c>
      <c r="AF2428">
        <v>-2.81303198432447</v>
      </c>
      <c r="AG2428">
        <v>-1.114587058913</v>
      </c>
      <c r="AH2428">
        <v>8.2645909974133893</v>
      </c>
      <c r="AI2428">
        <v>97.275597929190596</v>
      </c>
      <c r="AJ2428">
        <v>108.797115480877</v>
      </c>
      <c r="AK2428">
        <v>8.8010747986399593</v>
      </c>
      <c r="AL2428">
        <v>66.680841975619799</v>
      </c>
      <c r="AM2428">
        <v>106.410065324559</v>
      </c>
      <c r="AN2428">
        <v>1.0000000456825799</v>
      </c>
    </row>
    <row r="2429" spans="1:40" x14ac:dyDescent="0.25">
      <c r="A2429" t="str">
        <f>"20190304164648267"</f>
        <v>20190304164648267</v>
      </c>
      <c r="B2429" t="str">
        <f>"1551689208260907"</f>
        <v>1551689208260907</v>
      </c>
      <c r="C2429" t="s">
        <v>40</v>
      </c>
      <c r="D2429">
        <v>4.0848950000000004</v>
      </c>
      <c r="E2429">
        <v>0.47610160000000001</v>
      </c>
      <c r="F2429" t="s">
        <v>45</v>
      </c>
      <c r="G2429">
        <v>-476.95030000000003</v>
      </c>
      <c r="H2429" s="1">
        <v>3.003011E-6</v>
      </c>
      <c r="I2429">
        <v>217.51589999999999</v>
      </c>
      <c r="J2429">
        <v>-484.24939999999998</v>
      </c>
      <c r="K2429">
        <v>1.1145609999999999</v>
      </c>
      <c r="L2429">
        <v>222.56209999999999</v>
      </c>
      <c r="M2429">
        <v>0.59595410000000004</v>
      </c>
      <c r="N2429">
        <v>-1.3582739999999999E-2</v>
      </c>
      <c r="O2429">
        <v>-0.80290379999999995</v>
      </c>
      <c r="P2429">
        <v>0.73439739999999998</v>
      </c>
      <c r="Q2429">
        <v>0.3855326</v>
      </c>
      <c r="R2429">
        <v>-0.55859239999999999</v>
      </c>
      <c r="S2429">
        <v>2.8110050000000002</v>
      </c>
      <c r="T2429">
        <v>-0.42237449999999999</v>
      </c>
      <c r="U2429">
        <v>-1.969101</v>
      </c>
      <c r="V2429">
        <v>-0.25996750000000002</v>
      </c>
      <c r="W2429">
        <v>0.39545629999999998</v>
      </c>
      <c r="X2429">
        <v>0.88092630000000005</v>
      </c>
      <c r="Y2429">
        <v>-0.31045620000000002</v>
      </c>
      <c r="Z2429">
        <v>0.1002929</v>
      </c>
      <c r="AA2429">
        <v>0.94528210000000001</v>
      </c>
      <c r="AB2429">
        <v>20</v>
      </c>
      <c r="AC2429">
        <v>7.2990999999999504</v>
      </c>
      <c r="AD2429">
        <v>-1.114557996989</v>
      </c>
      <c r="AE2429">
        <v>-5.04619999999999</v>
      </c>
      <c r="AF2429">
        <v>-2.8091169593288599</v>
      </c>
      <c r="AG2429">
        <v>-1.114557996989</v>
      </c>
      <c r="AH2429">
        <v>8.2718171548261292</v>
      </c>
      <c r="AI2429">
        <v>97.270811715181296</v>
      </c>
      <c r="AJ2429">
        <v>108.757536007282</v>
      </c>
      <c r="AK2429">
        <v>8.8066075569833906</v>
      </c>
      <c r="AL2429">
        <v>66.705563804963305</v>
      </c>
      <c r="AM2429">
        <v>106.441697848228</v>
      </c>
      <c r="AN2429">
        <v>0.99999996614881403</v>
      </c>
    </row>
    <row r="2430" spans="1:40" x14ac:dyDescent="0.25">
      <c r="A2430" t="str">
        <f>"20190304164648290"</f>
        <v>20190304164648290</v>
      </c>
      <c r="B2430" t="str">
        <f>"1551689208280428"</f>
        <v>1551689208280428</v>
      </c>
      <c r="C2430" t="s">
        <v>40</v>
      </c>
      <c r="D2430">
        <v>4.0969939999999996</v>
      </c>
      <c r="E2430">
        <v>0.47629589999999999</v>
      </c>
      <c r="F2430" t="s">
        <v>45</v>
      </c>
      <c r="G2430">
        <v>-476.87439999999998</v>
      </c>
      <c r="H2430" s="1">
        <v>3.0347450000000001E-6</v>
      </c>
      <c r="I2430">
        <v>217.47210000000001</v>
      </c>
      <c r="J2430">
        <v>-484.12740000000002</v>
      </c>
      <c r="K2430">
        <v>1.114554</v>
      </c>
      <c r="L2430">
        <v>222.4101</v>
      </c>
      <c r="M2430">
        <v>0.60095889999999996</v>
      </c>
      <c r="N2430">
        <v>-1.349006E-2</v>
      </c>
      <c r="O2430">
        <v>-0.79916619999999905</v>
      </c>
      <c r="P2430">
        <v>0.73790819999999901</v>
      </c>
      <c r="Q2430">
        <v>0.38575999999999999</v>
      </c>
      <c r="R2430">
        <v>-0.55378760000000005</v>
      </c>
      <c r="S2430">
        <v>2.8257750000000001</v>
      </c>
      <c r="T2430">
        <v>-0.4270523</v>
      </c>
      <c r="U2430">
        <v>-1.950302</v>
      </c>
      <c r="V2430">
        <v>-0.26011840000000003</v>
      </c>
      <c r="W2430">
        <v>0.39560119999999999</v>
      </c>
      <c r="X2430">
        <v>0.88081679999999996</v>
      </c>
      <c r="Y2430">
        <v>-0.31098199999999998</v>
      </c>
      <c r="Z2430">
        <v>0.1012406</v>
      </c>
      <c r="AA2430">
        <v>0.94500819999999996</v>
      </c>
      <c r="AB2430">
        <v>20</v>
      </c>
      <c r="AC2430">
        <v>7.2530000000000401</v>
      </c>
      <c r="AD2430">
        <v>-1.1145509652550001</v>
      </c>
      <c r="AE2430">
        <v>-4.9379999999999802</v>
      </c>
      <c r="AF2430">
        <v>-2.7841525216878402</v>
      </c>
      <c r="AG2430">
        <v>-1.1145509652550001</v>
      </c>
      <c r="AH2430">
        <v>8.1739073600032697</v>
      </c>
      <c r="AI2430">
        <v>97.354661259163606</v>
      </c>
      <c r="AJ2430">
        <v>108.809594481771</v>
      </c>
      <c r="AK2430">
        <v>8.7066922908810405</v>
      </c>
      <c r="AL2430">
        <v>66.696526923348401</v>
      </c>
      <c r="AM2430">
        <v>106.45266028058001</v>
      </c>
      <c r="AN2430">
        <v>1.0000000633111099</v>
      </c>
    </row>
    <row r="2431" spans="1:40" x14ac:dyDescent="0.25">
      <c r="A2431" t="str">
        <f>"20190304164648312"</f>
        <v>20190304164648312</v>
      </c>
      <c r="B2431" t="str">
        <f>"1551689208300923"</f>
        <v>1551689208300923</v>
      </c>
      <c r="C2431" t="s">
        <v>40</v>
      </c>
      <c r="D2431">
        <v>4.0526799999999996</v>
      </c>
      <c r="E2431">
        <v>0.47656579999999898</v>
      </c>
      <c r="F2431" t="s">
        <v>45</v>
      </c>
      <c r="G2431">
        <v>-476.75389999999999</v>
      </c>
      <c r="H2431" s="1">
        <v>3.0845389999999999E-6</v>
      </c>
      <c r="I2431">
        <v>217.3888</v>
      </c>
      <c r="J2431">
        <v>-484.00599999999997</v>
      </c>
      <c r="K2431">
        <v>1.11454599999999</v>
      </c>
      <c r="L2431">
        <v>222.26070000000001</v>
      </c>
      <c r="M2431">
        <v>0.60589789999999999</v>
      </c>
      <c r="N2431">
        <v>-1.3383920000000001E-2</v>
      </c>
      <c r="O2431">
        <v>-0.79542990000000002</v>
      </c>
      <c r="P2431">
        <v>0.74064839999999998</v>
      </c>
      <c r="Q2431">
        <v>0.38651370000000002</v>
      </c>
      <c r="R2431">
        <v>-0.54958839999999998</v>
      </c>
      <c r="S2431">
        <v>2.838959</v>
      </c>
      <c r="T2431">
        <v>-0.42913010000000001</v>
      </c>
      <c r="U2431">
        <v>-1.9333340000000001</v>
      </c>
      <c r="V2431">
        <v>-0.25935799999999998</v>
      </c>
      <c r="W2431">
        <v>0.3962637</v>
      </c>
      <c r="X2431">
        <v>0.8807431</v>
      </c>
      <c r="Y2431">
        <v>-0.31096099999999999</v>
      </c>
      <c r="Z2431">
        <v>0.1015022</v>
      </c>
      <c r="AA2431">
        <v>0.94498709999999997</v>
      </c>
      <c r="AB2431">
        <v>20</v>
      </c>
      <c r="AC2431">
        <v>7.25209999999998</v>
      </c>
      <c r="AD2431">
        <v>-1.11454291546099</v>
      </c>
      <c r="AE2431">
        <v>-4.8719000000000099</v>
      </c>
      <c r="AF2431">
        <v>-2.7718055883707802</v>
      </c>
      <c r="AG2431">
        <v>-1.11454291546099</v>
      </c>
      <c r="AH2431">
        <v>8.1375920908616592</v>
      </c>
      <c r="AI2431">
        <v>97.387061903549693</v>
      </c>
      <c r="AJ2431">
        <v>108.809736931175</v>
      </c>
      <c r="AK2431">
        <v>8.6686514041909692</v>
      </c>
      <c r="AL2431">
        <v>66.655187640192693</v>
      </c>
      <c r="AM2431">
        <v>106.40845354185799</v>
      </c>
      <c r="AN2431">
        <v>0.99999995014964804</v>
      </c>
    </row>
    <row r="2432" spans="1:40" x14ac:dyDescent="0.25">
      <c r="A2432" t="str">
        <f>"20190304164648338"</f>
        <v>20190304164648338</v>
      </c>
      <c r="B2432" t="str">
        <f>"1551689208331179"</f>
        <v>1551689208331179</v>
      </c>
      <c r="C2432" t="s">
        <v>40</v>
      </c>
      <c r="D2432">
        <v>4.0462579999999999</v>
      </c>
      <c r="E2432">
        <v>0.47697119999999998</v>
      </c>
      <c r="F2432" t="s">
        <v>45</v>
      </c>
      <c r="G2432">
        <v>-476.60109999999997</v>
      </c>
      <c r="H2432" s="1">
        <v>3.1476999999999999E-6</v>
      </c>
      <c r="I2432">
        <v>217.2833</v>
      </c>
      <c r="J2432">
        <v>-483.87040000000002</v>
      </c>
      <c r="K2432">
        <v>1.1145339999999999</v>
      </c>
      <c r="L2432">
        <v>222.09610000000001</v>
      </c>
      <c r="M2432">
        <v>0.61137629999999998</v>
      </c>
      <c r="N2432">
        <v>-1.3239219999999999E-2</v>
      </c>
      <c r="O2432">
        <v>-0.79122939999999997</v>
      </c>
      <c r="P2432">
        <v>0.74389859999999997</v>
      </c>
      <c r="Q2432">
        <v>0.38679150000000001</v>
      </c>
      <c r="R2432">
        <v>-0.54498389999999997</v>
      </c>
      <c r="S2432">
        <v>2.8519899999999998</v>
      </c>
      <c r="T2432">
        <v>-0.42926530000000002</v>
      </c>
      <c r="U2432">
        <v>-1.917038</v>
      </c>
      <c r="V2432">
        <v>-0.25863779999999997</v>
      </c>
      <c r="W2432">
        <v>0.39641209999999999</v>
      </c>
      <c r="X2432">
        <v>0.88088820000000001</v>
      </c>
      <c r="Y2432">
        <v>-0.310141</v>
      </c>
      <c r="Z2432">
        <v>0.1012036</v>
      </c>
      <c r="AA2432">
        <v>0.94528849999999998</v>
      </c>
      <c r="AB2432">
        <v>20</v>
      </c>
      <c r="AC2432">
        <v>7.2693000000000403</v>
      </c>
      <c r="AD2432">
        <v>-1.1145308522999999</v>
      </c>
      <c r="AE2432">
        <v>-4.81280000000001</v>
      </c>
      <c r="AF2432">
        <v>-2.7643200489004198</v>
      </c>
      <c r="AG2432">
        <v>-1.1145308522999999</v>
      </c>
      <c r="AH2432">
        <v>8.1203168667240497</v>
      </c>
      <c r="AI2432">
        <v>97.402964338384194</v>
      </c>
      <c r="AJ2432">
        <v>108.79961238212699</v>
      </c>
      <c r="AK2432">
        <v>8.6500399056585007</v>
      </c>
      <c r="AL2432">
        <v>66.645928793564593</v>
      </c>
      <c r="AM2432">
        <v>106.36277930001</v>
      </c>
      <c r="AN2432">
        <v>1.00000004275724</v>
      </c>
    </row>
    <row r="2433" spans="1:40" x14ac:dyDescent="0.25">
      <c r="A2433" t="str">
        <f>"20190304164648359"</f>
        <v>20190304164648359</v>
      </c>
      <c r="B2433" t="str">
        <f>"1551689208350699"</f>
        <v>1551689208350699</v>
      </c>
      <c r="C2433" t="s">
        <v>40</v>
      </c>
      <c r="D2433">
        <v>4.0170870000000001</v>
      </c>
      <c r="E2433">
        <v>0.47720390000000001</v>
      </c>
      <c r="F2433" t="s">
        <v>45</v>
      </c>
      <c r="G2433">
        <v>-476.48140000000001</v>
      </c>
      <c r="H2433" s="1">
        <v>3.1964940000000001E-6</v>
      </c>
      <c r="I2433">
        <v>217.18539999999999</v>
      </c>
      <c r="J2433">
        <v>-483.74709999999999</v>
      </c>
      <c r="K2433">
        <v>1.114533</v>
      </c>
      <c r="L2433">
        <v>221.9485</v>
      </c>
      <c r="M2433">
        <v>0.61632659999999995</v>
      </c>
      <c r="N2433">
        <v>-1.309046E-2</v>
      </c>
      <c r="O2433">
        <v>-0.78738180000000002</v>
      </c>
      <c r="P2433">
        <v>0.74684629999999996</v>
      </c>
      <c r="Q2433">
        <v>0.38712049999999998</v>
      </c>
      <c r="R2433">
        <v>-0.54070189999999996</v>
      </c>
      <c r="S2433">
        <v>2.863251</v>
      </c>
      <c r="T2433">
        <v>-0.43188369999999998</v>
      </c>
      <c r="U2433">
        <v>-1.902908</v>
      </c>
      <c r="V2433">
        <v>-0.25806109999999999</v>
      </c>
      <c r="W2433">
        <v>0.39660079999999998</v>
      </c>
      <c r="X2433">
        <v>0.88097230000000004</v>
      </c>
      <c r="Y2433">
        <v>-0.30908350000000001</v>
      </c>
      <c r="Z2433">
        <v>0.1015559</v>
      </c>
      <c r="AA2433">
        <v>0.94559709999999997</v>
      </c>
      <c r="AB2433">
        <v>20</v>
      </c>
      <c r="AC2433">
        <v>7.2656999999999803</v>
      </c>
      <c r="AD2433">
        <v>-1.1145298035060001</v>
      </c>
      <c r="AE2433">
        <v>-4.7630999999999997</v>
      </c>
      <c r="AF2433">
        <v>-2.7403932559664002</v>
      </c>
      <c r="AG2433">
        <v>-1.1145298035060001</v>
      </c>
      <c r="AH2433">
        <v>8.09588911359074</v>
      </c>
      <c r="AI2433">
        <v>97.429356127517494</v>
      </c>
      <c r="AJ2433">
        <v>108.7005459145</v>
      </c>
      <c r="AK2433">
        <v>8.6194751823882108</v>
      </c>
      <c r="AL2433">
        <v>66.634149680364999</v>
      </c>
      <c r="AM2433">
        <v>106.32676408803501</v>
      </c>
      <c r="AN2433">
        <v>0.99999995963056898</v>
      </c>
    </row>
    <row r="2434" spans="1:40" x14ac:dyDescent="0.25">
      <c r="A2434" t="str">
        <f>"20190304164648401"</f>
        <v>20190304164648401</v>
      </c>
      <c r="B2434" t="str">
        <f>"1551689208391224"</f>
        <v>1551689208391224</v>
      </c>
      <c r="C2434" t="s">
        <v>40</v>
      </c>
      <c r="D2434">
        <v>3.9937719999999999</v>
      </c>
      <c r="E2434">
        <v>0.47768769999999999</v>
      </c>
      <c r="F2434" t="s">
        <v>45</v>
      </c>
      <c r="G2434">
        <v>-476.34809999999999</v>
      </c>
      <c r="H2434" s="1">
        <v>3.2513460000000001E-6</v>
      </c>
      <c r="I2434">
        <v>217.08770000000001</v>
      </c>
      <c r="J2434">
        <v>-483.51249999999999</v>
      </c>
      <c r="K2434">
        <v>1.1145389999999999</v>
      </c>
      <c r="L2434">
        <v>221.67310000000001</v>
      </c>
      <c r="M2434">
        <v>0.62565689999999996</v>
      </c>
      <c r="N2434">
        <v>-1.2812169999999999E-2</v>
      </c>
      <c r="O2434">
        <v>-0.77999300000000005</v>
      </c>
      <c r="P2434">
        <v>0.75181980000000004</v>
      </c>
      <c r="Q2434">
        <v>0.3870287</v>
      </c>
      <c r="R2434">
        <v>-0.5338311</v>
      </c>
      <c r="S2434">
        <v>2.8742070000000002</v>
      </c>
      <c r="T2434">
        <v>-0.43295099999999997</v>
      </c>
      <c r="U2434">
        <v>-1.88826</v>
      </c>
      <c r="V2434">
        <v>-0.25572089999999997</v>
      </c>
      <c r="W2434">
        <v>0.39626109999999998</v>
      </c>
      <c r="X2434">
        <v>0.88180720000000001</v>
      </c>
      <c r="Y2434">
        <v>-0.30280940000000001</v>
      </c>
      <c r="Z2434">
        <v>0.10106859999999999</v>
      </c>
      <c r="AA2434">
        <v>0.94767699999999999</v>
      </c>
      <c r="AB2434">
        <v>20</v>
      </c>
      <c r="AC2434">
        <v>7.1643999999999997</v>
      </c>
      <c r="AD2434">
        <v>-1.114535748654</v>
      </c>
      <c r="AE2434">
        <v>-4.5853999999999902</v>
      </c>
      <c r="AF2434">
        <v>-2.6736172644770702</v>
      </c>
      <c r="AG2434">
        <v>-1.114535748654</v>
      </c>
      <c r="AH2434">
        <v>7.9236642908338801</v>
      </c>
      <c r="AI2434">
        <v>97.591449480087405</v>
      </c>
      <c r="AJ2434">
        <v>108.645517578572</v>
      </c>
      <c r="AK2434">
        <v>8.4365203138363594</v>
      </c>
      <c r="AL2434">
        <v>66.655350828059298</v>
      </c>
      <c r="AM2434">
        <v>106.171967943197</v>
      </c>
      <c r="AN2434">
        <v>0.99999998802092904</v>
      </c>
    </row>
    <row r="2435" spans="1:40" x14ac:dyDescent="0.25">
      <c r="A2435" t="str">
        <f>"20190304164648425"</f>
        <v>20190304164648425</v>
      </c>
      <c r="B2435" t="str">
        <f>"1551689208420503"</f>
        <v>1551689208420503</v>
      </c>
      <c r="C2435" t="s">
        <v>40</v>
      </c>
      <c r="D2435">
        <v>4.0071399999999997</v>
      </c>
      <c r="E2435">
        <v>0.47808109999999998</v>
      </c>
      <c r="F2435" t="s">
        <v>45</v>
      </c>
      <c r="G2435">
        <v>-476.13569999999999</v>
      </c>
      <c r="H2435" s="1">
        <v>3.3381849999999999E-6</v>
      </c>
      <c r="I2435">
        <v>216.91980000000001</v>
      </c>
      <c r="J2435">
        <v>-483.37900000000002</v>
      </c>
      <c r="K2435">
        <v>1.1145510000000001</v>
      </c>
      <c r="L2435">
        <v>221.51939999999999</v>
      </c>
      <c r="M2435">
        <v>0.63094189999999895</v>
      </c>
      <c r="N2435">
        <v>-1.2657710000000001E-2</v>
      </c>
      <c r="O2435">
        <v>-0.77572680000000005</v>
      </c>
      <c r="P2435">
        <v>0.75533050000000002</v>
      </c>
      <c r="Q2435">
        <v>0.3870362</v>
      </c>
      <c r="R2435">
        <v>-0.52884699999999996</v>
      </c>
      <c r="S2435">
        <v>2.8920590000000002</v>
      </c>
      <c r="T2435">
        <v>-0.43695309999999998</v>
      </c>
      <c r="U2435">
        <v>-1.863556</v>
      </c>
      <c r="V2435">
        <v>-0.25559189999999998</v>
      </c>
      <c r="W2435">
        <v>0.39611269999999998</v>
      </c>
      <c r="X2435">
        <v>0.88191129999999995</v>
      </c>
      <c r="Y2435">
        <v>-0.30462489999999998</v>
      </c>
      <c r="Z2435">
        <v>0.10184749999999999</v>
      </c>
      <c r="AA2435">
        <v>0.94701150000000001</v>
      </c>
      <c r="AB2435">
        <v>20</v>
      </c>
      <c r="AC2435">
        <v>7.2433000000000298</v>
      </c>
      <c r="AD2435">
        <v>-1.1145476618150001</v>
      </c>
      <c r="AE2435">
        <v>-4.5995999999999801</v>
      </c>
      <c r="AF2435">
        <v>-2.6718767941952799</v>
      </c>
      <c r="AG2435">
        <v>-1.1145476618150001</v>
      </c>
      <c r="AH2435">
        <v>8.00373979512948</v>
      </c>
      <c r="AI2435">
        <v>97.524509095452402</v>
      </c>
      <c r="AJ2435">
        <v>108.460481108512</v>
      </c>
      <c r="AK2435">
        <v>8.5112274556585508</v>
      </c>
      <c r="AL2435">
        <v>66.664611993571498</v>
      </c>
      <c r="AM2435">
        <v>106.162427639169</v>
      </c>
      <c r="AN2435">
        <v>1.0000000157572899</v>
      </c>
    </row>
    <row r="2436" spans="1:40" x14ac:dyDescent="0.25">
      <c r="A2436" t="str">
        <f>"20190304164648446"</f>
        <v>20190304164648446</v>
      </c>
      <c r="B2436" t="str">
        <f>"1551689208440999"</f>
        <v>1551689208440999</v>
      </c>
      <c r="C2436" t="s">
        <v>40</v>
      </c>
      <c r="D2436">
        <v>3.9967190000000001</v>
      </c>
      <c r="E2436">
        <v>0.47833419999999999</v>
      </c>
      <c r="F2436" t="s">
        <v>45</v>
      </c>
      <c r="G2436">
        <v>-476.02359999999999</v>
      </c>
      <c r="H2436" s="1">
        <v>3.3843520000000001E-6</v>
      </c>
      <c r="I2436">
        <v>216.8382</v>
      </c>
      <c r="J2436">
        <v>-483.25259999999997</v>
      </c>
      <c r="K2436">
        <v>1.1145659999999999</v>
      </c>
      <c r="L2436">
        <v>221.3759</v>
      </c>
      <c r="M2436">
        <v>0.63592720000000003</v>
      </c>
      <c r="N2436">
        <v>-1.2512250000000001E-2</v>
      </c>
      <c r="O2436">
        <v>-0.77164759999999999</v>
      </c>
      <c r="P2436">
        <v>0.75890780000000002</v>
      </c>
      <c r="Q2436">
        <v>0.38614660000000001</v>
      </c>
      <c r="R2436">
        <v>-0.52435669999999901</v>
      </c>
      <c r="S2436">
        <v>2.903473</v>
      </c>
      <c r="T2436">
        <v>-0.43995820000000002</v>
      </c>
      <c r="U2436">
        <v>-1.847855</v>
      </c>
      <c r="V2436">
        <v>-0.25551750000000001</v>
      </c>
      <c r="W2436">
        <v>0.39507789999999998</v>
      </c>
      <c r="X2436">
        <v>0.88239690000000004</v>
      </c>
      <c r="Y2436">
        <v>-0.303762799999999</v>
      </c>
      <c r="Z2436">
        <v>0.10226209999999999</v>
      </c>
      <c r="AA2436">
        <v>0.94724379999999997</v>
      </c>
      <c r="AB2436">
        <v>20</v>
      </c>
      <c r="AC2436">
        <v>7.2289999999999797</v>
      </c>
      <c r="AD2436">
        <v>-1.114562615648</v>
      </c>
      <c r="AE2436">
        <v>-4.5377000000000001</v>
      </c>
      <c r="AF2436">
        <v>-2.64765570310841</v>
      </c>
      <c r="AG2436">
        <v>-1.114562615648</v>
      </c>
      <c r="AH2436">
        <v>7.9634613741688502</v>
      </c>
      <c r="AI2436">
        <v>97.565261653469904</v>
      </c>
      <c r="AJ2436">
        <v>108.3907015969</v>
      </c>
      <c r="AK2436">
        <v>8.4657573556228201</v>
      </c>
      <c r="AL2436">
        <v>66.729167784514502</v>
      </c>
      <c r="AM2436">
        <v>106.149540081189</v>
      </c>
      <c r="AN2436">
        <v>1.0000000145021299</v>
      </c>
    </row>
    <row r="2437" spans="1:40" x14ac:dyDescent="0.25">
      <c r="A2437" t="str">
        <f>"20190304164648468"</f>
        <v>20190304164648468</v>
      </c>
      <c r="B2437" t="str">
        <f>"1551689208460519"</f>
        <v>1551689208460519</v>
      </c>
      <c r="C2437" t="s">
        <v>40</v>
      </c>
      <c r="D2437">
        <v>4.0028090000000001</v>
      </c>
      <c r="E2437">
        <v>0.47853679999999899</v>
      </c>
      <c r="F2437" t="s">
        <v>45</v>
      </c>
      <c r="G2437">
        <v>-475.95069999999998</v>
      </c>
      <c r="H2437" s="1">
        <v>3.4144420000000002E-6</v>
      </c>
      <c r="I2437">
        <v>216.7877</v>
      </c>
      <c r="J2437">
        <v>-483.12650000000002</v>
      </c>
      <c r="K2437">
        <v>1.114595</v>
      </c>
      <c r="L2437">
        <v>221.2346</v>
      </c>
      <c r="M2437">
        <v>0.64090219999999998</v>
      </c>
      <c r="N2437">
        <v>-1.236288E-2</v>
      </c>
      <c r="O2437">
        <v>-0.76752330000000002</v>
      </c>
      <c r="P2437">
        <v>0.76224590000000003</v>
      </c>
      <c r="Q2437">
        <v>0.38581569999999998</v>
      </c>
      <c r="R2437">
        <v>-0.51973829999999999</v>
      </c>
      <c r="S2437">
        <v>2.9141849999999998</v>
      </c>
      <c r="T2437">
        <v>-0.44482349999999998</v>
      </c>
      <c r="U2437">
        <v>-1.831161</v>
      </c>
      <c r="V2437">
        <v>-0.25534309999999999</v>
      </c>
      <c r="W2437">
        <v>0.39458890000000002</v>
      </c>
      <c r="X2437">
        <v>0.88266610000000001</v>
      </c>
      <c r="Y2437">
        <v>-0.30294880000000002</v>
      </c>
      <c r="Z2437">
        <v>0.10316060000000001</v>
      </c>
      <c r="AA2437">
        <v>0.94740690000000005</v>
      </c>
      <c r="AB2437">
        <v>20</v>
      </c>
      <c r="AC2437">
        <v>7.1758000000000299</v>
      </c>
      <c r="AD2437">
        <v>-1.114591585558</v>
      </c>
      <c r="AE2437">
        <v>-4.4468999999999896</v>
      </c>
      <c r="AF2437">
        <v>-2.6122321937027402</v>
      </c>
      <c r="AG2437">
        <v>-1.114591585558</v>
      </c>
      <c r="AH2437">
        <v>7.8754129456402904</v>
      </c>
      <c r="AI2437">
        <v>97.650808606498998</v>
      </c>
      <c r="AJ2437">
        <v>108.350405684975</v>
      </c>
      <c r="AK2437">
        <v>8.3718695941093308</v>
      </c>
      <c r="AL2437">
        <v>66.759662019728296</v>
      </c>
      <c r="AM2437">
        <v>106.134425451784</v>
      </c>
      <c r="AN2437">
        <v>0.99999997140501395</v>
      </c>
    </row>
    <row r="2438" spans="1:40" x14ac:dyDescent="0.25">
      <c r="A2438" t="str">
        <f>"20190304164648490"</f>
        <v>20190304164648490</v>
      </c>
      <c r="B2438" t="str">
        <f>"1551689208481016"</f>
        <v>1551689208481016</v>
      </c>
      <c r="C2438" t="s">
        <v>40</v>
      </c>
      <c r="D2438">
        <v>4.0270140000000003</v>
      </c>
      <c r="E2438">
        <v>0.47879260000000001</v>
      </c>
      <c r="F2438" t="s">
        <v>45</v>
      </c>
      <c r="G2438">
        <v>-475.84050000000002</v>
      </c>
      <c r="H2438" s="1">
        <v>3.4602739999999998E-6</v>
      </c>
      <c r="I2438">
        <v>216.71729999999999</v>
      </c>
      <c r="J2438">
        <v>-482.99520000000001</v>
      </c>
      <c r="K2438">
        <v>1.114636</v>
      </c>
      <c r="L2438">
        <v>221.08949999999999</v>
      </c>
      <c r="M2438">
        <v>0.64607550000000002</v>
      </c>
      <c r="N2438">
        <v>-1.2207620000000001E-2</v>
      </c>
      <c r="O2438">
        <v>-0.76317609999999902</v>
      </c>
      <c r="P2438">
        <v>0.76553899999999997</v>
      </c>
      <c r="Q2438">
        <v>0.38529370000000002</v>
      </c>
      <c r="R2438">
        <v>-0.51526609999999995</v>
      </c>
      <c r="S2438">
        <v>2.9255369999999998</v>
      </c>
      <c r="T2438">
        <v>-0.44753670000000001</v>
      </c>
      <c r="U2438">
        <v>-1.813812</v>
      </c>
      <c r="V2438">
        <v>-0.25479590000000002</v>
      </c>
      <c r="W2438">
        <v>0.39390269999999999</v>
      </c>
      <c r="X2438">
        <v>0.88313069999999905</v>
      </c>
      <c r="Y2438">
        <v>-0.30216090000000001</v>
      </c>
      <c r="Z2438">
        <v>0.103489899999999</v>
      </c>
      <c r="AA2438">
        <v>0.94762259999999998</v>
      </c>
      <c r="AB2438">
        <v>20</v>
      </c>
      <c r="AC2438">
        <v>7.1546999999999903</v>
      </c>
      <c r="AD2438">
        <v>-1.114632539726</v>
      </c>
      <c r="AE2438">
        <v>-4.3721999999999897</v>
      </c>
      <c r="AF2438">
        <v>-2.5899525157486201</v>
      </c>
      <c r="AG2438">
        <v>-1.114632539726</v>
      </c>
      <c r="AH2438">
        <v>7.8216076633253202</v>
      </c>
      <c r="AI2438">
        <v>97.704376906576897</v>
      </c>
      <c r="AJ2438">
        <v>108.321147829282</v>
      </c>
      <c r="AK2438">
        <v>8.3143133313243691</v>
      </c>
      <c r="AL2438">
        <v>66.802445656169198</v>
      </c>
      <c r="AM2438">
        <v>106.09361095113501</v>
      </c>
      <c r="AN2438">
        <v>1.0000000605032899</v>
      </c>
    </row>
    <row r="2439" spans="1:40" x14ac:dyDescent="0.25">
      <c r="A2439" t="str">
        <f>"20190304164648514"</f>
        <v>20190304164648514</v>
      </c>
      <c r="B2439" t="str">
        <f>"1551689208511271"</f>
        <v>1551689208511271</v>
      </c>
      <c r="C2439" t="s">
        <v>40</v>
      </c>
      <c r="D2439">
        <v>4.0377020000000003</v>
      </c>
      <c r="E2439">
        <v>0.47919479999999998</v>
      </c>
      <c r="F2439" t="s">
        <v>45</v>
      </c>
      <c r="G2439">
        <v>-475.73880000000003</v>
      </c>
      <c r="H2439" s="1">
        <v>3.5020859999999999E-6</v>
      </c>
      <c r="I2439">
        <v>216.64279999999999</v>
      </c>
      <c r="J2439">
        <v>-482.86160000000001</v>
      </c>
      <c r="K2439">
        <v>1.11469</v>
      </c>
      <c r="L2439">
        <v>220.94390000000001</v>
      </c>
      <c r="M2439">
        <v>0.65133999999999903</v>
      </c>
      <c r="N2439">
        <v>-1.2060319999999999E-2</v>
      </c>
      <c r="O2439">
        <v>-0.75869039999999999</v>
      </c>
      <c r="P2439">
        <v>0.76885649999999905</v>
      </c>
      <c r="Q2439">
        <v>0.38582870000000002</v>
      </c>
      <c r="R2439">
        <v>-0.50989819999999997</v>
      </c>
      <c r="S2439">
        <v>2.93512</v>
      </c>
      <c r="T2439">
        <v>-0.45085449999999999</v>
      </c>
      <c r="U2439">
        <v>-1.7986599999999999</v>
      </c>
      <c r="V2439">
        <v>-0.25473069999999998</v>
      </c>
      <c r="W2439">
        <v>0.3942638</v>
      </c>
      <c r="X2439">
        <v>0.88298829999999995</v>
      </c>
      <c r="Y2439">
        <v>-0.30043710000000001</v>
      </c>
      <c r="Z2439">
        <v>0.1039006</v>
      </c>
      <c r="AA2439">
        <v>0.94812569999999996</v>
      </c>
      <c r="AB2439">
        <v>20</v>
      </c>
      <c r="AC2439">
        <v>7.1227999999999803</v>
      </c>
      <c r="AD2439">
        <v>-1.1146864979140001</v>
      </c>
      <c r="AE2439">
        <v>-4.3011000000000204</v>
      </c>
      <c r="AF2439">
        <v>-2.5568234476734402</v>
      </c>
      <c r="AG2439">
        <v>-1.1146864979140001</v>
      </c>
      <c r="AH2439">
        <v>7.7638054759499999</v>
      </c>
      <c r="AI2439">
        <v>97.765525622706903</v>
      </c>
      <c r="AJ2439">
        <v>108.228061004601</v>
      </c>
      <c r="AK2439">
        <v>8.2496392405726304</v>
      </c>
      <c r="AL2439">
        <v>66.779933077856398</v>
      </c>
      <c r="AM2439">
        <v>106.09216636591501</v>
      </c>
      <c r="AN2439">
        <v>1.0000000057249001</v>
      </c>
    </row>
    <row r="2440" spans="1:40" x14ac:dyDescent="0.25">
      <c r="A2440" t="str">
        <f>"20190304164648542"</f>
        <v>20190304164648542</v>
      </c>
      <c r="B2440" t="str">
        <f>"1551689208530791"</f>
        <v>1551689208530791</v>
      </c>
      <c r="C2440" t="s">
        <v>40</v>
      </c>
      <c r="D2440">
        <v>4.0514809999999999</v>
      </c>
      <c r="E2440">
        <v>0.47939080000000001</v>
      </c>
      <c r="F2440" t="s">
        <v>45</v>
      </c>
      <c r="G2440">
        <v>-475.58199999999999</v>
      </c>
      <c r="H2440" s="1">
        <v>3.567179E-6</v>
      </c>
      <c r="I2440">
        <v>216.5412</v>
      </c>
      <c r="J2440">
        <v>-482.69940000000003</v>
      </c>
      <c r="K2440">
        <v>1.1147629999999999</v>
      </c>
      <c r="L2440">
        <v>220.7705</v>
      </c>
      <c r="M2440">
        <v>0.6577364</v>
      </c>
      <c r="N2440">
        <v>-1.189897E-2</v>
      </c>
      <c r="O2440">
        <v>-0.75315430000000005</v>
      </c>
      <c r="P2440">
        <v>0.7725514</v>
      </c>
      <c r="Q2440">
        <v>0.38582610000000001</v>
      </c>
      <c r="R2440">
        <v>-0.50428459999999997</v>
      </c>
      <c r="S2440">
        <v>2.946472</v>
      </c>
      <c r="T2440">
        <v>-0.45118190000000002</v>
      </c>
      <c r="U2440">
        <v>-1.782043</v>
      </c>
      <c r="V2440">
        <v>-0.25376839999999901</v>
      </c>
      <c r="W2440">
        <v>0.3940784</v>
      </c>
      <c r="X2440">
        <v>0.88334799999999902</v>
      </c>
      <c r="Y2440">
        <v>-0.29793550000000002</v>
      </c>
      <c r="Z2440">
        <v>0.1034149</v>
      </c>
      <c r="AA2440">
        <v>0.94896780000000003</v>
      </c>
      <c r="AB2440">
        <v>20</v>
      </c>
      <c r="AC2440">
        <v>7.1174000000000301</v>
      </c>
      <c r="AD2440">
        <v>-1.114759432821</v>
      </c>
      <c r="AE2440">
        <v>-4.2292999999999896</v>
      </c>
      <c r="AF2440">
        <v>-2.5329957815831898</v>
      </c>
      <c r="AG2440">
        <v>-1.114759432821</v>
      </c>
      <c r="AH2440">
        <v>7.7271539108598004</v>
      </c>
      <c r="AI2440">
        <v>97.805888817329205</v>
      </c>
      <c r="AJ2440">
        <v>108.14937630014001</v>
      </c>
      <c r="AK2440">
        <v>8.2077806857089897</v>
      </c>
      <c r="AL2440">
        <v>66.791489848146696</v>
      </c>
      <c r="AM2440">
        <v>106.028311076813</v>
      </c>
      <c r="AN2440">
        <v>0.99999993764455797</v>
      </c>
    </row>
    <row r="2441" spans="1:40" x14ac:dyDescent="0.25">
      <c r="A2441" t="str">
        <f>"20190304164648564"</f>
        <v>20190304164648564</v>
      </c>
      <c r="B2441" t="str">
        <f>"1551689208561047"</f>
        <v>1551689208561047</v>
      </c>
      <c r="C2441" t="s">
        <v>40</v>
      </c>
      <c r="D2441">
        <v>4.0749829999999996</v>
      </c>
      <c r="E2441">
        <v>0.47954869999999999</v>
      </c>
      <c r="F2441" t="s">
        <v>45</v>
      </c>
      <c r="G2441">
        <v>-475.41120000000001</v>
      </c>
      <c r="H2441" s="1">
        <v>3.6381840000000001E-6</v>
      </c>
      <c r="I2441">
        <v>216.43209999999999</v>
      </c>
      <c r="J2441">
        <v>-482.55799999999999</v>
      </c>
      <c r="K2441">
        <v>1.114825</v>
      </c>
      <c r="L2441">
        <v>220.6217</v>
      </c>
      <c r="M2441">
        <v>0.66331459999999998</v>
      </c>
      <c r="N2441">
        <v>-1.1765350000000001E-2</v>
      </c>
      <c r="O2441">
        <v>-0.74824820000000003</v>
      </c>
      <c r="P2441">
        <v>0.77604200000000001</v>
      </c>
      <c r="Q2441">
        <v>0.38576480000000002</v>
      </c>
      <c r="R2441">
        <v>-0.49894359999999999</v>
      </c>
      <c r="S2441">
        <v>2.9594119999999999</v>
      </c>
      <c r="T2441">
        <v>-0.45265149999999998</v>
      </c>
      <c r="U2441">
        <v>-1.7616270000000001</v>
      </c>
      <c r="V2441">
        <v>-0.25338729999999998</v>
      </c>
      <c r="W2441">
        <v>0.3938605</v>
      </c>
      <c r="X2441">
        <v>0.88355459999999997</v>
      </c>
      <c r="Y2441">
        <v>-0.297489</v>
      </c>
      <c r="Z2441">
        <v>0.10335900000000001</v>
      </c>
      <c r="AA2441">
        <v>0.94911389999999995</v>
      </c>
      <c r="AB2441">
        <v>20</v>
      </c>
      <c r="AC2441">
        <v>7.1468000000000398</v>
      </c>
      <c r="AD2441">
        <v>-1.1148213618159999</v>
      </c>
      <c r="AE2441">
        <v>-4.1896000000000102</v>
      </c>
      <c r="AF2441">
        <v>-2.5230447433277701</v>
      </c>
      <c r="AG2441">
        <v>-1.1148213618159999</v>
      </c>
      <c r="AH2441">
        <v>7.73589141335514</v>
      </c>
      <c r="AI2441">
        <v>97.8013782933145</v>
      </c>
      <c r="AJ2441">
        <v>108.06362810496699</v>
      </c>
      <c r="AK2441">
        <v>8.2129530258499006</v>
      </c>
      <c r="AL2441">
        <v>66.805074068567706</v>
      </c>
      <c r="AM2441">
        <v>106.001923140042</v>
      </c>
      <c r="AN2441">
        <v>0.99999997422134901</v>
      </c>
    </row>
    <row r="2442" spans="1:40" x14ac:dyDescent="0.25">
      <c r="A2442" t="str">
        <f>"20190304164648602"</f>
        <v>20190304164648602</v>
      </c>
      <c r="B2442" t="str">
        <f>"1551689208591303"</f>
        <v>1551689208591303</v>
      </c>
      <c r="C2442" t="s">
        <v>40</v>
      </c>
      <c r="D2442">
        <v>4.0840969999999999</v>
      </c>
      <c r="E2442">
        <v>0.45922299999999999</v>
      </c>
      <c r="F2442" t="s">
        <v>45</v>
      </c>
      <c r="G2442">
        <v>-475.2706</v>
      </c>
      <c r="H2442" s="1">
        <v>3.6968290000000001E-6</v>
      </c>
      <c r="I2442">
        <v>216.3475</v>
      </c>
      <c r="J2442">
        <v>-482.33330000000001</v>
      </c>
      <c r="K2442">
        <v>1.1149070000000001</v>
      </c>
      <c r="L2442">
        <v>220.39</v>
      </c>
      <c r="M2442">
        <v>0.67216209999999998</v>
      </c>
      <c r="N2442">
        <v>-1.157585E-2</v>
      </c>
      <c r="O2442">
        <v>-0.74031380000000002</v>
      </c>
      <c r="P2442">
        <v>0.78177830000000004</v>
      </c>
      <c r="Q2442">
        <v>0.38507970000000002</v>
      </c>
      <c r="R2442">
        <v>-0.49044539999999998</v>
      </c>
      <c r="S2442">
        <v>2.9712830000000001</v>
      </c>
      <c r="T2442">
        <v>-0.45454450000000002</v>
      </c>
      <c r="U2442">
        <v>-1.7427220000000001</v>
      </c>
      <c r="V2442">
        <v>-0.25286340000000002</v>
      </c>
      <c r="W2442">
        <v>0.39295580000000002</v>
      </c>
      <c r="X2442">
        <v>0.88410739999999999</v>
      </c>
      <c r="Y2442">
        <v>-0.29230489999999998</v>
      </c>
      <c r="Z2442">
        <v>0.1029014</v>
      </c>
      <c r="AA2442">
        <v>0.95077290000000003</v>
      </c>
      <c r="AB2442">
        <v>20</v>
      </c>
      <c r="AC2442">
        <v>7.0627000000000004</v>
      </c>
      <c r="AD2442">
        <v>-1.1149033031709901</v>
      </c>
      <c r="AE2442">
        <v>-4.0424999999999898</v>
      </c>
      <c r="AF2442">
        <v>-2.46529343171354</v>
      </c>
      <c r="AG2442">
        <v>-1.1149033031709901</v>
      </c>
      <c r="AH2442">
        <v>7.59790293956911</v>
      </c>
      <c r="AI2442">
        <v>97.945717072079006</v>
      </c>
      <c r="AJ2442">
        <v>107.976704353369</v>
      </c>
      <c r="AK2442">
        <v>8.06528425779182</v>
      </c>
      <c r="AL2442">
        <v>66.861457280179806</v>
      </c>
      <c r="AM2442">
        <v>105.96104969330599</v>
      </c>
      <c r="AN2442">
        <v>1.00000002727397</v>
      </c>
    </row>
    <row r="2443" spans="1:40" x14ac:dyDescent="0.25">
      <c r="A2443" t="str">
        <f>"20190304164648624"</f>
        <v>20190304164648624</v>
      </c>
      <c r="B2443" t="str">
        <f>"1551689208620583"</f>
        <v>1551689208620583</v>
      </c>
      <c r="C2443" t="s">
        <v>40</v>
      </c>
      <c r="D2443">
        <v>4.0651970000000004</v>
      </c>
      <c r="E2443">
        <v>0.45772760000000001</v>
      </c>
      <c r="F2443" t="s">
        <v>45</v>
      </c>
      <c r="G2443">
        <v>-473.4384</v>
      </c>
      <c r="H2443" s="1">
        <v>4.4874429999999997E-6</v>
      </c>
      <c r="I2443">
        <v>215.84739999999999</v>
      </c>
      <c r="J2443">
        <v>-482.19049999999999</v>
      </c>
      <c r="K2443">
        <v>1.114954</v>
      </c>
      <c r="L2443">
        <v>220.24590000000001</v>
      </c>
      <c r="M2443">
        <v>0.67777129999999997</v>
      </c>
      <c r="N2443">
        <v>-1.147047E-2</v>
      </c>
      <c r="O2443">
        <v>-0.73518339999999904</v>
      </c>
      <c r="P2443">
        <v>0.78557929999999998</v>
      </c>
      <c r="Q2443">
        <v>0.38410909999999998</v>
      </c>
      <c r="R2443">
        <v>-0.48510379999999997</v>
      </c>
      <c r="S2443">
        <v>3.0487980000000001</v>
      </c>
      <c r="T2443">
        <v>-0.38214589999999998</v>
      </c>
      <c r="U2443">
        <v>-1.557053</v>
      </c>
      <c r="V2443">
        <v>-0.2525637</v>
      </c>
      <c r="W2443">
        <v>0.3918645</v>
      </c>
      <c r="X2443">
        <v>0.88467719999999905</v>
      </c>
      <c r="Y2443">
        <v>-0.34176190000000001</v>
      </c>
      <c r="Z2443">
        <v>8.7958320000000006E-2</v>
      </c>
      <c r="AA2443">
        <v>0.93566139999999998</v>
      </c>
      <c r="AB2443">
        <v>20</v>
      </c>
      <c r="AC2443">
        <v>8.7520999999999791</v>
      </c>
      <c r="AD2443">
        <v>-1.1149495125569999</v>
      </c>
      <c r="AE2443">
        <v>-4.3985000000000101</v>
      </c>
      <c r="AF2443">
        <v>-3.4092766852949898</v>
      </c>
      <c r="AG2443">
        <v>-1.1149495125569999</v>
      </c>
      <c r="AH2443">
        <v>9.0489867707171605</v>
      </c>
      <c r="AI2443">
        <v>96.577206267944206</v>
      </c>
      <c r="AJ2443">
        <v>110.64429368429001</v>
      </c>
      <c r="AK2443">
        <v>9.7339838457366099</v>
      </c>
      <c r="AL2443">
        <v>66.929435591609604</v>
      </c>
      <c r="AM2443">
        <v>105.933347125601</v>
      </c>
      <c r="AN2443">
        <v>0.999999978558889</v>
      </c>
    </row>
    <row r="2444" spans="1:40" x14ac:dyDescent="0.25">
      <c r="A2444" t="str">
        <f>"20190304164648647"</f>
        <v>20190304164648647</v>
      </c>
      <c r="B2444" t="str">
        <f>"1551689208641080"</f>
        <v>1551689208641080</v>
      </c>
      <c r="C2444" t="s">
        <v>40</v>
      </c>
      <c r="D2444">
        <v>4.0885889999999998</v>
      </c>
      <c r="E2444">
        <v>0.45752759999999998</v>
      </c>
      <c r="F2444" t="s">
        <v>45</v>
      </c>
      <c r="G2444">
        <v>-473.02109999999999</v>
      </c>
      <c r="H2444" s="1">
        <v>4.6653080000000003E-6</v>
      </c>
      <c r="I2444">
        <v>215.68190000000001</v>
      </c>
      <c r="J2444">
        <v>-482.04689999999999</v>
      </c>
      <c r="K2444">
        <v>1.1149979999999999</v>
      </c>
      <c r="L2444">
        <v>220.10310000000001</v>
      </c>
      <c r="M2444">
        <v>0.68340179999999995</v>
      </c>
      <c r="N2444">
        <v>-1.1372129999999999E-2</v>
      </c>
      <c r="O2444">
        <v>-0.72995410000000005</v>
      </c>
      <c r="P2444">
        <v>0.78916350000000002</v>
      </c>
      <c r="Q2444">
        <v>0.38373459999999998</v>
      </c>
      <c r="R2444">
        <v>-0.4795508</v>
      </c>
      <c r="S2444">
        <v>3.0602109999999998</v>
      </c>
      <c r="T2444">
        <v>-0.3721024</v>
      </c>
      <c r="U2444">
        <v>-1.523193</v>
      </c>
      <c r="V2444">
        <v>-0.25218950000000001</v>
      </c>
      <c r="W2444">
        <v>0.39137270000000002</v>
      </c>
      <c r="X2444">
        <v>0.88500159999999894</v>
      </c>
      <c r="Y2444">
        <v>-0.34446779999999999</v>
      </c>
      <c r="Z2444">
        <v>8.5412109999999999E-2</v>
      </c>
      <c r="AA2444">
        <v>0.93490459999999997</v>
      </c>
      <c r="AB2444">
        <v>20</v>
      </c>
      <c r="AC2444">
        <v>9.0258000000000003</v>
      </c>
      <c r="AD2444">
        <v>-1.114993334692</v>
      </c>
      <c r="AE2444">
        <v>-4.42119999999999</v>
      </c>
      <c r="AF2444">
        <v>-3.5238241481200001</v>
      </c>
      <c r="AG2444">
        <v>-1.114993334692</v>
      </c>
      <c r="AH2444">
        <v>9.2818898351144004</v>
      </c>
      <c r="AI2444">
        <v>96.407738880524505</v>
      </c>
      <c r="AJ2444">
        <v>110.789021246503</v>
      </c>
      <c r="AK2444">
        <v>9.9906969563930392</v>
      </c>
      <c r="AL2444">
        <v>66.960059785929303</v>
      </c>
      <c r="AM2444">
        <v>105.905398957839</v>
      </c>
      <c r="AN2444">
        <v>0.99999998310904903</v>
      </c>
    </row>
    <row r="2445" spans="1:40" x14ac:dyDescent="0.25">
      <c r="A2445" t="str">
        <f>"20190304164648670"</f>
        <v>20190304164648670</v>
      </c>
      <c r="B2445" t="str">
        <f>"1551689208660600"</f>
        <v>1551689208660600</v>
      </c>
      <c r="C2445" t="s">
        <v>40</v>
      </c>
      <c r="D2445">
        <v>4.1183709999999998</v>
      </c>
      <c r="E2445">
        <v>0.4570536</v>
      </c>
      <c r="F2445" t="s">
        <v>45</v>
      </c>
      <c r="G2445">
        <v>-472.7946</v>
      </c>
      <c r="H2445" s="1">
        <v>4.7615979999999998E-6</v>
      </c>
      <c r="I2445">
        <v>215.58670000000001</v>
      </c>
      <c r="J2445">
        <v>-481.90460000000002</v>
      </c>
      <c r="K2445">
        <v>1.1150580000000001</v>
      </c>
      <c r="L2445">
        <v>219.964</v>
      </c>
      <c r="M2445">
        <v>0.68897459999999999</v>
      </c>
      <c r="N2445">
        <v>-1.127877E-2</v>
      </c>
      <c r="O2445">
        <v>-0.72469779999999995</v>
      </c>
      <c r="P2445">
        <v>0.79248359999999995</v>
      </c>
      <c r="Q2445">
        <v>0.38399480000000002</v>
      </c>
      <c r="R2445">
        <v>-0.473833</v>
      </c>
      <c r="S2445">
        <v>3.0706180000000001</v>
      </c>
      <c r="T2445">
        <v>-0.37003839999999999</v>
      </c>
      <c r="U2445">
        <v>-1.4988709999999901</v>
      </c>
      <c r="V2445">
        <v>-0.25178329999999999</v>
      </c>
      <c r="W2445">
        <v>0.39151180000000002</v>
      </c>
      <c r="X2445">
        <v>0.885055699999999</v>
      </c>
      <c r="Y2445">
        <v>-0.34457080000000001</v>
      </c>
      <c r="Z2445">
        <v>8.4615179999999998E-2</v>
      </c>
      <c r="AA2445">
        <v>0.93493910000000002</v>
      </c>
      <c r="AB2445">
        <v>20</v>
      </c>
      <c r="AC2445">
        <v>9.1100000000000101</v>
      </c>
      <c r="AD2445">
        <v>-1.115053238402</v>
      </c>
      <c r="AE2445">
        <v>-4.3773000000000204</v>
      </c>
      <c r="AF2445">
        <v>-3.5432500320485398</v>
      </c>
      <c r="AG2445">
        <v>-1.115053238402</v>
      </c>
      <c r="AH2445">
        <v>9.3357496242458406</v>
      </c>
      <c r="AI2445">
        <v>96.371645138601707</v>
      </c>
      <c r="AJ2445">
        <v>110.783540415413</v>
      </c>
      <c r="AK2445">
        <v>10.047596009030601</v>
      </c>
      <c r="AL2445">
        <v>66.951398157709505</v>
      </c>
      <c r="AM2445">
        <v>105.880151529513</v>
      </c>
      <c r="AN2445">
        <v>0.99999995590030899</v>
      </c>
    </row>
    <row r="2446" spans="1:40" x14ac:dyDescent="0.25">
      <c r="A2446" t="str">
        <f>"20190304164648693"</f>
        <v>20190304164648693</v>
      </c>
      <c r="B2446" t="str">
        <f>"1551689208681096"</f>
        <v>1551689208681096</v>
      </c>
      <c r="C2446" t="s">
        <v>40</v>
      </c>
      <c r="D2446">
        <v>4.1283709999999996</v>
      </c>
      <c r="E2446">
        <v>0.45703519999999997</v>
      </c>
      <c r="F2446" t="s">
        <v>45</v>
      </c>
      <c r="G2446">
        <v>-472.4556</v>
      </c>
      <c r="H2446" s="1">
        <v>4.9056860000000003E-6</v>
      </c>
      <c r="I2446">
        <v>215.44399999999999</v>
      </c>
      <c r="J2446">
        <v>-481.75850000000003</v>
      </c>
      <c r="K2446">
        <v>1.1151260000000001</v>
      </c>
      <c r="L2446">
        <v>219.8235</v>
      </c>
      <c r="M2446">
        <v>0.69469709999999996</v>
      </c>
      <c r="N2446">
        <v>-1.118941E-2</v>
      </c>
      <c r="O2446">
        <v>-0.71921550000000001</v>
      </c>
      <c r="P2446">
        <v>0.79576329999999995</v>
      </c>
      <c r="Q2446">
        <v>0.38498579999999999</v>
      </c>
      <c r="R2446">
        <v>-0.46749030000000003</v>
      </c>
      <c r="S2446">
        <v>3.0806580000000001</v>
      </c>
      <c r="T2446">
        <v>-0.36353869999999999</v>
      </c>
      <c r="U2446">
        <v>-1.4736479999999901</v>
      </c>
      <c r="V2446">
        <v>-0.25158340000000001</v>
      </c>
      <c r="W2446">
        <v>0.39236939999999998</v>
      </c>
      <c r="X2446">
        <v>0.88473269999999904</v>
      </c>
      <c r="Y2446">
        <v>-0.34472180000000002</v>
      </c>
      <c r="Z2446">
        <v>8.2733440000000005E-2</v>
      </c>
      <c r="AA2446">
        <v>0.93505190000000005</v>
      </c>
      <c r="AB2446">
        <v>20</v>
      </c>
      <c r="AC2446">
        <v>9.3029000000000206</v>
      </c>
      <c r="AD2446">
        <v>-1.115121094314</v>
      </c>
      <c r="AE2446">
        <v>-4.37949999999997</v>
      </c>
      <c r="AF2446">
        <v>-3.6061771532018598</v>
      </c>
      <c r="AG2446">
        <v>-1.115121094314</v>
      </c>
      <c r="AH2446">
        <v>9.5013506236693601</v>
      </c>
      <c r="AI2446">
        <v>96.261843833846598</v>
      </c>
      <c r="AJ2446">
        <v>110.78393908203</v>
      </c>
      <c r="AK2446">
        <v>10.223681938966999</v>
      </c>
      <c r="AL2446">
        <v>66.897987871414799</v>
      </c>
      <c r="AM2446">
        <v>105.873680123082</v>
      </c>
      <c r="AN2446">
        <v>0.99999995183060297</v>
      </c>
    </row>
    <row r="2447" spans="1:40" x14ac:dyDescent="0.25">
      <c r="A2447" t="str">
        <f>"20190304164648718"</f>
        <v>20190304164648718</v>
      </c>
      <c r="B2447" t="str">
        <f>"1551689208711351"</f>
        <v>1551689208711351</v>
      </c>
      <c r="C2447" t="s">
        <v>40</v>
      </c>
      <c r="D2447">
        <v>4.1511239999999896</v>
      </c>
      <c r="E2447">
        <v>0.45683449999999998</v>
      </c>
      <c r="F2447" t="s">
        <v>45</v>
      </c>
      <c r="G2447">
        <v>-472.07190000000003</v>
      </c>
      <c r="H2447" s="1">
        <v>5.0685090000000003E-6</v>
      </c>
      <c r="I2447">
        <v>215.2766</v>
      </c>
      <c r="J2447">
        <v>-481.61079999999998</v>
      </c>
      <c r="K2447">
        <v>1.1152139999999999</v>
      </c>
      <c r="L2447">
        <v>219.6841</v>
      </c>
      <c r="M2447">
        <v>0.70050239999999997</v>
      </c>
      <c r="N2447">
        <v>-1.110804E-2</v>
      </c>
      <c r="O2447">
        <v>-0.71356390000000003</v>
      </c>
      <c r="P2447">
        <v>0.79905809999999999</v>
      </c>
      <c r="Q2447">
        <v>0.38524249999999999</v>
      </c>
      <c r="R2447">
        <v>-0.46162140000000002</v>
      </c>
      <c r="S2447">
        <v>3.089966</v>
      </c>
      <c r="T2447">
        <v>-0.35571419999999998</v>
      </c>
      <c r="U2447">
        <v>-1.4504549999999901</v>
      </c>
      <c r="V2447">
        <v>-0.25093260000000001</v>
      </c>
      <c r="W2447">
        <v>0.39250190000000001</v>
      </c>
      <c r="X2447">
        <v>0.88485879999999995</v>
      </c>
      <c r="Y2447">
        <v>-0.34416160000000001</v>
      </c>
      <c r="Z2447">
        <v>8.0481419999999998E-2</v>
      </c>
      <c r="AA2447">
        <v>0.93545469999999997</v>
      </c>
      <c r="AB2447">
        <v>20</v>
      </c>
      <c r="AC2447">
        <v>9.5388999999999502</v>
      </c>
      <c r="AD2447">
        <v>-1.1152089314910001</v>
      </c>
      <c r="AE2447">
        <v>-4.40749999999999</v>
      </c>
      <c r="AF2447">
        <v>-3.6779519716909901</v>
      </c>
      <c r="AG2447">
        <v>-1.1152089314910001</v>
      </c>
      <c r="AH2447">
        <v>9.7181973548789298</v>
      </c>
      <c r="AI2447">
        <v>96.1258545703176</v>
      </c>
      <c r="AJ2447">
        <v>110.729665112213</v>
      </c>
      <c r="AK2447">
        <v>10.4505684771364</v>
      </c>
      <c r="AL2447">
        <v>66.889735320175404</v>
      </c>
      <c r="AM2447">
        <v>105.832536002285</v>
      </c>
      <c r="AN2447">
        <v>1.0000000035919001</v>
      </c>
    </row>
    <row r="2448" spans="1:40" x14ac:dyDescent="0.25">
      <c r="A2448" t="str">
        <f>"20190304164648760"</f>
        <v>20190304164648760</v>
      </c>
      <c r="B2448" t="str">
        <f>"1551689208750392"</f>
        <v>1551689208750392</v>
      </c>
      <c r="C2448" t="s">
        <v>40</v>
      </c>
      <c r="D2448">
        <v>4.1809669999999999</v>
      </c>
      <c r="E2448">
        <v>0.45732590000000001</v>
      </c>
      <c r="F2448" t="s">
        <v>45</v>
      </c>
      <c r="G2448">
        <v>-471.786</v>
      </c>
      <c r="H2448" s="1">
        <v>5.1903459999999899E-6</v>
      </c>
      <c r="I2448">
        <v>215.16409999999999</v>
      </c>
      <c r="J2448">
        <v>-481.33179999999999</v>
      </c>
      <c r="K2448">
        <v>1.115402</v>
      </c>
      <c r="L2448">
        <v>219.42740000000001</v>
      </c>
      <c r="M2448">
        <v>0.71149039999999997</v>
      </c>
      <c r="N2448">
        <v>-1.0979269999999999E-2</v>
      </c>
      <c r="O2448">
        <v>-0.70261010000000002</v>
      </c>
      <c r="P2448">
        <v>0.80609929999999996</v>
      </c>
      <c r="Q2448">
        <v>0.38518940000000002</v>
      </c>
      <c r="R2448">
        <v>-0.44925900000000002</v>
      </c>
      <c r="S2448">
        <v>3.100098</v>
      </c>
      <c r="T2448">
        <v>-0.35189239999999999</v>
      </c>
      <c r="U2448">
        <v>-1.426239</v>
      </c>
      <c r="V2448">
        <v>-0.25103449999999999</v>
      </c>
      <c r="W2448">
        <v>0.39221729999999999</v>
      </c>
      <c r="X2448">
        <v>0.88495610000000002</v>
      </c>
      <c r="Y2448">
        <v>-0.33693319999999999</v>
      </c>
      <c r="Z2448">
        <v>7.8551919999999997E-2</v>
      </c>
      <c r="AA2448">
        <v>0.93824609999999997</v>
      </c>
      <c r="AB2448">
        <v>20</v>
      </c>
      <c r="AC2448">
        <v>9.5457999999999803</v>
      </c>
      <c r="AD2448">
        <v>-1.1153968096539999</v>
      </c>
      <c r="AE2448">
        <v>-4.2633000000000099</v>
      </c>
      <c r="AF2448">
        <v>-3.6325513959777802</v>
      </c>
      <c r="AG2448">
        <v>-1.1153968096539999</v>
      </c>
      <c r="AH2448">
        <v>9.6776145397904703</v>
      </c>
      <c r="AI2448">
        <v>96.1586327383568</v>
      </c>
      <c r="AJ2448">
        <v>110.573929387289</v>
      </c>
      <c r="AK2448">
        <v>10.3969112176728</v>
      </c>
      <c r="AL2448">
        <v>66.9074635425455</v>
      </c>
      <c r="AM2448">
        <v>105.83698876331</v>
      </c>
      <c r="AN2448">
        <v>1.0000000147683701</v>
      </c>
    </row>
    <row r="2449" spans="1:40" x14ac:dyDescent="0.25">
      <c r="A2449" t="str">
        <f>"20190304164648782"</f>
        <v>20190304164648782</v>
      </c>
      <c r="B2449" t="str">
        <f>"1551689208770888"</f>
        <v>1551689208770888</v>
      </c>
      <c r="C2449" t="s">
        <v>40</v>
      </c>
      <c r="D2449">
        <v>4.1745140000000003</v>
      </c>
      <c r="E2449">
        <v>0.45759899999999998</v>
      </c>
      <c r="F2449" t="s">
        <v>45</v>
      </c>
      <c r="G2449">
        <v>-471.50069999999999</v>
      </c>
      <c r="H2449" s="1">
        <v>5.3128699999999898E-6</v>
      </c>
      <c r="I2449">
        <v>215.07210000000001</v>
      </c>
      <c r="J2449">
        <v>-481.18119999999999</v>
      </c>
      <c r="K2449">
        <v>1.115489</v>
      </c>
      <c r="L2449">
        <v>219.29239999999999</v>
      </c>
      <c r="M2449">
        <v>0.71741599999999905</v>
      </c>
      <c r="N2449">
        <v>-1.092309E-2</v>
      </c>
      <c r="O2449">
        <v>-0.6965597</v>
      </c>
      <c r="P2449">
        <v>0.80976490000000001</v>
      </c>
      <c r="Q2449">
        <v>0.38595180000000001</v>
      </c>
      <c r="R2449">
        <v>-0.44195309999999999</v>
      </c>
      <c r="S2449">
        <v>3.1203609999999999</v>
      </c>
      <c r="T2449">
        <v>-0.35402479999999997</v>
      </c>
      <c r="U2449">
        <v>-1.3823700000000001</v>
      </c>
      <c r="V2449">
        <v>-0.25137999999999999</v>
      </c>
      <c r="W2449">
        <v>0.39286890000000002</v>
      </c>
      <c r="X2449">
        <v>0.88456889999999999</v>
      </c>
      <c r="Y2449">
        <v>-0.3421901</v>
      </c>
      <c r="Z2449">
        <v>7.8881960000000001E-2</v>
      </c>
      <c r="AA2449">
        <v>0.93631379999999997</v>
      </c>
      <c r="AB2449">
        <v>20</v>
      </c>
      <c r="AC2449">
        <v>9.6804999999999897</v>
      </c>
      <c r="AD2449">
        <v>-1.11548368713</v>
      </c>
      <c r="AE2449">
        <v>-4.2202999999999697</v>
      </c>
      <c r="AF2449">
        <v>-3.6745578537490098</v>
      </c>
      <c r="AG2449">
        <v>-1.11548368713</v>
      </c>
      <c r="AH2449">
        <v>9.7761478928398393</v>
      </c>
      <c r="AI2449">
        <v>96.096478284397406</v>
      </c>
      <c r="AJ2449">
        <v>110.599719822129</v>
      </c>
      <c r="AK2449">
        <v>10.5033207558123</v>
      </c>
      <c r="AL2449">
        <v>66.866871262027104</v>
      </c>
      <c r="AM2449">
        <v>105.864281863676</v>
      </c>
      <c r="AN2449">
        <v>1.00000000791721</v>
      </c>
    </row>
    <row r="2450" spans="1:40" x14ac:dyDescent="0.25">
      <c r="A2450" t="str">
        <f>"20190304164648804"</f>
        <v>20190304164648804</v>
      </c>
      <c r="B2450" t="str">
        <f>"1551689208801143"</f>
        <v>1551689208801143</v>
      </c>
      <c r="C2450" t="s">
        <v>40</v>
      </c>
      <c r="D2450">
        <v>4.2159700000000004</v>
      </c>
      <c r="E2450">
        <v>0.45819149999999997</v>
      </c>
      <c r="F2450" t="s">
        <v>45</v>
      </c>
      <c r="G2450">
        <v>-471.26420000000002</v>
      </c>
      <c r="H2450" s="1">
        <v>5.4141350000000003E-6</v>
      </c>
      <c r="I2450">
        <v>214.98910000000001</v>
      </c>
      <c r="J2450">
        <v>-481.03800000000001</v>
      </c>
      <c r="K2450">
        <v>1.1155550000000001</v>
      </c>
      <c r="L2450">
        <v>219.16640000000001</v>
      </c>
      <c r="M2450">
        <v>0.72304139999999995</v>
      </c>
      <c r="N2450">
        <v>-1.087747E-2</v>
      </c>
      <c r="O2450">
        <v>-0.69071910000000003</v>
      </c>
      <c r="P2450">
        <v>0.81344349999999999</v>
      </c>
      <c r="Q2450">
        <v>0.38703749999999998</v>
      </c>
      <c r="R2450">
        <v>-0.43417909999999998</v>
      </c>
      <c r="S2450">
        <v>3.1311339999999999</v>
      </c>
      <c r="T2450">
        <v>-0.35219650000000002</v>
      </c>
      <c r="U2450">
        <v>-1.3587039999999999</v>
      </c>
      <c r="V2450">
        <v>-0.25240790000000002</v>
      </c>
      <c r="W2450">
        <v>0.39385100000000001</v>
      </c>
      <c r="X2450">
        <v>0.88383919999999905</v>
      </c>
      <c r="Y2450">
        <v>-0.3417732</v>
      </c>
      <c r="Z2450">
        <v>7.8020989999999998E-2</v>
      </c>
      <c r="AA2450">
        <v>0.93653819999999999</v>
      </c>
      <c r="AB2450">
        <v>20</v>
      </c>
      <c r="AC2450">
        <v>9.7737999999999907</v>
      </c>
      <c r="AD2450">
        <v>-1.11554958586499</v>
      </c>
      <c r="AE2450">
        <v>-4.1772999999999998</v>
      </c>
      <c r="AF2450">
        <v>-3.6901626640211602</v>
      </c>
      <c r="AG2450">
        <v>-1.11554958586499</v>
      </c>
      <c r="AH2450">
        <v>9.8443550784148695</v>
      </c>
      <c r="AI2450">
        <v>96.056923690053694</v>
      </c>
      <c r="AJ2450">
        <v>110.548541510448</v>
      </c>
      <c r="AK2450">
        <v>10.5722787645508</v>
      </c>
      <c r="AL2450">
        <v>66.805667975793099</v>
      </c>
      <c r="AM2450">
        <v>105.93834833080599</v>
      </c>
      <c r="AN2450">
        <v>1.0000000448200199</v>
      </c>
    </row>
    <row r="2451" spans="1:40" x14ac:dyDescent="0.25">
      <c r="A2451" t="str">
        <f>"20190304164648848"</f>
        <v>20190304164648848</v>
      </c>
      <c r="B2451" t="str">
        <f>"1551689208841159"</f>
        <v>1551689208841159</v>
      </c>
      <c r="C2451" t="s">
        <v>40</v>
      </c>
      <c r="D2451">
        <v>4.2214640000000001</v>
      </c>
      <c r="E2451">
        <v>0.46565059999999903</v>
      </c>
      <c r="F2451" t="s">
        <v>45</v>
      </c>
      <c r="G2451">
        <v>-471.05130000000003</v>
      </c>
      <c r="H2451" s="1">
        <v>5.5055260000000004E-6</v>
      </c>
      <c r="I2451">
        <v>214.92060000000001</v>
      </c>
      <c r="J2451">
        <v>-480.73930000000001</v>
      </c>
      <c r="K2451">
        <v>1.115739</v>
      </c>
      <c r="L2451">
        <v>218.91040000000001</v>
      </c>
      <c r="M2451">
        <v>0.73480279999999998</v>
      </c>
      <c r="N2451">
        <v>-1.0800250000000001E-2</v>
      </c>
      <c r="O2451">
        <v>-0.67819479999999999</v>
      </c>
      <c r="P2451">
        <v>0.82064269999999995</v>
      </c>
      <c r="Q2451">
        <v>0.38854100000000003</v>
      </c>
      <c r="R2451">
        <v>-0.41902479999999998</v>
      </c>
      <c r="S2451">
        <v>3.142029</v>
      </c>
      <c r="T2451">
        <v>-0.35097790000000001</v>
      </c>
      <c r="U2451">
        <v>-1.3358000000000001</v>
      </c>
      <c r="V2451">
        <v>-0.25332179999999999</v>
      </c>
      <c r="W2451">
        <v>0.39515709999999998</v>
      </c>
      <c r="X2451">
        <v>0.88299430000000001</v>
      </c>
      <c r="Y2451">
        <v>-0.33268249999999999</v>
      </c>
      <c r="Z2451">
        <v>7.6426419999999995E-2</v>
      </c>
      <c r="AA2451">
        <v>0.93993689999999996</v>
      </c>
      <c r="AB2451">
        <v>20</v>
      </c>
      <c r="AC2451">
        <v>9.6879999999999793</v>
      </c>
      <c r="AD2451">
        <v>-1.1157334944740001</v>
      </c>
      <c r="AE2451">
        <v>-3.9897999999999998</v>
      </c>
      <c r="AF2451">
        <v>-3.59804533200951</v>
      </c>
      <c r="AG2451">
        <v>-1.1157334944740001</v>
      </c>
      <c r="AH2451">
        <v>9.7150354744294702</v>
      </c>
      <c r="AI2451">
        <v>96.146900716556004</v>
      </c>
      <c r="AJ2451">
        <v>110.322535459717</v>
      </c>
      <c r="AK2451">
        <v>10.419822729361</v>
      </c>
      <c r="AL2451">
        <v>66.724227678112399</v>
      </c>
      <c r="AM2451">
        <v>106.00762990840499</v>
      </c>
      <c r="AN2451">
        <v>1.0000000009340699</v>
      </c>
    </row>
    <row r="2452" spans="1:40" x14ac:dyDescent="0.25">
      <c r="A2452" t="str">
        <f>"20190304164648872"</f>
        <v>20190304164648872</v>
      </c>
      <c r="B2452" t="str">
        <f>"1551689208860680"</f>
        <v>1551689208860680</v>
      </c>
      <c r="C2452" t="s">
        <v>40</v>
      </c>
      <c r="D2452">
        <v>4.227436</v>
      </c>
      <c r="E2452">
        <v>0.46667500000000001</v>
      </c>
      <c r="F2452" t="s">
        <v>45</v>
      </c>
      <c r="G2452">
        <v>-471.4932</v>
      </c>
      <c r="H2452" s="1">
        <v>5.31195399999999E-6</v>
      </c>
      <c r="I2452">
        <v>214.97540000000001</v>
      </c>
      <c r="J2452">
        <v>-480.57990000000001</v>
      </c>
      <c r="K2452">
        <v>1.115847</v>
      </c>
      <c r="L2452">
        <v>218.77770000000001</v>
      </c>
      <c r="M2452">
        <v>0.74106799999999995</v>
      </c>
      <c r="N2452">
        <v>-1.076735E-2</v>
      </c>
      <c r="O2452">
        <v>-0.67134359999999904</v>
      </c>
      <c r="P2452">
        <v>0.8243492</v>
      </c>
      <c r="Q2452">
        <v>0.38850370000000001</v>
      </c>
      <c r="R2452">
        <v>-0.41172009999999998</v>
      </c>
      <c r="S2452">
        <v>3.1509399999999999</v>
      </c>
      <c r="T2452">
        <v>-0.38022669999999997</v>
      </c>
      <c r="U2452">
        <v>-1.3410029999999999</v>
      </c>
      <c r="V2452">
        <v>-0.25307970000000002</v>
      </c>
      <c r="W2452">
        <v>0.39502880000000001</v>
      </c>
      <c r="X2452">
        <v>0.88312109999999899</v>
      </c>
      <c r="Y2452">
        <v>-0.3229339</v>
      </c>
      <c r="Z2452">
        <v>8.1964750000000003E-2</v>
      </c>
      <c r="AA2452">
        <v>0.94286559999999997</v>
      </c>
      <c r="AB2452">
        <v>20</v>
      </c>
      <c r="AC2452">
        <v>9.0867000000000004</v>
      </c>
      <c r="AD2452">
        <v>-1.115841688046</v>
      </c>
      <c r="AE2452">
        <v>-3.8022999999999998</v>
      </c>
      <c r="AF2452">
        <v>-3.2411328610093801</v>
      </c>
      <c r="AG2452">
        <v>-1.115841688046</v>
      </c>
      <c r="AH2452">
        <v>9.1693828349224198</v>
      </c>
      <c r="AI2452">
        <v>96.545228878482703</v>
      </c>
      <c r="AJ2452">
        <v>109.467146280504</v>
      </c>
      <c r="AK2452">
        <v>9.7891586190472104</v>
      </c>
      <c r="AL2452">
        <v>66.732229308898695</v>
      </c>
      <c r="AM2452">
        <v>105.990935193341</v>
      </c>
      <c r="AN2452">
        <v>0.99999998232336895</v>
      </c>
    </row>
    <row r="2453" spans="1:40" x14ac:dyDescent="0.25">
      <c r="A2453" t="str">
        <f>"20190304164648893"</f>
        <v>20190304164648893</v>
      </c>
      <c r="B2453" t="str">
        <f>"1551689208890936"</f>
        <v>1551689208890936</v>
      </c>
      <c r="C2453" t="s">
        <v>40</v>
      </c>
      <c r="D2453">
        <v>4.2349030000000001</v>
      </c>
      <c r="E2453">
        <v>0.4681748</v>
      </c>
      <c r="F2453" t="s">
        <v>45</v>
      </c>
      <c r="G2453">
        <v>-471.3877</v>
      </c>
      <c r="H2453" s="1">
        <v>5.3572839999999999E-6</v>
      </c>
      <c r="I2453">
        <v>214.9418</v>
      </c>
      <c r="J2453">
        <v>-480.43009999999998</v>
      </c>
      <c r="K2453">
        <v>1.115937</v>
      </c>
      <c r="L2453">
        <v>218.65539999999999</v>
      </c>
      <c r="M2453">
        <v>0.74694539999999998</v>
      </c>
      <c r="N2453">
        <v>-1.0738620000000001E-2</v>
      </c>
      <c r="O2453">
        <v>-0.66479900000000003</v>
      </c>
      <c r="P2453">
        <v>0.82786340000000003</v>
      </c>
      <c r="Q2453">
        <v>0.3885303</v>
      </c>
      <c r="R2453">
        <v>-0.4045821</v>
      </c>
      <c r="S2453">
        <v>3.1612550000000001</v>
      </c>
      <c r="T2453">
        <v>-0.38374340000000001</v>
      </c>
      <c r="U2453">
        <v>-1.319199</v>
      </c>
      <c r="V2453">
        <v>-0.25303310000000001</v>
      </c>
      <c r="W2453">
        <v>0.39496750000000003</v>
      </c>
      <c r="X2453">
        <v>0.88316190000000006</v>
      </c>
      <c r="Y2453">
        <v>-0.32119579999999998</v>
      </c>
      <c r="Z2453">
        <v>8.2135189999999997E-2</v>
      </c>
      <c r="AA2453">
        <v>0.94344430000000001</v>
      </c>
      <c r="AB2453">
        <v>20</v>
      </c>
      <c r="AC2453">
        <v>9.0423999999999793</v>
      </c>
      <c r="AD2453">
        <v>-1.115931642716</v>
      </c>
      <c r="AE2453">
        <v>-3.71359999999998</v>
      </c>
      <c r="AF2453">
        <v>-3.1960563123644201</v>
      </c>
      <c r="AG2453">
        <v>-1.115931642716</v>
      </c>
      <c r="AH2453">
        <v>9.1048500611634307</v>
      </c>
      <c r="AI2453">
        <v>96.596748557257399</v>
      </c>
      <c r="AJ2453">
        <v>109.34249603177101</v>
      </c>
      <c r="AK2453">
        <v>9.7138238618623802</v>
      </c>
      <c r="AL2453">
        <v>66.736053078345705</v>
      </c>
      <c r="AM2453">
        <v>105.987440386258</v>
      </c>
      <c r="AN2453">
        <v>1.00000000868173</v>
      </c>
    </row>
    <row r="2454" spans="1:40" x14ac:dyDescent="0.25">
      <c r="A2454" t="str">
        <f>"20190304164648917"</f>
        <v>20190304164648917</v>
      </c>
      <c r="B2454" t="str">
        <f>"1551689208910455"</f>
        <v>1551689208910455</v>
      </c>
      <c r="C2454" t="s">
        <v>40</v>
      </c>
      <c r="D2454">
        <v>4.3510289999999996</v>
      </c>
      <c r="E2454">
        <v>0.46833370000000002</v>
      </c>
      <c r="F2454" t="s">
        <v>45</v>
      </c>
      <c r="G2454">
        <v>-471.40820000000002</v>
      </c>
      <c r="H2454" s="1">
        <v>5.3483579999999996E-6</v>
      </c>
      <c r="I2454">
        <v>214.94569999999999</v>
      </c>
      <c r="J2454">
        <v>-480.26639999999998</v>
      </c>
      <c r="K2454">
        <v>1.1160429999999999</v>
      </c>
      <c r="L2454">
        <v>218.5247</v>
      </c>
      <c r="M2454">
        <v>0.75336159999999996</v>
      </c>
      <c r="N2454">
        <v>-1.070892E-2</v>
      </c>
      <c r="O2454">
        <v>-0.65751939999999998</v>
      </c>
      <c r="P2454">
        <v>0.83187350000000004</v>
      </c>
      <c r="Q2454">
        <v>0.38713160000000002</v>
      </c>
      <c r="R2454">
        <v>-0.39763809999999999</v>
      </c>
      <c r="S2454">
        <v>3.1706539999999999</v>
      </c>
      <c r="T2454">
        <v>-0.39218520000000001</v>
      </c>
      <c r="U2454">
        <v>-1.3037570000000001</v>
      </c>
      <c r="V2454">
        <v>-0.25236920000000002</v>
      </c>
      <c r="W2454">
        <v>0.39349139999999999</v>
      </c>
      <c r="X2454">
        <v>0.88401030000000003</v>
      </c>
      <c r="Y2454">
        <v>-0.3167703</v>
      </c>
      <c r="Z2454">
        <v>8.3155560000000003E-2</v>
      </c>
      <c r="AA2454">
        <v>0.94485010000000003</v>
      </c>
      <c r="AB2454">
        <v>20</v>
      </c>
      <c r="AC2454">
        <v>8.8581999999999503</v>
      </c>
      <c r="AD2454">
        <v>-1.1160376516419901</v>
      </c>
      <c r="AE2454">
        <v>-3.5790000000000002</v>
      </c>
      <c r="AF2454">
        <v>-3.0862226031933302</v>
      </c>
      <c r="AG2454">
        <v>-1.1160376516419901</v>
      </c>
      <c r="AH2454">
        <v>8.90568217221103</v>
      </c>
      <c r="AI2454">
        <v>96.752889479100702</v>
      </c>
      <c r="AJ2454">
        <v>109.113520075197</v>
      </c>
      <c r="AK2454">
        <v>9.4911266427532901</v>
      </c>
      <c r="AL2454">
        <v>66.828079132898495</v>
      </c>
      <c r="AM2454">
        <v>105.93310088715</v>
      </c>
      <c r="AN2454">
        <v>0.99999995274434395</v>
      </c>
    </row>
    <row r="2455" spans="1:40" x14ac:dyDescent="0.25">
      <c r="A2455" t="str">
        <f>"20190304164648938"</f>
        <v>20190304164648938</v>
      </c>
      <c r="B2455" t="str">
        <f>"1551689208930951"</f>
        <v>1551689208930951</v>
      </c>
      <c r="C2455" t="s">
        <v>40</v>
      </c>
      <c r="D2455">
        <v>4.1657760000000001</v>
      </c>
      <c r="E2455">
        <v>0.40697519999999998</v>
      </c>
      <c r="F2455" t="s">
        <v>45</v>
      </c>
      <c r="G2455">
        <v>-471.34359999999998</v>
      </c>
      <c r="H2455" s="1">
        <v>5.3770600000000003E-6</v>
      </c>
      <c r="I2455">
        <v>214.94730000000001</v>
      </c>
      <c r="J2455">
        <v>-480.11340000000001</v>
      </c>
      <c r="K2455">
        <v>1.1161380000000001</v>
      </c>
      <c r="L2455">
        <v>218.40520000000001</v>
      </c>
      <c r="M2455">
        <v>0.75933719999999905</v>
      </c>
      <c r="N2455">
        <v>-1.0685689999999999E-2</v>
      </c>
      <c r="O2455">
        <v>-0.65060960000000001</v>
      </c>
      <c r="P2455">
        <v>0.83455100000000004</v>
      </c>
      <c r="Q2455">
        <v>0.38749620000000001</v>
      </c>
      <c r="R2455">
        <v>-0.39162639999999999</v>
      </c>
      <c r="S2455">
        <v>3.1817319999999998</v>
      </c>
      <c r="T2455">
        <v>-0.39796540000000002</v>
      </c>
      <c r="U2455">
        <v>-1.2756809999999901</v>
      </c>
      <c r="V2455">
        <v>-0.25064920000000002</v>
      </c>
      <c r="W2455">
        <v>0.39380320000000002</v>
      </c>
      <c r="X2455">
        <v>0.88436079999999995</v>
      </c>
      <c r="Y2455">
        <v>-0.3163106</v>
      </c>
      <c r="Z2455">
        <v>8.3851289999999995E-2</v>
      </c>
      <c r="AA2455">
        <v>0.94494259999999997</v>
      </c>
      <c r="AB2455">
        <v>20</v>
      </c>
      <c r="AC2455">
        <v>8.7698000000000302</v>
      </c>
      <c r="AD2455">
        <v>-1.1161326229399999</v>
      </c>
      <c r="AE2455">
        <v>-3.4578999999999902</v>
      </c>
      <c r="AF2455">
        <v>-3.0375979972690499</v>
      </c>
      <c r="AG2455">
        <v>-1.1161326229399999</v>
      </c>
      <c r="AH2455">
        <v>8.7863181270014596</v>
      </c>
      <c r="AI2455">
        <v>96.846073053501598</v>
      </c>
      <c r="AJ2455">
        <v>109.07124521304399</v>
      </c>
      <c r="AK2455">
        <v>9.3633402081670791</v>
      </c>
      <c r="AL2455">
        <v>66.808646483984603</v>
      </c>
      <c r="AM2455">
        <v>105.82401008593099</v>
      </c>
      <c r="AN2455">
        <v>1.0000000031837599</v>
      </c>
    </row>
    <row r="2456" spans="1:40" x14ac:dyDescent="0.25">
      <c r="A2456" t="str">
        <f>"20190304164648982"</f>
        <v>20190304164648982</v>
      </c>
      <c r="B2456" t="str">
        <f>"1551689208970968"</f>
        <v>1551689208970968</v>
      </c>
      <c r="C2456" t="s">
        <v>40</v>
      </c>
      <c r="D2456">
        <v>4.2333480000000003</v>
      </c>
      <c r="E2456">
        <v>0.3861559</v>
      </c>
      <c r="F2456" t="s">
        <v>41</v>
      </c>
      <c r="G2456">
        <v>-479.16329999999999</v>
      </c>
      <c r="H2456">
        <v>1.0523530000000001</v>
      </c>
      <c r="I2456">
        <v>218.18530000000001</v>
      </c>
      <c r="J2456">
        <v>-479.80340000000001</v>
      </c>
      <c r="K2456">
        <v>1.116269</v>
      </c>
      <c r="L2456">
        <v>218.17</v>
      </c>
      <c r="M2456">
        <v>0.77132840000000003</v>
      </c>
      <c r="N2456">
        <v>-1.065079E-2</v>
      </c>
      <c r="O2456">
        <v>-0.63634820000000003</v>
      </c>
      <c r="P2456">
        <v>0.83991499999999997</v>
      </c>
      <c r="Q2456">
        <v>0.38698919999999998</v>
      </c>
      <c r="R2456">
        <v>-0.38050240000000002</v>
      </c>
      <c r="S2456">
        <v>3.336182</v>
      </c>
      <c r="T2456">
        <v>-0.22401270000000001</v>
      </c>
      <c r="U2456">
        <v>-0.77258300000000002</v>
      </c>
      <c r="V2456">
        <v>-0.24617600000000001</v>
      </c>
      <c r="W2456">
        <v>0.39325399999999999</v>
      </c>
      <c r="X2456">
        <v>0.88586039999999899</v>
      </c>
      <c r="Y2456">
        <v>-0.44414769999999998</v>
      </c>
      <c r="Z2456">
        <v>4.8537780000000003E-2</v>
      </c>
      <c r="AA2456">
        <v>0.89463789999999999</v>
      </c>
      <c r="AB2456">
        <v>20</v>
      </c>
      <c r="AC2456">
        <v>0.64010000000001799</v>
      </c>
      <c r="AD2456">
        <v>-6.3915999999999806E-2</v>
      </c>
      <c r="AE2456">
        <v>1.53000000000247E-2</v>
      </c>
      <c r="AF2456">
        <v>-0.415015971428223</v>
      </c>
      <c r="AG2456">
        <v>-6.3915999999999806E-2</v>
      </c>
      <c r="AH2456">
        <v>0.47924300603647602</v>
      </c>
      <c r="AI2456">
        <v>95.757071771164803</v>
      </c>
      <c r="AJ2456">
        <v>130.891984119906</v>
      </c>
      <c r="AK2456">
        <v>0.63717922944128502</v>
      </c>
      <c r="AL2456">
        <v>66.842874831293997</v>
      </c>
      <c r="AM2456">
        <v>105.53033547501001</v>
      </c>
      <c r="AN2456">
        <v>0.99999998989007999</v>
      </c>
    </row>
    <row r="2457" spans="1:40" x14ac:dyDescent="0.25">
      <c r="A2457" t="str">
        <f>"20190304164649007"</f>
        <v>20190304164649007</v>
      </c>
      <c r="B2457" t="str">
        <f>"1551689209001224"</f>
        <v>1551689209001224</v>
      </c>
      <c r="C2457" t="s">
        <v>40</v>
      </c>
      <c r="D2457">
        <v>4.2496960000000001</v>
      </c>
      <c r="E2457">
        <v>0.38508510000000001</v>
      </c>
      <c r="F2457" t="s">
        <v>41</v>
      </c>
      <c r="G2457">
        <v>-478.85939999999999</v>
      </c>
      <c r="H2457">
        <v>1.0603020000000001</v>
      </c>
      <c r="I2457">
        <v>218.0136</v>
      </c>
      <c r="J2457">
        <v>-479.62150000000003</v>
      </c>
      <c r="K2457">
        <v>1.116314</v>
      </c>
      <c r="L2457">
        <v>218.03639999999999</v>
      </c>
      <c r="M2457">
        <v>0.77825440000000001</v>
      </c>
      <c r="N2457">
        <v>-1.063383E-2</v>
      </c>
      <c r="O2457">
        <v>-0.627859099999999</v>
      </c>
      <c r="P2457">
        <v>0.84349850000000004</v>
      </c>
      <c r="Q2457">
        <v>0.38754159999999999</v>
      </c>
      <c r="R2457">
        <v>-0.37191669999999999</v>
      </c>
      <c r="S2457">
        <v>3.4089360000000002</v>
      </c>
      <c r="T2457">
        <v>-0.20213999999999999</v>
      </c>
      <c r="U2457">
        <v>-0.56501769999999996</v>
      </c>
      <c r="V2457">
        <v>-0.24540239999999999</v>
      </c>
      <c r="W2457">
        <v>0.39376850000000002</v>
      </c>
      <c r="X2457">
        <v>0.88584649999999998</v>
      </c>
      <c r="Y2457">
        <v>-0.4906587</v>
      </c>
      <c r="Z2457">
        <v>4.4122219999999997E-2</v>
      </c>
      <c r="AA2457">
        <v>0.87023410000000001</v>
      </c>
      <c r="AB2457">
        <v>20</v>
      </c>
      <c r="AC2457">
        <v>0.76210000000003197</v>
      </c>
      <c r="AD2457">
        <v>-5.6011999999999902E-2</v>
      </c>
      <c r="AE2457">
        <v>-2.2799999999989402E-2</v>
      </c>
      <c r="AF2457">
        <v>-0.45829983458921902</v>
      </c>
      <c r="AG2457">
        <v>-5.6011999999999902E-2</v>
      </c>
      <c r="AH2457">
        <v>0.60419637260547798</v>
      </c>
      <c r="AI2457">
        <v>94.2242261934948</v>
      </c>
      <c r="AJ2457">
        <v>127.181333596794</v>
      </c>
      <c r="AK2457">
        <v>0.76041392622579196</v>
      </c>
      <c r="AL2457">
        <v>66.810809219310698</v>
      </c>
      <c r="AM2457">
        <v>105.48410830533599</v>
      </c>
      <c r="AN2457">
        <v>0.99999999554012997</v>
      </c>
    </row>
    <row r="2458" spans="1:40" x14ac:dyDescent="0.25">
      <c r="A2458" t="str">
        <f>"20190304164649028"</f>
        <v>20190304164649028</v>
      </c>
      <c r="B2458" t="str">
        <f>"1551689209020744"</f>
        <v>1551689209020744</v>
      </c>
      <c r="C2458" t="s">
        <v>40</v>
      </c>
      <c r="D2458">
        <v>4.2288759999999996</v>
      </c>
      <c r="E2458">
        <v>0.38570710000000002</v>
      </c>
      <c r="F2458" t="s">
        <v>41</v>
      </c>
      <c r="G2458">
        <v>-478.72190000000001</v>
      </c>
      <c r="H2458">
        <v>1.061258</v>
      </c>
      <c r="I2458">
        <v>217.89859999999999</v>
      </c>
      <c r="J2458">
        <v>-479.47030000000001</v>
      </c>
      <c r="K2458">
        <v>1.116341</v>
      </c>
      <c r="L2458">
        <v>217.92769999999999</v>
      </c>
      <c r="M2458">
        <v>0.78393659999999998</v>
      </c>
      <c r="N2458">
        <v>-1.062157E-2</v>
      </c>
      <c r="O2458">
        <v>-0.62075029999999998</v>
      </c>
      <c r="P2458">
        <v>0.84667590000000004</v>
      </c>
      <c r="Q2458">
        <v>0.38729340000000001</v>
      </c>
      <c r="R2458">
        <v>-0.36488939999999997</v>
      </c>
      <c r="S2458">
        <v>3.4219970000000002</v>
      </c>
      <c r="T2458">
        <v>-0.20936379999999999</v>
      </c>
      <c r="U2458">
        <v>-0.52340699999999996</v>
      </c>
      <c r="V2458">
        <v>-0.24480499999999999</v>
      </c>
      <c r="W2458">
        <v>0.3934994</v>
      </c>
      <c r="X2458">
        <v>0.88613129999999996</v>
      </c>
      <c r="Y2458">
        <v>-0.49347609999999997</v>
      </c>
      <c r="Z2458">
        <v>4.5618659999999998E-2</v>
      </c>
      <c r="AA2458">
        <v>0.86856219999999995</v>
      </c>
      <c r="AB2458">
        <v>20</v>
      </c>
      <c r="AC2458">
        <v>0.74840000000000295</v>
      </c>
      <c r="AD2458">
        <v>-5.5082999999999903E-2</v>
      </c>
      <c r="AE2458">
        <v>-2.9099999999999598E-2</v>
      </c>
      <c r="AF2458">
        <v>-0.43940510201952498</v>
      </c>
      <c r="AG2458">
        <v>-5.5082999999999903E-2</v>
      </c>
      <c r="AH2458">
        <v>0.60154229624489497</v>
      </c>
      <c r="AI2458">
        <v>94.228939547365798</v>
      </c>
      <c r="AJ2458">
        <v>126.146790254056</v>
      </c>
      <c r="AK2458">
        <v>0.74696995571533498</v>
      </c>
      <c r="AL2458">
        <v>66.827581048659297</v>
      </c>
      <c r="AM2458">
        <v>105.44348876383999</v>
      </c>
      <c r="AN2458">
        <v>0.99999997333252399</v>
      </c>
    </row>
    <row r="2459" spans="1:40" x14ac:dyDescent="0.25">
      <c r="A2459" t="str">
        <f>"20190304164649050"</f>
        <v>20190304164649050</v>
      </c>
      <c r="B2459" t="str">
        <f>"1551689209041239"</f>
        <v>1551689209041239</v>
      </c>
      <c r="C2459" t="s">
        <v>40</v>
      </c>
      <c r="D2459">
        <v>4.2069000000000001</v>
      </c>
      <c r="E2459">
        <v>0.38632640000000001</v>
      </c>
      <c r="F2459" t="s">
        <v>41</v>
      </c>
      <c r="G2459">
        <v>-478.57650000000001</v>
      </c>
      <c r="H2459">
        <v>1.0600590000000001</v>
      </c>
      <c r="I2459">
        <v>217.79769999999999</v>
      </c>
      <c r="J2459">
        <v>-479.30799999999999</v>
      </c>
      <c r="K2459">
        <v>1.1163609999999999</v>
      </c>
      <c r="L2459">
        <v>217.8134</v>
      </c>
      <c r="M2459">
        <v>0.78994900000000001</v>
      </c>
      <c r="N2459">
        <v>-1.061134E-2</v>
      </c>
      <c r="O2459">
        <v>-0.61308079999999998</v>
      </c>
      <c r="P2459">
        <v>0.85071739999999996</v>
      </c>
      <c r="Q2459">
        <v>0.38603549999999998</v>
      </c>
      <c r="R2459">
        <v>-0.3567304</v>
      </c>
      <c r="S2459">
        <v>3.4270320000000001</v>
      </c>
      <c r="T2459">
        <v>-0.21585360000000001</v>
      </c>
      <c r="U2459">
        <v>-0.4988708</v>
      </c>
      <c r="V2459">
        <v>-0.24505689999999999</v>
      </c>
      <c r="W2459">
        <v>0.39221410000000001</v>
      </c>
      <c r="X2459">
        <v>0.88663139999999996</v>
      </c>
      <c r="Y2459">
        <v>-0.49118149999999999</v>
      </c>
      <c r="Z2459">
        <v>4.6788749999999997E-2</v>
      </c>
      <c r="AA2459">
        <v>0.86979969999999995</v>
      </c>
      <c r="AB2459">
        <v>20</v>
      </c>
      <c r="AC2459">
        <v>0.73150000000003901</v>
      </c>
      <c r="AD2459">
        <v>-5.6301999999999998E-2</v>
      </c>
      <c r="AE2459">
        <v>-1.5700000000009501E-2</v>
      </c>
      <c r="AF2459">
        <v>-0.43352390254218898</v>
      </c>
      <c r="AG2459">
        <v>-5.6301999999999998E-2</v>
      </c>
      <c r="AH2459">
        <v>0.58404777588180501</v>
      </c>
      <c r="AI2459">
        <v>94.426199620970493</v>
      </c>
      <c r="AJ2459">
        <v>126.585565230882</v>
      </c>
      <c r="AK2459">
        <v>0.729537314872853</v>
      </c>
      <c r="AL2459">
        <v>66.907662791330196</v>
      </c>
      <c r="AM2459">
        <v>105.450317503737</v>
      </c>
      <c r="AN2459">
        <v>1.00000001197119</v>
      </c>
    </row>
    <row r="2460" spans="1:40" x14ac:dyDescent="0.25">
      <c r="A2460" t="str">
        <f>"20190304164649071"</f>
        <v>20190304164649071</v>
      </c>
      <c r="B2460" t="str">
        <f>"1551689209060760"</f>
        <v>1551689209060760</v>
      </c>
      <c r="C2460" t="s">
        <v>40</v>
      </c>
      <c r="D2460">
        <v>4.1748620000000001</v>
      </c>
      <c r="E2460">
        <v>0.3863337</v>
      </c>
      <c r="F2460" t="s">
        <v>41</v>
      </c>
      <c r="G2460">
        <v>-478.4323</v>
      </c>
      <c r="H2460">
        <v>1.058654</v>
      </c>
      <c r="I2460">
        <v>217.69329999999999</v>
      </c>
      <c r="J2460">
        <v>-479.15089999999998</v>
      </c>
      <c r="K2460">
        <v>1.1163829999999999</v>
      </c>
      <c r="L2460">
        <v>217.70500000000001</v>
      </c>
      <c r="M2460">
        <v>0.79568260000000002</v>
      </c>
      <c r="N2460">
        <v>-1.0600119999999999E-2</v>
      </c>
      <c r="O2460">
        <v>-0.60562119999999997</v>
      </c>
      <c r="P2460">
        <v>0.85479020000000006</v>
      </c>
      <c r="Q2460">
        <v>0.38503969999999998</v>
      </c>
      <c r="R2460">
        <v>-0.34796270000000001</v>
      </c>
      <c r="S2460">
        <v>3.4320369999999998</v>
      </c>
      <c r="T2460">
        <v>-0.22608980000000001</v>
      </c>
      <c r="U2460">
        <v>-0.46975709999999998</v>
      </c>
      <c r="V2460">
        <v>-0.24612529999999999</v>
      </c>
      <c r="W2460">
        <v>0.391177</v>
      </c>
      <c r="X2460">
        <v>0.88679359999999996</v>
      </c>
      <c r="Y2460">
        <v>-0.49023879999999997</v>
      </c>
      <c r="Z2460">
        <v>4.8870070000000002E-2</v>
      </c>
      <c r="AA2460">
        <v>0.87021700000000002</v>
      </c>
      <c r="AB2460">
        <v>20</v>
      </c>
      <c r="AC2460">
        <v>0.71859999999998003</v>
      </c>
      <c r="AD2460">
        <v>-5.7728999999999898E-2</v>
      </c>
      <c r="AE2460">
        <v>-1.17000000000189E-2</v>
      </c>
      <c r="AF2460">
        <v>-0.42318338882446099</v>
      </c>
      <c r="AG2460">
        <v>-5.7728999999999898E-2</v>
      </c>
      <c r="AH2460">
        <v>0.57518462357173805</v>
      </c>
      <c r="AI2460">
        <v>94.621910560054204</v>
      </c>
      <c r="AJ2460">
        <v>126.34321401661499</v>
      </c>
      <c r="AK2460">
        <v>0.71641759415254302</v>
      </c>
      <c r="AL2460">
        <v>66.972244350435702</v>
      </c>
      <c r="AM2460">
        <v>105.511738670508</v>
      </c>
      <c r="AN2460">
        <v>0.99999999881502499</v>
      </c>
    </row>
    <row r="2461" spans="1:40" x14ac:dyDescent="0.25">
      <c r="A2461" t="str">
        <f>"20190304164649095"</f>
        <v>20190304164649095</v>
      </c>
      <c r="B2461" t="str">
        <f>"1551689209091016"</f>
        <v>1551689209091016</v>
      </c>
      <c r="C2461" t="s">
        <v>40</v>
      </c>
      <c r="D2461">
        <v>4.1713889999999996</v>
      </c>
      <c r="E2461">
        <v>0.38649830000000002</v>
      </c>
      <c r="F2461" t="s">
        <v>41</v>
      </c>
      <c r="G2461">
        <v>-478.28440000000001</v>
      </c>
      <c r="H2461">
        <v>1.058065</v>
      </c>
      <c r="I2461">
        <v>217.595</v>
      </c>
      <c r="J2461">
        <v>-478.97309999999999</v>
      </c>
      <c r="K2461">
        <v>1.1164050000000001</v>
      </c>
      <c r="L2461">
        <v>217.5849</v>
      </c>
      <c r="M2461">
        <v>0.80205769999999998</v>
      </c>
      <c r="N2461">
        <v>-1.058311E-2</v>
      </c>
      <c r="O2461">
        <v>-0.59715269999999898</v>
      </c>
      <c r="P2461">
        <v>0.85921530000000002</v>
      </c>
      <c r="Q2461">
        <v>0.38385370000000002</v>
      </c>
      <c r="R2461">
        <v>-0.33823890000000001</v>
      </c>
      <c r="S2461">
        <v>3.4365839999999999</v>
      </c>
      <c r="T2461">
        <v>-0.23123859999999999</v>
      </c>
      <c r="U2461">
        <v>-0.43534850000000003</v>
      </c>
      <c r="V2461">
        <v>-0.24712500000000001</v>
      </c>
      <c r="W2461">
        <v>0.38994570000000001</v>
      </c>
      <c r="X2461">
        <v>0.88705780000000001</v>
      </c>
      <c r="Y2461">
        <v>-0.48964370000000002</v>
      </c>
      <c r="Z2461">
        <v>4.9714769999999998E-2</v>
      </c>
      <c r="AA2461">
        <v>0.87050419999999995</v>
      </c>
      <c r="AB2461">
        <v>21</v>
      </c>
      <c r="AC2461">
        <v>0.68869999999998199</v>
      </c>
      <c r="AD2461">
        <v>-5.8339999999999802E-2</v>
      </c>
      <c r="AE2461">
        <v>1.00999999999942E-2</v>
      </c>
      <c r="AF2461">
        <v>-0.41639600590625803</v>
      </c>
      <c r="AG2461">
        <v>-5.8339999999999802E-2</v>
      </c>
      <c r="AH2461">
        <v>0.54248457573488895</v>
      </c>
      <c r="AI2461">
        <v>94.876033458800293</v>
      </c>
      <c r="AJ2461">
        <v>127.508837038225</v>
      </c>
      <c r="AK2461">
        <v>0.68635173507826597</v>
      </c>
      <c r="AL2461">
        <v>67.048878715875404</v>
      </c>
      <c r="AM2461">
        <v>105.567279333781</v>
      </c>
      <c r="AN2461">
        <v>0.99999997755716397</v>
      </c>
    </row>
    <row r="2462" spans="1:40" x14ac:dyDescent="0.25">
      <c r="A2462" t="str">
        <f>"20190304164649117"</f>
        <v>20190304164649117</v>
      </c>
      <c r="B2462" t="str">
        <f>"1551689209110535"</f>
        <v>1551689209110535</v>
      </c>
      <c r="C2462" t="s">
        <v>40</v>
      </c>
      <c r="D2462">
        <v>4.1680429999999999</v>
      </c>
      <c r="E2462">
        <v>0.38687579999999999</v>
      </c>
      <c r="F2462" t="s">
        <v>41</v>
      </c>
      <c r="G2462">
        <v>-477.95569999999998</v>
      </c>
      <c r="H2462">
        <v>1.048114</v>
      </c>
      <c r="I2462">
        <v>217.46770000000001</v>
      </c>
      <c r="J2462">
        <v>-478.80860000000001</v>
      </c>
      <c r="K2462">
        <v>1.116425</v>
      </c>
      <c r="L2462">
        <v>217.47649999999999</v>
      </c>
      <c r="M2462">
        <v>0.80784009999999995</v>
      </c>
      <c r="N2462">
        <v>-1.0566880000000001E-2</v>
      </c>
      <c r="O2462">
        <v>-0.58930719999999903</v>
      </c>
      <c r="P2462">
        <v>0.86264110000000005</v>
      </c>
      <c r="Q2462">
        <v>0.38345420000000002</v>
      </c>
      <c r="R2462">
        <v>-0.32986929999999998</v>
      </c>
      <c r="S2462">
        <v>3.4387819999999998</v>
      </c>
      <c r="T2462">
        <v>-0.2308135</v>
      </c>
      <c r="U2462">
        <v>-0.39596559999999997</v>
      </c>
      <c r="V2462">
        <v>-0.24722469999999999</v>
      </c>
      <c r="W2462">
        <v>0.38951809999999998</v>
      </c>
      <c r="X2462">
        <v>0.8872179</v>
      </c>
      <c r="Y2462">
        <v>-0.49105670000000001</v>
      </c>
      <c r="Z2462">
        <v>4.93935E-2</v>
      </c>
      <c r="AA2462">
        <v>0.86972619999999901</v>
      </c>
      <c r="AB2462">
        <v>21</v>
      </c>
      <c r="AC2462">
        <v>0.85290000000003297</v>
      </c>
      <c r="AD2462">
        <v>-6.8310999999999997E-2</v>
      </c>
      <c r="AE2462">
        <v>-8.7999999999794892E-3</v>
      </c>
      <c r="AF2462">
        <v>-0.49238051906767799</v>
      </c>
      <c r="AG2462">
        <v>-6.8310999999999997E-2</v>
      </c>
      <c r="AH2462">
        <v>0.68980687149012698</v>
      </c>
      <c r="AI2462">
        <v>94.608195789270297</v>
      </c>
      <c r="AJ2462">
        <v>125.51904648699499</v>
      </c>
      <c r="AK2462">
        <v>0.85025789513144301</v>
      </c>
      <c r="AL2462">
        <v>67.075482553342596</v>
      </c>
      <c r="AM2462">
        <v>105.57058118353</v>
      </c>
      <c r="AN2462">
        <v>1.0000000022990501</v>
      </c>
    </row>
    <row r="2463" spans="1:40" x14ac:dyDescent="0.25">
      <c r="A2463" t="str">
        <f>"20190304164649142"</f>
        <v>20190304164649142</v>
      </c>
      <c r="B2463" t="str">
        <f>"1551689209131032"</f>
        <v>1551689209131032</v>
      </c>
      <c r="C2463" t="s">
        <v>40</v>
      </c>
      <c r="D2463">
        <v>4.1680599999999997</v>
      </c>
      <c r="E2463">
        <v>0.38721050000000001</v>
      </c>
      <c r="F2463" t="s">
        <v>41</v>
      </c>
      <c r="G2463">
        <v>-477.80619999999999</v>
      </c>
      <c r="H2463">
        <v>1.0492900000000001</v>
      </c>
      <c r="I2463">
        <v>217.37020000000001</v>
      </c>
      <c r="J2463">
        <v>-478.61309999999997</v>
      </c>
      <c r="K2463">
        <v>1.1164320000000001</v>
      </c>
      <c r="L2463">
        <v>217.35059999999999</v>
      </c>
      <c r="M2463">
        <v>0.81456819999999996</v>
      </c>
      <c r="N2463">
        <v>-1.0549899999999999E-2</v>
      </c>
      <c r="O2463">
        <v>-0.57997200000000004</v>
      </c>
      <c r="P2463">
        <v>0.86661139999999903</v>
      </c>
      <c r="Q2463">
        <v>0.38311250000000002</v>
      </c>
      <c r="R2463">
        <v>-0.31970290000000001</v>
      </c>
      <c r="S2463">
        <v>3.4408259999999999</v>
      </c>
      <c r="T2463">
        <v>-0.23038639999999999</v>
      </c>
      <c r="U2463">
        <v>-0.36412050000000001</v>
      </c>
      <c r="V2463">
        <v>-0.24754870000000001</v>
      </c>
      <c r="W2463">
        <v>0.3891464</v>
      </c>
      <c r="X2463">
        <v>0.88729069999999899</v>
      </c>
      <c r="Y2463">
        <v>-0.48907109999999898</v>
      </c>
      <c r="Z2463">
        <v>4.886157E-2</v>
      </c>
      <c r="AA2463">
        <v>0.87087429999999999</v>
      </c>
      <c r="AB2463">
        <v>21</v>
      </c>
      <c r="AC2463">
        <v>0.80689999999998396</v>
      </c>
      <c r="AD2463">
        <v>-6.7141999999999799E-2</v>
      </c>
      <c r="AE2463">
        <v>1.9600000000025299E-2</v>
      </c>
      <c r="AF2463">
        <v>-0.48064586667796599</v>
      </c>
      <c r="AG2463">
        <v>-6.7141999999999799E-2</v>
      </c>
      <c r="AH2463">
        <v>0.64150444482205904</v>
      </c>
      <c r="AI2463">
        <v>94.787969804911896</v>
      </c>
      <c r="AJ2463">
        <v>126.842309197787</v>
      </c>
      <c r="AK2463">
        <v>0.80439819122439105</v>
      </c>
      <c r="AL2463">
        <v>67.098604455579306</v>
      </c>
      <c r="AM2463">
        <v>105.588778480516</v>
      </c>
      <c r="AN2463">
        <v>1.0000000329055601</v>
      </c>
    </row>
    <row r="2464" spans="1:40" x14ac:dyDescent="0.25">
      <c r="A2464" t="str">
        <f>"20190304164649184"</f>
        <v>20190304164649184</v>
      </c>
      <c r="B2464" t="str">
        <f>"1551689209180808"</f>
        <v>1551689209180808</v>
      </c>
      <c r="C2464" t="s">
        <v>40</v>
      </c>
      <c r="D2464">
        <v>4.1843070000000004</v>
      </c>
      <c r="E2464">
        <v>0.38975609999999999</v>
      </c>
      <c r="F2464" t="s">
        <v>41</v>
      </c>
      <c r="G2464">
        <v>-477.66129999999998</v>
      </c>
      <c r="H2464">
        <v>1.052565</v>
      </c>
      <c r="I2464">
        <v>217.2603</v>
      </c>
      <c r="J2464">
        <v>-478.29129999999998</v>
      </c>
      <c r="K2464">
        <v>1.1164499999999999</v>
      </c>
      <c r="L2464">
        <v>217.1499</v>
      </c>
      <c r="M2464">
        <v>0.82530669999999995</v>
      </c>
      <c r="N2464">
        <v>-1.052604E-2</v>
      </c>
      <c r="O2464">
        <v>-0.564586699999999</v>
      </c>
      <c r="P2464">
        <v>0.87083149999999998</v>
      </c>
      <c r="Q2464">
        <v>0.3851406</v>
      </c>
      <c r="R2464">
        <v>-0.30548219999999998</v>
      </c>
      <c r="S2464">
        <v>3.4433590000000001</v>
      </c>
      <c r="T2464">
        <v>-0.2310344</v>
      </c>
      <c r="U2464">
        <v>-0.32675169999999998</v>
      </c>
      <c r="V2464">
        <v>-0.2449433</v>
      </c>
      <c r="W2464">
        <v>0.39117879999999999</v>
      </c>
      <c r="X2464">
        <v>0.88712000000000002</v>
      </c>
      <c r="Y2464">
        <v>-0.48214859999999998</v>
      </c>
      <c r="Z2464">
        <v>4.8119969999999998E-2</v>
      </c>
      <c r="AA2464">
        <v>0.87476690000000001</v>
      </c>
      <c r="AB2464">
        <v>21</v>
      </c>
      <c r="AC2464">
        <v>0.62999999999999501</v>
      </c>
      <c r="AD2464">
        <v>-6.38849999999999E-2</v>
      </c>
      <c r="AE2464">
        <v>0.110399999999998</v>
      </c>
      <c r="AF2464">
        <v>-0.44241444042911099</v>
      </c>
      <c r="AG2464">
        <v>-6.38849999999999E-2</v>
      </c>
      <c r="AH2464">
        <v>0.453117626471843</v>
      </c>
      <c r="AI2464">
        <v>95.760465923044194</v>
      </c>
      <c r="AJ2464">
        <v>134.315247088224</v>
      </c>
      <c r="AK2464">
        <v>0.63649620088786096</v>
      </c>
      <c r="AL2464">
        <v>66.972131929823107</v>
      </c>
      <c r="AM2464">
        <v>105.435397115209</v>
      </c>
      <c r="AN2464">
        <v>0.99999998409216395</v>
      </c>
    </row>
    <row r="2465" spans="1:40" x14ac:dyDescent="0.25">
      <c r="A2465" t="str">
        <f>"20190304164649208"</f>
        <v>20190304164649208</v>
      </c>
      <c r="B2465" t="str">
        <f>"1551689209201304"</f>
        <v>1551689209201304</v>
      </c>
      <c r="C2465" t="s">
        <v>40</v>
      </c>
      <c r="D2465">
        <v>4.2015900000000004</v>
      </c>
      <c r="E2465">
        <v>0.40942089999999998</v>
      </c>
      <c r="F2465" t="s">
        <v>41</v>
      </c>
      <c r="G2465">
        <v>-477.35570000000001</v>
      </c>
      <c r="H2465">
        <v>1.0561389999999999</v>
      </c>
      <c r="I2465">
        <v>217.0719</v>
      </c>
      <c r="J2465">
        <v>-478.10559999999998</v>
      </c>
      <c r="K2465">
        <v>1.116455</v>
      </c>
      <c r="L2465">
        <v>217.0378</v>
      </c>
      <c r="M2465">
        <v>0.83130919999999897</v>
      </c>
      <c r="N2465">
        <v>-1.051436E-2</v>
      </c>
      <c r="O2465">
        <v>-0.55571099999999996</v>
      </c>
      <c r="P2465">
        <v>0.87337260000000005</v>
      </c>
      <c r="Q2465">
        <v>0.38563619999999998</v>
      </c>
      <c r="R2465">
        <v>-0.29749799999999998</v>
      </c>
      <c r="S2465">
        <v>3.442291</v>
      </c>
      <c r="T2465">
        <v>-0.22193299999999999</v>
      </c>
      <c r="U2465">
        <v>-0.28749079999999999</v>
      </c>
      <c r="V2465">
        <v>-0.24344350000000001</v>
      </c>
      <c r="W2465">
        <v>0.39168209999999998</v>
      </c>
      <c r="X2465">
        <v>0.88731079999999996</v>
      </c>
      <c r="Y2465">
        <v>-0.48280319999999999</v>
      </c>
      <c r="Z2465">
        <v>4.5815939999999999E-2</v>
      </c>
      <c r="AA2465">
        <v>0.87452949999999996</v>
      </c>
      <c r="AB2465">
        <v>21</v>
      </c>
      <c r="AC2465">
        <v>0.74989999999996804</v>
      </c>
      <c r="AD2465">
        <v>-6.0316000000000002E-2</v>
      </c>
      <c r="AE2465">
        <v>3.40999999999951E-2</v>
      </c>
      <c r="AF2465">
        <v>-0.44224475293077897</v>
      </c>
      <c r="AG2465">
        <v>-6.0316000000000002E-2</v>
      </c>
      <c r="AH2465">
        <v>0.60060487671098695</v>
      </c>
      <c r="AI2465">
        <v>94.623320620423399</v>
      </c>
      <c r="AJ2465">
        <v>126.365414899108</v>
      </c>
      <c r="AK2465">
        <v>0.74829450036721901</v>
      </c>
      <c r="AL2465">
        <v>66.940795606466295</v>
      </c>
      <c r="AM2465">
        <v>105.34220910050399</v>
      </c>
      <c r="AN2465">
        <v>1.0000000304746399</v>
      </c>
    </row>
    <row r="2466" spans="1:40" x14ac:dyDescent="0.25">
      <c r="A2466" t="str">
        <f>"20190304164649229"</f>
        <v>20190304164649229</v>
      </c>
      <c r="B2466" t="str">
        <f>"1551689209220825"</f>
        <v>1551689209220825</v>
      </c>
      <c r="C2466" t="s">
        <v>40</v>
      </c>
      <c r="D2466">
        <v>4.1757759999999999</v>
      </c>
      <c r="E2466">
        <v>0.40987709999999999</v>
      </c>
      <c r="F2466" t="s">
        <v>41</v>
      </c>
      <c r="G2466">
        <v>-477.13420000000002</v>
      </c>
      <c r="H2466">
        <v>1.0483469999999999</v>
      </c>
      <c r="I2466">
        <v>216.92150000000001</v>
      </c>
      <c r="J2466">
        <v>-477.93720000000002</v>
      </c>
      <c r="K2466">
        <v>1.11646</v>
      </c>
      <c r="L2466">
        <v>216.9385</v>
      </c>
      <c r="M2466">
        <v>0.83663569999999998</v>
      </c>
      <c r="N2466">
        <v>-1.05053E-2</v>
      </c>
      <c r="O2466">
        <v>-0.54765909999999995</v>
      </c>
      <c r="P2466">
        <v>0.87570609999999904</v>
      </c>
      <c r="Q2466">
        <v>0.38575809999999999</v>
      </c>
      <c r="R2466">
        <v>-0.29039559999999998</v>
      </c>
      <c r="S2466">
        <v>3.4017029999999999</v>
      </c>
      <c r="T2466">
        <v>-0.23843410000000001</v>
      </c>
      <c r="U2466">
        <v>-0.40670780000000001</v>
      </c>
      <c r="V2466">
        <v>-0.24205670000000001</v>
      </c>
      <c r="W2466">
        <v>0.39181359999999998</v>
      </c>
      <c r="X2466">
        <v>0.88763199999999998</v>
      </c>
      <c r="Y2466">
        <v>-0.4424671</v>
      </c>
      <c r="Z2466">
        <v>4.793977E-2</v>
      </c>
      <c r="AA2466">
        <v>0.89550239999999903</v>
      </c>
      <c r="AB2466">
        <v>21</v>
      </c>
      <c r="AC2466">
        <v>0.80299999999999705</v>
      </c>
      <c r="AD2466">
        <v>-6.8113000000000007E-2</v>
      </c>
      <c r="AE2466">
        <v>-1.69999999999959E-2</v>
      </c>
      <c r="AF2466">
        <v>-0.422532159495839</v>
      </c>
      <c r="AG2466">
        <v>-6.8113000000000007E-2</v>
      </c>
      <c r="AH2466">
        <v>0.67630241544077596</v>
      </c>
      <c r="AI2466">
        <v>94.882015288407402</v>
      </c>
      <c r="AJ2466">
        <v>121.995826641731</v>
      </c>
      <c r="AK2466">
        <v>0.80034852639849696</v>
      </c>
      <c r="AL2466">
        <v>66.932604858858795</v>
      </c>
      <c r="AM2466">
        <v>105.25363143335601</v>
      </c>
      <c r="AN2466">
        <v>0.99999995529192398</v>
      </c>
    </row>
    <row r="2467" spans="1:40" x14ac:dyDescent="0.25">
      <c r="A2467" t="str">
        <f>"20190304164649252"</f>
        <v>20190304164649252</v>
      </c>
      <c r="B2467" t="str">
        <f>"1551689209241320"</f>
        <v>1551689209241320</v>
      </c>
      <c r="C2467" t="s">
        <v>40</v>
      </c>
      <c r="D2467">
        <v>4.2010249999999996</v>
      </c>
      <c r="E2467">
        <v>0.41162599999999999</v>
      </c>
      <c r="F2467" t="s">
        <v>49</v>
      </c>
      <c r="G2467">
        <v>-462.09769999999997</v>
      </c>
      <c r="H2467" s="1">
        <v>-4.4418689999999999E-7</v>
      </c>
      <c r="I2467">
        <v>215.1584</v>
      </c>
      <c r="J2467">
        <v>-477.7604</v>
      </c>
      <c r="K2467">
        <v>1.1164780000000001</v>
      </c>
      <c r="L2467">
        <v>216.8365</v>
      </c>
      <c r="M2467">
        <v>0.84210959999999901</v>
      </c>
      <c r="N2467">
        <v>-1.049745E-2</v>
      </c>
      <c r="O2467">
        <v>-0.53920449999999998</v>
      </c>
      <c r="P2467">
        <v>0.87825229999999999</v>
      </c>
      <c r="Q2467">
        <v>0.3856926</v>
      </c>
      <c r="R2467">
        <v>-0.28269090000000002</v>
      </c>
      <c r="S2467">
        <v>3.404633</v>
      </c>
      <c r="T2467">
        <v>-0.23997859999999999</v>
      </c>
      <c r="U2467">
        <v>-0.38261410000000001</v>
      </c>
      <c r="V2467">
        <v>-0.2409367</v>
      </c>
      <c r="W2467">
        <v>0.39175179999999998</v>
      </c>
      <c r="X2467">
        <v>0.88796399999999998</v>
      </c>
      <c r="Y2467">
        <v>-0.4397742</v>
      </c>
      <c r="Z2467">
        <v>4.776743E-2</v>
      </c>
      <c r="AA2467">
        <v>0.896837199999999</v>
      </c>
      <c r="AB2467">
        <v>21</v>
      </c>
      <c r="AC2467">
        <v>15.662699999999999</v>
      </c>
      <c r="AD2467">
        <v>-1.1164784441869</v>
      </c>
      <c r="AE2467">
        <v>-1.6780999999999999</v>
      </c>
      <c r="AF2467">
        <v>-6.9974885368024502</v>
      </c>
      <c r="AG2467">
        <v>-1.1164784441869</v>
      </c>
      <c r="AH2467">
        <v>14.0248692586669</v>
      </c>
      <c r="AI2467">
        <v>94.074470794299799</v>
      </c>
      <c r="AJ2467">
        <v>116.51618295630399</v>
      </c>
      <c r="AK2467">
        <v>15.7133168892413</v>
      </c>
      <c r="AL2467">
        <v>66.936454874063301</v>
      </c>
      <c r="AM2467">
        <v>105.180903157521</v>
      </c>
      <c r="AN2467">
        <v>1.00000001575306</v>
      </c>
    </row>
    <row r="2468" spans="1:40" x14ac:dyDescent="0.25">
      <c r="A2468" t="str">
        <f>"20190304164649275"</f>
        <v>20190304164649275</v>
      </c>
      <c r="B2468" t="str">
        <f>"1551689209270600"</f>
        <v>1551689209270600</v>
      </c>
      <c r="C2468" t="s">
        <v>40</v>
      </c>
      <c r="D2468">
        <v>4.2129659999999998</v>
      </c>
      <c r="E2468">
        <v>0.4108946</v>
      </c>
      <c r="F2468" t="s">
        <v>49</v>
      </c>
      <c r="G2468">
        <v>-462.26580000000001</v>
      </c>
      <c r="H2468" s="1">
        <v>-3.5537539999999999E-7</v>
      </c>
      <c r="I2468">
        <v>215.17269999999999</v>
      </c>
      <c r="J2468">
        <v>-477.5745</v>
      </c>
      <c r="K2468">
        <v>1.116493</v>
      </c>
      <c r="L2468">
        <v>216.73179999999999</v>
      </c>
      <c r="M2468">
        <v>0.84774150000000004</v>
      </c>
      <c r="N2468">
        <v>-1.048672E-2</v>
      </c>
      <c r="O2468">
        <v>-0.53030619999999995</v>
      </c>
      <c r="P2468">
        <v>0.88114680000000001</v>
      </c>
      <c r="Q2468">
        <v>0.38547769999999998</v>
      </c>
      <c r="R2468">
        <v>-0.27383849999999998</v>
      </c>
      <c r="S2468">
        <v>3.4059750000000002</v>
      </c>
      <c r="T2468">
        <v>-0.24542079999999999</v>
      </c>
      <c r="U2468">
        <v>-0.36572270000000001</v>
      </c>
      <c r="V2468">
        <v>-0.2405872</v>
      </c>
      <c r="W2468">
        <v>0.39152140000000002</v>
      </c>
      <c r="X2468">
        <v>0.88816030000000001</v>
      </c>
      <c r="Y2468">
        <v>-0.43467869999999997</v>
      </c>
      <c r="Z2468">
        <v>4.8297640000000003E-2</v>
      </c>
      <c r="AA2468">
        <v>0.89928960000000002</v>
      </c>
      <c r="AB2468">
        <v>21</v>
      </c>
      <c r="AC2468">
        <v>15.3086999999999</v>
      </c>
      <c r="AD2468">
        <v>-1.1164933553754</v>
      </c>
      <c r="AE2468">
        <v>-1.5590999999999999</v>
      </c>
      <c r="AF2468">
        <v>-6.761362559658</v>
      </c>
      <c r="AG2468">
        <v>-1.1164933553754</v>
      </c>
      <c r="AH2468">
        <v>13.733080502886001</v>
      </c>
      <c r="AI2468">
        <v>94.171686966302602</v>
      </c>
      <c r="AJ2468">
        <v>116.21292742752</v>
      </c>
      <c r="AK2468">
        <v>15.347966678830501</v>
      </c>
      <c r="AL2468">
        <v>66.950800572376906</v>
      </c>
      <c r="AM2468">
        <v>105.15669961299</v>
      </c>
      <c r="AN2468">
        <v>0.999999962978944</v>
      </c>
    </row>
    <row r="2469" spans="1:40" x14ac:dyDescent="0.25">
      <c r="A2469" t="str">
        <f>"20190304164649296"</f>
        <v>20190304164649296</v>
      </c>
      <c r="B2469" t="str">
        <f>"1551689209291097"</f>
        <v>1551689209291097</v>
      </c>
      <c r="C2469" t="s">
        <v>40</v>
      </c>
      <c r="D2469">
        <v>4.231433</v>
      </c>
      <c r="E2469">
        <v>0.41125390000000001</v>
      </c>
      <c r="F2469" t="s">
        <v>41</v>
      </c>
      <c r="G2469">
        <v>-476.56670000000003</v>
      </c>
      <c r="H2469">
        <v>1.0487249999999999</v>
      </c>
      <c r="I2469">
        <v>216.636</v>
      </c>
      <c r="J2469">
        <v>-477.39699999999999</v>
      </c>
      <c r="K2469">
        <v>1.116517</v>
      </c>
      <c r="L2469">
        <v>216.63419999999999</v>
      </c>
      <c r="M2469">
        <v>0.85300869999999995</v>
      </c>
      <c r="N2469">
        <v>-1.0473390000000001E-2</v>
      </c>
      <c r="O2469">
        <v>-0.52179179999999903</v>
      </c>
      <c r="P2469">
        <v>0.88394629999999996</v>
      </c>
      <c r="Q2469">
        <v>0.38533970000000001</v>
      </c>
      <c r="R2469">
        <v>-0.26486389999999999</v>
      </c>
      <c r="S2469">
        <v>3.40448</v>
      </c>
      <c r="T2469">
        <v>-0.22888049999999999</v>
      </c>
      <c r="U2469">
        <v>-0.32258609999999999</v>
      </c>
      <c r="V2469">
        <v>-0.24078479999999999</v>
      </c>
      <c r="W2469">
        <v>0.39135209999999998</v>
      </c>
      <c r="X2469">
        <v>0.88818140000000001</v>
      </c>
      <c r="Y2469">
        <v>-0.4371891</v>
      </c>
      <c r="Z2469">
        <v>4.460973E-2</v>
      </c>
      <c r="AA2469">
        <v>0.89826260000000002</v>
      </c>
      <c r="AB2469">
        <v>21</v>
      </c>
      <c r="AC2469">
        <v>0.83029999999996495</v>
      </c>
      <c r="AD2469">
        <v>-6.7792000000000005E-2</v>
      </c>
      <c r="AE2469">
        <v>1.8000000000029099E-3</v>
      </c>
      <c r="AF2469">
        <v>-0.43192361602982698</v>
      </c>
      <c r="AG2469">
        <v>-6.7792000000000005E-2</v>
      </c>
      <c r="AH2469">
        <v>0.70266842055235001</v>
      </c>
      <c r="AI2469">
        <v>94.698675427847803</v>
      </c>
      <c r="AJ2469">
        <v>121.578648128024</v>
      </c>
      <c r="AK2469">
        <v>0.82758484434516799</v>
      </c>
      <c r="AL2469">
        <v>66.961342616877701</v>
      </c>
      <c r="AM2469">
        <v>105.168231076865</v>
      </c>
      <c r="AN2469">
        <v>0.99999999269570505</v>
      </c>
    </row>
    <row r="2470" spans="1:40" x14ac:dyDescent="0.25">
      <c r="A2470" t="str">
        <f>"20190304164649318"</f>
        <v>20190304164649318</v>
      </c>
      <c r="B2470" t="str">
        <f>"1551689209310616"</f>
        <v>1551689209310616</v>
      </c>
      <c r="C2470" t="s">
        <v>40</v>
      </c>
      <c r="D2470">
        <v>4.2512460000000001</v>
      </c>
      <c r="E2470">
        <v>0.41179929999999898</v>
      </c>
      <c r="F2470" t="s">
        <v>41</v>
      </c>
      <c r="G2470">
        <v>-476.40649999999999</v>
      </c>
      <c r="H2470">
        <v>1.051193</v>
      </c>
      <c r="I2470">
        <v>216.55019999999999</v>
      </c>
      <c r="J2470">
        <v>-477.22160000000002</v>
      </c>
      <c r="K2470">
        <v>1.1165499999999999</v>
      </c>
      <c r="L2470">
        <v>216.5402</v>
      </c>
      <c r="M2470">
        <v>0.85810889999999995</v>
      </c>
      <c r="N2470">
        <v>-1.0460570000000001E-2</v>
      </c>
      <c r="O2470">
        <v>-0.51336119999999996</v>
      </c>
      <c r="P2470">
        <v>0.88647310000000001</v>
      </c>
      <c r="Q2470">
        <v>0.38509260000000001</v>
      </c>
      <c r="R2470">
        <v>-0.25665009999999999</v>
      </c>
      <c r="S2470">
        <v>3.4052120000000001</v>
      </c>
      <c r="T2470">
        <v>-0.22456100000000001</v>
      </c>
      <c r="U2470">
        <v>-0.28883360000000002</v>
      </c>
      <c r="V2470">
        <v>-0.24035380000000001</v>
      </c>
      <c r="W2470">
        <v>0.39108399999999999</v>
      </c>
      <c r="X2470">
        <v>0.88841619999999999</v>
      </c>
      <c r="Y2470">
        <v>-0.43726209999999999</v>
      </c>
      <c r="Z2470">
        <v>4.336835E-2</v>
      </c>
      <c r="AA2470">
        <v>0.89828790000000003</v>
      </c>
      <c r="AB2470">
        <v>21</v>
      </c>
      <c r="AC2470">
        <v>0.81510000000002902</v>
      </c>
      <c r="AD2470">
        <v>-6.5356999999999804E-2</v>
      </c>
      <c r="AE2470">
        <v>9.9999999999908998E-3</v>
      </c>
      <c r="AF2470">
        <v>-0.42431751571947901</v>
      </c>
      <c r="AG2470">
        <v>-6.5356999999999804E-2</v>
      </c>
      <c r="AH2470">
        <v>0.68991394889541202</v>
      </c>
      <c r="AI2470">
        <v>94.613325158321501</v>
      </c>
      <c r="AJ2470">
        <v>121.592747166257</v>
      </c>
      <c r="AK2470">
        <v>0.81258731744706203</v>
      </c>
      <c r="AL2470">
        <v>66.9780339874807</v>
      </c>
      <c r="AM2470">
        <v>105.138509703601</v>
      </c>
      <c r="AN2470">
        <v>0.99999999432644004</v>
      </c>
    </row>
    <row r="2471" spans="1:40" x14ac:dyDescent="0.25">
      <c r="A2471" t="str">
        <f>"20190304164649342"</f>
        <v>20190304164649342</v>
      </c>
      <c r="B2471" t="str">
        <f>"1551689209331112"</f>
        <v>1551689209331112</v>
      </c>
      <c r="C2471" t="s">
        <v>40</v>
      </c>
      <c r="D2471">
        <v>4.2367229999999996</v>
      </c>
      <c r="E2471">
        <v>0.41289179999999998</v>
      </c>
      <c r="F2471" t="s">
        <v>41</v>
      </c>
      <c r="G2471">
        <v>-476.24400000000003</v>
      </c>
      <c r="H2471">
        <v>1.0531219999999999</v>
      </c>
      <c r="I2471">
        <v>216.4659</v>
      </c>
      <c r="J2471">
        <v>-477.0215</v>
      </c>
      <c r="K2471">
        <v>1.1165830000000001</v>
      </c>
      <c r="L2471">
        <v>216.4357</v>
      </c>
      <c r="M2471">
        <v>0.86380489999999999</v>
      </c>
      <c r="N2471">
        <v>-1.043939E-2</v>
      </c>
      <c r="O2471">
        <v>-0.5037182</v>
      </c>
      <c r="P2471">
        <v>0.88909969999999905</v>
      </c>
      <c r="Q2471">
        <v>0.38490049999999998</v>
      </c>
      <c r="R2471">
        <v>-0.24769630000000001</v>
      </c>
      <c r="S2471">
        <v>3.4054570000000002</v>
      </c>
      <c r="T2471">
        <v>-0.2209219</v>
      </c>
      <c r="U2471">
        <v>-0.25810240000000001</v>
      </c>
      <c r="V2471">
        <v>-0.23943629999999999</v>
      </c>
      <c r="W2471">
        <v>0.39086670000000001</v>
      </c>
      <c r="X2471">
        <v>0.88875949999999904</v>
      </c>
      <c r="Y2471">
        <v>-0.43532650000000001</v>
      </c>
      <c r="Z2471">
        <v>4.2152750000000003E-2</v>
      </c>
      <c r="AA2471">
        <v>0.89928529999999995</v>
      </c>
      <c r="AB2471">
        <v>21</v>
      </c>
      <c r="AC2471">
        <v>0.77749999999997499</v>
      </c>
      <c r="AD2471">
        <v>-6.3461000000000198E-2</v>
      </c>
      <c r="AE2471">
        <v>3.02000000000077E-2</v>
      </c>
      <c r="AF2471">
        <v>-0.41499003890930702</v>
      </c>
      <c r="AG2471">
        <v>-6.3461000000000198E-2</v>
      </c>
      <c r="AH2471">
        <v>0.65209402964226804</v>
      </c>
      <c r="AI2471">
        <v>94.693622652051303</v>
      </c>
      <c r="AJ2471">
        <v>122.47251252320299</v>
      </c>
      <c r="AK2471">
        <v>0.77554539158584301</v>
      </c>
      <c r="AL2471">
        <v>66.991560849289996</v>
      </c>
      <c r="AM2471">
        <v>105.077798567119</v>
      </c>
      <c r="AN2471">
        <v>0.99999998388341405</v>
      </c>
    </row>
    <row r="2472" spans="1:40" x14ac:dyDescent="0.25">
      <c r="A2472" t="str">
        <f>"20190304164649366"</f>
        <v>20190304164649366</v>
      </c>
      <c r="B2472" t="str">
        <f>"1551689209361368"</f>
        <v>1551689209361368</v>
      </c>
      <c r="C2472" t="s">
        <v>40</v>
      </c>
      <c r="D2472">
        <v>4.2769810000000001</v>
      </c>
      <c r="E2472">
        <v>0.41397410000000001</v>
      </c>
      <c r="F2472" t="s">
        <v>41</v>
      </c>
      <c r="G2472">
        <v>-476.03190000000001</v>
      </c>
      <c r="H2472">
        <v>1.0523340000000001</v>
      </c>
      <c r="I2472">
        <v>216.3691</v>
      </c>
      <c r="J2472">
        <v>-476.83449999999999</v>
      </c>
      <c r="K2472">
        <v>1.1166149999999999</v>
      </c>
      <c r="L2472">
        <v>216.34039999999999</v>
      </c>
      <c r="M2472">
        <v>0.86902099999999904</v>
      </c>
      <c r="N2472">
        <v>-1.0404719999999999E-2</v>
      </c>
      <c r="O2472">
        <v>-0.49466599999999999</v>
      </c>
      <c r="P2472">
        <v>0.89145669999999899</v>
      </c>
      <c r="Q2472">
        <v>0.38461250000000002</v>
      </c>
      <c r="R2472">
        <v>-0.23953820000000001</v>
      </c>
      <c r="S2472">
        <v>3.4060969999999999</v>
      </c>
      <c r="T2472">
        <v>-0.2211244</v>
      </c>
      <c r="U2472">
        <v>-0.22897339999999999</v>
      </c>
      <c r="V2472">
        <v>-0.23838719999999999</v>
      </c>
      <c r="W2472">
        <v>0.39054280000000002</v>
      </c>
      <c r="X2472">
        <v>0.88918379999999997</v>
      </c>
      <c r="Y2472">
        <v>-0.43359920000000002</v>
      </c>
      <c r="Z2472">
        <v>4.175649E-2</v>
      </c>
      <c r="AA2472">
        <v>0.90013779999999999</v>
      </c>
      <c r="AB2472">
        <v>21</v>
      </c>
      <c r="AC2472">
        <v>0.80259999999998399</v>
      </c>
      <c r="AD2472">
        <v>-6.4280999999999797E-2</v>
      </c>
      <c r="AE2472">
        <v>2.87000000000148E-2</v>
      </c>
      <c r="AF2472">
        <v>-0.41929646456685599</v>
      </c>
      <c r="AG2472">
        <v>-6.4280999999999797E-2</v>
      </c>
      <c r="AH2472">
        <v>0.67896654717517801</v>
      </c>
      <c r="AI2472">
        <v>94.605378023281403</v>
      </c>
      <c r="AJ2472">
        <v>121.69744521561</v>
      </c>
      <c r="AK2472">
        <v>0.80058550095679903</v>
      </c>
      <c r="AL2472">
        <v>67.011721370147896</v>
      </c>
      <c r="AM2472">
        <v>105.007882569754</v>
      </c>
      <c r="AN2472">
        <v>0.99999998296905901</v>
      </c>
    </row>
    <row r="2473" spans="1:40" x14ac:dyDescent="0.25">
      <c r="A2473" t="str">
        <f>"20190304164649408"</f>
        <v>20190304164649408</v>
      </c>
      <c r="B2473" t="str">
        <f>"1551689209400408"</f>
        <v>1551689209400408</v>
      </c>
      <c r="C2473" t="s">
        <v>40</v>
      </c>
      <c r="D2473">
        <v>4.306889</v>
      </c>
      <c r="E2473">
        <v>0.42936639999999998</v>
      </c>
      <c r="F2473" t="s">
        <v>49</v>
      </c>
      <c r="G2473">
        <v>-459.69060000000002</v>
      </c>
      <c r="H2473" s="1">
        <v>3.5895530000000001E-6</v>
      </c>
      <c r="I2473">
        <v>215.3142</v>
      </c>
      <c r="J2473">
        <v>-476.48</v>
      </c>
      <c r="K2473">
        <v>1.116676</v>
      </c>
      <c r="L2473">
        <v>216.16659999999999</v>
      </c>
      <c r="M2473">
        <v>0.87862469999999904</v>
      </c>
      <c r="N2473">
        <v>-1.029598E-2</v>
      </c>
      <c r="O2473">
        <v>-0.47740189999999999</v>
      </c>
      <c r="P2473">
        <v>0.89538609999999896</v>
      </c>
      <c r="Q2473">
        <v>0.3851581</v>
      </c>
      <c r="R2473">
        <v>-0.2234659</v>
      </c>
      <c r="S2473">
        <v>3.4062190000000001</v>
      </c>
      <c r="T2473">
        <v>-0.2218522</v>
      </c>
      <c r="U2473">
        <v>-0.20388790000000001</v>
      </c>
      <c r="V2473">
        <v>-0.2367813</v>
      </c>
      <c r="W2473">
        <v>0.3909685</v>
      </c>
      <c r="X2473">
        <v>0.88942579999999904</v>
      </c>
      <c r="Y2473">
        <v>-0.42241190000000001</v>
      </c>
      <c r="Z2473">
        <v>4.0746699999999997E-2</v>
      </c>
      <c r="AA2473">
        <v>0.90548770000000001</v>
      </c>
      <c r="AB2473">
        <v>21</v>
      </c>
      <c r="AC2473">
        <v>16.789400000000001</v>
      </c>
      <c r="AD2473">
        <v>-1.1166724104470001</v>
      </c>
      <c r="AE2473">
        <v>-0.85239999999998795</v>
      </c>
      <c r="AF2473">
        <v>-7.2348150982768598</v>
      </c>
      <c r="AG2473">
        <v>-1.1166724104470001</v>
      </c>
      <c r="AH2473">
        <v>15.0927294840131</v>
      </c>
      <c r="AI2473">
        <v>93.817008300762296</v>
      </c>
      <c r="AJ2473">
        <v>115.611085412679</v>
      </c>
      <c r="AK2473">
        <v>16.774384938235698</v>
      </c>
      <c r="AL2473">
        <v>66.985224340630495</v>
      </c>
      <c r="AM2473">
        <v>104.90742302597999</v>
      </c>
      <c r="AN2473">
        <v>1.0000000028637801</v>
      </c>
    </row>
    <row r="2474" spans="1:40" x14ac:dyDescent="0.25">
      <c r="A2474" t="str">
        <f>"20190304164649429"</f>
        <v>20190304164649429</v>
      </c>
      <c r="B2474" t="str">
        <f>"1551689209420904"</f>
        <v>1551689209420904</v>
      </c>
      <c r="C2474" t="s">
        <v>40</v>
      </c>
      <c r="D2474">
        <v>4.3207550000000001</v>
      </c>
      <c r="E2474">
        <v>0.43042589999999997</v>
      </c>
      <c r="F2474" t="s">
        <v>49</v>
      </c>
      <c r="G2474">
        <v>-460.33010000000002</v>
      </c>
      <c r="H2474" s="1">
        <v>-1.3740309999999999E-6</v>
      </c>
      <c r="I2474">
        <v>214.9118</v>
      </c>
      <c r="J2474">
        <v>-476.29360000000003</v>
      </c>
      <c r="K2474">
        <v>1.1166929999999999</v>
      </c>
      <c r="L2474">
        <v>216.07859999999999</v>
      </c>
      <c r="M2474">
        <v>0.88351789999999997</v>
      </c>
      <c r="N2474">
        <v>-1.02214E-2</v>
      </c>
      <c r="O2474">
        <v>-0.46828550000000002</v>
      </c>
      <c r="P2474">
        <v>0.89736199999999999</v>
      </c>
      <c r="Q2474">
        <v>0.38545800000000002</v>
      </c>
      <c r="R2474">
        <v>-0.2148573</v>
      </c>
      <c r="S2474">
        <v>3.3855900000000001</v>
      </c>
      <c r="T2474">
        <v>-0.23409569999999999</v>
      </c>
      <c r="U2474">
        <v>-0.26304630000000001</v>
      </c>
      <c r="V2474">
        <v>-0.2360989</v>
      </c>
      <c r="W2474">
        <v>0.39118960000000003</v>
      </c>
      <c r="X2474">
        <v>0.88951000000000002</v>
      </c>
      <c r="Y2474">
        <v>-0.39666590000000002</v>
      </c>
      <c r="Z2474">
        <v>4.1914430000000003E-2</v>
      </c>
      <c r="AA2474">
        <v>0.91700570000000003</v>
      </c>
      <c r="AB2474">
        <v>21</v>
      </c>
      <c r="AC2474">
        <v>15.9635</v>
      </c>
      <c r="AD2474">
        <v>-1.116694374031</v>
      </c>
      <c r="AE2474">
        <v>-1.1667999999999901</v>
      </c>
      <c r="AF2474">
        <v>-6.4137064769901997</v>
      </c>
      <c r="AG2474">
        <v>-1.116694374031</v>
      </c>
      <c r="AH2474">
        <v>14.5802332869102</v>
      </c>
      <c r="AI2474">
        <v>94.010242282004</v>
      </c>
      <c r="AJ2474">
        <v>113.744239213412</v>
      </c>
      <c r="AK2474">
        <v>15.967649789455599</v>
      </c>
      <c r="AL2474">
        <v>66.971460354869194</v>
      </c>
      <c r="AM2474">
        <v>104.86502016538699</v>
      </c>
      <c r="AN2474">
        <v>1.0000000169146801</v>
      </c>
    </row>
    <row r="2475" spans="1:40" x14ac:dyDescent="0.25">
      <c r="A2475" t="str">
        <f>"20190304164649453"</f>
        <v>20190304164649453</v>
      </c>
      <c r="B2475" t="str">
        <f>"1551689209440424"</f>
        <v>1551689209440424</v>
      </c>
      <c r="C2475" t="s">
        <v>40</v>
      </c>
      <c r="D2475">
        <v>4.3263480000000003</v>
      </c>
      <c r="E2475">
        <v>0.43819069999999999</v>
      </c>
      <c r="F2475" t="s">
        <v>49</v>
      </c>
      <c r="G2475">
        <v>-460.18349999999998</v>
      </c>
      <c r="H2475" s="1">
        <v>-1.4534600000000001E-6</v>
      </c>
      <c r="I2475">
        <v>214.94380000000001</v>
      </c>
      <c r="J2475">
        <v>-476.10210000000001</v>
      </c>
      <c r="K2475">
        <v>1.116717</v>
      </c>
      <c r="L2475">
        <v>215.9906</v>
      </c>
      <c r="M2475">
        <v>0.88843150000000004</v>
      </c>
      <c r="N2475">
        <v>-1.013351E-2</v>
      </c>
      <c r="O2475">
        <v>-0.45889760000000002</v>
      </c>
      <c r="P2475">
        <v>0.899254</v>
      </c>
      <c r="Q2475">
        <v>0.38572450000000003</v>
      </c>
      <c r="R2475">
        <v>-0.2062986</v>
      </c>
      <c r="S2475">
        <v>3.386841</v>
      </c>
      <c r="T2475">
        <v>-0.2347639</v>
      </c>
      <c r="U2475">
        <v>-0.23857120000000001</v>
      </c>
      <c r="V2475">
        <v>-0.2351289</v>
      </c>
      <c r="W2475">
        <v>0.39137179999999999</v>
      </c>
      <c r="X2475">
        <v>0.8896868</v>
      </c>
      <c r="Y2475">
        <v>-0.39356819999999998</v>
      </c>
      <c r="Z2475">
        <v>4.1478309999999997E-2</v>
      </c>
      <c r="AA2475">
        <v>0.91835919999999904</v>
      </c>
      <c r="AB2475">
        <v>21</v>
      </c>
      <c r="AC2475">
        <v>15.9186</v>
      </c>
      <c r="AD2475">
        <v>-1.1167184534600001</v>
      </c>
      <c r="AE2475">
        <v>-1.04679999999999</v>
      </c>
      <c r="AF2475">
        <v>-6.3442365631834798</v>
      </c>
      <c r="AG2475">
        <v>-1.1167184534600001</v>
      </c>
      <c r="AH2475">
        <v>14.5524008838073</v>
      </c>
      <c r="AI2475">
        <v>94.023764469553498</v>
      </c>
      <c r="AJ2475">
        <v>113.55518285305</v>
      </c>
      <c r="AK2475">
        <v>15.914420164019999</v>
      </c>
      <c r="AL2475">
        <v>66.960117300216197</v>
      </c>
      <c r="AM2475">
        <v>104.803822959976</v>
      </c>
      <c r="AN2475">
        <v>1.00000004377234</v>
      </c>
    </row>
    <row r="2476" spans="1:40" x14ac:dyDescent="0.25">
      <c r="A2476" t="str">
        <f>"20190304164649498"</f>
        <v>20190304164649498</v>
      </c>
      <c r="B2476" t="str">
        <f>"1551689209491176"</f>
        <v>1551689209491176</v>
      </c>
      <c r="C2476" t="s">
        <v>40</v>
      </c>
      <c r="D2476">
        <v>4.3187110000000004</v>
      </c>
      <c r="E2476">
        <v>0.44275179999999997</v>
      </c>
      <c r="F2476" t="s">
        <v>49</v>
      </c>
      <c r="G2476">
        <v>-461.06270000000001</v>
      </c>
      <c r="H2476" s="1">
        <v>-9.7941419999999994E-7</v>
      </c>
      <c r="I2476">
        <v>214.8023</v>
      </c>
      <c r="J2476">
        <v>-475.71190000000001</v>
      </c>
      <c r="K2476">
        <v>1.116746</v>
      </c>
      <c r="L2476">
        <v>215.81909999999999</v>
      </c>
      <c r="M2476">
        <v>0.89807549999999903</v>
      </c>
      <c r="N2476">
        <v>-9.9197179999999992E-3</v>
      </c>
      <c r="O2476">
        <v>-0.4397296</v>
      </c>
      <c r="P2476">
        <v>0.9028969</v>
      </c>
      <c r="Q2476">
        <v>0.38641510000000001</v>
      </c>
      <c r="R2476">
        <v>-0.18831010000000001</v>
      </c>
      <c r="S2476">
        <v>3.3825069999999999</v>
      </c>
      <c r="T2476">
        <v>-0.25116119999999997</v>
      </c>
      <c r="U2476">
        <v>-0.26727289999999998</v>
      </c>
      <c r="V2476">
        <v>-0.23372970000000001</v>
      </c>
      <c r="W2476">
        <v>0.39185710000000001</v>
      </c>
      <c r="X2476">
        <v>0.88984180000000002</v>
      </c>
      <c r="Y2476">
        <v>-0.36569089999999999</v>
      </c>
      <c r="Z2476">
        <v>4.24123E-2</v>
      </c>
      <c r="AA2476">
        <v>0.92976950000000003</v>
      </c>
      <c r="AB2476">
        <v>21</v>
      </c>
      <c r="AC2476">
        <v>14.6492</v>
      </c>
      <c r="AD2476">
        <v>-1.1167469794142</v>
      </c>
      <c r="AE2476">
        <v>-1.0167999999999799</v>
      </c>
      <c r="AF2476">
        <v>-5.4970031758807103</v>
      </c>
      <c r="AG2476">
        <v>-1.1167469794142</v>
      </c>
      <c r="AH2476">
        <v>13.5256469004319</v>
      </c>
      <c r="AI2476">
        <v>94.374007913320696</v>
      </c>
      <c r="AJ2476">
        <v>112.117480260127</v>
      </c>
      <c r="AK2476">
        <v>14.642653168290099</v>
      </c>
      <c r="AL2476">
        <v>66.929896819731994</v>
      </c>
      <c r="AM2476">
        <v>104.717111989589</v>
      </c>
      <c r="AN2476">
        <v>0.99999999425486996</v>
      </c>
    </row>
    <row r="2477" spans="1:40" x14ac:dyDescent="0.25">
      <c r="A2477" t="str">
        <f>"20190304164649518"</f>
        <v>20190304164649518</v>
      </c>
      <c r="B2477" t="str">
        <f>"1551689209510696"</f>
        <v>1551689209510696</v>
      </c>
      <c r="C2477" t="s">
        <v>40</v>
      </c>
      <c r="D2477">
        <v>4.3711599999999997</v>
      </c>
      <c r="E2477">
        <v>0.44423049999999997</v>
      </c>
      <c r="F2477" t="s">
        <v>49</v>
      </c>
      <c r="G2477">
        <v>-461.17309999999998</v>
      </c>
      <c r="H2477" s="1">
        <v>-9.2154280000000002E-7</v>
      </c>
      <c r="I2477">
        <v>214.8227</v>
      </c>
      <c r="J2477">
        <v>-475.53370000000001</v>
      </c>
      <c r="K2477">
        <v>1.116768</v>
      </c>
      <c r="L2477">
        <v>215.744</v>
      </c>
      <c r="M2477">
        <v>0.90231170000000005</v>
      </c>
      <c r="N2477">
        <v>-9.8225020000000003E-3</v>
      </c>
      <c r="O2477">
        <v>-0.43097239999999998</v>
      </c>
      <c r="P2477">
        <v>0.90426419999999996</v>
      </c>
      <c r="Q2477">
        <v>0.38723560000000001</v>
      </c>
      <c r="R2477">
        <v>-0.17987609999999901</v>
      </c>
      <c r="S2477">
        <v>3.3855590000000002</v>
      </c>
      <c r="T2477">
        <v>-0.26005080000000003</v>
      </c>
      <c r="U2477">
        <v>-0.23202510000000001</v>
      </c>
      <c r="V2477">
        <v>-0.23326240000000001</v>
      </c>
      <c r="W2477">
        <v>0.39257989999999998</v>
      </c>
      <c r="X2477">
        <v>0.88964580000000004</v>
      </c>
      <c r="Y2477">
        <v>-0.3662029</v>
      </c>
      <c r="Z2477">
        <v>4.3531510000000002E-2</v>
      </c>
      <c r="AA2477">
        <v>0.92951629999999996</v>
      </c>
      <c r="AB2477">
        <v>21</v>
      </c>
      <c r="AC2477">
        <v>14.3606</v>
      </c>
      <c r="AD2477">
        <v>-1.1167689215428001</v>
      </c>
      <c r="AE2477">
        <v>-0.92130000000002998</v>
      </c>
      <c r="AF2477">
        <v>-5.32590390689061</v>
      </c>
      <c r="AG2477">
        <v>-1.1167689215428001</v>
      </c>
      <c r="AH2477">
        <v>13.275480509037999</v>
      </c>
      <c r="AI2477">
        <v>94.464256907539394</v>
      </c>
      <c r="AJ2477">
        <v>111.85984277226601</v>
      </c>
      <c r="AK2477">
        <v>14.3475018032898</v>
      </c>
      <c r="AL2477">
        <v>66.884875834031703</v>
      </c>
      <c r="AM2477">
        <v>104.692057604974</v>
      </c>
      <c r="AN2477">
        <v>0.99999998729770401</v>
      </c>
    </row>
    <row r="2478" spans="1:40" x14ac:dyDescent="0.25">
      <c r="A2478" t="str">
        <f>"20190304164649542"</f>
        <v>20190304164649542</v>
      </c>
      <c r="B2478" t="str">
        <f>"1551689209531192"</f>
        <v>1551689209531192</v>
      </c>
      <c r="C2478" t="s">
        <v>40</v>
      </c>
      <c r="D2478">
        <v>4.5516550000000002</v>
      </c>
      <c r="E2478">
        <v>0.44516319999999998</v>
      </c>
      <c r="F2478" t="s">
        <v>49</v>
      </c>
      <c r="G2478">
        <v>-460.45819999999998</v>
      </c>
      <c r="H2478" s="1">
        <v>-1.3014590000000001E-6</v>
      </c>
      <c r="I2478">
        <v>214.8108</v>
      </c>
      <c r="J2478">
        <v>-475.32060000000001</v>
      </c>
      <c r="K2478">
        <v>1.1167849999999999</v>
      </c>
      <c r="L2478">
        <v>215.6568</v>
      </c>
      <c r="M2478">
        <v>0.90724099999999996</v>
      </c>
      <c r="N2478">
        <v>-9.7120929999999998E-3</v>
      </c>
      <c r="O2478">
        <v>-0.42049940000000002</v>
      </c>
      <c r="P2478">
        <v>0.90583060000000004</v>
      </c>
      <c r="Q2478">
        <v>0.38824239999999999</v>
      </c>
      <c r="R2478">
        <v>-0.1695266</v>
      </c>
      <c r="S2478">
        <v>3.3833009999999999</v>
      </c>
      <c r="T2478">
        <v>-0.25062980000000001</v>
      </c>
      <c r="U2478">
        <v>-0.2094269</v>
      </c>
      <c r="V2478">
        <v>-0.2329997</v>
      </c>
      <c r="W2478">
        <v>0.39346999999999999</v>
      </c>
      <c r="X2478">
        <v>0.88932140000000004</v>
      </c>
      <c r="Y2478">
        <v>-0.3617533</v>
      </c>
      <c r="Z2478">
        <v>4.1162810000000001E-2</v>
      </c>
      <c r="AA2478">
        <v>0.93136470000000005</v>
      </c>
      <c r="AB2478">
        <v>22</v>
      </c>
      <c r="AC2478">
        <v>14.862399999999999</v>
      </c>
      <c r="AD2478">
        <v>-1.116786301459</v>
      </c>
      <c r="AE2478">
        <v>-0.84600000000000297</v>
      </c>
      <c r="AF2478">
        <v>-5.4516798494773697</v>
      </c>
      <c r="AG2478">
        <v>-1.116786301459</v>
      </c>
      <c r="AH2478">
        <v>13.762714647050901</v>
      </c>
      <c r="AI2478">
        <v>94.314363943982897</v>
      </c>
      <c r="AJ2478">
        <v>111.609484924117</v>
      </c>
      <c r="AK2478">
        <v>14.8452126721201</v>
      </c>
      <c r="AL2478">
        <v>66.829414665733196</v>
      </c>
      <c r="AM2478">
        <v>104.681348355545</v>
      </c>
      <c r="AN2478">
        <v>1.0000000267990199</v>
      </c>
    </row>
    <row r="2479" spans="1:40" x14ac:dyDescent="0.25">
      <c r="A2479" t="str">
        <f>"20190304164649565"</f>
        <v>20190304164649565</v>
      </c>
      <c r="B2479" t="str">
        <f>"1551689209560472"</f>
        <v>1551689209560472</v>
      </c>
      <c r="C2479" t="s">
        <v>40</v>
      </c>
      <c r="D2479">
        <v>4.4673730000000003</v>
      </c>
      <c r="E2479">
        <v>0.44674730000000001</v>
      </c>
      <c r="F2479" t="s">
        <v>49</v>
      </c>
      <c r="G2479">
        <v>-460.10129999999998</v>
      </c>
      <c r="H2479" s="1">
        <v>-1.4936059999999999E-6</v>
      </c>
      <c r="I2479">
        <v>214.86160000000001</v>
      </c>
      <c r="J2479">
        <v>-475.12150000000003</v>
      </c>
      <c r="K2479">
        <v>1.1168100000000001</v>
      </c>
      <c r="L2479">
        <v>215.5779</v>
      </c>
      <c r="M2479">
        <v>0.91171360000000001</v>
      </c>
      <c r="N2479">
        <v>-9.6009589999999992E-3</v>
      </c>
      <c r="O2479">
        <v>-0.41071429999999998</v>
      </c>
      <c r="P2479">
        <v>0.90725239999999996</v>
      </c>
      <c r="Q2479">
        <v>0.38891700000000001</v>
      </c>
      <c r="R2479">
        <v>-0.16011449999999999</v>
      </c>
      <c r="S2479">
        <v>3.3852839999999902</v>
      </c>
      <c r="T2479">
        <v>-0.2484111</v>
      </c>
      <c r="U2479">
        <v>-0.17687990000000001</v>
      </c>
      <c r="V2479">
        <v>-0.23258470000000001</v>
      </c>
      <c r="W2479">
        <v>0.39403110000000002</v>
      </c>
      <c r="X2479">
        <v>0.88918159999999902</v>
      </c>
      <c r="Y2479">
        <v>-0.36074070000000003</v>
      </c>
      <c r="Z2479">
        <v>4.0209040000000001E-2</v>
      </c>
      <c r="AA2479">
        <v>0.93179900000000004</v>
      </c>
      <c r="AB2479">
        <v>22</v>
      </c>
      <c r="AC2479">
        <v>15.020200000000001</v>
      </c>
      <c r="AD2479">
        <v>-1.1168114936059901</v>
      </c>
      <c r="AE2479">
        <v>-0.71629999999998895</v>
      </c>
      <c r="AF2479">
        <v>-5.4859441434085303</v>
      </c>
      <c r="AG2479">
        <v>-1.1168114936059901</v>
      </c>
      <c r="AH2479">
        <v>13.912219940529001</v>
      </c>
      <c r="AI2479">
        <v>94.2708770548318</v>
      </c>
      <c r="AJ2479">
        <v>111.520585917547</v>
      </c>
      <c r="AK2479">
        <v>14.9964233979473</v>
      </c>
      <c r="AL2479">
        <v>66.794440894648403</v>
      </c>
      <c r="AM2479">
        <v>104.65853102134299</v>
      </c>
      <c r="AN2479">
        <v>1.00000003410992</v>
      </c>
    </row>
    <row r="2480" spans="1:40" x14ac:dyDescent="0.25">
      <c r="A2480" t="str">
        <f>"20190304164649609"</f>
        <v>20190304164649609</v>
      </c>
      <c r="B2480" t="str">
        <f>"1551689209600489"</f>
        <v>1551689209600489</v>
      </c>
      <c r="C2480" t="s">
        <v>40</v>
      </c>
      <c r="D2480">
        <v>4.4750030000000001</v>
      </c>
      <c r="E2480">
        <v>0.45844390000000002</v>
      </c>
      <c r="F2480" t="s">
        <v>49</v>
      </c>
      <c r="G2480">
        <v>-460.37299999999999</v>
      </c>
      <c r="H2480" s="1">
        <v>-1.3515469999999999E-6</v>
      </c>
      <c r="I2480">
        <v>214.91900000000001</v>
      </c>
      <c r="J2480">
        <v>-474.73099999999999</v>
      </c>
      <c r="K2480">
        <v>1.1168579999999999</v>
      </c>
      <c r="L2480">
        <v>215.43010000000001</v>
      </c>
      <c r="M2480">
        <v>0.92012050000000001</v>
      </c>
      <c r="N2480">
        <v>-9.3764399999999998E-3</v>
      </c>
      <c r="O2480">
        <v>-0.39152310000000001</v>
      </c>
      <c r="P2480">
        <v>0.90934280000000001</v>
      </c>
      <c r="Q2480">
        <v>0.39114700000000002</v>
      </c>
      <c r="R2480">
        <v>-0.14177290000000001</v>
      </c>
      <c r="S2480">
        <v>3.3899840000000001</v>
      </c>
      <c r="T2480">
        <v>-0.25670140000000002</v>
      </c>
      <c r="U2480">
        <v>-0.15144349999999901</v>
      </c>
      <c r="V2480">
        <v>-0.23162569999999999</v>
      </c>
      <c r="W2480">
        <v>0.39602730000000003</v>
      </c>
      <c r="X2480">
        <v>0.88854489999999997</v>
      </c>
      <c r="Y2480">
        <v>-0.34816740000000002</v>
      </c>
      <c r="Z2480">
        <v>3.9953809999999999E-2</v>
      </c>
      <c r="AA2480">
        <v>0.93658059999999999</v>
      </c>
      <c r="AB2480">
        <v>22</v>
      </c>
      <c r="AC2480">
        <v>14.357999999999899</v>
      </c>
      <c r="AD2480">
        <v>-1.116859351547</v>
      </c>
      <c r="AE2480">
        <v>-0.511099999999999</v>
      </c>
      <c r="AF2480">
        <v>-5.1204979311020997</v>
      </c>
      <c r="AG2480">
        <v>-1.116859351547</v>
      </c>
      <c r="AH2480">
        <v>13.3312254379607</v>
      </c>
      <c r="AI2480">
        <v>94.471834019785703</v>
      </c>
      <c r="AJ2480">
        <v>111.01168607363201</v>
      </c>
      <c r="AK2480">
        <v>14.3244003557318</v>
      </c>
      <c r="AL2480">
        <v>66.669942019165006</v>
      </c>
      <c r="AM2480">
        <v>104.61069313559101</v>
      </c>
      <c r="AN2480">
        <v>1.0000000632808901</v>
      </c>
    </row>
    <row r="2481" spans="1:40" x14ac:dyDescent="0.25">
      <c r="A2481" t="str">
        <f>"20190304164649631"</f>
        <v>20190304164649631</v>
      </c>
      <c r="B2481" t="str">
        <f>"1551689209620984"</f>
        <v>1551689209620984</v>
      </c>
      <c r="C2481" t="s">
        <v>40</v>
      </c>
      <c r="D2481">
        <v>4.4901280000000003</v>
      </c>
      <c r="E2481">
        <v>0.45914569999999999</v>
      </c>
      <c r="F2481" t="s">
        <v>49</v>
      </c>
      <c r="G2481">
        <v>-462.15019999999998</v>
      </c>
      <c r="H2481" s="1">
        <v>-4.0008750000000001E-7</v>
      </c>
      <c r="I2481">
        <v>214.78819999999999</v>
      </c>
      <c r="J2481">
        <v>-474.52449999999999</v>
      </c>
      <c r="K2481">
        <v>1.1168899999999999</v>
      </c>
      <c r="L2481">
        <v>215.35550000000001</v>
      </c>
      <c r="M2481">
        <v>0.92437210000000003</v>
      </c>
      <c r="N2481">
        <v>-9.2677060000000006E-3</v>
      </c>
      <c r="O2481">
        <v>-0.38137939999999998</v>
      </c>
      <c r="P2481">
        <v>0.91058859999999997</v>
      </c>
      <c r="Q2481">
        <v>0.39177770000000001</v>
      </c>
      <c r="R2481">
        <v>-0.13167499999999999</v>
      </c>
      <c r="S2481">
        <v>3.4019469999999998</v>
      </c>
      <c r="T2481">
        <v>-0.3020062</v>
      </c>
      <c r="U2481">
        <v>-0.17356869999999999</v>
      </c>
      <c r="V2481">
        <v>-0.23165540000000001</v>
      </c>
      <c r="W2481">
        <v>0.39653640000000001</v>
      </c>
      <c r="X2481">
        <v>0.88831000000000004</v>
      </c>
      <c r="Y2481">
        <v>-0.33123950000000002</v>
      </c>
      <c r="Z2481">
        <v>4.5622419999999997E-2</v>
      </c>
      <c r="AA2481">
        <v>0.94244309999999998</v>
      </c>
      <c r="AB2481">
        <v>22</v>
      </c>
      <c r="AC2481">
        <v>12.3743</v>
      </c>
      <c r="AD2481">
        <v>-1.1168904000875</v>
      </c>
      <c r="AE2481">
        <v>-0.56730000000001701</v>
      </c>
      <c r="AF2481">
        <v>-4.16125788422959</v>
      </c>
      <c r="AG2481">
        <v>-1.1168904000875</v>
      </c>
      <c r="AH2481">
        <v>11.561326541442</v>
      </c>
      <c r="AI2481">
        <v>95.193751470508801</v>
      </c>
      <c r="AJ2481">
        <v>109.795280190444</v>
      </c>
      <c r="AK2481">
        <v>12.3380623577092</v>
      </c>
      <c r="AL2481">
        <v>66.638170062407596</v>
      </c>
      <c r="AM2481">
        <v>104.61618499590701</v>
      </c>
      <c r="AN2481">
        <v>0.99999999848706</v>
      </c>
    </row>
    <row r="2482" spans="1:40" x14ac:dyDescent="0.25">
      <c r="A2482" t="str">
        <f>"20190304164649657"</f>
        <v>20190304164649657</v>
      </c>
      <c r="B2482" t="str">
        <f>"1551689209651240"</f>
        <v>1551689209651240</v>
      </c>
      <c r="C2482" t="s">
        <v>40</v>
      </c>
      <c r="D2482">
        <v>4.4882070000000001</v>
      </c>
      <c r="E2482">
        <v>0.46095029999999998</v>
      </c>
      <c r="F2482" t="s">
        <v>49</v>
      </c>
      <c r="G2482">
        <v>-462.20400000000001</v>
      </c>
      <c r="H2482" s="1">
        <v>-3.736238E-7</v>
      </c>
      <c r="I2482">
        <v>214.83789999999999</v>
      </c>
      <c r="J2482">
        <v>-474.30309999999997</v>
      </c>
      <c r="K2482">
        <v>1.116916</v>
      </c>
      <c r="L2482">
        <v>215.27850000000001</v>
      </c>
      <c r="M2482">
        <v>0.92878269999999996</v>
      </c>
      <c r="N2482">
        <v>-9.1573320000000007E-3</v>
      </c>
      <c r="O2482">
        <v>-0.37051190000000001</v>
      </c>
      <c r="P2482">
        <v>0.91200760000000003</v>
      </c>
      <c r="Q2482">
        <v>0.3916037</v>
      </c>
      <c r="R2482">
        <v>-0.1220208</v>
      </c>
      <c r="S2482">
        <v>3.4067080000000001</v>
      </c>
      <c r="T2482">
        <v>-0.3088284</v>
      </c>
      <c r="U2482">
        <v>-0.14314270000000001</v>
      </c>
      <c r="V2482">
        <v>-0.23070650000000001</v>
      </c>
      <c r="W2482">
        <v>0.39625890000000002</v>
      </c>
      <c r="X2482">
        <v>0.88868069999999899</v>
      </c>
      <c r="Y2482">
        <v>-0.3285728</v>
      </c>
      <c r="Z2482">
        <v>4.5730710000000001E-2</v>
      </c>
      <c r="AA2482">
        <v>0.94337090000000001</v>
      </c>
      <c r="AB2482">
        <v>22</v>
      </c>
      <c r="AC2482">
        <v>12.0990999999999</v>
      </c>
      <c r="AD2482">
        <v>-1.1169163736237999</v>
      </c>
      <c r="AE2482">
        <v>-0.44060000000001698</v>
      </c>
      <c r="AF2482">
        <v>-4.0394312768057299</v>
      </c>
      <c r="AG2482">
        <v>-1.1169163736237999</v>
      </c>
      <c r="AH2482">
        <v>11.304947283127699</v>
      </c>
      <c r="AI2482">
        <v>95.315382173166199</v>
      </c>
      <c r="AJ2482">
        <v>109.662589059414</v>
      </c>
      <c r="AK2482">
        <v>12.056796436035601</v>
      </c>
      <c r="AL2482">
        <v>66.6554883089415</v>
      </c>
      <c r="AM2482">
        <v>104.553048397609</v>
      </c>
      <c r="AN2482">
        <v>0.99999999576197496</v>
      </c>
    </row>
    <row r="2483" spans="1:40" x14ac:dyDescent="0.25">
      <c r="A2483" t="str">
        <f>"20190304164649680"</f>
        <v>20190304164649680</v>
      </c>
      <c r="B2483" t="str">
        <f>"1551689209670760"</f>
        <v>1551689209670760</v>
      </c>
      <c r="C2483" t="s">
        <v>40</v>
      </c>
      <c r="D2483">
        <v>4.5051439999999996</v>
      </c>
      <c r="E2483">
        <v>0.46162550000000002</v>
      </c>
      <c r="F2483" t="s">
        <v>49</v>
      </c>
      <c r="G2483">
        <v>-462.3596</v>
      </c>
      <c r="H2483" s="1">
        <v>-2.918406E-7</v>
      </c>
      <c r="I2483">
        <v>214.8613</v>
      </c>
      <c r="J2483">
        <v>-474.07650000000001</v>
      </c>
      <c r="K2483">
        <v>1.116933</v>
      </c>
      <c r="L2483">
        <v>215.2028</v>
      </c>
      <c r="M2483">
        <v>0.93313780000000002</v>
      </c>
      <c r="N2483">
        <v>-9.0512679999999995E-3</v>
      </c>
      <c r="O2483">
        <v>-0.35940509999999998</v>
      </c>
      <c r="P2483">
        <v>0.91381699999999999</v>
      </c>
      <c r="Q2483">
        <v>0.39032939999999999</v>
      </c>
      <c r="R2483">
        <v>-0.1121678</v>
      </c>
      <c r="S2483">
        <v>3.4104309999999902</v>
      </c>
      <c r="T2483">
        <v>-0.31893179999999999</v>
      </c>
      <c r="U2483">
        <v>-0.11912540000000001</v>
      </c>
      <c r="V2483">
        <v>-0.22990340000000001</v>
      </c>
      <c r="W2483">
        <v>0.39489039999999997</v>
      </c>
      <c r="X2483">
        <v>0.8894976</v>
      </c>
      <c r="Y2483">
        <v>-0.32386679999999901</v>
      </c>
      <c r="Z2483">
        <v>4.6162660000000001E-2</v>
      </c>
      <c r="AA2483">
        <v>0.94497580000000003</v>
      </c>
      <c r="AB2483">
        <v>22</v>
      </c>
      <c r="AC2483">
        <v>11.716900000000001</v>
      </c>
      <c r="AD2483">
        <v>-1.1169332918406001</v>
      </c>
      <c r="AE2483">
        <v>-0.34149999999999597</v>
      </c>
      <c r="AF2483">
        <v>-3.8575815316862299</v>
      </c>
      <c r="AG2483">
        <v>-1.1169332918406001</v>
      </c>
      <c r="AH2483">
        <v>10.957186083213999</v>
      </c>
      <c r="AI2483">
        <v>95.492184222996201</v>
      </c>
      <c r="AJ2483">
        <v>109.39510208150899</v>
      </c>
      <c r="AK2483">
        <v>11.669978668112799</v>
      </c>
      <c r="AL2483">
        <v>66.740861008664595</v>
      </c>
      <c r="AM2483">
        <v>104.491769264185</v>
      </c>
      <c r="AN2483">
        <v>0.99999999087474001</v>
      </c>
    </row>
    <row r="2484" spans="1:40" x14ac:dyDescent="0.25">
      <c r="A2484" t="str">
        <f>"20190304164649701"</f>
        <v>20190304164649701</v>
      </c>
      <c r="B2484" t="str">
        <f>"1551689209691256"</f>
        <v>1551689209691256</v>
      </c>
      <c r="C2484" t="s">
        <v>40</v>
      </c>
      <c r="D2484">
        <v>4.5209409999999997</v>
      </c>
      <c r="E2484">
        <v>0.4688213</v>
      </c>
      <c r="F2484" t="s">
        <v>49</v>
      </c>
      <c r="G2484">
        <v>-462.36</v>
      </c>
      <c r="H2484" s="1">
        <v>-2.9372699999999999E-7</v>
      </c>
      <c r="I2484">
        <v>214.90950000000001</v>
      </c>
      <c r="J2484">
        <v>-473.88310000000001</v>
      </c>
      <c r="K2484">
        <v>1.116938</v>
      </c>
      <c r="L2484">
        <v>215.1403</v>
      </c>
      <c r="M2484">
        <v>0.93672900000000003</v>
      </c>
      <c r="N2484">
        <v>-8.9672399999999996E-3</v>
      </c>
      <c r="O2484">
        <v>-0.34994109999999901</v>
      </c>
      <c r="P2484">
        <v>0.91535069999999996</v>
      </c>
      <c r="Q2484">
        <v>0.3892003</v>
      </c>
      <c r="R2484">
        <v>-0.1032293</v>
      </c>
      <c r="S2484">
        <v>3.411346</v>
      </c>
      <c r="T2484">
        <v>-0.32520339999999998</v>
      </c>
      <c r="U2484">
        <v>-8.5388179999999994E-2</v>
      </c>
      <c r="V2484">
        <v>-0.2297691</v>
      </c>
      <c r="W2484">
        <v>0.39367819999999998</v>
      </c>
      <c r="X2484">
        <v>0.89006939999999901</v>
      </c>
      <c r="Y2484">
        <v>-0.32356230000000002</v>
      </c>
      <c r="Z2484">
        <v>4.635268E-2</v>
      </c>
      <c r="AA2484">
        <v>0.94507090000000005</v>
      </c>
      <c r="AB2484">
        <v>22</v>
      </c>
      <c r="AC2484">
        <v>11.523099999999999</v>
      </c>
      <c r="AD2484">
        <v>-1.116938293727</v>
      </c>
      <c r="AE2484">
        <v>-0.23079999999998699</v>
      </c>
      <c r="AF2484">
        <v>-3.78085316267688</v>
      </c>
      <c r="AG2484">
        <v>-1.116938293727</v>
      </c>
      <c r="AH2484">
        <v>10.7740365807136</v>
      </c>
      <c r="AI2484">
        <v>95.586960337523806</v>
      </c>
      <c r="AJ2484">
        <v>109.337126051647</v>
      </c>
      <c r="AK2484">
        <v>11.4726747549241</v>
      </c>
      <c r="AL2484">
        <v>66.816436539963604</v>
      </c>
      <c r="AM2484">
        <v>104.474746304059</v>
      </c>
      <c r="AN2484">
        <v>0.99999995064320302</v>
      </c>
    </row>
    <row r="2485" spans="1:40" x14ac:dyDescent="0.25">
      <c r="A2485" t="str">
        <f>"20190304164649722"</f>
        <v>20190304164649722</v>
      </c>
      <c r="B2485" t="str">
        <f>"1551689209710777"</f>
        <v>1551689209710777</v>
      </c>
      <c r="C2485" t="s">
        <v>40</v>
      </c>
      <c r="D2485">
        <v>4.5191169999999996</v>
      </c>
      <c r="E2485">
        <v>0.46987570000000001</v>
      </c>
      <c r="F2485" t="s">
        <v>49</v>
      </c>
      <c r="G2485">
        <v>-463.1884</v>
      </c>
      <c r="H2485" s="1">
        <v>1.5219729999999899E-7</v>
      </c>
      <c r="I2485">
        <v>214.79300000000001</v>
      </c>
      <c r="J2485">
        <v>-473.68509999999998</v>
      </c>
      <c r="K2485">
        <v>1.116951</v>
      </c>
      <c r="L2485">
        <v>215.07859999999999</v>
      </c>
      <c r="M2485">
        <v>0.9402838</v>
      </c>
      <c r="N2485">
        <v>-8.8840700000000009E-3</v>
      </c>
      <c r="O2485">
        <v>-0.340275299999999</v>
      </c>
      <c r="P2485">
        <v>0.91646660000000002</v>
      </c>
      <c r="Q2485">
        <v>0.38871869999999997</v>
      </c>
      <c r="R2485">
        <v>-9.4797889999999996E-2</v>
      </c>
      <c r="S2485">
        <v>3.416595</v>
      </c>
      <c r="T2485">
        <v>-0.35682550000000002</v>
      </c>
      <c r="U2485">
        <v>-0.110946699999999</v>
      </c>
      <c r="V2485">
        <v>-0.22887560000000001</v>
      </c>
      <c r="W2485">
        <v>0.39312809999999998</v>
      </c>
      <c r="X2485">
        <v>0.89054270000000002</v>
      </c>
      <c r="Y2485">
        <v>-0.3063073</v>
      </c>
      <c r="Z2485">
        <v>4.9084669999999997E-2</v>
      </c>
      <c r="AA2485">
        <v>0.95066640000000002</v>
      </c>
      <c r="AB2485">
        <v>22</v>
      </c>
      <c r="AC2485">
        <v>10.496699999999899</v>
      </c>
      <c r="AD2485">
        <v>-1.1169508478026999</v>
      </c>
      <c r="AE2485">
        <v>-0.28559999999998797</v>
      </c>
      <c r="AF2485">
        <v>-3.2663952094719599</v>
      </c>
      <c r="AG2485">
        <v>-1.1169508478026999</v>
      </c>
      <c r="AH2485">
        <v>9.8559372973831803</v>
      </c>
      <c r="AI2485">
        <v>96.139918621024506</v>
      </c>
      <c r="AJ2485">
        <v>108.335917106881</v>
      </c>
      <c r="AK2485">
        <v>10.4430080374774</v>
      </c>
      <c r="AL2485">
        <v>66.850721050774297</v>
      </c>
      <c r="AM2485">
        <v>104.413465125006</v>
      </c>
      <c r="AN2485">
        <v>1.0000000219041201</v>
      </c>
    </row>
    <row r="2486" spans="1:40" x14ac:dyDescent="0.25">
      <c r="A2486" t="str">
        <f>"20190304164649770"</f>
        <v>20190304164649770</v>
      </c>
      <c r="B2486" t="str">
        <f>"1551689209761528"</f>
        <v>1551689209761528</v>
      </c>
      <c r="C2486" t="s">
        <v>40</v>
      </c>
      <c r="D2486">
        <v>4.5169730000000001</v>
      </c>
      <c r="E2486">
        <v>0.47266979999999997</v>
      </c>
      <c r="F2486" t="s">
        <v>49</v>
      </c>
      <c r="G2486">
        <v>-463.15699999999998</v>
      </c>
      <c r="H2486" s="1">
        <v>1.34729399999999E-7</v>
      </c>
      <c r="I2486">
        <v>214.81020000000001</v>
      </c>
      <c r="J2486">
        <v>-473.24079999999998</v>
      </c>
      <c r="K2486">
        <v>1.1169370000000001</v>
      </c>
      <c r="L2486">
        <v>214.9478</v>
      </c>
      <c r="M2486">
        <v>0.9478084</v>
      </c>
      <c r="N2486">
        <v>-8.6925809999999996E-3</v>
      </c>
      <c r="O2486">
        <v>-0.31872250000000002</v>
      </c>
      <c r="P2486">
        <v>0.91918580000000005</v>
      </c>
      <c r="Q2486">
        <v>0.38603660000000001</v>
      </c>
      <c r="R2486">
        <v>-7.7934470000000006E-2</v>
      </c>
      <c r="S2486">
        <v>3.4182429999999999</v>
      </c>
      <c r="T2486">
        <v>-0.36264869999999999</v>
      </c>
      <c r="U2486">
        <v>-8.7142940000000002E-2</v>
      </c>
      <c r="V2486">
        <v>-0.22524150000000001</v>
      </c>
      <c r="W2486">
        <v>0.39033509999999999</v>
      </c>
      <c r="X2486">
        <v>0.89269519999999902</v>
      </c>
      <c r="Y2486">
        <v>-0.29125869999999998</v>
      </c>
      <c r="Z2486">
        <v>4.7098760000000003E-2</v>
      </c>
      <c r="AA2486">
        <v>0.95548420000000001</v>
      </c>
      <c r="AB2486">
        <v>22</v>
      </c>
      <c r="AC2486">
        <v>10.083799999999901</v>
      </c>
      <c r="AD2486">
        <v>-1.1169368652706</v>
      </c>
      <c r="AE2486">
        <v>-0.13759999999999101</v>
      </c>
      <c r="AF2486">
        <v>-3.04626384202186</v>
      </c>
      <c r="AG2486">
        <v>-1.1169368652706</v>
      </c>
      <c r="AH2486">
        <v>9.4853733324360991</v>
      </c>
      <c r="AI2486">
        <v>96.396932554708798</v>
      </c>
      <c r="AJ2486">
        <v>107.80461958379701</v>
      </c>
      <c r="AK2486">
        <v>10.024947810931501</v>
      </c>
      <c r="AL2486">
        <v>67.024647410417401</v>
      </c>
      <c r="AM2486">
        <v>104.161079716472</v>
      </c>
      <c r="AN2486">
        <v>0.99999997185864897</v>
      </c>
    </row>
    <row r="2487" spans="1:40" x14ac:dyDescent="0.25">
      <c r="A2487" t="str">
        <f>"20190304164649791"</f>
        <v>20190304164649791</v>
      </c>
      <c r="B2487" t="str">
        <f>"1551689209781048"</f>
        <v>1551689209781048</v>
      </c>
      <c r="C2487" t="s">
        <v>40</v>
      </c>
      <c r="D2487">
        <v>4.5215489999999896</v>
      </c>
      <c r="E2487">
        <v>0.47335529999999998</v>
      </c>
      <c r="F2487" t="s">
        <v>49</v>
      </c>
      <c r="G2487">
        <v>-462.95440000000002</v>
      </c>
      <c r="H2487" s="1">
        <v>2.5496600000000001E-8</v>
      </c>
      <c r="I2487">
        <v>214.84280000000001</v>
      </c>
      <c r="J2487">
        <v>-473.03489999999999</v>
      </c>
      <c r="K2487">
        <v>1.1169279999999999</v>
      </c>
      <c r="L2487">
        <v>214.89070000000001</v>
      </c>
      <c r="M2487">
        <v>0.95108250000000005</v>
      </c>
      <c r="N2487">
        <v>-8.608938E-3</v>
      </c>
      <c r="O2487">
        <v>-0.30881700000000001</v>
      </c>
      <c r="P2487">
        <v>0.92042060000000003</v>
      </c>
      <c r="Q2487">
        <v>0.38472479999999998</v>
      </c>
      <c r="R2487">
        <v>-6.9373019999999994E-2</v>
      </c>
      <c r="S2487">
        <v>3.4165649999999999</v>
      </c>
      <c r="T2487">
        <v>-0.37098229999999999</v>
      </c>
      <c r="U2487">
        <v>-3.4881589999999997E-2</v>
      </c>
      <c r="V2487">
        <v>-0.22438630000000001</v>
      </c>
      <c r="W2487">
        <v>0.3889668</v>
      </c>
      <c r="X2487">
        <v>0.89350750000000001</v>
      </c>
      <c r="Y2487">
        <v>-0.29573880000000002</v>
      </c>
      <c r="Z2487">
        <v>4.7600219999999999E-2</v>
      </c>
      <c r="AA2487">
        <v>0.95408219999999999</v>
      </c>
      <c r="AB2487">
        <v>22</v>
      </c>
      <c r="AC2487">
        <v>10.080499999999899</v>
      </c>
      <c r="AD2487">
        <v>-1.1169279745034</v>
      </c>
      <c r="AE2487">
        <v>-4.7899999999998499E-2</v>
      </c>
      <c r="AF2487">
        <v>-3.0303839680627598</v>
      </c>
      <c r="AG2487">
        <v>-1.1169279745034</v>
      </c>
      <c r="AH2487">
        <v>9.4860791051409894</v>
      </c>
      <c r="AI2487">
        <v>96.399539668714397</v>
      </c>
      <c r="AJ2487">
        <v>107.716388448389</v>
      </c>
      <c r="AK2487">
        <v>10.0208009601584</v>
      </c>
      <c r="AL2487">
        <v>67.109774485131098</v>
      </c>
      <c r="AM2487">
        <v>104.097148609314</v>
      </c>
      <c r="AN2487">
        <v>1.0000000178430899</v>
      </c>
    </row>
    <row r="2488" spans="1:40" x14ac:dyDescent="0.25">
      <c r="A2488" t="str">
        <f>"20190304164649810"</f>
        <v>20190304164649810</v>
      </c>
      <c r="B2488" t="str">
        <f>"1551689209800568"</f>
        <v>1551689209800568</v>
      </c>
      <c r="C2488" t="s">
        <v>40</v>
      </c>
      <c r="D2488">
        <v>4.5698489999999996</v>
      </c>
      <c r="E2488">
        <v>0.48220360000000001</v>
      </c>
      <c r="F2488" t="s">
        <v>49</v>
      </c>
      <c r="G2488">
        <v>-462.92970000000003</v>
      </c>
      <c r="H2488" s="1">
        <v>1.072169E-8</v>
      </c>
      <c r="I2488">
        <v>214.8802</v>
      </c>
      <c r="J2488">
        <v>-472.84820000000002</v>
      </c>
      <c r="K2488">
        <v>1.1169039999999999</v>
      </c>
      <c r="L2488">
        <v>214.8409</v>
      </c>
      <c r="M2488">
        <v>0.95392889999999997</v>
      </c>
      <c r="N2488">
        <v>-8.5362000000000007E-3</v>
      </c>
      <c r="O2488">
        <v>-0.29991129999999999</v>
      </c>
      <c r="P2488">
        <v>0.92093519999999895</v>
      </c>
      <c r="Q2488">
        <v>0.38484459999999998</v>
      </c>
      <c r="R2488">
        <v>-6.1426960000000003E-2</v>
      </c>
      <c r="S2488">
        <v>3.416992</v>
      </c>
      <c r="T2488">
        <v>-0.37768020000000002</v>
      </c>
      <c r="U2488">
        <v>-3.5552980000000001E-3</v>
      </c>
      <c r="V2488">
        <v>-0.2237181</v>
      </c>
      <c r="W2488">
        <v>0.38903789999999999</v>
      </c>
      <c r="X2488">
        <v>0.89364409999999905</v>
      </c>
      <c r="Y2488">
        <v>-0.29548180000000002</v>
      </c>
      <c r="Z2488">
        <v>4.7619109999999999E-2</v>
      </c>
      <c r="AA2488">
        <v>0.95416089999999998</v>
      </c>
      <c r="AB2488">
        <v>22</v>
      </c>
      <c r="AC2488">
        <v>9.9184999999999892</v>
      </c>
      <c r="AD2488">
        <v>-1.1169039892783099</v>
      </c>
      <c r="AE2488">
        <v>3.9299999999997198E-2</v>
      </c>
      <c r="AF2488">
        <v>-2.97455089467203</v>
      </c>
      <c r="AG2488">
        <v>-1.1169039892783099</v>
      </c>
      <c r="AH2488">
        <v>9.33177101518495</v>
      </c>
      <c r="AI2488">
        <v>96.505631662424094</v>
      </c>
      <c r="AJ2488">
        <v>107.679953433439</v>
      </c>
      <c r="AK2488">
        <v>9.8578586836141007</v>
      </c>
      <c r="AL2488">
        <v>67.105352676396393</v>
      </c>
      <c r="AM2488">
        <v>104.054771889965</v>
      </c>
      <c r="AN2488">
        <v>1.00000002668441</v>
      </c>
    </row>
    <row r="2489" spans="1:40" x14ac:dyDescent="0.25">
      <c r="A2489" t="str">
        <f>"20190304164649833"</f>
        <v>20190304164649833</v>
      </c>
      <c r="B2489" t="str">
        <f>"1551689209821064"</f>
        <v>1551689209821064</v>
      </c>
      <c r="C2489" t="s">
        <v>40</v>
      </c>
      <c r="D2489">
        <v>4.5570399999999998</v>
      </c>
      <c r="E2489">
        <v>0.48361559999999998</v>
      </c>
      <c r="F2489" t="s">
        <v>49</v>
      </c>
      <c r="G2489">
        <v>-462.99450000000002</v>
      </c>
      <c r="H2489" s="1">
        <v>5.2032949999999997E-8</v>
      </c>
      <c r="I2489">
        <v>214.72450000000001</v>
      </c>
      <c r="J2489">
        <v>-472.6309</v>
      </c>
      <c r="K2489">
        <v>1.116857</v>
      </c>
      <c r="L2489">
        <v>214.785</v>
      </c>
      <c r="M2489">
        <v>0.95709420000000001</v>
      </c>
      <c r="N2489">
        <v>-8.44782E-3</v>
      </c>
      <c r="O2489">
        <v>-0.28965400000000002</v>
      </c>
      <c r="P2489">
        <v>0.92172719999999997</v>
      </c>
      <c r="Q2489">
        <v>0.38437670000000002</v>
      </c>
      <c r="R2489">
        <v>-5.170582E-2</v>
      </c>
      <c r="S2489">
        <v>3.4167179999999999</v>
      </c>
      <c r="T2489">
        <v>-0.3872833</v>
      </c>
      <c r="U2489">
        <v>-4.0374760000000003E-2</v>
      </c>
      <c r="V2489">
        <v>-0.2235743</v>
      </c>
      <c r="W2489">
        <v>0.3885112</v>
      </c>
      <c r="X2489">
        <v>0.89390919999999896</v>
      </c>
      <c r="Y2489">
        <v>-0.2749008</v>
      </c>
      <c r="Z2489">
        <v>4.6580110000000001E-2</v>
      </c>
      <c r="AA2489">
        <v>0.96034359999999996</v>
      </c>
      <c r="AB2489">
        <v>23</v>
      </c>
      <c r="AC2489">
        <v>9.6363999999999805</v>
      </c>
      <c r="AD2489">
        <v>-1.11685694796705</v>
      </c>
      <c r="AE2489">
        <v>-6.0499999999990402E-2</v>
      </c>
      <c r="AF2489">
        <v>-2.6971857515797</v>
      </c>
      <c r="AG2489">
        <v>-1.11685694796705</v>
      </c>
      <c r="AH2489">
        <v>9.1183164499545395</v>
      </c>
      <c r="AI2489">
        <v>96.698942557001104</v>
      </c>
      <c r="AJ2489">
        <v>106.47814629566901</v>
      </c>
      <c r="AK2489">
        <v>9.5742297498158297</v>
      </c>
      <c r="AL2489">
        <v>67.138107351831806</v>
      </c>
      <c r="AM2489">
        <v>104.042094883335</v>
      </c>
      <c r="AN2489">
        <v>1.0000000389952799</v>
      </c>
    </row>
    <row r="2490" spans="1:40" x14ac:dyDescent="0.25">
      <c r="A2490" t="str">
        <f>"20190304164649857"</f>
        <v>20190304164649857</v>
      </c>
      <c r="B2490" t="str">
        <f>"1551689209851320"</f>
        <v>1551689209851320</v>
      </c>
      <c r="C2490" t="s">
        <v>40</v>
      </c>
      <c r="D2490">
        <v>4.5695639999999997</v>
      </c>
      <c r="E2490">
        <v>0.48525509999999999</v>
      </c>
      <c r="F2490" t="s">
        <v>49</v>
      </c>
      <c r="G2490">
        <v>-462.8098</v>
      </c>
      <c r="H2490" s="1">
        <v>-4.774676E-8</v>
      </c>
      <c r="I2490">
        <v>214.75729999999999</v>
      </c>
      <c r="J2490">
        <v>-472.40339999999998</v>
      </c>
      <c r="K2490">
        <v>1.1167739999999999</v>
      </c>
      <c r="L2490">
        <v>214.72909999999999</v>
      </c>
      <c r="M2490">
        <v>0.96022929999999995</v>
      </c>
      <c r="N2490">
        <v>-8.3469540000000002E-3</v>
      </c>
      <c r="O2490">
        <v>-0.27908830000000001</v>
      </c>
      <c r="P2490">
        <v>0.92246879999999998</v>
      </c>
      <c r="Q2490">
        <v>0.38386999999999999</v>
      </c>
      <c r="R2490">
        <v>-4.1172540000000001E-2</v>
      </c>
      <c r="S2490">
        <v>3.4161990000000002</v>
      </c>
      <c r="T2490">
        <v>-0.3884898</v>
      </c>
      <c r="U2490">
        <v>-9.6435549999999998E-3</v>
      </c>
      <c r="V2490">
        <v>-0.22393250000000001</v>
      </c>
      <c r="W2490">
        <v>0.38793860000000002</v>
      </c>
      <c r="X2490">
        <v>0.89406819999999898</v>
      </c>
      <c r="Y2490">
        <v>-0.27299210000000002</v>
      </c>
      <c r="Z2490">
        <v>4.558036E-2</v>
      </c>
      <c r="AA2490">
        <v>0.96093580000000001</v>
      </c>
      <c r="AB2490">
        <v>23</v>
      </c>
      <c r="AC2490">
        <v>9.5935999999999808</v>
      </c>
      <c r="AD2490">
        <v>-1.11677404774676</v>
      </c>
      <c r="AE2490">
        <v>2.8199999999998199E-2</v>
      </c>
      <c r="AF2490">
        <v>-2.6684739988381598</v>
      </c>
      <c r="AG2490">
        <v>-1.11677404774676</v>
      </c>
      <c r="AH2490">
        <v>9.08144450381082</v>
      </c>
      <c r="AI2490">
        <v>96.728942566027499</v>
      </c>
      <c r="AJ2490">
        <v>106.374795260632</v>
      </c>
      <c r="AK2490">
        <v>9.5310320549241503</v>
      </c>
      <c r="AL2490">
        <v>67.173707082316596</v>
      </c>
      <c r="AM2490">
        <v>104.06129846175099</v>
      </c>
      <c r="AN2490">
        <v>1.0000000340887201</v>
      </c>
    </row>
    <row r="2491" spans="1:40" x14ac:dyDescent="0.25">
      <c r="A2491" t="str">
        <f>"20190304164649879"</f>
        <v>20190304164649879</v>
      </c>
      <c r="B2491" t="str">
        <f>"1551689209870841"</f>
        <v>1551689209870841</v>
      </c>
      <c r="C2491" t="s">
        <v>40</v>
      </c>
      <c r="D2491">
        <v>4.5897779999999999</v>
      </c>
      <c r="E2491">
        <v>0.48645699999999997</v>
      </c>
      <c r="F2491" t="s">
        <v>49</v>
      </c>
      <c r="G2491">
        <v>-462.5806</v>
      </c>
      <c r="H2491" s="1">
        <v>-1.7095259999999999E-7</v>
      </c>
      <c r="I2491">
        <v>214.7859</v>
      </c>
      <c r="J2491">
        <v>-472.17910000000001</v>
      </c>
      <c r="K2491">
        <v>1.1166830000000001</v>
      </c>
      <c r="L2491">
        <v>214.6764</v>
      </c>
      <c r="M2491">
        <v>0.96314180000000005</v>
      </c>
      <c r="N2491">
        <v>-8.2466320000000003E-3</v>
      </c>
      <c r="O2491">
        <v>-0.26886840000000001</v>
      </c>
      <c r="P2491">
        <v>0.9227244</v>
      </c>
      <c r="Q2491">
        <v>0.3842641</v>
      </c>
      <c r="R2491">
        <v>-3.035144E-2</v>
      </c>
      <c r="S2491">
        <v>3.4145509999999999</v>
      </c>
      <c r="T2491">
        <v>-0.38820670000000002</v>
      </c>
      <c r="U2491">
        <v>1.9760130000000001E-2</v>
      </c>
      <c r="V2491">
        <v>-0.22480749999999999</v>
      </c>
      <c r="W2491">
        <v>0.38826769999999999</v>
      </c>
      <c r="X2491">
        <v>0.89370569999999905</v>
      </c>
      <c r="Y2491">
        <v>-0.27111659999999999</v>
      </c>
      <c r="Z2491">
        <v>4.4442000000000002E-2</v>
      </c>
      <c r="AA2491">
        <v>0.96152000000000004</v>
      </c>
      <c r="AB2491">
        <v>23</v>
      </c>
      <c r="AC2491">
        <v>9.5984999999999996</v>
      </c>
      <c r="AD2491">
        <v>-1.1166831709525999</v>
      </c>
      <c r="AE2491">
        <v>0.109499999999997</v>
      </c>
      <c r="AF2491">
        <v>-2.6504198910205199</v>
      </c>
      <c r="AG2491">
        <v>-1.1166831709525999</v>
      </c>
      <c r="AH2491">
        <v>9.0925371864274602</v>
      </c>
      <c r="AI2491">
        <v>96.724475674913407</v>
      </c>
      <c r="AJ2491">
        <v>106.25108599671</v>
      </c>
      <c r="AK2491">
        <v>9.5365580473026093</v>
      </c>
      <c r="AL2491">
        <v>67.153247672400695</v>
      </c>
      <c r="AM2491">
        <v>104.11954600705501</v>
      </c>
      <c r="AN2491">
        <v>1.0000000485660101</v>
      </c>
    </row>
    <row r="2492" spans="1:40" x14ac:dyDescent="0.25">
      <c r="A2492" t="str">
        <f>"20190304164649899"</f>
        <v>20190304164649899</v>
      </c>
      <c r="B2492" t="str">
        <f>"1551689209891336"</f>
        <v>1551689209891336</v>
      </c>
      <c r="C2492" t="s">
        <v>40</v>
      </c>
      <c r="D2492">
        <v>4.5734760000000003</v>
      </c>
      <c r="E2492">
        <v>0.48758040000000002</v>
      </c>
      <c r="F2492" t="s">
        <v>49</v>
      </c>
      <c r="G2492">
        <v>-462.15210000000002</v>
      </c>
      <c r="H2492" s="1">
        <v>-4.0058229999999998E-7</v>
      </c>
      <c r="I2492">
        <v>214.82320000000001</v>
      </c>
      <c r="J2492">
        <v>-471.98450000000003</v>
      </c>
      <c r="K2492">
        <v>1.1166039999999999</v>
      </c>
      <c r="L2492">
        <v>214.63229999999999</v>
      </c>
      <c r="M2492">
        <v>0.96553630000000001</v>
      </c>
      <c r="N2492">
        <v>-8.1657580000000004E-3</v>
      </c>
      <c r="O2492">
        <v>-0.26014019999999999</v>
      </c>
      <c r="P2492">
        <v>0.92253030000000003</v>
      </c>
      <c r="Q2492">
        <v>0.38531349999999998</v>
      </c>
      <c r="R2492">
        <v>-2.1716969999999999E-2</v>
      </c>
      <c r="S2492">
        <v>3.4110719999999999</v>
      </c>
      <c r="T2492">
        <v>-0.3798821</v>
      </c>
      <c r="U2492">
        <v>4.995728E-2</v>
      </c>
      <c r="V2492">
        <v>-0.22491620000000001</v>
      </c>
      <c r="W2492">
        <v>0.38927640000000002</v>
      </c>
      <c r="X2492">
        <v>0.89323940000000002</v>
      </c>
      <c r="Y2492">
        <v>-0.27110810000000002</v>
      </c>
      <c r="Z2492">
        <v>4.2664250000000001E-2</v>
      </c>
      <c r="AA2492">
        <v>0.96160290000000004</v>
      </c>
      <c r="AB2492">
        <v>23</v>
      </c>
      <c r="AC2492">
        <v>9.8323999999999998</v>
      </c>
      <c r="AD2492">
        <v>-1.1166044005822999</v>
      </c>
      <c r="AE2492">
        <v>0.19090000000002699</v>
      </c>
      <c r="AF2492">
        <v>-2.7073125560545699</v>
      </c>
      <c r="AG2492">
        <v>-1.1166044005822999</v>
      </c>
      <c r="AH2492">
        <v>9.3239897980127608</v>
      </c>
      <c r="AI2492">
        <v>96.560543828854605</v>
      </c>
      <c r="AJ2492">
        <v>106.19117718958999</v>
      </c>
      <c r="AK2492">
        <v>9.7730820326556405</v>
      </c>
      <c r="AL2492">
        <v>67.090518074463603</v>
      </c>
      <c r="AM2492">
        <v>104.133178745352</v>
      </c>
      <c r="AN2492">
        <v>1.00000001916587</v>
      </c>
    </row>
    <row r="2493" spans="1:40" x14ac:dyDescent="0.25">
      <c r="A2493" t="str">
        <f>"20190304164649921"</f>
        <v>20190304164649921</v>
      </c>
      <c r="B2493" t="str">
        <f>"1551689209910857"</f>
        <v>1551689209910857</v>
      </c>
      <c r="C2493" t="s">
        <v>40</v>
      </c>
      <c r="D2493">
        <v>4.5635240000000001</v>
      </c>
      <c r="E2493">
        <v>0.49639090000000002</v>
      </c>
      <c r="F2493" t="s">
        <v>49</v>
      </c>
      <c r="G2493">
        <v>-461.77800000000002</v>
      </c>
      <c r="H2493" s="1">
        <v>-6.0074860000000003E-7</v>
      </c>
      <c r="I2493">
        <v>214.84809999999999</v>
      </c>
      <c r="J2493">
        <v>-471.76400000000001</v>
      </c>
      <c r="K2493">
        <v>1.116506</v>
      </c>
      <c r="L2493">
        <v>214.58449999999999</v>
      </c>
      <c r="M2493">
        <v>0.96809820000000002</v>
      </c>
      <c r="N2493">
        <v>-8.0804550000000003E-3</v>
      </c>
      <c r="O2493">
        <v>-0.25044090000000002</v>
      </c>
      <c r="P2493">
        <v>0.92302629999999997</v>
      </c>
      <c r="Q2493">
        <v>0.38449759999999999</v>
      </c>
      <c r="R2493">
        <v>-1.3568770000000001E-2</v>
      </c>
      <c r="S2493">
        <v>3.4094540000000002</v>
      </c>
      <c r="T2493">
        <v>-0.37299860000000001</v>
      </c>
      <c r="U2493">
        <v>7.2082519999999997E-2</v>
      </c>
      <c r="V2493">
        <v>-0.22383239999999999</v>
      </c>
      <c r="W2493">
        <v>0.38845010000000002</v>
      </c>
      <c r="X2493">
        <v>0.89387109999999903</v>
      </c>
      <c r="Y2493">
        <v>-0.26788129999999999</v>
      </c>
      <c r="Z2493">
        <v>4.0771290000000002E-2</v>
      </c>
      <c r="AA2493">
        <v>0.96258880000000002</v>
      </c>
      <c r="AB2493">
        <v>23</v>
      </c>
      <c r="AC2493">
        <v>9.98599999999999</v>
      </c>
      <c r="AD2493">
        <v>-1.1165066007486</v>
      </c>
      <c r="AE2493">
        <v>0.263599999999996</v>
      </c>
      <c r="AF2493">
        <v>-2.7221775761252802</v>
      </c>
      <c r="AG2493">
        <v>-1.1165066007486</v>
      </c>
      <c r="AH2493">
        <v>9.4832593388676294</v>
      </c>
      <c r="AI2493">
        <v>96.456380135878703</v>
      </c>
      <c r="AJ2493">
        <v>106.01617035113399</v>
      </c>
      <c r="AK2493">
        <v>9.9292016513763404</v>
      </c>
      <c r="AL2493">
        <v>67.141905180849605</v>
      </c>
      <c r="AM2493">
        <v>104.058238446159</v>
      </c>
      <c r="AN2493">
        <v>0.99999998344748897</v>
      </c>
    </row>
    <row r="2494" spans="1:40" x14ac:dyDescent="0.25">
      <c r="A2494" t="str">
        <f>"20190304164649945"</f>
        <v>20190304164649945</v>
      </c>
      <c r="B2494" t="str">
        <f>"1551689209941113"</f>
        <v>1551689209941113</v>
      </c>
      <c r="C2494" t="s">
        <v>40</v>
      </c>
      <c r="D2494">
        <v>4.5149599999999896</v>
      </c>
      <c r="E2494">
        <v>0.49798369999999997</v>
      </c>
      <c r="F2494" t="s">
        <v>49</v>
      </c>
      <c r="G2494">
        <v>-461.51639999999998</v>
      </c>
      <c r="H2494" s="1">
        <v>-7.3269369999999895E-7</v>
      </c>
      <c r="I2494">
        <v>214.6816</v>
      </c>
      <c r="J2494">
        <v>-471.53769999999997</v>
      </c>
      <c r="K2494">
        <v>1.1163799999999999</v>
      </c>
      <c r="L2494">
        <v>214.53749999999999</v>
      </c>
      <c r="M2494">
        <v>0.97056039999999999</v>
      </c>
      <c r="N2494">
        <v>-7.9930090000000006E-3</v>
      </c>
      <c r="O2494">
        <v>-0.24072540000000001</v>
      </c>
      <c r="P2494">
        <v>0.92415899999999995</v>
      </c>
      <c r="Q2494">
        <v>0.3819671</v>
      </c>
      <c r="R2494">
        <v>-5.6238809999999998E-3</v>
      </c>
      <c r="S2494">
        <v>3.4051819999999999</v>
      </c>
      <c r="T2494">
        <v>-0.37100300000000003</v>
      </c>
      <c r="U2494">
        <v>3.2272339999999997E-2</v>
      </c>
      <c r="V2494">
        <v>-0.2226823</v>
      </c>
      <c r="W2494">
        <v>0.38592169999999998</v>
      </c>
      <c r="X2494">
        <v>0.89525250000000001</v>
      </c>
      <c r="Y2494">
        <v>-0.24714839999999999</v>
      </c>
      <c r="Z2494">
        <v>3.8443360000000003E-2</v>
      </c>
      <c r="AA2494">
        <v>0.96821480000000004</v>
      </c>
      <c r="AB2494">
        <v>23</v>
      </c>
      <c r="AC2494">
        <v>10.021299999999901</v>
      </c>
      <c r="AD2494">
        <v>-1.1163807326937001</v>
      </c>
      <c r="AE2494">
        <v>0.144100000000008</v>
      </c>
      <c r="AF2494">
        <v>-2.5210406252807598</v>
      </c>
      <c r="AG2494">
        <v>-1.1163807326937001</v>
      </c>
      <c r="AH2494">
        <v>9.5731184018226898</v>
      </c>
      <c r="AI2494">
        <v>96.434138865517994</v>
      </c>
      <c r="AJ2494">
        <v>104.75363182464601</v>
      </c>
      <c r="AK2494">
        <v>9.96225615560863</v>
      </c>
      <c r="AL2494">
        <v>67.299027598449399</v>
      </c>
      <c r="AM2494">
        <v>103.96810812551</v>
      </c>
      <c r="AN2494">
        <v>1.00000000201021</v>
      </c>
    </row>
    <row r="2495" spans="1:40" x14ac:dyDescent="0.25">
      <c r="A2495" t="str">
        <f>"20190304164649988"</f>
        <v>20190304164649988</v>
      </c>
      <c r="B2495" t="str">
        <f>"1551689209981129"</f>
        <v>1551689209981129</v>
      </c>
      <c r="C2495" t="s">
        <v>40</v>
      </c>
      <c r="D2495">
        <v>4.5402849999999999</v>
      </c>
      <c r="E2495">
        <v>0.50003299999999995</v>
      </c>
      <c r="F2495" t="s">
        <v>49</v>
      </c>
      <c r="G2495">
        <v>-461.5521</v>
      </c>
      <c r="H2495" s="1">
        <v>-7.1359539999999997E-7</v>
      </c>
      <c r="I2495">
        <v>214.6799</v>
      </c>
      <c r="J2495">
        <v>-471.09059999999999</v>
      </c>
      <c r="K2495">
        <v>1.1160890000000001</v>
      </c>
      <c r="L2495">
        <v>214.4504</v>
      </c>
      <c r="M2495">
        <v>0.97493779999999997</v>
      </c>
      <c r="N2495">
        <v>-7.8230350000000008E-3</v>
      </c>
      <c r="O2495">
        <v>-0.22234000000000001</v>
      </c>
      <c r="P2495">
        <v>0.92617430000000001</v>
      </c>
      <c r="Q2495">
        <v>0.37701489999999999</v>
      </c>
      <c r="R2495">
        <v>7.8100039999999997E-3</v>
      </c>
      <c r="S2495">
        <v>3.4038089999999999</v>
      </c>
      <c r="T2495">
        <v>-0.38054559999999998</v>
      </c>
      <c r="U2495">
        <v>4.8538209999999998E-2</v>
      </c>
      <c r="V2495">
        <v>-0.2189064</v>
      </c>
      <c r="W2495">
        <v>0.38102459999999999</v>
      </c>
      <c r="X2495">
        <v>0.89827630000000003</v>
      </c>
      <c r="Y2495">
        <v>-0.2334878</v>
      </c>
      <c r="Z2495">
        <v>3.6813970000000001E-2</v>
      </c>
      <c r="AA2495">
        <v>0.97166260000000004</v>
      </c>
      <c r="AB2495">
        <v>23</v>
      </c>
      <c r="AC2495">
        <v>9.5385000000000009</v>
      </c>
      <c r="AD2495">
        <v>-1.11608971359539</v>
      </c>
      <c r="AE2495">
        <v>0.22950000000000101</v>
      </c>
      <c r="AF2495">
        <v>-2.3129614306877802</v>
      </c>
      <c r="AG2495">
        <v>-1.11608971359539</v>
      </c>
      <c r="AH2495">
        <v>9.1238569587918796</v>
      </c>
      <c r="AI2495">
        <v>96.7623102740625</v>
      </c>
      <c r="AJ2495">
        <v>104.22520233872901</v>
      </c>
      <c r="AK2495">
        <v>9.4784077055767995</v>
      </c>
      <c r="AL2495">
        <v>67.602837627297504</v>
      </c>
      <c r="AM2495">
        <v>103.69580005483</v>
      </c>
      <c r="AN2495">
        <v>1.0000000344539</v>
      </c>
    </row>
    <row r="2496" spans="1:40" x14ac:dyDescent="0.25">
      <c r="A2496" t="str">
        <f>"20190304164650010"</f>
        <v>20190304164650010</v>
      </c>
      <c r="B2496" t="str">
        <f>"1551689210000649"</f>
        <v>1551689210000649</v>
      </c>
      <c r="C2496" t="s">
        <v>40</v>
      </c>
      <c r="D2496">
        <v>4.5409980000000001</v>
      </c>
      <c r="E2496">
        <v>0.5005193</v>
      </c>
      <c r="F2496" t="s">
        <v>49</v>
      </c>
      <c r="G2496">
        <v>-461.65699999999998</v>
      </c>
      <c r="H2496" s="1">
        <v>-6.5773300000000003E-7</v>
      </c>
      <c r="I2496">
        <v>214.67910000000001</v>
      </c>
      <c r="J2496">
        <v>-470.86720000000003</v>
      </c>
      <c r="K2496">
        <v>1.1159410000000001</v>
      </c>
      <c r="L2496">
        <v>214.40969999999999</v>
      </c>
      <c r="M2496">
        <v>0.97690310000000002</v>
      </c>
      <c r="N2496">
        <v>-7.7471650000000003E-3</v>
      </c>
      <c r="O2496">
        <v>-0.21354300000000001</v>
      </c>
      <c r="P2496">
        <v>0.92691290000000004</v>
      </c>
      <c r="Q2496">
        <v>0.37501289999999998</v>
      </c>
      <c r="R2496">
        <v>1.407604E-2</v>
      </c>
      <c r="S2496">
        <v>3.4022830000000002</v>
      </c>
      <c r="T2496">
        <v>-0.40252749999999998</v>
      </c>
      <c r="U2496">
        <v>8.2458500000000004E-2</v>
      </c>
      <c r="V2496">
        <v>-0.2169037</v>
      </c>
      <c r="W2496">
        <v>0.37905919999999999</v>
      </c>
      <c r="X2496">
        <v>0.89959259999999996</v>
      </c>
      <c r="Y2496">
        <v>-0.23413200000000001</v>
      </c>
      <c r="Z2496">
        <v>3.8095039999999997E-2</v>
      </c>
      <c r="AA2496">
        <v>0.97145820000000005</v>
      </c>
      <c r="AB2496">
        <v>23</v>
      </c>
      <c r="AC2496">
        <v>9.2102000000000395</v>
      </c>
      <c r="AD2496">
        <v>-1.1159416577329999</v>
      </c>
      <c r="AE2496">
        <v>0.26940000000001801</v>
      </c>
      <c r="AF2496">
        <v>-2.1977807860087202</v>
      </c>
      <c r="AG2496">
        <v>-1.1159416577329999</v>
      </c>
      <c r="AH2496">
        <v>8.8109713230713194</v>
      </c>
      <c r="AI2496">
        <v>97.005858455777002</v>
      </c>
      <c r="AJ2496">
        <v>104.00587043962901</v>
      </c>
      <c r="AK2496">
        <v>9.1492503421208298</v>
      </c>
      <c r="AL2496">
        <v>67.724579761394295</v>
      </c>
      <c r="AM2496">
        <v>103.55602893337</v>
      </c>
      <c r="AN2496">
        <v>0.99999996907654398</v>
      </c>
    </row>
    <row r="2497" spans="1:40" x14ac:dyDescent="0.25">
      <c r="A2497" t="str">
        <f>"20190304164650032"</f>
        <v>20190304164650032</v>
      </c>
      <c r="B2497" t="str">
        <f>"1551689210021144"</f>
        <v>1551689210021144</v>
      </c>
      <c r="C2497" t="s">
        <v>40</v>
      </c>
      <c r="D2497">
        <v>4.5307500000000003</v>
      </c>
      <c r="E2497">
        <v>0.50766469999999997</v>
      </c>
      <c r="F2497" t="s">
        <v>49</v>
      </c>
      <c r="G2497">
        <v>-461.62189999999998</v>
      </c>
      <c r="H2497" s="1">
        <v>-6.7677910000000002E-7</v>
      </c>
      <c r="I2497">
        <v>214.68719999999999</v>
      </c>
      <c r="J2497">
        <v>-470.64109999999999</v>
      </c>
      <c r="K2497">
        <v>1.1157950000000001</v>
      </c>
      <c r="L2497">
        <v>214.37020000000001</v>
      </c>
      <c r="M2497">
        <v>0.97875259999999997</v>
      </c>
      <c r="N2497">
        <v>-7.6739800000000004E-3</v>
      </c>
      <c r="O2497">
        <v>-0.20490159999999999</v>
      </c>
      <c r="P2497">
        <v>0.92726730000000002</v>
      </c>
      <c r="Q2497">
        <v>0.37385679999999999</v>
      </c>
      <c r="R2497">
        <v>2.016948E-2</v>
      </c>
      <c r="S2497">
        <v>3.401062</v>
      </c>
      <c r="T2497">
        <v>-0.41051959999999998</v>
      </c>
      <c r="U2497">
        <v>0.1020966</v>
      </c>
      <c r="V2497">
        <v>-0.21481629999999999</v>
      </c>
      <c r="W2497">
        <v>0.37794169999999999</v>
      </c>
      <c r="X2497">
        <v>0.90056320000000001</v>
      </c>
      <c r="Y2497">
        <v>-0.23111019999999999</v>
      </c>
      <c r="Z2497">
        <v>3.7734469999999999E-2</v>
      </c>
      <c r="AA2497">
        <v>0.97219560000000005</v>
      </c>
      <c r="AB2497">
        <v>23</v>
      </c>
      <c r="AC2497">
        <v>9.0192000000000103</v>
      </c>
      <c r="AD2497">
        <v>-1.1157956767791</v>
      </c>
      <c r="AE2497">
        <v>0.31699999999997802</v>
      </c>
      <c r="AF2497">
        <v>-2.12587996750297</v>
      </c>
      <c r="AG2497">
        <v>-1.1157956767791</v>
      </c>
      <c r="AH2497">
        <v>8.6309352820133007</v>
      </c>
      <c r="AI2497">
        <v>97.154742667856596</v>
      </c>
      <c r="AJ2497">
        <v>103.837050796288</v>
      </c>
      <c r="AK2497">
        <v>8.9586499803737993</v>
      </c>
      <c r="AL2497">
        <v>67.7937556041486</v>
      </c>
      <c r="AM2497">
        <v>103.416367662721</v>
      </c>
      <c r="AN2497">
        <v>1.0000000242694</v>
      </c>
    </row>
    <row r="2498" spans="1:40" x14ac:dyDescent="0.25">
      <c r="A2498" t="str">
        <f>"20190304164650057"</f>
        <v>20190304164650057</v>
      </c>
      <c r="B2498" t="str">
        <f>"1551689210051400"</f>
        <v>1551689210051400</v>
      </c>
      <c r="C2498" t="s">
        <v>40</v>
      </c>
      <c r="D2498">
        <v>4.4893210000000003</v>
      </c>
      <c r="E2498">
        <v>0.50877299999999903</v>
      </c>
      <c r="F2498" t="s">
        <v>49</v>
      </c>
      <c r="G2498">
        <v>-461.67129999999997</v>
      </c>
      <c r="H2498" s="1">
        <v>-6.4476769999999999E-7</v>
      </c>
      <c r="I2498">
        <v>214.55629999999999</v>
      </c>
      <c r="J2498">
        <v>-470.39089999999999</v>
      </c>
      <c r="K2498">
        <v>1.1156219999999999</v>
      </c>
      <c r="L2498">
        <v>214.32859999999999</v>
      </c>
      <c r="M2498">
        <v>0.98063330000000004</v>
      </c>
      <c r="N2498">
        <v>-7.5875229999999997E-3</v>
      </c>
      <c r="O2498">
        <v>-0.1957063</v>
      </c>
      <c r="P2498">
        <v>0.92710340000000002</v>
      </c>
      <c r="Q2498">
        <v>0.37383159999999999</v>
      </c>
      <c r="R2498">
        <v>2.7011759999999999E-2</v>
      </c>
      <c r="S2498">
        <v>3.4045100000000001</v>
      </c>
      <c r="T2498">
        <v>-0.42350490000000002</v>
      </c>
      <c r="U2498">
        <v>7.0617680000000002E-2</v>
      </c>
      <c r="V2498">
        <v>-0.21285689999999999</v>
      </c>
      <c r="W2498">
        <v>0.37794919999999999</v>
      </c>
      <c r="X2498">
        <v>0.90102519999999997</v>
      </c>
      <c r="Y2498">
        <v>-0.21294840000000001</v>
      </c>
      <c r="Z2498">
        <v>3.6660310000000002E-2</v>
      </c>
      <c r="AA2498">
        <v>0.97637549999999995</v>
      </c>
      <c r="AB2498">
        <v>24</v>
      </c>
      <c r="AC2498">
        <v>8.7196000000000105</v>
      </c>
      <c r="AD2498">
        <v>-1.11562264476769</v>
      </c>
      <c r="AE2498">
        <v>0.22769999999999799</v>
      </c>
      <c r="AF2498">
        <v>-1.8987651273178801</v>
      </c>
      <c r="AG2498">
        <v>-1.11562264476769</v>
      </c>
      <c r="AH2498">
        <v>8.3694987583542293</v>
      </c>
      <c r="AI2498">
        <v>97.406513014233397</v>
      </c>
      <c r="AJ2498">
        <v>102.78217280203999</v>
      </c>
      <c r="AK2498">
        <v>8.6543880407761993</v>
      </c>
      <c r="AL2498">
        <v>67.793291694896894</v>
      </c>
      <c r="AM2498">
        <v>103.29178323110401</v>
      </c>
      <c r="AN2498">
        <v>1.00000003434664</v>
      </c>
    </row>
    <row r="2499" spans="1:40" x14ac:dyDescent="0.25">
      <c r="A2499" t="str">
        <f>"20190304164650078"</f>
        <v>20190304164650078</v>
      </c>
      <c r="B2499" t="str">
        <f>"1551689210071427"</f>
        <v>1551689210071427</v>
      </c>
      <c r="C2499" t="s">
        <v>40</v>
      </c>
      <c r="D2499">
        <v>4.4994009999999998</v>
      </c>
      <c r="E2499">
        <v>0.50967689999999999</v>
      </c>
      <c r="F2499" t="s">
        <v>49</v>
      </c>
      <c r="G2499">
        <v>-461.23379999999997</v>
      </c>
      <c r="H2499" s="1">
        <v>-8.7762030000000002E-7</v>
      </c>
      <c r="I2499">
        <v>214.55699999999999</v>
      </c>
      <c r="J2499">
        <v>-470.17140000000001</v>
      </c>
      <c r="K2499">
        <v>1.1154710000000001</v>
      </c>
      <c r="L2499">
        <v>214.2937</v>
      </c>
      <c r="M2499">
        <v>0.982151</v>
      </c>
      <c r="N2499">
        <v>-7.5096900000000003E-3</v>
      </c>
      <c r="O2499">
        <v>-0.18794369999999999</v>
      </c>
      <c r="P2499">
        <v>0.92674369999999995</v>
      </c>
      <c r="Q2499">
        <v>0.37431900000000001</v>
      </c>
      <c r="R2499">
        <v>3.2115730000000002E-2</v>
      </c>
      <c r="S2499">
        <v>3.400452</v>
      </c>
      <c r="T2499">
        <v>-0.41428419999999999</v>
      </c>
      <c r="U2499">
        <v>8.4838869999999997E-2</v>
      </c>
      <c r="V2499">
        <v>-0.21051900000000001</v>
      </c>
      <c r="W2499">
        <v>0.378471</v>
      </c>
      <c r="X2499">
        <v>0.90135529999999997</v>
      </c>
      <c r="Y2499">
        <v>-0.2095301</v>
      </c>
      <c r="Z2499">
        <v>3.4813040000000003E-2</v>
      </c>
      <c r="AA2499">
        <v>0.97718229999999995</v>
      </c>
      <c r="AB2499">
        <v>24</v>
      </c>
      <c r="AC2499">
        <v>8.93760000000003</v>
      </c>
      <c r="AD2499">
        <v>-1.1154718776203001</v>
      </c>
      <c r="AE2499">
        <v>0.26330000000001502</v>
      </c>
      <c r="AF2499">
        <v>-1.9087151095494299</v>
      </c>
      <c r="AG2499">
        <v>-1.1154718776203001</v>
      </c>
      <c r="AH2499">
        <v>8.5950674547323906</v>
      </c>
      <c r="AI2499">
        <v>97.220566113430493</v>
      </c>
      <c r="AJ2499">
        <v>102.520550054145</v>
      </c>
      <c r="AK2499">
        <v>8.8748326987377109</v>
      </c>
      <c r="AL2499">
        <v>67.760994118244099</v>
      </c>
      <c r="AM2499">
        <v>103.14624510652401</v>
      </c>
      <c r="AN2499">
        <v>0.99999996202004404</v>
      </c>
    </row>
    <row r="2500" spans="1:40" x14ac:dyDescent="0.25">
      <c r="A2500" t="str">
        <f>"20190304164650099"</f>
        <v>20190304164650099</v>
      </c>
      <c r="B2500" t="str">
        <f>"1551689210090947"</f>
        <v>1551689210090947</v>
      </c>
      <c r="C2500" t="s">
        <v>40</v>
      </c>
      <c r="D2500">
        <v>4.4857680000000002</v>
      </c>
      <c r="E2500">
        <v>0.51038700000000004</v>
      </c>
      <c r="F2500" t="s">
        <v>49</v>
      </c>
      <c r="G2500">
        <v>-460.91879999999998</v>
      </c>
      <c r="H2500" s="1">
        <v>-1.0451420000000001E-6</v>
      </c>
      <c r="I2500">
        <v>214.5547</v>
      </c>
      <c r="J2500">
        <v>-469.94490000000002</v>
      </c>
      <c r="K2500">
        <v>1.1153379999999999</v>
      </c>
      <c r="L2500">
        <v>214.2593</v>
      </c>
      <c r="M2500">
        <v>0.98360740000000002</v>
      </c>
      <c r="N2500">
        <v>-7.4346869999999997E-3</v>
      </c>
      <c r="O2500">
        <v>-0.18017069999999999</v>
      </c>
      <c r="P2500">
        <v>0.92671610000000004</v>
      </c>
      <c r="Q2500">
        <v>0.37400349999999999</v>
      </c>
      <c r="R2500">
        <v>3.6312909999999997E-2</v>
      </c>
      <c r="S2500">
        <v>3.3993530000000001</v>
      </c>
      <c r="T2500">
        <v>-0.40981960000000001</v>
      </c>
      <c r="U2500">
        <v>9.587097E-2</v>
      </c>
      <c r="V2500">
        <v>-0.2073622</v>
      </c>
      <c r="W2500">
        <v>0.37819779999999997</v>
      </c>
      <c r="X2500">
        <v>0.90220140000000004</v>
      </c>
      <c r="Y2500">
        <v>-0.2051182</v>
      </c>
      <c r="Z2500">
        <v>3.330603E-2</v>
      </c>
      <c r="AA2500">
        <v>0.97817030000000005</v>
      </c>
      <c r="AB2500">
        <v>24</v>
      </c>
      <c r="AC2500">
        <v>9.0261000000000404</v>
      </c>
      <c r="AD2500">
        <v>-1.115339045142</v>
      </c>
      <c r="AE2500">
        <v>0.2954</v>
      </c>
      <c r="AF2500">
        <v>-1.8880510946295299</v>
      </c>
      <c r="AG2500">
        <v>-1.115339045142</v>
      </c>
      <c r="AH2500">
        <v>8.6925732419644302</v>
      </c>
      <c r="AI2500">
        <v>97.146782145368903</v>
      </c>
      <c r="AJ2500">
        <v>102.25445924688501</v>
      </c>
      <c r="AK2500">
        <v>8.96490645174093</v>
      </c>
      <c r="AL2500">
        <v>67.777905445795398</v>
      </c>
      <c r="AM2500">
        <v>102.944071357997</v>
      </c>
      <c r="AN2500">
        <v>1.0000000120378201</v>
      </c>
    </row>
    <row r="2501" spans="1:40" x14ac:dyDescent="0.25">
      <c r="A2501" t="str">
        <f>"20190304164650122"</f>
        <v>20190304164650122</v>
      </c>
      <c r="B2501" t="str">
        <f>"1551689210111443"</f>
        <v>1551689210111443</v>
      </c>
      <c r="C2501" t="s">
        <v>40</v>
      </c>
      <c r="D2501">
        <v>4.4847049999999999</v>
      </c>
      <c r="E2501">
        <v>0.5110749</v>
      </c>
      <c r="F2501" t="s">
        <v>49</v>
      </c>
      <c r="G2501">
        <v>-460.71679999999998</v>
      </c>
      <c r="H2501" s="1">
        <v>-1.152746E-6</v>
      </c>
      <c r="I2501">
        <v>214.55629999999999</v>
      </c>
      <c r="J2501">
        <v>-469.70780000000002</v>
      </c>
      <c r="K2501">
        <v>1.115202</v>
      </c>
      <c r="L2501">
        <v>214.22489999999999</v>
      </c>
      <c r="M2501">
        <v>0.98502000000000001</v>
      </c>
      <c r="N2501">
        <v>-7.3589110000000001E-3</v>
      </c>
      <c r="O2501">
        <v>-0.17228289999999999</v>
      </c>
      <c r="P2501">
        <v>0.92672129999999997</v>
      </c>
      <c r="Q2501">
        <v>0.37357800000000002</v>
      </c>
      <c r="R2501">
        <v>4.0335830000000003E-2</v>
      </c>
      <c r="S2501">
        <v>3.3987430000000001</v>
      </c>
      <c r="T2501">
        <v>-0.41078199999999998</v>
      </c>
      <c r="U2501">
        <v>0.1093903</v>
      </c>
      <c r="V2501">
        <v>-0.20395179999999999</v>
      </c>
      <c r="W2501">
        <v>0.37781019999999998</v>
      </c>
      <c r="X2501">
        <v>0.90314070000000002</v>
      </c>
      <c r="Y2501">
        <v>-0.2012352</v>
      </c>
      <c r="Z2501">
        <v>3.226789E-2</v>
      </c>
      <c r="AA2501">
        <v>0.97901130000000003</v>
      </c>
      <c r="AB2501">
        <v>24</v>
      </c>
      <c r="AC2501">
        <v>8.9910000000000405</v>
      </c>
      <c r="AD2501">
        <v>-1.115203152746</v>
      </c>
      <c r="AE2501">
        <v>0.33140000000000203</v>
      </c>
      <c r="AF2501">
        <v>-1.8471032428857901</v>
      </c>
      <c r="AG2501">
        <v>-1.115203152746</v>
      </c>
      <c r="AH2501">
        <v>8.6663101513889202</v>
      </c>
      <c r="AI2501">
        <v>97.173285285840805</v>
      </c>
      <c r="AJ2501">
        <v>102.031764063715</v>
      </c>
      <c r="AK2501">
        <v>8.9308678246764206</v>
      </c>
      <c r="AL2501">
        <v>67.801892888488695</v>
      </c>
      <c r="AM2501">
        <v>102.72536997078799</v>
      </c>
      <c r="AN2501">
        <v>1.0000000039718799</v>
      </c>
    </row>
    <row r="2502" spans="1:40" x14ac:dyDescent="0.25">
      <c r="A2502" t="str">
        <f>"20190304164650144"</f>
        <v>20190304164650144</v>
      </c>
      <c r="B2502" t="str">
        <f>"1551689210140723"</f>
        <v>1551689210140723</v>
      </c>
      <c r="C2502" t="s">
        <v>40</v>
      </c>
      <c r="D2502">
        <v>4.4512980000000004</v>
      </c>
      <c r="E2502">
        <v>0.51513370000000003</v>
      </c>
      <c r="F2502" t="s">
        <v>49</v>
      </c>
      <c r="G2502">
        <v>-460.46839999999997</v>
      </c>
      <c r="H2502" s="1">
        <v>-1.284956E-6</v>
      </c>
      <c r="I2502">
        <v>214.5575</v>
      </c>
      <c r="J2502">
        <v>-469.47579999999999</v>
      </c>
      <c r="K2502">
        <v>1.115086</v>
      </c>
      <c r="L2502">
        <v>214.19280000000001</v>
      </c>
      <c r="M2502">
        <v>0.98629849999999997</v>
      </c>
      <c r="N2502">
        <v>-7.28107699999999E-3</v>
      </c>
      <c r="O2502">
        <v>-0.16481029999999999</v>
      </c>
      <c r="P2502">
        <v>0.92611220000000005</v>
      </c>
      <c r="Q2502">
        <v>0.37465540000000003</v>
      </c>
      <c r="R2502">
        <v>4.4155130000000001E-2</v>
      </c>
      <c r="S2502">
        <v>3.3971559999999998</v>
      </c>
      <c r="T2502">
        <v>-0.41003859999999998</v>
      </c>
      <c r="U2502">
        <v>0.12226869999999999</v>
      </c>
      <c r="V2502">
        <v>-0.20065720000000001</v>
      </c>
      <c r="W2502">
        <v>0.37891049999999998</v>
      </c>
      <c r="X2502">
        <v>0.90341769999999999</v>
      </c>
      <c r="Y2502">
        <v>-0.19761490000000001</v>
      </c>
      <c r="Z2502">
        <v>3.1163440000000001E-2</v>
      </c>
      <c r="AA2502">
        <v>0.97978430000000005</v>
      </c>
      <c r="AB2502">
        <v>24</v>
      </c>
      <c r="AC2502">
        <v>9.0074000000000094</v>
      </c>
      <c r="AD2502">
        <v>-1.1150872849560001</v>
      </c>
      <c r="AE2502">
        <v>0.36469999999999902</v>
      </c>
      <c r="AF2502">
        <v>-1.8164710475160999</v>
      </c>
      <c r="AG2502">
        <v>-1.1150872849560001</v>
      </c>
      <c r="AH2502">
        <v>8.69113266715393</v>
      </c>
      <c r="AI2502">
        <v>97.1581889501376</v>
      </c>
      <c r="AJ2502">
        <v>101.80504595818999</v>
      </c>
      <c r="AK2502">
        <v>8.9486744134315792</v>
      </c>
      <c r="AL2502">
        <v>67.733787390826905</v>
      </c>
      <c r="AM2502">
        <v>102.52262556677</v>
      </c>
      <c r="AN2502">
        <v>1.00000000979769</v>
      </c>
    </row>
    <row r="2503" spans="1:40" x14ac:dyDescent="0.25">
      <c r="A2503" t="str">
        <f>"20190304164650170"</f>
        <v>20190304164650170</v>
      </c>
      <c r="B2503" t="str">
        <f>"1551689210161218"</f>
        <v>1551689210161218</v>
      </c>
      <c r="C2503" t="s">
        <v>40</v>
      </c>
      <c r="D2503">
        <v>4.4371669999999996</v>
      </c>
      <c r="E2503">
        <v>0.51543879999999997</v>
      </c>
      <c r="F2503" t="s">
        <v>49</v>
      </c>
      <c r="G2503">
        <v>-459.36250000000001</v>
      </c>
      <c r="H2503" s="1">
        <v>3.4505159999999998E-6</v>
      </c>
      <c r="I2503">
        <v>214.50149999999999</v>
      </c>
      <c r="J2503">
        <v>-469.19779999999997</v>
      </c>
      <c r="K2503">
        <v>1.1149420000000001</v>
      </c>
      <c r="L2503">
        <v>214.15629999999999</v>
      </c>
      <c r="M2503">
        <v>0.987703</v>
      </c>
      <c r="N2503">
        <v>-7.1792610000000001E-3</v>
      </c>
      <c r="O2503">
        <v>-0.15617829999999999</v>
      </c>
      <c r="P2503">
        <v>0.92491469999999998</v>
      </c>
      <c r="Q2503">
        <v>0.37690899999999999</v>
      </c>
      <c r="R2503">
        <v>4.9730150000000001E-2</v>
      </c>
      <c r="S2503">
        <v>3.3854679999999999</v>
      </c>
      <c r="T2503">
        <v>-0.37328149999999999</v>
      </c>
      <c r="U2503">
        <v>0.1033173</v>
      </c>
      <c r="V2503">
        <v>-0.19794580000000001</v>
      </c>
      <c r="W2503">
        <v>0.381164</v>
      </c>
      <c r="X2503">
        <v>0.90306779999999998</v>
      </c>
      <c r="Y2503">
        <v>-0.18422769999999999</v>
      </c>
      <c r="Z2503">
        <v>2.6787709999999999E-2</v>
      </c>
      <c r="AA2503">
        <v>0.98251849999999996</v>
      </c>
      <c r="AB2503">
        <v>24</v>
      </c>
      <c r="AC2503">
        <v>9.8352999999999593</v>
      </c>
      <c r="AD2503">
        <v>-1.1149385494840001</v>
      </c>
      <c r="AE2503">
        <v>0.345200000000005</v>
      </c>
      <c r="AF2503">
        <v>-1.8532768948364999</v>
      </c>
      <c r="AG2503">
        <v>-1.1149385494840001</v>
      </c>
      <c r="AH2503">
        <v>9.5382669516379899</v>
      </c>
      <c r="AI2503">
        <v>96.545789224154404</v>
      </c>
      <c r="AJ2503">
        <v>100.99551761445601</v>
      </c>
      <c r="AK2503">
        <v>9.7804018147911407</v>
      </c>
      <c r="AL2503">
        <v>67.594197688049306</v>
      </c>
      <c r="AM2503">
        <v>102.36328736250699</v>
      </c>
      <c r="AN2503">
        <v>0.99999999301524001</v>
      </c>
    </row>
    <row r="2504" spans="1:40" x14ac:dyDescent="0.25">
      <c r="A2504" t="str">
        <f>"20190304164650211"</f>
        <v>20190304164650211</v>
      </c>
      <c r="B2504" t="str">
        <f>"1551689210200765"</f>
        <v>1551689210200765</v>
      </c>
      <c r="C2504" t="s">
        <v>40</v>
      </c>
      <c r="D2504">
        <v>4.4360670000000004</v>
      </c>
      <c r="E2504">
        <v>0.52168000000000003</v>
      </c>
      <c r="F2504" t="s">
        <v>49</v>
      </c>
      <c r="G2504">
        <v>-458.89800000000002</v>
      </c>
      <c r="H2504" s="1">
        <v>3.2027339999999999E-6</v>
      </c>
      <c r="I2504">
        <v>214.51439999999999</v>
      </c>
      <c r="J2504">
        <v>-468.7636</v>
      </c>
      <c r="K2504">
        <v>1.114682</v>
      </c>
      <c r="L2504">
        <v>214.10339999999999</v>
      </c>
      <c r="M2504">
        <v>0.98963369999999995</v>
      </c>
      <c r="N2504">
        <v>-7.0072700000000003E-3</v>
      </c>
      <c r="O2504">
        <v>-0.14344289999999901</v>
      </c>
      <c r="P2504">
        <v>0.92473939999999999</v>
      </c>
      <c r="Q2504">
        <v>0.37683929999999999</v>
      </c>
      <c r="R2504">
        <v>5.3377760000000003E-2</v>
      </c>
      <c r="S2504">
        <v>3.3866269999999998</v>
      </c>
      <c r="T2504">
        <v>-0.3665967</v>
      </c>
      <c r="U2504">
        <v>0.1177368</v>
      </c>
      <c r="V2504">
        <v>-0.18961729999999999</v>
      </c>
      <c r="W2504">
        <v>0.38115690000000002</v>
      </c>
      <c r="X2504">
        <v>0.9048562</v>
      </c>
      <c r="Y2504">
        <v>-0.17592169999999999</v>
      </c>
      <c r="Z2504">
        <v>2.4552290000000001E-2</v>
      </c>
      <c r="AA2504">
        <v>0.98409800000000003</v>
      </c>
      <c r="AB2504">
        <v>24</v>
      </c>
      <c r="AC2504">
        <v>9.8655999999999704</v>
      </c>
      <c r="AD2504">
        <v>-1.1146787972659999</v>
      </c>
      <c r="AE2504">
        <v>0.41100000000000098</v>
      </c>
      <c r="AF2504">
        <v>-1.7990083863363899</v>
      </c>
      <c r="AG2504">
        <v>-1.1146787972659999</v>
      </c>
      <c r="AH2504">
        <v>9.5824967493062694</v>
      </c>
      <c r="AI2504">
        <v>96.522143970165601</v>
      </c>
      <c r="AJ2504">
        <v>100.63288349398999</v>
      </c>
      <c r="AK2504">
        <v>9.8134185657011592</v>
      </c>
      <c r="AL2504">
        <v>67.594638408531097</v>
      </c>
      <c r="AM2504">
        <v>101.83536686899301</v>
      </c>
      <c r="AN2504">
        <v>1.00000002277766</v>
      </c>
    </row>
    <row r="2505" spans="1:40" x14ac:dyDescent="0.25">
      <c r="A2505" t="str">
        <f>"20190304164650233"</f>
        <v>20190304164650233</v>
      </c>
      <c r="B2505" t="str">
        <f>"1551689210221261"</f>
        <v>1551689210221261</v>
      </c>
      <c r="C2505" t="s">
        <v>40</v>
      </c>
      <c r="D2505">
        <v>4.4249790000000004</v>
      </c>
      <c r="E2505">
        <v>0.52257940000000003</v>
      </c>
      <c r="F2505" t="s">
        <v>49</v>
      </c>
      <c r="G2505">
        <v>-459.09379999999999</v>
      </c>
      <c r="H2505" s="1">
        <v>3.315184E-6</v>
      </c>
      <c r="I2505">
        <v>214.3254</v>
      </c>
      <c r="J2505">
        <v>-468.5172</v>
      </c>
      <c r="K2505">
        <v>1.11452</v>
      </c>
      <c r="L2505">
        <v>214.0753</v>
      </c>
      <c r="M2505">
        <v>0.9906045</v>
      </c>
      <c r="N2505">
        <v>-6.9146759999999998E-3</v>
      </c>
      <c r="O2505">
        <v>-0.13658419999999999</v>
      </c>
      <c r="P2505">
        <v>0.92434380000000005</v>
      </c>
      <c r="Q2505">
        <v>0.37755250000000001</v>
      </c>
      <c r="R2505">
        <v>5.5164499999999998E-2</v>
      </c>
      <c r="S2505">
        <v>3.3993839999999902</v>
      </c>
      <c r="T2505">
        <v>-0.39185979999999998</v>
      </c>
      <c r="U2505">
        <v>7.8048709999999993E-2</v>
      </c>
      <c r="V2505">
        <v>-0.18491650000000001</v>
      </c>
      <c r="W2505">
        <v>0.38190479999999999</v>
      </c>
      <c r="X2505">
        <v>0.90551340000000002</v>
      </c>
      <c r="Y2505">
        <v>-0.15738959999999999</v>
      </c>
      <c r="Z2505">
        <v>2.4302859999999999E-2</v>
      </c>
      <c r="AA2505">
        <v>0.98723749999999999</v>
      </c>
      <c r="AB2505">
        <v>24</v>
      </c>
      <c r="AC2505">
        <v>9.4234000000000098</v>
      </c>
      <c r="AD2505">
        <v>-1.114516684816</v>
      </c>
      <c r="AE2505">
        <v>0.25010000000000299</v>
      </c>
      <c r="AF2505">
        <v>-1.5137151210262101</v>
      </c>
      <c r="AG2505">
        <v>-1.114516684816</v>
      </c>
      <c r="AH2505">
        <v>9.1727053884879002</v>
      </c>
      <c r="AI2505">
        <v>96.836119244251094</v>
      </c>
      <c r="AJ2505">
        <v>99.370715153079402</v>
      </c>
      <c r="AK2505">
        <v>9.3633330097968699</v>
      </c>
      <c r="AL2505">
        <v>67.548278523014801</v>
      </c>
      <c r="AM2505">
        <v>101.541779012219</v>
      </c>
      <c r="AN2505">
        <v>0.99999995290742305</v>
      </c>
    </row>
    <row r="2506" spans="1:40" x14ac:dyDescent="0.25">
      <c r="A2506" t="str">
        <f>"20190304164650256"</f>
        <v>20190304164650256</v>
      </c>
      <c r="B2506" t="str">
        <f>"1551689210250541"</f>
        <v>1551689210250541</v>
      </c>
      <c r="C2506" t="s">
        <v>40</v>
      </c>
      <c r="D2506">
        <v>4.3965480000000001</v>
      </c>
      <c r="E2506">
        <v>0.5348541</v>
      </c>
      <c r="F2506" t="s">
        <v>49</v>
      </c>
      <c r="G2506">
        <v>-458.63279999999997</v>
      </c>
      <c r="H2506" s="1">
        <v>3.070818E-6</v>
      </c>
      <c r="I2506">
        <v>214.3039</v>
      </c>
      <c r="J2506">
        <v>-468.27229999999997</v>
      </c>
      <c r="K2506">
        <v>1.114355</v>
      </c>
      <c r="L2506">
        <v>214.0489</v>
      </c>
      <c r="M2506">
        <v>0.99147890000000005</v>
      </c>
      <c r="N2506">
        <v>-6.8305019999999996E-3</v>
      </c>
      <c r="O2506">
        <v>-0.1300876</v>
      </c>
      <c r="P2506">
        <v>0.92446910000000004</v>
      </c>
      <c r="Q2506">
        <v>0.37715539999999997</v>
      </c>
      <c r="R2506">
        <v>5.5773789999999997E-2</v>
      </c>
      <c r="S2506">
        <v>3.3973689999999999</v>
      </c>
      <c r="T2506">
        <v>-0.38307049999999998</v>
      </c>
      <c r="U2506">
        <v>7.8567499999999998E-2</v>
      </c>
      <c r="V2506">
        <v>-0.17943319999999999</v>
      </c>
      <c r="W2506">
        <v>0.38156279999999998</v>
      </c>
      <c r="X2506">
        <v>0.90675989999999995</v>
      </c>
      <c r="Y2506">
        <v>-0.15123829999999999</v>
      </c>
      <c r="Z2506">
        <v>2.272329E-2</v>
      </c>
      <c r="AA2506">
        <v>0.98823609999999995</v>
      </c>
      <c r="AB2506">
        <v>24</v>
      </c>
      <c r="AC2506">
        <v>9.6394999999999893</v>
      </c>
      <c r="AD2506">
        <v>-1.1143519291820001</v>
      </c>
      <c r="AE2506">
        <v>0.25499999999999501</v>
      </c>
      <c r="AF2506">
        <v>-1.48698368629989</v>
      </c>
      <c r="AG2506">
        <v>-1.1143519291820001</v>
      </c>
      <c r="AH2506">
        <v>9.3988926774556596</v>
      </c>
      <c r="AI2506">
        <v>96.679231287178695</v>
      </c>
      <c r="AJ2506">
        <v>98.990159684531804</v>
      </c>
      <c r="AK2506">
        <v>9.5808185593780806</v>
      </c>
      <c r="AL2506">
        <v>67.569479794819202</v>
      </c>
      <c r="AM2506">
        <v>101.19330567986999</v>
      </c>
      <c r="AN2506">
        <v>0.99999997992704404</v>
      </c>
    </row>
    <row r="2507" spans="1:40" x14ac:dyDescent="0.25">
      <c r="A2507" t="str">
        <f>"20190304164650277"</f>
        <v>20190304164650277</v>
      </c>
      <c r="B2507" t="str">
        <f>"1551689210271368"</f>
        <v>1551689210271368</v>
      </c>
      <c r="C2507" t="s">
        <v>40</v>
      </c>
      <c r="D2507">
        <v>4.3913339999999996</v>
      </c>
      <c r="E2507">
        <v>0.53582319999999894</v>
      </c>
      <c r="F2507" t="s">
        <v>49</v>
      </c>
      <c r="G2507">
        <v>-457.50940000000003</v>
      </c>
      <c r="H2507" s="1">
        <v>2.4865650000000001E-6</v>
      </c>
      <c r="I2507">
        <v>213.9939</v>
      </c>
      <c r="J2507">
        <v>-468.03910000000002</v>
      </c>
      <c r="K2507">
        <v>1.1141799999999999</v>
      </c>
      <c r="L2507">
        <v>214.0248</v>
      </c>
      <c r="M2507">
        <v>0.99223289999999997</v>
      </c>
      <c r="N2507">
        <v>-6.7557850000000003E-3</v>
      </c>
      <c r="O2507">
        <v>-0.1242108</v>
      </c>
      <c r="P2507">
        <v>0.92493639999999999</v>
      </c>
      <c r="Q2507">
        <v>0.37590279999999998</v>
      </c>
      <c r="R2507">
        <v>5.6478029999999999E-2</v>
      </c>
      <c r="S2507">
        <v>3.389313</v>
      </c>
      <c r="T2507">
        <v>-0.35091729999999999</v>
      </c>
      <c r="U2507">
        <v>-1.7303470000000001E-2</v>
      </c>
      <c r="V2507">
        <v>-0.17463779999999901</v>
      </c>
      <c r="W2507">
        <v>0.38036629999999999</v>
      </c>
      <c r="X2507">
        <v>0.9081977</v>
      </c>
      <c r="Y2507">
        <v>-0.1178975</v>
      </c>
      <c r="Z2507">
        <v>1.844763E-2</v>
      </c>
      <c r="AA2507">
        <v>0.99285440000000003</v>
      </c>
      <c r="AB2507">
        <v>25</v>
      </c>
      <c r="AC2507">
        <v>10.529699999999901</v>
      </c>
      <c r="AD2507">
        <v>-1.114177513435</v>
      </c>
      <c r="AE2507">
        <v>-3.0900000000002498E-2</v>
      </c>
      <c r="AF2507">
        <v>-1.2631292284568401</v>
      </c>
      <c r="AG2507">
        <v>-1.114177513435</v>
      </c>
      <c r="AH2507">
        <v>10.3362634135371</v>
      </c>
      <c r="AI2507">
        <v>96.107246528587496</v>
      </c>
      <c r="AJ2507">
        <v>96.967208902573503</v>
      </c>
      <c r="AK2507">
        <v>10.4725941549003</v>
      </c>
      <c r="AL2507">
        <v>67.643625395139694</v>
      </c>
      <c r="AM2507">
        <v>100.884577753619</v>
      </c>
      <c r="AN2507">
        <v>0.99999997282490904</v>
      </c>
    </row>
    <row r="2508" spans="1:40" x14ac:dyDescent="0.25">
      <c r="A2508" t="str">
        <f>"20190304164650301"</f>
        <v>20190304164650301</v>
      </c>
      <c r="B2508" t="str">
        <f>"1551689210290888"</f>
        <v>1551689210290888</v>
      </c>
      <c r="C2508" t="s">
        <v>40</v>
      </c>
      <c r="D2508">
        <v>4.3860669999999997</v>
      </c>
      <c r="E2508">
        <v>0.536269199999999</v>
      </c>
      <c r="F2508" t="s">
        <v>49</v>
      </c>
      <c r="G2508">
        <v>-457.4144</v>
      </c>
      <c r="H2508" s="1">
        <v>2.4374519999999999E-6</v>
      </c>
      <c r="I2508">
        <v>213.96100000000001</v>
      </c>
      <c r="J2508">
        <v>-467.77839999999998</v>
      </c>
      <c r="K2508">
        <v>1.1140019999999999</v>
      </c>
      <c r="L2508">
        <v>213.99930000000001</v>
      </c>
      <c r="M2508">
        <v>0.99299740000000003</v>
      </c>
      <c r="N2508">
        <v>-6.6796260000000001E-3</v>
      </c>
      <c r="O2508">
        <v>-0.1179471</v>
      </c>
      <c r="P2508">
        <v>0.92504699999999995</v>
      </c>
      <c r="Q2508">
        <v>0.375357</v>
      </c>
      <c r="R2508">
        <v>5.8268569999999999E-2</v>
      </c>
      <c r="S2508">
        <v>3.38916</v>
      </c>
      <c r="T2508">
        <v>-0.35541060000000002</v>
      </c>
      <c r="U2508">
        <v>-2.035522E-2</v>
      </c>
      <c r="V2508">
        <v>-0.17052010000000001</v>
      </c>
      <c r="W2508">
        <v>0.37986490000000001</v>
      </c>
      <c r="X2508">
        <v>0.90918949999999998</v>
      </c>
      <c r="Y2508">
        <v>-0.110773</v>
      </c>
      <c r="Z2508">
        <v>1.768811E-2</v>
      </c>
      <c r="AA2508">
        <v>0.99368829999999997</v>
      </c>
      <c r="AB2508">
        <v>25</v>
      </c>
      <c r="AC2508">
        <v>10.3639999999999</v>
      </c>
      <c r="AD2508">
        <v>-1.1139995625479999</v>
      </c>
      <c r="AE2508">
        <v>-3.8300000000020797E-2</v>
      </c>
      <c r="AF2508">
        <v>-1.17087085957821</v>
      </c>
      <c r="AG2508">
        <v>-1.1139995625479999</v>
      </c>
      <c r="AH2508">
        <v>10.1785752538001</v>
      </c>
      <c r="AI2508">
        <v>96.205308843064998</v>
      </c>
      <c r="AJ2508">
        <v>96.562055877654402</v>
      </c>
      <c r="AK2508">
        <v>10.3060820777073</v>
      </c>
      <c r="AL2508">
        <v>67.674685419801307</v>
      </c>
      <c r="AM2508">
        <v>100.622520713418</v>
      </c>
      <c r="AN2508">
        <v>0.99999999683313401</v>
      </c>
    </row>
    <row r="2509" spans="1:40" x14ac:dyDescent="0.25">
      <c r="A2509" t="str">
        <f>"20190304164650323"</f>
        <v>20190304164650323</v>
      </c>
      <c r="B2509" t="str">
        <f>"1551689210311385"</f>
        <v>1551689210311385</v>
      </c>
      <c r="C2509" t="s">
        <v>40</v>
      </c>
      <c r="D2509">
        <v>4.3761789999999996</v>
      </c>
      <c r="E2509">
        <v>0.53660929999999996</v>
      </c>
      <c r="F2509" t="s">
        <v>49</v>
      </c>
      <c r="G2509">
        <v>-457.13400000000001</v>
      </c>
      <c r="H2509" s="1">
        <v>2.2891179999999999E-6</v>
      </c>
      <c r="I2509">
        <v>213.94059999999999</v>
      </c>
      <c r="J2509">
        <v>-467.53449999999998</v>
      </c>
      <c r="K2509">
        <v>1.1138410000000001</v>
      </c>
      <c r="L2509">
        <v>213.97649999999999</v>
      </c>
      <c r="M2509">
        <v>0.99364540000000001</v>
      </c>
      <c r="N2509">
        <v>-6.616294E-3</v>
      </c>
      <c r="O2509">
        <v>-0.1123608</v>
      </c>
      <c r="P2509">
        <v>0.92550779999999999</v>
      </c>
      <c r="Q2509">
        <v>0.3740561</v>
      </c>
      <c r="R2509">
        <v>5.9306879999999999E-2</v>
      </c>
      <c r="S2509">
        <v>3.3881230000000002</v>
      </c>
      <c r="T2509">
        <v>-0.35458650000000003</v>
      </c>
      <c r="U2509">
        <v>-1.8661500000000001E-2</v>
      </c>
      <c r="V2509">
        <v>-0.16632849999999999</v>
      </c>
      <c r="W2509">
        <v>0.37861139999999999</v>
      </c>
      <c r="X2509">
        <v>0.91048790000000002</v>
      </c>
      <c r="Y2509">
        <v>-0.1057382</v>
      </c>
      <c r="Z2509">
        <v>1.6833520000000001E-2</v>
      </c>
      <c r="AA2509">
        <v>0.99425149999999995</v>
      </c>
      <c r="AB2509">
        <v>25</v>
      </c>
      <c r="AC2509">
        <v>10.4004999999999</v>
      </c>
      <c r="AD2509">
        <v>-1.113838710882</v>
      </c>
      <c r="AE2509">
        <v>-3.5899999999998003E-2</v>
      </c>
      <c r="AF2509">
        <v>-1.1201147251124</v>
      </c>
      <c r="AG2509">
        <v>-1.113838710882</v>
      </c>
      <c r="AH2509">
        <v>10.2214383669064</v>
      </c>
      <c r="AI2509">
        <v>96.1823091176514</v>
      </c>
      <c r="AJ2509">
        <v>96.253795100770802</v>
      </c>
      <c r="AK2509">
        <v>10.3427798951607</v>
      </c>
      <c r="AL2509">
        <v>67.752303673239894</v>
      </c>
      <c r="AM2509">
        <v>100.35267237683701</v>
      </c>
      <c r="AN2509">
        <v>0.99999998908430998</v>
      </c>
    </row>
    <row r="2510" spans="1:40" x14ac:dyDescent="0.25">
      <c r="A2510" t="str">
        <f>"20190304164650345"</f>
        <v>20190304164650345</v>
      </c>
      <c r="B2510" t="str">
        <f>"1551689210340664"</f>
        <v>1551689210340664</v>
      </c>
      <c r="C2510" t="s">
        <v>40</v>
      </c>
      <c r="D2510">
        <v>4.3971309999999999</v>
      </c>
      <c r="E2510">
        <v>0.53678970000000004</v>
      </c>
      <c r="F2510" t="s">
        <v>49</v>
      </c>
      <c r="G2510">
        <v>-457.01530000000002</v>
      </c>
      <c r="H2510" s="1">
        <v>2.2267109999999999E-6</v>
      </c>
      <c r="I2510">
        <v>213.92269999999999</v>
      </c>
      <c r="J2510">
        <v>-467.28949999999998</v>
      </c>
      <c r="K2510">
        <v>1.113693</v>
      </c>
      <c r="L2510">
        <v>213.9547</v>
      </c>
      <c r="M2510">
        <v>0.99423360000000005</v>
      </c>
      <c r="N2510">
        <v>-6.5594609999999999E-3</v>
      </c>
      <c r="O2510">
        <v>-0.10703509999999999</v>
      </c>
      <c r="P2510">
        <v>0.92582039999999999</v>
      </c>
      <c r="Q2510">
        <v>0.37323109999999998</v>
      </c>
      <c r="R2510">
        <v>5.9625629999999999E-2</v>
      </c>
      <c r="S2510">
        <v>3.3875120000000001</v>
      </c>
      <c r="T2510">
        <v>-0.35868870000000003</v>
      </c>
      <c r="U2510">
        <v>-1.7318730000000001E-2</v>
      </c>
      <c r="V2510">
        <v>-0.16164329999999999</v>
      </c>
      <c r="W2510">
        <v>0.37784020000000001</v>
      </c>
      <c r="X2510">
        <v>0.9116514</v>
      </c>
      <c r="Y2510">
        <v>-0.10082960000000001</v>
      </c>
      <c r="Z2510">
        <v>1.623836E-2</v>
      </c>
      <c r="AA2510">
        <v>0.99477119999999997</v>
      </c>
      <c r="AB2510">
        <v>25</v>
      </c>
      <c r="AC2510">
        <v>10.274199999999899</v>
      </c>
      <c r="AD2510">
        <v>-1.113690773289</v>
      </c>
      <c r="AE2510">
        <v>-3.2000000000010603E-2</v>
      </c>
      <c r="AF2510">
        <v>-1.0555055912284299</v>
      </c>
      <c r="AG2510">
        <v>-1.113690773289</v>
      </c>
      <c r="AH2510">
        <v>10.099928130040301</v>
      </c>
      <c r="AI2510">
        <v>96.2586129175764</v>
      </c>
      <c r="AJ2510">
        <v>95.966110090521099</v>
      </c>
      <c r="AK2510">
        <v>10.215818490145701</v>
      </c>
      <c r="AL2510">
        <v>67.800036878755407</v>
      </c>
      <c r="AM2510">
        <v>100.054517231479</v>
      </c>
      <c r="AN2510">
        <v>1.00000002414644</v>
      </c>
    </row>
    <row r="2511" spans="1:40" x14ac:dyDescent="0.25">
      <c r="A2511" t="str">
        <f>"20190304164650371"</f>
        <v>20190304164650371</v>
      </c>
      <c r="B2511" t="str">
        <f>"1551689210361160"</f>
        <v>1551689210361160</v>
      </c>
      <c r="C2511" t="s">
        <v>40</v>
      </c>
      <c r="D2511">
        <v>4.4059030000000003</v>
      </c>
      <c r="E2511">
        <v>0.53689809999999905</v>
      </c>
      <c r="F2511" t="s">
        <v>49</v>
      </c>
      <c r="G2511">
        <v>-456.93040000000002</v>
      </c>
      <c r="H2511" s="1">
        <v>2.1821050000000002E-6</v>
      </c>
      <c r="I2511">
        <v>213.90969999999999</v>
      </c>
      <c r="J2511">
        <v>-467.0059</v>
      </c>
      <c r="K2511">
        <v>1.1135090000000001</v>
      </c>
      <c r="L2511">
        <v>213.9307</v>
      </c>
      <c r="M2511">
        <v>0.99484090000000003</v>
      </c>
      <c r="N2511">
        <v>-6.4997509999999998E-3</v>
      </c>
      <c r="O2511">
        <v>-0.1012402</v>
      </c>
      <c r="P2511">
        <v>0.92561590000000005</v>
      </c>
      <c r="Q2511">
        <v>0.37360470000000001</v>
      </c>
      <c r="R2511">
        <v>6.0456849999999999E-2</v>
      </c>
      <c r="S2511">
        <v>3.3881839999999999</v>
      </c>
      <c r="T2511">
        <v>-0.36425920000000001</v>
      </c>
      <c r="U2511">
        <v>-1.4709470000000001E-2</v>
      </c>
      <c r="V2511">
        <v>-0.1569565</v>
      </c>
      <c r="W2511">
        <v>0.37827149999999998</v>
      </c>
      <c r="X2511">
        <v>0.91229119999999997</v>
      </c>
      <c r="Y2511">
        <v>-9.58233E-2</v>
      </c>
      <c r="Z2511">
        <v>1.5629589999999999E-2</v>
      </c>
      <c r="AA2511">
        <v>0.99527560000000004</v>
      </c>
      <c r="AB2511">
        <v>25</v>
      </c>
      <c r="AC2511">
        <v>10.0754999999999</v>
      </c>
      <c r="AD2511">
        <v>-1.1135068178950001</v>
      </c>
      <c r="AE2511">
        <v>-2.1000000000015E-2</v>
      </c>
      <c r="AF2511">
        <v>-0.98711849798815998</v>
      </c>
      <c r="AG2511">
        <v>-1.1135068178950001</v>
      </c>
      <c r="AH2511">
        <v>9.9048799232089504</v>
      </c>
      <c r="AI2511">
        <v>96.382904998589396</v>
      </c>
      <c r="AJ2511">
        <v>95.691294289501997</v>
      </c>
      <c r="AK2511">
        <v>10.0160344775643</v>
      </c>
      <c r="AL2511">
        <v>67.773342462715405</v>
      </c>
      <c r="AM2511">
        <v>99.761968462440606</v>
      </c>
      <c r="AN2511">
        <v>0.99999995210096804</v>
      </c>
    </row>
    <row r="2512" spans="1:40" x14ac:dyDescent="0.25">
      <c r="A2512" t="str">
        <f>"20190304164650413"</f>
        <v>20190304164650413</v>
      </c>
      <c r="B2512" t="str">
        <f>"1551689210400707"</f>
        <v>1551689210400707</v>
      </c>
      <c r="C2512" t="s">
        <v>40</v>
      </c>
      <c r="D2512">
        <v>4.3816490000000003</v>
      </c>
      <c r="E2512">
        <v>0.53708859999999903</v>
      </c>
      <c r="F2512" t="s">
        <v>49</v>
      </c>
      <c r="G2512">
        <v>-456.61759999999998</v>
      </c>
      <c r="H2512" s="1">
        <v>2.0161259999999999E-6</v>
      </c>
      <c r="I2512">
        <v>213.89859999999999</v>
      </c>
      <c r="J2512">
        <v>-466.5369</v>
      </c>
      <c r="K2512">
        <v>1.113184</v>
      </c>
      <c r="L2512">
        <v>213.89359999999999</v>
      </c>
      <c r="M2512">
        <v>0.9956853</v>
      </c>
      <c r="N2512">
        <v>-6.4145690000000002E-3</v>
      </c>
      <c r="O2512">
        <v>-9.2574130000000004E-2</v>
      </c>
      <c r="P2512">
        <v>0.92390669999999997</v>
      </c>
      <c r="Q2512">
        <v>0.3772684</v>
      </c>
      <c r="R2512">
        <v>6.3758839999999997E-2</v>
      </c>
      <c r="S2512">
        <v>3.3883359999999998</v>
      </c>
      <c r="T2512">
        <v>-0.36319040000000002</v>
      </c>
      <c r="U2512">
        <v>-1.0467529999999999E-2</v>
      </c>
      <c r="V2512">
        <v>-0.15182470000000001</v>
      </c>
      <c r="W2512">
        <v>0.38201990000000002</v>
      </c>
      <c r="X2512">
        <v>0.91159749999999995</v>
      </c>
      <c r="Y2512">
        <v>-8.8494729999999994E-2</v>
      </c>
      <c r="Z2512">
        <v>1.4304529999999999E-2</v>
      </c>
      <c r="AA2512">
        <v>0.99597389999999997</v>
      </c>
      <c r="AB2512">
        <v>25</v>
      </c>
      <c r="AC2512">
        <v>9.9193000000000193</v>
      </c>
      <c r="AD2512">
        <v>-1.113181983874</v>
      </c>
      <c r="AE2512">
        <v>4.9999999999954499E-3</v>
      </c>
      <c r="AF2512">
        <v>-0.91178464803904002</v>
      </c>
      <c r="AG2512">
        <v>-1.113181983874</v>
      </c>
      <c r="AH2512">
        <v>9.7534036703486802</v>
      </c>
      <c r="AI2512">
        <v>96.483120922571601</v>
      </c>
      <c r="AJ2512">
        <v>95.340701980825699</v>
      </c>
      <c r="AK2512">
        <v>9.8589760386356797</v>
      </c>
      <c r="AL2512">
        <v>67.541143197644303</v>
      </c>
      <c r="AM2512">
        <v>99.455704268494799</v>
      </c>
      <c r="AN2512">
        <v>0.99999997276617403</v>
      </c>
    </row>
    <row r="2513" spans="1:40" x14ac:dyDescent="0.25">
      <c r="A2513" t="str">
        <f>"20190304164650434"</f>
        <v>20190304164650434</v>
      </c>
      <c r="B2513" t="str">
        <f>"1551689210430965"</f>
        <v>1551689210430965</v>
      </c>
      <c r="C2513" t="s">
        <v>40</v>
      </c>
      <c r="D2513">
        <v>4.3690680000000004</v>
      </c>
      <c r="E2513">
        <v>0.5373059</v>
      </c>
      <c r="F2513" t="s">
        <v>49</v>
      </c>
      <c r="G2513">
        <v>-455.7242</v>
      </c>
      <c r="H2513" s="1">
        <v>1.541624E-6</v>
      </c>
      <c r="I2513">
        <v>213.8784</v>
      </c>
      <c r="J2513">
        <v>-466.28660000000002</v>
      </c>
      <c r="K2513">
        <v>1.113016</v>
      </c>
      <c r="L2513">
        <v>213.875</v>
      </c>
      <c r="M2513">
        <v>0.99606850000000002</v>
      </c>
      <c r="N2513">
        <v>-6.377153E-3</v>
      </c>
      <c r="O2513">
        <v>-8.8357279999999996E-2</v>
      </c>
      <c r="P2513">
        <v>0.9228904</v>
      </c>
      <c r="Q2513">
        <v>0.37945790000000001</v>
      </c>
      <c r="R2513">
        <v>6.5459649999999994E-2</v>
      </c>
      <c r="S2513">
        <v>3.389923</v>
      </c>
      <c r="T2513">
        <v>-0.34899809999999998</v>
      </c>
      <c r="U2513">
        <v>-4.7607420000000001E-3</v>
      </c>
      <c r="V2513">
        <v>-0.14940789999999901</v>
      </c>
      <c r="W2513">
        <v>0.3842525</v>
      </c>
      <c r="X2513">
        <v>0.91105829999999999</v>
      </c>
      <c r="Y2513">
        <v>-8.6066920000000005E-2</v>
      </c>
      <c r="Z2513">
        <v>1.319474E-2</v>
      </c>
      <c r="AA2513">
        <v>0.99620200000000003</v>
      </c>
      <c r="AB2513">
        <v>25</v>
      </c>
      <c r="AC2513">
        <v>10.5624</v>
      </c>
      <c r="AD2513">
        <v>-1.113014458376</v>
      </c>
      <c r="AE2513">
        <v>3.3999999999991802E-3</v>
      </c>
      <c r="AF2513">
        <v>-0.92638405606929297</v>
      </c>
      <c r="AG2513">
        <v>-1.113014458376</v>
      </c>
      <c r="AH2513">
        <v>10.4052476946885</v>
      </c>
      <c r="AI2513">
        <v>96.081647924601597</v>
      </c>
      <c r="AJ2513">
        <v>95.087655966983206</v>
      </c>
      <c r="AK2513">
        <v>10.5055303622289</v>
      </c>
      <c r="AL2513">
        <v>67.402656780776894</v>
      </c>
      <c r="AM2513">
        <v>99.313252205242705</v>
      </c>
      <c r="AN2513">
        <v>0.99999996516877399</v>
      </c>
    </row>
    <row r="2514" spans="1:40" x14ac:dyDescent="0.25">
      <c r="A2514" t="str">
        <f>"20190304164650457"</f>
        <v>20190304164650457</v>
      </c>
      <c r="B2514" t="str">
        <f>"1551689210451459"</f>
        <v>1551689210451459</v>
      </c>
      <c r="C2514" t="s">
        <v>40</v>
      </c>
      <c r="D2514">
        <v>4.9356010000000001</v>
      </c>
      <c r="E2514">
        <v>0.53783519999999996</v>
      </c>
      <c r="F2514" t="s">
        <v>49</v>
      </c>
      <c r="G2514">
        <v>-455.27530000000002</v>
      </c>
      <c r="H2514" s="1">
        <v>1.302723E-6</v>
      </c>
      <c r="I2514">
        <v>213.8784</v>
      </c>
      <c r="J2514">
        <v>-466.02480000000003</v>
      </c>
      <c r="K2514">
        <v>1.112833</v>
      </c>
      <c r="L2514">
        <v>213.85640000000001</v>
      </c>
      <c r="M2514">
        <v>0.99642059999999999</v>
      </c>
      <c r="N2514">
        <v>-6.3434190000000003E-3</v>
      </c>
      <c r="O2514">
        <v>-8.4295850000000005E-2</v>
      </c>
      <c r="P2514">
        <v>0.92267849999999996</v>
      </c>
      <c r="Q2514">
        <v>0.37988959999999999</v>
      </c>
      <c r="R2514">
        <v>6.5941940000000004E-2</v>
      </c>
      <c r="S2514">
        <v>3.3915709999999999</v>
      </c>
      <c r="T2514">
        <v>-0.34281919999999999</v>
      </c>
      <c r="U2514">
        <v>1.037598E-3</v>
      </c>
      <c r="V2514">
        <v>-0.14597560000000001</v>
      </c>
      <c r="W2514">
        <v>0.38474380000000002</v>
      </c>
      <c r="X2514">
        <v>0.91140739999999998</v>
      </c>
      <c r="Y2514">
        <v>-8.3772089999999994E-2</v>
      </c>
      <c r="Z2514">
        <v>1.244695E-2</v>
      </c>
      <c r="AA2514">
        <v>0.99640720000000005</v>
      </c>
      <c r="AB2514">
        <v>26</v>
      </c>
      <c r="AC2514">
        <v>10.749499999999999</v>
      </c>
      <c r="AD2514">
        <v>-1.112831697277</v>
      </c>
      <c r="AE2514">
        <v>2.1999999999991301E-2</v>
      </c>
      <c r="AF2514">
        <v>-0.91823723020088599</v>
      </c>
      <c r="AG2514">
        <v>-1.112831697277</v>
      </c>
      <c r="AH2514">
        <v>10.595826571316</v>
      </c>
      <c r="AI2514">
        <v>95.973311456659999</v>
      </c>
      <c r="AJ2514">
        <v>94.952893915431304</v>
      </c>
      <c r="AK2514">
        <v>10.6936006436933</v>
      </c>
      <c r="AL2514">
        <v>67.372165410726694</v>
      </c>
      <c r="AM2514">
        <v>99.099496581125393</v>
      </c>
      <c r="AN2514">
        <v>1.0000000581042701</v>
      </c>
    </row>
    <row r="2515" spans="1:40" x14ac:dyDescent="0.25">
      <c r="A2515" t="str">
        <f>"20190304164650478"</f>
        <v>20190304164650478</v>
      </c>
      <c r="B2515" t="str">
        <f>"1551689210471312"</f>
        <v>1551689210471312</v>
      </c>
      <c r="C2515" t="s">
        <v>40</v>
      </c>
      <c r="D2515">
        <v>4.6437939999999998</v>
      </c>
      <c r="E2515">
        <v>0.53795499999999996</v>
      </c>
      <c r="F2515" t="s">
        <v>49</v>
      </c>
      <c r="G2515">
        <v>-455.01740000000001</v>
      </c>
      <c r="H2515" s="1">
        <v>1.1659459999999999E-6</v>
      </c>
      <c r="I2515">
        <v>213.86760000000001</v>
      </c>
      <c r="J2515">
        <v>-465.78440000000001</v>
      </c>
      <c r="K2515">
        <v>1.112671</v>
      </c>
      <c r="L2515">
        <v>213.8399</v>
      </c>
      <c r="M2515">
        <v>0.99670899999999996</v>
      </c>
      <c r="N2515">
        <v>-6.3162619999999996E-3</v>
      </c>
      <c r="O2515">
        <v>-8.0816520000000003E-2</v>
      </c>
      <c r="P2515">
        <v>0.92280399999999996</v>
      </c>
      <c r="Q2515">
        <v>0.37950210000000001</v>
      </c>
      <c r="R2515">
        <v>6.6415500000000002E-2</v>
      </c>
      <c r="S2515">
        <v>3.3923339999999902</v>
      </c>
      <c r="T2515">
        <v>-0.3429604</v>
      </c>
      <c r="U2515">
        <v>3.4637449999999998E-3</v>
      </c>
      <c r="V2515">
        <v>-0.1431192</v>
      </c>
      <c r="W2515">
        <v>0.38440659999999999</v>
      </c>
      <c r="X2515">
        <v>0.91200239999999999</v>
      </c>
      <c r="Y2515">
        <v>-8.1035389999999999E-2</v>
      </c>
      <c r="Z2515">
        <v>1.197588E-2</v>
      </c>
      <c r="AA2515">
        <v>0.99663930000000001</v>
      </c>
      <c r="AB2515">
        <v>26</v>
      </c>
      <c r="AC2515">
        <v>10.7669999999999</v>
      </c>
      <c r="AD2515">
        <v>-1.112669834054</v>
      </c>
      <c r="AE2515">
        <v>2.7700000000010001E-2</v>
      </c>
      <c r="AF2515">
        <v>-0.88829192058995399</v>
      </c>
      <c r="AG2515">
        <v>-1.112669834054</v>
      </c>
      <c r="AH2515">
        <v>10.6161684187921</v>
      </c>
      <c r="AI2515">
        <v>95.962582236408394</v>
      </c>
      <c r="AJ2515">
        <v>94.782996589746602</v>
      </c>
      <c r="AK2515">
        <v>10.7112150847585</v>
      </c>
      <c r="AL2515">
        <v>67.393092803396598</v>
      </c>
      <c r="AM2515">
        <v>98.918605845988395</v>
      </c>
      <c r="AN2515">
        <v>0.99999995856897905</v>
      </c>
    </row>
    <row r="2516" spans="1:40" x14ac:dyDescent="0.25">
      <c r="A2516" t="str">
        <f>"20190304164650502"</f>
        <v>20190304164650502</v>
      </c>
      <c r="B2516" t="str">
        <f>"1551689210490832"</f>
        <v>1551689210490832</v>
      </c>
      <c r="C2516" t="s">
        <v>40</v>
      </c>
      <c r="D2516">
        <v>4.6178660000000002</v>
      </c>
      <c r="E2516">
        <v>0.50690820000000003</v>
      </c>
      <c r="F2516" t="s">
        <v>41</v>
      </c>
      <c r="G2516">
        <v>-464.94740000000002</v>
      </c>
      <c r="H2516">
        <v>0.86275970000000002</v>
      </c>
      <c r="I2516">
        <v>213.85419999999999</v>
      </c>
      <c r="J2516">
        <v>-465.51409999999998</v>
      </c>
      <c r="K2516">
        <v>1.1124940000000001</v>
      </c>
      <c r="L2516">
        <v>213.82210000000001</v>
      </c>
      <c r="M2516">
        <v>0.99699570000000004</v>
      </c>
      <c r="N2516">
        <v>-6.2896280000000002E-3</v>
      </c>
      <c r="O2516">
        <v>-7.7201140000000001E-2</v>
      </c>
      <c r="P2516">
        <v>0.92274979999999995</v>
      </c>
      <c r="Q2516">
        <v>0.37938110000000003</v>
      </c>
      <c r="R2516">
        <v>6.784461E-2</v>
      </c>
      <c r="S2516">
        <v>3.700958</v>
      </c>
      <c r="T2516">
        <v>-1.105518</v>
      </c>
      <c r="U2516">
        <v>6.4834589999999998E-2</v>
      </c>
      <c r="V2516">
        <v>-0.1410662</v>
      </c>
      <c r="W2516">
        <v>0.38433220000000001</v>
      </c>
      <c r="X2516">
        <v>0.91235359999999999</v>
      </c>
      <c r="Y2516">
        <v>-8.7523530000000002E-2</v>
      </c>
      <c r="Z2516">
        <v>3.5150630000000002E-2</v>
      </c>
      <c r="AA2516">
        <v>0.99554209999999999</v>
      </c>
      <c r="AB2516">
        <v>26</v>
      </c>
      <c r="AC2516">
        <v>0.56669999999996801</v>
      </c>
      <c r="AD2516">
        <v>-0.24973429999999999</v>
      </c>
      <c r="AE2516">
        <v>3.2099999999985501E-2</v>
      </c>
      <c r="AF2516">
        <v>-6.3468720404372E-2</v>
      </c>
      <c r="AG2516">
        <v>-0.24973429999999999</v>
      </c>
      <c r="AH2516">
        <v>0.471297103052502</v>
      </c>
      <c r="AI2516">
        <v>117.706061028023</v>
      </c>
      <c r="AJ2516">
        <v>97.669775030615995</v>
      </c>
      <c r="AK2516">
        <v>0.537137280787639</v>
      </c>
      <c r="AL2516">
        <v>67.397711368936001</v>
      </c>
      <c r="AM2516">
        <v>98.789352807301597</v>
      </c>
      <c r="AN2516">
        <v>1.0000000020861199</v>
      </c>
    </row>
    <row r="2517" spans="1:40" x14ac:dyDescent="0.25">
      <c r="A2517" t="str">
        <f>"20190304164650524"</f>
        <v>20190304164650524</v>
      </c>
      <c r="B2517" t="str">
        <f>"1551689210511328"</f>
        <v>1551689210511328</v>
      </c>
      <c r="C2517" t="s">
        <v>40</v>
      </c>
      <c r="D2517">
        <v>4.55654</v>
      </c>
      <c r="E2517">
        <v>0.50512590000000002</v>
      </c>
      <c r="F2517" t="s">
        <v>49</v>
      </c>
      <c r="G2517">
        <v>-462.7638</v>
      </c>
      <c r="H2517" s="1">
        <v>-4.2198820000000002E-8</v>
      </c>
      <c r="I2517">
        <v>214.07149999999999</v>
      </c>
      <c r="J2517">
        <v>-465.26799999999997</v>
      </c>
      <c r="K2517">
        <v>1.1123240000000001</v>
      </c>
      <c r="L2517">
        <v>213.8064</v>
      </c>
      <c r="M2517">
        <v>0.99722489999999997</v>
      </c>
      <c r="N2517">
        <v>-6.2683629999999999E-3</v>
      </c>
      <c r="O2517">
        <v>-7.4185570000000006E-2</v>
      </c>
      <c r="P2517">
        <v>0.92296920000000005</v>
      </c>
      <c r="Q2517">
        <v>0.3787278</v>
      </c>
      <c r="R2517">
        <v>6.8508449999999999E-2</v>
      </c>
      <c r="S2517">
        <v>3.868805</v>
      </c>
      <c r="T2517">
        <v>-1.5649500000000001</v>
      </c>
      <c r="U2517">
        <v>0.35090640000000001</v>
      </c>
      <c r="V2517">
        <v>-0.13882510000000001</v>
      </c>
      <c r="W2517">
        <v>0.38372869999999998</v>
      </c>
      <c r="X2517">
        <v>0.91295119999999996</v>
      </c>
      <c r="Y2517">
        <v>-0.1466809</v>
      </c>
      <c r="Z2517">
        <v>5.734442E-2</v>
      </c>
      <c r="AA2517">
        <v>0.98752030000000002</v>
      </c>
      <c r="AB2517">
        <v>26</v>
      </c>
      <c r="AC2517">
        <v>2.50420000000002</v>
      </c>
      <c r="AD2517">
        <v>-1.1123240421988201</v>
      </c>
      <c r="AE2517">
        <v>0.26509999999998901</v>
      </c>
      <c r="AF2517">
        <v>-0.37665799576652598</v>
      </c>
      <c r="AG2517">
        <v>-1.1123240421988201</v>
      </c>
      <c r="AH2517">
        <v>2.07313765889739</v>
      </c>
      <c r="AI2517">
        <v>117.829539352572</v>
      </c>
      <c r="AJ2517">
        <v>100.297459194296</v>
      </c>
      <c r="AK2517">
        <v>2.3826530954729801</v>
      </c>
      <c r="AL2517">
        <v>67.435161148714698</v>
      </c>
      <c r="AM2517">
        <v>98.646269429613994</v>
      </c>
      <c r="AN2517">
        <v>1.00000000858757</v>
      </c>
    </row>
    <row r="2518" spans="1:40" x14ac:dyDescent="0.25">
      <c r="A2518" t="str">
        <f>"20190304164650545"</f>
        <v>20190304164650545</v>
      </c>
      <c r="B2518" t="str">
        <f>"1551689210540607"</f>
        <v>1551689210540607</v>
      </c>
      <c r="C2518" t="s">
        <v>40</v>
      </c>
      <c r="D2518">
        <v>4.553515</v>
      </c>
      <c r="E2518">
        <v>0.50517670000000003</v>
      </c>
      <c r="F2518" t="s">
        <v>49</v>
      </c>
      <c r="G2518">
        <v>-462.55329999999998</v>
      </c>
      <c r="H2518" s="1">
        <v>-1.5401909999999999E-7</v>
      </c>
      <c r="I2518">
        <v>214.066</v>
      </c>
      <c r="J2518">
        <v>-465.00920000000002</v>
      </c>
      <c r="K2518">
        <v>1.112136</v>
      </c>
      <c r="L2518">
        <v>213.79040000000001</v>
      </c>
      <c r="M2518">
        <v>0.99743499999999996</v>
      </c>
      <c r="N2518">
        <v>-6.2486719999999898E-3</v>
      </c>
      <c r="O2518">
        <v>-7.1305889999999997E-2</v>
      </c>
      <c r="P2518">
        <v>0.92346150000000005</v>
      </c>
      <c r="Q2518">
        <v>0.37753150000000002</v>
      </c>
      <c r="R2518">
        <v>6.8476860000000001E-2</v>
      </c>
      <c r="S2518">
        <v>3.874298</v>
      </c>
      <c r="T2518">
        <v>-1.587431</v>
      </c>
      <c r="U2518">
        <v>0.3705292</v>
      </c>
      <c r="V2518">
        <v>-0.13601009999999999</v>
      </c>
      <c r="W2518">
        <v>0.38259399999999999</v>
      </c>
      <c r="X2518">
        <v>0.91385070000000002</v>
      </c>
      <c r="Y2518">
        <v>-0.14832999999999999</v>
      </c>
      <c r="Z2518">
        <v>5.7236309999999999E-2</v>
      </c>
      <c r="AA2518">
        <v>0.98728020000000005</v>
      </c>
      <c r="AB2518">
        <v>26</v>
      </c>
      <c r="AC2518">
        <v>2.4559000000000402</v>
      </c>
      <c r="AD2518">
        <v>-1.1121361540190999</v>
      </c>
      <c r="AE2518">
        <v>0.27559999999996798</v>
      </c>
      <c r="AF2518">
        <v>-0.374233637751552</v>
      </c>
      <c r="AG2518">
        <v>-1.1121361540190999</v>
      </c>
      <c r="AH2518">
        <v>2.02075962116986</v>
      </c>
      <c r="AI2518">
        <v>118.420202092243</v>
      </c>
      <c r="AJ2518">
        <v>100.49199493680899</v>
      </c>
      <c r="AK2518">
        <v>2.33674283720989</v>
      </c>
      <c r="AL2518">
        <v>67.505546385398105</v>
      </c>
      <c r="AM2518">
        <v>98.465297737880306</v>
      </c>
      <c r="AN2518">
        <v>1.00000000901424</v>
      </c>
    </row>
    <row r="2519" spans="1:40" x14ac:dyDescent="0.25">
      <c r="A2519" t="str">
        <f>"20190304164650570"</f>
        <v>20190304164650570</v>
      </c>
      <c r="B2519" t="str">
        <f>"1551689210561104"</f>
        <v>1551689210561104</v>
      </c>
      <c r="C2519" t="s">
        <v>40</v>
      </c>
      <c r="D2519">
        <v>4.5748829999999998</v>
      </c>
      <c r="E2519">
        <v>0.50601109999999905</v>
      </c>
      <c r="F2519" t="s">
        <v>49</v>
      </c>
      <c r="G2519">
        <v>-462.31099999999998</v>
      </c>
      <c r="H2519" s="1">
        <v>-2.8219620000000001E-7</v>
      </c>
      <c r="I2519">
        <v>214.04949999999999</v>
      </c>
      <c r="J2519">
        <v>-464.72089999999997</v>
      </c>
      <c r="K2519">
        <v>1.111907</v>
      </c>
      <c r="L2519">
        <v>213.7731</v>
      </c>
      <c r="M2519">
        <v>0.99763520000000006</v>
      </c>
      <c r="N2519">
        <v>-6.2297979999999999E-3</v>
      </c>
      <c r="O2519">
        <v>-6.8449029999999994E-2</v>
      </c>
      <c r="P2519">
        <v>0.92372430000000005</v>
      </c>
      <c r="Q2519">
        <v>0.37671660000000001</v>
      </c>
      <c r="R2519">
        <v>6.9412589999999996E-2</v>
      </c>
      <c r="S2519">
        <v>3.873901</v>
      </c>
      <c r="T2519">
        <v>-1.596778</v>
      </c>
      <c r="U2519">
        <v>0.3719788</v>
      </c>
      <c r="V2519">
        <v>-0.1341292</v>
      </c>
      <c r="W2519">
        <v>0.3818454</v>
      </c>
      <c r="X2519">
        <v>0.91444159999999997</v>
      </c>
      <c r="Y2519">
        <v>-0.14608759999999901</v>
      </c>
      <c r="Z2519">
        <v>5.5990579999999998E-2</v>
      </c>
      <c r="AA2519">
        <v>0.98768590000000001</v>
      </c>
      <c r="AB2519">
        <v>26</v>
      </c>
      <c r="AC2519">
        <v>2.4098999999999902</v>
      </c>
      <c r="AD2519">
        <v>-1.1119072821961999</v>
      </c>
      <c r="AE2519">
        <v>0.27639999999999498</v>
      </c>
      <c r="AF2519">
        <v>-0.36418779112277</v>
      </c>
      <c r="AG2519">
        <v>-1.1119072821961999</v>
      </c>
      <c r="AH2519">
        <v>1.9711530960713399</v>
      </c>
      <c r="AI2519">
        <v>119.017202889995</v>
      </c>
      <c r="AJ2519">
        <v>100.467852638102</v>
      </c>
      <c r="AK2519">
        <v>2.2922510943514598</v>
      </c>
      <c r="AL2519">
        <v>67.551961986103507</v>
      </c>
      <c r="AM2519">
        <v>98.3445723433816</v>
      </c>
      <c r="AN2519">
        <v>0.99999999580217902</v>
      </c>
    </row>
    <row r="2520" spans="1:40" x14ac:dyDescent="0.25">
      <c r="A2520" t="str">
        <f>"20190304164650591"</f>
        <v>20190304164650591</v>
      </c>
      <c r="B2520" t="str">
        <f>"1551689210581130"</f>
        <v>1551689210581130</v>
      </c>
      <c r="C2520" t="s">
        <v>40</v>
      </c>
      <c r="D2520">
        <v>4.5743140000000002</v>
      </c>
      <c r="E2520">
        <v>0.50687700000000002</v>
      </c>
      <c r="F2520" t="s">
        <v>49</v>
      </c>
      <c r="G2520">
        <v>-462.02109999999999</v>
      </c>
      <c r="H2520" s="1">
        <v>-4.3567640000000001E-7</v>
      </c>
      <c r="I2520">
        <v>214.03049999999999</v>
      </c>
      <c r="J2520">
        <v>-464.46899999999999</v>
      </c>
      <c r="K2520">
        <v>1.111704</v>
      </c>
      <c r="L2520">
        <v>213.75819999999999</v>
      </c>
      <c r="M2520">
        <v>0.99778250000000002</v>
      </c>
      <c r="N2520">
        <v>-6.2160560000000002E-3</v>
      </c>
      <c r="O2520">
        <v>-6.6268060000000004E-2</v>
      </c>
      <c r="P2520">
        <v>0.92403840000000004</v>
      </c>
      <c r="Q2520">
        <v>0.37592979999999998</v>
      </c>
      <c r="R2520">
        <v>6.949922E-2</v>
      </c>
      <c r="S2520">
        <v>3.8699650000000001</v>
      </c>
      <c r="T2520">
        <v>-1.5938190000000001</v>
      </c>
      <c r="U2520">
        <v>0.36898799999999998</v>
      </c>
      <c r="V2520">
        <v>-0.13204260000000001</v>
      </c>
      <c r="W2520">
        <v>0.38112249999999998</v>
      </c>
      <c r="X2520">
        <v>0.91504660000000004</v>
      </c>
      <c r="Y2520">
        <v>-0.14366709999999999</v>
      </c>
      <c r="Z2520">
        <v>5.4614570000000001E-2</v>
      </c>
      <c r="AA2520">
        <v>0.98811789999999999</v>
      </c>
      <c r="AB2520">
        <v>26</v>
      </c>
      <c r="AC2520">
        <v>2.4479000000000002</v>
      </c>
      <c r="AD2520">
        <v>-1.1117044356763901</v>
      </c>
      <c r="AE2520">
        <v>0.27230000000000099</v>
      </c>
      <c r="AF2520">
        <v>-0.36048193439169202</v>
      </c>
      <c r="AG2520">
        <v>-1.1117044356763901</v>
      </c>
      <c r="AH2520">
        <v>2.0141378626920998</v>
      </c>
      <c r="AI2520">
        <v>118.51599632282699</v>
      </c>
      <c r="AJ2520">
        <v>100.147122865136</v>
      </c>
      <c r="AK2520">
        <v>2.3286445214448799</v>
      </c>
      <c r="AL2520">
        <v>67.596768448154705</v>
      </c>
      <c r="AM2520">
        <v>98.211186548131906</v>
      </c>
      <c r="AN2520">
        <v>0.99999994419628302</v>
      </c>
    </row>
    <row r="2521" spans="1:40" x14ac:dyDescent="0.25">
      <c r="A2521" t="str">
        <f>"20190304164650635"</f>
        <v>20190304164650635</v>
      </c>
      <c r="B2521" t="str">
        <f>"1551689210630906"</f>
        <v>1551689210630906</v>
      </c>
      <c r="C2521" t="s">
        <v>40</v>
      </c>
      <c r="D2521">
        <v>4.5957089999999896</v>
      </c>
      <c r="E2521">
        <v>0.52078389999999997</v>
      </c>
      <c r="F2521" t="s">
        <v>49</v>
      </c>
      <c r="G2521">
        <v>-461.76479999999998</v>
      </c>
      <c r="H2521" s="1">
        <v>-5.7118710000000004E-7</v>
      </c>
      <c r="I2521">
        <v>214.0112</v>
      </c>
      <c r="J2521">
        <v>-463.95920000000001</v>
      </c>
      <c r="K2521">
        <v>1.1112820000000001</v>
      </c>
      <c r="L2521">
        <v>213.72890000000001</v>
      </c>
      <c r="M2521">
        <v>0.99801110000000004</v>
      </c>
      <c r="N2521">
        <v>-6.1955259999999998E-3</v>
      </c>
      <c r="O2521">
        <v>-6.2733960000000005E-2</v>
      </c>
      <c r="P2521">
        <v>0.925763</v>
      </c>
      <c r="Q2521">
        <v>0.37172500000000003</v>
      </c>
      <c r="R2521">
        <v>6.9164899999999904E-2</v>
      </c>
      <c r="S2521">
        <v>3.866028</v>
      </c>
      <c r="T2521">
        <v>-1.589353</v>
      </c>
      <c r="U2521">
        <v>0.36164859999999999</v>
      </c>
      <c r="V2521">
        <v>-0.128183399999999</v>
      </c>
      <c r="W2521">
        <v>0.37705070000000002</v>
      </c>
      <c r="X2521">
        <v>0.91727959999999997</v>
      </c>
      <c r="Y2521">
        <v>-0.13911119999999999</v>
      </c>
      <c r="Z2521">
        <v>5.2242570000000002E-2</v>
      </c>
      <c r="AA2521">
        <v>0.98889769999999999</v>
      </c>
      <c r="AB2521">
        <v>26</v>
      </c>
      <c r="AC2521">
        <v>2.1944000000000301</v>
      </c>
      <c r="AD2521">
        <v>-1.1112825711870999</v>
      </c>
      <c r="AE2521">
        <v>0.282299999999992</v>
      </c>
      <c r="AF2521">
        <v>-0.334916155360933</v>
      </c>
      <c r="AG2521">
        <v>-1.1112825711870999</v>
      </c>
      <c r="AH2521">
        <v>1.73472492783989</v>
      </c>
      <c r="AI2521">
        <v>122.169678990409</v>
      </c>
      <c r="AJ2521">
        <v>100.92741160894801</v>
      </c>
      <c r="AK2521">
        <v>2.0871962915392199</v>
      </c>
      <c r="AL2521">
        <v>67.848885470294903</v>
      </c>
      <c r="AM2521">
        <v>97.955167739373806</v>
      </c>
      <c r="AN2521">
        <v>1.0000000394910999</v>
      </c>
    </row>
    <row r="2522" spans="1:40" x14ac:dyDescent="0.25">
      <c r="A2522" t="str">
        <f>"20190304164650659"</f>
        <v>20190304164650659</v>
      </c>
      <c r="B2522" t="str">
        <f>"1551689210651402"</f>
        <v>1551689210651402</v>
      </c>
      <c r="C2522" t="s">
        <v>40</v>
      </c>
      <c r="D2522">
        <v>4.6130820000000003</v>
      </c>
      <c r="E2522">
        <v>0.52135039999999999</v>
      </c>
      <c r="F2522" t="s">
        <v>49</v>
      </c>
      <c r="G2522">
        <v>-461.00479999999999</v>
      </c>
      <c r="H2522" s="1">
        <v>-9.7149630000000006E-7</v>
      </c>
      <c r="I2522">
        <v>213.91640000000001</v>
      </c>
      <c r="J2522">
        <v>-463.67649999999998</v>
      </c>
      <c r="K2522">
        <v>1.1111040000000001</v>
      </c>
      <c r="L2522">
        <v>213.71289999999999</v>
      </c>
      <c r="M2522">
        <v>0.99810620000000005</v>
      </c>
      <c r="N2522">
        <v>-6.1878499999999999E-3</v>
      </c>
      <c r="O2522">
        <v>-6.1203309999999997E-2</v>
      </c>
      <c r="P2522">
        <v>0.92645619999999995</v>
      </c>
      <c r="Q2522">
        <v>0.36998829999999999</v>
      </c>
      <c r="R2522">
        <v>6.9192130000000004E-2</v>
      </c>
      <c r="S2522">
        <v>3.7958980000000002</v>
      </c>
      <c r="T2522">
        <v>-1.4278040000000001</v>
      </c>
      <c r="U2522">
        <v>0.24089050000000001</v>
      </c>
      <c r="V2522">
        <v>-0.12667819999999999</v>
      </c>
      <c r="W2522">
        <v>0.3753705</v>
      </c>
      <c r="X2522">
        <v>0.91817740000000003</v>
      </c>
      <c r="Y2522">
        <v>-0.1124568</v>
      </c>
      <c r="Z2522">
        <v>4.2665149999999999E-2</v>
      </c>
      <c r="AA2522">
        <v>0.99274019999999996</v>
      </c>
      <c r="AB2522">
        <v>27</v>
      </c>
      <c r="AC2522">
        <v>2.67169999999998</v>
      </c>
      <c r="AD2522">
        <v>-1.1111049714962999</v>
      </c>
      <c r="AE2522">
        <v>0.203500000000019</v>
      </c>
      <c r="AF2522">
        <v>-0.31284268257908399</v>
      </c>
      <c r="AG2522">
        <v>-1.1111049714962999</v>
      </c>
      <c r="AH2522">
        <v>2.2647876980846098</v>
      </c>
      <c r="AI2522">
        <v>115.919078189421</v>
      </c>
      <c r="AJ2522">
        <v>97.864687673996997</v>
      </c>
      <c r="AK2522">
        <v>2.54198507452787</v>
      </c>
      <c r="AL2522">
        <v>67.952787505957303</v>
      </c>
      <c r="AM2522">
        <v>97.855336634492105</v>
      </c>
      <c r="AN2522">
        <v>1.0000000582481201</v>
      </c>
    </row>
    <row r="2523" spans="1:40" x14ac:dyDescent="0.25">
      <c r="A2523" t="str">
        <f>"20190304164650684"</f>
        <v>20190304164650684</v>
      </c>
      <c r="B2523" t="str">
        <f>"1551689210671429"</f>
        <v>1551689210671429</v>
      </c>
      <c r="C2523" t="s">
        <v>40</v>
      </c>
      <c r="D2523">
        <v>4.655951</v>
      </c>
      <c r="E2523">
        <v>0.52195459999999905</v>
      </c>
      <c r="F2523" t="s">
        <v>49</v>
      </c>
      <c r="G2523">
        <v>-460.72550000000001</v>
      </c>
      <c r="H2523" s="1">
        <v>-1.119329E-6</v>
      </c>
      <c r="I2523">
        <v>213.89779999999999</v>
      </c>
      <c r="J2523">
        <v>-463.3929</v>
      </c>
      <c r="K2523">
        <v>1.110976</v>
      </c>
      <c r="L2523">
        <v>213.69710000000001</v>
      </c>
      <c r="M2523">
        <v>0.99818739999999995</v>
      </c>
      <c r="N2523">
        <v>-6.1824319999999999E-3</v>
      </c>
      <c r="O2523">
        <v>-5.986445E-2</v>
      </c>
      <c r="P2523">
        <v>0.92677520000000002</v>
      </c>
      <c r="Q2523">
        <v>0.36925330000000001</v>
      </c>
      <c r="R2523">
        <v>6.8847610000000004E-2</v>
      </c>
      <c r="S2523">
        <v>3.7903440000000002</v>
      </c>
      <c r="T2523">
        <v>-1.4271370000000001</v>
      </c>
      <c r="U2523">
        <v>0.23750309999999999</v>
      </c>
      <c r="V2523">
        <v>-0.12500310000000001</v>
      </c>
      <c r="W2523">
        <v>0.37467519999999999</v>
      </c>
      <c r="X2523">
        <v>0.91869080000000003</v>
      </c>
      <c r="Y2523">
        <v>-0.1105327</v>
      </c>
      <c r="Z2523">
        <v>4.1871070000000003E-2</v>
      </c>
      <c r="AA2523">
        <v>0.99299009999999999</v>
      </c>
      <c r="AB2523">
        <v>27</v>
      </c>
      <c r="AC2523">
        <v>2.6673999999999798</v>
      </c>
      <c r="AD2523">
        <v>-1.1109771193289999</v>
      </c>
      <c r="AE2523">
        <v>0.200699999999983</v>
      </c>
      <c r="AF2523">
        <v>-0.30705872761775699</v>
      </c>
      <c r="AG2523">
        <v>-1.1109771193289999</v>
      </c>
      <c r="AH2523">
        <v>2.26064568094192</v>
      </c>
      <c r="AI2523">
        <v>115.964730125923</v>
      </c>
      <c r="AJ2523">
        <v>97.735028096489202</v>
      </c>
      <c r="AK2523">
        <v>2.5375330769548898</v>
      </c>
      <c r="AL2523">
        <v>67.995761129197604</v>
      </c>
      <c r="AM2523">
        <v>97.748455056990394</v>
      </c>
      <c r="AN2523">
        <v>1.0000000332546399</v>
      </c>
    </row>
    <row r="2524" spans="1:40" x14ac:dyDescent="0.25">
      <c r="A2524" t="str">
        <f>"20190304164650703"</f>
        <v>20190304164650703</v>
      </c>
      <c r="B2524" t="str">
        <f>"1551689210690949"</f>
        <v>1551689210690949</v>
      </c>
      <c r="C2524" t="s">
        <v>40</v>
      </c>
      <c r="D2524">
        <v>4.6606379999999996</v>
      </c>
      <c r="E2524">
        <v>0.52205590000000002</v>
      </c>
      <c r="F2524" t="s">
        <v>49</v>
      </c>
      <c r="G2524">
        <v>-460.44060000000002</v>
      </c>
      <c r="H2524" s="1">
        <v>-1.270202E-6</v>
      </c>
      <c r="I2524">
        <v>213.88120000000001</v>
      </c>
      <c r="J2524">
        <v>-463.13819999999998</v>
      </c>
      <c r="K2524">
        <v>1.1108720000000001</v>
      </c>
      <c r="L2524">
        <v>213.68299999999999</v>
      </c>
      <c r="M2524">
        <v>0.99824840000000004</v>
      </c>
      <c r="N2524">
        <v>-6.1791889999999999E-3</v>
      </c>
      <c r="O2524">
        <v>-5.8840570000000002E-2</v>
      </c>
      <c r="P2524">
        <v>0.92712410000000001</v>
      </c>
      <c r="Q2524">
        <v>0.36863230000000002</v>
      </c>
      <c r="R2524">
        <v>6.7464769999999993E-2</v>
      </c>
      <c r="S2524">
        <v>3.7873230000000002</v>
      </c>
      <c r="T2524">
        <v>-1.425176</v>
      </c>
      <c r="U2524">
        <v>0.23626710000000001</v>
      </c>
      <c r="V2524">
        <v>-0.1226071</v>
      </c>
      <c r="W2524">
        <v>0.3740889</v>
      </c>
      <c r="X2524">
        <v>0.91925239999999997</v>
      </c>
      <c r="Y2524">
        <v>-0.10940030000000001</v>
      </c>
      <c r="Z2524">
        <v>4.1273320000000002E-2</v>
      </c>
      <c r="AA2524">
        <v>0.99314049999999998</v>
      </c>
      <c r="AB2524">
        <v>27</v>
      </c>
      <c r="AC2524">
        <v>2.69759999999996</v>
      </c>
      <c r="AD2524">
        <v>-1.1108732702020001</v>
      </c>
      <c r="AE2524">
        <v>0.198200000000014</v>
      </c>
      <c r="AF2524">
        <v>-0.30512305168391901</v>
      </c>
      <c r="AG2524">
        <v>-1.1108732702020001</v>
      </c>
      <c r="AH2524">
        <v>2.29428780982348</v>
      </c>
      <c r="AI2524">
        <v>115.639372690551</v>
      </c>
      <c r="AJ2524">
        <v>97.575454819462294</v>
      </c>
      <c r="AK2524">
        <v>2.5672740510944299</v>
      </c>
      <c r="AL2524">
        <v>68.031987291957705</v>
      </c>
      <c r="AM2524">
        <v>97.597099893461007</v>
      </c>
      <c r="AN2524">
        <v>0.99999999048968902</v>
      </c>
    </row>
    <row r="2525" spans="1:40" x14ac:dyDescent="0.25">
      <c r="A2525" t="str">
        <f>"20190304164650727"</f>
        <v>20190304164650727</v>
      </c>
      <c r="B2525" t="str">
        <f>"1551689210721205"</f>
        <v>1551689210721205</v>
      </c>
      <c r="C2525" t="s">
        <v>40</v>
      </c>
      <c r="D2525">
        <v>4.3993379999999904</v>
      </c>
      <c r="E2525">
        <v>0.52213240000000005</v>
      </c>
      <c r="F2525" t="s">
        <v>41</v>
      </c>
      <c r="G2525">
        <v>-462.36410000000001</v>
      </c>
      <c r="H2525">
        <v>0.81990949999999996</v>
      </c>
      <c r="I2525">
        <v>213.73079999999999</v>
      </c>
      <c r="J2525">
        <v>-462.85270000000003</v>
      </c>
      <c r="K2525">
        <v>1.1107590000000001</v>
      </c>
      <c r="L2525">
        <v>213.66730000000001</v>
      </c>
      <c r="M2525">
        <v>0.99830399999999997</v>
      </c>
      <c r="N2525">
        <v>-6.1772099999999998E-3</v>
      </c>
      <c r="O2525">
        <v>-5.7888450000000001E-2</v>
      </c>
      <c r="P2525">
        <v>0.92752610000000002</v>
      </c>
      <c r="Q2525">
        <v>0.36774659999999998</v>
      </c>
      <c r="R2525">
        <v>6.6768910000000001E-2</v>
      </c>
      <c r="S2525">
        <v>3.784332</v>
      </c>
      <c r="T2525">
        <v>-1.4224909999999999</v>
      </c>
      <c r="U2525">
        <v>0.23406979999999999</v>
      </c>
      <c r="V2525">
        <v>-0.1209524</v>
      </c>
      <c r="W2525">
        <v>0.3732414</v>
      </c>
      <c r="X2525">
        <v>0.91981599999999997</v>
      </c>
      <c r="Y2525">
        <v>-0.1081043</v>
      </c>
      <c r="Z2525">
        <v>4.065208E-2</v>
      </c>
      <c r="AA2525">
        <v>0.99330810000000003</v>
      </c>
      <c r="AB2525">
        <v>27</v>
      </c>
      <c r="AC2525">
        <v>0.48860000000001902</v>
      </c>
      <c r="AD2525">
        <v>-0.29084949999999998</v>
      </c>
      <c r="AE2525">
        <v>6.3499999999976298E-2</v>
      </c>
      <c r="AF2525">
        <v>-6.7987334836651203E-2</v>
      </c>
      <c r="AG2525">
        <v>-0.29084949999999998</v>
      </c>
      <c r="AH2525">
        <v>0.35900499172125699</v>
      </c>
      <c r="AI2525">
        <v>128.52001194763</v>
      </c>
      <c r="AJ2525">
        <v>100.72351875442899</v>
      </c>
      <c r="AK2525">
        <v>0.46701209130944399</v>
      </c>
      <c r="AL2525">
        <v>68.0843388943468</v>
      </c>
      <c r="AM2525">
        <v>97.491202790803897</v>
      </c>
      <c r="AN2525">
        <v>1.0000000497978501</v>
      </c>
    </row>
    <row r="2526" spans="1:40" x14ac:dyDescent="0.25">
      <c r="A2526" t="str">
        <f>"20190304164650746"</f>
        <v>20190304164650746</v>
      </c>
      <c r="B2526" t="str">
        <f>"1551689210740725"</f>
        <v>1551689210740725</v>
      </c>
      <c r="C2526" t="s">
        <v>40</v>
      </c>
      <c r="D2526">
        <v>4.7059179999999996</v>
      </c>
      <c r="E2526">
        <v>0.5223776</v>
      </c>
      <c r="F2526" t="s">
        <v>41</v>
      </c>
      <c r="G2526">
        <v>-462.1234</v>
      </c>
      <c r="H2526">
        <v>0.83637759999999906</v>
      </c>
      <c r="I2526">
        <v>213.71209999999999</v>
      </c>
      <c r="J2526">
        <v>-462.61649999999997</v>
      </c>
      <c r="K2526">
        <v>1.110652</v>
      </c>
      <c r="L2526">
        <v>213.65440000000001</v>
      </c>
      <c r="M2526">
        <v>0.99834129999999999</v>
      </c>
      <c r="N2526">
        <v>-6.1769499999999996E-3</v>
      </c>
      <c r="O2526">
        <v>-5.7241590000000002E-2</v>
      </c>
      <c r="P2526">
        <v>0.92791670000000004</v>
      </c>
      <c r="Q2526">
        <v>0.36691430000000003</v>
      </c>
      <c r="R2526">
        <v>6.5915539999999995E-2</v>
      </c>
      <c r="S2526">
        <v>3.7817080000000001</v>
      </c>
      <c r="T2526">
        <v>-1.4227190000000001</v>
      </c>
      <c r="U2526">
        <v>0.23347470000000001</v>
      </c>
      <c r="V2526">
        <v>-0.11943289999999999</v>
      </c>
      <c r="W2526">
        <v>0.37244359999999999</v>
      </c>
      <c r="X2526">
        <v>0.92033770000000004</v>
      </c>
      <c r="Y2526">
        <v>-0.10741920000000001</v>
      </c>
      <c r="Z2526">
        <v>4.0326929999999997E-2</v>
      </c>
      <c r="AA2526">
        <v>0.99339560000000005</v>
      </c>
      <c r="AB2526">
        <v>27</v>
      </c>
      <c r="AC2526">
        <v>0.49309999999996901</v>
      </c>
      <c r="AD2526">
        <v>-0.27427439999999997</v>
      </c>
      <c r="AE2526">
        <v>5.7699999999982703E-2</v>
      </c>
      <c r="AF2526">
        <v>-6.5761033788443404E-2</v>
      </c>
      <c r="AG2526">
        <v>-0.27427439999999997</v>
      </c>
      <c r="AH2526">
        <v>0.374644483073376</v>
      </c>
      <c r="AI2526">
        <v>125.794185560164</v>
      </c>
      <c r="AJ2526">
        <v>99.955660930686093</v>
      </c>
      <c r="AK2526">
        <v>0.46894503809892502</v>
      </c>
      <c r="AL2526">
        <v>68.133599675065497</v>
      </c>
      <c r="AM2526">
        <v>97.393994154446304</v>
      </c>
      <c r="AN2526">
        <v>0.99999996741232899</v>
      </c>
    </row>
    <row r="2527" spans="1:40" x14ac:dyDescent="0.25">
      <c r="A2527" t="str">
        <f>"20190304164650771"</f>
        <v>20190304164650771</v>
      </c>
      <c r="B2527" t="str">
        <f>"1551689210761221"</f>
        <v>1551689210761221</v>
      </c>
      <c r="C2527" t="s">
        <v>40</v>
      </c>
      <c r="D2527">
        <v>4.3851620000000002</v>
      </c>
      <c r="E2527">
        <v>0.52253620000000001</v>
      </c>
      <c r="F2527" t="s">
        <v>41</v>
      </c>
      <c r="G2527">
        <v>-461.88200000000001</v>
      </c>
      <c r="H2527">
        <v>0.83411499999999905</v>
      </c>
      <c r="I2527">
        <v>213.69829999999999</v>
      </c>
      <c r="J2527">
        <v>-462.32389999999998</v>
      </c>
      <c r="K2527">
        <v>1.1105160000000001</v>
      </c>
      <c r="L2527">
        <v>213.63849999999999</v>
      </c>
      <c r="M2527">
        <v>0.99837819999999999</v>
      </c>
      <c r="N2527">
        <v>-6.1779110000000003E-3</v>
      </c>
      <c r="O2527">
        <v>-5.6595060000000003E-2</v>
      </c>
      <c r="P2527">
        <v>0.92781499999999995</v>
      </c>
      <c r="Q2527">
        <v>0.36746590000000001</v>
      </c>
      <c r="R2527">
        <v>6.4251539999999996E-2</v>
      </c>
      <c r="S2527">
        <v>3.7796940000000001</v>
      </c>
      <c r="T2527">
        <v>-1.4230700000000001</v>
      </c>
      <c r="U2527">
        <v>0.2265625</v>
      </c>
      <c r="V2527">
        <v>-0.11705119999999999</v>
      </c>
      <c r="W2527">
        <v>0.3730366</v>
      </c>
      <c r="X2527">
        <v>0.92040359999999999</v>
      </c>
      <c r="Y2527">
        <v>-0.1051787</v>
      </c>
      <c r="Z2527">
        <v>3.9712270000000001E-2</v>
      </c>
      <c r="AA2527">
        <v>0.99366010000000005</v>
      </c>
      <c r="AB2527">
        <v>27</v>
      </c>
      <c r="AC2527">
        <v>0.44190000000003199</v>
      </c>
      <c r="AD2527">
        <v>-0.27640100000000001</v>
      </c>
      <c r="AE2527">
        <v>5.97999999999956E-2</v>
      </c>
      <c r="AF2527">
        <v>-6.1200967355151799E-2</v>
      </c>
      <c r="AG2527">
        <v>-0.27640100000000001</v>
      </c>
      <c r="AH2527">
        <v>0.31629049794983899</v>
      </c>
      <c r="AI2527">
        <v>130.62858492494601</v>
      </c>
      <c r="AJ2527">
        <v>100.95117313231999</v>
      </c>
      <c r="AK2527">
        <v>0.42447938736711799</v>
      </c>
      <c r="AL2527">
        <v>68.096986259473596</v>
      </c>
      <c r="AM2527">
        <v>97.247615348839901</v>
      </c>
      <c r="AN2527">
        <v>1.00000003762697</v>
      </c>
    </row>
    <row r="2528" spans="1:40" x14ac:dyDescent="0.25">
      <c r="A2528" t="str">
        <f>"20190304164650795"</f>
        <v>20190304164650795</v>
      </c>
      <c r="B2528" t="str">
        <f>"1551689210781246"</f>
        <v>1551689210781246</v>
      </c>
      <c r="C2528" t="s">
        <v>40</v>
      </c>
      <c r="D2528">
        <v>4.7174389999999997</v>
      </c>
      <c r="E2528">
        <v>0.52271849999999997</v>
      </c>
      <c r="F2528" t="s">
        <v>41</v>
      </c>
      <c r="G2528">
        <v>-461.63290000000001</v>
      </c>
      <c r="H2528">
        <v>0.85129959999999905</v>
      </c>
      <c r="I2528">
        <v>213.678</v>
      </c>
      <c r="J2528">
        <v>-462.0487</v>
      </c>
      <c r="K2528">
        <v>1.110392</v>
      </c>
      <c r="L2528">
        <v>213.62350000000001</v>
      </c>
      <c r="M2528">
        <v>0.9984035</v>
      </c>
      <c r="N2528">
        <v>-6.1800750000000002E-3</v>
      </c>
      <c r="O2528">
        <v>-5.6146059999999998E-2</v>
      </c>
      <c r="P2528">
        <v>0.92737380000000003</v>
      </c>
      <c r="Q2528">
        <v>0.36890699999999998</v>
      </c>
      <c r="R2528">
        <v>6.2333199999999998E-2</v>
      </c>
      <c r="S2528">
        <v>3.779938</v>
      </c>
      <c r="T2528">
        <v>-1.4180250000000001</v>
      </c>
      <c r="U2528">
        <v>0.21817020000000001</v>
      </c>
      <c r="V2528">
        <v>-0.11458749999999999</v>
      </c>
      <c r="W2528">
        <v>0.37451420000000002</v>
      </c>
      <c r="X2528">
        <v>0.92011350000000003</v>
      </c>
      <c r="Y2528">
        <v>-0.102799</v>
      </c>
      <c r="Z2528">
        <v>3.8980880000000002E-2</v>
      </c>
      <c r="AA2528">
        <v>0.99393810000000005</v>
      </c>
      <c r="AB2528">
        <v>27</v>
      </c>
      <c r="AC2528">
        <v>0.41579999999999001</v>
      </c>
      <c r="AD2528">
        <v>-0.2590924</v>
      </c>
      <c r="AE2528">
        <v>5.4499999999990202E-2</v>
      </c>
      <c r="AF2528">
        <v>-5.62777695007768E-2</v>
      </c>
      <c r="AG2528">
        <v>-0.2590924</v>
      </c>
      <c r="AH2528">
        <v>0.29824036647314001</v>
      </c>
      <c r="AI2528">
        <v>130.48643359351999</v>
      </c>
      <c r="AJ2528">
        <v>100.68602586383</v>
      </c>
      <c r="AK2528">
        <v>0.399053098311209</v>
      </c>
      <c r="AL2528">
        <v>68.005709775262901</v>
      </c>
      <c r="AM2528">
        <v>97.098853651088007</v>
      </c>
      <c r="AN2528">
        <v>1.00000001702006</v>
      </c>
    </row>
    <row r="2529" spans="1:40" x14ac:dyDescent="0.25">
      <c r="A2529" t="str">
        <f>"20190304164650819"</f>
        <v>20190304164650819</v>
      </c>
      <c r="B2529" t="str">
        <f>"1551689210811502"</f>
        <v>1551689210811502</v>
      </c>
      <c r="C2529" t="s">
        <v>40</v>
      </c>
      <c r="D2529">
        <v>4.6208010000000002</v>
      </c>
      <c r="E2529">
        <v>0.52305550000000001</v>
      </c>
      <c r="F2529" t="s">
        <v>41</v>
      </c>
      <c r="G2529">
        <v>-461.38440000000003</v>
      </c>
      <c r="H2529">
        <v>0.86336029999999997</v>
      </c>
      <c r="I2529">
        <v>213.65899999999999</v>
      </c>
      <c r="J2529">
        <v>-461.7432</v>
      </c>
      <c r="K2529">
        <v>1.1102609999999999</v>
      </c>
      <c r="L2529">
        <v>213.60669999999999</v>
      </c>
      <c r="M2529">
        <v>0.99841959999999996</v>
      </c>
      <c r="N2529">
        <v>-6.1841269999999898E-3</v>
      </c>
      <c r="O2529">
        <v>-5.5857999999999998E-2</v>
      </c>
      <c r="P2529">
        <v>0.9276221</v>
      </c>
      <c r="Q2529">
        <v>0.36844189999999999</v>
      </c>
      <c r="R2529">
        <v>6.1383420000000001E-2</v>
      </c>
      <c r="S2529">
        <v>3.7804259999999998</v>
      </c>
      <c r="T2529">
        <v>-1.4056230000000001</v>
      </c>
      <c r="U2529">
        <v>0.20298769999999999</v>
      </c>
      <c r="V2529">
        <v>-0.1132674</v>
      </c>
      <c r="W2529">
        <v>0.37409199999999998</v>
      </c>
      <c r="X2529">
        <v>0.92044870000000001</v>
      </c>
      <c r="Y2529">
        <v>-9.8984680000000005E-2</v>
      </c>
      <c r="Z2529">
        <v>3.7859879999999999E-2</v>
      </c>
      <c r="AA2529">
        <v>0.99436849999999999</v>
      </c>
      <c r="AB2529">
        <v>27</v>
      </c>
      <c r="AC2529">
        <v>0.35879999999997297</v>
      </c>
      <c r="AD2529">
        <v>-0.2469007</v>
      </c>
      <c r="AE2529">
        <v>5.2300000000030801E-2</v>
      </c>
      <c r="AF2529">
        <v>-4.9369446029591098E-2</v>
      </c>
      <c r="AG2529">
        <v>-0.2469007</v>
      </c>
      <c r="AH2529">
        <v>0.24275852658677199</v>
      </c>
      <c r="AI2529">
        <v>134.90419645498599</v>
      </c>
      <c r="AJ2529">
        <v>101.495391366017</v>
      </c>
      <c r="AK2529">
        <v>0.34975562910743702</v>
      </c>
      <c r="AL2529">
        <v>68.031797580028595</v>
      </c>
      <c r="AM2529">
        <v>97.0153615894301</v>
      </c>
      <c r="AN2529">
        <v>1.0000000688492201</v>
      </c>
    </row>
    <row r="2530" spans="1:40" x14ac:dyDescent="0.25">
      <c r="A2530" t="str">
        <f>"20190304164650838"</f>
        <v>20190304164650838</v>
      </c>
      <c r="B2530" t="str">
        <f>"1551689210831022"</f>
        <v>1551689210831022</v>
      </c>
      <c r="C2530" t="s">
        <v>40</v>
      </c>
      <c r="D2530">
        <v>4.6365530000000001</v>
      </c>
      <c r="E2530">
        <v>0.52316109999999905</v>
      </c>
      <c r="F2530" t="s">
        <v>49</v>
      </c>
      <c r="G2530">
        <v>-458.74880000000002</v>
      </c>
      <c r="H2530" s="1">
        <v>3.1564669999999999E-6</v>
      </c>
      <c r="I2530">
        <v>213.75630000000001</v>
      </c>
      <c r="J2530">
        <v>-461.48970000000003</v>
      </c>
      <c r="K2530">
        <v>1.11016</v>
      </c>
      <c r="L2530">
        <v>213.59270000000001</v>
      </c>
      <c r="M2530">
        <v>0.99842520000000001</v>
      </c>
      <c r="N2530">
        <v>-6.1883429999999998E-3</v>
      </c>
      <c r="O2530">
        <v>-5.5757149999999998E-2</v>
      </c>
      <c r="P2530">
        <v>0.92803740000000001</v>
      </c>
      <c r="Q2530">
        <v>0.3677009</v>
      </c>
      <c r="R2530">
        <v>5.9519339999999997E-2</v>
      </c>
      <c r="S2530">
        <v>3.7779539999999998</v>
      </c>
      <c r="T2530">
        <v>-1.4007879999999999</v>
      </c>
      <c r="U2530">
        <v>0.18873599999999999</v>
      </c>
      <c r="V2530">
        <v>-0.1112445</v>
      </c>
      <c r="W2530">
        <v>0.3733861</v>
      </c>
      <c r="X2530">
        <v>0.92098179999999996</v>
      </c>
      <c r="Y2530">
        <v>-9.5474870000000003E-2</v>
      </c>
      <c r="Z2530">
        <v>3.708736E-2</v>
      </c>
      <c r="AA2530">
        <v>0.99474070000000003</v>
      </c>
      <c r="AB2530">
        <v>27</v>
      </c>
      <c r="AC2530">
        <v>2.7409000000000101</v>
      </c>
      <c r="AD2530">
        <v>-1.110156843533</v>
      </c>
      <c r="AE2530">
        <v>0.16360000000000199</v>
      </c>
      <c r="AF2530">
        <v>-0.27175020592626398</v>
      </c>
      <c r="AG2530">
        <v>-1.110156843533</v>
      </c>
      <c r="AH2530">
        <v>2.3442926628919998</v>
      </c>
      <c r="AI2530">
        <v>115.192635254831</v>
      </c>
      <c r="AJ2530">
        <v>96.612210240396607</v>
      </c>
      <c r="AK2530">
        <v>2.6080652754395199</v>
      </c>
      <c r="AL2530">
        <v>68.075400899033397</v>
      </c>
      <c r="AM2530">
        <v>96.887335684037595</v>
      </c>
      <c r="AN2530">
        <v>0.99999999719235</v>
      </c>
    </row>
    <row r="2531" spans="1:40" x14ac:dyDescent="0.25">
      <c r="A2531" t="str">
        <f>"20190304164650859"</f>
        <v>20190304164650859</v>
      </c>
      <c r="B2531" t="str">
        <f>"1551689210850545"</f>
        <v>1551689210850545</v>
      </c>
      <c r="C2531" t="s">
        <v>40</v>
      </c>
      <c r="D2531">
        <v>4.6230370000000001</v>
      </c>
      <c r="E2531">
        <v>0.52320889999999998</v>
      </c>
      <c r="F2531" t="s">
        <v>41</v>
      </c>
      <c r="G2531">
        <v>-460.65969999999999</v>
      </c>
      <c r="H2531">
        <v>0.80197439999999998</v>
      </c>
      <c r="I2531">
        <v>213.631</v>
      </c>
      <c r="J2531">
        <v>-461.24610000000001</v>
      </c>
      <c r="K2531">
        <v>1.1100680000000001</v>
      </c>
      <c r="L2531">
        <v>213.57919999999999</v>
      </c>
      <c r="M2531">
        <v>0.99842500000000001</v>
      </c>
      <c r="N2531">
        <v>-6.1929940000000003E-3</v>
      </c>
      <c r="O2531">
        <v>-5.5760879999999999E-2</v>
      </c>
      <c r="P2531">
        <v>0.92805510000000002</v>
      </c>
      <c r="Q2531">
        <v>0.3678881</v>
      </c>
      <c r="R2531">
        <v>5.8071879999999999E-2</v>
      </c>
      <c r="S2531">
        <v>3.7770389999999998</v>
      </c>
      <c r="T2531">
        <v>-1.4024430000000001</v>
      </c>
      <c r="U2531">
        <v>0.17533869999999999</v>
      </c>
      <c r="V2531">
        <v>-0.1097287</v>
      </c>
      <c r="W2531">
        <v>0.3736006</v>
      </c>
      <c r="X2531">
        <v>0.92107669999999997</v>
      </c>
      <c r="Y2531">
        <v>-9.2164609999999994E-2</v>
      </c>
      <c r="Z2531">
        <v>3.653555E-2</v>
      </c>
      <c r="AA2531">
        <v>0.99507330000000005</v>
      </c>
      <c r="AB2531">
        <v>28</v>
      </c>
      <c r="AC2531">
        <v>0.58640000000002601</v>
      </c>
      <c r="AD2531">
        <v>-0.30809360000000002</v>
      </c>
      <c r="AE2531">
        <v>5.1799999999985802E-2</v>
      </c>
      <c r="AF2531">
        <v>-6.62672148233929E-2</v>
      </c>
      <c r="AG2531">
        <v>-0.30809360000000002</v>
      </c>
      <c r="AH2531">
        <v>0.45733288057963201</v>
      </c>
      <c r="AI2531">
        <v>123.69186562160201</v>
      </c>
      <c r="AJ2531">
        <v>98.244736341534605</v>
      </c>
      <c r="AK2531">
        <v>0.55539749169461805</v>
      </c>
      <c r="AL2531">
        <v>68.0621532073461</v>
      </c>
      <c r="AM2531">
        <v>96.7936797257683</v>
      </c>
      <c r="AN2531">
        <v>1.00000004160346</v>
      </c>
    </row>
    <row r="2532" spans="1:40" x14ac:dyDescent="0.25">
      <c r="A2532" t="str">
        <f>"20190304164650882"</f>
        <v>20190304164650882</v>
      </c>
      <c r="B2532" t="str">
        <f>"1551689210870571"</f>
        <v>1551689210870571</v>
      </c>
      <c r="C2532" t="s">
        <v>40</v>
      </c>
      <c r="D2532">
        <v>4.5961379999999998</v>
      </c>
      <c r="E2532">
        <v>0.5233932</v>
      </c>
      <c r="F2532" t="s">
        <v>41</v>
      </c>
      <c r="G2532">
        <v>-460.4135</v>
      </c>
      <c r="H2532">
        <v>0.80120419999999903</v>
      </c>
      <c r="I2532">
        <v>213.6156</v>
      </c>
      <c r="J2532">
        <v>-460.95830000000001</v>
      </c>
      <c r="K2532">
        <v>1.10997099999999</v>
      </c>
      <c r="L2532">
        <v>213.56299999999999</v>
      </c>
      <c r="M2532">
        <v>0.99841639999999998</v>
      </c>
      <c r="N2532">
        <v>-6.1995940000000001E-3</v>
      </c>
      <c r="O2532">
        <v>-5.5915189999999997E-2</v>
      </c>
      <c r="P2532">
        <v>0.92820060000000004</v>
      </c>
      <c r="Q2532">
        <v>0.36751440000000002</v>
      </c>
      <c r="R2532">
        <v>5.8114060000000002E-2</v>
      </c>
      <c r="S2532">
        <v>3.7776489999999998</v>
      </c>
      <c r="T2532">
        <v>-1.401233</v>
      </c>
      <c r="U2532">
        <v>0.1650085</v>
      </c>
      <c r="V2532">
        <v>-0.10983370000000001</v>
      </c>
      <c r="W2532">
        <v>0.37325950000000002</v>
      </c>
      <c r="X2532">
        <v>0.92120239999999998</v>
      </c>
      <c r="Y2532">
        <v>-8.9765849999999994E-2</v>
      </c>
      <c r="Z2532">
        <v>3.6118360000000002E-2</v>
      </c>
      <c r="AA2532">
        <v>0.99530770000000002</v>
      </c>
      <c r="AB2532">
        <v>28</v>
      </c>
      <c r="AC2532">
        <v>0.54480000000000905</v>
      </c>
      <c r="AD2532">
        <v>-0.30876679999999901</v>
      </c>
      <c r="AE2532">
        <v>5.2600000000012401E-2</v>
      </c>
      <c r="AF2532">
        <v>-6.2948144886227894E-2</v>
      </c>
      <c r="AG2532">
        <v>-0.30876679999999901</v>
      </c>
      <c r="AH2532">
        <v>0.41039997486145502</v>
      </c>
      <c r="AI2532">
        <v>126.636666348837</v>
      </c>
      <c r="AJ2532">
        <v>98.720205285627699</v>
      </c>
      <c r="AK2532">
        <v>0.51742395102385896</v>
      </c>
      <c r="AL2532">
        <v>68.0832194204622</v>
      </c>
      <c r="AM2532">
        <v>96.799200584625396</v>
      </c>
      <c r="AN2532">
        <v>0.99999997888084902</v>
      </c>
    </row>
    <row r="2533" spans="1:40" x14ac:dyDescent="0.25">
      <c r="A2533" t="str">
        <f>"20190304164650903"</f>
        <v>20190304164650903</v>
      </c>
      <c r="B2533" t="str">
        <f>"1551689210892043"</f>
        <v>1551689210892043</v>
      </c>
      <c r="C2533" t="s">
        <v>40</v>
      </c>
      <c r="D2533">
        <v>4.5810690000000003</v>
      </c>
      <c r="E2533">
        <v>0.52353249999999996</v>
      </c>
      <c r="F2533" t="s">
        <v>41</v>
      </c>
      <c r="G2533">
        <v>-460.16820000000001</v>
      </c>
      <c r="H2533">
        <v>0.8168955</v>
      </c>
      <c r="I2533">
        <v>213.5959</v>
      </c>
      <c r="J2533">
        <v>-460.6979</v>
      </c>
      <c r="K2533">
        <v>1.1098699999999999</v>
      </c>
      <c r="L2533">
        <v>213.54830000000001</v>
      </c>
      <c r="M2533">
        <v>0.9983997</v>
      </c>
      <c r="N2533">
        <v>-6.2063559999999997E-3</v>
      </c>
      <c r="O2533">
        <v>-5.6208069999999999E-2</v>
      </c>
      <c r="P2533">
        <v>0.92839850000000002</v>
      </c>
      <c r="Q2533">
        <v>0.36703629999999998</v>
      </c>
      <c r="R2533">
        <v>5.7969800000000002E-2</v>
      </c>
      <c r="S2533">
        <v>3.776672</v>
      </c>
      <c r="T2533">
        <v>-1.400676</v>
      </c>
      <c r="U2533">
        <v>0.15858459999999999</v>
      </c>
      <c r="V2533">
        <v>-0.1098803</v>
      </c>
      <c r="W2533">
        <v>0.37281579999999997</v>
      </c>
      <c r="X2533">
        <v>0.92137650000000004</v>
      </c>
      <c r="Y2533">
        <v>-8.8451119999999994E-2</v>
      </c>
      <c r="Z2533">
        <v>3.5977710000000003E-2</v>
      </c>
      <c r="AA2533">
        <v>0.99543060000000005</v>
      </c>
      <c r="AB2533">
        <v>28</v>
      </c>
      <c r="AC2533">
        <v>0.52969999999999096</v>
      </c>
      <c r="AD2533">
        <v>-0.29297450000000003</v>
      </c>
      <c r="AE2533">
        <v>4.7599999999988499E-2</v>
      </c>
      <c r="AF2533">
        <v>-5.9302560781778597E-2</v>
      </c>
      <c r="AG2533">
        <v>-0.29297450000000003</v>
      </c>
      <c r="AH2533">
        <v>0.40368365686212199</v>
      </c>
      <c r="AI2533">
        <v>125.680089670748</v>
      </c>
      <c r="AJ2533">
        <v>98.357177530735399</v>
      </c>
      <c r="AK2533">
        <v>0.50230602841604699</v>
      </c>
      <c r="AL2533">
        <v>68.110619370314595</v>
      </c>
      <c r="AM2533">
        <v>96.800785057938796</v>
      </c>
      <c r="AN2533">
        <v>0.99999997790498896</v>
      </c>
    </row>
    <row r="2534" spans="1:40" x14ac:dyDescent="0.25">
      <c r="A2534" t="str">
        <f>"20190304164650926"</f>
        <v>20190304164650926</v>
      </c>
      <c r="B2534" t="str">
        <f>"1551689210921322"</f>
        <v>1551689210921322</v>
      </c>
      <c r="C2534" t="s">
        <v>40</v>
      </c>
      <c r="D2534">
        <v>4.8115480000000002</v>
      </c>
      <c r="E2534">
        <v>0.54302950000000005</v>
      </c>
      <c r="F2534" t="s">
        <v>41</v>
      </c>
      <c r="G2534">
        <v>-459.91840000000002</v>
      </c>
      <c r="H2534">
        <v>0.82096959999999997</v>
      </c>
      <c r="I2534">
        <v>213.57939999999999</v>
      </c>
      <c r="J2534">
        <v>-460.4126</v>
      </c>
      <c r="K2534">
        <v>1.1097379999999999</v>
      </c>
      <c r="L2534">
        <v>213.5318</v>
      </c>
      <c r="M2534">
        <v>0.99837109999999996</v>
      </c>
      <c r="N2534">
        <v>-6.2148409999999996E-3</v>
      </c>
      <c r="O2534">
        <v>-5.671644E-2</v>
      </c>
      <c r="P2534">
        <v>0.92877299999999996</v>
      </c>
      <c r="Q2534">
        <v>0.36600959999999899</v>
      </c>
      <c r="R2534">
        <v>5.8463979999999999E-2</v>
      </c>
      <c r="S2534">
        <v>3.7747799999999998</v>
      </c>
      <c r="T2534">
        <v>-1.398682</v>
      </c>
      <c r="U2534">
        <v>0.152343799999999</v>
      </c>
      <c r="V2534">
        <v>-0.1107457</v>
      </c>
      <c r="W2534">
        <v>0.37183509999999997</v>
      </c>
      <c r="X2534">
        <v>0.92166919999999997</v>
      </c>
      <c r="Y2534">
        <v>-8.7391380000000005E-2</v>
      </c>
      <c r="Z2534">
        <v>3.5932949999999998E-2</v>
      </c>
      <c r="AA2534">
        <v>0.99552580000000002</v>
      </c>
      <c r="AB2534">
        <v>28</v>
      </c>
      <c r="AC2534">
        <v>0.49419999999997699</v>
      </c>
      <c r="AD2534">
        <v>-0.28876839999999898</v>
      </c>
      <c r="AE2534">
        <v>4.7599999999988499E-2</v>
      </c>
      <c r="AF2534">
        <v>-5.6455200080297099E-2</v>
      </c>
      <c r="AG2534">
        <v>-0.28876839999999898</v>
      </c>
      <c r="AH2534">
        <v>0.366666672301386</v>
      </c>
      <c r="AI2534">
        <v>127.896403519896</v>
      </c>
      <c r="AJ2534">
        <v>98.753022575878802</v>
      </c>
      <c r="AK2534">
        <v>0.470126394740008</v>
      </c>
      <c r="AL2534">
        <v>68.171163507040205</v>
      </c>
      <c r="AM2534">
        <v>96.851683514471205</v>
      </c>
      <c r="AN2534">
        <v>1.00000003294456</v>
      </c>
    </row>
    <row r="2535" spans="1:40" x14ac:dyDescent="0.25">
      <c r="A2535" t="str">
        <f>"20190304164650948"</f>
        <v>20190304164650948</v>
      </c>
      <c r="B2535" t="str">
        <f>"1551689210940842"</f>
        <v>1551689210940842</v>
      </c>
      <c r="C2535" t="s">
        <v>40</v>
      </c>
      <c r="D2535">
        <v>4.5522460000000002</v>
      </c>
      <c r="E2535">
        <v>0.52991060000000001</v>
      </c>
      <c r="F2535" t="s">
        <v>41</v>
      </c>
      <c r="G2535">
        <v>-459.63810000000001</v>
      </c>
      <c r="H2535">
        <v>0.90088639999999998</v>
      </c>
      <c r="I2535">
        <v>213.52459999999999</v>
      </c>
      <c r="J2535">
        <v>-460.12900000000002</v>
      </c>
      <c r="K2535">
        <v>1.1095729999999999</v>
      </c>
      <c r="L2535">
        <v>213.51509999999999</v>
      </c>
      <c r="M2535">
        <v>0.9983301</v>
      </c>
      <c r="N2535">
        <v>-6.2244319999999898E-3</v>
      </c>
      <c r="O2535">
        <v>-5.743024E-2</v>
      </c>
      <c r="P2535">
        <v>0.92918659999999997</v>
      </c>
      <c r="Q2535">
        <v>0.36496440000000002</v>
      </c>
      <c r="R2535">
        <v>5.842439E-2</v>
      </c>
      <c r="S2535">
        <v>3.6163020000000001</v>
      </c>
      <c r="T2535">
        <v>-0.97510850000000004</v>
      </c>
      <c r="U2535">
        <v>-3.1265260000000003E-2</v>
      </c>
      <c r="V2535">
        <v>-0.11125069999999999</v>
      </c>
      <c r="W2535">
        <v>0.37084339999999999</v>
      </c>
      <c r="X2535">
        <v>0.92200789999999999</v>
      </c>
      <c r="Y2535">
        <v>-4.519049E-2</v>
      </c>
      <c r="Z2535">
        <v>2.098365E-2</v>
      </c>
      <c r="AA2535">
        <v>0.99875800000000003</v>
      </c>
      <c r="AB2535">
        <v>28</v>
      </c>
      <c r="AC2535">
        <v>0.49090000000001</v>
      </c>
      <c r="AD2535">
        <v>-0.208686599999999</v>
      </c>
      <c r="AE2535">
        <v>9.5000000000027198E-3</v>
      </c>
      <c r="AF2535">
        <v>-3.19123689423833E-2</v>
      </c>
      <c r="AG2535">
        <v>-0.208686599999999</v>
      </c>
      <c r="AH2535">
        <v>0.41463915902303999</v>
      </c>
      <c r="AI2535">
        <v>116.6480856174</v>
      </c>
      <c r="AJ2535">
        <v>94.401047361474994</v>
      </c>
      <c r="AK2535">
        <v>0.465289295499487</v>
      </c>
      <c r="AL2535">
        <v>68.232359949652405</v>
      </c>
      <c r="AM2535">
        <v>96.880124043938295</v>
      </c>
      <c r="AN2535">
        <v>1.0000000566182199</v>
      </c>
    </row>
    <row r="2536" spans="1:40" x14ac:dyDescent="0.25">
      <c r="A2536" t="str">
        <f>"20190304164650972"</f>
        <v>20190304164650972</v>
      </c>
      <c r="B2536" t="str">
        <f>"1551689210961338"</f>
        <v>1551689210961338</v>
      </c>
      <c r="C2536" t="s">
        <v>40</v>
      </c>
      <c r="D2536">
        <v>4.5558239999999897</v>
      </c>
      <c r="E2536">
        <v>0.52945679999999995</v>
      </c>
      <c r="F2536" t="s">
        <v>49</v>
      </c>
      <c r="G2536">
        <v>-450.0342</v>
      </c>
      <c r="H2536" s="1">
        <v>-1.4746499999999999E-6</v>
      </c>
      <c r="I2536">
        <v>213.61109999999999</v>
      </c>
      <c r="J2536">
        <v>-459.8374</v>
      </c>
      <c r="K2536">
        <v>1.1093949999999999</v>
      </c>
      <c r="L2536">
        <v>213.4975</v>
      </c>
      <c r="M2536">
        <v>0.9982742</v>
      </c>
      <c r="N2536">
        <v>-6.235666E-3</v>
      </c>
      <c r="O2536">
        <v>-5.8394920000000003E-2</v>
      </c>
      <c r="P2536">
        <v>0.92942709999999995</v>
      </c>
      <c r="Q2536">
        <v>0.36416359999999998</v>
      </c>
      <c r="R2536">
        <v>5.9584760000000001E-2</v>
      </c>
      <c r="S2536">
        <v>3.3721920000000001</v>
      </c>
      <c r="T2536">
        <v>-0.37065510000000002</v>
      </c>
      <c r="U2536">
        <v>3.207397E-2</v>
      </c>
      <c r="V2536">
        <v>-0.11315699999999999</v>
      </c>
      <c r="W2536">
        <v>0.37010460000000001</v>
      </c>
      <c r="X2536">
        <v>0.92207269999999997</v>
      </c>
      <c r="Y2536">
        <v>-6.7147940000000003E-2</v>
      </c>
      <c r="Z2536">
        <v>9.9227039999999992E-3</v>
      </c>
      <c r="AA2536">
        <v>0.99769370000000002</v>
      </c>
      <c r="AB2536">
        <v>28</v>
      </c>
      <c r="AC2536">
        <v>9.8032000000000004</v>
      </c>
      <c r="AD2536">
        <v>-1.10939647465</v>
      </c>
      <c r="AE2536">
        <v>0.113599999999991</v>
      </c>
      <c r="AF2536">
        <v>-0.67720270576015296</v>
      </c>
      <c r="AG2536">
        <v>-1.10939647465</v>
      </c>
      <c r="AH2536">
        <v>9.6561895063518701</v>
      </c>
      <c r="AI2536">
        <v>96.538038526125007</v>
      </c>
      <c r="AJ2536">
        <v>94.011668470127503</v>
      </c>
      <c r="AK2536">
        <v>9.7432725418739405</v>
      </c>
      <c r="AL2536">
        <v>68.277931457363707</v>
      </c>
      <c r="AM2536">
        <v>96.996370428444607</v>
      </c>
      <c r="AN2536">
        <v>0.99999999283772401</v>
      </c>
    </row>
    <row r="2537" spans="1:40" x14ac:dyDescent="0.25">
      <c r="A2537" t="str">
        <f>"20190304164650995"</f>
        <v>20190304164650995</v>
      </c>
      <c r="B2537" t="str">
        <f>"1551689210990618"</f>
        <v>1551689210990618</v>
      </c>
      <c r="C2537" t="s">
        <v>40</v>
      </c>
      <c r="D2537">
        <v>4.4961869999999999</v>
      </c>
      <c r="E2537">
        <v>0.53084409999999904</v>
      </c>
      <c r="F2537" t="s">
        <v>49</v>
      </c>
      <c r="G2537">
        <v>-447.48110000000003</v>
      </c>
      <c r="H2537" s="1">
        <v>2.487679E-6</v>
      </c>
      <c r="I2537">
        <v>213.62309999999999</v>
      </c>
      <c r="J2537">
        <v>-459.55599999999998</v>
      </c>
      <c r="K2537">
        <v>1.109216</v>
      </c>
      <c r="L2537">
        <v>213.47989999999999</v>
      </c>
      <c r="M2537">
        <v>0.99820540000000002</v>
      </c>
      <c r="N2537">
        <v>-6.2473059999999898E-3</v>
      </c>
      <c r="O2537">
        <v>-5.9559260000000003E-2</v>
      </c>
      <c r="P2537">
        <v>0.92968200000000001</v>
      </c>
      <c r="Q2537">
        <v>0.36338939999999997</v>
      </c>
      <c r="R2537">
        <v>6.0329229999999998E-2</v>
      </c>
      <c r="S2537">
        <v>3.3432309999999998</v>
      </c>
      <c r="T2537">
        <v>-0.3001664</v>
      </c>
      <c r="U2537">
        <v>3.3996579999999998E-2</v>
      </c>
      <c r="V2537">
        <v>-0.11483350000000001</v>
      </c>
      <c r="W2537">
        <v>0.36939529999999998</v>
      </c>
      <c r="X2537">
        <v>0.92214989999999997</v>
      </c>
      <c r="Y2537">
        <v>-6.9202540000000007E-2</v>
      </c>
      <c r="Z2537">
        <v>8.2800010000000004E-3</v>
      </c>
      <c r="AA2537">
        <v>0.99756820000000002</v>
      </c>
      <c r="AB2537">
        <v>28</v>
      </c>
      <c r="AC2537">
        <v>12.0748999999999</v>
      </c>
      <c r="AD2537">
        <v>-1.1092135123209901</v>
      </c>
      <c r="AE2537">
        <v>0.14320000000000699</v>
      </c>
      <c r="AF2537">
        <v>-0.85491861067216401</v>
      </c>
      <c r="AG2537">
        <v>-1.1092135123209901</v>
      </c>
      <c r="AH2537">
        <v>11.9441582799898</v>
      </c>
      <c r="AI2537">
        <v>95.292185620884098</v>
      </c>
      <c r="AJ2537">
        <v>94.094037731817906</v>
      </c>
      <c r="AK2537">
        <v>12.025978441035001</v>
      </c>
      <c r="AL2537">
        <v>68.321671957997395</v>
      </c>
      <c r="AM2537">
        <v>97.098388307045596</v>
      </c>
      <c r="AN2537">
        <v>1.00000002922717</v>
      </c>
    </row>
    <row r="2538" spans="1:40" x14ac:dyDescent="0.25">
      <c r="A2538" t="str">
        <f>"20190304164651018"</f>
        <v>20190304164651018</v>
      </c>
      <c r="B2538" t="str">
        <f>"1551689211011115"</f>
        <v>1551689211011115</v>
      </c>
      <c r="C2538" t="s">
        <v>40</v>
      </c>
      <c r="D2538">
        <v>4.4641979999999997</v>
      </c>
      <c r="E2538">
        <v>0.53174779999999999</v>
      </c>
      <c r="F2538" t="s">
        <v>49</v>
      </c>
      <c r="G2538">
        <v>-446.54969999999997</v>
      </c>
      <c r="H2538" s="1">
        <v>1.9944879999999998E-6</v>
      </c>
      <c r="I2538">
        <v>213.5677</v>
      </c>
      <c r="J2538">
        <v>-459.2423</v>
      </c>
      <c r="K2538">
        <v>1.1090139999999999</v>
      </c>
      <c r="L2538">
        <v>213.4597</v>
      </c>
      <c r="M2538">
        <v>0.99810940000000004</v>
      </c>
      <c r="N2538">
        <v>-6.2610000000000001E-3</v>
      </c>
      <c r="O2538">
        <v>-6.1142290000000002E-2</v>
      </c>
      <c r="P2538">
        <v>0.9295506</v>
      </c>
      <c r="Q2538">
        <v>0.36367929999999998</v>
      </c>
      <c r="R2538">
        <v>6.0603020000000001E-2</v>
      </c>
      <c r="S2538">
        <v>3.3366699999999998</v>
      </c>
      <c r="T2538">
        <v>-0.28456130000000002</v>
      </c>
      <c r="U2538">
        <v>2.2506709999999999E-2</v>
      </c>
      <c r="V2538">
        <v>-0.1163906</v>
      </c>
      <c r="W2538">
        <v>0.36975330000000001</v>
      </c>
      <c r="X2538">
        <v>0.92181109999999999</v>
      </c>
      <c r="Y2538">
        <v>-6.7421449999999994E-2</v>
      </c>
      <c r="Z2538">
        <v>7.9015800000000001E-3</v>
      </c>
      <c r="AA2538">
        <v>0.99769330000000001</v>
      </c>
      <c r="AB2538">
        <v>28</v>
      </c>
      <c r="AC2538">
        <v>12.692600000000001</v>
      </c>
      <c r="AD2538">
        <v>-1.1090120055120001</v>
      </c>
      <c r="AE2538">
        <v>0.108000000000004</v>
      </c>
      <c r="AF2538">
        <v>-0.87717165068146097</v>
      </c>
      <c r="AG2538">
        <v>-1.1090120055120001</v>
      </c>
      <c r="AH2538">
        <v>12.566319905483001</v>
      </c>
      <c r="AI2538">
        <v>95.031262722463197</v>
      </c>
      <c r="AJ2538">
        <v>93.992962436693901</v>
      </c>
      <c r="AK2538">
        <v>12.6456211274918</v>
      </c>
      <c r="AL2538">
        <v>68.299596293763699</v>
      </c>
      <c r="AM2538">
        <v>97.196254370257506</v>
      </c>
      <c r="AN2538">
        <v>0.99999998935622902</v>
      </c>
    </row>
    <row r="2539" spans="1:40" x14ac:dyDescent="0.25">
      <c r="A2539" t="str">
        <f>"20190304164651037"</f>
        <v>20190304164651037</v>
      </c>
      <c r="B2539" t="str">
        <f>"1551689211030634"</f>
        <v>1551689211030634</v>
      </c>
      <c r="C2539" t="s">
        <v>40</v>
      </c>
      <c r="D2539">
        <v>4.4765069999999998</v>
      </c>
      <c r="E2539">
        <v>0.5327018</v>
      </c>
      <c r="F2539" t="s">
        <v>49</v>
      </c>
      <c r="G2539">
        <v>-445.98439999999999</v>
      </c>
      <c r="H2539" s="1">
        <v>1.6956159999999999E-6</v>
      </c>
      <c r="I2539">
        <v>213.52289999999999</v>
      </c>
      <c r="J2539">
        <v>-458.99669999999998</v>
      </c>
      <c r="K2539">
        <v>1.108876</v>
      </c>
      <c r="L2539">
        <v>213.44329999999999</v>
      </c>
      <c r="M2539">
        <v>0.99802259999999998</v>
      </c>
      <c r="N2539">
        <v>-6.2717569999999898E-3</v>
      </c>
      <c r="O2539">
        <v>-6.2541319999999997E-2</v>
      </c>
      <c r="P2539">
        <v>0.92933759999999999</v>
      </c>
      <c r="Q2539">
        <v>0.36407790000000001</v>
      </c>
      <c r="R2539">
        <v>6.1473590000000002E-2</v>
      </c>
      <c r="S2539">
        <v>3.33548</v>
      </c>
      <c r="T2539">
        <v>-0.27900960000000002</v>
      </c>
      <c r="U2539">
        <v>1.5914919999999999E-2</v>
      </c>
      <c r="V2539">
        <v>-0.1184183</v>
      </c>
      <c r="W2539">
        <v>0.37020389999999997</v>
      </c>
      <c r="X2539">
        <v>0.92137190000000002</v>
      </c>
      <c r="Y2539">
        <v>-6.6866049999999996E-2</v>
      </c>
      <c r="Z2539">
        <v>7.8300409999999994E-3</v>
      </c>
      <c r="AA2539">
        <v>0.99773120000000004</v>
      </c>
      <c r="AB2539">
        <v>28</v>
      </c>
      <c r="AC2539">
        <v>13.0122999999999</v>
      </c>
      <c r="AD2539">
        <v>-1.1088743043839999</v>
      </c>
      <c r="AE2539">
        <v>7.9599999999999199E-2</v>
      </c>
      <c r="AF2539">
        <v>-0.88682674869002998</v>
      </c>
      <c r="AG2539">
        <v>-1.1088743043839999</v>
      </c>
      <c r="AH2539">
        <v>12.888256337545201</v>
      </c>
      <c r="AI2539">
        <v>94.905936436927604</v>
      </c>
      <c r="AJ2539">
        <v>93.936255136102304</v>
      </c>
      <c r="AK2539">
        <v>12.9662336600645</v>
      </c>
      <c r="AL2539">
        <v>68.271807123010504</v>
      </c>
      <c r="AM2539">
        <v>97.323727133438993</v>
      </c>
      <c r="AN2539">
        <v>0.99999999972985498</v>
      </c>
    </row>
    <row r="2540" spans="1:40" x14ac:dyDescent="0.25">
      <c r="A2540" t="str">
        <f>"20190304164651060"</f>
        <v>20190304164651060</v>
      </c>
      <c r="B2540" t="str">
        <f>"1551689211051131"</f>
        <v>1551689211051131</v>
      </c>
      <c r="C2540" t="s">
        <v>40</v>
      </c>
      <c r="D2540">
        <v>4.4901070000000001</v>
      </c>
      <c r="E2540">
        <v>0.53349080000000004</v>
      </c>
      <c r="F2540" t="s">
        <v>49</v>
      </c>
      <c r="G2540">
        <v>-445.5367</v>
      </c>
      <c r="H2540" s="1">
        <v>1.458633E-6</v>
      </c>
      <c r="I2540">
        <v>213.49350000000001</v>
      </c>
      <c r="J2540">
        <v>-458.70299999999997</v>
      </c>
      <c r="K2540">
        <v>1.1087469999999999</v>
      </c>
      <c r="L2540">
        <v>213.423</v>
      </c>
      <c r="M2540">
        <v>0.99790670000000004</v>
      </c>
      <c r="N2540">
        <v>-6.2839760000000001E-3</v>
      </c>
      <c r="O2540">
        <v>-6.4365800000000001E-2</v>
      </c>
      <c r="P2540">
        <v>0.92895039999999995</v>
      </c>
      <c r="Q2540">
        <v>0.36502440000000003</v>
      </c>
      <c r="R2540">
        <v>6.1711870000000002E-2</v>
      </c>
      <c r="S2540">
        <v>3.3349299999999999</v>
      </c>
      <c r="T2540">
        <v>-0.27474080000000001</v>
      </c>
      <c r="U2540">
        <v>1.2451169999999999E-2</v>
      </c>
      <c r="V2540">
        <v>-0.1201995</v>
      </c>
      <c r="W2540">
        <v>0.37120120000000001</v>
      </c>
      <c r="X2540">
        <v>0.9207398</v>
      </c>
      <c r="Y2540">
        <v>-6.7659830000000004E-2</v>
      </c>
      <c r="Z2540">
        <v>7.8822690000000008E-3</v>
      </c>
      <c r="AA2540">
        <v>0.99767729999999999</v>
      </c>
      <c r="AB2540">
        <v>29</v>
      </c>
      <c r="AC2540">
        <v>13.1663</v>
      </c>
      <c r="AD2540">
        <v>-1.108745541367</v>
      </c>
      <c r="AE2540">
        <v>7.0500000000009694E-2</v>
      </c>
      <c r="AF2540">
        <v>-0.91136712545290599</v>
      </c>
      <c r="AG2540">
        <v>-1.108745541367</v>
      </c>
      <c r="AH2540">
        <v>13.0419749153537</v>
      </c>
      <c r="AI2540">
        <v>94.847473350688205</v>
      </c>
      <c r="AJ2540">
        <v>93.997304327762706</v>
      </c>
      <c r="AK2540">
        <v>13.120709447494599</v>
      </c>
      <c r="AL2540">
        <v>68.210282860243595</v>
      </c>
      <c r="AM2540">
        <v>97.4377104070564</v>
      </c>
      <c r="AN2540">
        <v>1.0000000149928601</v>
      </c>
    </row>
    <row r="2541" spans="1:40" x14ac:dyDescent="0.25">
      <c r="A2541" t="str">
        <f>"20190304164651081"</f>
        <v>20190304164651081</v>
      </c>
      <c r="B2541" t="str">
        <f>"1551689211070650"</f>
        <v>1551689211070650</v>
      </c>
      <c r="C2541" t="s">
        <v>40</v>
      </c>
      <c r="D2541">
        <v>4.4840179999999998</v>
      </c>
      <c r="E2541">
        <v>0.53406500000000001</v>
      </c>
      <c r="F2541" t="s">
        <v>49</v>
      </c>
      <c r="G2541">
        <v>-445.0634</v>
      </c>
      <c r="H2541" s="1">
        <v>1.208539E-6</v>
      </c>
      <c r="I2541">
        <v>213.45339999999999</v>
      </c>
      <c r="J2541">
        <v>-458.4391</v>
      </c>
      <c r="K2541">
        <v>1.1086609999999999</v>
      </c>
      <c r="L2541">
        <v>213.40430000000001</v>
      </c>
      <c r="M2541">
        <v>0.99779300000000004</v>
      </c>
      <c r="N2541">
        <v>-6.2944050000000003E-3</v>
      </c>
      <c r="O2541">
        <v>-6.6102930000000004E-2</v>
      </c>
      <c r="P2541">
        <v>0.92868859999999998</v>
      </c>
      <c r="Q2541">
        <v>0.36568499999999998</v>
      </c>
      <c r="R2541">
        <v>6.174031E-2</v>
      </c>
      <c r="S2541">
        <v>3.3355100000000002</v>
      </c>
      <c r="T2541">
        <v>-0.27113880000000001</v>
      </c>
      <c r="U2541">
        <v>7.4157709999999998E-3</v>
      </c>
      <c r="V2541">
        <v>-0.1217353</v>
      </c>
      <c r="W2541">
        <v>0.3718997</v>
      </c>
      <c r="X2541">
        <v>0.92025599999999996</v>
      </c>
      <c r="Y2541">
        <v>-6.7895810000000001E-2</v>
      </c>
      <c r="Z2541">
        <v>7.9151369999999992E-3</v>
      </c>
      <c r="AA2541">
        <v>0.99766100000000002</v>
      </c>
      <c r="AB2541">
        <v>29</v>
      </c>
      <c r="AC2541">
        <v>13.375699999999901</v>
      </c>
      <c r="AD2541">
        <v>-1.1086597914609999</v>
      </c>
      <c r="AE2541">
        <v>4.9099999999981402E-2</v>
      </c>
      <c r="AF2541">
        <v>-0.92681580375439399</v>
      </c>
      <c r="AG2541">
        <v>-1.1086597914609999</v>
      </c>
      <c r="AH2541">
        <v>13.2521554090342</v>
      </c>
      <c r="AI2541">
        <v>94.770563412122698</v>
      </c>
      <c r="AJ2541">
        <v>94.0005800782628</v>
      </c>
      <c r="AK2541">
        <v>13.3307065473847</v>
      </c>
      <c r="AL2541">
        <v>68.167175222092496</v>
      </c>
      <c r="AM2541">
        <v>97.535572571594898</v>
      </c>
      <c r="AN2541">
        <v>0.99999998783108901</v>
      </c>
    </row>
    <row r="2542" spans="1:40" x14ac:dyDescent="0.25">
      <c r="A2542" t="str">
        <f>"20190304164651105"</f>
        <v>20190304164651105</v>
      </c>
      <c r="B2542" t="str">
        <f>"1551689211100906"</f>
        <v>1551689211100906</v>
      </c>
      <c r="C2542" t="s">
        <v>40</v>
      </c>
      <c r="D2542">
        <v>4.5021769999999997</v>
      </c>
      <c r="E2542">
        <v>0.53492229999999996</v>
      </c>
      <c r="F2542" t="s">
        <v>49</v>
      </c>
      <c r="G2542">
        <v>-444.76369999999997</v>
      </c>
      <c r="H2542" s="1">
        <v>1.0498690000000001E-6</v>
      </c>
      <c r="I2542">
        <v>213.43459999999999</v>
      </c>
      <c r="J2542">
        <v>-458.1266</v>
      </c>
      <c r="K2542">
        <v>1.1085940000000001</v>
      </c>
      <c r="L2542">
        <v>213.38140000000001</v>
      </c>
      <c r="M2542">
        <v>0.99764929999999996</v>
      </c>
      <c r="N2542">
        <v>-6.306206E-3</v>
      </c>
      <c r="O2542">
        <v>-6.8238279999999998E-2</v>
      </c>
      <c r="P2542">
        <v>0.9287976</v>
      </c>
      <c r="Q2542">
        <v>0.36569239999999997</v>
      </c>
      <c r="R2542">
        <v>6.0037050000000002E-2</v>
      </c>
      <c r="S2542">
        <v>3.3363339999999901</v>
      </c>
      <c r="T2542">
        <v>-0.27047559999999998</v>
      </c>
      <c r="U2542">
        <v>7.385254E-3</v>
      </c>
      <c r="V2542">
        <v>-0.12195300000000001</v>
      </c>
      <c r="W2542">
        <v>0.37193999999999999</v>
      </c>
      <c r="X2542">
        <v>0.92021090000000005</v>
      </c>
      <c r="Y2542">
        <v>-7.0010160000000002E-2</v>
      </c>
      <c r="Z2542">
        <v>8.1442870000000001E-3</v>
      </c>
      <c r="AA2542">
        <v>0.99751310000000004</v>
      </c>
      <c r="AB2542">
        <v>29</v>
      </c>
      <c r="AC2542">
        <v>13.3629</v>
      </c>
      <c r="AD2542">
        <v>-1.1085929501309999</v>
      </c>
      <c r="AE2542">
        <v>5.3199999999975399E-2</v>
      </c>
      <c r="AF2542">
        <v>-0.95835951714301104</v>
      </c>
      <c r="AG2542">
        <v>-1.1085929501309999</v>
      </c>
      <c r="AH2542">
        <v>13.237018580177899</v>
      </c>
      <c r="AI2542">
        <v>94.774877855345906</v>
      </c>
      <c r="AJ2542">
        <v>94.140986461192</v>
      </c>
      <c r="AK2542">
        <v>13.3178861755593</v>
      </c>
      <c r="AL2542">
        <v>68.164688023669299</v>
      </c>
      <c r="AM2542">
        <v>97.549258916969507</v>
      </c>
      <c r="AN2542">
        <v>0.99999999914390503</v>
      </c>
    </row>
    <row r="2543" spans="1:40" x14ac:dyDescent="0.25">
      <c r="A2543" t="str">
        <f>"20190304164651126"</f>
        <v>20190304164651126</v>
      </c>
      <c r="B2543" t="str">
        <f>"1551689211121402"</f>
        <v>1551689211121402</v>
      </c>
      <c r="C2543" t="s">
        <v>40</v>
      </c>
      <c r="D2543">
        <v>4.5134210000000001</v>
      </c>
      <c r="E2543">
        <v>0.53536189999999995</v>
      </c>
      <c r="F2543" t="s">
        <v>49</v>
      </c>
      <c r="G2543">
        <v>-444.63119999999998</v>
      </c>
      <c r="H2543" s="1">
        <v>9.818298999999999E-7</v>
      </c>
      <c r="I2543">
        <v>213.37780000000001</v>
      </c>
      <c r="J2543">
        <v>-457.85879999999997</v>
      </c>
      <c r="K2543">
        <v>1.108552</v>
      </c>
      <c r="L2543">
        <v>213.3613</v>
      </c>
      <c r="M2543">
        <v>0.99752030000000003</v>
      </c>
      <c r="N2543">
        <v>-6.3160539999999998E-3</v>
      </c>
      <c r="O2543">
        <v>-7.00963E-2</v>
      </c>
      <c r="P2543">
        <v>0.92853779999999997</v>
      </c>
      <c r="Q2543">
        <v>0.36660609999999999</v>
      </c>
      <c r="R2543">
        <v>5.8462979999999998E-2</v>
      </c>
      <c r="S2543">
        <v>3.3380130000000001</v>
      </c>
      <c r="T2543">
        <v>-0.27420339999999999</v>
      </c>
      <c r="U2543">
        <v>-9.0026859999999995E-4</v>
      </c>
      <c r="V2543">
        <v>-0.1220456</v>
      </c>
      <c r="W2543">
        <v>0.37287199999999998</v>
      </c>
      <c r="X2543">
        <v>0.91982140000000001</v>
      </c>
      <c r="Y2543">
        <v>-6.9376069999999998E-2</v>
      </c>
      <c r="Z2543">
        <v>8.3667210000000006E-3</v>
      </c>
      <c r="AA2543">
        <v>0.99755550000000004</v>
      </c>
      <c r="AB2543">
        <v>29</v>
      </c>
      <c r="AC2543">
        <v>13.227599999999899</v>
      </c>
      <c r="AD2543">
        <v>-1.1085510181700999</v>
      </c>
      <c r="AE2543">
        <v>1.6500000000007699E-2</v>
      </c>
      <c r="AF2543">
        <v>-0.93710200320112003</v>
      </c>
      <c r="AG2543">
        <v>-1.1085510181700999</v>
      </c>
      <c r="AH2543">
        <v>13.101885196102099</v>
      </c>
      <c r="AI2543">
        <v>94.824014327615103</v>
      </c>
      <c r="AJ2543">
        <v>94.0910686791714</v>
      </c>
      <c r="AK2543">
        <v>13.1820499625866</v>
      </c>
      <c r="AL2543">
        <v>68.1071503762508</v>
      </c>
      <c r="AM2543">
        <v>97.558087119651503</v>
      </c>
      <c r="AN2543">
        <v>1.0000000323806499</v>
      </c>
    </row>
    <row r="2544" spans="1:40" x14ac:dyDescent="0.25">
      <c r="A2544" t="str">
        <f>"20190304164651148"</f>
        <v>20190304164651148</v>
      </c>
      <c r="B2544" t="str">
        <f>"1551689211140923"</f>
        <v>1551689211140923</v>
      </c>
      <c r="C2544" t="s">
        <v>40</v>
      </c>
      <c r="D2544">
        <v>4.5259859999999996</v>
      </c>
      <c r="E2544">
        <v>0.53570200000000001</v>
      </c>
      <c r="F2544" t="s">
        <v>49</v>
      </c>
      <c r="G2544">
        <v>-444.2559</v>
      </c>
      <c r="H2544" s="1">
        <v>7.8450779999999999E-7</v>
      </c>
      <c r="I2544">
        <v>213.32300000000001</v>
      </c>
      <c r="J2544">
        <v>-457.5677</v>
      </c>
      <c r="K2544">
        <v>1.10853</v>
      </c>
      <c r="L2544">
        <v>213.3389</v>
      </c>
      <c r="M2544">
        <v>0.99737719999999996</v>
      </c>
      <c r="N2544">
        <v>-6.3264389999999997E-3</v>
      </c>
      <c r="O2544">
        <v>-7.2102470000000002E-2</v>
      </c>
      <c r="P2544">
        <v>0.92859579999999997</v>
      </c>
      <c r="Q2544">
        <v>0.36670409999999998</v>
      </c>
      <c r="R2544">
        <v>5.6904719999999999E-2</v>
      </c>
      <c r="S2544">
        <v>3.3388979999999999</v>
      </c>
      <c r="T2544">
        <v>-0.27209889999999998</v>
      </c>
      <c r="U2544">
        <v>-9.399414E-3</v>
      </c>
      <c r="V2544">
        <v>-0.12233430000000001</v>
      </c>
      <c r="W2544">
        <v>0.37298490000000001</v>
      </c>
      <c r="X2544">
        <v>0.91973729999999998</v>
      </c>
      <c r="Y2544">
        <v>-6.8846840000000006E-2</v>
      </c>
      <c r="Z2544">
        <v>8.4252230000000008E-3</v>
      </c>
      <c r="AA2544">
        <v>0.99759169999999997</v>
      </c>
      <c r="AB2544">
        <v>29</v>
      </c>
      <c r="AC2544">
        <v>13.3118</v>
      </c>
      <c r="AD2544">
        <v>-1.1085292154922</v>
      </c>
      <c r="AE2544">
        <v>-1.59000000000162E-2</v>
      </c>
      <c r="AF2544">
        <v>-0.93747323875308997</v>
      </c>
      <c r="AG2544">
        <v>-1.1085292154922</v>
      </c>
      <c r="AH2544">
        <v>13.186852239880499</v>
      </c>
      <c r="AI2544">
        <v>94.793129586948893</v>
      </c>
      <c r="AJ2544">
        <v>94.0664021583747</v>
      </c>
      <c r="AK2544">
        <v>13.2665279968581</v>
      </c>
      <c r="AL2544">
        <v>68.100179359084706</v>
      </c>
      <c r="AM2544">
        <v>97.576443108904598</v>
      </c>
      <c r="AN2544">
        <v>1.0000000587978899</v>
      </c>
    </row>
    <row r="2545" spans="1:40" x14ac:dyDescent="0.25">
      <c r="A2545" t="str">
        <f>"20190304164651173"</f>
        <v>20190304164651173</v>
      </c>
      <c r="B2545" t="str">
        <f>"1551689211161419"</f>
        <v>1551689211161419</v>
      </c>
      <c r="C2545" t="s">
        <v>40</v>
      </c>
      <c r="D2545">
        <v>4.546386</v>
      </c>
      <c r="E2545">
        <v>0.53603599999999996</v>
      </c>
      <c r="F2545" t="s">
        <v>49</v>
      </c>
      <c r="G2545">
        <v>-443.99400000000003</v>
      </c>
      <c r="H2545" s="1">
        <v>6.4805780000000001E-7</v>
      </c>
      <c r="I2545">
        <v>213.2568</v>
      </c>
      <c r="J2545">
        <v>-457.25529999999998</v>
      </c>
      <c r="K2545">
        <v>1.108538</v>
      </c>
      <c r="L2545">
        <v>213.3142</v>
      </c>
      <c r="M2545">
        <v>0.99722339999999998</v>
      </c>
      <c r="N2545">
        <v>-6.337021E-3</v>
      </c>
      <c r="O2545">
        <v>-7.419771E-2</v>
      </c>
      <c r="P2545">
        <v>0.9286835</v>
      </c>
      <c r="Q2545">
        <v>0.36680299999999999</v>
      </c>
      <c r="R2545">
        <v>5.479498E-2</v>
      </c>
      <c r="S2545">
        <v>3.3396300000000001</v>
      </c>
      <c r="T2545">
        <v>-0.27273849999999999</v>
      </c>
      <c r="U2545">
        <v>-2.0187380000000001E-2</v>
      </c>
      <c r="V2545">
        <v>-0.1221836</v>
      </c>
      <c r="W2545">
        <v>0.37308960000000002</v>
      </c>
      <c r="X2545">
        <v>0.91971480000000005</v>
      </c>
      <c r="Y2545">
        <v>-6.7717079999999999E-2</v>
      </c>
      <c r="Z2545">
        <v>8.5505200000000007E-3</v>
      </c>
      <c r="AA2545">
        <v>0.99766790000000005</v>
      </c>
      <c r="AB2545">
        <v>29</v>
      </c>
      <c r="AC2545">
        <v>13.261299999999901</v>
      </c>
      <c r="AD2545">
        <v>-1.1085373519421999</v>
      </c>
      <c r="AE2545">
        <v>-5.74000000000012E-2</v>
      </c>
      <c r="AF2545">
        <v>-0.92030547915821503</v>
      </c>
      <c r="AG2545">
        <v>-1.1085373519421999</v>
      </c>
      <c r="AH2545">
        <v>13.1372075428353</v>
      </c>
      <c r="AI2545">
        <v>94.811541922198202</v>
      </c>
      <c r="AJ2545">
        <v>94.007215106436306</v>
      </c>
      <c r="AK2545">
        <v>13.2159766668661</v>
      </c>
      <c r="AL2545">
        <v>68.093712371140001</v>
      </c>
      <c r="AM2545">
        <v>97.567401114539706</v>
      </c>
      <c r="AN2545">
        <v>0.99999999753808</v>
      </c>
    </row>
    <row r="2546" spans="1:40" x14ac:dyDescent="0.25">
      <c r="A2546" t="str">
        <f>"20190304164651196"</f>
        <v>20190304164651196</v>
      </c>
      <c r="B2546" t="str">
        <f>"1551689211190698"</f>
        <v>1551689211190698</v>
      </c>
      <c r="C2546" t="s">
        <v>40</v>
      </c>
      <c r="D2546">
        <v>4.533595</v>
      </c>
      <c r="E2546">
        <v>0.53647069999999997</v>
      </c>
      <c r="F2546" t="s">
        <v>49</v>
      </c>
      <c r="G2546">
        <v>-443.72149999999999</v>
      </c>
      <c r="H2546" s="1">
        <v>5.0619530000000002E-7</v>
      </c>
      <c r="I2546">
        <v>213.18389999999999</v>
      </c>
      <c r="J2546">
        <v>-456.95010000000002</v>
      </c>
      <c r="K2546">
        <v>1.1085799999999999</v>
      </c>
      <c r="L2546">
        <v>213.2895</v>
      </c>
      <c r="M2546">
        <v>0.99707670000000004</v>
      </c>
      <c r="N2546">
        <v>-6.3469479999999998E-3</v>
      </c>
      <c r="O2546">
        <v>-7.6142119999999994E-2</v>
      </c>
      <c r="P2546">
        <v>0.92878159999999998</v>
      </c>
      <c r="Q2546">
        <v>0.3668594</v>
      </c>
      <c r="R2546">
        <v>5.2716680000000002E-2</v>
      </c>
      <c r="S2546">
        <v>3.3403019999999999</v>
      </c>
      <c r="T2546">
        <v>-0.27359899999999998</v>
      </c>
      <c r="U2546">
        <v>-3.2150270000000002E-2</v>
      </c>
      <c r="V2546">
        <v>-0.121954199999999</v>
      </c>
      <c r="W2546">
        <v>0.37314150000000001</v>
      </c>
      <c r="X2546">
        <v>0.91972419999999999</v>
      </c>
      <c r="Y2546">
        <v>-6.6088540000000001E-2</v>
      </c>
      <c r="Z2546">
        <v>8.6502360000000004E-3</v>
      </c>
      <c r="AA2546">
        <v>0.99777629999999995</v>
      </c>
      <c r="AB2546">
        <v>29</v>
      </c>
      <c r="AC2546">
        <v>13.2286</v>
      </c>
      <c r="AD2546">
        <v>-1.1085794938047</v>
      </c>
      <c r="AE2546">
        <v>-0.10560000000000901</v>
      </c>
      <c r="AF2546">
        <v>-0.89569079075952396</v>
      </c>
      <c r="AG2546">
        <v>-1.1085794938047</v>
      </c>
      <c r="AH2546">
        <v>13.1062008265737</v>
      </c>
      <c r="AI2546">
        <v>94.823620054646597</v>
      </c>
      <c r="AJ2546">
        <v>93.909571540212298</v>
      </c>
      <c r="AK2546">
        <v>13.1834635279663</v>
      </c>
      <c r="AL2546">
        <v>68.090507434687296</v>
      </c>
      <c r="AM2546">
        <v>97.553281189233005</v>
      </c>
      <c r="AN2546">
        <v>1.00000000499276</v>
      </c>
    </row>
    <row r="2547" spans="1:40" x14ac:dyDescent="0.25">
      <c r="A2547" t="str">
        <f>"20190304164651238"</f>
        <v>20190304164651238</v>
      </c>
      <c r="B2547" t="str">
        <f>"1551689211230714"</f>
        <v>1551689211230714</v>
      </c>
      <c r="C2547" t="s">
        <v>40</v>
      </c>
      <c r="D2547">
        <v>4.5335340000000004</v>
      </c>
      <c r="E2547">
        <v>0.53687419999999997</v>
      </c>
      <c r="F2547" t="s">
        <v>49</v>
      </c>
      <c r="G2547">
        <v>-443.50170000000003</v>
      </c>
      <c r="H2547" s="1">
        <v>3.9247379999999999E-7</v>
      </c>
      <c r="I2547">
        <v>213.11070000000001</v>
      </c>
      <c r="J2547">
        <v>-456.39420000000001</v>
      </c>
      <c r="K2547">
        <v>1.1087020000000001</v>
      </c>
      <c r="L2547">
        <v>213.2432</v>
      </c>
      <c r="M2547">
        <v>0.99682579999999998</v>
      </c>
      <c r="N2547">
        <v>-6.3648300000000001E-3</v>
      </c>
      <c r="O2547">
        <v>-7.9359879999999994E-2</v>
      </c>
      <c r="P2547">
        <v>0.92937619999999999</v>
      </c>
      <c r="Q2547">
        <v>0.36576370000000002</v>
      </c>
      <c r="R2547">
        <v>4.9770439999999999E-2</v>
      </c>
      <c r="S2547">
        <v>3.3413699999999902</v>
      </c>
      <c r="T2547">
        <v>-0.2754375</v>
      </c>
      <c r="U2547">
        <v>-4.4403079999999998E-2</v>
      </c>
      <c r="V2547">
        <v>-0.12215860000000001</v>
      </c>
      <c r="W2547">
        <v>0.37202770000000002</v>
      </c>
      <c r="X2547">
        <v>0.92014819999999997</v>
      </c>
      <c r="Y2547">
        <v>-6.5640229999999994E-2</v>
      </c>
      <c r="Z2547">
        <v>8.9297059999999904E-3</v>
      </c>
      <c r="AA2547">
        <v>0.99780340000000001</v>
      </c>
      <c r="AB2547">
        <v>29</v>
      </c>
      <c r="AC2547">
        <v>12.892499999999901</v>
      </c>
      <c r="AD2547">
        <v>-1.1087016075262</v>
      </c>
      <c r="AE2547">
        <v>-0.13249999999999301</v>
      </c>
      <c r="AF2547">
        <v>-0.88454503092868397</v>
      </c>
      <c r="AG2547">
        <v>-1.1087016075262</v>
      </c>
      <c r="AH2547">
        <v>12.7679386004045</v>
      </c>
      <c r="AI2547">
        <v>94.951011963627906</v>
      </c>
      <c r="AJ2547">
        <v>93.963039785444494</v>
      </c>
      <c r="AK2547">
        <v>12.846474040372801</v>
      </c>
      <c r="AL2547">
        <v>68.159275235221003</v>
      </c>
      <c r="AM2547">
        <v>97.5623483300825</v>
      </c>
      <c r="AN2547">
        <v>1.00000002154224</v>
      </c>
    </row>
    <row r="2548" spans="1:40" x14ac:dyDescent="0.25">
      <c r="A2548" t="str">
        <f>"20190304164651260"</f>
        <v>20190304164651260</v>
      </c>
      <c r="B2548" t="str">
        <f>"1551689211251210"</f>
        <v>1551689211251210</v>
      </c>
      <c r="C2548" t="s">
        <v>40</v>
      </c>
      <c r="D2548">
        <v>4.5300949999999904</v>
      </c>
      <c r="E2548">
        <v>0.53706739999999997</v>
      </c>
      <c r="F2548" t="s">
        <v>49</v>
      </c>
      <c r="G2548">
        <v>-443.29640000000001</v>
      </c>
      <c r="H2548" s="1">
        <v>2.8741520000000002E-7</v>
      </c>
      <c r="I2548">
        <v>213.01499999999999</v>
      </c>
      <c r="J2548">
        <v>-456.09109999999998</v>
      </c>
      <c r="K2548">
        <v>1.1087689999999999</v>
      </c>
      <c r="L2548">
        <v>213.2175</v>
      </c>
      <c r="M2548">
        <v>0.99669830000000004</v>
      </c>
      <c r="N2548">
        <v>-6.3749690000000003E-3</v>
      </c>
      <c r="O2548">
        <v>-8.0943559999999998E-2</v>
      </c>
      <c r="P2548">
        <v>0.92958629999999998</v>
      </c>
      <c r="Q2548">
        <v>0.36534369999999999</v>
      </c>
      <c r="R2548">
        <v>4.8921770000000003E-2</v>
      </c>
      <c r="S2548">
        <v>3.3424990000000001</v>
      </c>
      <c r="T2548">
        <v>-0.28293620000000003</v>
      </c>
      <c r="U2548">
        <v>-5.825806E-2</v>
      </c>
      <c r="V2548">
        <v>-0.1228636</v>
      </c>
      <c r="W2548">
        <v>0.37159789999999998</v>
      </c>
      <c r="X2548">
        <v>0.92022800000000005</v>
      </c>
      <c r="Y2548">
        <v>-6.3073959999999998E-2</v>
      </c>
      <c r="Z2548">
        <v>9.1825299999999995E-3</v>
      </c>
      <c r="AA2548">
        <v>0.99796660000000004</v>
      </c>
      <c r="AB2548">
        <v>29</v>
      </c>
      <c r="AC2548">
        <v>12.794699999999899</v>
      </c>
      <c r="AD2548">
        <v>-1.1087687125848</v>
      </c>
      <c r="AE2548">
        <v>-0.202500000000014</v>
      </c>
      <c r="AF2548">
        <v>-0.82762049199215204</v>
      </c>
      <c r="AG2548">
        <v>-1.1087687125848</v>
      </c>
      <c r="AH2548">
        <v>12.6739527182133</v>
      </c>
      <c r="AI2548">
        <v>94.989165371115604</v>
      </c>
      <c r="AJ2548">
        <v>93.736161282697907</v>
      </c>
      <c r="AK2548">
        <v>12.7492510070309</v>
      </c>
      <c r="AL2548">
        <v>68.185802693659497</v>
      </c>
      <c r="AM2548">
        <v>97.604830809414494</v>
      </c>
      <c r="AN2548">
        <v>1.0000000177366799</v>
      </c>
    </row>
    <row r="2549" spans="1:40" x14ac:dyDescent="0.25">
      <c r="A2549" t="str">
        <f>"20190304164651282"</f>
        <v>20190304164651282</v>
      </c>
      <c r="B2549" t="str">
        <f>"1551689211271707"</f>
        <v>1551689211271707</v>
      </c>
      <c r="C2549" t="s">
        <v>40</v>
      </c>
      <c r="D2549">
        <v>4.5552460000000004</v>
      </c>
      <c r="E2549">
        <v>0.53716850000000005</v>
      </c>
      <c r="F2549" t="s">
        <v>49</v>
      </c>
      <c r="G2549">
        <v>-443.10750000000002</v>
      </c>
      <c r="H2549" s="1">
        <v>1.887628E-7</v>
      </c>
      <c r="I2549">
        <v>212.97139999999999</v>
      </c>
      <c r="J2549">
        <v>-455.81240000000003</v>
      </c>
      <c r="K2549">
        <v>1.1088359999999999</v>
      </c>
      <c r="L2549">
        <v>213.1935</v>
      </c>
      <c r="M2549">
        <v>0.99658789999999997</v>
      </c>
      <c r="N2549">
        <v>-6.3844840000000002E-3</v>
      </c>
      <c r="O2549">
        <v>-8.2292850000000001E-2</v>
      </c>
      <c r="P2549">
        <v>0.9295717</v>
      </c>
      <c r="Q2549">
        <v>0.36535459999999997</v>
      </c>
      <c r="R2549">
        <v>4.9119089999999997E-2</v>
      </c>
      <c r="S2549">
        <v>3.342743</v>
      </c>
      <c r="T2549">
        <v>-0.28546300000000002</v>
      </c>
      <c r="U2549">
        <v>-6.3354489999999999E-2</v>
      </c>
      <c r="V2549">
        <v>-0.1243688</v>
      </c>
      <c r="W2549">
        <v>0.37160009999999999</v>
      </c>
      <c r="X2549">
        <v>0.92002490000000003</v>
      </c>
      <c r="Y2549">
        <v>-6.2892980000000001E-2</v>
      </c>
      <c r="Z2549">
        <v>9.3634089999999996E-3</v>
      </c>
      <c r="AA2549">
        <v>0.99797639999999999</v>
      </c>
      <c r="AB2549">
        <v>30</v>
      </c>
      <c r="AC2549">
        <v>12.7049</v>
      </c>
      <c r="AD2549">
        <v>-1.1088358112371901</v>
      </c>
      <c r="AE2549">
        <v>-0.22210000000001101</v>
      </c>
      <c r="AF2549">
        <v>-0.81796824876939001</v>
      </c>
      <c r="AG2549">
        <v>-1.1088358112371901</v>
      </c>
      <c r="AH2549">
        <v>12.5842565052842</v>
      </c>
      <c r="AI2549">
        <v>95.024945325528506</v>
      </c>
      <c r="AJ2549">
        <v>93.718955779941197</v>
      </c>
      <c r="AK2549">
        <v>12.6594668411851</v>
      </c>
      <c r="AL2549">
        <v>68.185667079856302</v>
      </c>
      <c r="AM2549">
        <v>97.698566022575307</v>
      </c>
      <c r="AN2549">
        <v>1.00000002467672</v>
      </c>
    </row>
    <row r="2550" spans="1:40" x14ac:dyDescent="0.25">
      <c r="A2550" t="str">
        <f>"20190304164651305"</f>
        <v>20190304164651305</v>
      </c>
      <c r="B2550" t="str">
        <f>"1551689211300987"</f>
        <v>1551689211300987</v>
      </c>
      <c r="C2550" t="s">
        <v>40</v>
      </c>
      <c r="D2550">
        <v>4.5414770000000004</v>
      </c>
      <c r="E2550">
        <v>0.53728679999999995</v>
      </c>
      <c r="F2550" t="s">
        <v>49</v>
      </c>
      <c r="G2550">
        <v>-442.85430000000002</v>
      </c>
      <c r="H2550" s="1">
        <v>5.5077019999999997E-8</v>
      </c>
      <c r="I2550">
        <v>212.9479</v>
      </c>
      <c r="J2550">
        <v>-455.49880000000002</v>
      </c>
      <c r="K2550">
        <v>1.108922</v>
      </c>
      <c r="L2550">
        <v>213.1661</v>
      </c>
      <c r="M2550">
        <v>0.99647419999999998</v>
      </c>
      <c r="N2550">
        <v>-6.394963E-3</v>
      </c>
      <c r="O2550">
        <v>-8.3655359999999998E-2</v>
      </c>
      <c r="P2550">
        <v>0.92942809999999998</v>
      </c>
      <c r="Q2550">
        <v>0.36548370000000002</v>
      </c>
      <c r="R2550">
        <v>5.0844769999999997E-2</v>
      </c>
      <c r="S2550">
        <v>3.343048</v>
      </c>
      <c r="T2550">
        <v>-0.28606880000000001</v>
      </c>
      <c r="U2550">
        <v>-6.3354489999999999E-2</v>
      </c>
      <c r="V2550">
        <v>-0.12742000000000001</v>
      </c>
      <c r="W2550">
        <v>0.37171650000000001</v>
      </c>
      <c r="X2550">
        <v>0.91956020000000005</v>
      </c>
      <c r="Y2550">
        <v>-6.4247589999999993E-2</v>
      </c>
      <c r="Z2550">
        <v>9.5519679999999992E-3</v>
      </c>
      <c r="AA2550">
        <v>0.99788829999999995</v>
      </c>
      <c r="AB2550">
        <v>30</v>
      </c>
      <c r="AC2550">
        <v>12.644499999999899</v>
      </c>
      <c r="AD2550">
        <v>-1.1089219449229799</v>
      </c>
      <c r="AE2550">
        <v>-0.21819999999999501</v>
      </c>
      <c r="AF2550">
        <v>-0.83395446753747304</v>
      </c>
      <c r="AG2550">
        <v>-1.1089219449229799</v>
      </c>
      <c r="AH2550">
        <v>12.5221473109942</v>
      </c>
      <c r="AI2550">
        <v>95.049604181769695</v>
      </c>
      <c r="AJ2550">
        <v>93.810178417974001</v>
      </c>
      <c r="AK2550">
        <v>12.598784116417599</v>
      </c>
      <c r="AL2550">
        <v>68.178482410156406</v>
      </c>
      <c r="AM2550">
        <v>97.889025381769201</v>
      </c>
      <c r="AN2550">
        <v>0.99999998709814497</v>
      </c>
    </row>
    <row r="2551" spans="1:40" x14ac:dyDescent="0.25">
      <c r="A2551" t="str">
        <f>"20190304164651326"</f>
        <v>20190304164651326</v>
      </c>
      <c r="B2551" t="str">
        <f>"1551689211321484"</f>
        <v>1551689211321484</v>
      </c>
      <c r="C2551" t="s">
        <v>40</v>
      </c>
      <c r="D2551">
        <v>4.5570879999999896</v>
      </c>
      <c r="E2551">
        <v>0.53732139999999995</v>
      </c>
      <c r="F2551" t="s">
        <v>49</v>
      </c>
      <c r="G2551">
        <v>-442.57260000000002</v>
      </c>
      <c r="H2551" s="1">
        <v>-9.4311960000000005E-8</v>
      </c>
      <c r="I2551">
        <v>212.9359</v>
      </c>
      <c r="J2551">
        <v>-455.21949999999998</v>
      </c>
      <c r="K2551">
        <v>1.1090150000000001</v>
      </c>
      <c r="L2551">
        <v>213.14160000000001</v>
      </c>
      <c r="M2551">
        <v>0.99638419999999905</v>
      </c>
      <c r="N2551">
        <v>-6.4041829999999999E-3</v>
      </c>
      <c r="O2551">
        <v>-8.4722530000000004E-2</v>
      </c>
      <c r="P2551">
        <v>0.92937519999999996</v>
      </c>
      <c r="Q2551">
        <v>0.36525449999999998</v>
      </c>
      <c r="R2551">
        <v>5.3398920000000002E-2</v>
      </c>
      <c r="S2551">
        <v>3.343842</v>
      </c>
      <c r="T2551">
        <v>-0.2868636</v>
      </c>
      <c r="U2551">
        <v>-5.9555049999999998E-2</v>
      </c>
      <c r="V2551">
        <v>-0.13103670000000001</v>
      </c>
      <c r="W2551">
        <v>0.3714712</v>
      </c>
      <c r="X2551">
        <v>0.91915100000000005</v>
      </c>
      <c r="Y2551">
        <v>-6.6439499999999999E-2</v>
      </c>
      <c r="Z2551">
        <v>9.7618240000000005E-3</v>
      </c>
      <c r="AA2551">
        <v>0.99774269999999998</v>
      </c>
      <c r="AB2551">
        <v>30</v>
      </c>
      <c r="AC2551">
        <v>12.646899999999899</v>
      </c>
      <c r="AD2551">
        <v>-1.1090150943119601</v>
      </c>
      <c r="AE2551">
        <v>-0.20570000000000699</v>
      </c>
      <c r="AF2551">
        <v>-0.85992793520955102</v>
      </c>
      <c r="AG2551">
        <v>-1.1090150943119601</v>
      </c>
      <c r="AH2551">
        <v>12.5225861725729</v>
      </c>
      <c r="AI2551">
        <v>95.049149395000001</v>
      </c>
      <c r="AJ2551">
        <v>93.928342995032295</v>
      </c>
      <c r="AK2551">
        <v>12.600974366400401</v>
      </c>
      <c r="AL2551">
        <v>68.193621701706604</v>
      </c>
      <c r="AM2551">
        <v>98.113571907231105</v>
      </c>
      <c r="AN2551">
        <v>1.0000000149886601</v>
      </c>
    </row>
    <row r="2552" spans="1:40" x14ac:dyDescent="0.25">
      <c r="A2552" t="str">
        <f>"20190304164651349"</f>
        <v>20190304164651349</v>
      </c>
      <c r="B2552" t="str">
        <f>"1551689211341002"</f>
        <v>1551689211341002</v>
      </c>
      <c r="C2552" t="s">
        <v>40</v>
      </c>
      <c r="D2552">
        <v>4.5511819999999998</v>
      </c>
      <c r="E2552">
        <v>0.53737100000000004</v>
      </c>
      <c r="F2552" t="s">
        <v>49</v>
      </c>
      <c r="G2552">
        <v>-442.33580000000001</v>
      </c>
      <c r="H2552" s="1">
        <v>-2.204242E-7</v>
      </c>
      <c r="I2552">
        <v>212.9375</v>
      </c>
      <c r="J2552">
        <v>-454.91629999999998</v>
      </c>
      <c r="K2552">
        <v>1.109145</v>
      </c>
      <c r="L2552">
        <v>213.1147</v>
      </c>
      <c r="M2552">
        <v>0.99629840000000003</v>
      </c>
      <c r="N2552">
        <v>-6.414243E-3</v>
      </c>
      <c r="O2552">
        <v>-8.5723099999999997E-2</v>
      </c>
      <c r="P2552">
        <v>0.92946329999999999</v>
      </c>
      <c r="Q2552">
        <v>0.36454219999999998</v>
      </c>
      <c r="R2552">
        <v>5.6631620000000001E-2</v>
      </c>
      <c r="S2552">
        <v>3.344147</v>
      </c>
      <c r="T2552">
        <v>-0.28785880000000003</v>
      </c>
      <c r="U2552">
        <v>-5.2978520000000001E-2</v>
      </c>
      <c r="V2552">
        <v>-0.13530049999999999</v>
      </c>
      <c r="W2552">
        <v>0.37073669999999997</v>
      </c>
      <c r="X2552">
        <v>0.91882969999999997</v>
      </c>
      <c r="Y2552">
        <v>-6.9385909999999995E-2</v>
      </c>
      <c r="Z2552">
        <v>1.00109E-2</v>
      </c>
      <c r="AA2552">
        <v>0.99753959999999997</v>
      </c>
      <c r="AB2552">
        <v>30</v>
      </c>
      <c r="AC2552">
        <v>12.580499999999899</v>
      </c>
      <c r="AD2552">
        <v>-1.1091452204242001</v>
      </c>
      <c r="AE2552">
        <v>-0.177199999999999</v>
      </c>
      <c r="AF2552">
        <v>-0.89495888122754996</v>
      </c>
      <c r="AG2552">
        <v>-1.1091452204242001</v>
      </c>
      <c r="AH2552">
        <v>12.4526065158107</v>
      </c>
      <c r="AI2552">
        <v>95.076838897178405</v>
      </c>
      <c r="AJ2552">
        <v>94.110734055850003</v>
      </c>
      <c r="AK2552">
        <v>12.5338965831336</v>
      </c>
      <c r="AL2552">
        <v>68.238940705489298</v>
      </c>
      <c r="AM2552">
        <v>98.376780085494403</v>
      </c>
      <c r="AN2552">
        <v>0.99999997181461397</v>
      </c>
    </row>
    <row r="2553" spans="1:40" x14ac:dyDescent="0.25">
      <c r="A2553" t="str">
        <f>"20190304164651372"</f>
        <v>20190304164651372</v>
      </c>
      <c r="B2553" t="str">
        <f>"1551689211361500"</f>
        <v>1551689211361500</v>
      </c>
      <c r="C2553" t="s">
        <v>40</v>
      </c>
      <c r="D2553">
        <v>4.531917</v>
      </c>
      <c r="E2553">
        <v>0.53743430000000003</v>
      </c>
      <c r="F2553" t="s">
        <v>49</v>
      </c>
      <c r="G2553">
        <v>-442.16019999999997</v>
      </c>
      <c r="H2553" s="1">
        <v>-3.1424409999999998E-7</v>
      </c>
      <c r="I2553">
        <v>212.9468</v>
      </c>
      <c r="J2553">
        <v>-454.62329999999997</v>
      </c>
      <c r="K2553">
        <v>1.1092740000000001</v>
      </c>
      <c r="L2553">
        <v>213.08860000000001</v>
      </c>
      <c r="M2553">
        <v>0.99622920000000004</v>
      </c>
      <c r="N2553">
        <v>-6.4242759999999996E-3</v>
      </c>
      <c r="O2553">
        <v>-8.6522650000000006E-2</v>
      </c>
      <c r="P2553">
        <v>0.92954060000000005</v>
      </c>
      <c r="Q2553">
        <v>0.36393120000000001</v>
      </c>
      <c r="R2553">
        <v>5.9233309999999997E-2</v>
      </c>
      <c r="S2553">
        <v>3.3444210000000001</v>
      </c>
      <c r="T2553">
        <v>-0.29079829999999901</v>
      </c>
      <c r="U2553">
        <v>-4.4021610000000003E-2</v>
      </c>
      <c r="V2553">
        <v>-0.13875460000000001</v>
      </c>
      <c r="W2553">
        <v>0.37009750000000002</v>
      </c>
      <c r="X2553">
        <v>0.91857219999999995</v>
      </c>
      <c r="Y2553">
        <v>-7.2830489999999998E-2</v>
      </c>
      <c r="Z2553">
        <v>1.033973E-2</v>
      </c>
      <c r="AA2553">
        <v>0.99729069999999997</v>
      </c>
      <c r="AB2553">
        <v>30</v>
      </c>
      <c r="AC2553">
        <v>12.463099999999899</v>
      </c>
      <c r="AD2553">
        <v>-1.1092743142440999</v>
      </c>
      <c r="AE2553">
        <v>-0.141800000000017</v>
      </c>
      <c r="AF2553">
        <v>-0.92973023311113301</v>
      </c>
      <c r="AG2553">
        <v>-1.1092743142440999</v>
      </c>
      <c r="AH2553">
        <v>12.3309579993153</v>
      </c>
      <c r="AI2553">
        <v>95.125933455473898</v>
      </c>
      <c r="AJ2553">
        <v>94.311831879399804</v>
      </c>
      <c r="AK2553">
        <v>12.4156116640091</v>
      </c>
      <c r="AL2553">
        <v>68.2783682042148</v>
      </c>
      <c r="AM2553">
        <v>98.589853619227398</v>
      </c>
      <c r="AN2553">
        <v>0.99999994257012303</v>
      </c>
    </row>
    <row r="2554" spans="1:40" x14ac:dyDescent="0.25">
      <c r="A2554" t="str">
        <f>"20190304164651397"</f>
        <v>20190304164651397</v>
      </c>
      <c r="B2554" t="str">
        <f>"1551689211390779"</f>
        <v>1551689211390779</v>
      </c>
      <c r="C2554" t="s">
        <v>40</v>
      </c>
      <c r="D2554">
        <v>4.560575</v>
      </c>
      <c r="E2554">
        <v>0.53756769999999998</v>
      </c>
      <c r="F2554" t="s">
        <v>49</v>
      </c>
      <c r="G2554">
        <v>-441.9701</v>
      </c>
      <c r="H2554" s="1">
        <v>-4.1547050000000001E-7</v>
      </c>
      <c r="I2554">
        <v>212.94829999999999</v>
      </c>
      <c r="J2554">
        <v>-454.28719999999998</v>
      </c>
      <c r="K2554">
        <v>1.1094349999999999</v>
      </c>
      <c r="L2554">
        <v>213.05860000000001</v>
      </c>
      <c r="M2554">
        <v>0.99616930000000004</v>
      </c>
      <c r="N2554">
        <v>-6.4359009999999999E-3</v>
      </c>
      <c r="O2554">
        <v>-8.7208079999999993E-2</v>
      </c>
      <c r="P2554">
        <v>0.92947659999999999</v>
      </c>
      <c r="Q2554">
        <v>0.3637975</v>
      </c>
      <c r="R2554">
        <v>6.1029010000000002E-2</v>
      </c>
      <c r="S2554">
        <v>3.3445740000000002</v>
      </c>
      <c r="T2554">
        <v>-0.29321209999999998</v>
      </c>
      <c r="U2554">
        <v>-3.7078859999999998E-2</v>
      </c>
      <c r="V2554">
        <v>-0.14131569999999999</v>
      </c>
      <c r="W2554">
        <v>0.36992160000000002</v>
      </c>
      <c r="X2554">
        <v>0.91825259999999997</v>
      </c>
      <c r="Y2554">
        <v>-7.5563729999999996E-2</v>
      </c>
      <c r="Z2554">
        <v>1.0610899999999999E-2</v>
      </c>
      <c r="AA2554">
        <v>0.99708450000000004</v>
      </c>
      <c r="AB2554">
        <v>30</v>
      </c>
      <c r="AC2554">
        <v>12.3170999999999</v>
      </c>
      <c r="AD2554">
        <v>-1.1094354154705</v>
      </c>
      <c r="AE2554">
        <v>-0.110300000000023</v>
      </c>
      <c r="AF2554">
        <v>-0.95653333291887699</v>
      </c>
      <c r="AG2554">
        <v>-1.1094354154705</v>
      </c>
      <c r="AH2554">
        <v>12.180973007431</v>
      </c>
      <c r="AI2554">
        <v>95.188221039312396</v>
      </c>
      <c r="AJ2554">
        <v>94.490042476820605</v>
      </c>
      <c r="AK2554">
        <v>12.2687369507154</v>
      </c>
      <c r="AL2554">
        <v>68.289217247651393</v>
      </c>
      <c r="AM2554">
        <v>98.748970337878205</v>
      </c>
      <c r="AN2554">
        <v>0.99999997730990398</v>
      </c>
    </row>
    <row r="2555" spans="1:40" x14ac:dyDescent="0.25">
      <c r="A2555" t="str">
        <f>"20190304164651420"</f>
        <v>20190304164651420</v>
      </c>
      <c r="B2555" t="str">
        <f>"1551689211411275"</f>
        <v>1551689211411275</v>
      </c>
      <c r="C2555" t="s">
        <v>40</v>
      </c>
      <c r="D2555">
        <v>4.565156</v>
      </c>
      <c r="E2555">
        <v>0.53761949999999903</v>
      </c>
      <c r="F2555" t="s">
        <v>49</v>
      </c>
      <c r="G2555">
        <v>-441.7045</v>
      </c>
      <c r="H2555" s="1">
        <v>-5.5658980000000005E-7</v>
      </c>
      <c r="I2555">
        <v>212.9425</v>
      </c>
      <c r="J2555">
        <v>-453.97269999999997</v>
      </c>
      <c r="K2555">
        <v>1.10959599999999</v>
      </c>
      <c r="L2555">
        <v>213.03059999999999</v>
      </c>
      <c r="M2555">
        <v>0.99613439999999998</v>
      </c>
      <c r="N2555">
        <v>-6.447436E-3</v>
      </c>
      <c r="O2555">
        <v>-8.7606550000000005E-2</v>
      </c>
      <c r="P2555">
        <v>0.92896440000000002</v>
      </c>
      <c r="Q2555">
        <v>0.36479319999999998</v>
      </c>
      <c r="R2555">
        <v>6.2858949999999997E-2</v>
      </c>
      <c r="S2555">
        <v>3.3450929999999999</v>
      </c>
      <c r="T2555">
        <v>-0.29494049999999999</v>
      </c>
      <c r="U2555">
        <v>-3.0883790000000001E-2</v>
      </c>
      <c r="V2555">
        <v>-0.14360539999999999</v>
      </c>
      <c r="W2555">
        <v>0.3708708</v>
      </c>
      <c r="X2555">
        <v>0.91751419999999995</v>
      </c>
      <c r="Y2555">
        <v>-7.7792899999999998E-2</v>
      </c>
      <c r="Z2555">
        <v>1.0810749999999999E-2</v>
      </c>
      <c r="AA2555">
        <v>0.99691090000000004</v>
      </c>
      <c r="AB2555">
        <v>30</v>
      </c>
      <c r="AC2555">
        <v>12.268199999999901</v>
      </c>
      <c r="AD2555">
        <v>-1.1095965565897901</v>
      </c>
      <c r="AE2555">
        <v>-8.8099999999997097E-2</v>
      </c>
      <c r="AF2555">
        <v>-0.97902733208238901</v>
      </c>
      <c r="AG2555">
        <v>-1.1095965565897901</v>
      </c>
      <c r="AH2555">
        <v>12.1295291075431</v>
      </c>
      <c r="AI2555">
        <v>95.209960288210993</v>
      </c>
      <c r="AJ2555">
        <v>94.614589190192106</v>
      </c>
      <c r="AK2555">
        <v>12.2194588835224</v>
      </c>
      <c r="AL2555">
        <v>68.230667842315697</v>
      </c>
      <c r="AM2555">
        <v>98.895520612328596</v>
      </c>
      <c r="AN2555">
        <v>0.99999998420171898</v>
      </c>
    </row>
    <row r="2556" spans="1:40" x14ac:dyDescent="0.25">
      <c r="A2556" t="str">
        <f>"20190304164651438"</f>
        <v>20190304164651438</v>
      </c>
      <c r="B2556" t="str">
        <f>"1551689211430794"</f>
        <v>1551689211430794</v>
      </c>
      <c r="C2556" t="s">
        <v>40</v>
      </c>
      <c r="D2556">
        <v>4.5655999999999999</v>
      </c>
      <c r="E2556">
        <v>0.53773029999999999</v>
      </c>
      <c r="F2556" t="s">
        <v>49</v>
      </c>
      <c r="G2556">
        <v>-441.28399999999999</v>
      </c>
      <c r="H2556" s="1">
        <v>-7.8009039999999996E-7</v>
      </c>
      <c r="I2556">
        <v>212.93719999999999</v>
      </c>
      <c r="J2556">
        <v>-453.71510000000001</v>
      </c>
      <c r="K2556">
        <v>1.109721</v>
      </c>
      <c r="L2556">
        <v>213.0077</v>
      </c>
      <c r="M2556">
        <v>0.99611729999999998</v>
      </c>
      <c r="N2556">
        <v>-6.4569609999999998E-3</v>
      </c>
      <c r="O2556">
        <v>-8.7799660000000002E-2</v>
      </c>
      <c r="P2556">
        <v>0.92830219999999997</v>
      </c>
      <c r="Q2556">
        <v>0.36609710000000001</v>
      </c>
      <c r="R2556">
        <v>6.5025260000000001E-2</v>
      </c>
      <c r="S2556">
        <v>3.3459780000000001</v>
      </c>
      <c r="T2556">
        <v>-0.2925991</v>
      </c>
      <c r="U2556">
        <v>-2.4627690000000001E-2</v>
      </c>
      <c r="V2556">
        <v>-0.14599319999999999</v>
      </c>
      <c r="W2556">
        <v>0.37213610000000003</v>
      </c>
      <c r="X2556">
        <v>0.91662460000000001</v>
      </c>
      <c r="Y2556">
        <v>-7.9853430000000003E-2</v>
      </c>
      <c r="Z2556">
        <v>1.0831779999999999E-2</v>
      </c>
      <c r="AA2556">
        <v>0.99674779999999996</v>
      </c>
      <c r="AB2556">
        <v>30</v>
      </c>
      <c r="AC2556">
        <v>12.431100000000001</v>
      </c>
      <c r="AD2556">
        <v>-1.10972178009039</v>
      </c>
      <c r="AE2556">
        <v>-7.0500000000009694E-2</v>
      </c>
      <c r="AF2556">
        <v>-1.0131675270266001</v>
      </c>
      <c r="AG2556">
        <v>-1.10972178009039</v>
      </c>
      <c r="AH2556">
        <v>12.2913333248543</v>
      </c>
      <c r="AI2556">
        <v>95.141612348453506</v>
      </c>
      <c r="AJ2556">
        <v>94.712204844617801</v>
      </c>
      <c r="AK2556">
        <v>12.3828456248837</v>
      </c>
      <c r="AL2556">
        <v>68.152582852862494</v>
      </c>
      <c r="AM2556">
        <v>99.049636684099795</v>
      </c>
      <c r="AN2556">
        <v>0.99999997434730403</v>
      </c>
    </row>
    <row r="2557" spans="1:40" x14ac:dyDescent="0.25">
      <c r="A2557" t="str">
        <f>"20190304164651462"</f>
        <v>20190304164651462</v>
      </c>
      <c r="B2557" t="str">
        <f>"1551689211451291"</f>
        <v>1551689211451291</v>
      </c>
      <c r="C2557" t="s">
        <v>40</v>
      </c>
      <c r="D2557">
        <v>4.5636590000000004</v>
      </c>
      <c r="E2557">
        <v>0.53776409999999997</v>
      </c>
      <c r="F2557" t="s">
        <v>49</v>
      </c>
      <c r="G2557">
        <v>-440.82830000000001</v>
      </c>
      <c r="H2557" s="1">
        <v>-1.022203E-6</v>
      </c>
      <c r="I2557">
        <v>212.9282</v>
      </c>
      <c r="J2557">
        <v>-453.40100000000001</v>
      </c>
      <c r="K2557">
        <v>1.1098629999999901</v>
      </c>
      <c r="L2557">
        <v>212.97989999999999</v>
      </c>
      <c r="M2557">
        <v>0.99611269999999996</v>
      </c>
      <c r="N2557">
        <v>-6.4687440000000002E-3</v>
      </c>
      <c r="O2557">
        <v>-8.7852470000000002E-2</v>
      </c>
      <c r="P2557">
        <v>0.92768189999999995</v>
      </c>
      <c r="Q2557">
        <v>0.36727939999999998</v>
      </c>
      <c r="R2557">
        <v>6.7175319999999997E-2</v>
      </c>
      <c r="S2557">
        <v>3.3468019999999998</v>
      </c>
      <c r="T2557">
        <v>-0.28820420000000002</v>
      </c>
      <c r="U2557">
        <v>-2.0660399999999999E-2</v>
      </c>
      <c r="V2557">
        <v>-0.148258</v>
      </c>
      <c r="W2557">
        <v>0.3732741</v>
      </c>
      <c r="X2557">
        <v>0.915798</v>
      </c>
      <c r="Y2557">
        <v>-8.1103300000000003E-2</v>
      </c>
      <c r="Z2557">
        <v>1.072387E-2</v>
      </c>
      <c r="AA2557">
        <v>0.99664799999999998</v>
      </c>
      <c r="AB2557">
        <v>30</v>
      </c>
      <c r="AC2557">
        <v>12.5726999999999</v>
      </c>
      <c r="AD2557">
        <v>-1.1098640222029901</v>
      </c>
      <c r="AE2557">
        <v>-5.1699999999982503E-2</v>
      </c>
      <c r="AF2557">
        <v>-1.0449230083127199</v>
      </c>
      <c r="AG2557">
        <v>-1.1098640222029901</v>
      </c>
      <c r="AH2557">
        <v>12.431753606558701</v>
      </c>
      <c r="AI2557">
        <v>95.083811922791398</v>
      </c>
      <c r="AJ2557">
        <v>94.804574194025605</v>
      </c>
      <c r="AK2557">
        <v>12.5248616748956</v>
      </c>
      <c r="AL2557">
        <v>68.082317816208302</v>
      </c>
      <c r="AM2557">
        <v>99.195798886392495</v>
      </c>
      <c r="AN2557">
        <v>0.99999998254940403</v>
      </c>
    </row>
    <row r="2558" spans="1:40" x14ac:dyDescent="0.25">
      <c r="A2558" t="str">
        <f>"20190304164651485"</f>
        <v>20190304164651485</v>
      </c>
      <c r="B2558" t="str">
        <f>"1551689211481547"</f>
        <v>1551689211481547</v>
      </c>
      <c r="C2558" t="s">
        <v>40</v>
      </c>
      <c r="D2558">
        <v>4.5641030000000002</v>
      </c>
      <c r="E2558">
        <v>0.53783029999999998</v>
      </c>
      <c r="F2558" t="s">
        <v>49</v>
      </c>
      <c r="G2558">
        <v>-440.33800000000002</v>
      </c>
      <c r="H2558" s="1">
        <v>-1.2828029999999999E-6</v>
      </c>
      <c r="I2558">
        <v>212.92070000000001</v>
      </c>
      <c r="J2558">
        <v>-453.08690000000001</v>
      </c>
      <c r="K2558">
        <v>1.1100319999999999</v>
      </c>
      <c r="L2558">
        <v>212.95230000000001</v>
      </c>
      <c r="M2558">
        <v>0.9961274</v>
      </c>
      <c r="N2558">
        <v>-6.4808210000000003E-3</v>
      </c>
      <c r="O2558">
        <v>-8.768281E-2</v>
      </c>
      <c r="P2558">
        <v>0.92717890000000003</v>
      </c>
      <c r="Q2558">
        <v>0.36824050000000003</v>
      </c>
      <c r="R2558">
        <v>6.883736E-2</v>
      </c>
      <c r="S2558">
        <v>3.3475950000000001</v>
      </c>
      <c r="T2558">
        <v>-0.28442060000000002</v>
      </c>
      <c r="U2558">
        <v>-1.5182499999999899E-2</v>
      </c>
      <c r="V2558">
        <v>-0.1498534</v>
      </c>
      <c r="W2558">
        <v>0.37418709999999999</v>
      </c>
      <c r="X2558">
        <v>0.91516549999999997</v>
      </c>
      <c r="Y2558">
        <v>-8.2576800000000006E-2</v>
      </c>
      <c r="Z2558">
        <v>1.063063E-2</v>
      </c>
      <c r="AA2558">
        <v>0.99652799999999997</v>
      </c>
      <c r="AB2558">
        <v>30</v>
      </c>
      <c r="AC2558">
        <v>12.7488999999999</v>
      </c>
      <c r="AD2558">
        <v>-1.110033282803</v>
      </c>
      <c r="AE2558">
        <v>-3.1599999999997401E-2</v>
      </c>
      <c r="AF2558">
        <v>-1.07823050938864</v>
      </c>
      <c r="AG2558">
        <v>-1.110033282803</v>
      </c>
      <c r="AH2558">
        <v>12.6069926440753</v>
      </c>
      <c r="AI2558">
        <v>95.013650711592305</v>
      </c>
      <c r="AJ2558">
        <v>94.888404897519905</v>
      </c>
      <c r="AK2558">
        <v>12.701614796870301</v>
      </c>
      <c r="AL2558">
        <v>68.025919504345396</v>
      </c>
      <c r="AM2558">
        <v>99.299347723821498</v>
      </c>
      <c r="AN2558">
        <v>0.99999995984410905</v>
      </c>
    </row>
    <row r="2559" spans="1:40" x14ac:dyDescent="0.25">
      <c r="A2559" t="str">
        <f>"20190304164651505"</f>
        <v>20190304164651505</v>
      </c>
      <c r="B2559" t="str">
        <f>"1551689211501067"</f>
        <v>1551689211501067</v>
      </c>
      <c r="C2559" t="s">
        <v>40</v>
      </c>
      <c r="D2559">
        <v>4.5417430000000003</v>
      </c>
      <c r="E2559">
        <v>0.53529209999999905</v>
      </c>
      <c r="F2559" t="s">
        <v>50</v>
      </c>
      <c r="G2559">
        <v>-439.88459999999998</v>
      </c>
      <c r="H2559" s="1">
        <v>6.7490710000000001E-6</v>
      </c>
      <c r="I2559">
        <v>212.91569999999999</v>
      </c>
      <c r="J2559">
        <v>-452.80329999999998</v>
      </c>
      <c r="K2559">
        <v>1.1101989999999999</v>
      </c>
      <c r="L2559">
        <v>212.92760000000001</v>
      </c>
      <c r="M2559">
        <v>0.99615969999999998</v>
      </c>
      <c r="N2559">
        <v>-6.4925299999999998E-3</v>
      </c>
      <c r="O2559">
        <v>-8.7312769999999998E-2</v>
      </c>
      <c r="P2559">
        <v>0.92667790000000005</v>
      </c>
      <c r="Q2559">
        <v>0.3690833</v>
      </c>
      <c r="R2559">
        <v>7.1034189999999997E-2</v>
      </c>
      <c r="S2559">
        <v>3.3481450000000001</v>
      </c>
      <c r="T2559">
        <v>-0.2815069</v>
      </c>
      <c r="U2559">
        <v>-9.2773439999999999E-3</v>
      </c>
      <c r="V2559">
        <v>-0.15180469999999999</v>
      </c>
      <c r="W2559">
        <v>0.37497659999999999</v>
      </c>
      <c r="X2559">
        <v>0.91452060000000002</v>
      </c>
      <c r="Y2559">
        <v>-8.3973069999999997E-2</v>
      </c>
      <c r="Z2559">
        <v>1.055148E-2</v>
      </c>
      <c r="AA2559">
        <v>0.99641219999999997</v>
      </c>
      <c r="AB2559">
        <v>31</v>
      </c>
      <c r="AC2559">
        <v>12.918699999999999</v>
      </c>
      <c r="AD2559">
        <v>-1.1101922509290001</v>
      </c>
      <c r="AE2559">
        <v>-1.19000000000255E-2</v>
      </c>
      <c r="AF2559">
        <v>-1.1079544139539099</v>
      </c>
      <c r="AG2559">
        <v>-1.1101922509290001</v>
      </c>
      <c r="AH2559">
        <v>12.776046937450401</v>
      </c>
      <c r="AI2559">
        <v>94.947843049828805</v>
      </c>
      <c r="AJ2559">
        <v>94.956360000395406</v>
      </c>
      <c r="AK2559">
        <v>12.8719643087355</v>
      </c>
      <c r="AL2559">
        <v>67.977133943185507</v>
      </c>
      <c r="AM2559">
        <v>99.424804634688599</v>
      </c>
      <c r="AN2559">
        <v>1.0000000226570001</v>
      </c>
    </row>
    <row r="2560" spans="1:40" x14ac:dyDescent="0.25">
      <c r="A2560" t="str">
        <f>"20190304164651528"</f>
        <v>20190304164651528</v>
      </c>
      <c r="B2560" t="str">
        <f>"1551689211520587"</f>
        <v>1551689211520587</v>
      </c>
      <c r="C2560" t="s">
        <v>40</v>
      </c>
      <c r="D2560">
        <v>4.5609209999999996</v>
      </c>
      <c r="E2560">
        <v>0.53505459999999905</v>
      </c>
      <c r="F2560" t="s">
        <v>49</v>
      </c>
      <c r="G2560">
        <v>-443.30189999999999</v>
      </c>
      <c r="H2560" s="1">
        <v>2.9086899999999998E-7</v>
      </c>
      <c r="I2560">
        <v>213.00190000000001</v>
      </c>
      <c r="J2560">
        <v>-452.49700000000001</v>
      </c>
      <c r="K2560">
        <v>1.1104050000000001</v>
      </c>
      <c r="L2560">
        <v>212.90119999999999</v>
      </c>
      <c r="M2560">
        <v>0.99621729999999997</v>
      </c>
      <c r="N2560">
        <v>-6.5064619999999898E-3</v>
      </c>
      <c r="O2560">
        <v>-8.6653789999999994E-2</v>
      </c>
      <c r="P2560">
        <v>0.92637780000000003</v>
      </c>
      <c r="Q2560">
        <v>0.3691738</v>
      </c>
      <c r="R2560">
        <v>7.4394479999999999E-2</v>
      </c>
      <c r="S2560">
        <v>3.3932190000000002</v>
      </c>
      <c r="T2560">
        <v>-0.39648410000000001</v>
      </c>
      <c r="U2560">
        <v>2.6550290000000001E-2</v>
      </c>
      <c r="V2560">
        <v>-0.15470799999999901</v>
      </c>
      <c r="W2560">
        <v>0.3749979</v>
      </c>
      <c r="X2560">
        <v>0.91402519999999998</v>
      </c>
      <c r="Y2560">
        <v>-9.3253169999999996E-2</v>
      </c>
      <c r="Z2560">
        <v>1.5253549999999999E-2</v>
      </c>
      <c r="AA2560">
        <v>0.99552560000000001</v>
      </c>
      <c r="AB2560">
        <v>31</v>
      </c>
      <c r="AC2560">
        <v>9.1950999999999592</v>
      </c>
      <c r="AD2560">
        <v>-1.1104047091310001</v>
      </c>
      <c r="AE2560">
        <v>0.100700000000017</v>
      </c>
      <c r="AF2560">
        <v>-0.88423494644878997</v>
      </c>
      <c r="AG2560">
        <v>-1.1104047091310001</v>
      </c>
      <c r="AH2560">
        <v>9.0202573313520595</v>
      </c>
      <c r="AI2560">
        <v>96.984726936660195</v>
      </c>
      <c r="AJ2560">
        <v>95.598684979269805</v>
      </c>
      <c r="AK2560">
        <v>9.1312601749370899</v>
      </c>
      <c r="AL2560">
        <v>67.975817610482693</v>
      </c>
      <c r="AM2560">
        <v>99.606838085411596</v>
      </c>
      <c r="AN2560">
        <v>1.0000000282517201</v>
      </c>
    </row>
    <row r="2561" spans="1:40" x14ac:dyDescent="0.25">
      <c r="A2561" t="str">
        <f>"20190304164651551"</f>
        <v>20190304164651551</v>
      </c>
      <c r="B2561" t="str">
        <f>"1551689211541083"</f>
        <v>1551689211541083</v>
      </c>
      <c r="C2561" t="s">
        <v>40</v>
      </c>
      <c r="D2561">
        <v>4.5493990000000002</v>
      </c>
      <c r="E2561">
        <v>0.5349159</v>
      </c>
      <c r="F2561" t="s">
        <v>49</v>
      </c>
      <c r="G2561">
        <v>-443.32839999999999</v>
      </c>
      <c r="H2561" s="1">
        <v>3.0485440000000001E-7</v>
      </c>
      <c r="I2561">
        <v>213.00530000000001</v>
      </c>
      <c r="J2561">
        <v>-452.17270000000002</v>
      </c>
      <c r="K2561">
        <v>1.110657</v>
      </c>
      <c r="L2561">
        <v>212.87389999999999</v>
      </c>
      <c r="M2561">
        <v>0.99630549999999996</v>
      </c>
      <c r="N2561">
        <v>-6.5230349999999999E-3</v>
      </c>
      <c r="O2561">
        <v>-8.563142E-2</v>
      </c>
      <c r="P2561">
        <v>0.92594330000000002</v>
      </c>
      <c r="Q2561">
        <v>0.36968529999999999</v>
      </c>
      <c r="R2561">
        <v>7.7212530000000001E-2</v>
      </c>
      <c r="S2561">
        <v>3.3993530000000001</v>
      </c>
      <c r="T2561">
        <v>-0.41169480000000003</v>
      </c>
      <c r="U2561">
        <v>3.8589480000000002E-2</v>
      </c>
      <c r="V2561">
        <v>-0.15677199999999999</v>
      </c>
      <c r="W2561">
        <v>0.37542219999999998</v>
      </c>
      <c r="X2561">
        <v>0.91349919999999996</v>
      </c>
      <c r="Y2561">
        <v>-9.5641480000000001E-2</v>
      </c>
      <c r="Z2561">
        <v>1.5850779999999998E-2</v>
      </c>
      <c r="AA2561">
        <v>0.9952896</v>
      </c>
      <c r="AB2561">
        <v>31</v>
      </c>
      <c r="AC2561">
        <v>8.8443000000000307</v>
      </c>
      <c r="AD2561">
        <v>-1.1106566951456001</v>
      </c>
      <c r="AE2561">
        <v>0.13140000000001301</v>
      </c>
      <c r="AF2561">
        <v>-0.87449564949164105</v>
      </c>
      <c r="AG2561">
        <v>-1.1106566951456001</v>
      </c>
      <c r="AH2561">
        <v>8.6639594457071905</v>
      </c>
      <c r="AI2561">
        <v>97.268527616314003</v>
      </c>
      <c r="AJ2561">
        <v>95.763622172503403</v>
      </c>
      <c r="AK2561">
        <v>8.7785246033892506</v>
      </c>
      <c r="AL2561">
        <v>67.949591115687198</v>
      </c>
      <c r="AM2561">
        <v>99.738066641754699</v>
      </c>
      <c r="AN2561">
        <v>1.00000003831873</v>
      </c>
    </row>
    <row r="2562" spans="1:40" x14ac:dyDescent="0.25">
      <c r="A2562" t="str">
        <f>"20190304164651575"</f>
        <v>20190304164651575</v>
      </c>
      <c r="B2562" t="str">
        <f>"1551689211571339"</f>
        <v>1551689211571339</v>
      </c>
      <c r="C2562" t="s">
        <v>40</v>
      </c>
      <c r="D2562">
        <v>4.574503</v>
      </c>
      <c r="E2562">
        <v>0.53504410000000002</v>
      </c>
      <c r="F2562" t="s">
        <v>49</v>
      </c>
      <c r="G2562">
        <v>-443.00319999999999</v>
      </c>
      <c r="H2562" s="1">
        <v>1.317284E-7</v>
      </c>
      <c r="I2562">
        <v>213.0068</v>
      </c>
      <c r="J2562">
        <v>-451.85469999999998</v>
      </c>
      <c r="K2562">
        <v>1.1109370000000001</v>
      </c>
      <c r="L2562">
        <v>212.8477</v>
      </c>
      <c r="M2562">
        <v>0.99642269999999999</v>
      </c>
      <c r="N2562">
        <v>-6.5414440000000004E-3</v>
      </c>
      <c r="O2562">
        <v>-8.4257570000000004E-2</v>
      </c>
      <c r="P2562">
        <v>0.92604169999999997</v>
      </c>
      <c r="Q2562">
        <v>0.36894890000000002</v>
      </c>
      <c r="R2562">
        <v>7.9522090000000004E-2</v>
      </c>
      <c r="S2562">
        <v>3.400299</v>
      </c>
      <c r="T2562">
        <v>-0.4118639</v>
      </c>
      <c r="U2562">
        <v>4.9285889999999999E-2</v>
      </c>
      <c r="V2562">
        <v>-0.15807650000000001</v>
      </c>
      <c r="W2562">
        <v>0.37459290000000001</v>
      </c>
      <c r="X2562">
        <v>0.9136147</v>
      </c>
      <c r="Y2562">
        <v>-9.7391389999999994E-2</v>
      </c>
      <c r="Z2562">
        <v>1.5807189999999999E-2</v>
      </c>
      <c r="AA2562">
        <v>0.99512060000000002</v>
      </c>
      <c r="AB2562">
        <v>31</v>
      </c>
      <c r="AC2562">
        <v>8.8514999999999802</v>
      </c>
      <c r="AD2562">
        <v>-1.1109368682716001</v>
      </c>
      <c r="AE2562">
        <v>0.159099999999995</v>
      </c>
      <c r="AF2562">
        <v>-0.89033559699821796</v>
      </c>
      <c r="AG2562">
        <v>-1.1109368682716001</v>
      </c>
      <c r="AH2562">
        <v>8.6700871075958599</v>
      </c>
      <c r="AI2562">
        <v>97.263986630281593</v>
      </c>
      <c r="AJ2562">
        <v>95.863180254597296</v>
      </c>
      <c r="AK2562">
        <v>8.78619876020724</v>
      </c>
      <c r="AL2562">
        <v>68.000844344356807</v>
      </c>
      <c r="AM2562">
        <v>99.816309658650198</v>
      </c>
      <c r="AN2562">
        <v>0.99999992031937102</v>
      </c>
    </row>
    <row r="2563" spans="1:40" x14ac:dyDescent="0.25">
      <c r="A2563" t="str">
        <f>"20190304164651600"</f>
        <v>20190304164651600</v>
      </c>
      <c r="B2563" t="str">
        <f>"1551689211590859"</f>
        <v>1551689211590859</v>
      </c>
      <c r="C2563" t="s">
        <v>40</v>
      </c>
      <c r="D2563">
        <v>4.5631709999999996</v>
      </c>
      <c r="E2563">
        <v>0.53564999999999996</v>
      </c>
      <c r="F2563" t="s">
        <v>49</v>
      </c>
      <c r="G2563">
        <v>-442.91410000000002</v>
      </c>
      <c r="H2563" s="1">
        <v>8.4604900000000003E-8</v>
      </c>
      <c r="I2563">
        <v>213</v>
      </c>
      <c r="J2563">
        <v>-451.51100000000002</v>
      </c>
      <c r="K2563">
        <v>1.1112519999999999</v>
      </c>
      <c r="L2563">
        <v>212.82060000000001</v>
      </c>
      <c r="M2563">
        <v>0.996587</v>
      </c>
      <c r="N2563">
        <v>-6.5641950000000001E-3</v>
      </c>
      <c r="O2563">
        <v>-8.2287970000000002E-2</v>
      </c>
      <c r="P2563">
        <v>0.92641229999999997</v>
      </c>
      <c r="Q2563">
        <v>0.36754900000000001</v>
      </c>
      <c r="R2563">
        <v>8.1659620000000002E-2</v>
      </c>
      <c r="S2563">
        <v>3.403076</v>
      </c>
      <c r="T2563">
        <v>-0.42285929999999999</v>
      </c>
      <c r="U2563">
        <v>5.7968140000000001E-2</v>
      </c>
      <c r="V2563">
        <v>-0.15872439999999999</v>
      </c>
      <c r="W2563">
        <v>0.37308789999999997</v>
      </c>
      <c r="X2563">
        <v>0.91411819999999999</v>
      </c>
      <c r="Y2563">
        <v>-9.7892000000000007E-2</v>
      </c>
      <c r="Z2563">
        <v>1.602042E-2</v>
      </c>
      <c r="AA2563">
        <v>0.99506810000000001</v>
      </c>
      <c r="AB2563">
        <v>31</v>
      </c>
      <c r="AC2563">
        <v>8.5968999999999394</v>
      </c>
      <c r="AD2563">
        <v>-1.1112519153950999</v>
      </c>
      <c r="AE2563">
        <v>0.17939999999998599</v>
      </c>
      <c r="AF2563">
        <v>-0.87167014016617494</v>
      </c>
      <c r="AG2563">
        <v>-1.1112519153950999</v>
      </c>
      <c r="AH2563">
        <v>8.4124804015782608</v>
      </c>
      <c r="AI2563">
        <v>97.485338495476299</v>
      </c>
      <c r="AJ2563">
        <v>95.915666407707803</v>
      </c>
      <c r="AK2563">
        <v>8.5302119645214507</v>
      </c>
      <c r="AL2563">
        <v>68.093818561223998</v>
      </c>
      <c r="AM2563">
        <v>99.850433626163394</v>
      </c>
      <c r="AN2563">
        <v>1.0000000499265</v>
      </c>
    </row>
    <row r="2564" spans="1:40" x14ac:dyDescent="0.25">
      <c r="A2564" t="str">
        <f>"20190304164651622"</f>
        <v>20190304164651622</v>
      </c>
      <c r="B2564" t="str">
        <f>"1551689211611355"</f>
        <v>1551689211611355</v>
      </c>
      <c r="C2564" t="s">
        <v>40</v>
      </c>
      <c r="D2564">
        <v>4.5497500000000004</v>
      </c>
      <c r="E2564">
        <v>0.53608599999999995</v>
      </c>
      <c r="F2564" t="s">
        <v>49</v>
      </c>
      <c r="G2564">
        <v>-442.62970000000001</v>
      </c>
      <c r="H2564" s="1">
        <v>-6.5996890000000003E-8</v>
      </c>
      <c r="I2564">
        <v>212.98339999999999</v>
      </c>
      <c r="J2564">
        <v>-451.20979999999997</v>
      </c>
      <c r="K2564">
        <v>1.1115250000000001</v>
      </c>
      <c r="L2564">
        <v>212.79759999999999</v>
      </c>
      <c r="M2564">
        <v>0.99675290000000005</v>
      </c>
      <c r="N2564">
        <v>-6.5839480000000001E-3</v>
      </c>
      <c r="O2564">
        <v>-8.0254030000000004E-2</v>
      </c>
      <c r="P2564">
        <v>0.9264483</v>
      </c>
      <c r="Q2564">
        <v>0.36710680000000001</v>
      </c>
      <c r="R2564">
        <v>8.3226359999999999E-2</v>
      </c>
      <c r="S2564">
        <v>3.401672</v>
      </c>
      <c r="T2564">
        <v>-0.42562879999999997</v>
      </c>
      <c r="U2564">
        <v>6.2362670000000002E-2</v>
      </c>
      <c r="V2564">
        <v>-0.158662</v>
      </c>
      <c r="W2564">
        <v>0.37256230000000001</v>
      </c>
      <c r="X2564">
        <v>0.91434329999999997</v>
      </c>
      <c r="Y2564">
        <v>-9.7154619999999997E-2</v>
      </c>
      <c r="Z2564">
        <v>1.5844029999999999E-2</v>
      </c>
      <c r="AA2564">
        <v>0.99514320000000001</v>
      </c>
      <c r="AB2564">
        <v>31</v>
      </c>
      <c r="AC2564">
        <v>8.5800999999999501</v>
      </c>
      <c r="AD2564">
        <v>-1.1115250659968801</v>
      </c>
      <c r="AE2564">
        <v>0.18579999999999999</v>
      </c>
      <c r="AF2564">
        <v>-0.85938724310260395</v>
      </c>
      <c r="AG2564">
        <v>-1.1115250659968801</v>
      </c>
      <c r="AH2564">
        <v>8.3966616839253891</v>
      </c>
      <c r="AI2564">
        <v>97.502060322064693</v>
      </c>
      <c r="AJ2564">
        <v>95.843799024630499</v>
      </c>
      <c r="AK2564">
        <v>8.5133989593021901</v>
      </c>
      <c r="AL2564">
        <v>68.126271626307002</v>
      </c>
      <c r="AM2564">
        <v>99.844260209628999</v>
      </c>
      <c r="AN2564">
        <v>0.99999998394008904</v>
      </c>
    </row>
    <row r="2565" spans="1:40" x14ac:dyDescent="0.25">
      <c r="A2565" t="str">
        <f>"20190304164651641"</f>
        <v>20190304164651641</v>
      </c>
      <c r="B2565" t="str">
        <f>"1551689211630874"</f>
        <v>1551689211630874</v>
      </c>
      <c r="C2565" t="s">
        <v>40</v>
      </c>
      <c r="D2565">
        <v>4.5639419999999999</v>
      </c>
      <c r="E2565">
        <v>0.53624859999999996</v>
      </c>
      <c r="F2565" t="s">
        <v>49</v>
      </c>
      <c r="G2565">
        <v>-442.3682</v>
      </c>
      <c r="H2565" s="1">
        <v>-2.0456630000000001E-7</v>
      </c>
      <c r="I2565">
        <v>212.9693</v>
      </c>
      <c r="J2565">
        <v>-450.93</v>
      </c>
      <c r="K2565">
        <v>1.111769</v>
      </c>
      <c r="L2565">
        <v>212.77699999999999</v>
      </c>
      <c r="M2565">
        <v>0.99692389999999997</v>
      </c>
      <c r="N2565">
        <v>-6.6017489999999996E-3</v>
      </c>
      <c r="O2565">
        <v>-7.8098199999999895E-2</v>
      </c>
      <c r="P2565">
        <v>0.92620539999999996</v>
      </c>
      <c r="Q2565">
        <v>0.36750729999999998</v>
      </c>
      <c r="R2565">
        <v>8.4154259999999995E-2</v>
      </c>
      <c r="S2565">
        <v>3.401672</v>
      </c>
      <c r="T2565">
        <v>-0.42764289999999999</v>
      </c>
      <c r="U2565">
        <v>6.607056E-2</v>
      </c>
      <c r="V2565">
        <v>-0.157801</v>
      </c>
      <c r="W2565">
        <v>0.37289280000000002</v>
      </c>
      <c r="X2565">
        <v>0.91435759999999999</v>
      </c>
      <c r="Y2565">
        <v>-9.6097829999999995E-2</v>
      </c>
      <c r="Z2565">
        <v>1.559397E-2</v>
      </c>
      <c r="AA2565">
        <v>0.99524970000000001</v>
      </c>
      <c r="AB2565">
        <v>31</v>
      </c>
      <c r="AC2565">
        <v>8.5617999999999999</v>
      </c>
      <c r="AD2565">
        <v>-1.1117692045662999</v>
      </c>
      <c r="AE2565">
        <v>0.19229999999998801</v>
      </c>
      <c r="AF2565">
        <v>-0.84612841267959604</v>
      </c>
      <c r="AG2565">
        <v>-1.1117692045662999</v>
      </c>
      <c r="AH2565">
        <v>8.3794105600196893</v>
      </c>
      <c r="AI2565">
        <v>97.519986899823294</v>
      </c>
      <c r="AJ2565">
        <v>95.766016050982202</v>
      </c>
      <c r="AK2565">
        <v>8.4950859553235301</v>
      </c>
      <c r="AL2565">
        <v>68.105865437725797</v>
      </c>
      <c r="AM2565">
        <v>99.791725730079904</v>
      </c>
      <c r="AN2565">
        <v>1.0000000082853</v>
      </c>
    </row>
    <row r="2566" spans="1:40" x14ac:dyDescent="0.25">
      <c r="A2566" t="str">
        <f>"20190304164651668"</f>
        <v>20190304164651668</v>
      </c>
      <c r="B2566" t="str">
        <f>"1551689211661131"</f>
        <v>1551689211661131</v>
      </c>
      <c r="C2566" t="s">
        <v>40</v>
      </c>
      <c r="D2566">
        <v>4.5947180000000003</v>
      </c>
      <c r="E2566">
        <v>0.53638889999999995</v>
      </c>
      <c r="F2566" t="s">
        <v>49</v>
      </c>
      <c r="G2566">
        <v>-442.1277</v>
      </c>
      <c r="H2566" s="1">
        <v>-3.3214699999999999E-7</v>
      </c>
      <c r="I2566">
        <v>212.96029999999999</v>
      </c>
      <c r="J2566">
        <v>-450.56270000000001</v>
      </c>
      <c r="K2566">
        <v>1.1120730000000001</v>
      </c>
      <c r="L2566">
        <v>212.75129999999999</v>
      </c>
      <c r="M2566">
        <v>0.99717049999999996</v>
      </c>
      <c r="N2566">
        <v>-6.6255039999999999E-3</v>
      </c>
      <c r="O2566">
        <v>-7.4880050000000004E-2</v>
      </c>
      <c r="P2566">
        <v>0.92565059999999999</v>
      </c>
      <c r="Q2566">
        <v>0.36837940000000002</v>
      </c>
      <c r="R2566">
        <v>8.6415999999999896E-2</v>
      </c>
      <c r="S2566">
        <v>3.403168</v>
      </c>
      <c r="T2566">
        <v>-0.42983510000000003</v>
      </c>
      <c r="U2566">
        <v>7.08313E-2</v>
      </c>
      <c r="V2566">
        <v>-0.157329</v>
      </c>
      <c r="W2566">
        <v>0.37367400000000001</v>
      </c>
      <c r="X2566">
        <v>0.91412000000000004</v>
      </c>
      <c r="Y2566">
        <v>-9.4293940000000007E-2</v>
      </c>
      <c r="Z2566">
        <v>1.516435E-2</v>
      </c>
      <c r="AA2566">
        <v>0.99542889999999995</v>
      </c>
      <c r="AB2566">
        <v>31</v>
      </c>
      <c r="AC2566">
        <v>8.4350000000000005</v>
      </c>
      <c r="AD2566">
        <v>-1.11207333214699</v>
      </c>
      <c r="AE2566">
        <v>0.20900000000000299</v>
      </c>
      <c r="AF2566">
        <v>-0.82569696813266202</v>
      </c>
      <c r="AG2566">
        <v>-1.11207333214699</v>
      </c>
      <c r="AH2566">
        <v>8.2523151073555798</v>
      </c>
      <c r="AI2566">
        <v>97.637203002300794</v>
      </c>
      <c r="AJ2566">
        <v>95.713792791123694</v>
      </c>
      <c r="AK2566">
        <v>8.3677468419130108</v>
      </c>
      <c r="AL2566">
        <v>68.057618911981294</v>
      </c>
      <c r="AM2566">
        <v>99.765490833127799</v>
      </c>
      <c r="AN2566">
        <v>1.00000002345849</v>
      </c>
    </row>
    <row r="2567" spans="1:40" x14ac:dyDescent="0.25">
      <c r="A2567" t="str">
        <f>"20190304164651690"</f>
        <v>20190304164651690</v>
      </c>
      <c r="B2567" t="str">
        <f>"1551689211680651"</f>
        <v>1551689211680651</v>
      </c>
      <c r="C2567" t="s">
        <v>40</v>
      </c>
      <c r="D2567">
        <v>4.6218279999999998</v>
      </c>
      <c r="E2567">
        <v>0.53642699999999999</v>
      </c>
      <c r="F2567" t="s">
        <v>49</v>
      </c>
      <c r="G2567">
        <v>-441.73309999999998</v>
      </c>
      <c r="H2567" s="1">
        <v>-5.4179900000000002E-7</v>
      </c>
      <c r="I2567">
        <v>212.9528</v>
      </c>
      <c r="J2567">
        <v>-450.24639999999999</v>
      </c>
      <c r="K2567">
        <v>1.112317</v>
      </c>
      <c r="L2567">
        <v>212.7304</v>
      </c>
      <c r="M2567">
        <v>0.99739690000000003</v>
      </c>
      <c r="N2567">
        <v>-6.6465669999999999E-3</v>
      </c>
      <c r="O2567">
        <v>-7.180011E-2</v>
      </c>
      <c r="P2567">
        <v>0.92514989999999997</v>
      </c>
      <c r="Q2567">
        <v>0.36907420000000002</v>
      </c>
      <c r="R2567">
        <v>8.8779079999999996E-2</v>
      </c>
      <c r="S2567">
        <v>3.4043879999999902</v>
      </c>
      <c r="T2567">
        <v>-0.42877530000000003</v>
      </c>
      <c r="U2567">
        <v>7.7667239999999999E-2</v>
      </c>
      <c r="V2567">
        <v>-0.15704419999999999</v>
      </c>
      <c r="W2567">
        <v>0.37429669999999998</v>
      </c>
      <c r="X2567">
        <v>0.91391420000000001</v>
      </c>
      <c r="Y2567">
        <v>-9.3248170000000005E-2</v>
      </c>
      <c r="Z2567">
        <v>1.4686289999999999E-2</v>
      </c>
      <c r="AA2567">
        <v>0.99553460000000005</v>
      </c>
      <c r="AB2567">
        <v>31</v>
      </c>
      <c r="AC2567">
        <v>8.5133000000000099</v>
      </c>
      <c r="AD2567">
        <v>-1.1123175417990001</v>
      </c>
      <c r="AE2567">
        <v>0.22239999999999299</v>
      </c>
      <c r="AF2567">
        <v>-0.81912156943553505</v>
      </c>
      <c r="AG2567">
        <v>-1.1123175417990001</v>
      </c>
      <c r="AH2567">
        <v>8.3331979560480693</v>
      </c>
      <c r="AI2567">
        <v>97.566872570977196</v>
      </c>
      <c r="AJ2567">
        <v>95.613922071618205</v>
      </c>
      <c r="AK2567">
        <v>8.4469165163384901</v>
      </c>
      <c r="AL2567">
        <v>68.019149478278806</v>
      </c>
      <c r="AM2567">
        <v>99.750305631317502</v>
      </c>
      <c r="AN2567">
        <v>1.00000003267308</v>
      </c>
    </row>
    <row r="2568" spans="1:40" x14ac:dyDescent="0.25">
      <c r="A2568" t="str">
        <f>"20190304164651729"</f>
        <v>20190304164651729</v>
      </c>
      <c r="B2568" t="str">
        <f>"1551689211720668"</f>
        <v>1551689211720668</v>
      </c>
      <c r="C2568" t="s">
        <v>40</v>
      </c>
      <c r="D2568">
        <v>4.637213</v>
      </c>
      <c r="E2568">
        <v>0.53663859999999997</v>
      </c>
      <c r="F2568" t="s">
        <v>49</v>
      </c>
      <c r="G2568">
        <v>-441.39010000000002</v>
      </c>
      <c r="H2568" s="1">
        <v>-7.2399640000000004E-7</v>
      </c>
      <c r="I2568">
        <v>212.9451</v>
      </c>
      <c r="J2568">
        <v>-449.69670000000002</v>
      </c>
      <c r="K2568">
        <v>1.112687</v>
      </c>
      <c r="L2568">
        <v>212.69710000000001</v>
      </c>
      <c r="M2568">
        <v>0.99780519999999995</v>
      </c>
      <c r="N2568">
        <v>-6.6823689999999996E-3</v>
      </c>
      <c r="O2568">
        <v>-6.5880069999999999E-2</v>
      </c>
      <c r="P2568">
        <v>0.92488040000000005</v>
      </c>
      <c r="Q2568">
        <v>0.3687647</v>
      </c>
      <c r="R2568">
        <v>9.2785190000000003E-2</v>
      </c>
      <c r="S2568">
        <v>3.4054259999999998</v>
      </c>
      <c r="T2568">
        <v>-0.427707</v>
      </c>
      <c r="U2568">
        <v>8.2534789999999997E-2</v>
      </c>
      <c r="V2568">
        <v>-0.1559257</v>
      </c>
      <c r="W2568">
        <v>0.37388719999999998</v>
      </c>
      <c r="X2568">
        <v>0.91427320000000001</v>
      </c>
      <c r="Y2568">
        <v>-8.8840160000000001E-2</v>
      </c>
      <c r="Z2568">
        <v>1.365357E-2</v>
      </c>
      <c r="AA2568">
        <v>0.99595230000000001</v>
      </c>
      <c r="AB2568">
        <v>31</v>
      </c>
      <c r="AC2568">
        <v>8.3065999999999995</v>
      </c>
      <c r="AD2568">
        <v>-1.1126877239963999</v>
      </c>
      <c r="AE2568">
        <v>0.24799999999999001</v>
      </c>
      <c r="AF2568">
        <v>-0.78071671728137704</v>
      </c>
      <c r="AG2568">
        <v>-1.1126877239963999</v>
      </c>
      <c r="AH2568">
        <v>8.1265287813326808</v>
      </c>
      <c r="AI2568">
        <v>97.7611875038248</v>
      </c>
      <c r="AJ2568">
        <v>95.487572162878905</v>
      </c>
      <c r="AK2568">
        <v>8.2394212538019502</v>
      </c>
      <c r="AL2568">
        <v>68.044447688448201</v>
      </c>
      <c r="AM2568">
        <v>99.678451193891306</v>
      </c>
      <c r="AN2568">
        <v>0.99999997324128398</v>
      </c>
    </row>
    <row r="2569" spans="1:40" x14ac:dyDescent="0.25">
      <c r="A2569" t="str">
        <f>"20190304164651762"</f>
        <v>20190304164651762</v>
      </c>
      <c r="B2569" t="str">
        <f>"1551689211750923"</f>
        <v>1551689211750923</v>
      </c>
      <c r="C2569" t="s">
        <v>40</v>
      </c>
      <c r="D2569">
        <v>4.6231059999999999</v>
      </c>
      <c r="E2569">
        <v>0.53676089999999999</v>
      </c>
      <c r="F2569" t="s">
        <v>49</v>
      </c>
      <c r="G2569">
        <v>-440.92700000000002</v>
      </c>
      <c r="H2569" s="1">
        <v>-9.7014199999999993E-7</v>
      </c>
      <c r="I2569">
        <v>212.9384</v>
      </c>
      <c r="J2569">
        <v>-449.22680000000003</v>
      </c>
      <c r="K2569">
        <v>1.11291299999999</v>
      </c>
      <c r="L2569">
        <v>212.67169999999999</v>
      </c>
      <c r="M2569">
        <v>0.99814990000000003</v>
      </c>
      <c r="N2569">
        <v>-6.7091169999999997E-3</v>
      </c>
      <c r="O2569">
        <v>-6.0430070000000002E-2</v>
      </c>
      <c r="P2569">
        <v>0.92492509999999994</v>
      </c>
      <c r="Q2569">
        <v>0.36747160000000001</v>
      </c>
      <c r="R2569">
        <v>9.7356380000000006E-2</v>
      </c>
      <c r="S2569">
        <v>3.4066160000000001</v>
      </c>
      <c r="T2569">
        <v>-0.4322261</v>
      </c>
      <c r="U2569">
        <v>9.3704220000000005E-2</v>
      </c>
      <c r="V2569">
        <v>-0.15569669999999999</v>
      </c>
      <c r="W2569">
        <v>0.37253259999999999</v>
      </c>
      <c r="X2569">
        <v>0.91486500000000004</v>
      </c>
      <c r="Y2569">
        <v>-8.6688699999999994E-2</v>
      </c>
      <c r="Z2569">
        <v>1.2997939999999999E-2</v>
      </c>
      <c r="AA2569">
        <v>0.99615069999999994</v>
      </c>
      <c r="AB2569">
        <v>32</v>
      </c>
      <c r="AC2569">
        <v>8.2998000000000598</v>
      </c>
      <c r="AD2569">
        <v>-1.1129139701420001</v>
      </c>
      <c r="AE2569">
        <v>0.26670000000001398</v>
      </c>
      <c r="AF2569">
        <v>-0.75423425329078297</v>
      </c>
      <c r="AG2569">
        <v>-1.1129139701420001</v>
      </c>
      <c r="AH2569">
        <v>8.1226203353014608</v>
      </c>
      <c r="AI2569">
        <v>97.768745029862103</v>
      </c>
      <c r="AJ2569">
        <v>95.305046219729405</v>
      </c>
      <c r="AK2569">
        <v>8.2331286838739004</v>
      </c>
      <c r="AL2569">
        <v>68.128105321458605</v>
      </c>
      <c r="AM2569">
        <v>99.658371337130006</v>
      </c>
      <c r="AN2569">
        <v>0.99999998433932402</v>
      </c>
    </row>
    <row r="2570" spans="1:40" x14ac:dyDescent="0.25">
      <c r="A2570" t="str">
        <f>"20190304164651787"</f>
        <v>20190304164651787</v>
      </c>
      <c r="B2570" t="str">
        <f>"1551689211781179"</f>
        <v>1551689211781179</v>
      </c>
      <c r="C2570" t="s">
        <v>40</v>
      </c>
      <c r="D2570">
        <v>4.6048739999999997</v>
      </c>
      <c r="E2570">
        <v>0.53696409999999895</v>
      </c>
      <c r="F2570" t="s">
        <v>49</v>
      </c>
      <c r="G2570">
        <v>-440.59719999999999</v>
      </c>
      <c r="H2570" s="1">
        <v>-1.1458319999999999E-6</v>
      </c>
      <c r="I2570">
        <v>212.94220000000001</v>
      </c>
      <c r="J2570">
        <v>-448.89170000000001</v>
      </c>
      <c r="K2570">
        <v>1.113035</v>
      </c>
      <c r="L2570">
        <v>212.65520000000001</v>
      </c>
      <c r="M2570">
        <v>0.99838510000000003</v>
      </c>
      <c r="N2570">
        <v>-6.7259499999999996E-3</v>
      </c>
      <c r="O2570">
        <v>-5.6408659999999999E-2</v>
      </c>
      <c r="P2570">
        <v>0.92456910000000003</v>
      </c>
      <c r="Q2570">
        <v>0.36712289999999997</v>
      </c>
      <c r="R2570">
        <v>0.1019452</v>
      </c>
      <c r="S2570">
        <v>3.40686</v>
      </c>
      <c r="T2570">
        <v>-0.43936419999999998</v>
      </c>
      <c r="U2570">
        <v>0.106781</v>
      </c>
      <c r="V2570">
        <v>-0.156674799999999</v>
      </c>
      <c r="W2570">
        <v>0.37214449999999999</v>
      </c>
      <c r="X2570">
        <v>0.914856</v>
      </c>
      <c r="Y2570">
        <v>-8.6487289999999994E-2</v>
      </c>
      <c r="Z2570">
        <v>1.2708499999999999E-2</v>
      </c>
      <c r="AA2570">
        <v>0.9961719</v>
      </c>
      <c r="AB2570">
        <v>32</v>
      </c>
      <c r="AC2570">
        <v>8.2945000000000206</v>
      </c>
      <c r="AD2570">
        <v>-1.1130361458319999</v>
      </c>
      <c r="AE2570">
        <v>0.28700000000000597</v>
      </c>
      <c r="AF2570">
        <v>-0.74110618428885</v>
      </c>
      <c r="AG2570">
        <v>-1.1130361458319999</v>
      </c>
      <c r="AH2570">
        <v>8.1190786207014103</v>
      </c>
      <c r="AI2570">
        <v>97.774040375586495</v>
      </c>
      <c r="AJ2570">
        <v>95.215482353700196</v>
      </c>
      <c r="AK2570">
        <v>8.2284582691686801</v>
      </c>
      <c r="AL2570">
        <v>68.152065174430504</v>
      </c>
      <c r="AM2570">
        <v>99.717986378343696</v>
      </c>
      <c r="AN2570">
        <v>1.00000001128564</v>
      </c>
    </row>
    <row r="2571" spans="1:40" x14ac:dyDescent="0.25">
      <c r="A2571" t="str">
        <f>"20190304164651810"</f>
        <v>20190304164651810</v>
      </c>
      <c r="B2571" t="str">
        <f>"1551689211800700"</f>
        <v>1551689211800700</v>
      </c>
      <c r="C2571" t="s">
        <v>40</v>
      </c>
      <c r="D2571">
        <v>4.5912089999999903</v>
      </c>
      <c r="E2571">
        <v>0.5370895</v>
      </c>
      <c r="F2571" t="s">
        <v>49</v>
      </c>
      <c r="G2571">
        <v>-440.3519</v>
      </c>
      <c r="H2571" s="1">
        <v>-1.2770170000000001E-6</v>
      </c>
      <c r="I2571">
        <v>212.95699999999999</v>
      </c>
      <c r="J2571">
        <v>-448.553</v>
      </c>
      <c r="K2571">
        <v>1.1131310000000001</v>
      </c>
      <c r="L2571">
        <v>212.64</v>
      </c>
      <c r="M2571">
        <v>0.99860950000000004</v>
      </c>
      <c r="N2571">
        <v>-6.7418460000000001E-3</v>
      </c>
      <c r="O2571">
        <v>-5.2283530000000002E-2</v>
      </c>
      <c r="P2571">
        <v>0.92438379999999998</v>
      </c>
      <c r="Q2571">
        <v>0.36621229999999999</v>
      </c>
      <c r="R2571">
        <v>0.1067858</v>
      </c>
      <c r="S2571">
        <v>3.4078369999999998</v>
      </c>
      <c r="T2571">
        <v>-0.44416070000000002</v>
      </c>
      <c r="U2571">
        <v>0.1204071</v>
      </c>
      <c r="V2571">
        <v>-0.15778719999999999</v>
      </c>
      <c r="W2571">
        <v>0.37120560000000002</v>
      </c>
      <c r="X2571">
        <v>0.91504620000000003</v>
      </c>
      <c r="Y2571">
        <v>-8.6349330000000002E-2</v>
      </c>
      <c r="Z2571">
        <v>1.232602E-2</v>
      </c>
      <c r="AA2571">
        <v>0.99618859999999998</v>
      </c>
      <c r="AB2571">
        <v>32</v>
      </c>
      <c r="AC2571">
        <v>8.20110000000005</v>
      </c>
      <c r="AD2571">
        <v>-1.11313227701699</v>
      </c>
      <c r="AE2571">
        <v>0.317000000000007</v>
      </c>
      <c r="AF2571">
        <v>-0.73189537480414102</v>
      </c>
      <c r="AG2571">
        <v>-1.11313227701699</v>
      </c>
      <c r="AH2571">
        <v>8.0256757335792503</v>
      </c>
      <c r="AI2571">
        <v>97.864119930909396</v>
      </c>
      <c r="AJ2571">
        <v>95.210632242049101</v>
      </c>
      <c r="AK2571">
        <v>8.1354904760782301</v>
      </c>
      <c r="AL2571">
        <v>68.210010399774504</v>
      </c>
      <c r="AM2571">
        <v>99.783660501936495</v>
      </c>
      <c r="AN2571">
        <v>0.99999997304481902</v>
      </c>
    </row>
    <row r="2572" spans="1:40" x14ac:dyDescent="0.25">
      <c r="A2572" t="str">
        <f>"20190304164651831"</f>
        <v>20190304164651831</v>
      </c>
      <c r="B2572" t="str">
        <f>"1551689211821195"</f>
        <v>1551689211821195</v>
      </c>
      <c r="C2572" t="s">
        <v>40</v>
      </c>
      <c r="D2572">
        <v>4.6377519999999999</v>
      </c>
      <c r="E2572">
        <v>0.52168910000000002</v>
      </c>
      <c r="F2572" t="s">
        <v>49</v>
      </c>
      <c r="G2572">
        <v>-440.11079999999998</v>
      </c>
      <c r="H2572" s="1">
        <v>-1.4063810000000001E-6</v>
      </c>
      <c r="I2572">
        <v>212.98140000000001</v>
      </c>
      <c r="J2572">
        <v>-448.2355</v>
      </c>
      <c r="K2572">
        <v>1.1131850000000001</v>
      </c>
      <c r="L2572">
        <v>212.62700000000001</v>
      </c>
      <c r="M2572">
        <v>0.99880559999999996</v>
      </c>
      <c r="N2572">
        <v>-6.7563419999999898E-3</v>
      </c>
      <c r="O2572">
        <v>-4.8392259999999999E-2</v>
      </c>
      <c r="P2572">
        <v>0.92413060000000002</v>
      </c>
      <c r="Q2572">
        <v>0.36545909999999998</v>
      </c>
      <c r="R2572">
        <v>0.1114573</v>
      </c>
      <c r="S2572">
        <v>3.4075009999999999</v>
      </c>
      <c r="T2572">
        <v>-0.44928649999999998</v>
      </c>
      <c r="U2572">
        <v>0.13780209999999901</v>
      </c>
      <c r="V2572">
        <v>-0.15891669999999999</v>
      </c>
      <c r="W2572">
        <v>0.37043330000000002</v>
      </c>
      <c r="X2572">
        <v>0.91516379999999997</v>
      </c>
      <c r="Y2572">
        <v>-8.7541969999999997E-2</v>
      </c>
      <c r="Z2572">
        <v>1.206605E-2</v>
      </c>
      <c r="AA2572">
        <v>0.99608770000000002</v>
      </c>
      <c r="AB2572">
        <v>32</v>
      </c>
      <c r="AC2572">
        <v>8.1247000000000096</v>
      </c>
      <c r="AD2572">
        <v>-1.113186406381</v>
      </c>
      <c r="AE2572">
        <v>0.35439999999999799</v>
      </c>
      <c r="AF2572">
        <v>-0.73342429210191196</v>
      </c>
      <c r="AG2572">
        <v>-1.113186406381</v>
      </c>
      <c r="AH2572">
        <v>7.9490895746718504</v>
      </c>
      <c r="AI2572">
        <v>97.938543494782806</v>
      </c>
      <c r="AJ2572">
        <v>95.271481549362093</v>
      </c>
      <c r="AK2572">
        <v>8.0600943067530793</v>
      </c>
      <c r="AL2572">
        <v>68.257658970894198</v>
      </c>
      <c r="AM2572">
        <v>99.851086683045395</v>
      </c>
      <c r="AN2572">
        <v>1.0000000640591</v>
      </c>
    </row>
    <row r="2573" spans="1:40" x14ac:dyDescent="0.25">
      <c r="A2573" t="str">
        <f>"20190304164651854"</f>
        <v>20190304164651854</v>
      </c>
      <c r="B2573" t="str">
        <f>"1551689211840715"</f>
        <v>1551689211840715</v>
      </c>
      <c r="C2573" t="s">
        <v>40</v>
      </c>
      <c r="D2573">
        <v>4.6415889999999997</v>
      </c>
      <c r="E2573">
        <v>0.51595469999999999</v>
      </c>
      <c r="F2573" t="s">
        <v>50</v>
      </c>
      <c r="G2573">
        <v>-438.36009999999999</v>
      </c>
      <c r="H2573" s="1">
        <v>6.0282049999999997E-6</v>
      </c>
      <c r="I2573">
        <v>213.42830000000001</v>
      </c>
      <c r="J2573">
        <v>-447.93189999999998</v>
      </c>
      <c r="K2573">
        <v>1.113232</v>
      </c>
      <c r="L2573">
        <v>212.6157</v>
      </c>
      <c r="M2573">
        <v>0.9989789</v>
      </c>
      <c r="N2573">
        <v>-6.7696800000000001E-3</v>
      </c>
      <c r="O2573">
        <v>-4.4673209999999998E-2</v>
      </c>
      <c r="P2573">
        <v>0.92394299999999996</v>
      </c>
      <c r="Q2573">
        <v>0.36471330000000002</v>
      </c>
      <c r="R2573">
        <v>0.1153854</v>
      </c>
      <c r="S2573">
        <v>3.3633120000000001</v>
      </c>
      <c r="T2573">
        <v>-0.3791195</v>
      </c>
      <c r="U2573">
        <v>0.27290340000000002</v>
      </c>
      <c r="V2573">
        <v>-0.1594487</v>
      </c>
      <c r="W2573">
        <v>0.36968060000000003</v>
      </c>
      <c r="X2573">
        <v>0.91537550000000001</v>
      </c>
      <c r="Y2573">
        <v>-0.1242443</v>
      </c>
      <c r="Z2573">
        <v>1.2103360000000001E-2</v>
      </c>
      <c r="AA2573">
        <v>0.9921778</v>
      </c>
      <c r="AB2573">
        <v>32</v>
      </c>
      <c r="AC2573">
        <v>9.5717999999999908</v>
      </c>
      <c r="AD2573">
        <v>-1.1132259717949999</v>
      </c>
      <c r="AE2573">
        <v>0.81260000000000299</v>
      </c>
      <c r="AF2573">
        <v>-1.2229774539246401</v>
      </c>
      <c r="AG2573">
        <v>-1.1132259717949999</v>
      </c>
      <c r="AH2573">
        <v>9.3997077224527494</v>
      </c>
      <c r="AI2573">
        <v>96.698254308495507</v>
      </c>
      <c r="AJ2573">
        <v>97.412998838102396</v>
      </c>
      <c r="AK2573">
        <v>9.5440793785794096</v>
      </c>
      <c r="AL2573">
        <v>68.304078904376894</v>
      </c>
      <c r="AM2573">
        <v>99.881174880874198</v>
      </c>
      <c r="AN2573">
        <v>0.99999996997414897</v>
      </c>
    </row>
    <row r="2574" spans="1:40" x14ac:dyDescent="0.25">
      <c r="A2574" t="str">
        <f>"20190304164651875"</f>
        <v>20190304164651875</v>
      </c>
      <c r="B2574" t="str">
        <f>"1551689211870972"</f>
        <v>1551689211870972</v>
      </c>
      <c r="C2574" t="s">
        <v>40</v>
      </c>
      <c r="D2574">
        <v>4.6141329999999998</v>
      </c>
      <c r="E2574">
        <v>0.51361889999999999</v>
      </c>
      <c r="F2574" t="s">
        <v>50</v>
      </c>
      <c r="G2574">
        <v>-437.57080000000002</v>
      </c>
      <c r="H2574" s="1">
        <v>5.6595919999999998E-6</v>
      </c>
      <c r="I2574">
        <v>213.64089999999999</v>
      </c>
      <c r="J2574">
        <v>-447.61779999999999</v>
      </c>
      <c r="K2574">
        <v>1.1132569999999999</v>
      </c>
      <c r="L2574">
        <v>212.6053</v>
      </c>
      <c r="M2574">
        <v>0.99914239999999999</v>
      </c>
      <c r="N2574">
        <v>-6.7831590000000004E-3</v>
      </c>
      <c r="O2574">
        <v>-4.084662E-2</v>
      </c>
      <c r="P2574">
        <v>0.92391670000000004</v>
      </c>
      <c r="Q2574">
        <v>0.3638922</v>
      </c>
      <c r="R2574">
        <v>0.1181543</v>
      </c>
      <c r="S2574">
        <v>3.347534</v>
      </c>
      <c r="T2574">
        <v>-0.35966779999999998</v>
      </c>
      <c r="U2574">
        <v>0.33122249999999998</v>
      </c>
      <c r="V2574">
        <v>-0.158718</v>
      </c>
      <c r="W2574">
        <v>0.3688688</v>
      </c>
      <c r="X2574">
        <v>0.91582989999999997</v>
      </c>
      <c r="Y2574">
        <v>-0.13798920000000001</v>
      </c>
      <c r="Z2574">
        <v>1.1935609999999999E-2</v>
      </c>
      <c r="AA2574">
        <v>0.99036179999999996</v>
      </c>
      <c r="AB2574">
        <v>32</v>
      </c>
      <c r="AC2574">
        <v>10.046999999999899</v>
      </c>
      <c r="AD2574">
        <v>-1.113251340408</v>
      </c>
      <c r="AE2574">
        <v>1.0355999999999801</v>
      </c>
      <c r="AF2574">
        <v>-1.4277856130742901</v>
      </c>
      <c r="AG2574">
        <v>-1.113251340408</v>
      </c>
      <c r="AH2574">
        <v>9.8763300315796698</v>
      </c>
      <c r="AI2574">
        <v>96.365562009721799</v>
      </c>
      <c r="AJ2574">
        <v>98.226054627869004</v>
      </c>
      <c r="AK2574">
        <v>10.040906094397201</v>
      </c>
      <c r="AL2574">
        <v>68.354129852295699</v>
      </c>
      <c r="AM2574">
        <v>99.831993951166794</v>
      </c>
      <c r="AN2574">
        <v>1.0000000004357199</v>
      </c>
    </row>
    <row r="2575" spans="1:40" x14ac:dyDescent="0.25">
      <c r="A2575" t="str">
        <f>"20190304164651897"</f>
        <v>20190304164651897</v>
      </c>
      <c r="B2575" t="str">
        <f>"1551689211891468"</f>
        <v>1551689211891468</v>
      </c>
      <c r="C2575" t="s">
        <v>40</v>
      </c>
      <c r="D2575">
        <v>4.6138629999999896</v>
      </c>
      <c r="E2575">
        <v>0.51326439999999995</v>
      </c>
      <c r="F2575" t="s">
        <v>50</v>
      </c>
      <c r="G2575">
        <v>-437.06380000000001</v>
      </c>
      <c r="H2575" s="1">
        <v>5.4259260000000003E-6</v>
      </c>
      <c r="I2575">
        <v>213.7423</v>
      </c>
      <c r="J2575">
        <v>-447.2998</v>
      </c>
      <c r="K2575">
        <v>1.1132740000000001</v>
      </c>
      <c r="L2575">
        <v>212.5959</v>
      </c>
      <c r="M2575">
        <v>0.99929199999999996</v>
      </c>
      <c r="N2575">
        <v>-6.796585E-3</v>
      </c>
      <c r="O2575">
        <v>-3.7006419999999998E-2</v>
      </c>
      <c r="P2575">
        <v>0.92358700000000005</v>
      </c>
      <c r="Q2575">
        <v>0.36436459999999998</v>
      </c>
      <c r="R2575">
        <v>0.1192708</v>
      </c>
      <c r="S2575">
        <v>3.3397519999999998</v>
      </c>
      <c r="T2575">
        <v>-0.35228290000000001</v>
      </c>
      <c r="U2575">
        <v>0.35980220000000002</v>
      </c>
      <c r="V2575">
        <v>-0.15631199999999901</v>
      </c>
      <c r="W2575">
        <v>0.3693669</v>
      </c>
      <c r="X2575">
        <v>0.91604289999999999</v>
      </c>
      <c r="Y2575">
        <v>-0.14282139999999999</v>
      </c>
      <c r="Z2575">
        <v>1.1611120000000001E-2</v>
      </c>
      <c r="AA2575">
        <v>0.98968029999999996</v>
      </c>
      <c r="AB2575">
        <v>32</v>
      </c>
      <c r="AC2575">
        <v>10.235999999999899</v>
      </c>
      <c r="AD2575">
        <v>-1.11326857407399</v>
      </c>
      <c r="AE2575">
        <v>1.1464000000000001</v>
      </c>
      <c r="AF2575">
        <v>-1.5068181482982701</v>
      </c>
      <c r="AG2575">
        <v>-1.11326857407399</v>
      </c>
      <c r="AH2575">
        <v>10.0689355482197</v>
      </c>
      <c r="AI2575">
        <v>96.240330731760906</v>
      </c>
      <c r="AJ2575">
        <v>98.511163173400902</v>
      </c>
      <c r="AK2575">
        <v>10.241744525434401</v>
      </c>
      <c r="AL2575">
        <v>68.323421677976995</v>
      </c>
      <c r="AM2575">
        <v>99.683586025344894</v>
      </c>
      <c r="AN2575">
        <v>0.99999997140000896</v>
      </c>
    </row>
    <row r="2576" spans="1:40" x14ac:dyDescent="0.25">
      <c r="A2576" t="str">
        <f>"20190304164651918"</f>
        <v>20190304164651918</v>
      </c>
      <c r="B2576" t="str">
        <f>"1551689211910986"</f>
        <v>1551689211910986</v>
      </c>
      <c r="C2576" t="s">
        <v>40</v>
      </c>
      <c r="D2576">
        <v>4.6297829999999998</v>
      </c>
      <c r="E2576">
        <v>0.51349739999999999</v>
      </c>
      <c r="F2576" t="s">
        <v>50</v>
      </c>
      <c r="G2576">
        <v>-436.6617</v>
      </c>
      <c r="H2576" s="1">
        <v>5.2452670000000001E-6</v>
      </c>
      <c r="I2576">
        <v>213.7687</v>
      </c>
      <c r="J2576">
        <v>-446.99299999999999</v>
      </c>
      <c r="K2576">
        <v>1.1132930000000001</v>
      </c>
      <c r="L2576">
        <v>212.58799999999999</v>
      </c>
      <c r="M2576">
        <v>0.99942109999999995</v>
      </c>
      <c r="N2576">
        <v>-6.8097180000000002E-3</v>
      </c>
      <c r="O2576">
        <v>-3.3332970000000003E-2</v>
      </c>
      <c r="P2576">
        <v>0.92312470000000002</v>
      </c>
      <c r="Q2576">
        <v>0.36556709999999998</v>
      </c>
      <c r="R2576">
        <v>0.1191712</v>
      </c>
      <c r="S2576">
        <v>3.33847</v>
      </c>
      <c r="T2576">
        <v>-0.34936830000000002</v>
      </c>
      <c r="U2576">
        <v>0.36805729999999998</v>
      </c>
      <c r="V2576">
        <v>-0.15284149999999999</v>
      </c>
      <c r="W2576">
        <v>0.37060549999999998</v>
      </c>
      <c r="X2576">
        <v>0.91612830000000001</v>
      </c>
      <c r="Y2576">
        <v>-0.14168249999999999</v>
      </c>
      <c r="Z2576">
        <v>1.1100189999999999E-2</v>
      </c>
      <c r="AA2576">
        <v>0.98984989999999995</v>
      </c>
      <c r="AB2576">
        <v>32</v>
      </c>
      <c r="AC2576">
        <v>10.331300000000001</v>
      </c>
      <c r="AD2576">
        <v>-1.113287754733</v>
      </c>
      <c r="AE2576">
        <v>1.1807000000000001</v>
      </c>
      <c r="AF2576">
        <v>-1.50714945055252</v>
      </c>
      <c r="AG2576">
        <v>-1.113287754733</v>
      </c>
      <c r="AH2576">
        <v>10.1696347301438</v>
      </c>
      <c r="AI2576">
        <v>96.180420043458</v>
      </c>
      <c r="AJ2576">
        <v>98.429928920848596</v>
      </c>
      <c r="AK2576">
        <v>10.3408113625424</v>
      </c>
      <c r="AL2576">
        <v>68.247035383581306</v>
      </c>
      <c r="AM2576">
        <v>99.471659527166594</v>
      </c>
      <c r="AN2576">
        <v>1.00000001140669</v>
      </c>
    </row>
    <row r="2577" spans="1:40" x14ac:dyDescent="0.25">
      <c r="A2577" t="str">
        <f>"20190304164651941"</f>
        <v>20190304164651941</v>
      </c>
      <c r="B2577" t="str">
        <f>"1551689211931483"</f>
        <v>1551689211931483</v>
      </c>
      <c r="C2577" t="s">
        <v>40</v>
      </c>
      <c r="D2577">
        <v>4.6105689999999999</v>
      </c>
      <c r="E2577">
        <v>0.51390360000000002</v>
      </c>
      <c r="F2577" t="s">
        <v>50</v>
      </c>
      <c r="G2577">
        <v>-436.23590000000002</v>
      </c>
      <c r="H2577" s="1">
        <v>5.0561029999999996E-6</v>
      </c>
      <c r="I2577">
        <v>213.77250000000001</v>
      </c>
      <c r="J2577">
        <v>-446.66559999999998</v>
      </c>
      <c r="K2577">
        <v>1.1133</v>
      </c>
      <c r="L2577">
        <v>212.58070000000001</v>
      </c>
      <c r="M2577">
        <v>0.99954279999999995</v>
      </c>
      <c r="N2577">
        <v>-6.8236390000000003E-3</v>
      </c>
      <c r="O2577">
        <v>-2.9454839999999999E-2</v>
      </c>
      <c r="P2577">
        <v>0.92283559999999998</v>
      </c>
      <c r="Q2577">
        <v>0.36613620000000002</v>
      </c>
      <c r="R2577">
        <v>0.11966209999999999</v>
      </c>
      <c r="S2577">
        <v>3.3392330000000001</v>
      </c>
      <c r="T2577">
        <v>-0.34558670000000002</v>
      </c>
      <c r="U2577">
        <v>0.36770629999999999</v>
      </c>
      <c r="V2577">
        <v>-0.14976779999999901</v>
      </c>
      <c r="W2577">
        <v>0.37121130000000002</v>
      </c>
      <c r="X2577">
        <v>0.91639060000000006</v>
      </c>
      <c r="Y2577">
        <v>-0.13777439999999999</v>
      </c>
      <c r="Z2577">
        <v>1.039411E-2</v>
      </c>
      <c r="AA2577">
        <v>0.99040910000000004</v>
      </c>
      <c r="AB2577">
        <v>33</v>
      </c>
      <c r="AC2577">
        <v>10.429699999999899</v>
      </c>
      <c r="AD2577">
        <v>-1.1132949438969999</v>
      </c>
      <c r="AE2577">
        <v>1.1918</v>
      </c>
      <c r="AF2577">
        <v>-1.4818288124002801</v>
      </c>
      <c r="AG2577">
        <v>-1.1132949438969999</v>
      </c>
      <c r="AH2577">
        <v>10.2745103548994</v>
      </c>
      <c r="AI2577">
        <v>96.121311981458703</v>
      </c>
      <c r="AJ2577">
        <v>98.206824617910002</v>
      </c>
      <c r="AK2577">
        <v>10.440345075441799</v>
      </c>
      <c r="AL2577">
        <v>68.209658784821102</v>
      </c>
      <c r="AM2577">
        <v>99.281919725785698</v>
      </c>
      <c r="AN2577">
        <v>0.99999997746644398</v>
      </c>
    </row>
    <row r="2578" spans="1:40" x14ac:dyDescent="0.25">
      <c r="A2578" t="str">
        <f>"20190304164651963"</f>
        <v>20190304164651963</v>
      </c>
      <c r="B2578" t="str">
        <f>"1551689211960763"</f>
        <v>1551689211960763</v>
      </c>
      <c r="C2578" t="s">
        <v>40</v>
      </c>
      <c r="D2578">
        <v>4.6137459999999999</v>
      </c>
      <c r="E2578">
        <v>0.51406830000000003</v>
      </c>
      <c r="F2578" t="s">
        <v>50</v>
      </c>
      <c r="G2578">
        <v>-435.9067</v>
      </c>
      <c r="H2578" s="1">
        <v>4.9110470000000003E-6</v>
      </c>
      <c r="I2578">
        <v>213.7621</v>
      </c>
      <c r="J2578">
        <v>-446.33260000000001</v>
      </c>
      <c r="K2578">
        <v>1.1132930000000001</v>
      </c>
      <c r="L2578">
        <v>212.5746</v>
      </c>
      <c r="M2578">
        <v>0.99964989999999998</v>
      </c>
      <c r="N2578">
        <v>-6.8374350000000002E-3</v>
      </c>
      <c r="O2578">
        <v>-2.5561549999999999E-2</v>
      </c>
      <c r="P2578">
        <v>0.92242809999999997</v>
      </c>
      <c r="Q2578">
        <v>0.366595</v>
      </c>
      <c r="R2578">
        <v>0.1213858</v>
      </c>
      <c r="S2578">
        <v>3.3404539999999998</v>
      </c>
      <c r="T2578">
        <v>-0.34565759999999901</v>
      </c>
      <c r="U2578">
        <v>0.36679079999999997</v>
      </c>
      <c r="V2578">
        <v>-0.14790059999999999</v>
      </c>
      <c r="W2578">
        <v>0.37170009999999998</v>
      </c>
      <c r="X2578">
        <v>0.91649570000000002</v>
      </c>
      <c r="Y2578">
        <v>-0.13364980000000001</v>
      </c>
      <c r="Z2578">
        <v>9.7925010000000003E-3</v>
      </c>
      <c r="AA2578">
        <v>0.99098019999999998</v>
      </c>
      <c r="AB2578">
        <v>33</v>
      </c>
      <c r="AC2578">
        <v>10.4259</v>
      </c>
      <c r="AD2578">
        <v>-1.1132880889529999</v>
      </c>
      <c r="AE2578">
        <v>1.1875</v>
      </c>
      <c r="AF2578">
        <v>-1.43744029769587</v>
      </c>
      <c r="AG2578">
        <v>-1.1132880889529999</v>
      </c>
      <c r="AH2578">
        <v>10.2764646298243</v>
      </c>
      <c r="AI2578">
        <v>96.123796551921203</v>
      </c>
      <c r="AJ2578">
        <v>97.962694294329097</v>
      </c>
      <c r="AK2578">
        <v>10.436061051300699</v>
      </c>
      <c r="AL2578">
        <v>68.179493961263702</v>
      </c>
      <c r="AM2578">
        <v>99.167143040925296</v>
      </c>
      <c r="AN2578">
        <v>0.99999995996942903</v>
      </c>
    </row>
    <row r="2579" spans="1:40" x14ac:dyDescent="0.25">
      <c r="A2579" t="str">
        <f>"20190304164651987"</f>
        <v>20190304164651987</v>
      </c>
      <c r="B2579" t="str">
        <f>"1551689211981259"</f>
        <v>1551689211981259</v>
      </c>
      <c r="C2579" t="s">
        <v>40</v>
      </c>
      <c r="D2579">
        <v>4.591971</v>
      </c>
      <c r="E2579">
        <v>0.51415739999999999</v>
      </c>
      <c r="F2579" t="s">
        <v>50</v>
      </c>
      <c r="G2579">
        <v>-435.52210000000002</v>
      </c>
      <c r="H2579" s="1">
        <v>4.7395299999999997E-6</v>
      </c>
      <c r="I2579">
        <v>213.77279999999999</v>
      </c>
      <c r="J2579">
        <v>-446.00119999999998</v>
      </c>
      <c r="K2579">
        <v>1.1132709999999999</v>
      </c>
      <c r="L2579">
        <v>212.56970000000001</v>
      </c>
      <c r="M2579">
        <v>0.99973990000000001</v>
      </c>
      <c r="N2579">
        <v>-6.8504839999999996E-3</v>
      </c>
      <c r="O2579">
        <v>-2.1750370000000002E-2</v>
      </c>
      <c r="P2579">
        <v>0.92235029999999996</v>
      </c>
      <c r="Q2579">
        <v>0.36613020000000002</v>
      </c>
      <c r="R2579">
        <v>0.1233633</v>
      </c>
      <c r="S2579">
        <v>3.340271</v>
      </c>
      <c r="T2579">
        <v>-0.34398840000000003</v>
      </c>
      <c r="U2579">
        <v>0.37023929999999999</v>
      </c>
      <c r="V2579">
        <v>-0.1463544</v>
      </c>
      <c r="W2579">
        <v>0.37126759999999998</v>
      </c>
      <c r="X2579">
        <v>0.91691920000000005</v>
      </c>
      <c r="Y2579">
        <v>-0.1309292</v>
      </c>
      <c r="Z2579">
        <v>9.2342399999999995E-3</v>
      </c>
      <c r="AA2579">
        <v>0.99134869999999997</v>
      </c>
      <c r="AB2579">
        <v>33</v>
      </c>
      <c r="AC2579">
        <v>10.479099999999899</v>
      </c>
      <c r="AD2579">
        <v>-1.1132662604700001</v>
      </c>
      <c r="AE2579">
        <v>1.2030999999999701</v>
      </c>
      <c r="AF2579">
        <v>-1.41498293301955</v>
      </c>
      <c r="AG2579">
        <v>-1.1132662604700001</v>
      </c>
      <c r="AH2579">
        <v>10.335322773748301</v>
      </c>
      <c r="AI2579">
        <v>96.091503981332806</v>
      </c>
      <c r="AJ2579">
        <v>97.795754548317205</v>
      </c>
      <c r="AK2579">
        <v>10.490969226196301</v>
      </c>
      <c r="AL2579">
        <v>68.206185979040995</v>
      </c>
      <c r="AM2579">
        <v>99.068788199484501</v>
      </c>
      <c r="AN2579">
        <v>1.0000000302688701</v>
      </c>
    </row>
    <row r="2580" spans="1:40" x14ac:dyDescent="0.25">
      <c r="A2580" t="str">
        <f>"20190304164652010"</f>
        <v>20190304164652010</v>
      </c>
      <c r="B2580" t="str">
        <f>"1551689212000779"</f>
        <v>1551689212000779</v>
      </c>
      <c r="C2580" t="s">
        <v>40</v>
      </c>
      <c r="D2580">
        <v>4.631583</v>
      </c>
      <c r="E2580">
        <v>0.51429389999999997</v>
      </c>
      <c r="F2580" t="s">
        <v>50</v>
      </c>
      <c r="G2580">
        <v>-435.25839999999999</v>
      </c>
      <c r="H2580" s="1">
        <v>4.6219499999999999E-6</v>
      </c>
      <c r="I2580">
        <v>213.78039999999999</v>
      </c>
      <c r="J2580">
        <v>-445.65609999999998</v>
      </c>
      <c r="K2580">
        <v>1.113232</v>
      </c>
      <c r="L2580">
        <v>212.5658</v>
      </c>
      <c r="M2580">
        <v>0.99981699999999996</v>
      </c>
      <c r="N2580">
        <v>-6.8633849999999996E-3</v>
      </c>
      <c r="O2580">
        <v>-1.7863480000000001E-2</v>
      </c>
      <c r="P2580">
        <v>0.92236390000000001</v>
      </c>
      <c r="Q2580">
        <v>0.36559520000000001</v>
      </c>
      <c r="R2580">
        <v>0.1248411</v>
      </c>
      <c r="S2580">
        <v>3.3395999999999999</v>
      </c>
      <c r="T2580">
        <v>-0.34607909999999997</v>
      </c>
      <c r="U2580">
        <v>0.37638850000000001</v>
      </c>
      <c r="V2580">
        <v>-0.14422370000000001</v>
      </c>
      <c r="W2580">
        <v>0.3707761</v>
      </c>
      <c r="X2580">
        <v>0.91745549999999998</v>
      </c>
      <c r="Y2580">
        <v>-0.12891900000000001</v>
      </c>
      <c r="Z2580">
        <v>8.8051759999999996E-3</v>
      </c>
      <c r="AA2580">
        <v>0.9916161</v>
      </c>
      <c r="AB2580">
        <v>33</v>
      </c>
      <c r="AC2580">
        <v>10.397699999999899</v>
      </c>
      <c r="AD2580">
        <v>-1.1132273780499999</v>
      </c>
      <c r="AE2580">
        <v>1.2145999999999899</v>
      </c>
      <c r="AF2580">
        <v>-1.38449302828514</v>
      </c>
      <c r="AG2580">
        <v>-1.1132273780499999</v>
      </c>
      <c r="AH2580">
        <v>10.2583363784904</v>
      </c>
      <c r="AI2580">
        <v>96.138239922325099</v>
      </c>
      <c r="AJ2580">
        <v>97.686350267589702</v>
      </c>
      <c r="AK2580">
        <v>10.4110307556394</v>
      </c>
      <c r="AL2580">
        <v>68.2365105066756</v>
      </c>
      <c r="AM2580">
        <v>98.933766652710602</v>
      </c>
      <c r="AN2580">
        <v>0.99999999322657496</v>
      </c>
    </row>
    <row r="2581" spans="1:40" x14ac:dyDescent="0.25">
      <c r="A2581" t="str">
        <f>"20190304164652032"</f>
        <v>20190304164652032</v>
      </c>
      <c r="B2581" t="str">
        <f>"1551689212021275"</f>
        <v>1551689212021275</v>
      </c>
      <c r="C2581" t="s">
        <v>40</v>
      </c>
      <c r="D2581">
        <v>4.6147839999999896</v>
      </c>
      <c r="E2581">
        <v>0.51436329999999997</v>
      </c>
      <c r="F2581" t="s">
        <v>50</v>
      </c>
      <c r="G2581">
        <v>-434.81689999999998</v>
      </c>
      <c r="H2581" s="1">
        <v>4.4237340000000002E-6</v>
      </c>
      <c r="I2581">
        <v>213.8081</v>
      </c>
      <c r="J2581">
        <v>-445.32920000000001</v>
      </c>
      <c r="K2581">
        <v>1.1131799999999901</v>
      </c>
      <c r="L2581">
        <v>212.5633</v>
      </c>
      <c r="M2581">
        <v>0.9998745</v>
      </c>
      <c r="N2581">
        <v>-6.8747890000000001E-3</v>
      </c>
      <c r="O2581">
        <v>-1.4279969999999999E-2</v>
      </c>
      <c r="P2581">
        <v>0.92254539999999996</v>
      </c>
      <c r="Q2581">
        <v>0.36483640000000001</v>
      </c>
      <c r="R2581">
        <v>0.1257171</v>
      </c>
      <c r="S2581">
        <v>3.3365480000000001</v>
      </c>
      <c r="T2581">
        <v>-0.3426749</v>
      </c>
      <c r="U2581">
        <v>0.38240049999999998</v>
      </c>
      <c r="V2581">
        <v>-0.14175560000000001</v>
      </c>
      <c r="W2581">
        <v>0.37006790000000001</v>
      </c>
      <c r="X2581">
        <v>0.91812590000000005</v>
      </c>
      <c r="Y2581">
        <v>-0.12726949999999901</v>
      </c>
      <c r="Z2581">
        <v>8.2980609999999903E-3</v>
      </c>
      <c r="AA2581">
        <v>0.99183339999999998</v>
      </c>
      <c r="AB2581">
        <v>33</v>
      </c>
      <c r="AC2581">
        <v>10.5123</v>
      </c>
      <c r="AD2581">
        <v>-1.1131755762659901</v>
      </c>
      <c r="AE2581">
        <v>1.2447999999999899</v>
      </c>
      <c r="AF2581">
        <v>-1.3795367336075299</v>
      </c>
      <c r="AG2581">
        <v>-1.1131755762659901</v>
      </c>
      <c r="AH2581">
        <v>10.3786823729506</v>
      </c>
      <c r="AI2581">
        <v>96.068936432271101</v>
      </c>
      <c r="AJ2581">
        <v>97.571385846271895</v>
      </c>
      <c r="AK2581">
        <v>10.528975698593101</v>
      </c>
      <c r="AL2581">
        <v>68.280195875349193</v>
      </c>
      <c r="AM2581">
        <v>98.776973783454096</v>
      </c>
      <c r="AN2581">
        <v>1.0000000344962801</v>
      </c>
    </row>
    <row r="2582" spans="1:40" x14ac:dyDescent="0.25">
      <c r="A2582" t="str">
        <f>"20190304164652055"</f>
        <v>20190304164652055</v>
      </c>
      <c r="B2582" t="str">
        <f>"1551689212051531"</f>
        <v>1551689212051531</v>
      </c>
      <c r="C2582" t="s">
        <v>40</v>
      </c>
      <c r="D2582">
        <v>4.6033280000000003</v>
      </c>
      <c r="E2582">
        <v>0.51454540000000004</v>
      </c>
      <c r="F2582" t="s">
        <v>50</v>
      </c>
      <c r="G2582">
        <v>-434.58359999999999</v>
      </c>
      <c r="H2582" s="1">
        <v>4.3195739999999998E-6</v>
      </c>
      <c r="I2582">
        <v>213.81630000000001</v>
      </c>
      <c r="J2582">
        <v>-444.99919999999997</v>
      </c>
      <c r="K2582">
        <v>1.1131139999999999</v>
      </c>
      <c r="L2582">
        <v>212.56180000000001</v>
      </c>
      <c r="M2582">
        <v>0.99991830000000004</v>
      </c>
      <c r="N2582">
        <v>-6.8853539999999998E-3</v>
      </c>
      <c r="O2582">
        <v>-1.0776559999999999E-2</v>
      </c>
      <c r="P2582">
        <v>0.92253359999999995</v>
      </c>
      <c r="Q2582">
        <v>0.36480040000000002</v>
      </c>
      <c r="R2582">
        <v>0.125907399999999</v>
      </c>
      <c r="S2582">
        <v>3.33548</v>
      </c>
      <c r="T2582">
        <v>-0.34553469999999997</v>
      </c>
      <c r="U2582">
        <v>0.38894649999999997</v>
      </c>
      <c r="V2582">
        <v>-0.13866039999999999</v>
      </c>
      <c r="W2582">
        <v>0.37009039999999999</v>
      </c>
      <c r="X2582">
        <v>0.9185894</v>
      </c>
      <c r="Y2582">
        <v>-0.12576300000000001</v>
      </c>
      <c r="Z2582">
        <v>7.9467010000000005E-3</v>
      </c>
      <c r="AA2582">
        <v>0.99202849999999998</v>
      </c>
      <c r="AB2582">
        <v>33</v>
      </c>
      <c r="AC2582">
        <v>10.4155999999999</v>
      </c>
      <c r="AD2582">
        <v>-1.1131096804259999</v>
      </c>
      <c r="AE2582">
        <v>1.2544999999999999</v>
      </c>
      <c r="AF2582">
        <v>-1.3514597178572101</v>
      </c>
      <c r="AG2582">
        <v>-1.1131096804259999</v>
      </c>
      <c r="AH2582">
        <v>10.285681800333199</v>
      </c>
      <c r="AI2582">
        <v>96.124241496250903</v>
      </c>
      <c r="AJ2582">
        <v>97.485347077777803</v>
      </c>
      <c r="AK2582">
        <v>10.4336334336297</v>
      </c>
      <c r="AL2582">
        <v>68.278808509250197</v>
      </c>
      <c r="AM2582">
        <v>98.583950564368195</v>
      </c>
      <c r="AN2582">
        <v>1.00000004824633</v>
      </c>
    </row>
    <row r="2583" spans="1:40" x14ac:dyDescent="0.25">
      <c r="A2583" t="str">
        <f>"20190304164652075"</f>
        <v>20190304164652075</v>
      </c>
      <c r="B2583" t="str">
        <f>"1551689212071051"</f>
        <v>1551689212071051</v>
      </c>
      <c r="C2583" t="s">
        <v>40</v>
      </c>
      <c r="D2583">
        <v>4.6619659999999996</v>
      </c>
      <c r="E2583">
        <v>0.51463289999999995</v>
      </c>
      <c r="F2583" t="s">
        <v>50</v>
      </c>
      <c r="G2583">
        <v>-434.31580000000002</v>
      </c>
      <c r="H2583" s="1">
        <v>4.2006930000000003E-6</v>
      </c>
      <c r="I2583">
        <v>213.8176</v>
      </c>
      <c r="J2583">
        <v>-444.69529999999997</v>
      </c>
      <c r="K2583">
        <v>1.11304</v>
      </c>
      <c r="L2583">
        <v>212.56139999999999</v>
      </c>
      <c r="M2583">
        <v>0.99994700000000003</v>
      </c>
      <c r="N2583">
        <v>-6.8945519999999904E-3</v>
      </c>
      <c r="O2583">
        <v>-7.6648869999999996E-3</v>
      </c>
      <c r="P2583">
        <v>0.92256870000000002</v>
      </c>
      <c r="Q2583">
        <v>0.36479119999999998</v>
      </c>
      <c r="R2583">
        <v>0.12567710000000001</v>
      </c>
      <c r="S2583">
        <v>3.3358460000000001</v>
      </c>
      <c r="T2583">
        <v>-0.34756340000000002</v>
      </c>
      <c r="U2583">
        <v>0.39210509999999998</v>
      </c>
      <c r="V2583">
        <v>-0.13549949999999999</v>
      </c>
      <c r="W2583">
        <v>0.37014010000000003</v>
      </c>
      <c r="X2583">
        <v>0.91904090000000005</v>
      </c>
      <c r="Y2583">
        <v>-0.1236082</v>
      </c>
      <c r="Z2583">
        <v>7.5702510000000001E-3</v>
      </c>
      <c r="AA2583">
        <v>0.99230220000000002</v>
      </c>
      <c r="AB2583">
        <v>33</v>
      </c>
      <c r="AC2583">
        <v>10.379499999999901</v>
      </c>
      <c r="AD2583">
        <v>-1.1130357993069999</v>
      </c>
      <c r="AE2583">
        <v>1.2562</v>
      </c>
      <c r="AF2583">
        <v>-1.3207543784612701</v>
      </c>
      <c r="AG2583">
        <v>-1.1130357993069999</v>
      </c>
      <c r="AH2583">
        <v>10.253363435291799</v>
      </c>
      <c r="AI2583">
        <v>96.145005816940298</v>
      </c>
      <c r="AJ2583">
        <v>97.339955534717106</v>
      </c>
      <c r="AK2583">
        <v>10.3978220101588</v>
      </c>
      <c r="AL2583">
        <v>68.275741946998906</v>
      </c>
      <c r="AM2583">
        <v>98.387025064481193</v>
      </c>
      <c r="AN2583">
        <v>0.99999999200053502</v>
      </c>
    </row>
    <row r="2584" spans="1:40" x14ac:dyDescent="0.25">
      <c r="A2584" t="str">
        <f>"20190304164652098"</f>
        <v>20190304164652098</v>
      </c>
      <c r="B2584" t="str">
        <f>"1551689212091547"</f>
        <v>1551689212091547</v>
      </c>
      <c r="C2584" t="s">
        <v>40</v>
      </c>
      <c r="D2584">
        <v>4.6166980000000004</v>
      </c>
      <c r="E2584">
        <v>0.52813679999999996</v>
      </c>
      <c r="F2584" t="s">
        <v>50</v>
      </c>
      <c r="G2584">
        <v>-434.02010000000001</v>
      </c>
      <c r="H2584" s="1">
        <v>4.069126E-6</v>
      </c>
      <c r="I2584">
        <v>213.82259999999999</v>
      </c>
      <c r="J2584">
        <v>-444.35250000000002</v>
      </c>
      <c r="K2584">
        <v>1.1129659999999999</v>
      </c>
      <c r="L2584">
        <v>212.56200000000001</v>
      </c>
      <c r="M2584">
        <v>0.9999671</v>
      </c>
      <c r="N2584">
        <v>-6.9051679999999997E-3</v>
      </c>
      <c r="O2584">
        <v>-4.2660579999999997E-3</v>
      </c>
      <c r="P2584">
        <v>0.92240770000000005</v>
      </c>
      <c r="Q2584">
        <v>0.3655832</v>
      </c>
      <c r="R2584">
        <v>0.12455040000000001</v>
      </c>
      <c r="S2584">
        <v>3.3356319999999999</v>
      </c>
      <c r="T2584">
        <v>-0.34778589999999998</v>
      </c>
      <c r="U2584">
        <v>0.39405820000000003</v>
      </c>
      <c r="V2584">
        <v>-0.1311755</v>
      </c>
      <c r="W2584">
        <v>0.37099969999999999</v>
      </c>
      <c r="X2584">
        <v>0.91932159999999996</v>
      </c>
      <c r="Y2584">
        <v>-0.1208463</v>
      </c>
      <c r="Z2584">
        <v>7.0940090000000001E-3</v>
      </c>
      <c r="AA2584">
        <v>0.99264589999999997</v>
      </c>
      <c r="AB2584">
        <v>33</v>
      </c>
      <c r="AC2584">
        <v>10.3324</v>
      </c>
      <c r="AD2584">
        <v>-1.112961930874</v>
      </c>
      <c r="AE2584">
        <v>1.26059999999998</v>
      </c>
      <c r="AF2584">
        <v>-1.28992116789059</v>
      </c>
      <c r="AG2584">
        <v>-1.112961930874</v>
      </c>
      <c r="AH2584">
        <v>10.2101999147771</v>
      </c>
      <c r="AI2584">
        <v>96.172280185538895</v>
      </c>
      <c r="AJ2584">
        <v>97.200402985786795</v>
      </c>
      <c r="AK2584">
        <v>10.3513652809019</v>
      </c>
      <c r="AL2584">
        <v>68.222715340601098</v>
      </c>
      <c r="AM2584">
        <v>98.120564439721093</v>
      </c>
      <c r="AN2584">
        <v>0.99999999671344897</v>
      </c>
    </row>
    <row r="2585" spans="1:40" x14ac:dyDescent="0.25">
      <c r="A2585" t="str">
        <f>"20190304164652120"</f>
        <v>20190304164652120</v>
      </c>
      <c r="B2585" t="str">
        <f>"1551689212111068"</f>
        <v>1551689212111068</v>
      </c>
      <c r="C2585" t="s">
        <v>40</v>
      </c>
      <c r="D2585">
        <v>4.6277200000000001</v>
      </c>
      <c r="E2585">
        <v>0.52904830000000003</v>
      </c>
      <c r="F2585" t="s">
        <v>50</v>
      </c>
      <c r="G2585">
        <v>-434.90170000000001</v>
      </c>
      <c r="H2585" s="1">
        <v>4.498393E-6</v>
      </c>
      <c r="I2585">
        <v>213.3845</v>
      </c>
      <c r="J2585">
        <v>-444.0283</v>
      </c>
      <c r="K2585">
        <v>1.1129</v>
      </c>
      <c r="L2585">
        <v>212.5635</v>
      </c>
      <c r="M2585">
        <v>0.99997539999999996</v>
      </c>
      <c r="N2585">
        <v>-6.9155459999999998E-3</v>
      </c>
      <c r="O2585">
        <v>-1.1566949999999999E-3</v>
      </c>
      <c r="P2585">
        <v>0.92243129999999995</v>
      </c>
      <c r="Q2585">
        <v>0.36624509999999899</v>
      </c>
      <c r="R2585">
        <v>0.12241349999999999</v>
      </c>
      <c r="S2585">
        <v>3.3700260000000002</v>
      </c>
      <c r="T2585">
        <v>-0.39686949999999999</v>
      </c>
      <c r="U2585">
        <v>0.29328920000000003</v>
      </c>
      <c r="V2585">
        <v>-0.12611549999999999</v>
      </c>
      <c r="W2585">
        <v>0.37173109999999998</v>
      </c>
      <c r="X2585">
        <v>0.9197341</v>
      </c>
      <c r="Y2585">
        <v>-8.7212600000000001E-2</v>
      </c>
      <c r="Z2585">
        <v>5.5388039999999996E-3</v>
      </c>
      <c r="AA2585">
        <v>0.99617429999999996</v>
      </c>
      <c r="AB2585">
        <v>33</v>
      </c>
      <c r="AC2585">
        <v>9.1265999999999892</v>
      </c>
      <c r="AD2585">
        <v>-1.1128955016069999</v>
      </c>
      <c r="AE2585">
        <v>0.82099999999999795</v>
      </c>
      <c r="AF2585">
        <v>-0.81946926735450698</v>
      </c>
      <c r="AG2585">
        <v>-1.1128955016069999</v>
      </c>
      <c r="AH2585">
        <v>8.9929979774898694</v>
      </c>
      <c r="AI2585">
        <v>97.0257471446279</v>
      </c>
      <c r="AJ2585">
        <v>95.206586277031207</v>
      </c>
      <c r="AK2585">
        <v>9.0985756523080301</v>
      </c>
      <c r="AL2585">
        <v>68.177580985102395</v>
      </c>
      <c r="AM2585">
        <v>97.807802416324506</v>
      </c>
      <c r="AN2585">
        <v>0.99999997237513405</v>
      </c>
    </row>
    <row r="2586" spans="1:40" x14ac:dyDescent="0.25">
      <c r="A2586" t="str">
        <f>"20190304164652142"</f>
        <v>20190304164652142</v>
      </c>
      <c r="B2586" t="str">
        <f>"1551689212131564"</f>
        <v>1551689212131564</v>
      </c>
      <c r="C2586" t="s">
        <v>40</v>
      </c>
      <c r="D2586">
        <v>4.5875779999999997</v>
      </c>
      <c r="E2586">
        <v>0.52929939999999998</v>
      </c>
      <c r="F2586" t="s">
        <v>50</v>
      </c>
      <c r="G2586">
        <v>-434.51519999999999</v>
      </c>
      <c r="H2586" s="1">
        <v>4.328266E-6</v>
      </c>
      <c r="I2586">
        <v>213.3699</v>
      </c>
      <c r="J2586">
        <v>-443.70490000000001</v>
      </c>
      <c r="K2586">
        <v>1.1128400000000001</v>
      </c>
      <c r="L2586">
        <v>212.5659</v>
      </c>
      <c r="M2586">
        <v>0.99997429999999998</v>
      </c>
      <c r="N2586">
        <v>-6.9258380000000001E-3</v>
      </c>
      <c r="O2586">
        <v>1.8393400000000001E-3</v>
      </c>
      <c r="P2586">
        <v>0.92277540000000002</v>
      </c>
      <c r="Q2586">
        <v>0.36633209999999999</v>
      </c>
      <c r="R2586">
        <v>0.11952550000000001</v>
      </c>
      <c r="S2586">
        <v>3.3709410000000002</v>
      </c>
      <c r="T2586">
        <v>-0.39435320000000001</v>
      </c>
      <c r="U2586">
        <v>0.28575129999999999</v>
      </c>
      <c r="V2586">
        <v>-0.12040339999999999</v>
      </c>
      <c r="W2586">
        <v>0.37189179999999999</v>
      </c>
      <c r="X2586">
        <v>0.92043439999999999</v>
      </c>
      <c r="Y2586">
        <v>-8.2055260000000005E-2</v>
      </c>
      <c r="Z2586">
        <v>4.8591679999999996E-3</v>
      </c>
      <c r="AA2586">
        <v>0.9966159</v>
      </c>
      <c r="AB2586">
        <v>33</v>
      </c>
      <c r="AC2586">
        <v>9.1897000000000109</v>
      </c>
      <c r="AD2586">
        <v>-1.112835671734</v>
      </c>
      <c r="AE2586">
        <v>0.80400000000000205</v>
      </c>
      <c r="AF2586">
        <v>-0.77580508243377599</v>
      </c>
      <c r="AG2586">
        <v>-1.112835671734</v>
      </c>
      <c r="AH2586">
        <v>9.0593244016361698</v>
      </c>
      <c r="AI2586">
        <v>96.977770102460994</v>
      </c>
      <c r="AJ2586">
        <v>94.894644581515493</v>
      </c>
      <c r="AK2586">
        <v>9.1603294357951004</v>
      </c>
      <c r="AL2586">
        <v>68.167662817733799</v>
      </c>
      <c r="AM2586">
        <v>97.452629909151298</v>
      </c>
      <c r="AN2586">
        <v>0.99999998717107996</v>
      </c>
    </row>
    <row r="2587" spans="1:40" x14ac:dyDescent="0.25">
      <c r="A2587" t="str">
        <f>"20190304164652165"</f>
        <v>20190304164652165</v>
      </c>
      <c r="B2587" t="str">
        <f>"1551689212160843"</f>
        <v>1551689212160843</v>
      </c>
      <c r="C2587" t="s">
        <v>40</v>
      </c>
      <c r="D2587">
        <v>4.61036</v>
      </c>
      <c r="E2587">
        <v>0.52953280000000003</v>
      </c>
      <c r="F2587" t="s">
        <v>50</v>
      </c>
      <c r="G2587">
        <v>-434.1499</v>
      </c>
      <c r="H2587" s="1">
        <v>4.1673550000000004E-6</v>
      </c>
      <c r="I2587">
        <v>213.35749999999999</v>
      </c>
      <c r="J2587">
        <v>-443.35660000000001</v>
      </c>
      <c r="K2587">
        <v>1.1127670000000001</v>
      </c>
      <c r="L2587">
        <v>212.56950000000001</v>
      </c>
      <c r="M2587">
        <v>0.99996379999999996</v>
      </c>
      <c r="N2587">
        <v>-6.9366180000000003E-3</v>
      </c>
      <c r="O2587">
        <v>4.944787E-3</v>
      </c>
      <c r="P2587">
        <v>0.92311900000000002</v>
      </c>
      <c r="Q2587">
        <v>0.36640260000000002</v>
      </c>
      <c r="R2587">
        <v>0.1166222</v>
      </c>
      <c r="S2587">
        <v>3.3707579999999999</v>
      </c>
      <c r="T2587">
        <v>-0.39257910000000001</v>
      </c>
      <c r="U2587">
        <v>0.27922059999999999</v>
      </c>
      <c r="V2587">
        <v>-0.11456429999999999</v>
      </c>
      <c r="W2587">
        <v>0.37203829999999999</v>
      </c>
      <c r="X2587">
        <v>0.92112019999999994</v>
      </c>
      <c r="Y2587">
        <v>-7.7104930000000002E-2</v>
      </c>
      <c r="Z2587">
        <v>4.1973690000000003E-3</v>
      </c>
      <c r="AA2587">
        <v>0.99701419999999996</v>
      </c>
      <c r="AB2587">
        <v>33</v>
      </c>
      <c r="AC2587">
        <v>9.2067000000000103</v>
      </c>
      <c r="AD2587">
        <v>-1.1127628326450001</v>
      </c>
      <c r="AE2587">
        <v>0.78799999999998205</v>
      </c>
      <c r="AF2587">
        <v>-0.73185081659644202</v>
      </c>
      <c r="AG2587">
        <v>-1.1127628326450001</v>
      </c>
      <c r="AH2587">
        <v>9.0788230951819102</v>
      </c>
      <c r="AI2587">
        <v>96.965340493685801</v>
      </c>
      <c r="AJ2587">
        <v>94.608690919096404</v>
      </c>
      <c r="AK2587">
        <v>9.1759945255583908</v>
      </c>
      <c r="AL2587">
        <v>68.158619272001602</v>
      </c>
      <c r="AM2587">
        <v>97.089753175968596</v>
      </c>
      <c r="AN2587">
        <v>0.99999994917470802</v>
      </c>
    </row>
    <row r="2588" spans="1:40" x14ac:dyDescent="0.25">
      <c r="A2588" t="str">
        <f>"20190304164652187"</f>
        <v>20190304164652187</v>
      </c>
      <c r="B2588" t="str">
        <f>"1551689212181340"</f>
        <v>1551689212181340</v>
      </c>
      <c r="C2588" t="s">
        <v>40</v>
      </c>
      <c r="D2588">
        <v>4.6138979999999998</v>
      </c>
      <c r="E2588">
        <v>0.52959509999999999</v>
      </c>
      <c r="F2588" t="s">
        <v>50</v>
      </c>
      <c r="G2588">
        <v>-433.77249999999998</v>
      </c>
      <c r="H2588" s="1">
        <v>4.0016220000000001E-6</v>
      </c>
      <c r="I2588">
        <v>213.3389</v>
      </c>
      <c r="J2588">
        <v>-443.03390000000002</v>
      </c>
      <c r="K2588">
        <v>1.112684</v>
      </c>
      <c r="L2588">
        <v>212.5737</v>
      </c>
      <c r="M2588">
        <v>0.99994620000000001</v>
      </c>
      <c r="N2588">
        <v>-6.9462339999999999E-3</v>
      </c>
      <c r="O2588">
        <v>7.7048619999999998E-3</v>
      </c>
      <c r="P2588">
        <v>0.92350779999999999</v>
      </c>
      <c r="Q2588">
        <v>0.3661779</v>
      </c>
      <c r="R2588">
        <v>0.11422400000000001</v>
      </c>
      <c r="S2588">
        <v>3.3710939999999998</v>
      </c>
      <c r="T2588">
        <v>-0.3914009</v>
      </c>
      <c r="U2588">
        <v>0.27061459999999998</v>
      </c>
      <c r="V2588">
        <v>-0.109540899999999</v>
      </c>
      <c r="W2588">
        <v>0.37188120000000002</v>
      </c>
      <c r="X2588">
        <v>0.92179449999999996</v>
      </c>
      <c r="Y2588">
        <v>-7.1871660000000004E-2</v>
      </c>
      <c r="Z2588">
        <v>3.5658410000000001E-3</v>
      </c>
      <c r="AA2588">
        <v>0.9974075</v>
      </c>
      <c r="AB2588">
        <v>34</v>
      </c>
      <c r="AC2588">
        <v>9.2614000000000303</v>
      </c>
      <c r="AD2588">
        <v>-1.112679998378</v>
      </c>
      <c r="AE2588">
        <v>0.765199999999992</v>
      </c>
      <c r="AF2588">
        <v>-0.68401165935992103</v>
      </c>
      <c r="AG2588">
        <v>-1.112679998378</v>
      </c>
      <c r="AH2588">
        <v>9.1360452347882806</v>
      </c>
      <c r="AI2588">
        <v>96.924670073278406</v>
      </c>
      <c r="AJ2588">
        <v>94.281721227721505</v>
      </c>
      <c r="AK2588">
        <v>9.2289355432264504</v>
      </c>
      <c r="AL2588">
        <v>68.168316636702798</v>
      </c>
      <c r="AM2588">
        <v>96.776928664070098</v>
      </c>
      <c r="AN2588">
        <v>0.99999996795824897</v>
      </c>
    </row>
    <row r="2589" spans="1:40" x14ac:dyDescent="0.25">
      <c r="A2589" t="str">
        <f>"20190304164652211"</f>
        <v>20190304164652211</v>
      </c>
      <c r="B2589" t="str">
        <f>"1551689212200860"</f>
        <v>1551689212200860</v>
      </c>
      <c r="C2589" t="s">
        <v>40</v>
      </c>
      <c r="D2589">
        <v>4.583151</v>
      </c>
      <c r="E2589">
        <v>0.52907539999999997</v>
      </c>
      <c r="F2589" t="s">
        <v>50</v>
      </c>
      <c r="G2589">
        <v>-433.52170000000001</v>
      </c>
      <c r="H2589" s="1">
        <v>3.8923580000000003E-6</v>
      </c>
      <c r="I2589">
        <v>213.31649999999999</v>
      </c>
      <c r="J2589">
        <v>-442.65910000000002</v>
      </c>
      <c r="K2589">
        <v>1.112571</v>
      </c>
      <c r="L2589">
        <v>212.57939999999999</v>
      </c>
      <c r="M2589">
        <v>0.99991799999999997</v>
      </c>
      <c r="N2589">
        <v>-6.9567300000000004E-3</v>
      </c>
      <c r="O2589">
        <v>1.075284E-2</v>
      </c>
      <c r="P2589">
        <v>0.92374310000000004</v>
      </c>
      <c r="Q2589">
        <v>0.36642809999999998</v>
      </c>
      <c r="R2589">
        <v>0.1114864</v>
      </c>
      <c r="S2589">
        <v>3.3723450000000001</v>
      </c>
      <c r="T2589">
        <v>-0.39447700000000002</v>
      </c>
      <c r="U2589">
        <v>0.26335140000000001</v>
      </c>
      <c r="V2589">
        <v>-0.1038867</v>
      </c>
      <c r="W2589">
        <v>0.37220829999999999</v>
      </c>
      <c r="X2589">
        <v>0.92231700000000005</v>
      </c>
      <c r="Y2589">
        <v>-6.6714709999999997E-2</v>
      </c>
      <c r="Z2589">
        <v>2.9390520000000002E-3</v>
      </c>
      <c r="AA2589">
        <v>0.99776770000000004</v>
      </c>
      <c r="AB2589">
        <v>34</v>
      </c>
      <c r="AC2589">
        <v>9.1374000000000102</v>
      </c>
      <c r="AD2589">
        <v>-1.1125671076420001</v>
      </c>
      <c r="AE2589">
        <v>0.73709999999999798</v>
      </c>
      <c r="AF2589">
        <v>-0.62952930858879297</v>
      </c>
      <c r="AG2589">
        <v>-1.1125671076420001</v>
      </c>
      <c r="AH2589">
        <v>9.0120541023428107</v>
      </c>
      <c r="AI2589">
        <v>97.020802191804407</v>
      </c>
      <c r="AJ2589">
        <v>93.995856568521901</v>
      </c>
      <c r="AK2589">
        <v>9.1022652050428103</v>
      </c>
      <c r="AL2589">
        <v>68.148127822026098</v>
      </c>
      <c r="AM2589">
        <v>96.426518404626293</v>
      </c>
      <c r="AN2589">
        <v>1.0000000567573799</v>
      </c>
    </row>
    <row r="2590" spans="1:40" x14ac:dyDescent="0.25">
      <c r="A2590" t="str">
        <f>"20190304164652233"</f>
        <v>20190304164652233</v>
      </c>
      <c r="B2590" t="str">
        <f>"1551689212221356"</f>
        <v>1551689212221356</v>
      </c>
      <c r="C2590" t="s">
        <v>40</v>
      </c>
      <c r="D2590">
        <v>4.5994380000000001</v>
      </c>
      <c r="E2590">
        <v>0.52903169999999899</v>
      </c>
      <c r="F2590" t="s">
        <v>50</v>
      </c>
      <c r="G2590">
        <v>-432.9701</v>
      </c>
      <c r="H2590" s="1">
        <v>3.6469939999999998E-6</v>
      </c>
      <c r="I2590">
        <v>213.32480000000001</v>
      </c>
      <c r="J2590">
        <v>-442.33800000000002</v>
      </c>
      <c r="K2590">
        <v>1.1124540000000001</v>
      </c>
      <c r="L2590">
        <v>212.58510000000001</v>
      </c>
      <c r="M2590">
        <v>0.99988880000000002</v>
      </c>
      <c r="N2590">
        <v>-6.9650199999999997E-3</v>
      </c>
      <c r="O2590">
        <v>1.319846E-2</v>
      </c>
      <c r="P2590">
        <v>0.92385150000000005</v>
      </c>
      <c r="Q2590">
        <v>0.36688609999999999</v>
      </c>
      <c r="R2590">
        <v>0.10905629999999999</v>
      </c>
      <c r="S2590">
        <v>3.3698730000000001</v>
      </c>
      <c r="T2590">
        <v>-0.3869553</v>
      </c>
      <c r="U2590">
        <v>0.25923160000000001</v>
      </c>
      <c r="V2590">
        <v>-9.9092769999999997E-2</v>
      </c>
      <c r="W2590">
        <v>0.37273309999999998</v>
      </c>
      <c r="X2590">
        <v>0.92263249999999997</v>
      </c>
      <c r="Y2590">
        <v>-6.3171199999999997E-2</v>
      </c>
      <c r="Z2590">
        <v>2.4141980000000002E-3</v>
      </c>
      <c r="AA2590">
        <v>0.99799979999999999</v>
      </c>
      <c r="AB2590">
        <v>34</v>
      </c>
      <c r="AC2590">
        <v>9.3679000000000094</v>
      </c>
      <c r="AD2590">
        <v>-1.1124503530059999</v>
      </c>
      <c r="AE2590">
        <v>0.73969999999999902</v>
      </c>
      <c r="AF2590">
        <v>-0.60747724757464805</v>
      </c>
      <c r="AG2590">
        <v>-1.1124503530059999</v>
      </c>
      <c r="AH2590">
        <v>9.2472515677085898</v>
      </c>
      <c r="AI2590">
        <v>96.845140240997594</v>
      </c>
      <c r="AJ2590">
        <v>93.758516003836206</v>
      </c>
      <c r="AK2590">
        <v>9.3337150133648805</v>
      </c>
      <c r="AL2590">
        <v>68.115727117194595</v>
      </c>
      <c r="AM2590">
        <v>96.130194367395404</v>
      </c>
      <c r="AN2590">
        <v>1.0000000354790599</v>
      </c>
    </row>
    <row r="2591" spans="1:40" x14ac:dyDescent="0.25">
      <c r="A2591" t="str">
        <f>"20190304164652256"</f>
        <v>20190304164652256</v>
      </c>
      <c r="B2591" t="str">
        <f>"1551689212251612"</f>
        <v>1551689212251612</v>
      </c>
      <c r="C2591" t="s">
        <v>40</v>
      </c>
      <c r="D2591">
        <v>4.581804</v>
      </c>
      <c r="E2591">
        <v>0.52891999999999995</v>
      </c>
      <c r="F2591" t="s">
        <v>50</v>
      </c>
      <c r="G2591">
        <v>-432.63900000000001</v>
      </c>
      <c r="H2591" s="1">
        <v>3.5012940000000001E-6</v>
      </c>
      <c r="I2591">
        <v>213.31209999999999</v>
      </c>
      <c r="J2591">
        <v>-442.00069999999999</v>
      </c>
      <c r="K2591">
        <v>1.112304</v>
      </c>
      <c r="L2591">
        <v>212.59180000000001</v>
      </c>
      <c r="M2591">
        <v>0.99985460000000004</v>
      </c>
      <c r="N2591">
        <v>-6.9731059999999997E-3</v>
      </c>
      <c r="O2591">
        <v>1.556334E-2</v>
      </c>
      <c r="P2591">
        <v>0.9238516</v>
      </c>
      <c r="Q2591">
        <v>0.36743219999999999</v>
      </c>
      <c r="R2591">
        <v>0.1072012</v>
      </c>
      <c r="S2591">
        <v>3.3710330000000002</v>
      </c>
      <c r="T2591">
        <v>-0.38665080000000002</v>
      </c>
      <c r="U2591">
        <v>0.25267030000000001</v>
      </c>
      <c r="V2591">
        <v>-9.4918299999999997E-2</v>
      </c>
      <c r="W2591">
        <v>0.37334669999999998</v>
      </c>
      <c r="X2591">
        <v>0.92282330000000001</v>
      </c>
      <c r="Y2591">
        <v>-5.8896480000000001E-2</v>
      </c>
      <c r="Z2591">
        <v>1.8998839999999999E-3</v>
      </c>
      <c r="AA2591">
        <v>0.99826230000000005</v>
      </c>
      <c r="AB2591">
        <v>34</v>
      </c>
      <c r="AC2591">
        <v>9.3616999999999795</v>
      </c>
      <c r="AD2591">
        <v>-1.1123004987059999</v>
      </c>
      <c r="AE2591">
        <v>0.72029999999997996</v>
      </c>
      <c r="AF2591">
        <v>-0.56655899331449799</v>
      </c>
      <c r="AG2591">
        <v>-1.1123004987059999</v>
      </c>
      <c r="AH2591">
        <v>9.2420763449088597</v>
      </c>
      <c r="AI2591">
        <v>96.849906729024795</v>
      </c>
      <c r="AJ2591">
        <v>93.507963638695003</v>
      </c>
      <c r="AK2591">
        <v>9.3259946738914206</v>
      </c>
      <c r="AL2591">
        <v>68.077835374616797</v>
      </c>
      <c r="AM2591">
        <v>95.872587240811598</v>
      </c>
      <c r="AN2591">
        <v>1.0000000425493301</v>
      </c>
    </row>
    <row r="2592" spans="1:40" x14ac:dyDescent="0.25">
      <c r="A2592" t="str">
        <f>"20190304164652276"</f>
        <v>20190304164652276</v>
      </c>
      <c r="B2592" t="str">
        <f>"1551689212271134"</f>
        <v>1551689212271134</v>
      </c>
      <c r="C2592" t="s">
        <v>40</v>
      </c>
      <c r="D2592">
        <v>4.6036429999999999</v>
      </c>
      <c r="E2592">
        <v>0.52883269999999905</v>
      </c>
      <c r="F2592" t="s">
        <v>41</v>
      </c>
      <c r="G2592">
        <v>-441.00110000000001</v>
      </c>
      <c r="H2592">
        <v>0.99788759999999999</v>
      </c>
      <c r="I2592">
        <v>212.6653</v>
      </c>
      <c r="J2592">
        <v>-441.68049999999999</v>
      </c>
      <c r="K2592">
        <v>1.1121369999999999</v>
      </c>
      <c r="L2592">
        <v>212.59870000000001</v>
      </c>
      <c r="M2592">
        <v>0.99982110000000002</v>
      </c>
      <c r="N2592">
        <v>-6.9807250000000001E-3</v>
      </c>
      <c r="O2592">
        <v>1.7585440000000001E-2</v>
      </c>
      <c r="P2592">
        <v>0.9235061</v>
      </c>
      <c r="Q2592">
        <v>0.36867070000000002</v>
      </c>
      <c r="R2592">
        <v>0.1059181</v>
      </c>
      <c r="S2592">
        <v>3.3720400000000001</v>
      </c>
      <c r="T2592">
        <v>-0.38593690000000003</v>
      </c>
      <c r="U2592">
        <v>0.24780269999999999</v>
      </c>
      <c r="V2592">
        <v>-9.1625509999999993E-2</v>
      </c>
      <c r="W2592">
        <v>0.37464550000000002</v>
      </c>
      <c r="X2592">
        <v>0.9226297</v>
      </c>
      <c r="Y2592">
        <v>-5.5458399999999998E-2</v>
      </c>
      <c r="Z2592">
        <v>1.4727989999999999E-3</v>
      </c>
      <c r="AA2592">
        <v>0.99845989999999996</v>
      </c>
      <c r="AB2592">
        <v>34</v>
      </c>
      <c r="AC2592">
        <v>0.67939999999998602</v>
      </c>
      <c r="AD2592">
        <v>-0.1142494</v>
      </c>
      <c r="AE2592">
        <v>6.6599999999993997E-2</v>
      </c>
      <c r="AF2592">
        <v>-5.3153078596765602E-2</v>
      </c>
      <c r="AG2592">
        <v>-0.1142494</v>
      </c>
      <c r="AH2592">
        <v>0.66192602172991</v>
      </c>
      <c r="AI2592">
        <v>99.762033308591896</v>
      </c>
      <c r="AJ2592">
        <v>94.591036318030703</v>
      </c>
      <c r="AK2592">
        <v>0.67381320364612896</v>
      </c>
      <c r="AL2592">
        <v>67.997596284748894</v>
      </c>
      <c r="AM2592">
        <v>95.671395814414694</v>
      </c>
      <c r="AN2592">
        <v>1.00000002403754</v>
      </c>
    </row>
    <row r="2593" spans="1:40" x14ac:dyDescent="0.25">
      <c r="A2593" t="str">
        <f>"20190304164652298"</f>
        <v>20190304164652298</v>
      </c>
      <c r="B2593" t="str">
        <f>"1551689212290651"</f>
        <v>1551689212290651</v>
      </c>
      <c r="C2593" t="s">
        <v>40</v>
      </c>
      <c r="D2593">
        <v>4.5777269999999897</v>
      </c>
      <c r="E2593">
        <v>0.52867189999999997</v>
      </c>
      <c r="F2593" t="s">
        <v>41</v>
      </c>
      <c r="G2593">
        <v>-440.69529999999997</v>
      </c>
      <c r="H2593">
        <v>1.000685</v>
      </c>
      <c r="I2593">
        <v>212.66919999999999</v>
      </c>
      <c r="J2593">
        <v>-441.3424</v>
      </c>
      <c r="K2593">
        <v>1.1119669999999999</v>
      </c>
      <c r="L2593">
        <v>212.60650000000001</v>
      </c>
      <c r="M2593">
        <v>0.99978520000000004</v>
      </c>
      <c r="N2593">
        <v>-6.9890610000000004E-3</v>
      </c>
      <c r="O2593">
        <v>1.9517840000000002E-2</v>
      </c>
      <c r="P2593">
        <v>0.92359480000000005</v>
      </c>
      <c r="Q2593">
        <v>0.36879250000000002</v>
      </c>
      <c r="R2593">
        <v>0.1047145</v>
      </c>
      <c r="S2593">
        <v>3.3731080000000002</v>
      </c>
      <c r="T2593">
        <v>-0.38179770000000002</v>
      </c>
      <c r="U2593">
        <v>0.24237059999999999</v>
      </c>
      <c r="V2593">
        <v>-8.8472259999999997E-2</v>
      </c>
      <c r="W2593">
        <v>0.37483030000000001</v>
      </c>
      <c r="X2593">
        <v>0.92286239999999997</v>
      </c>
      <c r="Y2593">
        <v>-5.194588E-2</v>
      </c>
      <c r="Z2593">
        <v>1.046115E-3</v>
      </c>
      <c r="AA2593">
        <v>0.99864940000000002</v>
      </c>
      <c r="AB2593">
        <v>34</v>
      </c>
      <c r="AC2593">
        <v>0.64710000000002299</v>
      </c>
      <c r="AD2593">
        <v>-0.11128199999999901</v>
      </c>
      <c r="AE2593">
        <v>6.2699999999978204E-2</v>
      </c>
      <c r="AF2593">
        <v>-4.8632873186467702E-2</v>
      </c>
      <c r="AG2593">
        <v>-0.11128199999999901</v>
      </c>
      <c r="AH2593">
        <v>0.62974966295620505</v>
      </c>
      <c r="AI2593">
        <v>99.992039620655106</v>
      </c>
      <c r="AJ2593">
        <v>94.415943310484593</v>
      </c>
      <c r="AK2593">
        <v>0.64135284974172002</v>
      </c>
      <c r="AL2593">
        <v>67.986176471963404</v>
      </c>
      <c r="AM2593">
        <v>95.476052535518406</v>
      </c>
      <c r="AN2593">
        <v>1.00000005196067</v>
      </c>
    </row>
    <row r="2594" spans="1:40" x14ac:dyDescent="0.25">
      <c r="A2594" t="str">
        <f>"20190304164652320"</f>
        <v>20190304164652320</v>
      </c>
      <c r="B2594" t="str">
        <f>"1551689212311148"</f>
        <v>1551689212311148</v>
      </c>
      <c r="C2594" t="s">
        <v>40</v>
      </c>
      <c r="D2594">
        <v>4.5786850000000001</v>
      </c>
      <c r="E2594">
        <v>0.52846510000000002</v>
      </c>
      <c r="F2594" t="s">
        <v>41</v>
      </c>
      <c r="G2594">
        <v>-440.38839999999999</v>
      </c>
      <c r="H2594">
        <v>1.0040230000000001</v>
      </c>
      <c r="I2594">
        <v>212.67359999999999</v>
      </c>
      <c r="J2594">
        <v>-441.00080000000003</v>
      </c>
      <c r="K2594">
        <v>1.1117859999999999</v>
      </c>
      <c r="L2594">
        <v>212.6148</v>
      </c>
      <c r="M2594">
        <v>0.99975029999999998</v>
      </c>
      <c r="N2594">
        <v>-6.9981499999999999E-3</v>
      </c>
      <c r="O2594">
        <v>2.1226890000000002E-2</v>
      </c>
      <c r="P2594">
        <v>0.92369440000000003</v>
      </c>
      <c r="Q2594">
        <v>0.36876029999999999</v>
      </c>
      <c r="R2594">
        <v>0.10394589999999899</v>
      </c>
      <c r="S2594">
        <v>3.3735659999999998</v>
      </c>
      <c r="T2594">
        <v>-0.38185010000000003</v>
      </c>
      <c r="U2594">
        <v>0.2385101</v>
      </c>
      <c r="V2594">
        <v>-8.5949789999999998E-2</v>
      </c>
      <c r="W2594">
        <v>0.37485859999999999</v>
      </c>
      <c r="X2594">
        <v>0.92308920000000005</v>
      </c>
      <c r="Y2594">
        <v>-4.9120410000000003E-2</v>
      </c>
      <c r="Z2594">
        <v>6.9684219999999999E-4</v>
      </c>
      <c r="AA2594">
        <v>0.99879260000000003</v>
      </c>
      <c r="AB2594">
        <v>34</v>
      </c>
      <c r="AC2594">
        <v>0.61240000000003603</v>
      </c>
      <c r="AD2594">
        <v>-0.107763</v>
      </c>
      <c r="AE2594">
        <v>5.8799999999990797E-2</v>
      </c>
      <c r="AF2594">
        <v>-4.4424067525565901E-2</v>
      </c>
      <c r="AG2594">
        <v>-0.107763</v>
      </c>
      <c r="AH2594">
        <v>0.59524682285893704</v>
      </c>
      <c r="AI2594">
        <v>100.233778862568</v>
      </c>
      <c r="AJ2594">
        <v>94.268148193135502</v>
      </c>
      <c r="AK2594">
        <v>0.606551846150167</v>
      </c>
      <c r="AL2594">
        <v>67.984426362085799</v>
      </c>
      <c r="AM2594">
        <v>95.319531809184397</v>
      </c>
      <c r="AN2594">
        <v>1.0000000037758201</v>
      </c>
    </row>
    <row r="2595" spans="1:40" x14ac:dyDescent="0.25">
      <c r="A2595" t="str">
        <f>"20190304164652344"</f>
        <v>20190304164652344</v>
      </c>
      <c r="B2595" t="str">
        <f>"1551689212341404"</f>
        <v>1551689212341404</v>
      </c>
      <c r="C2595" t="s">
        <v>40</v>
      </c>
      <c r="D2595">
        <v>4.5971539999999997</v>
      </c>
      <c r="E2595">
        <v>0.52817550000000002</v>
      </c>
      <c r="F2595" t="s">
        <v>41</v>
      </c>
      <c r="G2595">
        <v>-440.0804</v>
      </c>
      <c r="H2595">
        <v>1.0075529999999999</v>
      </c>
      <c r="I2595">
        <v>212.67949999999999</v>
      </c>
      <c r="J2595">
        <v>-440.64580000000001</v>
      </c>
      <c r="K2595">
        <v>1.111575</v>
      </c>
      <c r="L2595">
        <v>212.62370000000001</v>
      </c>
      <c r="M2595">
        <v>0.99971770000000004</v>
      </c>
      <c r="N2595">
        <v>-7.0079019999999999E-3</v>
      </c>
      <c r="O2595">
        <v>2.2703979999999999E-2</v>
      </c>
      <c r="P2595">
        <v>0.92378459999999996</v>
      </c>
      <c r="Q2595">
        <v>0.36859310000000001</v>
      </c>
      <c r="R2595">
        <v>0.1037361</v>
      </c>
      <c r="S2595">
        <v>3.373596</v>
      </c>
      <c r="T2595">
        <v>-0.3821174</v>
      </c>
      <c r="U2595">
        <v>0.23785400000000001</v>
      </c>
      <c r="V2595">
        <v>-8.4173960000000006E-2</v>
      </c>
      <c r="W2595">
        <v>0.37475249999999999</v>
      </c>
      <c r="X2595">
        <v>0.92329589999999995</v>
      </c>
      <c r="Y2595">
        <v>-4.7469820000000003E-2</v>
      </c>
      <c r="Z2595">
        <v>4.4251259999999998E-4</v>
      </c>
      <c r="AA2595">
        <v>0.9988726</v>
      </c>
      <c r="AB2595">
        <v>34</v>
      </c>
      <c r="AC2595">
        <v>0.565400000000011</v>
      </c>
      <c r="AD2595">
        <v>-0.104021999999999</v>
      </c>
      <c r="AE2595">
        <v>5.57999999999765E-2</v>
      </c>
      <c r="AF2595">
        <v>-4.1555451006556297E-2</v>
      </c>
      <c r="AG2595">
        <v>-0.104021999999999</v>
      </c>
      <c r="AH2595">
        <v>0.54814623397900597</v>
      </c>
      <c r="AI2595">
        <v>100.715244076321</v>
      </c>
      <c r="AJ2595">
        <v>94.335350925333898</v>
      </c>
      <c r="AK2595">
        <v>0.55947450863978199</v>
      </c>
      <c r="AL2595">
        <v>67.990983469172406</v>
      </c>
      <c r="AM2595">
        <v>95.209074863385993</v>
      </c>
      <c r="AN2595">
        <v>1.0000000053775699</v>
      </c>
    </row>
    <row r="2596" spans="1:40" x14ac:dyDescent="0.25">
      <c r="A2596" t="str">
        <f>"20190304164652365"</f>
        <v>20190304164652365</v>
      </c>
      <c r="B2596" t="str">
        <f>"1551689212360924"</f>
        <v>1551689212360924</v>
      </c>
      <c r="C2596" t="s">
        <v>40</v>
      </c>
      <c r="D2596">
        <v>4.5574159999999999</v>
      </c>
      <c r="E2596">
        <v>0.52799110000000005</v>
      </c>
      <c r="F2596" t="s">
        <v>41</v>
      </c>
      <c r="G2596">
        <v>-439.77069999999998</v>
      </c>
      <c r="H2596">
        <v>1.0121309999999999</v>
      </c>
      <c r="I2596">
        <v>212.68610000000001</v>
      </c>
      <c r="J2596">
        <v>-440.32040000000001</v>
      </c>
      <c r="K2596">
        <v>1.1113500000000001</v>
      </c>
      <c r="L2596">
        <v>212.63220000000001</v>
      </c>
      <c r="M2596">
        <v>0.99969300000000005</v>
      </c>
      <c r="N2596">
        <v>-7.0168749999999997E-3</v>
      </c>
      <c r="O2596">
        <v>2.3765149999999999E-2</v>
      </c>
      <c r="P2596">
        <v>0.9240564</v>
      </c>
      <c r="Q2596">
        <v>0.36763610000000002</v>
      </c>
      <c r="R2596">
        <v>0.10470739999999901</v>
      </c>
      <c r="S2596">
        <v>3.3734440000000001</v>
      </c>
      <c r="T2596">
        <v>-0.38337660000000001</v>
      </c>
      <c r="U2596">
        <v>0.24063109999999999</v>
      </c>
      <c r="V2596">
        <v>-8.3949309999999999E-2</v>
      </c>
      <c r="W2596">
        <v>0.37385180000000001</v>
      </c>
      <c r="X2596">
        <v>0.92368139999999999</v>
      </c>
      <c r="Y2596">
        <v>-4.7237250000000001E-2</v>
      </c>
      <c r="Z2596">
        <v>3.1677890000000002E-4</v>
      </c>
      <c r="AA2596">
        <v>0.99888370000000004</v>
      </c>
      <c r="AB2596">
        <v>34</v>
      </c>
      <c r="AC2596">
        <v>0.54970000000002905</v>
      </c>
      <c r="AD2596">
        <v>-9.9219000000000099E-2</v>
      </c>
      <c r="AE2596">
        <v>5.3899999999998699E-2</v>
      </c>
      <c r="AF2596">
        <v>-3.9544693094669701E-2</v>
      </c>
      <c r="AG2596">
        <v>-9.9219000000000099E-2</v>
      </c>
      <c r="AH2596">
        <v>0.53360686659521805</v>
      </c>
      <c r="AI2596">
        <v>100.505135620812</v>
      </c>
      <c r="AJ2596">
        <v>94.238344596697203</v>
      </c>
      <c r="AK2596">
        <v>0.54419158463772499</v>
      </c>
      <c r="AL2596">
        <v>68.046634977199602</v>
      </c>
      <c r="AM2596">
        <v>95.193092269319393</v>
      </c>
      <c r="AN2596">
        <v>0.99999999185933797</v>
      </c>
    </row>
    <row r="2597" spans="1:40" x14ac:dyDescent="0.25">
      <c r="A2597" t="str">
        <f>"20190304164652388"</f>
        <v>20190304164652388</v>
      </c>
      <c r="B2597" t="str">
        <f>"1551689212381422"</f>
        <v>1551689212381422</v>
      </c>
      <c r="C2597" t="s">
        <v>40</v>
      </c>
      <c r="D2597">
        <v>4.5636279999999996</v>
      </c>
      <c r="E2597">
        <v>0.52778459999999905</v>
      </c>
      <c r="F2597" t="s">
        <v>41</v>
      </c>
      <c r="G2597">
        <v>-439.4622</v>
      </c>
      <c r="H2597">
        <v>1.0127330000000001</v>
      </c>
      <c r="I2597">
        <v>212.6943</v>
      </c>
      <c r="J2597">
        <v>-439.9708</v>
      </c>
      <c r="K2597">
        <v>1.111081</v>
      </c>
      <c r="L2597">
        <v>212.6413</v>
      </c>
      <c r="M2597">
        <v>0.99967309999999998</v>
      </c>
      <c r="N2597">
        <v>-7.0267740000000004E-3</v>
      </c>
      <c r="O2597">
        <v>2.4586819999999999E-2</v>
      </c>
      <c r="P2597">
        <v>0.92415670000000005</v>
      </c>
      <c r="Q2597">
        <v>0.36667040000000001</v>
      </c>
      <c r="R2597">
        <v>0.10717989999999999</v>
      </c>
      <c r="S2597">
        <v>3.3730159999999998</v>
      </c>
      <c r="T2597">
        <v>-0.38772010000000001</v>
      </c>
      <c r="U2597">
        <v>0.24542240000000001</v>
      </c>
      <c r="V2597">
        <v>-8.5415980000000002E-2</v>
      </c>
      <c r="W2597">
        <v>0.37294640000000001</v>
      </c>
      <c r="X2597">
        <v>0.92391290000000004</v>
      </c>
      <c r="Y2597">
        <v>-4.7833439999999998E-2</v>
      </c>
      <c r="Z2597">
        <v>2.6509169999999998E-4</v>
      </c>
      <c r="AA2597">
        <v>0.9988553</v>
      </c>
      <c r="AB2597">
        <v>34</v>
      </c>
      <c r="AC2597">
        <v>0.50860000000000105</v>
      </c>
      <c r="AD2597">
        <v>-9.8348000000000102E-2</v>
      </c>
      <c r="AE2597">
        <v>5.2999999999997202E-2</v>
      </c>
      <c r="AF2597">
        <v>-3.9034900967506198E-2</v>
      </c>
      <c r="AG2597">
        <v>-9.8348000000000102E-2</v>
      </c>
      <c r="AH2597">
        <v>0.49156620168128801</v>
      </c>
      <c r="AI2597">
        <v>101.27923595061201</v>
      </c>
      <c r="AJ2597">
        <v>94.5402871670493</v>
      </c>
      <c r="AK2597">
        <v>0.50282540034579803</v>
      </c>
      <c r="AL2597">
        <v>68.102554902327498</v>
      </c>
      <c r="AM2597">
        <v>95.2819948840812</v>
      </c>
      <c r="AN2597">
        <v>0.99999997684936504</v>
      </c>
    </row>
    <row r="2598" spans="1:40" x14ac:dyDescent="0.25">
      <c r="A2598" t="str">
        <f>"20190304164652423"</f>
        <v>20190304164652423</v>
      </c>
      <c r="B2598" t="str">
        <f>"1551689212410702"</f>
        <v>1551689212410702</v>
      </c>
      <c r="C2598" t="s">
        <v>40</v>
      </c>
      <c r="D2598">
        <v>4.5600350000000001</v>
      </c>
      <c r="E2598">
        <v>0.52758969999999905</v>
      </c>
      <c r="F2598" t="s">
        <v>41</v>
      </c>
      <c r="G2598">
        <v>-439.1508</v>
      </c>
      <c r="H2598">
        <v>1.015973</v>
      </c>
      <c r="I2598">
        <v>212.70259999999999</v>
      </c>
      <c r="J2598">
        <v>-439.42660000000001</v>
      </c>
      <c r="K2598">
        <v>1.110654</v>
      </c>
      <c r="L2598">
        <v>212.65549999999999</v>
      </c>
      <c r="M2598">
        <v>0.99965700000000002</v>
      </c>
      <c r="N2598">
        <v>-7.0441430000000001E-3</v>
      </c>
      <c r="O2598">
        <v>2.5230369999999998E-2</v>
      </c>
      <c r="P2598">
        <v>0.92433480000000001</v>
      </c>
      <c r="Q2598">
        <v>0.36467349999999998</v>
      </c>
      <c r="R2598">
        <v>0.1123329</v>
      </c>
      <c r="S2598">
        <v>3.3719790000000001</v>
      </c>
      <c r="T2598">
        <v>-0.391181</v>
      </c>
      <c r="U2598">
        <v>0.25353999999999999</v>
      </c>
      <c r="V2598">
        <v>-8.9583079999999995E-2</v>
      </c>
      <c r="W2598">
        <v>0.37104710000000002</v>
      </c>
      <c r="X2598">
        <v>0.92428290000000002</v>
      </c>
      <c r="Y2598">
        <v>-4.9592249999999997E-2</v>
      </c>
      <c r="Z2598">
        <v>3.0329290000000002E-4</v>
      </c>
      <c r="AA2598">
        <v>0.99876949999999998</v>
      </c>
      <c r="AB2598">
        <v>35</v>
      </c>
      <c r="AC2598">
        <v>0.27580000000000299</v>
      </c>
      <c r="AD2598">
        <v>-9.4681000000000001E-2</v>
      </c>
      <c r="AE2598">
        <v>4.7100000000000301E-2</v>
      </c>
      <c r="AF2598">
        <v>-3.6003456965710202E-2</v>
      </c>
      <c r="AG2598">
        <v>-9.4681000000000001E-2</v>
      </c>
      <c r="AH2598">
        <v>0.24844998290576201</v>
      </c>
      <c r="AI2598">
        <v>110.663835557824</v>
      </c>
      <c r="AJ2598">
        <v>98.245465462498103</v>
      </c>
      <c r="AK2598">
        <v>0.26830604667125002</v>
      </c>
      <c r="AL2598">
        <v>68.2197903684891</v>
      </c>
      <c r="AM2598">
        <v>95.535913731620397</v>
      </c>
      <c r="AN2598">
        <v>0.99999997893655301</v>
      </c>
    </row>
    <row r="2599" spans="1:40" x14ac:dyDescent="0.25">
      <c r="A2599" t="str">
        <f>"20190304164652444"</f>
        <v>20190304164652444</v>
      </c>
      <c r="B2599" t="str">
        <f>"1551689212440959"</f>
        <v>1551689212440959</v>
      </c>
      <c r="C2599" t="s">
        <v>40</v>
      </c>
      <c r="D2599">
        <v>4.5228840000000003</v>
      </c>
      <c r="E2599">
        <v>0.53847080000000003</v>
      </c>
      <c r="F2599" t="s">
        <v>41</v>
      </c>
      <c r="G2599">
        <v>-438.53640000000001</v>
      </c>
      <c r="H2599">
        <v>1.0053939999999999</v>
      </c>
      <c r="I2599">
        <v>212.7277</v>
      </c>
      <c r="J2599">
        <v>-439.08479999999997</v>
      </c>
      <c r="K2599">
        <v>1.1104039999999999</v>
      </c>
      <c r="L2599">
        <v>212.6643</v>
      </c>
      <c r="M2599">
        <v>0.99965550000000003</v>
      </c>
      <c r="N2599">
        <v>-7.0555649999999998E-3</v>
      </c>
      <c r="O2599">
        <v>2.5280710000000001E-2</v>
      </c>
      <c r="P2599">
        <v>0.92442480000000005</v>
      </c>
      <c r="Q2599">
        <v>0.36288989999999999</v>
      </c>
      <c r="R2599">
        <v>0.1172603</v>
      </c>
      <c r="S2599">
        <v>3.3695369999999998</v>
      </c>
      <c r="T2599">
        <v>-0.39841090000000001</v>
      </c>
      <c r="U2599">
        <v>0.27339170000000002</v>
      </c>
      <c r="V2599">
        <v>-9.4236070000000005E-2</v>
      </c>
      <c r="W2599">
        <v>0.3693244</v>
      </c>
      <c r="X2599">
        <v>0.92451019999999995</v>
      </c>
      <c r="Y2599">
        <v>-5.5394400000000003E-2</v>
      </c>
      <c r="Z2599">
        <v>6.5928389999999996E-4</v>
      </c>
      <c r="AA2599">
        <v>0.99846429999999997</v>
      </c>
      <c r="AB2599">
        <v>35</v>
      </c>
      <c r="AC2599">
        <v>0.54839999999995803</v>
      </c>
      <c r="AD2599">
        <v>-0.10501000000000001</v>
      </c>
      <c r="AE2599">
        <v>6.34000000000014E-2</v>
      </c>
      <c r="AF2599">
        <v>-4.7786410658083402E-2</v>
      </c>
      <c r="AG2599">
        <v>-0.10501000000000001</v>
      </c>
      <c r="AH2599">
        <v>0.53062802856442703</v>
      </c>
      <c r="AI2599">
        <v>101.150073054548</v>
      </c>
      <c r="AJ2599">
        <v>95.145965846055006</v>
      </c>
      <c r="AK2599">
        <v>0.54302554805621595</v>
      </c>
      <c r="AL2599">
        <v>68.326043353742094</v>
      </c>
      <c r="AM2599">
        <v>95.820103796510196</v>
      </c>
      <c r="AN2599">
        <v>1.00000002961422</v>
      </c>
    </row>
    <row r="2600" spans="1:40" x14ac:dyDescent="0.25">
      <c r="A2600" t="str">
        <f>"20190304164652466"</f>
        <v>20190304164652466</v>
      </c>
      <c r="B2600" t="str">
        <f>"1551689212461455"</f>
        <v>1551689212461455</v>
      </c>
      <c r="C2600" t="s">
        <v>40</v>
      </c>
      <c r="D2600">
        <v>4.4388969999999999</v>
      </c>
      <c r="E2600">
        <v>0.53878599999999999</v>
      </c>
      <c r="F2600" t="s">
        <v>41</v>
      </c>
      <c r="G2600">
        <v>-438.22820000000002</v>
      </c>
      <c r="H2600">
        <v>0.99957549999999995</v>
      </c>
      <c r="I2600">
        <v>212.71770000000001</v>
      </c>
      <c r="J2600">
        <v>-438.75889999999998</v>
      </c>
      <c r="K2600">
        <v>1.110188</v>
      </c>
      <c r="L2600">
        <v>212.67250000000001</v>
      </c>
      <c r="M2600">
        <v>0.99965970000000004</v>
      </c>
      <c r="N2600">
        <v>-7.066396E-3</v>
      </c>
      <c r="O2600">
        <v>2.5113429999999999E-2</v>
      </c>
      <c r="P2600">
        <v>0.92416010000000004</v>
      </c>
      <c r="Q2600">
        <v>0.3623072</v>
      </c>
      <c r="R2600">
        <v>0.121086</v>
      </c>
      <c r="S2600">
        <v>3.390533</v>
      </c>
      <c r="T2600">
        <v>-0.43874350000000001</v>
      </c>
      <c r="U2600">
        <v>0.21247859999999999</v>
      </c>
      <c r="V2600">
        <v>-9.8032739999999993E-2</v>
      </c>
      <c r="W2600">
        <v>0.36879659999999997</v>
      </c>
      <c r="X2600">
        <v>0.92432610000000004</v>
      </c>
      <c r="Y2600">
        <v>-3.7320249999999999E-2</v>
      </c>
      <c r="Z2600">
        <v>-5.2070269999999997E-4</v>
      </c>
      <c r="AA2600">
        <v>0.99930319999999995</v>
      </c>
      <c r="AB2600">
        <v>35</v>
      </c>
      <c r="AC2600">
        <v>0.53069999999996698</v>
      </c>
      <c r="AD2600">
        <v>-0.1106125</v>
      </c>
      <c r="AE2600">
        <v>4.5199999999994099E-2</v>
      </c>
      <c r="AF2600">
        <v>-3.0540526447202801E-2</v>
      </c>
      <c r="AG2600">
        <v>-0.1106125</v>
      </c>
      <c r="AH2600">
        <v>0.50968545133666399</v>
      </c>
      <c r="AI2600">
        <v>102.223255563858</v>
      </c>
      <c r="AJ2600">
        <v>93.429082633057106</v>
      </c>
      <c r="AK2600">
        <v>0.52244340192616201</v>
      </c>
      <c r="AL2600">
        <v>68.358581395658305</v>
      </c>
      <c r="AM2600">
        <v>96.054078717498996</v>
      </c>
      <c r="AN2600">
        <v>1.0000000447123301</v>
      </c>
    </row>
    <row r="2601" spans="1:40" x14ac:dyDescent="0.25">
      <c r="A2601" t="str">
        <f>"20190304164652487"</f>
        <v>20190304164652487</v>
      </c>
      <c r="B2601" t="str">
        <f>"1551689212480974"</f>
        <v>1551689212480974</v>
      </c>
      <c r="C2601" t="s">
        <v>40</v>
      </c>
      <c r="D2601">
        <v>4.504035</v>
      </c>
      <c r="E2601">
        <v>0.53943409999999903</v>
      </c>
      <c r="F2601" t="s">
        <v>41</v>
      </c>
      <c r="G2601">
        <v>-437.9151</v>
      </c>
      <c r="H2601">
        <v>1.001185</v>
      </c>
      <c r="I2601">
        <v>212.72890000000001</v>
      </c>
      <c r="J2601">
        <v>-438.42059999999998</v>
      </c>
      <c r="K2601">
        <v>1.1099909999999999</v>
      </c>
      <c r="L2601">
        <v>212.6807</v>
      </c>
      <c r="M2601">
        <v>0.99966900000000003</v>
      </c>
      <c r="N2601">
        <v>-7.0778330000000004E-3</v>
      </c>
      <c r="O2601">
        <v>2.4740729999999999E-2</v>
      </c>
      <c r="P2601">
        <v>0.92379739999999999</v>
      </c>
      <c r="Q2601">
        <v>0.36195680000000002</v>
      </c>
      <c r="R2601">
        <v>0.1248435</v>
      </c>
      <c r="S2601">
        <v>3.3880919999999999</v>
      </c>
      <c r="T2601">
        <v>-0.43777319999999997</v>
      </c>
      <c r="U2601">
        <v>0.22702030000000001</v>
      </c>
      <c r="V2601">
        <v>-0.1019674</v>
      </c>
      <c r="W2601">
        <v>0.36850090000000002</v>
      </c>
      <c r="X2601">
        <v>0.92401829999999996</v>
      </c>
      <c r="Y2601">
        <v>-4.1965370000000002E-2</v>
      </c>
      <c r="Z2601">
        <v>-1.5851950000000001E-4</v>
      </c>
      <c r="AA2601">
        <v>0.99911899999999998</v>
      </c>
      <c r="AB2601">
        <v>35</v>
      </c>
      <c r="AC2601">
        <v>0.50549999999998296</v>
      </c>
      <c r="AD2601">
        <v>-0.108805999999999</v>
      </c>
      <c r="AE2601">
        <v>4.8200000000008403E-2</v>
      </c>
      <c r="AF2601">
        <v>-3.4112307386418302E-2</v>
      </c>
      <c r="AG2601">
        <v>-0.108805999999999</v>
      </c>
      <c r="AH2601">
        <v>0.48430217965197803</v>
      </c>
      <c r="AI2601">
        <v>102.631853117651</v>
      </c>
      <c r="AJ2601">
        <v>94.029031223597997</v>
      </c>
      <c r="AK2601">
        <v>0.49754496919060698</v>
      </c>
      <c r="AL2601">
        <v>68.376807363187694</v>
      </c>
      <c r="AM2601">
        <v>96.297232844874401</v>
      </c>
      <c r="AN2601">
        <v>1.00000004134922</v>
      </c>
    </row>
    <row r="2602" spans="1:40" x14ac:dyDescent="0.25">
      <c r="A2602" t="str">
        <f>"20190304164652511"</f>
        <v>20190304164652511</v>
      </c>
      <c r="B2602" t="str">
        <f>"1551689212501471"</f>
        <v>1551689212501471</v>
      </c>
      <c r="C2602" t="s">
        <v>40</v>
      </c>
      <c r="D2602">
        <v>4.4993980000000002</v>
      </c>
      <c r="E2602">
        <v>0.54030789999999995</v>
      </c>
      <c r="F2602" t="s">
        <v>41</v>
      </c>
      <c r="G2602">
        <v>-437.59809999999999</v>
      </c>
      <c r="H2602">
        <v>1.009223</v>
      </c>
      <c r="I2602">
        <v>212.7372</v>
      </c>
      <c r="J2602">
        <v>-438.0401</v>
      </c>
      <c r="K2602">
        <v>1.1097980000000001</v>
      </c>
      <c r="L2602">
        <v>212.68969999999999</v>
      </c>
      <c r="M2602">
        <v>0.9996834</v>
      </c>
      <c r="N2602">
        <v>-7.0907419999999997E-3</v>
      </c>
      <c r="O2602">
        <v>2.4138070000000001E-2</v>
      </c>
      <c r="P2602">
        <v>0.92371009999999998</v>
      </c>
      <c r="Q2602">
        <v>0.3614928</v>
      </c>
      <c r="R2602">
        <v>0.12681769999999901</v>
      </c>
      <c r="S2602">
        <v>3.378082</v>
      </c>
      <c r="T2602">
        <v>-0.41391220000000001</v>
      </c>
      <c r="U2602">
        <v>0.23352049999999999</v>
      </c>
      <c r="V2602">
        <v>-0.1043313</v>
      </c>
      <c r="W2602">
        <v>0.3680966</v>
      </c>
      <c r="X2602">
        <v>0.9239155</v>
      </c>
      <c r="Y2602">
        <v>-4.4669809999999997E-2</v>
      </c>
      <c r="Z2602">
        <v>1.105566E-4</v>
      </c>
      <c r="AA2602">
        <v>0.99900180000000005</v>
      </c>
      <c r="AB2602">
        <v>35</v>
      </c>
      <c r="AC2602">
        <v>0.442000000000007</v>
      </c>
      <c r="AD2602">
        <v>-0.100575</v>
      </c>
      <c r="AE2602">
        <v>4.7500000000013601E-2</v>
      </c>
      <c r="AF2602">
        <v>-3.5024128824258503E-2</v>
      </c>
      <c r="AG2602">
        <v>-0.100575</v>
      </c>
      <c r="AH2602">
        <v>0.42144579931793802</v>
      </c>
      <c r="AI2602">
        <v>103.377732880651</v>
      </c>
      <c r="AJ2602">
        <v>94.750632346969994</v>
      </c>
      <c r="AK2602">
        <v>0.43469366453588199</v>
      </c>
      <c r="AL2602">
        <v>68.401722276052993</v>
      </c>
      <c r="AM2602">
        <v>96.442718201526205</v>
      </c>
      <c r="AN2602">
        <v>0.99999998911574906</v>
      </c>
    </row>
    <row r="2603" spans="1:40" x14ac:dyDescent="0.25">
      <c r="A2603" t="str">
        <f>"20190304164652533"</f>
        <v>20190304164652533</v>
      </c>
      <c r="B2603" t="str">
        <f>"1551689212530751"</f>
        <v>1551689212530751</v>
      </c>
      <c r="C2603" t="s">
        <v>40</v>
      </c>
      <c r="D2603">
        <v>4.4798090000000004</v>
      </c>
      <c r="E2603">
        <v>0.54157349999999904</v>
      </c>
      <c r="F2603" t="s">
        <v>41</v>
      </c>
      <c r="G2603">
        <v>-437.28039999999999</v>
      </c>
      <c r="H2603">
        <v>1.015852</v>
      </c>
      <c r="I2603">
        <v>212.7433</v>
      </c>
      <c r="J2603">
        <v>-437.69779999999997</v>
      </c>
      <c r="K2603">
        <v>1.109661</v>
      </c>
      <c r="L2603">
        <v>212.69739999999999</v>
      </c>
      <c r="M2603">
        <v>0.99969920000000001</v>
      </c>
      <c r="N2603">
        <v>-7.1019150000000003E-3</v>
      </c>
      <c r="O2603">
        <v>2.3478590000000001E-2</v>
      </c>
      <c r="P2603">
        <v>0.92383079999999995</v>
      </c>
      <c r="Q2603">
        <v>0.36133349999999997</v>
      </c>
      <c r="R2603">
        <v>0.12639230000000001</v>
      </c>
      <c r="S2603">
        <v>3.3785400000000001</v>
      </c>
      <c r="T2603">
        <v>-0.4179022</v>
      </c>
      <c r="U2603">
        <v>0.23870849999999999</v>
      </c>
      <c r="V2603">
        <v>-0.1043896</v>
      </c>
      <c r="W2603">
        <v>0.36798360000000002</v>
      </c>
      <c r="X2603">
        <v>0.92395400000000005</v>
      </c>
      <c r="Y2603">
        <v>-4.6820979999999998E-2</v>
      </c>
      <c r="Z2603">
        <v>3.2553779999999999E-4</v>
      </c>
      <c r="AA2603">
        <v>0.99890319999999999</v>
      </c>
      <c r="AB2603">
        <v>35</v>
      </c>
      <c r="AC2603">
        <v>0.417399999999986</v>
      </c>
      <c r="AD2603">
        <v>-9.3809000000000003E-2</v>
      </c>
      <c r="AE2603">
        <v>4.5900000000017302E-2</v>
      </c>
      <c r="AF2603">
        <v>-3.4371737031718898E-2</v>
      </c>
      <c r="AG2603">
        <v>-9.3809000000000003E-2</v>
      </c>
      <c r="AH2603">
        <v>0.39847578705830899</v>
      </c>
      <c r="AI2603">
        <v>103.200039921043</v>
      </c>
      <c r="AJ2603">
        <v>94.930018144609505</v>
      </c>
      <c r="AK2603">
        <v>0.41080956373886501</v>
      </c>
      <c r="AL2603">
        <v>68.408686967686805</v>
      </c>
      <c r="AM2603">
        <v>96.446021728115795</v>
      </c>
      <c r="AN2603">
        <v>1.0000000562865501</v>
      </c>
    </row>
    <row r="2604" spans="1:40" x14ac:dyDescent="0.25">
      <c r="A2604" t="str">
        <f>"20190304164652554"</f>
        <v>20190304164652554</v>
      </c>
      <c r="B2604" t="str">
        <f>"1551689212551247"</f>
        <v>1551689212551247</v>
      </c>
      <c r="C2604" t="s">
        <v>40</v>
      </c>
      <c r="D2604">
        <v>4.5142379999999998</v>
      </c>
      <c r="E2604">
        <v>0.54262239999999995</v>
      </c>
      <c r="F2604" t="s">
        <v>41</v>
      </c>
      <c r="G2604">
        <v>-436.96370000000002</v>
      </c>
      <c r="H2604">
        <v>1.0190900000000001</v>
      </c>
      <c r="I2604">
        <v>212.7474</v>
      </c>
      <c r="J2604">
        <v>-437.36869999999999</v>
      </c>
      <c r="K2604">
        <v>1.1095619999999999</v>
      </c>
      <c r="L2604">
        <v>212.7047</v>
      </c>
      <c r="M2604">
        <v>0.99971509999999997</v>
      </c>
      <c r="N2604">
        <v>-7.112714E-3</v>
      </c>
      <c r="O2604">
        <v>2.2782730000000001E-2</v>
      </c>
      <c r="P2604">
        <v>0.92342849999999999</v>
      </c>
      <c r="Q2604">
        <v>0.36287979999999997</v>
      </c>
      <c r="R2604">
        <v>0.1248928</v>
      </c>
      <c r="S2604">
        <v>3.3789060000000002</v>
      </c>
      <c r="T2604">
        <v>-0.41693649999999999</v>
      </c>
      <c r="U2604">
        <v>0.2301636</v>
      </c>
      <c r="V2604">
        <v>-0.10345020000000001</v>
      </c>
      <c r="W2604">
        <v>0.36956149999999999</v>
      </c>
      <c r="X2604">
        <v>0.92342970000000002</v>
      </c>
      <c r="Y2604">
        <v>-4.5005219999999999E-2</v>
      </c>
      <c r="Z2604">
        <v>2.8853469999999998E-4</v>
      </c>
      <c r="AA2604">
        <v>0.99898670000000001</v>
      </c>
      <c r="AB2604">
        <v>35</v>
      </c>
      <c r="AC2604">
        <v>0.40499999999997199</v>
      </c>
      <c r="AD2604">
        <v>-9.0472000000000094E-2</v>
      </c>
      <c r="AE2604">
        <v>4.2699999999996401E-2</v>
      </c>
      <c r="AF2604">
        <v>-3.1887899446678698E-2</v>
      </c>
      <c r="AG2604">
        <v>-9.0472000000000094E-2</v>
      </c>
      <c r="AH2604">
        <v>0.38677885501526299</v>
      </c>
      <c r="AI2604">
        <v>103.12245737560499</v>
      </c>
      <c r="AJ2604">
        <v>94.713079005896105</v>
      </c>
      <c r="AK2604">
        <v>0.39849705595153301</v>
      </c>
      <c r="AL2604">
        <v>68.311424249566898</v>
      </c>
      <c r="AM2604">
        <v>96.392093048847002</v>
      </c>
      <c r="AN2604">
        <v>1.0000000285021799</v>
      </c>
    </row>
    <row r="2605" spans="1:40" x14ac:dyDescent="0.25">
      <c r="A2605" t="str">
        <f>"20190304164652578"</f>
        <v>20190304164652578</v>
      </c>
      <c r="B2605" t="str">
        <f>"1551689212570767"</f>
        <v>1551689212570767</v>
      </c>
      <c r="C2605" t="s">
        <v>40</v>
      </c>
      <c r="D2605">
        <v>4.502313</v>
      </c>
      <c r="E2605">
        <v>0.54310000000000003</v>
      </c>
      <c r="F2605" t="s">
        <v>41</v>
      </c>
      <c r="G2605">
        <v>-436.64620000000002</v>
      </c>
      <c r="H2605">
        <v>1.0225120000000001</v>
      </c>
      <c r="I2605">
        <v>212.7508</v>
      </c>
      <c r="J2605">
        <v>-437.00119999999998</v>
      </c>
      <c r="K2605">
        <v>1.1094839999999999</v>
      </c>
      <c r="L2605">
        <v>212.7124</v>
      </c>
      <c r="M2605">
        <v>0.99973339999999999</v>
      </c>
      <c r="N2605">
        <v>-7.1247080000000004E-3</v>
      </c>
      <c r="O2605">
        <v>2.1969260000000001E-2</v>
      </c>
      <c r="P2605">
        <v>0.92323809999999995</v>
      </c>
      <c r="Q2605">
        <v>0.36406889999999997</v>
      </c>
      <c r="R2605">
        <v>0.1228233</v>
      </c>
      <c r="S2605">
        <v>3.379486</v>
      </c>
      <c r="T2605">
        <v>-0.40718870000000001</v>
      </c>
      <c r="U2605">
        <v>0.2166595</v>
      </c>
      <c r="V2605">
        <v>-0.1020612</v>
      </c>
      <c r="W2605">
        <v>0.37077919999999998</v>
      </c>
      <c r="X2605">
        <v>0.92309609999999997</v>
      </c>
      <c r="Y2605">
        <v>-4.1859189999999998E-2</v>
      </c>
      <c r="Z2605">
        <v>1.816454E-4</v>
      </c>
      <c r="AA2605">
        <v>0.99912350000000005</v>
      </c>
      <c r="AB2605">
        <v>35</v>
      </c>
      <c r="AC2605">
        <v>0.35499999999996101</v>
      </c>
      <c r="AD2605">
        <v>-8.6971999999999799E-2</v>
      </c>
      <c r="AE2605">
        <v>3.8399999999995701E-2</v>
      </c>
      <c r="AF2605">
        <v>-2.8878199012332701E-2</v>
      </c>
      <c r="AG2605">
        <v>-8.6971999999999799E-2</v>
      </c>
      <c r="AH2605">
        <v>0.33583402971361798</v>
      </c>
      <c r="AI2605">
        <v>104.467955851578</v>
      </c>
      <c r="AJ2605">
        <v>94.914745480002296</v>
      </c>
      <c r="AK2605">
        <v>0.34811287634312399</v>
      </c>
      <c r="AL2605">
        <v>68.236320711311805</v>
      </c>
      <c r="AM2605">
        <v>96.309225185898896</v>
      </c>
      <c r="AN2605">
        <v>1.0000000567666401</v>
      </c>
    </row>
    <row r="2606" spans="1:40" x14ac:dyDescent="0.25">
      <c r="A2606" t="str">
        <f>"20190304164652600"</f>
        <v>20190304164652600</v>
      </c>
      <c r="B2606" t="str">
        <f>"1551689212591769"</f>
        <v>1551689212591769</v>
      </c>
      <c r="C2606" t="s">
        <v>40</v>
      </c>
      <c r="D2606">
        <v>4.5074930000000002</v>
      </c>
      <c r="E2606">
        <v>0.54330489999999998</v>
      </c>
      <c r="F2606" t="s">
        <v>41</v>
      </c>
      <c r="G2606">
        <v>-436.0283</v>
      </c>
      <c r="H2606">
        <v>0.99317339999999998</v>
      </c>
      <c r="I2606">
        <v>212.77090000000001</v>
      </c>
      <c r="J2606">
        <v>-436.6345</v>
      </c>
      <c r="K2606">
        <v>1.1094170000000001</v>
      </c>
      <c r="L2606">
        <v>212.71969999999999</v>
      </c>
      <c r="M2606">
        <v>0.99975099999999995</v>
      </c>
      <c r="N2606">
        <v>-7.136931E-3</v>
      </c>
      <c r="O2606">
        <v>2.1146649999999999E-2</v>
      </c>
      <c r="P2606">
        <v>0.92317559999999999</v>
      </c>
      <c r="Q2606">
        <v>0.36492599999999997</v>
      </c>
      <c r="R2606">
        <v>0.1207317</v>
      </c>
      <c r="S2606">
        <v>3.3816830000000002</v>
      </c>
      <c r="T2606">
        <v>-0.40446850000000001</v>
      </c>
      <c r="U2606">
        <v>0.20474239999999999</v>
      </c>
      <c r="V2606">
        <v>-0.1006778</v>
      </c>
      <c r="W2606">
        <v>0.37165939999999997</v>
      </c>
      <c r="X2606">
        <v>0.92289390000000004</v>
      </c>
      <c r="Y2606">
        <v>-3.914985E-2</v>
      </c>
      <c r="Z2606">
        <v>1.040669E-4</v>
      </c>
      <c r="AA2606">
        <v>0.99923340000000005</v>
      </c>
      <c r="AB2606">
        <v>35</v>
      </c>
      <c r="AC2606">
        <v>0.60620000000000096</v>
      </c>
      <c r="AD2606">
        <v>-0.1162436</v>
      </c>
      <c r="AE2606">
        <v>5.12000000000227E-2</v>
      </c>
      <c r="AF2606">
        <v>-3.7017590703453999E-2</v>
      </c>
      <c r="AG2606">
        <v>-0.1162436</v>
      </c>
      <c r="AH2606">
        <v>0.58576068989586905</v>
      </c>
      <c r="AI2606">
        <v>101.20267609470901</v>
      </c>
      <c r="AJ2606">
        <v>93.616041522980296</v>
      </c>
      <c r="AK2606">
        <v>0.59832972714861199</v>
      </c>
      <c r="AL2606">
        <v>68.182005386939593</v>
      </c>
      <c r="AM2606">
        <v>96.225734916069598</v>
      </c>
      <c r="AN2606">
        <v>0.99999993983920299</v>
      </c>
    </row>
    <row r="2607" spans="1:40" x14ac:dyDescent="0.25">
      <c r="A2607" t="str">
        <f>"20190304164652623"</f>
        <v>20190304164652623</v>
      </c>
      <c r="B2607" t="str">
        <f>"1551689212611288"</f>
        <v>1551689212611288</v>
      </c>
      <c r="C2607" t="s">
        <v>40</v>
      </c>
      <c r="D2607">
        <v>4.5090890000000003</v>
      </c>
      <c r="E2607">
        <v>0.54360180000000002</v>
      </c>
      <c r="F2607" t="s">
        <v>41</v>
      </c>
      <c r="G2607">
        <v>-435.70769999999999</v>
      </c>
      <c r="H2607">
        <v>0.9995134</v>
      </c>
      <c r="I2607">
        <v>212.7714</v>
      </c>
      <c r="J2607">
        <v>-436.27289999999999</v>
      </c>
      <c r="K2607">
        <v>1.1093740000000001</v>
      </c>
      <c r="L2607">
        <v>212.72669999999999</v>
      </c>
      <c r="M2607">
        <v>0.99976759999999998</v>
      </c>
      <c r="N2607">
        <v>-7.1493210000000001E-3</v>
      </c>
      <c r="O2607">
        <v>2.0335700000000002E-2</v>
      </c>
      <c r="P2607">
        <v>0.92299410000000004</v>
      </c>
      <c r="Q2607">
        <v>0.36597150000000001</v>
      </c>
      <c r="R2607">
        <v>0.11894010000000001</v>
      </c>
      <c r="S2607">
        <v>3.3833310000000001</v>
      </c>
      <c r="T2607">
        <v>-0.40133239999999998</v>
      </c>
      <c r="U2607">
        <v>0.19114690000000001</v>
      </c>
      <c r="V2607">
        <v>-9.9598229999999996E-2</v>
      </c>
      <c r="W2607">
        <v>0.37272329999999998</v>
      </c>
      <c r="X2607">
        <v>0.92258200000000001</v>
      </c>
      <c r="Y2607">
        <v>-3.5950169999999997E-2</v>
      </c>
      <c r="Z2607" s="1">
        <v>-4.4372859999999999E-6</v>
      </c>
      <c r="AA2607">
        <v>0.99935359999999995</v>
      </c>
      <c r="AB2607">
        <v>35</v>
      </c>
      <c r="AC2607">
        <v>0.56520000000000403</v>
      </c>
      <c r="AD2607">
        <v>-0.1098606</v>
      </c>
      <c r="AE2607">
        <v>4.4700000000005902E-2</v>
      </c>
      <c r="AF2607">
        <v>-3.1995402496490702E-2</v>
      </c>
      <c r="AG2607">
        <v>-0.1098606</v>
      </c>
      <c r="AH2607">
        <v>0.54551004676150106</v>
      </c>
      <c r="AI2607">
        <v>101.367497547444</v>
      </c>
      <c r="AJ2607">
        <v>93.356681954222594</v>
      </c>
      <c r="AK2607">
        <v>0.55738161822131105</v>
      </c>
      <c r="AL2607">
        <v>68.116331546512001</v>
      </c>
      <c r="AM2607">
        <v>96.161558494421399</v>
      </c>
      <c r="AN2607">
        <v>1.0000000062530101</v>
      </c>
    </row>
    <row r="2608" spans="1:40" x14ac:dyDescent="0.25">
      <c r="A2608" t="str">
        <f>"20190304164652647"</f>
        <v>20190304164652647</v>
      </c>
      <c r="B2608" t="str">
        <f>"1551689212641545"</f>
        <v>1551689212641545</v>
      </c>
      <c r="C2608" t="s">
        <v>40</v>
      </c>
      <c r="D2608">
        <v>4.5304010000000003</v>
      </c>
      <c r="E2608">
        <v>0.54392700000000005</v>
      </c>
      <c r="F2608" t="s">
        <v>41</v>
      </c>
      <c r="G2608">
        <v>-435.38670000000002</v>
      </c>
      <c r="H2608">
        <v>1.0050110000000001</v>
      </c>
      <c r="I2608">
        <v>212.7731</v>
      </c>
      <c r="J2608">
        <v>-435.89479999999998</v>
      </c>
      <c r="K2608">
        <v>1.10934</v>
      </c>
      <c r="L2608">
        <v>212.7338</v>
      </c>
      <c r="M2608">
        <v>0.99978440000000002</v>
      </c>
      <c r="N2608">
        <v>-7.1628250000000003E-3</v>
      </c>
      <c r="O2608">
        <v>1.94947E-2</v>
      </c>
      <c r="P2608">
        <v>0.92285050000000002</v>
      </c>
      <c r="Q2608">
        <v>0.36677490000000001</v>
      </c>
      <c r="R2608">
        <v>0.1175732</v>
      </c>
      <c r="S2608">
        <v>3.385437</v>
      </c>
      <c r="T2608">
        <v>-0.3987832</v>
      </c>
      <c r="U2608">
        <v>0.17822270000000001</v>
      </c>
      <c r="V2608">
        <v>-9.8977389999999998E-2</v>
      </c>
      <c r="W2608">
        <v>0.37354569999999998</v>
      </c>
      <c r="X2608">
        <v>0.92231609999999997</v>
      </c>
      <c r="Y2608">
        <v>-3.2970190000000003E-2</v>
      </c>
      <c r="Z2608" s="1">
        <v>-9.4939140000000003E-5</v>
      </c>
      <c r="AA2608">
        <v>0.99945629999999996</v>
      </c>
      <c r="AB2608">
        <v>36</v>
      </c>
      <c r="AC2608">
        <v>0.50809999999995603</v>
      </c>
      <c r="AD2608">
        <v>-0.10432899999999901</v>
      </c>
      <c r="AE2608">
        <v>3.9299999999997198E-2</v>
      </c>
      <c r="AF2608">
        <v>-2.82049419613641E-2</v>
      </c>
      <c r="AG2608">
        <v>-0.10432899999999901</v>
      </c>
      <c r="AH2608">
        <v>0.488304582975428</v>
      </c>
      <c r="AI2608">
        <v>102.04075164135401</v>
      </c>
      <c r="AJ2608">
        <v>93.3057861533417</v>
      </c>
      <c r="AK2608">
        <v>0.50012141000646104</v>
      </c>
      <c r="AL2608">
        <v>68.065542164853198</v>
      </c>
      <c r="AM2608">
        <v>96.125195411407404</v>
      </c>
      <c r="AN2608">
        <v>0.99999995101945405</v>
      </c>
    </row>
    <row r="2609" spans="1:40" x14ac:dyDescent="0.25">
      <c r="A2609" t="str">
        <f>"20190304164652669"</f>
        <v>20190304164652669</v>
      </c>
      <c r="B2609" t="str">
        <f>"1551689212661066"</f>
        <v>1551689212661066</v>
      </c>
      <c r="C2609" t="s">
        <v>40</v>
      </c>
      <c r="D2609">
        <v>4.5087409999999997</v>
      </c>
      <c r="E2609">
        <v>0.54412669999999996</v>
      </c>
      <c r="F2609" t="s">
        <v>41</v>
      </c>
      <c r="G2609">
        <v>-435.0643</v>
      </c>
      <c r="H2609">
        <v>1.0117719999999999</v>
      </c>
      <c r="I2609">
        <v>212.7749</v>
      </c>
      <c r="J2609">
        <v>-435.5428</v>
      </c>
      <c r="K2609">
        <v>1.109316</v>
      </c>
      <c r="L2609">
        <v>212.74</v>
      </c>
      <c r="M2609">
        <v>0.99979910000000005</v>
      </c>
      <c r="N2609">
        <v>-7.1757449999999999E-3</v>
      </c>
      <c r="O2609">
        <v>1.8720319999999999E-2</v>
      </c>
      <c r="P2609">
        <v>0.92285660000000003</v>
      </c>
      <c r="Q2609">
        <v>0.36695889999999998</v>
      </c>
      <c r="R2609">
        <v>0.1169486</v>
      </c>
      <c r="S2609">
        <v>3.3874209999999998</v>
      </c>
      <c r="T2609">
        <v>-0.3981518</v>
      </c>
      <c r="U2609">
        <v>0.16946410000000001</v>
      </c>
      <c r="V2609">
        <v>-9.9041680000000007E-2</v>
      </c>
      <c r="W2609">
        <v>0.37374829999999998</v>
      </c>
      <c r="X2609">
        <v>0.92222709999999997</v>
      </c>
      <c r="Y2609">
        <v>-3.1145119999999998E-2</v>
      </c>
      <c r="Z2609">
        <v>-1.220712E-4</v>
      </c>
      <c r="AA2609">
        <v>0.99951489999999998</v>
      </c>
      <c r="AB2609">
        <v>36</v>
      </c>
      <c r="AC2609">
        <v>0.47849999999999598</v>
      </c>
      <c r="AD2609">
        <v>-9.7544000000000006E-2</v>
      </c>
      <c r="AE2609">
        <v>3.48999999999932E-2</v>
      </c>
      <c r="AF2609">
        <v>-2.49064374605465E-2</v>
      </c>
      <c r="AG2609">
        <v>-9.7544000000000006E-2</v>
      </c>
      <c r="AH2609">
        <v>0.46005256491991098</v>
      </c>
      <c r="AI2609">
        <v>101.95401781071401</v>
      </c>
      <c r="AJ2609">
        <v>93.098867644020601</v>
      </c>
      <c r="AK2609">
        <v>0.47093898230276598</v>
      </c>
      <c r="AL2609">
        <v>68.053027254578296</v>
      </c>
      <c r="AM2609">
        <v>96.129730705062599</v>
      </c>
      <c r="AN2609">
        <v>0.99999993505225804</v>
      </c>
    </row>
    <row r="2610" spans="1:40" x14ac:dyDescent="0.25">
      <c r="A2610" t="str">
        <f>"20190304164652690"</f>
        <v>20190304164652690</v>
      </c>
      <c r="B2610" t="str">
        <f>"1551689212681092"</f>
        <v>1551689212681092</v>
      </c>
      <c r="C2610" t="s">
        <v>40</v>
      </c>
      <c r="D2610">
        <v>4.5283049999999996</v>
      </c>
      <c r="E2610">
        <v>0.54422839999999995</v>
      </c>
      <c r="F2610" t="s">
        <v>41</v>
      </c>
      <c r="G2610">
        <v>-434.74290000000002</v>
      </c>
      <c r="H2610">
        <v>1.0149429999999999</v>
      </c>
      <c r="I2610">
        <v>212.77889999999999</v>
      </c>
      <c r="J2610">
        <v>-435.1925</v>
      </c>
      <c r="K2610">
        <v>1.1092869999999999</v>
      </c>
      <c r="L2610">
        <v>212.74590000000001</v>
      </c>
      <c r="M2610">
        <v>0.99981299999999995</v>
      </c>
      <c r="N2610">
        <v>-7.1889629999999996E-3</v>
      </c>
      <c r="O2610">
        <v>1.795629E-2</v>
      </c>
      <c r="P2610">
        <v>0.92282830000000005</v>
      </c>
      <c r="Q2610">
        <v>0.36692390000000003</v>
      </c>
      <c r="R2610">
        <v>0.1172801</v>
      </c>
      <c r="S2610">
        <v>3.3887330000000002</v>
      </c>
      <c r="T2610">
        <v>-0.40001609999999999</v>
      </c>
      <c r="U2610">
        <v>0.1664581</v>
      </c>
      <c r="V2610">
        <v>-0.1000581</v>
      </c>
      <c r="W2610">
        <v>0.37373240000000002</v>
      </c>
      <c r="X2610">
        <v>0.92212380000000005</v>
      </c>
      <c r="Y2610">
        <v>-3.1000639999999999E-2</v>
      </c>
      <c r="Z2610" s="1">
        <v>-4.7897569999999998E-5</v>
      </c>
      <c r="AA2610">
        <v>0.9995193</v>
      </c>
      <c r="AB2610">
        <v>36</v>
      </c>
      <c r="AC2610">
        <v>0.44959999999997502</v>
      </c>
      <c r="AD2610">
        <v>-9.4344000000000205E-2</v>
      </c>
      <c r="AE2610">
        <v>3.2999999999986998E-2</v>
      </c>
      <c r="AF2610">
        <v>-2.3875645909967099E-2</v>
      </c>
      <c r="AG2610">
        <v>-9.4344000000000205E-2</v>
      </c>
      <c r="AH2610">
        <v>0.43123342974631701</v>
      </c>
      <c r="AI2610">
        <v>102.32227518965701</v>
      </c>
      <c r="AJ2610">
        <v>93.168999490259296</v>
      </c>
      <c r="AK2610">
        <v>0.44207816925787002</v>
      </c>
      <c r="AL2610">
        <v>68.054009001051497</v>
      </c>
      <c r="AM2610">
        <v>96.192839407981296</v>
      </c>
      <c r="AN2610">
        <v>0.99999991635590102</v>
      </c>
    </row>
    <row r="2611" spans="1:40" x14ac:dyDescent="0.25">
      <c r="A2611" t="str">
        <f>"20190304164652713"</f>
        <v>20190304164652713</v>
      </c>
      <c r="B2611" t="str">
        <f>"1551689212701588"</f>
        <v>1551689212701588</v>
      </c>
      <c r="C2611" t="s">
        <v>40</v>
      </c>
      <c r="D2611">
        <v>4.5232809999999999</v>
      </c>
      <c r="E2611">
        <v>0.54423869999999996</v>
      </c>
      <c r="F2611" t="s">
        <v>41</v>
      </c>
      <c r="G2611">
        <v>-434.42090000000002</v>
      </c>
      <c r="H2611">
        <v>1.017862</v>
      </c>
      <c r="I2611">
        <v>212.78380000000001</v>
      </c>
      <c r="J2611">
        <v>-434.84160000000003</v>
      </c>
      <c r="K2611">
        <v>1.1092649999999999</v>
      </c>
      <c r="L2611">
        <v>212.7516</v>
      </c>
      <c r="M2611">
        <v>0.99982629999999995</v>
      </c>
      <c r="N2611">
        <v>-7.2022780000000003E-3</v>
      </c>
      <c r="O2611">
        <v>1.7195229999999999E-2</v>
      </c>
      <c r="P2611">
        <v>0.92292370000000001</v>
      </c>
      <c r="Q2611">
        <v>0.36651299999999998</v>
      </c>
      <c r="R2611">
        <v>0.1178145</v>
      </c>
      <c r="S2611">
        <v>3.3892519999999902</v>
      </c>
      <c r="T2611">
        <v>-0.40163919999999997</v>
      </c>
      <c r="U2611">
        <v>0.1678009</v>
      </c>
      <c r="V2611">
        <v>-0.10127700000000001</v>
      </c>
      <c r="W2611">
        <v>0.37334089999999998</v>
      </c>
      <c r="X2611">
        <v>0.92214940000000001</v>
      </c>
      <c r="Y2611">
        <v>-3.2135039999999997E-2</v>
      </c>
      <c r="Z2611">
        <v>1.06805E-4</v>
      </c>
      <c r="AA2611">
        <v>0.99948349999999997</v>
      </c>
      <c r="AB2611">
        <v>36</v>
      </c>
      <c r="AC2611">
        <v>0.42070000000001001</v>
      </c>
      <c r="AD2611">
        <v>-9.1402999999999901E-2</v>
      </c>
      <c r="AE2611">
        <v>3.2200000000017298E-2</v>
      </c>
      <c r="AF2611">
        <v>-2.3842136800941698E-2</v>
      </c>
      <c r="AG2611">
        <v>-9.1402999999999901E-2</v>
      </c>
      <c r="AH2611">
        <v>0.40231151593720299</v>
      </c>
      <c r="AI2611">
        <v>102.77832725011901</v>
      </c>
      <c r="AJ2611">
        <v>93.391545821873294</v>
      </c>
      <c r="AK2611">
        <v>0.41325235843480002</v>
      </c>
      <c r="AL2611">
        <v>68.078192313865301</v>
      </c>
      <c r="AM2611">
        <v>96.2675106460607</v>
      </c>
      <c r="AN2611">
        <v>0.99999998713108396</v>
      </c>
    </row>
    <row r="2612" spans="1:40" x14ac:dyDescent="0.25">
      <c r="A2612" t="str">
        <f>"20190304164652734"</f>
        <v>20190304164652734</v>
      </c>
      <c r="B2612" t="str">
        <f>"1551689212730868"</f>
        <v>1551689212730868</v>
      </c>
      <c r="C2612" t="s">
        <v>40</v>
      </c>
      <c r="D2612">
        <v>4.5218699999999998</v>
      </c>
      <c r="E2612">
        <v>0.54411790000000004</v>
      </c>
      <c r="F2612" t="s">
        <v>41</v>
      </c>
      <c r="G2612">
        <v>-434.09789999999998</v>
      </c>
      <c r="H2612">
        <v>1.021158</v>
      </c>
      <c r="I2612">
        <v>212.78890000000001</v>
      </c>
      <c r="J2612">
        <v>-434.4914</v>
      </c>
      <c r="K2612">
        <v>1.109251</v>
      </c>
      <c r="L2612">
        <v>212.75700000000001</v>
      </c>
      <c r="M2612">
        <v>0.99983889999999997</v>
      </c>
      <c r="N2612">
        <v>-7.2156109999999898E-3</v>
      </c>
      <c r="O2612">
        <v>1.643725E-2</v>
      </c>
      <c r="P2612">
        <v>0.92269429999999997</v>
      </c>
      <c r="Q2612">
        <v>0.36671510000000002</v>
      </c>
      <c r="R2612">
        <v>0.1189771</v>
      </c>
      <c r="S2612">
        <v>3.3880919999999999</v>
      </c>
      <c r="T2612">
        <v>-0.40143699999999999</v>
      </c>
      <c r="U2612">
        <v>0.17129520000000001</v>
      </c>
      <c r="V2612">
        <v>-0.1031296</v>
      </c>
      <c r="W2612">
        <v>0.37356040000000001</v>
      </c>
      <c r="X2612">
        <v>0.92185519999999999</v>
      </c>
      <c r="Y2612">
        <v>-3.3919930000000001E-2</v>
      </c>
      <c r="Z2612">
        <v>3.0301329999999997E-4</v>
      </c>
      <c r="AA2612">
        <v>0.99942450000000005</v>
      </c>
      <c r="AB2612">
        <v>36</v>
      </c>
      <c r="AC2612">
        <v>0.393500000000017</v>
      </c>
      <c r="AD2612">
        <v>-8.8092999999999894E-2</v>
      </c>
      <c r="AE2612">
        <v>3.1900000000007298E-2</v>
      </c>
      <c r="AF2612">
        <v>-2.4221459807305199E-2</v>
      </c>
      <c r="AG2612">
        <v>-8.8092999999999894E-2</v>
      </c>
      <c r="AH2612">
        <v>0.375285458983458</v>
      </c>
      <c r="AI2612">
        <v>103.183745146256</v>
      </c>
      <c r="AJ2612">
        <v>93.692829557092395</v>
      </c>
      <c r="AK2612">
        <v>0.38624633524296598</v>
      </c>
      <c r="AL2612">
        <v>68.0646364320434</v>
      </c>
      <c r="AM2612">
        <v>96.383240856498404</v>
      </c>
      <c r="AN2612">
        <v>1.0000000483056699</v>
      </c>
    </row>
    <row r="2613" spans="1:40" x14ac:dyDescent="0.25">
      <c r="A2613" t="str">
        <f>"20190304164652755"</f>
        <v>20190304164652755</v>
      </c>
      <c r="B2613" t="str">
        <f>"1551689212751364"</f>
        <v>1551689212751364</v>
      </c>
      <c r="C2613" t="s">
        <v>40</v>
      </c>
      <c r="D2613">
        <v>4.5585440000000004</v>
      </c>
      <c r="E2613">
        <v>0.54417879999999996</v>
      </c>
      <c r="F2613" t="s">
        <v>41</v>
      </c>
      <c r="G2613">
        <v>-433.4683</v>
      </c>
      <c r="H2613">
        <v>0.98834869999999997</v>
      </c>
      <c r="I2613">
        <v>212.81</v>
      </c>
      <c r="J2613">
        <v>-434.15499999999997</v>
      </c>
      <c r="K2613">
        <v>1.1092280000000001</v>
      </c>
      <c r="L2613">
        <v>212.7619</v>
      </c>
      <c r="M2613">
        <v>0.99985049999999998</v>
      </c>
      <c r="N2613">
        <v>-7.228323E-3</v>
      </c>
      <c r="O2613">
        <v>1.5709480000000001E-2</v>
      </c>
      <c r="P2613">
        <v>0.92259619999999998</v>
      </c>
      <c r="Q2613">
        <v>0.36627850000000001</v>
      </c>
      <c r="R2613">
        <v>0.1210638</v>
      </c>
      <c r="S2613">
        <v>3.3877259999999998</v>
      </c>
      <c r="T2613">
        <v>-0.40043260000000003</v>
      </c>
      <c r="U2613">
        <v>0.17678829999999901</v>
      </c>
      <c r="V2613">
        <v>-0.10588019999999999</v>
      </c>
      <c r="W2613">
        <v>0.37314269999999999</v>
      </c>
      <c r="X2613">
        <v>0.92171250000000005</v>
      </c>
      <c r="Y2613">
        <v>-3.6248040000000002E-2</v>
      </c>
      <c r="Z2613">
        <v>5.2916789999999997E-4</v>
      </c>
      <c r="AA2613">
        <v>0.99934270000000003</v>
      </c>
      <c r="AB2613">
        <v>36</v>
      </c>
      <c r="AC2613">
        <v>0.686699999999973</v>
      </c>
      <c r="AD2613">
        <v>-0.1208793</v>
      </c>
      <c r="AE2613">
        <v>4.8100000000005097E-2</v>
      </c>
      <c r="AF2613">
        <v>-3.6190158476268698E-2</v>
      </c>
      <c r="AG2613">
        <v>-0.1208793</v>
      </c>
      <c r="AH2613">
        <v>0.66680980932579803</v>
      </c>
      <c r="AI2613">
        <v>100.26021750975001</v>
      </c>
      <c r="AJ2613">
        <v>93.106599429256406</v>
      </c>
      <c r="AK2613">
        <v>0.67864339277129504</v>
      </c>
      <c r="AL2613">
        <v>68.090433488432595</v>
      </c>
      <c r="AM2613">
        <v>96.553034341686399</v>
      </c>
      <c r="AN2613">
        <v>1.0000000119857899</v>
      </c>
    </row>
    <row r="2614" spans="1:40" x14ac:dyDescent="0.25">
      <c r="A2614" t="str">
        <f>"20190304164652778"</f>
        <v>20190304164652778</v>
      </c>
      <c r="B2614" t="str">
        <f>"1551689212770885"</f>
        <v>1551689212770885</v>
      </c>
      <c r="C2614" t="s">
        <v>40</v>
      </c>
      <c r="D2614">
        <v>4.5675150000000002</v>
      </c>
      <c r="E2614">
        <v>0.5442342</v>
      </c>
      <c r="F2614" t="s">
        <v>41</v>
      </c>
      <c r="G2614">
        <v>-433.14389999999997</v>
      </c>
      <c r="H2614">
        <v>0.99001499999999998</v>
      </c>
      <c r="I2614">
        <v>212.816</v>
      </c>
      <c r="J2614">
        <v>-433.77609999999999</v>
      </c>
      <c r="K2614">
        <v>1.1092219999999999</v>
      </c>
      <c r="L2614">
        <v>212.7672</v>
      </c>
      <c r="M2614">
        <v>0.99986299999999995</v>
      </c>
      <c r="N2614">
        <v>-7.2429130000000001E-3</v>
      </c>
      <c r="O2614">
        <v>1.4889929999999999E-2</v>
      </c>
      <c r="P2614">
        <v>0.92271890000000001</v>
      </c>
      <c r="Q2614">
        <v>0.36533549999999998</v>
      </c>
      <c r="R2614">
        <v>0.1229638</v>
      </c>
      <c r="S2614">
        <v>3.3864139999999998</v>
      </c>
      <c r="T2614">
        <v>-0.3992772</v>
      </c>
      <c r="U2614">
        <v>0.18132019999999999</v>
      </c>
      <c r="V2614">
        <v>-0.1085289</v>
      </c>
      <c r="W2614">
        <v>0.37222110000000003</v>
      </c>
      <c r="X2614">
        <v>0.92177710000000002</v>
      </c>
      <c r="Y2614">
        <v>-3.8400839999999999E-2</v>
      </c>
      <c r="Z2614">
        <v>7.5345239999999997E-4</v>
      </c>
      <c r="AA2614">
        <v>0.99926219999999999</v>
      </c>
      <c r="AB2614">
        <v>36</v>
      </c>
      <c r="AC2614">
        <v>0.63220000000001098</v>
      </c>
      <c r="AD2614">
        <v>-0.11920699999999899</v>
      </c>
      <c r="AE2614">
        <v>4.8799999999971498E-2</v>
      </c>
      <c r="AF2614">
        <v>-3.8036569103096399E-2</v>
      </c>
      <c r="AG2614">
        <v>-0.11920699999999899</v>
      </c>
      <c r="AH2614">
        <v>0.611252508134422</v>
      </c>
      <c r="AI2614">
        <v>101.014578933246</v>
      </c>
      <c r="AJ2614">
        <v>93.560768098060606</v>
      </c>
      <c r="AK2614">
        <v>0.62392845594567703</v>
      </c>
      <c r="AL2614">
        <v>68.147337407467901</v>
      </c>
      <c r="AM2614">
        <v>96.715019559248404</v>
      </c>
      <c r="AN2614">
        <v>1.0000000457524101</v>
      </c>
    </row>
    <row r="2615" spans="1:40" x14ac:dyDescent="0.25">
      <c r="A2615" t="str">
        <f>"20190304164652800"</f>
        <v>20190304164652800</v>
      </c>
      <c r="B2615" t="str">
        <f>"1551689212791381"</f>
        <v>1551689212791381</v>
      </c>
      <c r="C2615" t="s">
        <v>40</v>
      </c>
      <c r="D2615">
        <v>4.5742919999999998</v>
      </c>
      <c r="E2615">
        <v>0.54426350000000001</v>
      </c>
      <c r="F2615" t="s">
        <v>41</v>
      </c>
      <c r="G2615">
        <v>-432.81689999999998</v>
      </c>
      <c r="H2615">
        <v>0.99595579999999995</v>
      </c>
      <c r="I2615">
        <v>212.81880000000001</v>
      </c>
      <c r="J2615">
        <v>-433.4246</v>
      </c>
      <c r="K2615">
        <v>1.109216</v>
      </c>
      <c r="L2615">
        <v>212.77170000000001</v>
      </c>
      <c r="M2615">
        <v>0.99987389999999998</v>
      </c>
      <c r="N2615">
        <v>-7.2565759999999998E-3</v>
      </c>
      <c r="O2615">
        <v>1.413068E-2</v>
      </c>
      <c r="P2615">
        <v>0.92261629999999994</v>
      </c>
      <c r="Q2615">
        <v>0.36515989999999998</v>
      </c>
      <c r="R2615">
        <v>0.124249499999999</v>
      </c>
      <c r="S2615">
        <v>3.3852540000000002</v>
      </c>
      <c r="T2615">
        <v>-0.39970889999999998</v>
      </c>
      <c r="U2615">
        <v>0.1820068</v>
      </c>
      <c r="V2615">
        <v>-0.1105125</v>
      </c>
      <c r="W2615">
        <v>0.3720618</v>
      </c>
      <c r="X2615">
        <v>0.92160569999999997</v>
      </c>
      <c r="Y2615">
        <v>-3.9367680000000002E-2</v>
      </c>
      <c r="Z2615">
        <v>8.9875749999999998E-4</v>
      </c>
      <c r="AA2615">
        <v>0.99922440000000001</v>
      </c>
      <c r="AB2615">
        <v>36</v>
      </c>
      <c r="AC2615">
        <v>0.607700000000022</v>
      </c>
      <c r="AD2615">
        <v>-0.11326019999999901</v>
      </c>
      <c r="AE2615">
        <v>4.7100000000000301E-2</v>
      </c>
      <c r="AF2615">
        <v>-3.7222623704171398E-2</v>
      </c>
      <c r="AG2615">
        <v>-0.11326019999999901</v>
      </c>
      <c r="AH2615">
        <v>0.58800218165554397</v>
      </c>
      <c r="AI2615">
        <v>100.88144896717</v>
      </c>
      <c r="AJ2615">
        <v>93.622192775704605</v>
      </c>
      <c r="AK2615">
        <v>0.59996663428155905</v>
      </c>
      <c r="AL2615">
        <v>68.157170566148906</v>
      </c>
      <c r="AM2615">
        <v>96.837859126651907</v>
      </c>
      <c r="AN2615">
        <v>1.00000003097398</v>
      </c>
    </row>
    <row r="2616" spans="1:40" x14ac:dyDescent="0.25">
      <c r="A2616" t="str">
        <f>"20190304164652828"</f>
        <v>20190304164652828</v>
      </c>
      <c r="B2616" t="str">
        <f>"1551689212820660"</f>
        <v>1551689212820660</v>
      </c>
      <c r="C2616" t="s">
        <v>40</v>
      </c>
      <c r="D2616">
        <v>4.7942609999999997</v>
      </c>
      <c r="E2616">
        <v>0.54415899999999995</v>
      </c>
      <c r="F2616" t="s">
        <v>41</v>
      </c>
      <c r="G2616">
        <v>-432.49009999999998</v>
      </c>
      <c r="H2616">
        <v>0.99964929999999996</v>
      </c>
      <c r="I2616">
        <v>212.82130000000001</v>
      </c>
      <c r="J2616">
        <v>-432.9862</v>
      </c>
      <c r="K2616">
        <v>1.109205</v>
      </c>
      <c r="L2616">
        <v>212.77709999999999</v>
      </c>
      <c r="M2616">
        <v>0.99988659999999996</v>
      </c>
      <c r="N2616">
        <v>-7.2734339999999996E-3</v>
      </c>
      <c r="O2616">
        <v>1.318863E-2</v>
      </c>
      <c r="P2616">
        <v>0.92270580000000002</v>
      </c>
      <c r="Q2616">
        <v>0.36455290000000001</v>
      </c>
      <c r="R2616">
        <v>0.12536079999999999</v>
      </c>
      <c r="S2616">
        <v>3.3843990000000002</v>
      </c>
      <c r="T2616">
        <v>-0.39695239999999998</v>
      </c>
      <c r="U2616">
        <v>0.180954</v>
      </c>
      <c r="V2616">
        <v>-0.11249049999999999</v>
      </c>
      <c r="W2616">
        <v>0.37147570000000002</v>
      </c>
      <c r="X2616">
        <v>0.92160280000000006</v>
      </c>
      <c r="Y2616">
        <v>-4.00048E-2</v>
      </c>
      <c r="Z2616">
        <v>1.0377380000000001E-3</v>
      </c>
      <c r="AA2616">
        <v>0.99919899999999995</v>
      </c>
      <c r="AB2616">
        <v>36</v>
      </c>
      <c r="AC2616">
        <v>0.49610000000001198</v>
      </c>
      <c r="AD2616">
        <v>-0.10955569999999901</v>
      </c>
      <c r="AE2616">
        <v>4.4200000000017697E-2</v>
      </c>
      <c r="AF2616">
        <v>-3.59153893152757E-2</v>
      </c>
      <c r="AG2616">
        <v>-0.10955569999999901</v>
      </c>
      <c r="AH2616">
        <v>0.47371956883246902</v>
      </c>
      <c r="AI2616">
        <v>102.985692320604</v>
      </c>
      <c r="AJ2616">
        <v>94.3356262726723</v>
      </c>
      <c r="AK2616">
        <v>0.48754753254116501</v>
      </c>
      <c r="AL2616">
        <v>68.193343990960301</v>
      </c>
      <c r="AM2616">
        <v>96.959078025593101</v>
      </c>
      <c r="AN2616">
        <v>1.00000001462429</v>
      </c>
    </row>
    <row r="2617" spans="1:40" x14ac:dyDescent="0.25">
      <c r="A2617" t="str">
        <f>"20190304164652869"</f>
        <v>20190304164652869</v>
      </c>
      <c r="B2617" t="str">
        <f>"1551689212860676"</f>
        <v>1551689212860676</v>
      </c>
      <c r="C2617" t="s">
        <v>40</v>
      </c>
      <c r="D2617">
        <v>4.5259660000000004</v>
      </c>
      <c r="E2617">
        <v>0.54426039999999998</v>
      </c>
      <c r="F2617" t="s">
        <v>41</v>
      </c>
      <c r="G2617">
        <v>-432.15750000000003</v>
      </c>
      <c r="H2617">
        <v>1.0143139999999999</v>
      </c>
      <c r="I2617">
        <v>212.82079999999999</v>
      </c>
      <c r="J2617">
        <v>-432.30590000000001</v>
      </c>
      <c r="K2617">
        <v>1.1091959999999901</v>
      </c>
      <c r="L2617">
        <v>212.78460000000001</v>
      </c>
      <c r="M2617">
        <v>0.99990449999999997</v>
      </c>
      <c r="N2617">
        <v>-7.299842E-3</v>
      </c>
      <c r="O2617">
        <v>1.174239E-2</v>
      </c>
      <c r="P2617">
        <v>0.9219735</v>
      </c>
      <c r="Q2617">
        <v>0.3649347</v>
      </c>
      <c r="R2617">
        <v>0.12956680000000001</v>
      </c>
      <c r="S2617">
        <v>3.3799440000000001</v>
      </c>
      <c r="T2617">
        <v>-0.38718750000000002</v>
      </c>
      <c r="U2617">
        <v>0.17958070000000001</v>
      </c>
      <c r="V2617">
        <v>-0.1180393</v>
      </c>
      <c r="W2617">
        <v>0.37188640000000001</v>
      </c>
      <c r="X2617">
        <v>0.92074279999999997</v>
      </c>
      <c r="Y2617">
        <v>-4.1108430000000001E-2</v>
      </c>
      <c r="Z2617">
        <v>1.241645E-3</v>
      </c>
      <c r="AA2617">
        <v>0.99915390000000004</v>
      </c>
      <c r="AB2617">
        <v>36</v>
      </c>
      <c r="AC2617">
        <v>0.14839999999998099</v>
      </c>
      <c r="AD2617">
        <v>-9.4881999999999897E-2</v>
      </c>
      <c r="AE2617">
        <v>3.6199999999979499E-2</v>
      </c>
      <c r="AF2617">
        <v>-2.4862258087774401E-2</v>
      </c>
      <c r="AG2617">
        <v>-9.4881999999999897E-2</v>
      </c>
      <c r="AH2617">
        <v>0.107383120751725</v>
      </c>
      <c r="AI2617">
        <v>130.722296359506</v>
      </c>
      <c r="AJ2617">
        <v>103.03591589216001</v>
      </c>
      <c r="AK2617">
        <v>0.14543679184993999</v>
      </c>
      <c r="AL2617">
        <v>68.167997271020795</v>
      </c>
      <c r="AM2617">
        <v>97.305474931604806</v>
      </c>
      <c r="AN2617">
        <v>1.0000000373006399</v>
      </c>
    </row>
    <row r="2618" spans="1:40" x14ac:dyDescent="0.25">
      <c r="A2618" t="str">
        <f>"20190304164652891"</f>
        <v>20190304164652891</v>
      </c>
      <c r="B2618" t="str">
        <f>"1551689212881173"</f>
        <v>1551689212881173</v>
      </c>
      <c r="C2618" t="s">
        <v>40</v>
      </c>
      <c r="D2618">
        <v>4.5085689999999996</v>
      </c>
      <c r="E2618">
        <v>0.54432959999999997</v>
      </c>
      <c r="F2618" t="s">
        <v>41</v>
      </c>
      <c r="G2618">
        <v>-431.50040000000001</v>
      </c>
      <c r="H2618">
        <v>1.0182519999999999</v>
      </c>
      <c r="I2618">
        <v>212.82910000000001</v>
      </c>
      <c r="J2618">
        <v>-431.93259999999998</v>
      </c>
      <c r="K2618">
        <v>1.1091949999999999</v>
      </c>
      <c r="L2618">
        <v>212.7884</v>
      </c>
      <c r="M2618">
        <v>0.99991319999999995</v>
      </c>
      <c r="N2618">
        <v>-7.3143779999999999E-3</v>
      </c>
      <c r="O2618">
        <v>1.0961169999999999E-2</v>
      </c>
      <c r="P2618">
        <v>0.92178550000000004</v>
      </c>
      <c r="Q2618">
        <v>0.36419449999999998</v>
      </c>
      <c r="R2618">
        <v>0.13294230000000001</v>
      </c>
      <c r="S2618">
        <v>3.3785400000000001</v>
      </c>
      <c r="T2618">
        <v>-0.38151439999999998</v>
      </c>
      <c r="U2618">
        <v>0.1874237</v>
      </c>
      <c r="V2618">
        <v>-0.12214129999999999</v>
      </c>
      <c r="W2618">
        <v>0.37116490000000002</v>
      </c>
      <c r="X2618">
        <v>0.92049879999999995</v>
      </c>
      <c r="Y2618">
        <v>-4.4204029999999998E-2</v>
      </c>
      <c r="Z2618">
        <v>1.495445E-3</v>
      </c>
      <c r="AA2618">
        <v>0.99902139999999995</v>
      </c>
      <c r="AB2618">
        <v>36</v>
      </c>
      <c r="AC2618">
        <v>0.432199999999966</v>
      </c>
      <c r="AD2618">
        <v>-9.0943000000000204E-2</v>
      </c>
      <c r="AE2618">
        <v>4.0700000000015203E-2</v>
      </c>
      <c r="AF2618">
        <v>-3.4448186972155397E-2</v>
      </c>
      <c r="AG2618">
        <v>-9.0943000000000204E-2</v>
      </c>
      <c r="AH2618">
        <v>0.41443203529882899</v>
      </c>
      <c r="AI2618">
        <v>102.335583022969</v>
      </c>
      <c r="AJ2618">
        <v>94.751584533810004</v>
      </c>
      <c r="AK2618">
        <v>0.42568911040405799</v>
      </c>
      <c r="AL2618">
        <v>68.212521464231301</v>
      </c>
      <c r="AM2618">
        <v>97.558443104290902</v>
      </c>
      <c r="AN2618">
        <v>0.99999996047956896</v>
      </c>
    </row>
    <row r="2619" spans="1:40" x14ac:dyDescent="0.25">
      <c r="A2619" t="str">
        <f>"20190304164652913"</f>
        <v>20190304164652913</v>
      </c>
      <c r="B2619" t="str">
        <f>"1551689212911428"</f>
        <v>1551689212911428</v>
      </c>
      <c r="C2619" t="s">
        <v>40</v>
      </c>
      <c r="D2619">
        <v>4.5335580000000002</v>
      </c>
      <c r="E2619">
        <v>0.54445779999999999</v>
      </c>
      <c r="F2619" t="s">
        <v>41</v>
      </c>
      <c r="G2619">
        <v>-431.16899999999998</v>
      </c>
      <c r="H2619">
        <v>1.02257</v>
      </c>
      <c r="I2619">
        <v>212.83199999999999</v>
      </c>
      <c r="J2619">
        <v>-431.58080000000001</v>
      </c>
      <c r="K2619">
        <v>1.1092</v>
      </c>
      <c r="L2619">
        <v>212.79159999999999</v>
      </c>
      <c r="M2619">
        <v>0.9999207</v>
      </c>
      <c r="N2619">
        <v>-7.3281469999999897E-3</v>
      </c>
      <c r="O2619">
        <v>1.024517E-2</v>
      </c>
      <c r="P2619">
        <v>0.92148649999999999</v>
      </c>
      <c r="Q2619">
        <v>0.36392479999999999</v>
      </c>
      <c r="R2619">
        <v>0.1357257</v>
      </c>
      <c r="S2619">
        <v>3.3781129999999999</v>
      </c>
      <c r="T2619">
        <v>-0.38332660000000002</v>
      </c>
      <c r="U2619">
        <v>0.193573</v>
      </c>
      <c r="V2619">
        <v>-0.12559629999999999</v>
      </c>
      <c r="W2619">
        <v>0.3709093</v>
      </c>
      <c r="X2619">
        <v>0.92013690000000004</v>
      </c>
      <c r="Y2619">
        <v>-4.6715670000000001E-2</v>
      </c>
      <c r="Z2619">
        <v>1.728771E-3</v>
      </c>
      <c r="AA2619">
        <v>0.99890670000000004</v>
      </c>
      <c r="AB2619">
        <v>37</v>
      </c>
      <c r="AC2619">
        <v>0.41179999999997102</v>
      </c>
      <c r="AD2619">
        <v>-8.6629999999999902E-2</v>
      </c>
      <c r="AE2619">
        <v>4.04000000000053E-2</v>
      </c>
      <c r="AF2619">
        <v>-3.46595631567252E-2</v>
      </c>
      <c r="AG2619">
        <v>-8.6629999999999902E-2</v>
      </c>
      <c r="AH2619">
        <v>0.39488327391532901</v>
      </c>
      <c r="AI2619">
        <v>102.32766396670699</v>
      </c>
      <c r="AJ2619">
        <v>95.016091329028399</v>
      </c>
      <c r="AK2619">
        <v>0.405757122224988</v>
      </c>
      <c r="AL2619">
        <v>68.228293521621694</v>
      </c>
      <c r="AM2619">
        <v>97.772690399611605</v>
      </c>
      <c r="AN2619">
        <v>1.00000002707089</v>
      </c>
    </row>
    <row r="2620" spans="1:40" x14ac:dyDescent="0.25">
      <c r="A2620" t="str">
        <f>"20190304164652934"</f>
        <v>20190304164652934</v>
      </c>
      <c r="B2620" t="str">
        <f>"1551689212930948"</f>
        <v>1551689212930948</v>
      </c>
      <c r="C2620" t="s">
        <v>40</v>
      </c>
      <c r="D2620">
        <v>4.5612130000000004</v>
      </c>
      <c r="E2620">
        <v>0.54461479999999995</v>
      </c>
      <c r="F2620" t="s">
        <v>41</v>
      </c>
      <c r="G2620">
        <v>-430.83600000000001</v>
      </c>
      <c r="H2620">
        <v>1.024805</v>
      </c>
      <c r="I2620">
        <v>212.83539999999999</v>
      </c>
      <c r="J2620">
        <v>-431.23570000000001</v>
      </c>
      <c r="K2620">
        <v>1.109216</v>
      </c>
      <c r="L2620">
        <v>212.7946</v>
      </c>
      <c r="M2620">
        <v>0.99992729999999996</v>
      </c>
      <c r="N2620">
        <v>-7.3412779999999997E-3</v>
      </c>
      <c r="O2620">
        <v>9.575353E-3</v>
      </c>
      <c r="P2620">
        <v>0.92159590000000002</v>
      </c>
      <c r="Q2620">
        <v>0.36315150000000002</v>
      </c>
      <c r="R2620">
        <v>0.1370487</v>
      </c>
      <c r="S2620">
        <v>3.377472</v>
      </c>
      <c r="T2620">
        <v>-0.38268279999999999</v>
      </c>
      <c r="U2620">
        <v>0.1991425</v>
      </c>
      <c r="V2620">
        <v>-0.127553</v>
      </c>
      <c r="W2620">
        <v>0.37014619999999998</v>
      </c>
      <c r="X2620">
        <v>0.92017499999999997</v>
      </c>
      <c r="Y2620">
        <v>-4.9018489999999998E-2</v>
      </c>
      <c r="Z2620">
        <v>1.9360499999999999E-3</v>
      </c>
      <c r="AA2620">
        <v>0.99879600000000002</v>
      </c>
      <c r="AB2620">
        <v>37</v>
      </c>
      <c r="AC2620">
        <v>0.399699999999995</v>
      </c>
      <c r="AD2620">
        <v>-8.4411E-2</v>
      </c>
      <c r="AE2620">
        <v>4.0799999999990101E-2</v>
      </c>
      <c r="AF2620">
        <v>-3.5407870169534603E-2</v>
      </c>
      <c r="AG2620">
        <v>-8.4411E-2</v>
      </c>
      <c r="AH2620">
        <v>0.383159851636801</v>
      </c>
      <c r="AI2620">
        <v>102.372855018645</v>
      </c>
      <c r="AJ2620">
        <v>95.279718300941497</v>
      </c>
      <c r="AK2620">
        <v>0.39394213546824097</v>
      </c>
      <c r="AL2620">
        <v>68.275365992954505</v>
      </c>
      <c r="AM2620">
        <v>97.891946192659205</v>
      </c>
      <c r="AN2620">
        <v>1.0000000039042101</v>
      </c>
    </row>
    <row r="2621" spans="1:40" x14ac:dyDescent="0.25">
      <c r="A2621" t="str">
        <f>"20190304164652957"</f>
        <v>20190304164652957</v>
      </c>
      <c r="B2621" t="str">
        <f>"1551689212951444"</f>
        <v>1551689212951444</v>
      </c>
      <c r="C2621" t="s">
        <v>40</v>
      </c>
      <c r="D2621">
        <v>4.5427499999999998</v>
      </c>
      <c r="E2621">
        <v>0.54473280000000002</v>
      </c>
      <c r="F2621" t="s">
        <v>41</v>
      </c>
      <c r="G2621">
        <v>-430.1986</v>
      </c>
      <c r="H2621">
        <v>0.99125980000000002</v>
      </c>
      <c r="I2621">
        <v>212.85589999999999</v>
      </c>
      <c r="J2621">
        <v>-430.8578</v>
      </c>
      <c r="K2621">
        <v>1.1092500000000001</v>
      </c>
      <c r="L2621">
        <v>212.79759999999999</v>
      </c>
      <c r="M2621">
        <v>0.99993339999999997</v>
      </c>
      <c r="N2621">
        <v>-7.3558190000000004E-3</v>
      </c>
      <c r="O2621">
        <v>8.8950260000000003E-3</v>
      </c>
      <c r="P2621">
        <v>0.92161700000000002</v>
      </c>
      <c r="Q2621">
        <v>0.36303360000000001</v>
      </c>
      <c r="R2621">
        <v>0.13721720000000001</v>
      </c>
      <c r="S2621">
        <v>3.3769230000000001</v>
      </c>
      <c r="T2621">
        <v>-0.38409290000000001</v>
      </c>
      <c r="U2621">
        <v>0.19949339999999999</v>
      </c>
      <c r="V2621">
        <v>-0.12837789999999999</v>
      </c>
      <c r="W2621">
        <v>0.3700328</v>
      </c>
      <c r="X2621">
        <v>0.92010590000000003</v>
      </c>
      <c r="Y2621">
        <v>-4.9799740000000002E-2</v>
      </c>
      <c r="Z2621">
        <v>2.0621889999999999E-3</v>
      </c>
      <c r="AA2621">
        <v>0.99875709999999995</v>
      </c>
      <c r="AB2621">
        <v>37</v>
      </c>
      <c r="AC2621">
        <v>0.65919999999999801</v>
      </c>
      <c r="AD2621">
        <v>-0.1179902</v>
      </c>
      <c r="AE2621">
        <v>5.83000000000026E-2</v>
      </c>
      <c r="AF2621">
        <v>-5.0818476755714201E-2</v>
      </c>
      <c r="AG2621">
        <v>-0.1179902</v>
      </c>
      <c r="AH2621">
        <v>0.639367796174938</v>
      </c>
      <c r="AI2621">
        <v>100.42369213059401</v>
      </c>
      <c r="AJ2621">
        <v>94.544451442452697</v>
      </c>
      <c r="AK2621">
        <v>0.65214675009648604</v>
      </c>
      <c r="AL2621">
        <v>68.282360133048599</v>
      </c>
      <c r="AM2621">
        <v>97.942923922151707</v>
      </c>
      <c r="AN2621">
        <v>1.0000000127495301</v>
      </c>
    </row>
    <row r="2622" spans="1:40" x14ac:dyDescent="0.25">
      <c r="A2622" t="str">
        <f>"20190304164652978"</f>
        <v>20190304164652978</v>
      </c>
      <c r="B2622" t="str">
        <f>"1551689212970965"</f>
        <v>1551689212970965</v>
      </c>
      <c r="C2622" t="s">
        <v>40</v>
      </c>
      <c r="D2622">
        <v>4.5262710000000004</v>
      </c>
      <c r="E2622">
        <v>0.54485380000000005</v>
      </c>
      <c r="F2622" t="s">
        <v>41</v>
      </c>
      <c r="G2622">
        <v>-429.86559999999997</v>
      </c>
      <c r="H2622">
        <v>0.9963516</v>
      </c>
      <c r="I2622">
        <v>212.85509999999999</v>
      </c>
      <c r="J2622">
        <v>-430.49590000000001</v>
      </c>
      <c r="K2622">
        <v>1.109289</v>
      </c>
      <c r="L2622">
        <v>212.80029999999999</v>
      </c>
      <c r="M2622">
        <v>0.99993860000000001</v>
      </c>
      <c r="N2622">
        <v>-7.3695829999999999E-3</v>
      </c>
      <c r="O2622">
        <v>8.2900909999999994E-3</v>
      </c>
      <c r="P2622">
        <v>0.92206949999999999</v>
      </c>
      <c r="Q2622">
        <v>0.36232769999999997</v>
      </c>
      <c r="R2622">
        <v>0.1360402</v>
      </c>
      <c r="S2622">
        <v>3.3772280000000001</v>
      </c>
      <c r="T2622">
        <v>-0.38433250000000002</v>
      </c>
      <c r="U2622">
        <v>0.1969147</v>
      </c>
      <c r="V2622">
        <v>-0.1277903</v>
      </c>
      <c r="W2622">
        <v>0.36932979999999999</v>
      </c>
      <c r="X2622">
        <v>0.92047009999999996</v>
      </c>
      <c r="Y2622">
        <v>-4.9636E-2</v>
      </c>
      <c r="Z2622">
        <v>2.1178799999999999E-3</v>
      </c>
      <c r="AA2622">
        <v>0.99876509999999996</v>
      </c>
      <c r="AB2622">
        <v>37</v>
      </c>
      <c r="AC2622">
        <v>0.63030000000003295</v>
      </c>
      <c r="AD2622">
        <v>-0.11293739999999899</v>
      </c>
      <c r="AE2622">
        <v>5.4800000000000099E-2</v>
      </c>
      <c r="AF2622">
        <v>-4.8041888603374001E-2</v>
      </c>
      <c r="AG2622">
        <v>-0.11293739999999899</v>
      </c>
      <c r="AH2622">
        <v>0.61125515880570103</v>
      </c>
      <c r="AI2622">
        <v>100.436618817103</v>
      </c>
      <c r="AJ2622">
        <v>94.493950694424697</v>
      </c>
      <c r="AK2622">
        <v>0.62345468844649898</v>
      </c>
      <c r="AL2622">
        <v>68.325710505549097</v>
      </c>
      <c r="AM2622">
        <v>97.903940142716706</v>
      </c>
      <c r="AN2622">
        <v>1.0000000334680601</v>
      </c>
    </row>
    <row r="2623" spans="1:40" x14ac:dyDescent="0.25">
      <c r="A2623" t="str">
        <f>"20190304164653002"</f>
        <v>20190304164653002</v>
      </c>
      <c r="B2623" t="str">
        <f>"1551689212991460"</f>
        <v>1551689212991460</v>
      </c>
      <c r="C2623" t="s">
        <v>40</v>
      </c>
      <c r="D2623">
        <v>4.4909860000000004</v>
      </c>
      <c r="E2623">
        <v>0.54496959999999905</v>
      </c>
      <c r="F2623" t="s">
        <v>41</v>
      </c>
      <c r="G2623">
        <v>-429.53300000000002</v>
      </c>
      <c r="H2623">
        <v>0.99909309999999996</v>
      </c>
      <c r="I2623">
        <v>212.8546</v>
      </c>
      <c r="J2623">
        <v>-430.1121</v>
      </c>
      <c r="K2623">
        <v>1.1093420000000001</v>
      </c>
      <c r="L2623">
        <v>212.803</v>
      </c>
      <c r="M2623">
        <v>0.99994309999999997</v>
      </c>
      <c r="N2623">
        <v>-7.38419199999999E-3</v>
      </c>
      <c r="O2623">
        <v>7.7149469999999998E-3</v>
      </c>
      <c r="P2623">
        <v>0.92234059999999995</v>
      </c>
      <c r="Q2623">
        <v>0.36210510000000001</v>
      </c>
      <c r="R2623">
        <v>0.134788299999999</v>
      </c>
      <c r="S2623">
        <v>3.3772579999999999</v>
      </c>
      <c r="T2623">
        <v>-0.38656200000000002</v>
      </c>
      <c r="U2623">
        <v>0.19129940000000001</v>
      </c>
      <c r="V2623">
        <v>-0.12711069999999999</v>
      </c>
      <c r="W2623">
        <v>0.36910589999999999</v>
      </c>
      <c r="X2623">
        <v>0.92065390000000003</v>
      </c>
      <c r="Y2623">
        <v>-4.8555649999999999E-2</v>
      </c>
      <c r="Z2623">
        <v>2.1249709999999998E-3</v>
      </c>
      <c r="AA2623">
        <v>0.99881819999999999</v>
      </c>
      <c r="AB2623">
        <v>37</v>
      </c>
      <c r="AC2623">
        <v>0.57909999999998196</v>
      </c>
      <c r="AD2623">
        <v>-0.110248899999999</v>
      </c>
      <c r="AE2623">
        <v>5.1600000000007598E-2</v>
      </c>
      <c r="AF2623">
        <v>-4.54946766317171E-2</v>
      </c>
      <c r="AG2623">
        <v>-0.110248899999999</v>
      </c>
      <c r="AH2623">
        <v>0.55936663273469001</v>
      </c>
      <c r="AI2623">
        <v>101.11407252611799</v>
      </c>
      <c r="AJ2623">
        <v>94.649773276004794</v>
      </c>
      <c r="AK2623">
        <v>0.57194022010169898</v>
      </c>
      <c r="AL2623">
        <v>68.339512461548395</v>
      </c>
      <c r="AM2623">
        <v>97.860883341480402</v>
      </c>
      <c r="AN2623">
        <v>0.99999994952725302</v>
      </c>
    </row>
    <row r="2624" spans="1:40" x14ac:dyDescent="0.25">
      <c r="A2624" t="str">
        <f>"20190304164653026"</f>
        <v>20190304164653026</v>
      </c>
      <c r="B2624" t="str">
        <f>"1551689213020741"</f>
        <v>1551689213020741</v>
      </c>
      <c r="C2624" t="s">
        <v>40</v>
      </c>
      <c r="D2624">
        <v>4.5144890000000002</v>
      </c>
      <c r="E2624">
        <v>0.54517609999999905</v>
      </c>
      <c r="F2624" t="s">
        <v>41</v>
      </c>
      <c r="G2624">
        <v>-429.19839999999999</v>
      </c>
      <c r="H2624">
        <v>1.0046109999999999</v>
      </c>
      <c r="I2624">
        <v>212.85310000000001</v>
      </c>
      <c r="J2624">
        <v>-429.70429999999999</v>
      </c>
      <c r="K2624">
        <v>1.1093930000000001</v>
      </c>
      <c r="L2624">
        <v>212.8057</v>
      </c>
      <c r="M2624">
        <v>0.99994680000000002</v>
      </c>
      <c r="N2624">
        <v>-7.399844E-3</v>
      </c>
      <c r="O2624">
        <v>7.1975320000000004E-3</v>
      </c>
      <c r="P2624">
        <v>0.92302200000000001</v>
      </c>
      <c r="Q2624">
        <v>0.3608613</v>
      </c>
      <c r="R2624">
        <v>0.13345319999999999</v>
      </c>
      <c r="S2624">
        <v>3.3774410000000001</v>
      </c>
      <c r="T2624">
        <v>-0.38713419999999998</v>
      </c>
      <c r="U2624">
        <v>0.1856537</v>
      </c>
      <c r="V2624">
        <v>-0.12630630000000001</v>
      </c>
      <c r="W2624">
        <v>0.36786069999999998</v>
      </c>
      <c r="X2624">
        <v>0.9212629</v>
      </c>
      <c r="Y2624">
        <v>-4.7409060000000003E-2</v>
      </c>
      <c r="Z2624">
        <v>2.1137679999999998E-3</v>
      </c>
      <c r="AA2624">
        <v>0.99887329999999996</v>
      </c>
      <c r="AB2624">
        <v>37</v>
      </c>
      <c r="AC2624">
        <v>0.50589999999999602</v>
      </c>
      <c r="AD2624">
        <v>-0.104781999999999</v>
      </c>
      <c r="AE2624">
        <v>4.7400000000010302E-2</v>
      </c>
      <c r="AF2624">
        <v>-4.1972543264740599E-2</v>
      </c>
      <c r="AG2624">
        <v>-0.104781999999999</v>
      </c>
      <c r="AH2624">
        <v>0.48557865419317497</v>
      </c>
      <c r="AI2624">
        <v>102.133127543326</v>
      </c>
      <c r="AJ2624">
        <v>94.9402644527663</v>
      </c>
      <c r="AK2624">
        <v>0.49852541692491997</v>
      </c>
      <c r="AL2624">
        <v>68.416259739139207</v>
      </c>
      <c r="AM2624">
        <v>97.806652837744195</v>
      </c>
      <c r="AN2624">
        <v>1.00000005347029</v>
      </c>
    </row>
    <row r="2625" spans="1:40" x14ac:dyDescent="0.25">
      <c r="A2625" t="str">
        <f>"20190304164653049"</f>
        <v>20190304164653049</v>
      </c>
      <c r="B2625" t="str">
        <f>"1551689213041238"</f>
        <v>1551689213041238</v>
      </c>
      <c r="C2625" t="s">
        <v>40</v>
      </c>
      <c r="D2625">
        <v>4.5286470000000003</v>
      </c>
      <c r="E2625">
        <v>0.54527869999999901</v>
      </c>
      <c r="F2625" t="s">
        <v>41</v>
      </c>
      <c r="G2625">
        <v>-428.86200000000002</v>
      </c>
      <c r="H2625">
        <v>1.0117830000000001</v>
      </c>
      <c r="I2625">
        <v>212.85</v>
      </c>
      <c r="J2625">
        <v>-429.34449999999998</v>
      </c>
      <c r="K2625">
        <v>1.109448</v>
      </c>
      <c r="L2625">
        <v>212.80799999999999</v>
      </c>
      <c r="M2625">
        <v>0.99994930000000004</v>
      </c>
      <c r="N2625">
        <v>-7.4136480000000001E-3</v>
      </c>
      <c r="O2625">
        <v>6.828247E-3</v>
      </c>
      <c r="P2625">
        <v>0.92395950000000004</v>
      </c>
      <c r="Q2625">
        <v>0.358873</v>
      </c>
      <c r="R2625">
        <v>0.1323222</v>
      </c>
      <c r="S2625">
        <v>3.377472</v>
      </c>
      <c r="T2625">
        <v>-0.3913896</v>
      </c>
      <c r="U2625">
        <v>0.1778564</v>
      </c>
      <c r="V2625">
        <v>-0.1255696</v>
      </c>
      <c r="W2625">
        <v>0.3658708</v>
      </c>
      <c r="X2625">
        <v>0.92215559999999996</v>
      </c>
      <c r="Y2625">
        <v>-4.5483389999999999E-2</v>
      </c>
      <c r="Z2625">
        <v>2.0564670000000002E-3</v>
      </c>
      <c r="AA2625">
        <v>0.99896300000000005</v>
      </c>
      <c r="AB2625">
        <v>37</v>
      </c>
      <c r="AC2625">
        <v>0.48250000000001497</v>
      </c>
      <c r="AD2625">
        <v>-9.7664999999999794E-2</v>
      </c>
      <c r="AE2625">
        <v>4.2000000000001501E-2</v>
      </c>
      <c r="AF2625">
        <v>-3.7191945937310497E-2</v>
      </c>
      <c r="AG2625">
        <v>-9.7664999999999794E-2</v>
      </c>
      <c r="AH2625">
        <v>0.46391127928515402</v>
      </c>
      <c r="AI2625">
        <v>101.85164951212499</v>
      </c>
      <c r="AJ2625">
        <v>94.583621396893193</v>
      </c>
      <c r="AK2625">
        <v>0.475536926132547</v>
      </c>
      <c r="AL2625">
        <v>68.538818273806697</v>
      </c>
      <c r="AM2625">
        <v>97.754253715545801</v>
      </c>
      <c r="AN2625">
        <v>1.00000005867407</v>
      </c>
    </row>
    <row r="2626" spans="1:40" x14ac:dyDescent="0.25">
      <c r="A2626" t="str">
        <f>"20190304164653091"</f>
        <v>20190304164653091</v>
      </c>
      <c r="B2626" t="str">
        <f>"1551689213081252"</f>
        <v>1551689213081252</v>
      </c>
      <c r="C2626" t="s">
        <v>40</v>
      </c>
      <c r="D2626">
        <v>4.4822360000000003</v>
      </c>
      <c r="E2626">
        <v>0.54552500000000004</v>
      </c>
      <c r="F2626" t="s">
        <v>41</v>
      </c>
      <c r="G2626">
        <v>-428.52820000000003</v>
      </c>
      <c r="H2626">
        <v>1.0132399999999999</v>
      </c>
      <c r="I2626">
        <v>212.8492</v>
      </c>
      <c r="J2626">
        <v>-428.63400000000001</v>
      </c>
      <c r="K2626">
        <v>1.109564</v>
      </c>
      <c r="L2626">
        <v>212.81229999999999</v>
      </c>
      <c r="M2626">
        <v>0.99995230000000002</v>
      </c>
      <c r="N2626">
        <v>-7.4408159999999899E-3</v>
      </c>
      <c r="O2626">
        <v>6.3297889999999997E-3</v>
      </c>
      <c r="P2626">
        <v>0.92513049999999997</v>
      </c>
      <c r="Q2626">
        <v>0.35612169999999999</v>
      </c>
      <c r="R2626">
        <v>0.13157170000000001</v>
      </c>
      <c r="S2626">
        <v>3.376862</v>
      </c>
      <c r="T2626">
        <v>-0.39811370000000001</v>
      </c>
      <c r="U2626">
        <v>0.17214969999999999</v>
      </c>
      <c r="V2626">
        <v>-0.125393899999999</v>
      </c>
      <c r="W2626">
        <v>0.36311199999999999</v>
      </c>
      <c r="X2626">
        <v>0.92326920000000001</v>
      </c>
      <c r="Y2626">
        <v>-4.4303170000000003E-2</v>
      </c>
      <c r="Z2626">
        <v>2.0701650000000001E-3</v>
      </c>
      <c r="AA2626">
        <v>0.99901600000000002</v>
      </c>
      <c r="AB2626">
        <v>37</v>
      </c>
      <c r="AC2626">
        <v>0.105799999999987</v>
      </c>
      <c r="AD2626">
        <v>-9.6324000000000007E-2</v>
      </c>
      <c r="AE2626">
        <v>3.6900000000002799E-2</v>
      </c>
      <c r="AF2626">
        <v>-2.0833570074316899E-2</v>
      </c>
      <c r="AG2626">
        <v>-9.6324000000000007E-2</v>
      </c>
      <c r="AH2626">
        <v>6.0972707012442201E-2</v>
      </c>
      <c r="AI2626">
        <v>146.22035475763201</v>
      </c>
      <c r="AJ2626">
        <v>108.864621300159</v>
      </c>
      <c r="AK2626">
        <v>0.115887970119709</v>
      </c>
      <c r="AL2626">
        <v>68.708561611066102</v>
      </c>
      <c r="AM2626">
        <v>97.734308765804499</v>
      </c>
      <c r="AN2626">
        <v>0.99999998518492395</v>
      </c>
    </row>
    <row r="2627" spans="1:40" x14ac:dyDescent="0.25">
      <c r="A2627" t="str">
        <f>"20190304164653112"</f>
        <v>20190304164653112</v>
      </c>
      <c r="B2627" t="str">
        <f>"1551689213100772"</f>
        <v>1551689213100772</v>
      </c>
      <c r="C2627" t="s">
        <v>40</v>
      </c>
      <c r="D2627">
        <v>4.556521</v>
      </c>
      <c r="E2627">
        <v>0.54564769999999996</v>
      </c>
      <c r="F2627" t="s">
        <v>41</v>
      </c>
      <c r="G2627">
        <v>-427.85820000000001</v>
      </c>
      <c r="H2627">
        <v>1.0160199999999999</v>
      </c>
      <c r="I2627">
        <v>212.85</v>
      </c>
      <c r="J2627">
        <v>-428.26429999999999</v>
      </c>
      <c r="K2627">
        <v>1.1096220000000001</v>
      </c>
      <c r="L2627">
        <v>212.81450000000001</v>
      </c>
      <c r="M2627">
        <v>0.99995319999999999</v>
      </c>
      <c r="N2627">
        <v>-7.45501699999999E-3</v>
      </c>
      <c r="O2627">
        <v>6.1681590000000003E-3</v>
      </c>
      <c r="P2627">
        <v>0.92543620000000004</v>
      </c>
      <c r="Q2627">
        <v>0.3555604</v>
      </c>
      <c r="R2627">
        <v>0.13093830000000001</v>
      </c>
      <c r="S2627">
        <v>3.3760379999999999</v>
      </c>
      <c r="T2627">
        <v>-0.40721289999999999</v>
      </c>
      <c r="U2627">
        <v>0.16528319999999999</v>
      </c>
      <c r="V2627">
        <v>-0.1249628</v>
      </c>
      <c r="W2627">
        <v>0.3625468</v>
      </c>
      <c r="X2627">
        <v>0.92354970000000003</v>
      </c>
      <c r="Y2627">
        <v>-4.2450479999999999E-2</v>
      </c>
      <c r="Z2627">
        <v>2.013305E-3</v>
      </c>
      <c r="AA2627">
        <v>0.9990966</v>
      </c>
      <c r="AB2627">
        <v>37</v>
      </c>
      <c r="AC2627">
        <v>0.40609999999997998</v>
      </c>
      <c r="AD2627">
        <v>-9.3601999999999699E-2</v>
      </c>
      <c r="AE2627">
        <v>3.5499999999984697E-2</v>
      </c>
      <c r="AF2627">
        <v>-3.13419324915441E-2</v>
      </c>
      <c r="AG2627">
        <v>-9.3601999999999699E-2</v>
      </c>
      <c r="AH2627">
        <v>0.38596225448742499</v>
      </c>
      <c r="AI2627">
        <v>103.588893312324</v>
      </c>
      <c r="AJ2627">
        <v>94.642497492190003</v>
      </c>
      <c r="AK2627">
        <v>0.39838488051797399</v>
      </c>
      <c r="AL2627">
        <v>68.743312893793203</v>
      </c>
      <c r="AM2627">
        <v>97.705725734887594</v>
      </c>
      <c r="AN2627">
        <v>0.99999996597208396</v>
      </c>
    </row>
    <row r="2628" spans="1:40" x14ac:dyDescent="0.25">
      <c r="A2628" t="str">
        <f>"20190304164653134"</f>
        <v>20190304164653134</v>
      </c>
      <c r="B2628" t="str">
        <f>"1551689213131029"</f>
        <v>1551689213131029</v>
      </c>
      <c r="C2628" t="s">
        <v>40</v>
      </c>
      <c r="D2628">
        <v>4.4749270000000001</v>
      </c>
      <c r="E2628">
        <v>0.54590369999999899</v>
      </c>
      <c r="F2628" t="s">
        <v>41</v>
      </c>
      <c r="G2628">
        <v>-427.52050000000003</v>
      </c>
      <c r="H2628">
        <v>1.0196379999999901</v>
      </c>
      <c r="I2628">
        <v>212.8501</v>
      </c>
      <c r="J2628">
        <v>-427.9042</v>
      </c>
      <c r="K2628">
        <v>1.1096729999999999</v>
      </c>
      <c r="L2628">
        <v>212.81659999999999</v>
      </c>
      <c r="M2628">
        <v>0.99995369999999995</v>
      </c>
      <c r="N2628">
        <v>-7.46903699999999E-3</v>
      </c>
      <c r="O2628">
        <v>6.0558039999999997E-3</v>
      </c>
      <c r="P2628">
        <v>0.92555940000000003</v>
      </c>
      <c r="Q2628">
        <v>0.35535309999999998</v>
      </c>
      <c r="R2628">
        <v>0.1306283</v>
      </c>
      <c r="S2628">
        <v>3.3758240000000002</v>
      </c>
      <c r="T2628">
        <v>-0.40829549999999998</v>
      </c>
      <c r="U2628">
        <v>0.1608734</v>
      </c>
      <c r="V2628">
        <v>-0.1247984</v>
      </c>
      <c r="W2628">
        <v>0.36233890000000002</v>
      </c>
      <c r="X2628">
        <v>0.92365359999999996</v>
      </c>
      <c r="Y2628">
        <v>-4.1270559999999998E-2</v>
      </c>
      <c r="Z2628">
        <v>1.9558470000000001E-3</v>
      </c>
      <c r="AA2628">
        <v>0.99914610000000004</v>
      </c>
      <c r="AB2628">
        <v>37</v>
      </c>
      <c r="AC2628">
        <v>0.383699999999976</v>
      </c>
      <c r="AD2628">
        <v>-9.0035000000000004E-2</v>
      </c>
      <c r="AE2628">
        <v>3.3500000000003603E-2</v>
      </c>
      <c r="AF2628">
        <v>-2.9560414152940501E-2</v>
      </c>
      <c r="AG2628">
        <v>-9.0035000000000004E-2</v>
      </c>
      <c r="AH2628">
        <v>0.36400519692710798</v>
      </c>
      <c r="AI2628">
        <v>103.84917397204801</v>
      </c>
      <c r="AJ2628">
        <v>94.6427315802148</v>
      </c>
      <c r="AK2628">
        <v>0.37613814310680599</v>
      </c>
      <c r="AL2628">
        <v>68.756095486694207</v>
      </c>
      <c r="AM2628">
        <v>97.694854409418895</v>
      </c>
      <c r="AN2628">
        <v>1.0000000459443601</v>
      </c>
    </row>
    <row r="2629" spans="1:40" x14ac:dyDescent="0.25">
      <c r="A2629" t="str">
        <f>"20190304164653157"</f>
        <v>20190304164653157</v>
      </c>
      <c r="B2629" t="str">
        <f>"1551689213151525"</f>
        <v>1551689213151525</v>
      </c>
      <c r="C2629" t="s">
        <v>40</v>
      </c>
      <c r="D2629">
        <v>4.4717900000000004</v>
      </c>
      <c r="E2629">
        <v>0.54605219999999999</v>
      </c>
      <c r="F2629" t="s">
        <v>41</v>
      </c>
      <c r="G2629">
        <v>-426.86489999999998</v>
      </c>
      <c r="H2629">
        <v>0.98436129999999999</v>
      </c>
      <c r="I2629">
        <v>212.8647</v>
      </c>
      <c r="J2629">
        <v>-427.5163</v>
      </c>
      <c r="K2629">
        <v>1.109715</v>
      </c>
      <c r="L2629">
        <v>212.81880000000001</v>
      </c>
      <c r="M2629">
        <v>0.99995420000000002</v>
      </c>
      <c r="N2629">
        <v>-7.4839279999999999E-3</v>
      </c>
      <c r="O2629">
        <v>5.9702319999999998E-3</v>
      </c>
      <c r="P2629">
        <v>0.92546300000000004</v>
      </c>
      <c r="Q2629">
        <v>0.35568870000000002</v>
      </c>
      <c r="R2629">
        <v>0.13039899999999999</v>
      </c>
      <c r="S2629">
        <v>3.3755489999999999</v>
      </c>
      <c r="T2629">
        <v>-0.4070261</v>
      </c>
      <c r="U2629">
        <v>0.1564178</v>
      </c>
      <c r="V2629">
        <v>-0.12468269999999999</v>
      </c>
      <c r="W2629">
        <v>0.36267519999999998</v>
      </c>
      <c r="X2629">
        <v>0.92353719999999995</v>
      </c>
      <c r="Y2629">
        <v>-4.0054329999999999E-2</v>
      </c>
      <c r="Z2629">
        <v>1.8830559999999999E-3</v>
      </c>
      <c r="AA2629">
        <v>0.99919579999999997</v>
      </c>
      <c r="AB2629">
        <v>38</v>
      </c>
      <c r="AC2629">
        <v>0.65140000000002296</v>
      </c>
      <c r="AD2629">
        <v>-0.12535369999999901</v>
      </c>
      <c r="AE2629">
        <v>4.5899999999988901E-2</v>
      </c>
      <c r="AF2629">
        <v>-4.0517044176087702E-2</v>
      </c>
      <c r="AG2629">
        <v>-0.12535369999999901</v>
      </c>
      <c r="AH2629">
        <v>0.62850262562562398</v>
      </c>
      <c r="AI2629">
        <v>101.256759847594</v>
      </c>
      <c r="AJ2629">
        <v>93.688525148026002</v>
      </c>
      <c r="AK2629">
        <v>0.64216098557196699</v>
      </c>
      <c r="AL2629">
        <v>68.735420013423195</v>
      </c>
      <c r="AM2629">
        <v>97.6887632603447</v>
      </c>
      <c r="AN2629">
        <v>1.00000001807908</v>
      </c>
    </row>
    <row r="2630" spans="1:40" x14ac:dyDescent="0.25">
      <c r="A2630" t="str">
        <f>"20190304164653179"</f>
        <v>20190304164653179</v>
      </c>
      <c r="B2630" t="str">
        <f>"1551689213171045"</f>
        <v>1551689213171045</v>
      </c>
      <c r="C2630" t="s">
        <v>40</v>
      </c>
      <c r="D2630">
        <v>4.5301269999999896</v>
      </c>
      <c r="E2630">
        <v>0.54614449999999903</v>
      </c>
      <c r="F2630" t="s">
        <v>41</v>
      </c>
      <c r="G2630">
        <v>-426.52440000000001</v>
      </c>
      <c r="H2630">
        <v>0.99082040000000005</v>
      </c>
      <c r="I2630">
        <v>212.86429999999999</v>
      </c>
      <c r="J2630">
        <v>-427.13240000000002</v>
      </c>
      <c r="K2630">
        <v>1.109742</v>
      </c>
      <c r="L2630">
        <v>212.8211</v>
      </c>
      <c r="M2630">
        <v>0.99995460000000003</v>
      </c>
      <c r="N2630">
        <v>-7.4985809999999998E-3</v>
      </c>
      <c r="O2630">
        <v>5.9057800000000002E-3</v>
      </c>
      <c r="P2630">
        <v>0.92549110000000001</v>
      </c>
      <c r="Q2630">
        <v>0.355848</v>
      </c>
      <c r="R2630">
        <v>0.1297644</v>
      </c>
      <c r="S2630">
        <v>3.3752140000000002</v>
      </c>
      <c r="T2630">
        <v>-0.40468500000000002</v>
      </c>
      <c r="U2630">
        <v>0.1560059</v>
      </c>
      <c r="V2630">
        <v>-0.1241329</v>
      </c>
      <c r="W2630">
        <v>0.36283969999999999</v>
      </c>
      <c r="X2630">
        <v>0.9235466</v>
      </c>
      <c r="Y2630">
        <v>-4.0004440000000002E-2</v>
      </c>
      <c r="Z2630">
        <v>1.8780120000000001E-3</v>
      </c>
      <c r="AA2630">
        <v>0.99919769999999997</v>
      </c>
      <c r="AB2630">
        <v>38</v>
      </c>
      <c r="AC2630">
        <v>0.60800000000000398</v>
      </c>
      <c r="AD2630">
        <v>-0.1189216</v>
      </c>
      <c r="AE2630">
        <v>4.3199999999984501E-2</v>
      </c>
      <c r="AF2630">
        <v>-3.8156018144006799E-2</v>
      </c>
      <c r="AG2630">
        <v>-0.1189216</v>
      </c>
      <c r="AH2630">
        <v>0.58594062692605697</v>
      </c>
      <c r="AI2630">
        <v>101.44921917923</v>
      </c>
      <c r="AJ2630">
        <v>93.725798083323795</v>
      </c>
      <c r="AK2630">
        <v>0.59910320225289004</v>
      </c>
      <c r="AL2630">
        <v>68.725304929247002</v>
      </c>
      <c r="AM2630">
        <v>97.655184879551996</v>
      </c>
      <c r="AN2630">
        <v>0.99999997356502901</v>
      </c>
    </row>
    <row r="2631" spans="1:40" x14ac:dyDescent="0.25">
      <c r="A2631" t="str">
        <f>"20190304164653202"</f>
        <v>20190304164653202</v>
      </c>
      <c r="B2631" t="str">
        <f>"1551689213191540"</f>
        <v>1551689213191540</v>
      </c>
      <c r="C2631" t="s">
        <v>40</v>
      </c>
      <c r="D2631">
        <v>4.516362</v>
      </c>
      <c r="E2631">
        <v>0.54621819999999999</v>
      </c>
      <c r="F2631" t="s">
        <v>41</v>
      </c>
      <c r="G2631">
        <v>-426.18369999999999</v>
      </c>
      <c r="H2631">
        <v>0.99642039999999998</v>
      </c>
      <c r="I2631">
        <v>212.8647</v>
      </c>
      <c r="J2631">
        <v>-426.76179999999999</v>
      </c>
      <c r="K2631">
        <v>1.109761</v>
      </c>
      <c r="L2631">
        <v>212.82320000000001</v>
      </c>
      <c r="M2631">
        <v>0.99995460000000003</v>
      </c>
      <c r="N2631">
        <v>-7.5127469999999898E-3</v>
      </c>
      <c r="O2631">
        <v>5.8536559999999996E-3</v>
      </c>
      <c r="P2631">
        <v>0.92548770000000002</v>
      </c>
      <c r="Q2631">
        <v>0.3559138</v>
      </c>
      <c r="R2631">
        <v>0.12960749999999999</v>
      </c>
      <c r="S2631">
        <v>3.3747560000000001</v>
      </c>
      <c r="T2631">
        <v>-0.40323949999999997</v>
      </c>
      <c r="U2631">
        <v>0.15579219999999999</v>
      </c>
      <c r="V2631">
        <v>-0.1240433</v>
      </c>
      <c r="W2631">
        <v>0.3629116</v>
      </c>
      <c r="X2631">
        <v>0.92353039999999997</v>
      </c>
      <c r="Y2631">
        <v>-4.0001059999999998E-2</v>
      </c>
      <c r="Z2631">
        <v>1.878233E-3</v>
      </c>
      <c r="AA2631">
        <v>0.99919789999999997</v>
      </c>
      <c r="AB2631">
        <v>38</v>
      </c>
      <c r="AC2631">
        <v>0.57810000000000605</v>
      </c>
      <c r="AD2631">
        <v>-0.1133406</v>
      </c>
      <c r="AE2631">
        <v>4.1499999999984903E-2</v>
      </c>
      <c r="AF2631">
        <v>-3.67113063524276E-2</v>
      </c>
      <c r="AG2631">
        <v>-0.1133406</v>
      </c>
      <c r="AH2631">
        <v>0.55703141805003697</v>
      </c>
      <c r="AI2631">
        <v>101.476878675333</v>
      </c>
      <c r="AJ2631">
        <v>93.770640897862606</v>
      </c>
      <c r="AK2631">
        <v>0.56962953954065398</v>
      </c>
      <c r="AL2631">
        <v>68.720884271489595</v>
      </c>
      <c r="AM2631">
        <v>97.649857365183493</v>
      </c>
      <c r="AN2631">
        <v>0.99999998470680396</v>
      </c>
    </row>
    <row r="2632" spans="1:40" x14ac:dyDescent="0.25">
      <c r="A2632" t="str">
        <f>"20190304164653226"</f>
        <v>20190304164653226</v>
      </c>
      <c r="B2632" t="str">
        <f>"1551689213220821"</f>
        <v>1551689213220821</v>
      </c>
      <c r="C2632" t="s">
        <v>40</v>
      </c>
      <c r="D2632">
        <v>4.4791210000000001</v>
      </c>
      <c r="E2632">
        <v>0.54625990000000002</v>
      </c>
      <c r="F2632" t="s">
        <v>41</v>
      </c>
      <c r="G2632">
        <v>-425.84300000000002</v>
      </c>
      <c r="H2632">
        <v>1.0003599999999999</v>
      </c>
      <c r="I2632">
        <v>212.8656</v>
      </c>
      <c r="J2632">
        <v>-426.35520000000002</v>
      </c>
      <c r="K2632">
        <v>1.1097809999999999</v>
      </c>
      <c r="L2632">
        <v>212.82550000000001</v>
      </c>
      <c r="M2632">
        <v>0.99995480000000003</v>
      </c>
      <c r="N2632">
        <v>-7.5283149999999998E-3</v>
      </c>
      <c r="O2632">
        <v>5.7999559999999898E-3</v>
      </c>
      <c r="P2632">
        <v>0.92539550000000004</v>
      </c>
      <c r="Q2632">
        <v>0.35577760000000003</v>
      </c>
      <c r="R2632">
        <v>0.1306349</v>
      </c>
      <c r="S2632">
        <v>3.3740540000000001</v>
      </c>
      <c r="T2632">
        <v>-0.40183540000000001</v>
      </c>
      <c r="U2632">
        <v>0.15675349999999999</v>
      </c>
      <c r="V2632">
        <v>-0.1251372</v>
      </c>
      <c r="W2632">
        <v>0.3627841</v>
      </c>
      <c r="X2632">
        <v>0.9234329</v>
      </c>
      <c r="Y2632">
        <v>-4.0347050000000002E-2</v>
      </c>
      <c r="Z2632">
        <v>1.900943E-3</v>
      </c>
      <c r="AA2632">
        <v>0.99918390000000001</v>
      </c>
      <c r="AB2632">
        <v>38</v>
      </c>
      <c r="AC2632">
        <v>0.51220000000000698</v>
      </c>
      <c r="AD2632">
        <v>-0.10942099999999901</v>
      </c>
      <c r="AE2632">
        <v>4.0099999999995299E-2</v>
      </c>
      <c r="AF2632">
        <v>-3.5517449360013602E-2</v>
      </c>
      <c r="AG2632">
        <v>-0.10942099999999901</v>
      </c>
      <c r="AH2632">
        <v>0.490189222787282</v>
      </c>
      <c r="AI2632">
        <v>102.551523663567</v>
      </c>
      <c r="AJ2632">
        <v>94.144215755531604</v>
      </c>
      <c r="AK2632">
        <v>0.50350761522229304</v>
      </c>
      <c r="AL2632">
        <v>68.728723460626895</v>
      </c>
      <c r="AM2632">
        <v>97.717314724639607</v>
      </c>
      <c r="AN2632">
        <v>0.99999997141952901</v>
      </c>
    </row>
    <row r="2633" spans="1:40" x14ac:dyDescent="0.25">
      <c r="A2633" t="str">
        <f>"20190304164653248"</f>
        <v>20190304164653248</v>
      </c>
      <c r="B2633" t="str">
        <f>"1551689213241317"</f>
        <v>1551689213241317</v>
      </c>
      <c r="C2633" t="s">
        <v>40</v>
      </c>
      <c r="D2633">
        <v>4.4061430000000001</v>
      </c>
      <c r="E2633">
        <v>0.5463441</v>
      </c>
      <c r="F2633" t="s">
        <v>41</v>
      </c>
      <c r="G2633">
        <v>-425.49990000000003</v>
      </c>
      <c r="H2633">
        <v>1.0081370000000001</v>
      </c>
      <c r="I2633">
        <v>212.86600000000001</v>
      </c>
      <c r="J2633">
        <v>-425.97129999999999</v>
      </c>
      <c r="K2633">
        <v>1.1097980000000001</v>
      </c>
      <c r="L2633">
        <v>212.82759999999999</v>
      </c>
      <c r="M2633">
        <v>0.99995509999999999</v>
      </c>
      <c r="N2633">
        <v>-7.542928E-3</v>
      </c>
      <c r="O2633">
        <v>5.7492649999999999E-3</v>
      </c>
      <c r="P2633">
        <v>0.92539769999999999</v>
      </c>
      <c r="Q2633">
        <v>0.3555547</v>
      </c>
      <c r="R2633">
        <v>0.13122539999999999</v>
      </c>
      <c r="S2633">
        <v>3.3733219999999999</v>
      </c>
      <c r="T2633">
        <v>-0.40094489999999999</v>
      </c>
      <c r="U2633">
        <v>0.1606445</v>
      </c>
      <c r="V2633">
        <v>-0.12578909999999999</v>
      </c>
      <c r="W2633">
        <v>0.3625699</v>
      </c>
      <c r="X2633">
        <v>0.92342849999999999</v>
      </c>
      <c r="Y2633">
        <v>-4.15494E-2</v>
      </c>
      <c r="Z2633">
        <v>1.9792310000000001E-3</v>
      </c>
      <c r="AA2633">
        <v>0.99913450000000004</v>
      </c>
      <c r="AB2633">
        <v>38</v>
      </c>
      <c r="AC2633">
        <v>0.47139999999996002</v>
      </c>
      <c r="AD2633">
        <v>-0.101661</v>
      </c>
      <c r="AE2633">
        <v>3.8399999999995701E-2</v>
      </c>
      <c r="AF2633">
        <v>-3.4113008332351702E-2</v>
      </c>
      <c r="AG2633">
        <v>-0.101661</v>
      </c>
      <c r="AH2633">
        <v>0.45078594165428698</v>
      </c>
      <c r="AI2633">
        <v>102.673647264739</v>
      </c>
      <c r="AJ2633">
        <v>94.327582184707296</v>
      </c>
      <c r="AK2633">
        <v>0.46336445855462999</v>
      </c>
      <c r="AL2633">
        <v>68.741893768695107</v>
      </c>
      <c r="AM2633">
        <v>97.757066225798795</v>
      </c>
      <c r="AN2633">
        <v>1.00000001233853</v>
      </c>
    </row>
    <row r="2634" spans="1:40" x14ac:dyDescent="0.25">
      <c r="A2634" t="str">
        <f>"20190304164653269"</f>
        <v>20190304164653269</v>
      </c>
      <c r="B2634" t="str">
        <f>"1551689213260837"</f>
        <v>1551689213260837</v>
      </c>
      <c r="C2634" t="s">
        <v>40</v>
      </c>
      <c r="D2634">
        <v>4.4362490000000001</v>
      </c>
      <c r="E2634">
        <v>0.54650569999999998</v>
      </c>
      <c r="F2634" t="s">
        <v>41</v>
      </c>
      <c r="G2634">
        <v>-425.15730000000002</v>
      </c>
      <c r="H2634">
        <v>1.0129950000000001</v>
      </c>
      <c r="I2634">
        <v>212.8665</v>
      </c>
      <c r="J2634">
        <v>-425.61149999999998</v>
      </c>
      <c r="K2634">
        <v>1.1098110000000001</v>
      </c>
      <c r="L2634">
        <v>212.8296</v>
      </c>
      <c r="M2634">
        <v>0.99995520000000004</v>
      </c>
      <c r="N2634">
        <v>-7.55661599999999E-3</v>
      </c>
      <c r="O2634">
        <v>5.7026109999999998E-3</v>
      </c>
      <c r="P2634">
        <v>0.92540109999999998</v>
      </c>
      <c r="Q2634">
        <v>0.35546830000000001</v>
      </c>
      <c r="R2634">
        <v>0.13143579999999999</v>
      </c>
      <c r="S2634">
        <v>3.3730470000000001</v>
      </c>
      <c r="T2634">
        <v>-0.40123950000000003</v>
      </c>
      <c r="U2634">
        <v>0.16184999999999999</v>
      </c>
      <c r="V2634">
        <v>-0.12605420000000001</v>
      </c>
      <c r="W2634">
        <v>0.36249209999999998</v>
      </c>
      <c r="X2634">
        <v>0.92342290000000005</v>
      </c>
      <c r="Y2634">
        <v>-4.1952360000000001E-2</v>
      </c>
      <c r="Z2634">
        <v>2.011597E-3</v>
      </c>
      <c r="AA2634">
        <v>0.99911760000000005</v>
      </c>
      <c r="AB2634">
        <v>38</v>
      </c>
      <c r="AC2634">
        <v>0.45419999999995703</v>
      </c>
      <c r="AD2634">
        <v>-9.6815999999999999E-2</v>
      </c>
      <c r="AE2634">
        <v>3.6900000000002799E-2</v>
      </c>
      <c r="AF2634">
        <v>-3.28274331419839E-2</v>
      </c>
      <c r="AG2634">
        <v>-9.6815999999999999E-2</v>
      </c>
      <c r="AH2634">
        <v>0.43477800634911101</v>
      </c>
      <c r="AI2634">
        <v>102.519247365116</v>
      </c>
      <c r="AJ2634">
        <v>94.317861839549394</v>
      </c>
      <c r="AK2634">
        <v>0.44663507814277098</v>
      </c>
      <c r="AL2634">
        <v>68.746676886685407</v>
      </c>
      <c r="AM2634">
        <v>97.773261117922402</v>
      </c>
      <c r="AN2634">
        <v>1.0000000180722299</v>
      </c>
    </row>
    <row r="2635" spans="1:40" x14ac:dyDescent="0.25">
      <c r="A2635" t="str">
        <f>"20190304164653292"</f>
        <v>20190304164653292</v>
      </c>
      <c r="B2635" t="str">
        <f>"1551689213271573"</f>
        <v>1551689213271573</v>
      </c>
      <c r="C2635" t="s">
        <v>40</v>
      </c>
      <c r="D2635">
        <v>4.214264</v>
      </c>
      <c r="E2635">
        <v>0.54650569999999998</v>
      </c>
      <c r="F2635" t="s">
        <v>41</v>
      </c>
      <c r="G2635">
        <v>-424.81560000000002</v>
      </c>
      <c r="H2635">
        <v>1.015028</v>
      </c>
      <c r="I2635">
        <v>212.8673</v>
      </c>
      <c r="J2635">
        <v>-425.23520000000002</v>
      </c>
      <c r="K2635">
        <v>1.1098269999999999</v>
      </c>
      <c r="L2635">
        <v>212.83170000000001</v>
      </c>
      <c r="M2635">
        <v>0.99995529999999999</v>
      </c>
      <c r="N2635">
        <v>-7.57093099999999E-3</v>
      </c>
      <c r="O2635">
        <v>5.6590089999999996E-3</v>
      </c>
      <c r="P2635">
        <v>0.92553819999999998</v>
      </c>
      <c r="Q2635">
        <v>0.35521449999999999</v>
      </c>
      <c r="R2635">
        <v>0.13115489999999999</v>
      </c>
      <c r="S2635">
        <v>3.3733219999999999</v>
      </c>
      <c r="T2635">
        <v>-0.40182109999999999</v>
      </c>
      <c r="U2635">
        <v>0.1611023</v>
      </c>
      <c r="V2635">
        <v>-0.12582670000000001</v>
      </c>
      <c r="W2635">
        <v>0.36224820000000002</v>
      </c>
      <c r="X2635">
        <v>0.92354970000000003</v>
      </c>
      <c r="Y2635">
        <v>-4.1771389999999999E-2</v>
      </c>
      <c r="Z2635">
        <v>2.0078700000000001E-3</v>
      </c>
      <c r="AA2635">
        <v>0.99912520000000005</v>
      </c>
      <c r="AB2635">
        <v>38</v>
      </c>
      <c r="AC2635">
        <v>0.41960000000000203</v>
      </c>
      <c r="AD2635">
        <v>-9.4798999999999994E-2</v>
      </c>
      <c r="AE2635">
        <v>3.5599999999988002E-2</v>
      </c>
      <c r="AF2635">
        <v>-3.1622279948427499E-2</v>
      </c>
      <c r="AG2635">
        <v>-9.4798999999999994E-2</v>
      </c>
      <c r="AH2635">
        <v>0.39954643481747698</v>
      </c>
      <c r="AI2635">
        <v>103.30742902903199</v>
      </c>
      <c r="AJ2635">
        <v>94.525266876484494</v>
      </c>
      <c r="AK2635">
        <v>0.41185455268273102</v>
      </c>
      <c r="AL2635">
        <v>68.761671807127797</v>
      </c>
      <c r="AM2635">
        <v>97.758350791982707</v>
      </c>
      <c r="AN2635">
        <v>1.0000000826030999</v>
      </c>
    </row>
    <row r="2636" spans="1:40" x14ac:dyDescent="0.25">
      <c r="A2636" t="str">
        <f>"20190304164653426"</f>
        <v>20190304164653426</v>
      </c>
      <c r="B2636" t="str">
        <f>"1551689213420900"</f>
        <v>1551689213420900</v>
      </c>
      <c r="C2636" t="s">
        <v>40</v>
      </c>
      <c r="D2636">
        <v>4.3274460000000001</v>
      </c>
      <c r="E2636">
        <v>0.55111350000000003</v>
      </c>
      <c r="F2636" t="s">
        <v>41</v>
      </c>
      <c r="G2636">
        <v>-422.46949999999998</v>
      </c>
      <c r="H2636">
        <v>0.87847580000000003</v>
      </c>
      <c r="I2636">
        <v>212.9196</v>
      </c>
      <c r="J2636">
        <v>-422.91079999999999</v>
      </c>
      <c r="K2636">
        <v>1.1099289999999999</v>
      </c>
      <c r="L2636">
        <v>212.84460000000001</v>
      </c>
      <c r="M2636">
        <v>0.99995460000000003</v>
      </c>
      <c r="N2636">
        <v>-7.6574E-3</v>
      </c>
      <c r="O2636">
        <v>5.6567669999999896E-3</v>
      </c>
      <c r="P2636">
        <v>0.92552140000000005</v>
      </c>
      <c r="Q2636">
        <v>0.35688959999999997</v>
      </c>
      <c r="R2636">
        <v>0.1266485</v>
      </c>
      <c r="S2636">
        <v>3.5773320000000002</v>
      </c>
      <c r="T2636">
        <v>-0.99168420000000002</v>
      </c>
      <c r="U2636">
        <v>0.33215329999999998</v>
      </c>
      <c r="V2636">
        <v>-0.1214118</v>
      </c>
      <c r="W2636">
        <v>0.36397160000000001</v>
      </c>
      <c r="X2636">
        <v>0.92346300000000003</v>
      </c>
      <c r="Y2636">
        <v>-8.379404E-2</v>
      </c>
      <c r="Z2636">
        <v>1.0210469999999999E-2</v>
      </c>
      <c r="AA2636">
        <v>0.99643079999999995</v>
      </c>
      <c r="AB2636">
        <v>39</v>
      </c>
      <c r="AC2636">
        <v>0.44130000000001202</v>
      </c>
      <c r="AD2636">
        <v>-0.2314532</v>
      </c>
      <c r="AE2636">
        <v>7.4999999999988604E-2</v>
      </c>
      <c r="AF2636">
        <v>-5.7207537605919297E-2</v>
      </c>
      <c r="AG2636">
        <v>-0.2314532</v>
      </c>
      <c r="AH2636">
        <v>0.348534055217118</v>
      </c>
      <c r="AI2636">
        <v>123.23712934442</v>
      </c>
      <c r="AJ2636">
        <v>99.321275230094798</v>
      </c>
      <c r="AK2636">
        <v>0.42227866841134798</v>
      </c>
      <c r="AL2636">
        <v>68.655693795615093</v>
      </c>
      <c r="AM2636">
        <v>97.489972804119304</v>
      </c>
      <c r="AN2636">
        <v>1.00000003157739</v>
      </c>
    </row>
    <row r="2637" spans="1:40" x14ac:dyDescent="0.25">
      <c r="A2637" t="str">
        <f>"20190304164653450"</f>
        <v>20190304164653450</v>
      </c>
      <c r="B2637" t="str">
        <f>"1551689213441397"</f>
        <v>1551689213441397</v>
      </c>
      <c r="C2637" t="s">
        <v>40</v>
      </c>
      <c r="D2637">
        <v>4.3785339999999904</v>
      </c>
      <c r="E2637">
        <v>0.55121089999999995</v>
      </c>
      <c r="F2637" t="s">
        <v>41</v>
      </c>
      <c r="G2637">
        <v>-422.06920000000002</v>
      </c>
      <c r="H2637">
        <v>1.004794</v>
      </c>
      <c r="I2637">
        <v>212.87370000000001</v>
      </c>
      <c r="J2637">
        <v>-422.51650000000001</v>
      </c>
      <c r="K2637">
        <v>1.10996299999999</v>
      </c>
      <c r="L2637">
        <v>212.84690000000001</v>
      </c>
      <c r="M2637">
        <v>0.99995400000000001</v>
      </c>
      <c r="N2637">
        <v>-7.6666529999999998E-3</v>
      </c>
      <c r="O2637">
        <v>5.7737609999999997E-3</v>
      </c>
      <c r="P2637">
        <v>0.9257725</v>
      </c>
      <c r="Q2637">
        <v>0.356771</v>
      </c>
      <c r="R2637">
        <v>0.12513869999999999</v>
      </c>
      <c r="S2637">
        <v>3.388611</v>
      </c>
      <c r="T2637">
        <v>-0.42330990000000002</v>
      </c>
      <c r="U2637">
        <v>0.1173401</v>
      </c>
      <c r="V2637">
        <v>-0.1198289</v>
      </c>
      <c r="W2637">
        <v>0.3638516</v>
      </c>
      <c r="X2637">
        <v>0.92371700000000001</v>
      </c>
      <c r="Y2637">
        <v>-2.8639399999999999E-2</v>
      </c>
      <c r="Z2637">
        <v>1.2175070000000001E-3</v>
      </c>
      <c r="AA2637">
        <v>0.99958910000000001</v>
      </c>
      <c r="AB2637">
        <v>39</v>
      </c>
      <c r="AC2637">
        <v>0.44729999999998399</v>
      </c>
      <c r="AD2637">
        <v>-0.105168999999999</v>
      </c>
      <c r="AE2637">
        <v>2.6800000000008602E-2</v>
      </c>
      <c r="AF2637">
        <v>-2.29525667356647E-2</v>
      </c>
      <c r="AG2637">
        <v>-0.105168999999999</v>
      </c>
      <c r="AH2637">
        <v>0.42408708829609598</v>
      </c>
      <c r="AI2637">
        <v>103.908193430894</v>
      </c>
      <c r="AJ2637">
        <v>93.097956603843897</v>
      </c>
      <c r="AK2637">
        <v>0.437535366959308</v>
      </c>
      <c r="AL2637">
        <v>68.663075253713004</v>
      </c>
      <c r="AM2637">
        <v>97.391399543948793</v>
      </c>
      <c r="AN2637">
        <v>1.00000002409338</v>
      </c>
    </row>
    <row r="2638" spans="1:40" x14ac:dyDescent="0.25">
      <c r="A2638" t="str">
        <f>"20190304164653470"</f>
        <v>20190304164653470</v>
      </c>
      <c r="B2638" t="str">
        <f>"1551689213460917"</f>
        <v>1551689213460917</v>
      </c>
      <c r="C2638" t="s">
        <v>40</v>
      </c>
      <c r="D2638">
        <v>4.4113689999999997</v>
      </c>
      <c r="E2638">
        <v>0.55104940000000002</v>
      </c>
      <c r="F2638" t="s">
        <v>41</v>
      </c>
      <c r="G2638">
        <v>-421.71809999999999</v>
      </c>
      <c r="H2638">
        <v>1.0138579999999999</v>
      </c>
      <c r="I2638">
        <v>212.87200000000001</v>
      </c>
      <c r="J2638">
        <v>-422.14940000000001</v>
      </c>
      <c r="K2638">
        <v>1.1099969999999999</v>
      </c>
      <c r="L2638">
        <v>212.8492</v>
      </c>
      <c r="M2638">
        <v>0.99995290000000003</v>
      </c>
      <c r="N2638">
        <v>-7.6732600000000003E-3</v>
      </c>
      <c r="O2638">
        <v>5.9368859999999997E-3</v>
      </c>
      <c r="P2638">
        <v>0.92589650000000001</v>
      </c>
      <c r="Q2638">
        <v>0.35680230000000002</v>
      </c>
      <c r="R2638">
        <v>0.1241299</v>
      </c>
      <c r="S2638">
        <v>3.3829349999999998</v>
      </c>
      <c r="T2638">
        <v>-0.40749560000000001</v>
      </c>
      <c r="U2638">
        <v>0.10855099999999999</v>
      </c>
      <c r="V2638">
        <v>-0.1187102</v>
      </c>
      <c r="W2638">
        <v>0.36387570000000002</v>
      </c>
      <c r="X2638">
        <v>0.92385200000000001</v>
      </c>
      <c r="Y2638">
        <v>-2.597472E-2</v>
      </c>
      <c r="Z2638">
        <v>9.9147569999999993E-4</v>
      </c>
      <c r="AA2638">
        <v>0.9996621</v>
      </c>
      <c r="AB2638">
        <v>39</v>
      </c>
      <c r="AC2638">
        <v>0.431300000000021</v>
      </c>
      <c r="AD2638">
        <v>-9.6138999999999905E-2</v>
      </c>
      <c r="AE2638">
        <v>2.28000000000179E-2</v>
      </c>
      <c r="AF2638">
        <v>-1.9283481008262E-2</v>
      </c>
      <c r="AG2638">
        <v>-9.6138999999999905E-2</v>
      </c>
      <c r="AH2638">
        <v>0.41106043807405501</v>
      </c>
      <c r="AI2638">
        <v>103.149789494597</v>
      </c>
      <c r="AJ2638">
        <v>92.685864546515703</v>
      </c>
      <c r="AK2638">
        <v>0.42259347334102298</v>
      </c>
      <c r="AL2638">
        <v>68.661593997274394</v>
      </c>
      <c r="AM2638">
        <v>97.322088865988604</v>
      </c>
      <c r="AN2638">
        <v>1.0000000772692601</v>
      </c>
    </row>
    <row r="2639" spans="1:40" x14ac:dyDescent="0.25">
      <c r="A2639" t="str">
        <f>"20190304164653494"</f>
        <v>20190304164653494</v>
      </c>
      <c r="B2639" t="str">
        <f>"1551689213491173"</f>
        <v>1551689213491173</v>
      </c>
      <c r="C2639" t="s">
        <v>40</v>
      </c>
      <c r="D2639">
        <v>4.4117329999999999</v>
      </c>
      <c r="E2639">
        <v>0.55119090000000004</v>
      </c>
      <c r="F2639" t="s">
        <v>41</v>
      </c>
      <c r="G2639">
        <v>-421.3682</v>
      </c>
      <c r="H2639">
        <v>1.018526</v>
      </c>
      <c r="I2639">
        <v>212.87270000000001</v>
      </c>
      <c r="J2639">
        <v>-421.74639999999999</v>
      </c>
      <c r="K2639">
        <v>1.1100460000000001</v>
      </c>
      <c r="L2639">
        <v>212.8518</v>
      </c>
      <c r="M2639">
        <v>0.99995149999999999</v>
      </c>
      <c r="N2639">
        <v>-7.6801119999999898E-3</v>
      </c>
      <c r="O2639">
        <v>6.1716560000000002E-3</v>
      </c>
      <c r="P2639">
        <v>0.92627559999999998</v>
      </c>
      <c r="Q2639">
        <v>0.35590519999999998</v>
      </c>
      <c r="R2639">
        <v>0.12387430000000001</v>
      </c>
      <c r="S2639">
        <v>3.3788149999999999</v>
      </c>
      <c r="T2639">
        <v>-0.39584140000000001</v>
      </c>
      <c r="U2639">
        <v>0.103134199999999</v>
      </c>
      <c r="V2639">
        <v>-0.1182827</v>
      </c>
      <c r="W2639">
        <v>0.36297249999999998</v>
      </c>
      <c r="X2639">
        <v>0.92426200000000003</v>
      </c>
      <c r="Y2639">
        <v>-2.4200559999999999E-2</v>
      </c>
      <c r="Z2639">
        <v>8.3258629999999995E-4</v>
      </c>
      <c r="AA2639">
        <v>0.99970680000000001</v>
      </c>
      <c r="AB2639">
        <v>39</v>
      </c>
      <c r="AC2639">
        <v>0.37819999999999199</v>
      </c>
      <c r="AD2639">
        <v>-9.1519999999999796E-2</v>
      </c>
      <c r="AE2639">
        <v>2.09000000000116E-2</v>
      </c>
      <c r="AF2639">
        <v>-1.7541347536292901E-2</v>
      </c>
      <c r="AG2639">
        <v>-9.1519999999999796E-2</v>
      </c>
      <c r="AH2639">
        <v>0.357453615926421</v>
      </c>
      <c r="AI2639">
        <v>104.34457465345299</v>
      </c>
      <c r="AJ2639">
        <v>92.809426251979403</v>
      </c>
      <c r="AK2639">
        <v>0.36940045589070802</v>
      </c>
      <c r="AL2639">
        <v>68.717140823275997</v>
      </c>
      <c r="AM2639">
        <v>97.292803501028999</v>
      </c>
      <c r="AN2639">
        <v>1.0000000387597601</v>
      </c>
    </row>
    <row r="2640" spans="1:40" x14ac:dyDescent="0.25">
      <c r="A2640" t="str">
        <f>"20190304164653516"</f>
        <v>20190304164653516</v>
      </c>
      <c r="B2640" t="str">
        <f>"1551689213510694"</f>
        <v>1551689213510694</v>
      </c>
      <c r="C2640" t="s">
        <v>40</v>
      </c>
      <c r="D2640">
        <v>4.4219369999999998</v>
      </c>
      <c r="E2640">
        <v>0.55064019999999902</v>
      </c>
      <c r="F2640" t="s">
        <v>41</v>
      </c>
      <c r="G2640">
        <v>-421.01690000000002</v>
      </c>
      <c r="H2640">
        <v>1.0250189999999999</v>
      </c>
      <c r="I2640">
        <v>212.87309999999999</v>
      </c>
      <c r="J2640">
        <v>-421.36189999999999</v>
      </c>
      <c r="K2640">
        <v>1.11009</v>
      </c>
      <c r="L2640">
        <v>212.8544</v>
      </c>
      <c r="M2640">
        <v>0.9999498</v>
      </c>
      <c r="N2640">
        <v>-7.6870380000000002E-3</v>
      </c>
      <c r="O2640">
        <v>6.4474750000000003E-3</v>
      </c>
      <c r="P2640">
        <v>0.92643509999999996</v>
      </c>
      <c r="Q2640">
        <v>0.35551070000000001</v>
      </c>
      <c r="R2640">
        <v>0.1238158</v>
      </c>
      <c r="S2640">
        <v>3.3767089999999902</v>
      </c>
      <c r="T2640">
        <v>-0.39378429999999998</v>
      </c>
      <c r="U2640">
        <v>0.1000519</v>
      </c>
      <c r="V2640">
        <v>-0.1180088</v>
      </c>
      <c r="W2640">
        <v>0.36257260000000002</v>
      </c>
      <c r="X2640">
        <v>0.92445390000000005</v>
      </c>
      <c r="Y2640">
        <v>-2.3043259999999999E-2</v>
      </c>
      <c r="Z2640">
        <v>7.2793539999999903E-4</v>
      </c>
      <c r="AA2640">
        <v>0.99973420000000002</v>
      </c>
      <c r="AB2640">
        <v>39</v>
      </c>
      <c r="AC2640">
        <v>0.34499999999997</v>
      </c>
      <c r="AD2640">
        <v>-8.5070999999999897E-2</v>
      </c>
      <c r="AE2640">
        <v>1.8699999999995401E-2</v>
      </c>
      <c r="AF2640">
        <v>-1.55334533987951E-2</v>
      </c>
      <c r="AG2640">
        <v>-8.5070999999999897E-2</v>
      </c>
      <c r="AH2640">
        <v>0.32538686376239501</v>
      </c>
      <c r="AI2640">
        <v>104.635826132468</v>
      </c>
      <c r="AJ2640">
        <v>92.733134774750994</v>
      </c>
      <c r="AK2640">
        <v>0.33668230473937799</v>
      </c>
      <c r="AL2640">
        <v>68.741727281465003</v>
      </c>
      <c r="AM2640">
        <v>97.274602981366996</v>
      </c>
      <c r="AN2640">
        <v>0.99999999018670505</v>
      </c>
    </row>
    <row r="2641" spans="1:40" x14ac:dyDescent="0.25">
      <c r="A2641" t="str">
        <f>"20190304164653538"</f>
        <v>20190304164653538</v>
      </c>
      <c r="B2641" t="str">
        <f>"1551689213531189"</f>
        <v>1551689213531189</v>
      </c>
      <c r="C2641" t="s">
        <v>40</v>
      </c>
      <c r="D2641">
        <v>4.4134510000000002</v>
      </c>
      <c r="E2641">
        <v>0.55037590000000003</v>
      </c>
      <c r="F2641" t="s">
        <v>41</v>
      </c>
      <c r="G2641">
        <v>-420.33429999999998</v>
      </c>
      <c r="H2641">
        <v>0.99136539999999995</v>
      </c>
      <c r="I2641">
        <v>212.8852</v>
      </c>
      <c r="J2641">
        <v>-420.98180000000002</v>
      </c>
      <c r="K2641">
        <v>1.1101259999999999</v>
      </c>
      <c r="L2641">
        <v>212.8571</v>
      </c>
      <c r="M2641">
        <v>0.99994760000000005</v>
      </c>
      <c r="N2641">
        <v>-7.6943139999999998E-3</v>
      </c>
      <c r="O2641">
        <v>6.7558119999999999E-3</v>
      </c>
      <c r="P2641">
        <v>0.92656019999999994</v>
      </c>
      <c r="Q2641">
        <v>0.35518959999999999</v>
      </c>
      <c r="R2641">
        <v>0.12380149999999999</v>
      </c>
      <c r="S2641">
        <v>3.374298</v>
      </c>
      <c r="T2641">
        <v>-0.38994440000000002</v>
      </c>
      <c r="U2641">
        <v>0.1014404</v>
      </c>
      <c r="V2641">
        <v>-0.117740899999999</v>
      </c>
      <c r="W2641">
        <v>0.36224899999999999</v>
      </c>
      <c r="X2641">
        <v>0.92461490000000002</v>
      </c>
      <c r="Y2641">
        <v>-2.3170199999999998E-2</v>
      </c>
      <c r="Z2641">
        <v>6.9742369999999999E-4</v>
      </c>
      <c r="AA2641">
        <v>0.99973129999999999</v>
      </c>
      <c r="AB2641">
        <v>39</v>
      </c>
      <c r="AC2641">
        <v>0.64750000000003605</v>
      </c>
      <c r="AD2641">
        <v>-0.11876059999999899</v>
      </c>
      <c r="AE2641">
        <v>2.80999999999949E-2</v>
      </c>
      <c r="AF2641">
        <v>-2.2954100267942999E-2</v>
      </c>
      <c r="AG2641">
        <v>-0.11876059999999899</v>
      </c>
      <c r="AH2641">
        <v>0.62663426899804797</v>
      </c>
      <c r="AI2641">
        <v>100.72447237173699</v>
      </c>
      <c r="AJ2641">
        <v>92.097850958529193</v>
      </c>
      <c r="AK2641">
        <v>0.63820175329921203</v>
      </c>
      <c r="AL2641">
        <v>68.761620466413106</v>
      </c>
      <c r="AM2641">
        <v>97.257014330925102</v>
      </c>
      <c r="AN2641">
        <v>0.99999998541791002</v>
      </c>
    </row>
    <row r="2642" spans="1:40" x14ac:dyDescent="0.25">
      <c r="A2642" t="str">
        <f>"20190304164653571"</f>
        <v>20190304164653571</v>
      </c>
      <c r="B2642" t="str">
        <f>"1551689213561445"</f>
        <v>1551689213561445</v>
      </c>
      <c r="C2642" t="s">
        <v>40</v>
      </c>
      <c r="D2642">
        <v>4.4327709999999998</v>
      </c>
      <c r="E2642">
        <v>0.55009719999999995</v>
      </c>
      <c r="F2642" t="s">
        <v>41</v>
      </c>
      <c r="G2642">
        <v>-419.98180000000002</v>
      </c>
      <c r="H2642">
        <v>0.99611519999999998</v>
      </c>
      <c r="I2642">
        <v>212.8871</v>
      </c>
      <c r="J2642">
        <v>-420.38780000000003</v>
      </c>
      <c r="K2642">
        <v>1.1101730000000001</v>
      </c>
      <c r="L2642">
        <v>212.86160000000001</v>
      </c>
      <c r="M2642">
        <v>0.9999439</v>
      </c>
      <c r="N2642">
        <v>-7.7066599999999997E-3</v>
      </c>
      <c r="O2642">
        <v>7.2863040000000004E-3</v>
      </c>
      <c r="P2642">
        <v>0.92641689999999999</v>
      </c>
      <c r="Q2642">
        <v>0.355325</v>
      </c>
      <c r="R2642">
        <v>0.12448430000000001</v>
      </c>
      <c r="S2642">
        <v>3.3716129999999902</v>
      </c>
      <c r="T2642">
        <v>-0.38426569999999999</v>
      </c>
      <c r="U2642">
        <v>0.1006165</v>
      </c>
      <c r="V2642">
        <v>-0.117969699999999</v>
      </c>
      <c r="W2642">
        <v>0.3623828</v>
      </c>
      <c r="X2642">
        <v>0.9245333</v>
      </c>
      <c r="Y2642">
        <v>-2.24309E-2</v>
      </c>
      <c r="Z2642">
        <v>5.8901899999999998E-4</v>
      </c>
      <c r="AA2642">
        <v>0.99974819999999998</v>
      </c>
      <c r="AB2642">
        <v>39</v>
      </c>
      <c r="AC2642">
        <v>0.40600000000000502</v>
      </c>
      <c r="AD2642">
        <v>-0.114057799999999</v>
      </c>
      <c r="AE2642">
        <v>2.5499999999993798E-2</v>
      </c>
      <c r="AF2642">
        <v>-2.0898153501853201E-2</v>
      </c>
      <c r="AG2642">
        <v>-0.114057799999999</v>
      </c>
      <c r="AH2642">
        <v>0.376572002970542</v>
      </c>
      <c r="AI2642">
        <v>106.826319522403</v>
      </c>
      <c r="AJ2642">
        <v>93.176415224310901</v>
      </c>
      <c r="AK2642">
        <v>0.39402079638246601</v>
      </c>
      <c r="AL2642">
        <v>68.753395398339293</v>
      </c>
      <c r="AM2642">
        <v>97.271600623907304</v>
      </c>
      <c r="AN2642">
        <v>0.99999998333140905</v>
      </c>
    </row>
    <row r="2643" spans="1:40" x14ac:dyDescent="0.25">
      <c r="A2643" t="str">
        <f>"20190304164653592"</f>
        <v>20190304164653592</v>
      </c>
      <c r="B2643" t="str">
        <f>"1551689213580968"</f>
        <v>1551689213580968</v>
      </c>
      <c r="C2643" t="s">
        <v>40</v>
      </c>
      <c r="D2643">
        <v>4.9943179999999998</v>
      </c>
      <c r="E2643">
        <v>0.54964990000000002</v>
      </c>
      <c r="F2643" t="s">
        <v>41</v>
      </c>
      <c r="G2643">
        <v>-419.61770000000001</v>
      </c>
      <c r="H2643">
        <v>1.0239499999999999</v>
      </c>
      <c r="I2643">
        <v>212.88489999999999</v>
      </c>
      <c r="J2643">
        <v>-420.01330000000002</v>
      </c>
      <c r="K2643">
        <v>1.110193</v>
      </c>
      <c r="L2643">
        <v>212.8646</v>
      </c>
      <c r="M2643">
        <v>0.99994110000000003</v>
      </c>
      <c r="N2643">
        <v>-7.7151700000000004E-3</v>
      </c>
      <c r="O2643">
        <v>7.6394690000000003E-3</v>
      </c>
      <c r="P2643">
        <v>0.92626549999999996</v>
      </c>
      <c r="Q2643">
        <v>0.35570309999999999</v>
      </c>
      <c r="R2643">
        <v>0.1245301</v>
      </c>
      <c r="S2643">
        <v>3.3692319999999998</v>
      </c>
      <c r="T2643">
        <v>-0.3772472</v>
      </c>
      <c r="U2643">
        <v>0.1024017</v>
      </c>
      <c r="V2643">
        <v>-0.1177063</v>
      </c>
      <c r="W2643">
        <v>0.36276320000000001</v>
      </c>
      <c r="X2643">
        <v>0.92441770000000001</v>
      </c>
      <c r="Y2643">
        <v>-2.2632360000000001E-2</v>
      </c>
      <c r="Z2643">
        <v>5.5670669999999896E-4</v>
      </c>
      <c r="AA2643">
        <v>0.99974370000000001</v>
      </c>
      <c r="AB2643">
        <v>39</v>
      </c>
      <c r="AC2643">
        <v>0.39560000000000101</v>
      </c>
      <c r="AD2643">
        <v>-8.6243E-2</v>
      </c>
      <c r="AE2643">
        <v>2.02999999999917E-2</v>
      </c>
      <c r="AF2643">
        <v>-1.6495242801420399E-2</v>
      </c>
      <c r="AG2643">
        <v>-8.6243E-2</v>
      </c>
      <c r="AH2643">
        <v>0.377833619919269</v>
      </c>
      <c r="AI2643">
        <v>102.84602541394101</v>
      </c>
      <c r="AJ2643">
        <v>92.499798803590807</v>
      </c>
      <c r="AK2643">
        <v>0.38790229752526201</v>
      </c>
      <c r="AL2643">
        <v>68.730009078966106</v>
      </c>
      <c r="AM2643">
        <v>97.256435615920495</v>
      </c>
      <c r="AN2643">
        <v>0.99999999820360996</v>
      </c>
    </row>
    <row r="2644" spans="1:40" x14ac:dyDescent="0.25">
      <c r="A2644" t="str">
        <f>"20190304164653614"</f>
        <v>20190304164653614</v>
      </c>
      <c r="B2644" t="str">
        <f>"1551689213611542"</f>
        <v>1551689213611542</v>
      </c>
      <c r="C2644" t="s">
        <v>40</v>
      </c>
      <c r="D2644">
        <v>4.4654350000000003</v>
      </c>
      <c r="E2644">
        <v>0.54925269999999904</v>
      </c>
      <c r="F2644" t="s">
        <v>41</v>
      </c>
      <c r="G2644">
        <v>-419.26299999999998</v>
      </c>
      <c r="H2644">
        <v>1.0278750000000001</v>
      </c>
      <c r="I2644">
        <v>212.88900000000001</v>
      </c>
      <c r="J2644">
        <v>-419.63339999999999</v>
      </c>
      <c r="K2644">
        <v>1.110212</v>
      </c>
      <c r="L2644">
        <v>212.86779999999999</v>
      </c>
      <c r="M2644">
        <v>0.99993810000000005</v>
      </c>
      <c r="N2644">
        <v>-7.7244150000000001E-3</v>
      </c>
      <c r="O2644">
        <v>8.0038119999999904E-3</v>
      </c>
      <c r="P2644">
        <v>0.92630769999999996</v>
      </c>
      <c r="Q2644">
        <v>0.35552030000000001</v>
      </c>
      <c r="R2644">
        <v>0.1247371</v>
      </c>
      <c r="S2644">
        <v>3.3658450000000002</v>
      </c>
      <c r="T2644">
        <v>-0.3692067</v>
      </c>
      <c r="U2644">
        <v>0.1096497</v>
      </c>
      <c r="V2644">
        <v>-0.117589</v>
      </c>
      <c r="W2644">
        <v>0.36258499999999999</v>
      </c>
      <c r="X2644">
        <v>0.92450259999999995</v>
      </c>
      <c r="Y2644">
        <v>-2.4443639999999999E-2</v>
      </c>
      <c r="Z2644">
        <v>6.1758760000000005E-4</v>
      </c>
      <c r="AA2644">
        <v>0.99970099999999995</v>
      </c>
      <c r="AB2644">
        <v>39</v>
      </c>
      <c r="AC2644">
        <v>0.37039999999995998</v>
      </c>
      <c r="AD2644">
        <v>-8.2336999999999799E-2</v>
      </c>
      <c r="AE2644">
        <v>2.1200000000021601E-2</v>
      </c>
      <c r="AF2644">
        <v>-1.73786780979483E-2</v>
      </c>
      <c r="AG2644">
        <v>-8.2336999999999799E-2</v>
      </c>
      <c r="AH2644">
        <v>0.35316364964248298</v>
      </c>
      <c r="AI2644">
        <v>103.10826980394999</v>
      </c>
      <c r="AJ2644">
        <v>92.817170920045896</v>
      </c>
      <c r="AK2644">
        <v>0.36305091027324299</v>
      </c>
      <c r="AL2644">
        <v>68.740966411984502</v>
      </c>
      <c r="AM2644">
        <v>97.248622550495995</v>
      </c>
      <c r="AN2644">
        <v>1.00000005627637</v>
      </c>
    </row>
    <row r="2645" spans="1:40" x14ac:dyDescent="0.25">
      <c r="A2645" t="str">
        <f>"20190304164653640"</f>
        <v>20190304164653640</v>
      </c>
      <c r="B2645" t="str">
        <f>"1551689213631061"</f>
        <v>1551689213631061</v>
      </c>
      <c r="C2645" t="s">
        <v>40</v>
      </c>
      <c r="D2645">
        <v>4.4675320000000003</v>
      </c>
      <c r="E2645">
        <v>0.54918239999999996</v>
      </c>
      <c r="F2645" t="s">
        <v>41</v>
      </c>
      <c r="G2645">
        <v>-418.57420000000002</v>
      </c>
      <c r="H2645">
        <v>0.99547600000000003</v>
      </c>
      <c r="I2645">
        <v>212.904</v>
      </c>
      <c r="J2645">
        <v>-419.17869999999999</v>
      </c>
      <c r="K2645">
        <v>1.110228</v>
      </c>
      <c r="L2645">
        <v>212.87180000000001</v>
      </c>
      <c r="M2645">
        <v>0.99993460000000001</v>
      </c>
      <c r="N2645">
        <v>-7.7363099999999997E-3</v>
      </c>
      <c r="O2645">
        <v>8.4420599999999995E-3</v>
      </c>
      <c r="P2645">
        <v>0.92616080000000001</v>
      </c>
      <c r="Q2645">
        <v>0.35574050000000002</v>
      </c>
      <c r="R2645">
        <v>0.1252008</v>
      </c>
      <c r="S2645">
        <v>3.3630369999999998</v>
      </c>
      <c r="T2645">
        <v>-0.36430010000000002</v>
      </c>
      <c r="U2645">
        <v>0.1149139</v>
      </c>
      <c r="V2645">
        <v>-0.11766260000000001</v>
      </c>
      <c r="W2645">
        <v>0.36281029999999997</v>
      </c>
      <c r="X2645">
        <v>0.92440480000000003</v>
      </c>
      <c r="Y2645">
        <v>-2.5593390000000001E-2</v>
      </c>
      <c r="Z2645">
        <v>6.3470119999999995E-4</v>
      </c>
      <c r="AA2645">
        <v>0.99967220000000001</v>
      </c>
      <c r="AB2645">
        <v>39</v>
      </c>
      <c r="AC2645">
        <v>0.60449999999997295</v>
      </c>
      <c r="AD2645">
        <v>-0.11475199999999899</v>
      </c>
      <c r="AE2645">
        <v>3.2200000000017298E-2</v>
      </c>
      <c r="AF2645">
        <v>-2.6155617049812199E-2</v>
      </c>
      <c r="AG2645">
        <v>-0.11475199999999899</v>
      </c>
      <c r="AH2645">
        <v>0.58377338157717196</v>
      </c>
      <c r="AI2645">
        <v>101.109943059378</v>
      </c>
      <c r="AJ2645">
        <v>92.565387419389396</v>
      </c>
      <c r="AK2645">
        <v>0.59551952012113096</v>
      </c>
      <c r="AL2645">
        <v>68.727113590659499</v>
      </c>
      <c r="AM2645">
        <v>97.253870417202705</v>
      </c>
      <c r="AN2645">
        <v>1.0000000177439401</v>
      </c>
    </row>
    <row r="2646" spans="1:40" x14ac:dyDescent="0.25">
      <c r="A2646" t="str">
        <f>"20190304164653666"</f>
        <v>20190304164653666</v>
      </c>
      <c r="B2646" t="str">
        <f>"1551689213651558"</f>
        <v>1551689213651558</v>
      </c>
      <c r="C2646" t="s">
        <v>40</v>
      </c>
      <c r="D2646">
        <v>4.4668530000000004</v>
      </c>
      <c r="E2646">
        <v>0.54916119999999902</v>
      </c>
      <c r="F2646" t="s">
        <v>41</v>
      </c>
      <c r="G2646">
        <v>-418.21559999999999</v>
      </c>
      <c r="H2646">
        <v>1.006275</v>
      </c>
      <c r="I2646">
        <v>212.9049</v>
      </c>
      <c r="J2646">
        <v>-418.77870000000001</v>
      </c>
      <c r="K2646">
        <v>1.110231</v>
      </c>
      <c r="L2646">
        <v>212.87549999999999</v>
      </c>
      <c r="M2646">
        <v>0.99993109999999996</v>
      </c>
      <c r="N2646">
        <v>-7.7473890000000004E-3</v>
      </c>
      <c r="O2646">
        <v>8.8264009999999993E-3</v>
      </c>
      <c r="P2646">
        <v>0.92622260000000001</v>
      </c>
      <c r="Q2646">
        <v>0.35535620000000001</v>
      </c>
      <c r="R2646">
        <v>0.12583330000000001</v>
      </c>
      <c r="S2646">
        <v>3.3628849999999999</v>
      </c>
      <c r="T2646">
        <v>-0.36305749999999998</v>
      </c>
      <c r="U2646">
        <v>0.1162567</v>
      </c>
      <c r="V2646">
        <v>-0.1179496</v>
      </c>
      <c r="W2646">
        <v>0.36243300000000001</v>
      </c>
      <c r="X2646">
        <v>0.92451620000000001</v>
      </c>
      <c r="Y2646">
        <v>-2.5611910000000002E-2</v>
      </c>
      <c r="Z2646">
        <v>5.9604059999999895E-4</v>
      </c>
      <c r="AA2646">
        <v>0.9996718</v>
      </c>
      <c r="AB2646">
        <v>39</v>
      </c>
      <c r="AC2646">
        <v>0.56310000000001903</v>
      </c>
      <c r="AD2646">
        <v>-0.10395599999999899</v>
      </c>
      <c r="AE2646">
        <v>2.9400000000009599E-2</v>
      </c>
      <c r="AF2646">
        <v>-2.36255373708152E-2</v>
      </c>
      <c r="AG2646">
        <v>-0.10395599999999899</v>
      </c>
      <c r="AH2646">
        <v>0.54481938594324897</v>
      </c>
      <c r="AI2646">
        <v>100.792748636963</v>
      </c>
      <c r="AJ2646">
        <v>92.483017476049994</v>
      </c>
      <c r="AK2646">
        <v>0.55515149216375004</v>
      </c>
      <c r="AL2646">
        <v>68.750309638826806</v>
      </c>
      <c r="AM2646">
        <v>97.270507961608402</v>
      </c>
      <c r="AN2646">
        <v>0.99999999584580002</v>
      </c>
    </row>
    <row r="2647" spans="1:40" x14ac:dyDescent="0.25">
      <c r="A2647" t="str">
        <f>"20190304164653688"</f>
        <v>20190304164653688</v>
      </c>
      <c r="B2647" t="str">
        <f>"1551689213680838"</f>
        <v>1551689213680838</v>
      </c>
      <c r="C2647" t="s">
        <v>40</v>
      </c>
      <c r="D2647">
        <v>4.4935890000000001</v>
      </c>
      <c r="E2647">
        <v>0.54913029999999996</v>
      </c>
      <c r="F2647" t="s">
        <v>41</v>
      </c>
      <c r="G2647">
        <v>-417.85910000000001</v>
      </c>
      <c r="H2647">
        <v>1.0110170000000001</v>
      </c>
      <c r="I2647">
        <v>212.9074</v>
      </c>
      <c r="J2647">
        <v>-418.33030000000002</v>
      </c>
      <c r="K2647">
        <v>1.1102449999999999</v>
      </c>
      <c r="L2647">
        <v>212.87970000000001</v>
      </c>
      <c r="M2647">
        <v>0.99992709999999996</v>
      </c>
      <c r="N2647">
        <v>-7.7604459999999998E-3</v>
      </c>
      <c r="O2647">
        <v>9.2555550000000004E-3</v>
      </c>
      <c r="P2647">
        <v>0.92616390000000004</v>
      </c>
      <c r="Q2647">
        <v>0.355247599999999</v>
      </c>
      <c r="R2647">
        <v>0.1265693</v>
      </c>
      <c r="S2647">
        <v>3.3623050000000001</v>
      </c>
      <c r="T2647">
        <v>-0.36272880000000002</v>
      </c>
      <c r="U2647">
        <v>0.1165161</v>
      </c>
      <c r="V2647">
        <v>-0.11829969999999999</v>
      </c>
      <c r="W2647">
        <v>0.36233310000000002</v>
      </c>
      <c r="X2647">
        <v>0.92451070000000002</v>
      </c>
      <c r="Y2647">
        <v>-2.5270250000000001E-2</v>
      </c>
      <c r="Z2647">
        <v>5.3348540000000002E-4</v>
      </c>
      <c r="AA2647">
        <v>0.99968049999999997</v>
      </c>
      <c r="AB2647">
        <v>40</v>
      </c>
      <c r="AC2647">
        <v>0.47120000000001</v>
      </c>
      <c r="AD2647">
        <v>-9.9228000000000094E-2</v>
      </c>
      <c r="AE2647">
        <v>2.76999999999816E-2</v>
      </c>
      <c r="AF2647">
        <v>-2.2349748317297101E-2</v>
      </c>
      <c r="AG2647">
        <v>-9.9228000000000094E-2</v>
      </c>
      <c r="AH2647">
        <v>0.45148350764433498</v>
      </c>
      <c r="AI2647">
        <v>102.380818211372</v>
      </c>
      <c r="AJ2647">
        <v>92.833994500738001</v>
      </c>
      <c r="AK2647">
        <v>0.46279916260585302</v>
      </c>
      <c r="AL2647">
        <v>68.756452441171007</v>
      </c>
      <c r="AM2647">
        <v>97.291899387280196</v>
      </c>
      <c r="AN2647">
        <v>1.0000000643950899</v>
      </c>
    </row>
    <row r="2648" spans="1:40" x14ac:dyDescent="0.25">
      <c r="A2648" t="str">
        <f>"20190304164653708"</f>
        <v>20190304164653708</v>
      </c>
      <c r="B2648" t="str">
        <f>"1551689213701334"</f>
        <v>1551689213701334</v>
      </c>
      <c r="C2648" t="s">
        <v>40</v>
      </c>
      <c r="D2648">
        <v>4.4981439999999999</v>
      </c>
      <c r="E2648">
        <v>0.54909909999999995</v>
      </c>
      <c r="F2648" t="s">
        <v>41</v>
      </c>
      <c r="G2648">
        <v>-417.49939999999998</v>
      </c>
      <c r="H2648">
        <v>1.0210330000000001</v>
      </c>
      <c r="I2648">
        <v>212.90870000000001</v>
      </c>
      <c r="J2648">
        <v>-417.97649999999999</v>
      </c>
      <c r="K2648">
        <v>1.1102479999999999</v>
      </c>
      <c r="L2648">
        <v>212.88329999999999</v>
      </c>
      <c r="M2648">
        <v>0.99992389999999998</v>
      </c>
      <c r="N2648">
        <v>-7.7711869999999997E-3</v>
      </c>
      <c r="O2648">
        <v>9.5931899999999997E-3</v>
      </c>
      <c r="P2648">
        <v>0.92607620000000002</v>
      </c>
      <c r="Q2648">
        <v>0.35538779999999998</v>
      </c>
      <c r="R2648">
        <v>0.1268174</v>
      </c>
      <c r="S2648">
        <v>3.3615719999999998</v>
      </c>
      <c r="T2648">
        <v>-0.3609734</v>
      </c>
      <c r="U2648">
        <v>0.11764529999999999</v>
      </c>
      <c r="V2648">
        <v>-0.118244</v>
      </c>
      <c r="W2648">
        <v>0.36247970000000002</v>
      </c>
      <c r="X2648">
        <v>0.92446030000000001</v>
      </c>
      <c r="Y2648">
        <v>-2.5278140000000001E-2</v>
      </c>
      <c r="Z2648">
        <v>4.9898070000000002E-4</v>
      </c>
      <c r="AA2648">
        <v>0.99968029999999997</v>
      </c>
      <c r="AB2648">
        <v>40</v>
      </c>
      <c r="AC2648">
        <v>0.47710000000000702</v>
      </c>
      <c r="AD2648">
        <v>-8.9214999999999794E-2</v>
      </c>
      <c r="AE2648">
        <v>2.5400000000018901E-2</v>
      </c>
      <c r="AF2648">
        <v>-2.01202292055268E-2</v>
      </c>
      <c r="AG2648">
        <v>-8.9214999999999794E-2</v>
      </c>
      <c r="AH2648">
        <v>0.46123920438253402</v>
      </c>
      <c r="AI2648">
        <v>100.937075177175</v>
      </c>
      <c r="AJ2648">
        <v>92.497779502836394</v>
      </c>
      <c r="AK2648">
        <v>0.47021882513114699</v>
      </c>
      <c r="AL2648">
        <v>68.747439050291305</v>
      </c>
      <c r="AM2648">
        <v>97.288896094461194</v>
      </c>
      <c r="AN2648">
        <v>1.0000000113620899</v>
      </c>
    </row>
    <row r="2649" spans="1:40" x14ac:dyDescent="0.25">
      <c r="A2649" t="str">
        <f>"20190304164653728"</f>
        <v>20190304164653728</v>
      </c>
      <c r="B2649" t="str">
        <f>"1551689213720855"</f>
        <v>1551689213720855</v>
      </c>
      <c r="C2649" t="s">
        <v>40</v>
      </c>
      <c r="D2649">
        <v>4.4832219999999996</v>
      </c>
      <c r="E2649">
        <v>0.54907010000000001</v>
      </c>
      <c r="F2649" t="s">
        <v>41</v>
      </c>
      <c r="G2649">
        <v>-417.14359999999999</v>
      </c>
      <c r="H2649">
        <v>1.021331</v>
      </c>
      <c r="I2649">
        <v>212.91229999999999</v>
      </c>
      <c r="J2649">
        <v>-417.61349999999999</v>
      </c>
      <c r="K2649">
        <v>1.1102559999999999</v>
      </c>
      <c r="L2649">
        <v>212.887</v>
      </c>
      <c r="M2649">
        <v>0.99992049999999999</v>
      </c>
      <c r="N2649">
        <v>-7.7824629999999999E-3</v>
      </c>
      <c r="O2649">
        <v>9.9374200000000006E-3</v>
      </c>
      <c r="P2649">
        <v>0.92607159999999999</v>
      </c>
      <c r="Q2649">
        <v>0.35507480000000002</v>
      </c>
      <c r="R2649">
        <v>0.12772449999999999</v>
      </c>
      <c r="S2649">
        <v>3.3611759999999999</v>
      </c>
      <c r="T2649">
        <v>-0.35898089999999999</v>
      </c>
      <c r="U2649">
        <v>0.1176758</v>
      </c>
      <c r="V2649">
        <v>-0.11883779999999999</v>
      </c>
      <c r="W2649">
        <v>0.36217480000000002</v>
      </c>
      <c r="X2649">
        <v>0.92450359999999998</v>
      </c>
      <c r="Y2649">
        <v>-2.4951899999999999E-2</v>
      </c>
      <c r="Z2649">
        <v>4.448651E-4</v>
      </c>
      <c r="AA2649">
        <v>0.99968860000000004</v>
      </c>
      <c r="AB2649">
        <v>40</v>
      </c>
      <c r="AC2649">
        <v>0.46989999999999499</v>
      </c>
      <c r="AD2649">
        <v>-8.8924999999999907E-2</v>
      </c>
      <c r="AE2649">
        <v>2.5299999999987201E-2</v>
      </c>
      <c r="AF2649">
        <v>-1.9917769419627002E-2</v>
      </c>
      <c r="AG2649">
        <v>-8.8924999999999907E-2</v>
      </c>
      <c r="AH2649">
        <v>0.45391914616664902</v>
      </c>
      <c r="AI2649">
        <v>101.073758110546</v>
      </c>
      <c r="AJ2649">
        <v>92.512501508420499</v>
      </c>
      <c r="AK2649">
        <v>0.46297620286610103</v>
      </c>
      <c r="AL2649">
        <v>68.766180905819596</v>
      </c>
      <c r="AM2649">
        <v>97.324763685329401</v>
      </c>
      <c r="AN2649">
        <v>0.99999995743841896</v>
      </c>
    </row>
    <row r="2650" spans="1:40" x14ac:dyDescent="0.25">
      <c r="A2650" t="str">
        <f>"20190304164653773"</f>
        <v>20190304164653773</v>
      </c>
      <c r="B2650" t="str">
        <f>"1551689213760873"</f>
        <v>1551689213760873</v>
      </c>
      <c r="C2650" t="s">
        <v>40</v>
      </c>
      <c r="D2650">
        <v>4.4678909999999998</v>
      </c>
      <c r="E2650">
        <v>0.54897649999999998</v>
      </c>
      <c r="F2650" t="s">
        <v>41</v>
      </c>
      <c r="G2650">
        <v>-416.78710000000001</v>
      </c>
      <c r="H2650">
        <v>1.0219940000000001</v>
      </c>
      <c r="I2650">
        <v>212.9161</v>
      </c>
      <c r="J2650">
        <v>-416.82440000000003</v>
      </c>
      <c r="K2650">
        <v>1.1102399999999999</v>
      </c>
      <c r="L2650">
        <v>212.8956</v>
      </c>
      <c r="M2650">
        <v>0.99991280000000005</v>
      </c>
      <c r="N2650">
        <v>-7.8076899999999999E-3</v>
      </c>
      <c r="O2650">
        <v>1.066141E-2</v>
      </c>
      <c r="P2650">
        <v>0.92619620000000003</v>
      </c>
      <c r="Q2650">
        <v>0.35339369999999998</v>
      </c>
      <c r="R2650">
        <v>0.131429399999999</v>
      </c>
      <c r="S2650">
        <v>3.3605960000000001</v>
      </c>
      <c r="T2650">
        <v>-0.35914170000000001</v>
      </c>
      <c r="U2650">
        <v>0.12016300000000001</v>
      </c>
      <c r="V2650">
        <v>-0.12186959999999999</v>
      </c>
      <c r="W2650">
        <v>0.36051640000000001</v>
      </c>
      <c r="X2650">
        <v>0.9247571</v>
      </c>
      <c r="Y2650">
        <v>-2.4976269999999998E-2</v>
      </c>
      <c r="Z2650">
        <v>3.7550829999999998E-4</v>
      </c>
      <c r="AA2650">
        <v>0.99968800000000002</v>
      </c>
      <c r="AB2650">
        <v>40</v>
      </c>
      <c r="AC2650">
        <v>3.7300000000016098E-2</v>
      </c>
      <c r="AD2650">
        <v>-8.8245999999999797E-2</v>
      </c>
      <c r="AE2650">
        <v>2.0499999999998401E-2</v>
      </c>
      <c r="AF2650">
        <v>-3.79356534514512E-3</v>
      </c>
      <c r="AG2650">
        <v>-8.8245999999999797E-2</v>
      </c>
      <c r="AH2650">
        <v>7.0802452704735799E-3</v>
      </c>
      <c r="AI2650">
        <v>174.79904564260701</v>
      </c>
      <c r="AJ2650">
        <v>118.182216840717</v>
      </c>
      <c r="AK2650">
        <v>8.8610820598377896E-2</v>
      </c>
      <c r="AL2650">
        <v>68.868086349876606</v>
      </c>
      <c r="AM2650">
        <v>97.507491929967102</v>
      </c>
      <c r="AN2650">
        <v>0.99999998403676404</v>
      </c>
    </row>
    <row r="2651" spans="1:40" x14ac:dyDescent="0.25">
      <c r="A2651" t="str">
        <f>"20190304164653794"</f>
        <v>20190304164653794</v>
      </c>
      <c r="B2651" t="str">
        <f>"1551689213781366"</f>
        <v>1551689213781366</v>
      </c>
      <c r="C2651" t="s">
        <v>40</v>
      </c>
      <c r="D2651">
        <v>4.5153400000000001</v>
      </c>
      <c r="E2651">
        <v>0.54894009999999904</v>
      </c>
      <c r="F2651" t="s">
        <v>41</v>
      </c>
      <c r="G2651">
        <v>-416.0675</v>
      </c>
      <c r="H2651">
        <v>1.028314</v>
      </c>
      <c r="I2651">
        <v>212.92519999999999</v>
      </c>
      <c r="J2651">
        <v>-416.43790000000001</v>
      </c>
      <c r="K2651">
        <v>1.110233</v>
      </c>
      <c r="L2651">
        <v>212.8999</v>
      </c>
      <c r="M2651">
        <v>0.99990900000000005</v>
      </c>
      <c r="N2651">
        <v>-7.8204329999999999E-3</v>
      </c>
      <c r="O2651">
        <v>1.100083E-2</v>
      </c>
      <c r="P2651">
        <v>0.92602439999999997</v>
      </c>
      <c r="Q2651">
        <v>0.35323579999999999</v>
      </c>
      <c r="R2651">
        <v>0.1330547</v>
      </c>
      <c r="S2651">
        <v>3.358978</v>
      </c>
      <c r="T2651">
        <v>-0.36374220000000002</v>
      </c>
      <c r="U2651">
        <v>0.132827799999999</v>
      </c>
      <c r="V2651">
        <v>-0.1231773</v>
      </c>
      <c r="W2651">
        <v>0.36036960000000001</v>
      </c>
      <c r="X2651">
        <v>0.92464109999999999</v>
      </c>
      <c r="Y2651">
        <v>-2.8395730000000001E-2</v>
      </c>
      <c r="Z2651">
        <v>5.4234300000000004E-4</v>
      </c>
      <c r="AA2651">
        <v>0.99959659999999995</v>
      </c>
      <c r="AB2651">
        <v>40</v>
      </c>
      <c r="AC2651">
        <v>0.37040000000001699</v>
      </c>
      <c r="AD2651">
        <v>-8.1919000000000006E-2</v>
      </c>
      <c r="AE2651">
        <v>2.5299999999987201E-2</v>
      </c>
      <c r="AF2651">
        <v>-2.0238310960951699E-2</v>
      </c>
      <c r="AG2651">
        <v>-8.1919000000000006E-2</v>
      </c>
      <c r="AH2651">
        <v>0.353447882298281</v>
      </c>
      <c r="AI2651">
        <v>103.028493796497</v>
      </c>
      <c r="AJ2651">
        <v>93.277159279555093</v>
      </c>
      <c r="AK2651">
        <v>0.36338095339834697</v>
      </c>
      <c r="AL2651">
        <v>68.877104505051605</v>
      </c>
      <c r="AM2651">
        <v>97.588056938203593</v>
      </c>
      <c r="AN2651">
        <v>1.0000000298243199</v>
      </c>
    </row>
    <row r="2652" spans="1:40" x14ac:dyDescent="0.25">
      <c r="A2652" t="str">
        <f>"20190304164653816"</f>
        <v>20190304164653816</v>
      </c>
      <c r="B2652" t="str">
        <f>"1551689213811623"</f>
        <v>1551689213811623</v>
      </c>
      <c r="C2652" t="s">
        <v>40</v>
      </c>
      <c r="D2652">
        <v>4.4462419999999998</v>
      </c>
      <c r="E2652">
        <v>0.54892949999999996</v>
      </c>
      <c r="F2652" t="s">
        <v>41</v>
      </c>
      <c r="G2652">
        <v>-415.70699999999999</v>
      </c>
      <c r="H2652">
        <v>1.030877</v>
      </c>
      <c r="I2652">
        <v>212.93010000000001</v>
      </c>
      <c r="J2652">
        <v>-416.03960000000001</v>
      </c>
      <c r="K2652">
        <v>1.110228</v>
      </c>
      <c r="L2652">
        <v>212.90459999999999</v>
      </c>
      <c r="M2652">
        <v>0.99990520000000005</v>
      </c>
      <c r="N2652">
        <v>-7.8338130000000002E-3</v>
      </c>
      <c r="O2652">
        <v>1.1335329999999999E-2</v>
      </c>
      <c r="P2652">
        <v>0.92602629999999997</v>
      </c>
      <c r="Q2652">
        <v>0.3528675</v>
      </c>
      <c r="R2652">
        <v>0.13401640000000001</v>
      </c>
      <c r="S2652">
        <v>3.3587039999999999</v>
      </c>
      <c r="T2652">
        <v>-0.36478440000000001</v>
      </c>
      <c r="U2652">
        <v>0.13995360000000001</v>
      </c>
      <c r="V2652">
        <v>-0.123821</v>
      </c>
      <c r="W2652">
        <v>0.360016</v>
      </c>
      <c r="X2652">
        <v>0.92469279999999998</v>
      </c>
      <c r="Y2652">
        <v>-3.01716E-2</v>
      </c>
      <c r="Z2652">
        <v>6.1318750000000002E-4</v>
      </c>
      <c r="AA2652">
        <v>0.99954460000000001</v>
      </c>
      <c r="AB2652">
        <v>40</v>
      </c>
      <c r="AC2652">
        <v>0.332600000000013</v>
      </c>
      <c r="AD2652">
        <v>-7.9350999999999894E-2</v>
      </c>
      <c r="AE2652">
        <v>2.5500000000022199E-2</v>
      </c>
      <c r="AF2652">
        <v>-2.0564440230258399E-2</v>
      </c>
      <c r="AG2652">
        <v>-7.9350999999999894E-2</v>
      </c>
      <c r="AH2652">
        <v>0.31504055947044701</v>
      </c>
      <c r="AI2652">
        <v>104.10851340949399</v>
      </c>
      <c r="AJ2652">
        <v>93.734714114213801</v>
      </c>
      <c r="AK2652">
        <v>0.32553038493270697</v>
      </c>
      <c r="AL2652">
        <v>68.898820635908905</v>
      </c>
      <c r="AM2652">
        <v>97.626823564948694</v>
      </c>
      <c r="AN2652">
        <v>0.99999996733441898</v>
      </c>
    </row>
    <row r="2653" spans="1:40" x14ac:dyDescent="0.25">
      <c r="A2653" t="str">
        <f>"20190304164653840"</f>
        <v>20190304164653840</v>
      </c>
      <c r="B2653" t="str">
        <f>"1551689213831142"</f>
        <v>1551689213831142</v>
      </c>
      <c r="C2653" t="s">
        <v>40</v>
      </c>
      <c r="D2653">
        <v>4.4498129999999998</v>
      </c>
      <c r="E2653">
        <v>0.54896389999999995</v>
      </c>
      <c r="F2653" t="s">
        <v>41</v>
      </c>
      <c r="G2653">
        <v>-415.00709999999998</v>
      </c>
      <c r="H2653">
        <v>0.99757850000000003</v>
      </c>
      <c r="I2653">
        <v>212.94880000000001</v>
      </c>
      <c r="J2653">
        <v>-415.60669999999999</v>
      </c>
      <c r="K2653">
        <v>1.1102129999999999</v>
      </c>
      <c r="L2653">
        <v>212.90979999999999</v>
      </c>
      <c r="M2653">
        <v>0.99990089999999998</v>
      </c>
      <c r="N2653">
        <v>-7.8485759999999995E-3</v>
      </c>
      <c r="O2653">
        <v>1.1684E-2</v>
      </c>
      <c r="P2653">
        <v>0.92614980000000002</v>
      </c>
      <c r="Q2653">
        <v>0.35260399999999997</v>
      </c>
      <c r="R2653">
        <v>0.1338541</v>
      </c>
      <c r="S2653">
        <v>3.3585210000000001</v>
      </c>
      <c r="T2653">
        <v>-0.36641430000000003</v>
      </c>
      <c r="U2653">
        <v>0.14344789999999999</v>
      </c>
      <c r="V2653">
        <v>-0.12332559999999999</v>
      </c>
      <c r="W2653">
        <v>0.3597709</v>
      </c>
      <c r="X2653">
        <v>0.92485450000000002</v>
      </c>
      <c r="Y2653">
        <v>-3.0859689999999999E-2</v>
      </c>
      <c r="Z2653">
        <v>6.2034039999999996E-4</v>
      </c>
      <c r="AA2653">
        <v>0.99952350000000001</v>
      </c>
      <c r="AB2653">
        <v>40</v>
      </c>
      <c r="AC2653">
        <v>0.59960000000000901</v>
      </c>
      <c r="AD2653">
        <v>-0.112634499999999</v>
      </c>
      <c r="AE2653">
        <v>3.9000000000015599E-2</v>
      </c>
      <c r="AF2653">
        <v>-3.0905417869582199E-2</v>
      </c>
      <c r="AG2653">
        <v>-0.112634499999999</v>
      </c>
      <c r="AH2653">
        <v>0.57964670519292805</v>
      </c>
      <c r="AI2653">
        <v>100.981219620947</v>
      </c>
      <c r="AJ2653">
        <v>93.051988220406699</v>
      </c>
      <c r="AK2653">
        <v>0.591296861386022</v>
      </c>
      <c r="AL2653">
        <v>68.913874781013106</v>
      </c>
      <c r="AM2653">
        <v>97.595353505893797</v>
      </c>
      <c r="AN2653">
        <v>1.0000000751361999</v>
      </c>
    </row>
    <row r="2654" spans="1:40" x14ac:dyDescent="0.25">
      <c r="A2654" t="str">
        <f>"20190304164653863"</f>
        <v>20190304164653863</v>
      </c>
      <c r="B2654" t="str">
        <f>"1551689213851638"</f>
        <v>1551689213851638</v>
      </c>
      <c r="C2654" t="s">
        <v>40</v>
      </c>
      <c r="D2654">
        <v>4.4793450000000004</v>
      </c>
      <c r="E2654">
        <v>0.54901</v>
      </c>
      <c r="F2654" t="s">
        <v>41</v>
      </c>
      <c r="G2654">
        <v>-414.64339999999999</v>
      </c>
      <c r="H2654">
        <v>1.004988</v>
      </c>
      <c r="I2654">
        <v>212.9502</v>
      </c>
      <c r="J2654">
        <v>-415.19839999999999</v>
      </c>
      <c r="K2654">
        <v>1.110204</v>
      </c>
      <c r="L2654">
        <v>212.91480000000001</v>
      </c>
      <c r="M2654">
        <v>0.99989709999999998</v>
      </c>
      <c r="N2654">
        <v>-7.8627460000000003E-3</v>
      </c>
      <c r="O2654">
        <v>1.2001619999999999E-2</v>
      </c>
      <c r="P2654">
        <v>0.92632320000000001</v>
      </c>
      <c r="Q2654">
        <v>0.35249340000000001</v>
      </c>
      <c r="R2654">
        <v>0.13294249999999999</v>
      </c>
      <c r="S2654">
        <v>3.3584290000000001</v>
      </c>
      <c r="T2654">
        <v>-0.36705539999999998</v>
      </c>
      <c r="U2654">
        <v>0.1421509</v>
      </c>
      <c r="V2654">
        <v>-0.1221103</v>
      </c>
      <c r="W2654">
        <v>0.35967789999999999</v>
      </c>
      <c r="X2654">
        <v>0.92505179999999998</v>
      </c>
      <c r="Y2654">
        <v>-3.0163590000000001E-2</v>
      </c>
      <c r="Z2654">
        <v>5.4869070000000003E-4</v>
      </c>
      <c r="AA2654">
        <v>0.99954480000000001</v>
      </c>
      <c r="AB2654">
        <v>40</v>
      </c>
      <c r="AC2654">
        <v>0.55500000000000604</v>
      </c>
      <c r="AD2654">
        <v>-0.105216</v>
      </c>
      <c r="AE2654">
        <v>3.5399999999981398E-2</v>
      </c>
      <c r="AF2654">
        <v>-2.7743292729179601E-2</v>
      </c>
      <c r="AG2654">
        <v>-0.105216</v>
      </c>
      <c r="AH2654">
        <v>0.53619224973606805</v>
      </c>
      <c r="AI2654">
        <v>101.087518662043</v>
      </c>
      <c r="AJ2654">
        <v>92.961917748506806</v>
      </c>
      <c r="AK2654">
        <v>0.54712176489743403</v>
      </c>
      <c r="AL2654">
        <v>68.919583362841493</v>
      </c>
      <c r="AM2654">
        <v>97.519781106271694</v>
      </c>
      <c r="AN2654">
        <v>0.99999997489886905</v>
      </c>
    </row>
    <row r="2655" spans="1:40" x14ac:dyDescent="0.25">
      <c r="A2655" t="str">
        <f>"20190304164653887"</f>
        <v>20190304164653887</v>
      </c>
      <c r="B2655" t="str">
        <f>"1551689213880918"</f>
        <v>1551689213880918</v>
      </c>
      <c r="C2655" t="s">
        <v>40</v>
      </c>
      <c r="D2655">
        <v>4.4805210000000004</v>
      </c>
      <c r="E2655">
        <v>0.54904869999999995</v>
      </c>
      <c r="F2655" t="s">
        <v>41</v>
      </c>
      <c r="G2655">
        <v>-414.28030000000001</v>
      </c>
      <c r="H2655">
        <v>1.0098720000000001</v>
      </c>
      <c r="I2655">
        <v>212.95249999999999</v>
      </c>
      <c r="J2655">
        <v>-414.7629</v>
      </c>
      <c r="K2655">
        <v>1.11019</v>
      </c>
      <c r="L2655">
        <v>212.9203</v>
      </c>
      <c r="M2655">
        <v>0.99989300000000003</v>
      </c>
      <c r="N2655">
        <v>-7.8780889999999996E-3</v>
      </c>
      <c r="O2655">
        <v>1.233124E-2</v>
      </c>
      <c r="P2655">
        <v>0.92659250000000004</v>
      </c>
      <c r="Q2655">
        <v>0.35231770000000001</v>
      </c>
      <c r="R2655">
        <v>0.13152440000000001</v>
      </c>
      <c r="S2655">
        <v>3.3584900000000002</v>
      </c>
      <c r="T2655">
        <v>-0.36704949999999997</v>
      </c>
      <c r="U2655">
        <v>0.1379242</v>
      </c>
      <c r="V2655">
        <v>-0.12037680000000001</v>
      </c>
      <c r="W2655">
        <v>0.35952250000000002</v>
      </c>
      <c r="X2655">
        <v>0.92533940000000003</v>
      </c>
      <c r="Y2655">
        <v>-2.8589219999999999E-2</v>
      </c>
      <c r="Z2655">
        <v>4.2382990000000001E-4</v>
      </c>
      <c r="AA2655">
        <v>0.99959120000000001</v>
      </c>
      <c r="AB2655">
        <v>40</v>
      </c>
      <c r="AC2655">
        <v>0.48259999999998998</v>
      </c>
      <c r="AD2655">
        <v>-0.100318</v>
      </c>
      <c r="AE2655">
        <v>3.2199999999988897E-2</v>
      </c>
      <c r="AF2655">
        <v>-2.5163804930478699E-2</v>
      </c>
      <c r="AG2655">
        <v>-0.100318</v>
      </c>
      <c r="AH2655">
        <v>0.46304110723765302</v>
      </c>
      <c r="AI2655">
        <v>102.20675679473401</v>
      </c>
      <c r="AJ2655">
        <v>93.110658968971094</v>
      </c>
      <c r="AK2655">
        <v>0.47445124638307201</v>
      </c>
      <c r="AL2655">
        <v>68.929126063052607</v>
      </c>
      <c r="AM2655">
        <v>97.411946303759095</v>
      </c>
      <c r="AN2655">
        <v>1.00000000358842</v>
      </c>
    </row>
    <row r="2656" spans="1:40" x14ac:dyDescent="0.25">
      <c r="A2656" t="str">
        <f>"20190304164653908"</f>
        <v>20190304164653908</v>
      </c>
      <c r="B2656" t="str">
        <f>"1551689213901415"</f>
        <v>1551689213901415</v>
      </c>
      <c r="C2656" t="s">
        <v>40</v>
      </c>
      <c r="D2656">
        <v>4.4676729999999996</v>
      </c>
      <c r="E2656">
        <v>0.54909339999999995</v>
      </c>
      <c r="F2656" t="s">
        <v>41</v>
      </c>
      <c r="G2656">
        <v>-413.91520000000003</v>
      </c>
      <c r="H2656">
        <v>1.0174650000000001</v>
      </c>
      <c r="I2656">
        <v>212.95310000000001</v>
      </c>
      <c r="J2656">
        <v>-414.38150000000002</v>
      </c>
      <c r="K2656">
        <v>1.110187</v>
      </c>
      <c r="L2656">
        <v>212.92519999999999</v>
      </c>
      <c r="M2656">
        <v>0.99988940000000004</v>
      </c>
      <c r="N2656">
        <v>-7.8916869999999997E-3</v>
      </c>
      <c r="O2656">
        <v>1.261428E-2</v>
      </c>
      <c r="P2656">
        <v>0.92665019999999998</v>
      </c>
      <c r="Q2656">
        <v>0.35270479999999998</v>
      </c>
      <c r="R2656">
        <v>0.1300732</v>
      </c>
      <c r="S2656">
        <v>3.3587340000000001</v>
      </c>
      <c r="T2656">
        <v>-0.36751790000000001</v>
      </c>
      <c r="U2656">
        <v>0.1314545</v>
      </c>
      <c r="V2656">
        <v>-0.1186595</v>
      </c>
      <c r="W2656">
        <v>0.35992479999999999</v>
      </c>
      <c r="X2656">
        <v>0.92540480000000003</v>
      </c>
      <c r="Y2656">
        <v>-2.6396030000000001E-2</v>
      </c>
      <c r="Z2656">
        <v>2.6754440000000001E-4</v>
      </c>
      <c r="AA2656">
        <v>0.99965159999999997</v>
      </c>
      <c r="AB2656">
        <v>40</v>
      </c>
      <c r="AC2656">
        <v>0.466299999999989</v>
      </c>
      <c r="AD2656">
        <v>-9.2721999999999902E-2</v>
      </c>
      <c r="AE2656">
        <v>2.7900000000016599E-2</v>
      </c>
      <c r="AF2656">
        <v>-2.11810511627008E-2</v>
      </c>
      <c r="AG2656">
        <v>-9.2721999999999902E-2</v>
      </c>
      <c r="AH2656">
        <v>0.448927645253967</v>
      </c>
      <c r="AI2656">
        <v>101.657224427987</v>
      </c>
      <c r="AJ2656">
        <v>92.701293928843995</v>
      </c>
      <c r="AK2656">
        <v>0.45889218438063201</v>
      </c>
      <c r="AL2656">
        <v>68.904421998433605</v>
      </c>
      <c r="AM2656">
        <v>97.306847375920199</v>
      </c>
      <c r="AN2656">
        <v>0.99999999122916405</v>
      </c>
    </row>
    <row r="2657" spans="1:40" x14ac:dyDescent="0.25">
      <c r="A2657" t="str">
        <f>"20190304164653928"</f>
        <v>20190304164653928</v>
      </c>
      <c r="B2657" t="str">
        <f>"1551689213920934"</f>
        <v>1551689213920934</v>
      </c>
      <c r="C2657" t="s">
        <v>40</v>
      </c>
      <c r="D2657">
        <v>4.4695519999999904</v>
      </c>
      <c r="E2657">
        <v>0.54918409999999995</v>
      </c>
      <c r="F2657" t="s">
        <v>41</v>
      </c>
      <c r="G2657">
        <v>-413.55180000000001</v>
      </c>
      <c r="H2657">
        <v>1.020197</v>
      </c>
      <c r="I2657">
        <v>212.95609999999999</v>
      </c>
      <c r="J2657">
        <v>-414.01389999999998</v>
      </c>
      <c r="K2657">
        <v>1.110193</v>
      </c>
      <c r="L2657">
        <v>212.93</v>
      </c>
      <c r="M2657">
        <v>0.99988589999999999</v>
      </c>
      <c r="N2657">
        <v>-7.9049080000000004E-3</v>
      </c>
      <c r="O2657">
        <v>1.288337E-2</v>
      </c>
      <c r="P2657">
        <v>0.92629640000000002</v>
      </c>
      <c r="Q2657">
        <v>0.35402699999999998</v>
      </c>
      <c r="R2657">
        <v>0.12899630000000001</v>
      </c>
      <c r="S2657">
        <v>3.3584290000000001</v>
      </c>
      <c r="T2657">
        <v>-0.3644154</v>
      </c>
      <c r="U2657">
        <v>0.1261139</v>
      </c>
      <c r="V2657">
        <v>-0.1173351</v>
      </c>
      <c r="W2657">
        <v>0.36125859999999999</v>
      </c>
      <c r="X2657">
        <v>0.92505389999999998</v>
      </c>
      <c r="Y2657">
        <v>-2.4557610000000001E-2</v>
      </c>
      <c r="Z2657">
        <v>1.3367049999999999E-4</v>
      </c>
      <c r="AA2657">
        <v>0.99969839999999999</v>
      </c>
      <c r="AB2657">
        <v>40</v>
      </c>
      <c r="AC2657">
        <v>0.46209999999996398</v>
      </c>
      <c r="AD2657">
        <v>-8.9995999999999896E-2</v>
      </c>
      <c r="AE2657">
        <v>2.6099999999985302E-2</v>
      </c>
      <c r="AF2657">
        <v>-1.9410363535036099E-2</v>
      </c>
      <c r="AG2657">
        <v>-8.9995999999999896E-2</v>
      </c>
      <c r="AH2657">
        <v>0.445552183827153</v>
      </c>
      <c r="AI2657">
        <v>101.408852488417</v>
      </c>
      <c r="AJ2657">
        <v>92.494498249981007</v>
      </c>
      <c r="AK2657">
        <v>0.454964603833867</v>
      </c>
      <c r="AL2657">
        <v>68.822489127877006</v>
      </c>
      <c r="AM2657">
        <v>97.228872065027502</v>
      </c>
      <c r="AN2657">
        <v>1.0000000098355899</v>
      </c>
    </row>
    <row r="2658" spans="1:40" x14ac:dyDescent="0.25">
      <c r="A2658" t="str">
        <f>"20190304164653951"</f>
        <v>20190304164653951</v>
      </c>
      <c r="B2658" t="str">
        <f>"1551689213941431"</f>
        <v>1551689213941431</v>
      </c>
      <c r="C2658" t="s">
        <v>40</v>
      </c>
      <c r="D2658">
        <v>4.4765280000000001</v>
      </c>
      <c r="E2658">
        <v>0.54922190000000004</v>
      </c>
      <c r="F2658" t="s">
        <v>41</v>
      </c>
      <c r="G2658">
        <v>-413.18799999999999</v>
      </c>
      <c r="H2658">
        <v>1.0222979999999999</v>
      </c>
      <c r="I2658">
        <v>212.95949999999999</v>
      </c>
      <c r="J2658">
        <v>-413.6028</v>
      </c>
      <c r="K2658">
        <v>1.1101780000000001</v>
      </c>
      <c r="L2658">
        <v>212.93549999999999</v>
      </c>
      <c r="M2658">
        <v>0.99988189999999999</v>
      </c>
      <c r="N2658">
        <v>-7.9197920000000002E-3</v>
      </c>
      <c r="O2658">
        <v>1.317808E-2</v>
      </c>
      <c r="P2658">
        <v>0.92622749999999998</v>
      </c>
      <c r="Q2658">
        <v>0.35435680000000003</v>
      </c>
      <c r="R2658">
        <v>0.12858559999999999</v>
      </c>
      <c r="S2658">
        <v>3.358368</v>
      </c>
      <c r="T2658">
        <v>-0.3576375</v>
      </c>
      <c r="U2658">
        <v>0.12214659999999999</v>
      </c>
      <c r="V2658">
        <v>-0.11664869999999999</v>
      </c>
      <c r="W2658">
        <v>0.36160360000000003</v>
      </c>
      <c r="X2658">
        <v>0.92500590000000005</v>
      </c>
      <c r="Y2658">
        <v>-2.309742E-2</v>
      </c>
      <c r="Z2658" s="1">
        <v>2.2988880000000001E-5</v>
      </c>
      <c r="AA2658">
        <v>0.99973319999999999</v>
      </c>
      <c r="AB2658">
        <v>41</v>
      </c>
      <c r="AC2658">
        <v>0.41479999999995598</v>
      </c>
      <c r="AD2658">
        <v>-8.7880000000000097E-2</v>
      </c>
      <c r="AE2658">
        <v>2.4000000000000899E-2</v>
      </c>
      <c r="AF2658">
        <v>-1.77379628220313E-2</v>
      </c>
      <c r="AG2658">
        <v>-8.7880000000000097E-2</v>
      </c>
      <c r="AH2658">
        <v>0.397306600147532</v>
      </c>
      <c r="AI2658">
        <v>102.460378885362</v>
      </c>
      <c r="AJ2658">
        <v>92.556302785834205</v>
      </c>
      <c r="AK2658">
        <v>0.40729604005669701</v>
      </c>
      <c r="AL2658">
        <v>68.801288682059507</v>
      </c>
      <c r="AM2658">
        <v>97.187396321668103</v>
      </c>
      <c r="AN2658">
        <v>0.99999999888973001</v>
      </c>
    </row>
    <row r="2659" spans="1:40" x14ac:dyDescent="0.25">
      <c r="A2659" t="str">
        <f>"20190304164653974"</f>
        <v>20190304164653974</v>
      </c>
      <c r="B2659" t="str">
        <f>"1551689213971686"</f>
        <v>1551689213971686</v>
      </c>
      <c r="C2659" t="s">
        <v>40</v>
      </c>
      <c r="D2659">
        <v>4.4757210000000001</v>
      </c>
      <c r="E2659">
        <v>0.5492821</v>
      </c>
      <c r="F2659" t="s">
        <v>41</v>
      </c>
      <c r="G2659">
        <v>-412.82100000000003</v>
      </c>
      <c r="H2659">
        <v>1.0276289999999999</v>
      </c>
      <c r="I2659">
        <v>212.96369999999999</v>
      </c>
      <c r="J2659">
        <v>-413.18090000000001</v>
      </c>
      <c r="K2659">
        <v>1.1101700000000001</v>
      </c>
      <c r="L2659">
        <v>212.94130000000001</v>
      </c>
      <c r="M2659">
        <v>0.99987789999999999</v>
      </c>
      <c r="N2659">
        <v>-7.9381920000000002E-3</v>
      </c>
      <c r="O2659">
        <v>1.3467969999999999E-2</v>
      </c>
      <c r="P2659">
        <v>0.92653470000000004</v>
      </c>
      <c r="Q2659">
        <v>0.35364109999999999</v>
      </c>
      <c r="R2659">
        <v>0.12834280000000001</v>
      </c>
      <c r="S2659">
        <v>3.3578800000000002</v>
      </c>
      <c r="T2659">
        <v>-0.35459980000000002</v>
      </c>
      <c r="U2659">
        <v>0.1206512</v>
      </c>
      <c r="V2659">
        <v>-0.11612509999999999</v>
      </c>
      <c r="W2659">
        <v>0.36091040000000002</v>
      </c>
      <c r="X2659">
        <v>0.92534240000000001</v>
      </c>
      <c r="Y2659">
        <v>-2.2374959999999999E-2</v>
      </c>
      <c r="Z2659" s="1">
        <v>-4.424644E-5</v>
      </c>
      <c r="AA2659">
        <v>0.99974969999999996</v>
      </c>
      <c r="AB2659">
        <v>41</v>
      </c>
      <c r="AC2659">
        <v>0.35990000000003802</v>
      </c>
      <c r="AD2659">
        <v>-8.2540999999999906E-2</v>
      </c>
      <c r="AE2659">
        <v>2.2399999999976199E-2</v>
      </c>
      <c r="AF2659">
        <v>-1.6676894074441E-2</v>
      </c>
      <c r="AG2659">
        <v>-8.2540999999999906E-2</v>
      </c>
      <c r="AH2659">
        <v>0.342237246194739</v>
      </c>
      <c r="AI2659">
        <v>103.544200038452</v>
      </c>
      <c r="AJ2659">
        <v>92.789761883632394</v>
      </c>
      <c r="AK2659">
        <v>0.352444986004807</v>
      </c>
      <c r="AL2659">
        <v>68.843881705424394</v>
      </c>
      <c r="AM2659">
        <v>97.152894344150198</v>
      </c>
      <c r="AN2659">
        <v>0.99999995645796402</v>
      </c>
    </row>
    <row r="2660" spans="1:40" x14ac:dyDescent="0.25">
      <c r="A2660" t="str">
        <f>"20190304164653995"</f>
        <v>20190304164653995</v>
      </c>
      <c r="B2660" t="str">
        <f>"1551689213981449"</f>
        <v>1551689213981449</v>
      </c>
      <c r="C2660" t="s">
        <v>40</v>
      </c>
      <c r="D2660">
        <v>4.4573559999999999</v>
      </c>
      <c r="E2660">
        <v>0.54928359999999998</v>
      </c>
      <c r="F2660" t="s">
        <v>41</v>
      </c>
      <c r="G2660">
        <v>-412.10770000000002</v>
      </c>
      <c r="H2660">
        <v>0.99679280000000003</v>
      </c>
      <c r="I2660">
        <v>212.97919999999999</v>
      </c>
      <c r="J2660">
        <v>-412.81299999999999</v>
      </c>
      <c r="K2660">
        <v>1.110152</v>
      </c>
      <c r="L2660">
        <v>212.94649999999999</v>
      </c>
      <c r="M2660">
        <v>0.9998745</v>
      </c>
      <c r="N2660">
        <v>-7.9576300000000003E-3</v>
      </c>
      <c r="O2660">
        <v>1.3699630000000001E-2</v>
      </c>
      <c r="P2660">
        <v>0.92630480000000004</v>
      </c>
      <c r="Q2660">
        <v>0.35409380000000001</v>
      </c>
      <c r="R2660">
        <v>0.12875229999999999</v>
      </c>
      <c r="S2660">
        <v>3.3568120000000001</v>
      </c>
      <c r="T2660">
        <v>-0.35463359999999999</v>
      </c>
      <c r="U2660">
        <v>0.1186218</v>
      </c>
      <c r="V2660">
        <v>-0.1163105</v>
      </c>
      <c r="W2660">
        <v>0.36138360000000003</v>
      </c>
      <c r="X2660">
        <v>0.92513449999999997</v>
      </c>
      <c r="Y2660">
        <v>-2.1556970000000002E-2</v>
      </c>
      <c r="Z2660">
        <v>-1.127656E-4</v>
      </c>
      <c r="AA2660">
        <v>0.99976759999999998</v>
      </c>
      <c r="AB2660">
        <v>41</v>
      </c>
      <c r="AC2660">
        <v>0.70530000000002202</v>
      </c>
      <c r="AD2660">
        <v>-0.11335919999999999</v>
      </c>
      <c r="AE2660">
        <v>3.2700000000005502E-2</v>
      </c>
      <c r="AF2660">
        <v>-2.2455441143014999E-2</v>
      </c>
      <c r="AG2660">
        <v>-0.11335919999999999</v>
      </c>
      <c r="AH2660">
        <v>0.68794851511368704</v>
      </c>
      <c r="AI2660">
        <v>99.352143419517205</v>
      </c>
      <c r="AJ2660">
        <v>91.869537230448898</v>
      </c>
      <c r="AK2660">
        <v>0.69758706589836805</v>
      </c>
      <c r="AL2660">
        <v>68.814808936692401</v>
      </c>
      <c r="AM2660">
        <v>97.165788992528306</v>
      </c>
      <c r="AN2660">
        <v>1.0000000409247201</v>
      </c>
    </row>
    <row r="2661" spans="1:40" x14ac:dyDescent="0.25">
      <c r="A2661" t="str">
        <f>"20190304164654018"</f>
        <v>20190304164654018</v>
      </c>
      <c r="B2661" t="str">
        <f>"1551689214011702"</f>
        <v>1551689214011702</v>
      </c>
      <c r="C2661" t="s">
        <v>40</v>
      </c>
      <c r="D2661">
        <v>4.5134670000000003</v>
      </c>
      <c r="E2661">
        <v>0.54931940000000001</v>
      </c>
      <c r="F2661" t="s">
        <v>41</v>
      </c>
      <c r="G2661">
        <v>-411.74189999999999</v>
      </c>
      <c r="H2661">
        <v>0.9976275</v>
      </c>
      <c r="I2661">
        <v>212.98509999999999</v>
      </c>
      <c r="J2661">
        <v>-412.39359999999999</v>
      </c>
      <c r="K2661">
        <v>1.110131</v>
      </c>
      <c r="L2661">
        <v>212.95240000000001</v>
      </c>
      <c r="M2661">
        <v>0.99987099999999995</v>
      </c>
      <c r="N2661">
        <v>-7.9820029999999997E-3</v>
      </c>
      <c r="O2661">
        <v>1.393693E-2</v>
      </c>
      <c r="P2661">
        <v>0.92626070000000005</v>
      </c>
      <c r="Q2661">
        <v>0.35384919999999997</v>
      </c>
      <c r="R2661">
        <v>0.1297382</v>
      </c>
      <c r="S2661">
        <v>3.356598</v>
      </c>
      <c r="T2661">
        <v>-0.35276960000000002</v>
      </c>
      <c r="U2661">
        <v>0.1220856</v>
      </c>
      <c r="V2661">
        <v>-0.1170568</v>
      </c>
      <c r="W2661">
        <v>0.36116740000000003</v>
      </c>
      <c r="X2661">
        <v>0.92512479999999997</v>
      </c>
      <c r="Y2661">
        <v>-2.234922E-2</v>
      </c>
      <c r="Z2661" s="1">
        <v>-8.8864589999999995E-5</v>
      </c>
      <c r="AA2661">
        <v>0.99975020000000003</v>
      </c>
      <c r="AB2661">
        <v>41</v>
      </c>
      <c r="AC2661">
        <v>0.65170000000000505</v>
      </c>
      <c r="AD2661">
        <v>-0.11250349999999899</v>
      </c>
      <c r="AE2661">
        <v>3.2699999999976997E-2</v>
      </c>
      <c r="AF2661">
        <v>-2.2932143437374899E-2</v>
      </c>
      <c r="AG2661">
        <v>-0.11250349999999899</v>
      </c>
      <c r="AH2661">
        <v>0.63326758858909604</v>
      </c>
      <c r="AI2661">
        <v>100.067345531716</v>
      </c>
      <c r="AJ2661">
        <v>92.073911850533406</v>
      </c>
      <c r="AK2661">
        <v>0.64359207536477003</v>
      </c>
      <c r="AL2661">
        <v>68.828093525897799</v>
      </c>
      <c r="AM2661">
        <v>97.211360191146099</v>
      </c>
      <c r="AN2661">
        <v>1.00000004041201</v>
      </c>
    </row>
    <row r="2662" spans="1:40" x14ac:dyDescent="0.25">
      <c r="A2662" t="str">
        <f>"20190304164654041"</f>
        <v>20190304164654041</v>
      </c>
      <c r="B2662" t="str">
        <f>"1551689214031222"</f>
        <v>1551689214031222</v>
      </c>
      <c r="C2662" t="s">
        <v>40</v>
      </c>
      <c r="D2662">
        <v>5.2163529999999998</v>
      </c>
      <c r="E2662">
        <v>0.54931790000000003</v>
      </c>
      <c r="F2662" t="s">
        <v>41</v>
      </c>
      <c r="G2662">
        <v>-411.3732</v>
      </c>
      <c r="H2662">
        <v>1.003393</v>
      </c>
      <c r="I2662">
        <v>212.9898</v>
      </c>
      <c r="J2662">
        <v>-411.95589999999999</v>
      </c>
      <c r="K2662">
        <v>1.1101000000000001</v>
      </c>
      <c r="L2662">
        <v>212.95859999999999</v>
      </c>
      <c r="M2662">
        <v>0.99986790000000003</v>
      </c>
      <c r="N2662">
        <v>-8.0136340000000004E-3</v>
      </c>
      <c r="O2662">
        <v>1.4139759999999999E-2</v>
      </c>
      <c r="P2662">
        <v>0.92627599999999999</v>
      </c>
      <c r="Q2662">
        <v>0.3533886</v>
      </c>
      <c r="R2662">
        <v>0.13087869999999999</v>
      </c>
      <c r="S2662">
        <v>3.3556520000000001</v>
      </c>
      <c r="T2662">
        <v>-0.35107769999999999</v>
      </c>
      <c r="U2662">
        <v>0.1235199</v>
      </c>
      <c r="V2662">
        <v>-0.1179799</v>
      </c>
      <c r="W2662">
        <v>0.36074499999999998</v>
      </c>
      <c r="X2662">
        <v>0.92517229999999995</v>
      </c>
      <c r="Y2662">
        <v>-2.25834E-2</v>
      </c>
      <c r="Z2662" s="1">
        <v>-9.3144020000000003E-5</v>
      </c>
      <c r="AA2662">
        <v>0.99974499999999999</v>
      </c>
      <c r="AB2662">
        <v>41</v>
      </c>
      <c r="AC2662">
        <v>0.58269999999998801</v>
      </c>
      <c r="AD2662">
        <v>-0.106707</v>
      </c>
      <c r="AE2662">
        <v>3.1200000000012499E-2</v>
      </c>
      <c r="AF2662">
        <v>-2.2214546997068398E-2</v>
      </c>
      <c r="AG2662">
        <v>-0.106707</v>
      </c>
      <c r="AH2662">
        <v>0.56421612978311497</v>
      </c>
      <c r="AI2662">
        <v>100.701435787779</v>
      </c>
      <c r="AJ2662">
        <v>92.254708148723907</v>
      </c>
      <c r="AK2662">
        <v>0.57464746676090195</v>
      </c>
      <c r="AL2662">
        <v>68.854043893015998</v>
      </c>
      <c r="AM2662">
        <v>97.267253538139997</v>
      </c>
      <c r="AN2662">
        <v>0.99999999825815</v>
      </c>
    </row>
    <row r="2663" spans="1:40" x14ac:dyDescent="0.25">
      <c r="A2663" t="str">
        <f>"20190304164654085"</f>
        <v>20190304164654085</v>
      </c>
      <c r="B2663" t="str">
        <f>"1551689214071238"</f>
        <v>1551689214071238</v>
      </c>
      <c r="C2663" t="s">
        <v>40</v>
      </c>
      <c r="D2663">
        <v>4.5288000000000004</v>
      </c>
      <c r="E2663">
        <v>0.54834280000000002</v>
      </c>
      <c r="F2663" t="s">
        <v>41</v>
      </c>
      <c r="G2663">
        <v>-411.0034</v>
      </c>
      <c r="H2663">
        <v>1.01031</v>
      </c>
      <c r="I2663">
        <v>212.994</v>
      </c>
      <c r="J2663">
        <v>-411.15719999999999</v>
      </c>
      <c r="K2663">
        <v>1.1100270000000001</v>
      </c>
      <c r="L2663">
        <v>212.97020000000001</v>
      </c>
      <c r="M2663">
        <v>0.99986399999999998</v>
      </c>
      <c r="N2663">
        <v>-8.1056210000000004E-3</v>
      </c>
      <c r="O2663">
        <v>1.4365279999999999E-2</v>
      </c>
      <c r="P2663">
        <v>0.92641980000000002</v>
      </c>
      <c r="Q2663">
        <v>0.35176370000000001</v>
      </c>
      <c r="R2663">
        <v>0.13419639999999999</v>
      </c>
      <c r="S2663">
        <v>3.3551639999999998</v>
      </c>
      <c r="T2663">
        <v>-0.35167150000000003</v>
      </c>
      <c r="U2663">
        <v>0.1257935</v>
      </c>
      <c r="V2663">
        <v>-0.1210145</v>
      </c>
      <c r="W2663">
        <v>0.35922880000000001</v>
      </c>
      <c r="X2663">
        <v>0.92537029999999998</v>
      </c>
      <c r="Y2663">
        <v>-2.3037700000000001E-2</v>
      </c>
      <c r="Z2663" s="1">
        <v>-8.7496129999999999E-5</v>
      </c>
      <c r="AA2663">
        <v>0.99973460000000003</v>
      </c>
      <c r="AB2663">
        <v>41</v>
      </c>
      <c r="AC2663">
        <v>0.153799999999989</v>
      </c>
      <c r="AD2663">
        <v>-9.9717E-2</v>
      </c>
      <c r="AE2663">
        <v>2.3800000000022602E-2</v>
      </c>
      <c r="AF2663">
        <v>-1.5304913401259401E-2</v>
      </c>
      <c r="AG2663">
        <v>-9.9717E-2</v>
      </c>
      <c r="AH2663">
        <v>0.1092679084518</v>
      </c>
      <c r="AI2663">
        <v>132.10630895374501</v>
      </c>
      <c r="AJ2663">
        <v>97.973419233402495</v>
      </c>
      <c r="AK2663">
        <v>0.14871851357733201</v>
      </c>
      <c r="AL2663">
        <v>68.947158803416301</v>
      </c>
      <c r="AM2663">
        <v>97.450525303169201</v>
      </c>
      <c r="AN2663">
        <v>1.00000001604088</v>
      </c>
    </row>
    <row r="2664" spans="1:40" x14ac:dyDescent="0.25">
      <c r="A2664" t="str">
        <f>"20190304164654107"</f>
        <v>20190304164654107</v>
      </c>
      <c r="B2664" t="str">
        <f>"1551689214101494"</f>
        <v>1551689214101494</v>
      </c>
      <c r="C2664" t="s">
        <v>40</v>
      </c>
      <c r="D2664">
        <v>4.5744309999999997</v>
      </c>
      <c r="E2664">
        <v>0.54880109999999904</v>
      </c>
      <c r="F2664" t="s">
        <v>41</v>
      </c>
      <c r="G2664">
        <v>-410.25459999999998</v>
      </c>
      <c r="H2664">
        <v>1.031617</v>
      </c>
      <c r="I2664">
        <v>213.00710000000001</v>
      </c>
      <c r="J2664">
        <v>-410.74340000000001</v>
      </c>
      <c r="K2664">
        <v>1.109982</v>
      </c>
      <c r="L2664">
        <v>212.9761</v>
      </c>
      <c r="M2664">
        <v>0.99986299999999995</v>
      </c>
      <c r="N2664">
        <v>-8.1706529999999999E-3</v>
      </c>
      <c r="O2664">
        <v>1.4398899999999999E-2</v>
      </c>
      <c r="P2664">
        <v>0.92637130000000001</v>
      </c>
      <c r="Q2664">
        <v>0.35149720000000001</v>
      </c>
      <c r="R2664">
        <v>0.13522600000000001</v>
      </c>
      <c r="S2664">
        <v>3.3281860000000001</v>
      </c>
      <c r="T2664">
        <v>-0.28922769999999998</v>
      </c>
      <c r="U2664">
        <v>0.13748170000000001</v>
      </c>
      <c r="V2664">
        <v>-0.121971</v>
      </c>
      <c r="W2664">
        <v>0.35903620000000003</v>
      </c>
      <c r="X2664">
        <v>0.92531940000000001</v>
      </c>
      <c r="Y2664">
        <v>-2.6815760000000001E-2</v>
      </c>
      <c r="Z2664">
        <v>1.414381E-4</v>
      </c>
      <c r="AA2664">
        <v>0.99964039999999998</v>
      </c>
      <c r="AB2664">
        <v>41</v>
      </c>
      <c r="AC2664">
        <v>0.48880000000002599</v>
      </c>
      <c r="AD2664">
        <v>-7.8365000000000004E-2</v>
      </c>
      <c r="AE2664">
        <v>3.1000000000005901E-2</v>
      </c>
      <c r="AF2664">
        <v>-2.3360346190797399E-2</v>
      </c>
      <c r="AG2664">
        <v>-7.8365000000000004E-2</v>
      </c>
      <c r="AH2664">
        <v>0.47698492860765501</v>
      </c>
      <c r="AI2664">
        <v>99.318939787840193</v>
      </c>
      <c r="AJ2664">
        <v>92.803821647763797</v>
      </c>
      <c r="AK2664">
        <v>0.48394359290934202</v>
      </c>
      <c r="AL2664">
        <v>68.958981440883505</v>
      </c>
      <c r="AM2664">
        <v>97.509153300048197</v>
      </c>
      <c r="AN2664">
        <v>0.99999995488389903</v>
      </c>
    </row>
    <row r="2665" spans="1:40" x14ac:dyDescent="0.25">
      <c r="A2665" t="str">
        <f>"20190304164654130"</f>
        <v>20190304164654130</v>
      </c>
      <c r="B2665" t="str">
        <f>"1551689214121015"</f>
        <v>1551689214121015</v>
      </c>
      <c r="C2665" t="s">
        <v>40</v>
      </c>
      <c r="D2665">
        <v>4.5661310000000004</v>
      </c>
      <c r="E2665">
        <v>0.54825979999999996</v>
      </c>
      <c r="F2665" t="s">
        <v>41</v>
      </c>
      <c r="G2665">
        <v>-409.887</v>
      </c>
      <c r="H2665">
        <v>1.030951</v>
      </c>
      <c r="I2665">
        <v>213.01179999999999</v>
      </c>
      <c r="J2665">
        <v>-410.30759999999998</v>
      </c>
      <c r="K2665">
        <v>1.109936</v>
      </c>
      <c r="L2665">
        <v>212.98240000000001</v>
      </c>
      <c r="M2665">
        <v>0.99986299999999995</v>
      </c>
      <c r="N2665">
        <v>-8.2487499999999991E-3</v>
      </c>
      <c r="O2665">
        <v>1.4358660000000001E-2</v>
      </c>
      <c r="P2665">
        <v>0.92663430000000002</v>
      </c>
      <c r="Q2665">
        <v>0.35044819999999999</v>
      </c>
      <c r="R2665">
        <v>0.13614389999999901</v>
      </c>
      <c r="S2665">
        <v>3.3348390000000001</v>
      </c>
      <c r="T2665">
        <v>-0.3076776</v>
      </c>
      <c r="U2665">
        <v>0.13940429999999901</v>
      </c>
      <c r="V2665">
        <v>-0.12286999999999999</v>
      </c>
      <c r="W2665">
        <v>0.3580796</v>
      </c>
      <c r="X2665">
        <v>0.92557109999999998</v>
      </c>
      <c r="Y2665">
        <v>-2.733915E-2</v>
      </c>
      <c r="Z2665">
        <v>1.67962599999999E-4</v>
      </c>
      <c r="AA2665">
        <v>0.99962620000000002</v>
      </c>
      <c r="AB2665">
        <v>41</v>
      </c>
      <c r="AC2665">
        <v>0.420600000000035</v>
      </c>
      <c r="AD2665">
        <v>-7.8985E-2</v>
      </c>
      <c r="AE2665">
        <v>2.9399999999981202E-2</v>
      </c>
      <c r="AF2665">
        <v>-2.25655929615039E-2</v>
      </c>
      <c r="AG2665">
        <v>-7.8985E-2</v>
      </c>
      <c r="AH2665">
        <v>0.40670582785277898</v>
      </c>
      <c r="AI2665">
        <v>100.973947484042</v>
      </c>
      <c r="AJ2665">
        <v>93.175732607858706</v>
      </c>
      <c r="AK2665">
        <v>0.41491862650418398</v>
      </c>
      <c r="AL2665">
        <v>69.017694444081897</v>
      </c>
      <c r="AM2665">
        <v>97.561828675507797</v>
      </c>
      <c r="AN2665">
        <v>0.99999994899568301</v>
      </c>
    </row>
    <row r="2666" spans="1:40" x14ac:dyDescent="0.25">
      <c r="A2666" t="str">
        <f>"20190304164654152"</f>
        <v>20190304164654152</v>
      </c>
      <c r="B2666" t="str">
        <f>"1551689214141510"</f>
        <v>1551689214141510</v>
      </c>
      <c r="C2666" t="s">
        <v>40</v>
      </c>
      <c r="D2666">
        <v>4.5692399999999997</v>
      </c>
      <c r="E2666">
        <v>0.54838350000000002</v>
      </c>
      <c r="F2666" t="s">
        <v>49</v>
      </c>
      <c r="G2666">
        <v>-398.2296</v>
      </c>
      <c r="H2666" s="1">
        <v>2.842596E-6</v>
      </c>
      <c r="I2666">
        <v>213.52279999999999</v>
      </c>
      <c r="J2666">
        <v>-409.92520000000002</v>
      </c>
      <c r="K2666">
        <v>1.1098870000000001</v>
      </c>
      <c r="L2666">
        <v>212.98769999999999</v>
      </c>
      <c r="M2666">
        <v>0.99986390000000003</v>
      </c>
      <c r="N2666">
        <v>-8.3254390000000005E-3</v>
      </c>
      <c r="O2666">
        <v>1.4246389999999999E-2</v>
      </c>
      <c r="P2666">
        <v>0.92677719999999997</v>
      </c>
      <c r="Q2666">
        <v>0.34996650000000001</v>
      </c>
      <c r="R2666">
        <v>0.13641020000000001</v>
      </c>
      <c r="S2666">
        <v>3.3313899999999999</v>
      </c>
      <c r="T2666">
        <v>-0.30614609999999998</v>
      </c>
      <c r="U2666">
        <v>0.1490631</v>
      </c>
      <c r="V2666">
        <v>-0.1231855</v>
      </c>
      <c r="W2666">
        <v>0.35768820000000001</v>
      </c>
      <c r="X2666">
        <v>0.92568059999999996</v>
      </c>
      <c r="Y2666">
        <v>-3.0373299999999999E-2</v>
      </c>
      <c r="Z2666">
        <v>3.3144689999999998E-4</v>
      </c>
      <c r="AA2666">
        <v>0.9995385</v>
      </c>
      <c r="AB2666">
        <v>41</v>
      </c>
      <c r="AC2666">
        <v>11.695600000000001</v>
      </c>
      <c r="AD2666">
        <v>-1.1098841574039999</v>
      </c>
      <c r="AE2666">
        <v>0.53509999999999902</v>
      </c>
      <c r="AF2666">
        <v>-0.36513844156959702</v>
      </c>
      <c r="AG2666">
        <v>-1.1098841574039999</v>
      </c>
      <c r="AH2666">
        <v>11.5978100016862</v>
      </c>
      <c r="AI2666">
        <v>95.463738862445794</v>
      </c>
      <c r="AJ2666">
        <v>91.803270052962304</v>
      </c>
      <c r="AK2666">
        <v>11.656516021504</v>
      </c>
      <c r="AL2666">
        <v>69.041712800957399</v>
      </c>
      <c r="AM2666">
        <v>97.580133709957295</v>
      </c>
      <c r="AN2666">
        <v>1.00000004452292</v>
      </c>
    </row>
    <row r="2667" spans="1:40" x14ac:dyDescent="0.25">
      <c r="A2667" t="str">
        <f>"20190304164654174"</f>
        <v>20190304164654174</v>
      </c>
      <c r="B2667" t="str">
        <f>"1551689214170791"</f>
        <v>1551689214170791</v>
      </c>
      <c r="C2667" t="s">
        <v>40</v>
      </c>
      <c r="D2667">
        <v>4.5838390000000002</v>
      </c>
      <c r="E2667">
        <v>0.54871719999999902</v>
      </c>
      <c r="F2667" t="s">
        <v>49</v>
      </c>
      <c r="G2667">
        <v>-398.23039999999997</v>
      </c>
      <c r="H2667" s="1">
        <v>2.843001E-6</v>
      </c>
      <c r="I2667">
        <v>213.52449999999999</v>
      </c>
      <c r="J2667">
        <v>-409.50529999999998</v>
      </c>
      <c r="K2667">
        <v>1.1098330000000001</v>
      </c>
      <c r="L2667">
        <v>212.99359999999999</v>
      </c>
      <c r="M2667">
        <v>0.99986580000000003</v>
      </c>
      <c r="N2667">
        <v>-8.4227809999999903E-3</v>
      </c>
      <c r="O2667">
        <v>1.4054280000000001E-2</v>
      </c>
      <c r="P2667">
        <v>0.92691590000000001</v>
      </c>
      <c r="Q2667">
        <v>0.35003699999999999</v>
      </c>
      <c r="R2667">
        <v>0.13528189999999901</v>
      </c>
      <c r="S2667">
        <v>3.3339840000000001</v>
      </c>
      <c r="T2667">
        <v>-0.31640679999999999</v>
      </c>
      <c r="U2667">
        <v>0.15303039999999901</v>
      </c>
      <c r="V2667">
        <v>-0.122173</v>
      </c>
      <c r="W2667">
        <v>0.35787029999999997</v>
      </c>
      <c r="X2667">
        <v>0.92574440000000002</v>
      </c>
      <c r="Y2667">
        <v>-3.1704839999999998E-2</v>
      </c>
      <c r="Z2667">
        <v>4.223249E-4</v>
      </c>
      <c r="AA2667">
        <v>0.99949719999999997</v>
      </c>
      <c r="AB2667">
        <v>41</v>
      </c>
      <c r="AC2667">
        <v>11.274900000000001</v>
      </c>
      <c r="AD2667">
        <v>-1.1098301569989999</v>
      </c>
      <c r="AE2667">
        <v>0.53090000000000204</v>
      </c>
      <c r="AF2667">
        <v>-0.36881572376306998</v>
      </c>
      <c r="AG2667">
        <v>-1.1098301569989999</v>
      </c>
      <c r="AH2667">
        <v>11.173227950566201</v>
      </c>
      <c r="AI2667">
        <v>95.669481421581196</v>
      </c>
      <c r="AJ2667">
        <v>91.890582972392906</v>
      </c>
      <c r="AK2667">
        <v>11.2342677042517</v>
      </c>
      <c r="AL2667">
        <v>69.030539631424006</v>
      </c>
      <c r="AM2667">
        <v>97.518033663731401</v>
      </c>
      <c r="AN2667">
        <v>1.00000004384122</v>
      </c>
    </row>
    <row r="2668" spans="1:40" x14ac:dyDescent="0.25">
      <c r="A2668" t="str">
        <f>"20190304164654197"</f>
        <v>20190304164654197</v>
      </c>
      <c r="B2668" t="str">
        <f>"1551689214191286"</f>
        <v>1551689214191286</v>
      </c>
      <c r="C2668" t="s">
        <v>40</v>
      </c>
      <c r="D2668">
        <v>4.5391810000000001</v>
      </c>
      <c r="E2668">
        <v>0.54874940000000005</v>
      </c>
      <c r="F2668" t="s">
        <v>41</v>
      </c>
      <c r="G2668">
        <v>-408.42380000000003</v>
      </c>
      <c r="H2668">
        <v>1.005625</v>
      </c>
      <c r="I2668">
        <v>213.04220000000001</v>
      </c>
      <c r="J2668">
        <v>-409.09809999999999</v>
      </c>
      <c r="K2668">
        <v>1.109788</v>
      </c>
      <c r="L2668">
        <v>212.9991</v>
      </c>
      <c r="M2668">
        <v>0.99986830000000004</v>
      </c>
      <c r="N2668">
        <v>-8.5300380000000002E-3</v>
      </c>
      <c r="O2668">
        <v>1.3810080000000001E-2</v>
      </c>
      <c r="P2668">
        <v>0.92698959999999997</v>
      </c>
      <c r="Q2668">
        <v>0.35083799999999998</v>
      </c>
      <c r="R2668">
        <v>0.1326764</v>
      </c>
      <c r="S2668">
        <v>3.3359990000000002</v>
      </c>
      <c r="T2668">
        <v>-0.32158799999999998</v>
      </c>
      <c r="U2668">
        <v>0.1507416</v>
      </c>
      <c r="V2668">
        <v>-0.11973930000000001</v>
      </c>
      <c r="W2668">
        <v>0.3587883</v>
      </c>
      <c r="X2668">
        <v>0.92570699999999995</v>
      </c>
      <c r="Y2668">
        <v>-3.1235200000000001E-2</v>
      </c>
      <c r="Z2668">
        <v>4.2501790000000001E-4</v>
      </c>
      <c r="AA2668">
        <v>0.99951199999999996</v>
      </c>
      <c r="AB2668">
        <v>41</v>
      </c>
      <c r="AC2668">
        <v>0.67429999999995904</v>
      </c>
      <c r="AD2668">
        <v>-0.10416300000000001</v>
      </c>
      <c r="AE2668">
        <v>4.3100000000009603E-2</v>
      </c>
      <c r="AF2668">
        <v>-3.2999167151839502E-2</v>
      </c>
      <c r="AG2668">
        <v>-0.10416300000000001</v>
      </c>
      <c r="AH2668">
        <v>0.659165424409342</v>
      </c>
      <c r="AI2668">
        <v>98.968722595173304</v>
      </c>
      <c r="AJ2668">
        <v>92.865951094330001</v>
      </c>
      <c r="AK2668">
        <v>0.668160109807869</v>
      </c>
      <c r="AL2668">
        <v>68.974199918761599</v>
      </c>
      <c r="AM2668">
        <v>97.370230952070301</v>
      </c>
      <c r="AN2668">
        <v>0.99999999701518905</v>
      </c>
    </row>
    <row r="2669" spans="1:40" x14ac:dyDescent="0.25">
      <c r="A2669" t="str">
        <f>"20190304164654219"</f>
        <v>20190304164654219</v>
      </c>
      <c r="B2669" t="str">
        <f>"1551689214211783"</f>
        <v>1551689214211783</v>
      </c>
      <c r="C2669" t="s">
        <v>40</v>
      </c>
      <c r="D2669">
        <v>4.6139720000000004</v>
      </c>
      <c r="E2669">
        <v>0.54888349999999997</v>
      </c>
      <c r="F2669" t="s">
        <v>41</v>
      </c>
      <c r="G2669">
        <v>-408.05160000000001</v>
      </c>
      <c r="H2669">
        <v>1.008964</v>
      </c>
      <c r="I2669">
        <v>213.0444</v>
      </c>
      <c r="J2669">
        <v>-408.6696</v>
      </c>
      <c r="K2669">
        <v>1.109756</v>
      </c>
      <c r="L2669">
        <v>213.00470000000001</v>
      </c>
      <c r="M2669">
        <v>0.99987139999999997</v>
      </c>
      <c r="N2669">
        <v>-8.6468420000000001E-3</v>
      </c>
      <c r="O2669">
        <v>1.3510940000000001E-2</v>
      </c>
      <c r="P2669">
        <v>0.92704070000000005</v>
      </c>
      <c r="Q2669">
        <v>0.35188789999999998</v>
      </c>
      <c r="R2669">
        <v>0.12950039999999999</v>
      </c>
      <c r="S2669">
        <v>3.3372190000000002</v>
      </c>
      <c r="T2669">
        <v>-0.32159130000000002</v>
      </c>
      <c r="U2669">
        <v>0.1450958</v>
      </c>
      <c r="V2669">
        <v>-0.1167931</v>
      </c>
      <c r="W2669">
        <v>0.35996040000000001</v>
      </c>
      <c r="X2669">
        <v>0.92562840000000002</v>
      </c>
      <c r="Y2669">
        <v>-2.9835730000000001E-2</v>
      </c>
      <c r="Z2669">
        <v>3.8124619999999998E-4</v>
      </c>
      <c r="AA2669">
        <v>0.99955479999999997</v>
      </c>
      <c r="AB2669">
        <v>41</v>
      </c>
      <c r="AC2669">
        <v>0.617999999999995</v>
      </c>
      <c r="AD2669">
        <v>-0.10079200000000001</v>
      </c>
      <c r="AE2669">
        <v>3.9699999999982E-2</v>
      </c>
      <c r="AF2669">
        <v>-3.0537360075987199E-2</v>
      </c>
      <c r="AG2669">
        <v>-0.10079200000000001</v>
      </c>
      <c r="AH2669">
        <v>0.602519087725085</v>
      </c>
      <c r="AI2669">
        <v>99.484799010499998</v>
      </c>
      <c r="AJ2669">
        <v>92.901428425954407</v>
      </c>
      <c r="AK2669">
        <v>0.61165415775377396</v>
      </c>
      <c r="AL2669">
        <v>68.902236508986803</v>
      </c>
      <c r="AM2669">
        <v>97.191411541698599</v>
      </c>
      <c r="AN2669">
        <v>1.0000000263311599</v>
      </c>
    </row>
    <row r="2670" spans="1:40" x14ac:dyDescent="0.25">
      <c r="A2670" t="str">
        <f>"20190304164654241"</f>
        <v>20190304164654241</v>
      </c>
      <c r="B2670" t="str">
        <f>"1551689214231302"</f>
        <v>1551689214231302</v>
      </c>
      <c r="C2670" t="s">
        <v>40</v>
      </c>
      <c r="D2670">
        <v>4.656002</v>
      </c>
      <c r="E2670">
        <v>0.54885719999999905</v>
      </c>
      <c r="F2670" t="s">
        <v>41</v>
      </c>
      <c r="G2670">
        <v>-407.678</v>
      </c>
      <c r="H2670">
        <v>1.0143519999999999</v>
      </c>
      <c r="I2670">
        <v>213.04509999999999</v>
      </c>
      <c r="J2670">
        <v>-408.2765</v>
      </c>
      <c r="K2670">
        <v>1.1097360000000001</v>
      </c>
      <c r="L2670">
        <v>213.00980000000001</v>
      </c>
      <c r="M2670">
        <v>0.9998745</v>
      </c>
      <c r="N2670">
        <v>-8.7574780000000008E-3</v>
      </c>
      <c r="O2670">
        <v>1.3210059999999999E-2</v>
      </c>
      <c r="P2670">
        <v>0.92722309999999997</v>
      </c>
      <c r="Q2670">
        <v>0.35255750000000002</v>
      </c>
      <c r="R2670">
        <v>0.1263358</v>
      </c>
      <c r="S2670">
        <v>3.3391109999999999</v>
      </c>
      <c r="T2670">
        <v>-0.32129380000000002</v>
      </c>
      <c r="U2670">
        <v>0.13618469999999999</v>
      </c>
      <c r="V2670">
        <v>-0.113870899999999</v>
      </c>
      <c r="W2670">
        <v>0.36074279999999997</v>
      </c>
      <c r="X2670">
        <v>0.92568790000000001</v>
      </c>
      <c r="Y2670">
        <v>-2.7459810000000001E-2</v>
      </c>
      <c r="Z2670">
        <v>2.8600009999999999E-4</v>
      </c>
      <c r="AA2670">
        <v>0.99962289999999998</v>
      </c>
      <c r="AB2670">
        <v>41</v>
      </c>
      <c r="AC2670">
        <v>0.59849999999994397</v>
      </c>
      <c r="AD2670">
        <v>-9.5383999999999899E-2</v>
      </c>
      <c r="AE2670">
        <v>3.5299999999978099E-2</v>
      </c>
      <c r="AF2670">
        <v>-2.67142244012607E-2</v>
      </c>
      <c r="AG2670">
        <v>-9.5383999999999899E-2</v>
      </c>
      <c r="AH2670">
        <v>0.58412903620938394</v>
      </c>
      <c r="AI2670">
        <v>99.264614404633505</v>
      </c>
      <c r="AJ2670">
        <v>92.618507962846493</v>
      </c>
      <c r="AK2670">
        <v>0.59246813263184395</v>
      </c>
      <c r="AL2670">
        <v>68.8541795018714</v>
      </c>
      <c r="AM2670">
        <v>97.0128483821603</v>
      </c>
      <c r="AN2670">
        <v>1.00000001891252</v>
      </c>
    </row>
    <row r="2671" spans="1:40" x14ac:dyDescent="0.25">
      <c r="A2671" t="str">
        <f>"20190304164654267"</f>
        <v>20190304164654267</v>
      </c>
      <c r="B2671" t="str">
        <f>"1551689214261558"</f>
        <v>1551689214261558</v>
      </c>
      <c r="C2671" t="s">
        <v>40</v>
      </c>
      <c r="D2671">
        <v>4.6124419999999997</v>
      </c>
      <c r="E2671">
        <v>0.5488847</v>
      </c>
      <c r="F2671" t="s">
        <v>41</v>
      </c>
      <c r="G2671">
        <v>-407.3057</v>
      </c>
      <c r="H2671">
        <v>1.0162500000000001</v>
      </c>
      <c r="I2671">
        <v>213.0461</v>
      </c>
      <c r="J2671">
        <v>-407.79410000000001</v>
      </c>
      <c r="K2671">
        <v>1.109712</v>
      </c>
      <c r="L2671">
        <v>213.01589999999999</v>
      </c>
      <c r="M2671">
        <v>0.9998783</v>
      </c>
      <c r="N2671">
        <v>-8.8992440000000006E-3</v>
      </c>
      <c r="O2671">
        <v>1.2816879999999999E-2</v>
      </c>
      <c r="P2671">
        <v>0.92688890000000002</v>
      </c>
      <c r="Q2671">
        <v>0.35406259999999901</v>
      </c>
      <c r="R2671">
        <v>0.1245663</v>
      </c>
      <c r="S2671">
        <v>3.340668</v>
      </c>
      <c r="T2671">
        <v>-0.3218049</v>
      </c>
      <c r="U2671">
        <v>0.12637329999999999</v>
      </c>
      <c r="V2671">
        <v>-0.112437</v>
      </c>
      <c r="W2671">
        <v>0.36238500000000001</v>
      </c>
      <c r="X2671">
        <v>0.92522159999999998</v>
      </c>
      <c r="Y2671">
        <v>-2.4913330000000001E-2</v>
      </c>
      <c r="Z2671">
        <v>1.9046119999999999E-4</v>
      </c>
      <c r="AA2671">
        <v>0.99968959999999996</v>
      </c>
      <c r="AB2671">
        <v>41</v>
      </c>
      <c r="AC2671">
        <v>0.48840000000001199</v>
      </c>
      <c r="AD2671">
        <v>-9.3461999999999906E-2</v>
      </c>
      <c r="AE2671">
        <v>3.02000000000077E-2</v>
      </c>
      <c r="AF2671">
        <v>-2.3094989284987402E-2</v>
      </c>
      <c r="AG2671">
        <v>-9.3461999999999906E-2</v>
      </c>
      <c r="AH2671">
        <v>0.47154474962113102</v>
      </c>
      <c r="AI2671">
        <v>101.197863735772</v>
      </c>
      <c r="AJ2671">
        <v>92.803952071877504</v>
      </c>
      <c r="AK2671">
        <v>0.48127224610331398</v>
      </c>
      <c r="AL2671">
        <v>68.753260262336894</v>
      </c>
      <c r="AM2671">
        <v>96.928859655660105</v>
      </c>
      <c r="AN2671">
        <v>0.99999998815027902</v>
      </c>
    </row>
    <row r="2672" spans="1:40" x14ac:dyDescent="0.25">
      <c r="A2672" t="str">
        <f>"20190304164654287"</f>
        <v>20190304164654287</v>
      </c>
      <c r="B2672" t="str">
        <f>"1551689214281078"</f>
        <v>1551689214281078</v>
      </c>
      <c r="C2672" t="s">
        <v>40</v>
      </c>
      <c r="D2672">
        <v>4.607952</v>
      </c>
      <c r="E2672">
        <v>0.54881519999999995</v>
      </c>
      <c r="F2672" t="s">
        <v>41</v>
      </c>
      <c r="G2672">
        <v>-406.9273</v>
      </c>
      <c r="H2672">
        <v>1.027053</v>
      </c>
      <c r="I2672">
        <v>213.0462</v>
      </c>
      <c r="J2672">
        <v>-407.4169</v>
      </c>
      <c r="K2672">
        <v>1.1097060000000001</v>
      </c>
      <c r="L2672">
        <v>213.0204</v>
      </c>
      <c r="M2672">
        <v>0.99988129999999997</v>
      </c>
      <c r="N2672">
        <v>-9.0194469999999999E-3</v>
      </c>
      <c r="O2672">
        <v>1.2499110000000001E-2</v>
      </c>
      <c r="P2672">
        <v>0.92669699999999999</v>
      </c>
      <c r="Q2672">
        <v>0.35464299999999999</v>
      </c>
      <c r="R2672">
        <v>0.1243437</v>
      </c>
      <c r="S2672">
        <v>3.3424990000000001</v>
      </c>
      <c r="T2672">
        <v>-0.3187702</v>
      </c>
      <c r="U2672">
        <v>0.1180267</v>
      </c>
      <c r="V2672">
        <v>-0.1124908</v>
      </c>
      <c r="W2672">
        <v>0.36308089999999998</v>
      </c>
      <c r="X2672">
        <v>0.92494219999999905</v>
      </c>
      <c r="Y2672">
        <v>-2.2728000000000002E-2</v>
      </c>
      <c r="Z2672">
        <v>1.0737809999999999E-4</v>
      </c>
      <c r="AA2672">
        <v>0.99974169999999996</v>
      </c>
      <c r="AB2672">
        <v>42</v>
      </c>
      <c r="AC2672">
        <v>0.48959999999999498</v>
      </c>
      <c r="AD2672">
        <v>-8.2652999999999796E-2</v>
      </c>
      <c r="AE2672">
        <v>2.5800000000003799E-2</v>
      </c>
      <c r="AF2672">
        <v>-1.9134365588994399E-2</v>
      </c>
      <c r="AG2672">
        <v>-8.2652999999999796E-2</v>
      </c>
      <c r="AH2672">
        <v>0.47634629109386201</v>
      </c>
      <c r="AI2672">
        <v>99.835865287483998</v>
      </c>
      <c r="AJ2672">
        <v>92.300278867657596</v>
      </c>
      <c r="AK2672">
        <v>0.48384236213292797</v>
      </c>
      <c r="AL2672">
        <v>68.710474286170793</v>
      </c>
      <c r="AM2672">
        <v>96.934216422884802</v>
      </c>
      <c r="AN2672">
        <v>0.99999999668514405</v>
      </c>
    </row>
    <row r="2673" spans="1:40" x14ac:dyDescent="0.25">
      <c r="A2673" t="str">
        <f>"20190304164654308"</f>
        <v>20190304164654308</v>
      </c>
      <c r="B2673" t="str">
        <f>"1551689214301105"</f>
        <v>1551689214301105</v>
      </c>
      <c r="C2673" t="s">
        <v>40</v>
      </c>
      <c r="D2673">
        <v>4.7251519999999996</v>
      </c>
      <c r="E2673">
        <v>0.54858530000000005</v>
      </c>
      <c r="F2673" t="s">
        <v>41</v>
      </c>
      <c r="G2673">
        <v>-406.55470000000003</v>
      </c>
      <c r="H2673">
        <v>1.027719</v>
      </c>
      <c r="I2673">
        <v>213.05029999999999</v>
      </c>
      <c r="J2673">
        <v>-407.01069999999999</v>
      </c>
      <c r="K2673">
        <v>1.109702</v>
      </c>
      <c r="L2673">
        <v>213.02529999999999</v>
      </c>
      <c r="M2673">
        <v>0.9998842</v>
      </c>
      <c r="N2673">
        <v>-9.1630679999999999E-3</v>
      </c>
      <c r="O2673">
        <v>1.215464E-2</v>
      </c>
      <c r="P2673">
        <v>0.92655379999999998</v>
      </c>
      <c r="Q2673">
        <v>0.35490490000000002</v>
      </c>
      <c r="R2673">
        <v>0.1246633</v>
      </c>
      <c r="S2673">
        <v>3.3434140000000001</v>
      </c>
      <c r="T2673">
        <v>-0.31804159999999998</v>
      </c>
      <c r="U2673">
        <v>0.11621090000000001</v>
      </c>
      <c r="V2673">
        <v>-0.1131123</v>
      </c>
      <c r="W2673">
        <v>0.36348029999999998</v>
      </c>
      <c r="X2673">
        <v>0.92470960000000002</v>
      </c>
      <c r="Y2673">
        <v>-2.2520189999999999E-2</v>
      </c>
      <c r="Z2673">
        <v>1.297948E-4</v>
      </c>
      <c r="AA2673">
        <v>0.99974640000000004</v>
      </c>
      <c r="AB2673">
        <v>42</v>
      </c>
      <c r="AC2673">
        <v>0.45599999999995999</v>
      </c>
      <c r="AD2673">
        <v>-8.1982999999999903E-2</v>
      </c>
      <c r="AE2673">
        <v>2.5000000000005601E-2</v>
      </c>
      <c r="AF2673">
        <v>-1.88479979344186E-2</v>
      </c>
      <c r="AG2673">
        <v>-8.1982999999999903E-2</v>
      </c>
      <c r="AH2673">
        <v>0.44202522028845698</v>
      </c>
      <c r="AI2673">
        <v>100.497999872291</v>
      </c>
      <c r="AJ2673">
        <v>92.441618503940703</v>
      </c>
      <c r="AK2673">
        <v>0.44995861441492102</v>
      </c>
      <c r="AL2673">
        <v>68.685914189955398</v>
      </c>
      <c r="AM2673">
        <v>96.973887685918001</v>
      </c>
      <c r="AN2673">
        <v>1.00000008261576</v>
      </c>
    </row>
    <row r="2674" spans="1:40" x14ac:dyDescent="0.25">
      <c r="A2674" t="str">
        <f>"20190304164654330"</f>
        <v>20190304164654330</v>
      </c>
      <c r="B2674" t="str">
        <f>"1551689214321601"</f>
        <v>1551689214321601</v>
      </c>
      <c r="C2674" t="s">
        <v>40</v>
      </c>
      <c r="D2674">
        <v>5.2363150000000003</v>
      </c>
      <c r="E2674">
        <v>0.52538960000000001</v>
      </c>
      <c r="F2674" t="s">
        <v>41</v>
      </c>
      <c r="G2674">
        <v>-406.17970000000003</v>
      </c>
      <c r="H2674">
        <v>1.0306169999999999</v>
      </c>
      <c r="I2674">
        <v>213.05500000000001</v>
      </c>
      <c r="J2674">
        <v>-406.61110000000002</v>
      </c>
      <c r="K2674">
        <v>1.109715</v>
      </c>
      <c r="L2674">
        <v>213.0299</v>
      </c>
      <c r="M2674">
        <v>0.99988679999999996</v>
      </c>
      <c r="N2674">
        <v>-9.3192759999999996E-3</v>
      </c>
      <c r="O2674">
        <v>1.182237E-2</v>
      </c>
      <c r="P2674">
        <v>0.92670030000000003</v>
      </c>
      <c r="Q2674">
        <v>0.35429280000000002</v>
      </c>
      <c r="R2674">
        <v>0.12531389999999901</v>
      </c>
      <c r="S2674">
        <v>3.3435670000000002</v>
      </c>
      <c r="T2674">
        <v>-0.31820959999999998</v>
      </c>
      <c r="U2674">
        <v>0.119751</v>
      </c>
      <c r="V2674">
        <v>-0.1140558</v>
      </c>
      <c r="W2674">
        <v>0.36301919999999999</v>
      </c>
      <c r="X2674">
        <v>0.92477480000000001</v>
      </c>
      <c r="Y2674">
        <v>-2.3899529999999999E-2</v>
      </c>
      <c r="Z2674">
        <v>2.337754E-4</v>
      </c>
      <c r="AA2674">
        <v>0.99971429999999994</v>
      </c>
      <c r="AB2674">
        <v>42</v>
      </c>
      <c r="AC2674">
        <v>0.43139999999999601</v>
      </c>
      <c r="AD2674">
        <v>-7.9097999999999793E-2</v>
      </c>
      <c r="AE2674">
        <v>2.5100000000009001E-2</v>
      </c>
      <c r="AF2674">
        <v>-1.9349557308964999E-2</v>
      </c>
      <c r="AG2674">
        <v>-7.9097999999999793E-2</v>
      </c>
      <c r="AH2674">
        <v>0.41767269173200799</v>
      </c>
      <c r="AI2674">
        <v>100.712341433186</v>
      </c>
      <c r="AJ2674">
        <v>92.652449836215197</v>
      </c>
      <c r="AK2674">
        <v>0.42553657468038403</v>
      </c>
      <c r="AL2674">
        <v>68.714269446111899</v>
      </c>
      <c r="AM2674">
        <v>97.030988027280799</v>
      </c>
      <c r="AN2674">
        <v>1.0000000478986499</v>
      </c>
    </row>
    <row r="2675" spans="1:40" x14ac:dyDescent="0.25">
      <c r="A2675" t="str">
        <f>"20190304164654353"</f>
        <v>20190304164654353</v>
      </c>
      <c r="B2675" t="str">
        <f>"1551689214341124"</f>
        <v>1551689214341124</v>
      </c>
      <c r="C2675" t="s">
        <v>40</v>
      </c>
      <c r="D2675">
        <v>4.6542120000000002</v>
      </c>
      <c r="E2675">
        <v>0.52375819999999995</v>
      </c>
      <c r="F2675" t="s">
        <v>49</v>
      </c>
      <c r="G2675">
        <v>-396.08530000000002</v>
      </c>
      <c r="H2675" s="1">
        <v>1.701479E-6</v>
      </c>
      <c r="I2675">
        <v>214.00960000000001</v>
      </c>
      <c r="J2675">
        <v>-406.17840000000001</v>
      </c>
      <c r="K2675">
        <v>1.1097239999999999</v>
      </c>
      <c r="L2675">
        <v>213.03479999999999</v>
      </c>
      <c r="M2675">
        <v>0.99988889999999997</v>
      </c>
      <c r="N2675">
        <v>-9.5032090000000003E-3</v>
      </c>
      <c r="O2675">
        <v>1.148127E-2</v>
      </c>
      <c r="P2675">
        <v>0.92694699999999997</v>
      </c>
      <c r="Q2675">
        <v>0.35324080000000002</v>
      </c>
      <c r="R2675">
        <v>0.12645329999999999</v>
      </c>
      <c r="S2675">
        <v>3.32959</v>
      </c>
      <c r="T2675">
        <v>-0.3510315</v>
      </c>
      <c r="U2675">
        <v>0.30990600000000001</v>
      </c>
      <c r="V2675">
        <v>-0.11550100000000001</v>
      </c>
      <c r="W2675">
        <v>0.3621432</v>
      </c>
      <c r="X2675">
        <v>0.92493879999999995</v>
      </c>
      <c r="Y2675">
        <v>-8.0805089999999996E-2</v>
      </c>
      <c r="Z2675">
        <v>3.5289179999999998E-3</v>
      </c>
      <c r="AA2675">
        <v>0.99672369999999999</v>
      </c>
      <c r="AB2675">
        <v>42</v>
      </c>
      <c r="AC2675">
        <v>10.0930999999999</v>
      </c>
      <c r="AD2675">
        <v>-1.109722298521</v>
      </c>
      <c r="AE2675">
        <v>0.97480000000001599</v>
      </c>
      <c r="AF2675">
        <v>-0.84868422918864805</v>
      </c>
      <c r="AG2675">
        <v>-1.109722298521</v>
      </c>
      <c r="AH2675">
        <v>9.9840484140652794</v>
      </c>
      <c r="AI2675">
        <v>96.319760386729598</v>
      </c>
      <c r="AJ2675">
        <v>94.858691471128793</v>
      </c>
      <c r="AK2675">
        <v>10.0813179314565</v>
      </c>
      <c r="AL2675">
        <v>68.768123835136393</v>
      </c>
      <c r="AM2675">
        <v>97.117919764683904</v>
      </c>
      <c r="AN2675">
        <v>0.99999998102633902</v>
      </c>
    </row>
    <row r="2676" spans="1:40" x14ac:dyDescent="0.25">
      <c r="A2676" t="str">
        <f>"20190304164654375"</f>
        <v>20190304164654375</v>
      </c>
      <c r="B2676" t="str">
        <f>"1551689214361616"</f>
        <v>1551689214361616</v>
      </c>
      <c r="C2676" t="s">
        <v>40</v>
      </c>
      <c r="D2676">
        <v>4.6676950000000001</v>
      </c>
      <c r="E2676">
        <v>0.52331570000000005</v>
      </c>
      <c r="F2676" t="s">
        <v>49</v>
      </c>
      <c r="G2676">
        <v>-395.25569999999999</v>
      </c>
      <c r="H2676" s="1">
        <v>1.2600419999999999E-6</v>
      </c>
      <c r="I2676">
        <v>214.10939999999999</v>
      </c>
      <c r="J2676">
        <v>-405.78609999999998</v>
      </c>
      <c r="K2676">
        <v>1.109753</v>
      </c>
      <c r="L2676">
        <v>213.03909999999999</v>
      </c>
      <c r="M2676">
        <v>0.99989039999999996</v>
      </c>
      <c r="N2676">
        <v>-9.6847949999999995E-3</v>
      </c>
      <c r="O2676">
        <v>1.1201590000000001E-2</v>
      </c>
      <c r="P2676">
        <v>0.92708610000000002</v>
      </c>
      <c r="Q2676">
        <v>0.35262480000000002</v>
      </c>
      <c r="R2676">
        <v>0.12715090000000001</v>
      </c>
      <c r="S2676">
        <v>3.3204039999999999</v>
      </c>
      <c r="T2676">
        <v>-0.33734520000000001</v>
      </c>
      <c r="U2676">
        <v>0.3266907</v>
      </c>
      <c r="V2676">
        <v>-0.11645990000000001</v>
      </c>
      <c r="W2676">
        <v>0.36169649999999998</v>
      </c>
      <c r="X2676">
        <v>0.92499339999999997</v>
      </c>
      <c r="Y2676">
        <v>-8.6325830000000006E-2</v>
      </c>
      <c r="Z2676">
        <v>3.7594909999999998E-3</v>
      </c>
      <c r="AA2676">
        <v>0.99625989999999998</v>
      </c>
      <c r="AB2676">
        <v>42</v>
      </c>
      <c r="AC2676">
        <v>10.530399999999901</v>
      </c>
      <c r="AD2676">
        <v>-1.1097517399579999</v>
      </c>
      <c r="AE2676">
        <v>1.0703</v>
      </c>
      <c r="AF2676">
        <v>-0.94191603301865701</v>
      </c>
      <c r="AG2676">
        <v>-1.1097517399579999</v>
      </c>
      <c r="AH2676">
        <v>10.427108371425801</v>
      </c>
      <c r="AI2676">
        <v>96.050638059812599</v>
      </c>
      <c r="AJ2676">
        <v>95.161712274776093</v>
      </c>
      <c r="AK2676">
        <v>10.5282165501597</v>
      </c>
      <c r="AL2676">
        <v>68.795580122168502</v>
      </c>
      <c r="AM2676">
        <v>97.175980595056103</v>
      </c>
      <c r="AN2676">
        <v>1.0000000282318999</v>
      </c>
    </row>
    <row r="2677" spans="1:40" x14ac:dyDescent="0.25">
      <c r="A2677" t="str">
        <f>"20190304164654398"</f>
        <v>20190304164654398</v>
      </c>
      <c r="B2677" t="str">
        <f>"1551689214391374"</f>
        <v>1551689214391374</v>
      </c>
      <c r="C2677" t="s">
        <v>40</v>
      </c>
      <c r="D2677">
        <v>4.6619219999999997</v>
      </c>
      <c r="E2677">
        <v>0.52322800000000003</v>
      </c>
      <c r="F2677" t="s">
        <v>49</v>
      </c>
      <c r="G2677">
        <v>-394.72469999999998</v>
      </c>
      <c r="H2677" s="1">
        <v>9.7746360000000005E-7</v>
      </c>
      <c r="I2677">
        <v>214.14619999999999</v>
      </c>
      <c r="J2677">
        <v>-405.346</v>
      </c>
      <c r="K2677">
        <v>1.1097950000000001</v>
      </c>
      <c r="L2677">
        <v>213.0438</v>
      </c>
      <c r="M2677">
        <v>0.99989130000000004</v>
      </c>
      <c r="N2677">
        <v>-9.9045690000000002E-3</v>
      </c>
      <c r="O2677">
        <v>1.093799E-2</v>
      </c>
      <c r="P2677">
        <v>0.92716940000000003</v>
      </c>
      <c r="Q2677">
        <v>0.35246060000000001</v>
      </c>
      <c r="R2677">
        <v>0.12699869999999999</v>
      </c>
      <c r="S2677">
        <v>3.316986</v>
      </c>
      <c r="T2677">
        <v>-0.33278259999999998</v>
      </c>
      <c r="U2677">
        <v>0.33200069999999998</v>
      </c>
      <c r="V2677">
        <v>-0.11656850000000001</v>
      </c>
      <c r="W2677">
        <v>0.36173080000000002</v>
      </c>
      <c r="X2677">
        <v>0.92496630000000002</v>
      </c>
      <c r="Y2677">
        <v>-8.8265040000000003E-2</v>
      </c>
      <c r="Z2677">
        <v>3.8611610000000001E-3</v>
      </c>
      <c r="AA2677">
        <v>0.99608949999999996</v>
      </c>
      <c r="AB2677">
        <v>42</v>
      </c>
      <c r="AC2677">
        <v>10.6213</v>
      </c>
      <c r="AD2677">
        <v>-1.1097940225364</v>
      </c>
      <c r="AE2677">
        <v>1.1023999999999801</v>
      </c>
      <c r="AF2677">
        <v>-0.97561478913335897</v>
      </c>
      <c r="AG2677">
        <v>-1.1097940225364</v>
      </c>
      <c r="AH2677">
        <v>10.5191032220258</v>
      </c>
      <c r="AI2677">
        <v>95.997031977237398</v>
      </c>
      <c r="AJ2677">
        <v>95.298850192491798</v>
      </c>
      <c r="AK2677">
        <v>10.622382010870499</v>
      </c>
      <c r="AL2677">
        <v>68.793471994519393</v>
      </c>
      <c r="AM2677">
        <v>97.1828106529846</v>
      </c>
      <c r="AN2677">
        <v>1.00000002149828</v>
      </c>
    </row>
    <row r="2678" spans="1:40" x14ac:dyDescent="0.25">
      <c r="A2678" t="str">
        <f>"20190304164654420"</f>
        <v>20190304164654420</v>
      </c>
      <c r="B2678" t="str">
        <f>"1551689214410894"</f>
        <v>1551689214410894</v>
      </c>
      <c r="C2678" t="s">
        <v>40</v>
      </c>
      <c r="D2678">
        <v>5.2279530000000003</v>
      </c>
      <c r="E2678">
        <v>0.52291779999999999</v>
      </c>
      <c r="F2678" t="s">
        <v>49</v>
      </c>
      <c r="G2678">
        <v>-394.37720000000002</v>
      </c>
      <c r="H2678" s="1">
        <v>7.9253689999999995E-7</v>
      </c>
      <c r="I2678">
        <v>214.1438</v>
      </c>
      <c r="J2678">
        <v>-404.92860000000002</v>
      </c>
      <c r="K2678">
        <v>1.1098520000000001</v>
      </c>
      <c r="L2678">
        <v>213.04820000000001</v>
      </c>
      <c r="M2678">
        <v>0.99989130000000004</v>
      </c>
      <c r="N2678">
        <v>-1.01152E-2</v>
      </c>
      <c r="O2678">
        <v>1.0730429999999999E-2</v>
      </c>
      <c r="P2678">
        <v>0.92731989999999997</v>
      </c>
      <c r="Q2678">
        <v>0.35252800000000001</v>
      </c>
      <c r="R2678">
        <v>0.1257057</v>
      </c>
      <c r="S2678">
        <v>3.3177189999999999</v>
      </c>
      <c r="T2678">
        <v>-0.33567849999999999</v>
      </c>
      <c r="U2678">
        <v>0.33271790000000001</v>
      </c>
      <c r="V2678">
        <v>-0.1154901</v>
      </c>
      <c r="W2678">
        <v>0.36198550000000002</v>
      </c>
      <c r="X2678">
        <v>0.92500190000000004</v>
      </c>
      <c r="Y2678">
        <v>-8.8652019999999998E-2</v>
      </c>
      <c r="Z2678">
        <v>3.9409919999999999E-3</v>
      </c>
      <c r="AA2678">
        <v>0.99605489999999997</v>
      </c>
      <c r="AB2678">
        <v>42</v>
      </c>
      <c r="AC2678">
        <v>10.551399999999999</v>
      </c>
      <c r="AD2678">
        <v>-1.1098512074631</v>
      </c>
      <c r="AE2678">
        <v>1.0955999999999899</v>
      </c>
      <c r="AF2678">
        <v>-0.97167420738204702</v>
      </c>
      <c r="AG2678">
        <v>-1.1098512074631</v>
      </c>
      <c r="AH2678">
        <v>10.4481844033782</v>
      </c>
      <c r="AI2678">
        <v>96.037607720773195</v>
      </c>
      <c r="AJ2678">
        <v>95.313186895569203</v>
      </c>
      <c r="AK2678">
        <v>10.551799741986899</v>
      </c>
      <c r="AL2678">
        <v>68.777817237431506</v>
      </c>
      <c r="AM2678">
        <v>97.116774392528697</v>
      </c>
      <c r="AN2678">
        <v>0.999999990205935</v>
      </c>
    </row>
    <row r="2679" spans="1:40" x14ac:dyDescent="0.25">
      <c r="A2679" t="str">
        <f>"20190304164654443"</f>
        <v>20190304164654443</v>
      </c>
      <c r="B2679" t="str">
        <f>"1551689214431390"</f>
        <v>1551689214431390</v>
      </c>
      <c r="C2679" t="s">
        <v>40</v>
      </c>
      <c r="D2679">
        <v>4.6594930000000003</v>
      </c>
      <c r="E2679">
        <v>0.52262679999999995</v>
      </c>
      <c r="F2679" t="s">
        <v>49</v>
      </c>
      <c r="G2679">
        <v>-393.83449999999999</v>
      </c>
      <c r="H2679" s="1">
        <v>5.03752E-7</v>
      </c>
      <c r="I2679">
        <v>214.14850000000001</v>
      </c>
      <c r="J2679">
        <v>-404.5034</v>
      </c>
      <c r="K2679">
        <v>1.109915</v>
      </c>
      <c r="L2679">
        <v>213.05260000000001</v>
      </c>
      <c r="M2679">
        <v>0.99989099999999997</v>
      </c>
      <c r="N2679">
        <v>-1.033019E-2</v>
      </c>
      <c r="O2679">
        <v>1.056758E-2</v>
      </c>
      <c r="P2679">
        <v>0.92744199999999999</v>
      </c>
      <c r="Q2679">
        <v>0.35271249999999998</v>
      </c>
      <c r="R2679">
        <v>0.1242803</v>
      </c>
      <c r="S2679">
        <v>3.3167110000000002</v>
      </c>
      <c r="T2679">
        <v>-0.33180500000000002</v>
      </c>
      <c r="U2679">
        <v>0.32896419999999998</v>
      </c>
      <c r="V2679">
        <v>-0.1142442</v>
      </c>
      <c r="W2679">
        <v>0.3623593</v>
      </c>
      <c r="X2679">
        <v>0.92501029999999995</v>
      </c>
      <c r="Y2679">
        <v>-8.774055E-2</v>
      </c>
      <c r="Z2679">
        <v>3.8796170000000001E-3</v>
      </c>
      <c r="AA2679">
        <v>0.99613580000000002</v>
      </c>
      <c r="AB2679">
        <v>42</v>
      </c>
      <c r="AC2679">
        <v>10.668900000000001</v>
      </c>
      <c r="AD2679">
        <v>-1.1099144962479901</v>
      </c>
      <c r="AE2679">
        <v>1.0959000000000001</v>
      </c>
      <c r="AF2679">
        <v>-0.97267123619981399</v>
      </c>
      <c r="AG2679">
        <v>-1.1099144962479901</v>
      </c>
      <c r="AH2679">
        <v>10.5667183704543</v>
      </c>
      <c r="AI2679">
        <v>95.971225787900906</v>
      </c>
      <c r="AJ2679">
        <v>95.259281536533294</v>
      </c>
      <c r="AK2679">
        <v>10.6692800433397</v>
      </c>
      <c r="AL2679">
        <v>68.754841015341498</v>
      </c>
      <c r="AM2679">
        <v>97.040710485998204</v>
      </c>
      <c r="AN2679">
        <v>1.0000000273181</v>
      </c>
    </row>
    <row r="2680" spans="1:40" x14ac:dyDescent="0.25">
      <c r="A2680" t="str">
        <f>"20190304164654467"</f>
        <v>20190304164654467</v>
      </c>
      <c r="B2680" t="str">
        <f>"1551689214461646"</f>
        <v>1551689214461646</v>
      </c>
      <c r="C2680" t="s">
        <v>40</v>
      </c>
      <c r="D2680">
        <v>4.6809019999999997</v>
      </c>
      <c r="E2680">
        <v>0.52253579999999999</v>
      </c>
      <c r="F2680" t="s">
        <v>49</v>
      </c>
      <c r="G2680">
        <v>-393.32659999999998</v>
      </c>
      <c r="H2680" s="1">
        <v>2.334806E-7</v>
      </c>
      <c r="I2680">
        <v>214.14590000000001</v>
      </c>
      <c r="J2680">
        <v>-404.0591</v>
      </c>
      <c r="K2680">
        <v>1.1099859999999999</v>
      </c>
      <c r="L2680">
        <v>213.05719999999999</v>
      </c>
      <c r="M2680">
        <v>0.99988960000000005</v>
      </c>
      <c r="N2680">
        <v>-1.05597E-2</v>
      </c>
      <c r="O2680">
        <v>1.045534E-2</v>
      </c>
      <c r="P2680">
        <v>0.92784540000000004</v>
      </c>
      <c r="Q2680">
        <v>0.35209859999999998</v>
      </c>
      <c r="R2680">
        <v>0.12300170000000001</v>
      </c>
      <c r="S2680">
        <v>3.3164980000000002</v>
      </c>
      <c r="T2680">
        <v>-0.32934799999999997</v>
      </c>
      <c r="U2680">
        <v>0.32441710000000001</v>
      </c>
      <c r="V2680">
        <v>-0.1131026</v>
      </c>
      <c r="W2680">
        <v>0.36194949999999998</v>
      </c>
      <c r="X2680">
        <v>0.92531099999999999</v>
      </c>
      <c r="Y2680">
        <v>-8.6516800000000005E-2</v>
      </c>
      <c r="Z2680">
        <v>3.8110599999999998E-3</v>
      </c>
      <c r="AA2680">
        <v>0.99624310000000005</v>
      </c>
      <c r="AB2680">
        <v>42</v>
      </c>
      <c r="AC2680">
        <v>10.7325</v>
      </c>
      <c r="AD2680">
        <v>-1.1099857665194</v>
      </c>
      <c r="AE2680">
        <v>1.08870000000001</v>
      </c>
      <c r="AF2680">
        <v>-0.96619287986922697</v>
      </c>
      <c r="AG2680">
        <v>-1.1099857665194</v>
      </c>
      <c r="AH2680">
        <v>10.6307453288504</v>
      </c>
      <c r="AI2680">
        <v>95.936520360314802</v>
      </c>
      <c r="AJ2680">
        <v>95.193153941751405</v>
      </c>
      <c r="AK2680">
        <v>10.732117374025499</v>
      </c>
      <c r="AL2680">
        <v>68.780031094162098</v>
      </c>
      <c r="AM2680">
        <v>96.968807857104395</v>
      </c>
      <c r="AN2680">
        <v>1.0000000426989999</v>
      </c>
    </row>
    <row r="2681" spans="1:40" x14ac:dyDescent="0.25">
      <c r="A2681" t="str">
        <f>"20190304164654488"</f>
        <v>20190304164654488</v>
      </c>
      <c r="B2681" t="str">
        <f>"1551689214481166"</f>
        <v>1551689214481166</v>
      </c>
      <c r="C2681" t="s">
        <v>40</v>
      </c>
      <c r="D2681">
        <v>4.6987139999999998</v>
      </c>
      <c r="E2681">
        <v>0.52281270000000002</v>
      </c>
      <c r="F2681" t="s">
        <v>49</v>
      </c>
      <c r="G2681">
        <v>-393.02100000000002</v>
      </c>
      <c r="H2681" s="1">
        <v>7.08226699999999E-8</v>
      </c>
      <c r="I2681">
        <v>214.11859999999999</v>
      </c>
      <c r="J2681">
        <v>-403.654</v>
      </c>
      <c r="K2681">
        <v>1.1100509999999999</v>
      </c>
      <c r="L2681">
        <v>213.06139999999999</v>
      </c>
      <c r="M2681">
        <v>0.99988809999999995</v>
      </c>
      <c r="N2681">
        <v>-1.0771090000000001E-2</v>
      </c>
      <c r="O2681">
        <v>1.0399E-2</v>
      </c>
      <c r="P2681">
        <v>0.92814030000000003</v>
      </c>
      <c r="Q2681">
        <v>0.3513812</v>
      </c>
      <c r="R2681">
        <v>0.1228297</v>
      </c>
      <c r="S2681">
        <v>3.3176570000000001</v>
      </c>
      <c r="T2681">
        <v>-0.33362190000000003</v>
      </c>
      <c r="U2681">
        <v>0.31900020000000001</v>
      </c>
      <c r="V2681">
        <v>-0.11301360000000001</v>
      </c>
      <c r="W2681">
        <v>0.36142000000000002</v>
      </c>
      <c r="X2681">
        <v>0.92552880000000004</v>
      </c>
      <c r="Y2681">
        <v>-8.4924910000000006E-2</v>
      </c>
      <c r="Z2681">
        <v>3.7801890000000002E-3</v>
      </c>
      <c r="AA2681">
        <v>0.99638020000000005</v>
      </c>
      <c r="AB2681">
        <v>42</v>
      </c>
      <c r="AC2681">
        <v>10.632999999999999</v>
      </c>
      <c r="AD2681">
        <v>-1.1100509291773299</v>
      </c>
      <c r="AE2681">
        <v>1.0571999999999899</v>
      </c>
      <c r="AF2681">
        <v>-0.93645761595079202</v>
      </c>
      <c r="AG2681">
        <v>-1.1100509291773299</v>
      </c>
      <c r="AH2681">
        <v>10.5297820288026</v>
      </c>
      <c r="AI2681">
        <v>95.994414946494203</v>
      </c>
      <c r="AJ2681">
        <v>95.082182958697501</v>
      </c>
      <c r="AK2681">
        <v>10.6294626160467</v>
      </c>
      <c r="AL2681">
        <v>68.812571833304105</v>
      </c>
      <c r="AM2681">
        <v>96.961755415024498</v>
      </c>
      <c r="AN2681">
        <v>1.0000000249071901</v>
      </c>
    </row>
    <row r="2682" spans="1:40" x14ac:dyDescent="0.25">
      <c r="A2682" t="str">
        <f>"20190304164654509"</f>
        <v>20190304164654509</v>
      </c>
      <c r="B2682" t="str">
        <f>"1551689214501193"</f>
        <v>1551689214501193</v>
      </c>
      <c r="C2682" t="s">
        <v>40</v>
      </c>
      <c r="D2682">
        <v>4.6991399999999999</v>
      </c>
      <c r="E2682">
        <v>0.52296880000000001</v>
      </c>
      <c r="F2682" t="s">
        <v>49</v>
      </c>
      <c r="G2682">
        <v>-392.91449999999998</v>
      </c>
      <c r="H2682" s="1">
        <v>1.416166E-8</v>
      </c>
      <c r="I2682">
        <v>214.0795</v>
      </c>
      <c r="J2682">
        <v>-403.2647</v>
      </c>
      <c r="K2682">
        <v>1.1101030000000001</v>
      </c>
      <c r="L2682">
        <v>213.06540000000001</v>
      </c>
      <c r="M2682">
        <v>0.99988589999999999</v>
      </c>
      <c r="N2682">
        <v>-1.0972910000000001E-2</v>
      </c>
      <c r="O2682">
        <v>1.03775E-2</v>
      </c>
      <c r="P2682">
        <v>0.92809580000000003</v>
      </c>
      <c r="Q2682">
        <v>0.35127740000000002</v>
      </c>
      <c r="R2682">
        <v>0.1234596</v>
      </c>
      <c r="S2682">
        <v>3.320557</v>
      </c>
      <c r="T2682">
        <v>-0.34321879999999999</v>
      </c>
      <c r="U2682">
        <v>0.31480409999999998</v>
      </c>
      <c r="V2682">
        <v>-0.1136928</v>
      </c>
      <c r="W2682">
        <v>0.36149429999999999</v>
      </c>
      <c r="X2682">
        <v>0.92541660000000003</v>
      </c>
      <c r="Y2682">
        <v>-8.359954E-2</v>
      </c>
      <c r="Z2682">
        <v>3.8066020000000001E-3</v>
      </c>
      <c r="AA2682">
        <v>0.99649209999999999</v>
      </c>
      <c r="AB2682">
        <v>42</v>
      </c>
      <c r="AC2682">
        <v>10.350199999999999</v>
      </c>
      <c r="AD2682">
        <v>-1.11010298583834</v>
      </c>
      <c r="AE2682">
        <v>1.01409999999998</v>
      </c>
      <c r="AF2682">
        <v>-0.89641586794083195</v>
      </c>
      <c r="AG2682">
        <v>-1.11010298583834</v>
      </c>
      <c r="AH2682">
        <v>10.243452201702</v>
      </c>
      <c r="AI2682">
        <v>96.161750831228204</v>
      </c>
      <c r="AJ2682">
        <v>95.001276291688399</v>
      </c>
      <c r="AK2682">
        <v>10.342349977447901</v>
      </c>
      <c r="AL2682">
        <v>68.808006230738499</v>
      </c>
      <c r="AM2682">
        <v>97.004021242655895</v>
      </c>
      <c r="AN2682">
        <v>1.0000000326299401</v>
      </c>
    </row>
    <row r="2683" spans="1:40" x14ac:dyDescent="0.25">
      <c r="A2683" t="str">
        <f>"20190304164654531"</f>
        <v>20190304164654531</v>
      </c>
      <c r="B2683" t="str">
        <f>"1551689214521688"</f>
        <v>1551689214521688</v>
      </c>
      <c r="C2683" t="s">
        <v>40</v>
      </c>
      <c r="D2683">
        <v>4.6945329999999998</v>
      </c>
      <c r="E2683">
        <v>0.52300170000000001</v>
      </c>
      <c r="F2683" t="s">
        <v>49</v>
      </c>
      <c r="G2683">
        <v>-392.69819999999999</v>
      </c>
      <c r="H2683" s="1">
        <v>-1.0092859999999999E-7</v>
      </c>
      <c r="I2683">
        <v>214.06610000000001</v>
      </c>
      <c r="J2683">
        <v>-402.8528</v>
      </c>
      <c r="K2683">
        <v>1.1101529999999999</v>
      </c>
      <c r="L2683">
        <v>213.06970000000001</v>
      </c>
      <c r="M2683">
        <v>0.99988370000000004</v>
      </c>
      <c r="N2683">
        <v>-1.118268E-2</v>
      </c>
      <c r="O2683">
        <v>1.037567E-2</v>
      </c>
      <c r="P2683">
        <v>0.92813659999999998</v>
      </c>
      <c r="Q2683">
        <v>0.35074840000000002</v>
      </c>
      <c r="R2683">
        <v>0.1246517</v>
      </c>
      <c r="S2683">
        <v>3.3226930000000001</v>
      </c>
      <c r="T2683">
        <v>-0.34907749999999999</v>
      </c>
      <c r="U2683">
        <v>0.31466670000000002</v>
      </c>
      <c r="V2683">
        <v>-0.114911</v>
      </c>
      <c r="W2683">
        <v>0.36115239999999998</v>
      </c>
      <c r="X2683">
        <v>0.92539959999999999</v>
      </c>
      <c r="Y2683">
        <v>-8.3486130000000006E-2</v>
      </c>
      <c r="Z2683">
        <v>3.8640129999999999E-3</v>
      </c>
      <c r="AA2683">
        <v>0.99650139999999998</v>
      </c>
      <c r="AB2683">
        <v>42</v>
      </c>
      <c r="AC2683">
        <v>10.1546</v>
      </c>
      <c r="AD2683">
        <v>-1.1101531009286001</v>
      </c>
      <c r="AE2683">
        <v>0.99639999999999396</v>
      </c>
      <c r="AF2683">
        <v>-0.88055497982243103</v>
      </c>
      <c r="AG2683">
        <v>-1.1101531009286001</v>
      </c>
      <c r="AH2683">
        <v>10.045473874725401</v>
      </c>
      <c r="AI2683">
        <v>96.282428609288402</v>
      </c>
      <c r="AJ2683">
        <v>95.009565205313294</v>
      </c>
      <c r="AK2683">
        <v>10.1449180552522</v>
      </c>
      <c r="AL2683">
        <v>68.829014424367998</v>
      </c>
      <c r="AM2683">
        <v>97.078439627969701</v>
      </c>
      <c r="AN2683">
        <v>1.00000000681346</v>
      </c>
    </row>
    <row r="2684" spans="1:40" x14ac:dyDescent="0.25">
      <c r="A2684" t="str">
        <f>"20190304164654554"</f>
        <v>20190304164654554</v>
      </c>
      <c r="B2684" t="str">
        <f>"1551689214541208"</f>
        <v>1551689214541208</v>
      </c>
      <c r="C2684" t="s">
        <v>40</v>
      </c>
      <c r="D2684">
        <v>4.7077549999999997</v>
      </c>
      <c r="E2684">
        <v>0.52301759999999997</v>
      </c>
      <c r="F2684" t="s">
        <v>49</v>
      </c>
      <c r="G2684">
        <v>-392.44830000000002</v>
      </c>
      <c r="H2684" s="1">
        <v>-2.339399E-7</v>
      </c>
      <c r="I2684">
        <v>214.06309999999999</v>
      </c>
      <c r="J2684">
        <v>-402.44240000000002</v>
      </c>
      <c r="K2684">
        <v>1.1102030000000001</v>
      </c>
      <c r="L2684">
        <v>213.07390000000001</v>
      </c>
      <c r="M2684">
        <v>0.99988140000000003</v>
      </c>
      <c r="N2684">
        <v>-1.138485E-2</v>
      </c>
      <c r="O2684">
        <v>1.0381359999999999E-2</v>
      </c>
      <c r="P2684">
        <v>0.92797110000000005</v>
      </c>
      <c r="Q2684">
        <v>0.35057369999999999</v>
      </c>
      <c r="R2684">
        <v>0.12636320000000001</v>
      </c>
      <c r="S2684">
        <v>3.3237000000000001</v>
      </c>
      <c r="T2684">
        <v>-0.35463729999999999</v>
      </c>
      <c r="U2684">
        <v>0.31735229999999998</v>
      </c>
      <c r="V2684">
        <v>-0.1166386</v>
      </c>
      <c r="W2684">
        <v>0.36115770000000003</v>
      </c>
      <c r="X2684">
        <v>0.92518140000000004</v>
      </c>
      <c r="Y2684">
        <v>-8.4230869999999999E-2</v>
      </c>
      <c r="Z2684">
        <v>3.9687009999999998E-3</v>
      </c>
      <c r="AA2684">
        <v>0.99643839999999995</v>
      </c>
      <c r="AB2684">
        <v>42</v>
      </c>
      <c r="AC2684">
        <v>9.9940999999999995</v>
      </c>
      <c r="AD2684">
        <v>-1.1102032339398999</v>
      </c>
      <c r="AE2684">
        <v>0.98919999999998198</v>
      </c>
      <c r="AF2684">
        <v>-0.87469850155759699</v>
      </c>
      <c r="AG2684">
        <v>-1.1102032339398999</v>
      </c>
      <c r="AH2684">
        <v>9.8830568643334598</v>
      </c>
      <c r="AI2684">
        <v>96.384644149245204</v>
      </c>
      <c r="AJ2684">
        <v>95.057776016915597</v>
      </c>
      <c r="AK2684">
        <v>9.9836096514700703</v>
      </c>
      <c r="AL2684">
        <v>68.8286894049849</v>
      </c>
      <c r="AM2684">
        <v>97.185431481769101</v>
      </c>
      <c r="AN2684">
        <v>1.0000000350925999</v>
      </c>
    </row>
    <row r="2685" spans="1:40" x14ac:dyDescent="0.25">
      <c r="A2685" t="str">
        <f>"20190304164654575"</f>
        <v>20190304164654575</v>
      </c>
      <c r="B2685" t="str">
        <f>"1551689214571464"</f>
        <v>1551689214571464</v>
      </c>
      <c r="C2685" t="s">
        <v>40</v>
      </c>
      <c r="D2685">
        <v>4.7439819999999999</v>
      </c>
      <c r="E2685">
        <v>0.52302479999999996</v>
      </c>
      <c r="F2685" t="s">
        <v>49</v>
      </c>
      <c r="G2685">
        <v>-392.17290000000003</v>
      </c>
      <c r="H2685" s="1">
        <v>-3.80452E-7</v>
      </c>
      <c r="I2685">
        <v>214.0718</v>
      </c>
      <c r="J2685">
        <v>-402.05070000000001</v>
      </c>
      <c r="K2685">
        <v>1.1102350000000001</v>
      </c>
      <c r="L2685">
        <v>213.0779</v>
      </c>
      <c r="M2685">
        <v>0.99987919999999997</v>
      </c>
      <c r="N2685">
        <v>-1.156628E-2</v>
      </c>
      <c r="O2685">
        <v>1.038656E-2</v>
      </c>
      <c r="P2685">
        <v>0.92776080000000005</v>
      </c>
      <c r="Q2685">
        <v>0.35045530000000003</v>
      </c>
      <c r="R2685">
        <v>0.12822220000000001</v>
      </c>
      <c r="S2685">
        <v>3.324646</v>
      </c>
      <c r="T2685">
        <v>-0.35941840000000003</v>
      </c>
      <c r="U2685">
        <v>0.32307429999999998</v>
      </c>
      <c r="V2685">
        <v>-0.1185103</v>
      </c>
      <c r="W2685">
        <v>0.36119990000000002</v>
      </c>
      <c r="X2685">
        <v>0.92492700000000005</v>
      </c>
      <c r="Y2685">
        <v>-8.5874690000000004E-2</v>
      </c>
      <c r="Z2685">
        <v>4.1196929999999998E-3</v>
      </c>
      <c r="AA2685">
        <v>0.9962974</v>
      </c>
      <c r="AB2685">
        <v>42</v>
      </c>
      <c r="AC2685">
        <v>9.8777999999999793</v>
      </c>
      <c r="AD2685">
        <v>-1.110235380452</v>
      </c>
      <c r="AE2685">
        <v>0.99389999999999601</v>
      </c>
      <c r="AF2685">
        <v>-0.88023452883882503</v>
      </c>
      <c r="AG2685">
        <v>-1.110235380452</v>
      </c>
      <c r="AH2685">
        <v>9.7654595385291092</v>
      </c>
      <c r="AI2685">
        <v>96.460141513841407</v>
      </c>
      <c r="AJ2685">
        <v>95.150581773670694</v>
      </c>
      <c r="AK2685">
        <v>9.8677066952973806</v>
      </c>
      <c r="AL2685">
        <v>68.826095872546603</v>
      </c>
      <c r="AM2685">
        <v>97.301488216904801</v>
      </c>
      <c r="AN2685">
        <v>1.0000000071475399</v>
      </c>
    </row>
    <row r="2686" spans="1:40" x14ac:dyDescent="0.25">
      <c r="A2686" t="str">
        <f>"20190304164654599"</f>
        <v>20190304164654599</v>
      </c>
      <c r="B2686" t="str">
        <f>"1551689214591491"</f>
        <v>1551689214591491</v>
      </c>
      <c r="C2686" t="s">
        <v>40</v>
      </c>
      <c r="D2686">
        <v>4.7188339999999904</v>
      </c>
      <c r="E2686">
        <v>0.52304819999999996</v>
      </c>
      <c r="F2686" t="s">
        <v>49</v>
      </c>
      <c r="G2686">
        <v>-391.92059999999998</v>
      </c>
      <c r="H2686" s="1">
        <v>-5.147612E-7</v>
      </c>
      <c r="I2686">
        <v>214.08109999999999</v>
      </c>
      <c r="J2686">
        <v>-401.5917</v>
      </c>
      <c r="K2686">
        <v>1.1102799999999999</v>
      </c>
      <c r="L2686">
        <v>213.08269999999999</v>
      </c>
      <c r="M2686">
        <v>0.99987689999999996</v>
      </c>
      <c r="N2686">
        <v>-1.176307E-2</v>
      </c>
      <c r="O2686">
        <v>1.0383170000000001E-2</v>
      </c>
      <c r="P2686">
        <v>0.92785139999999999</v>
      </c>
      <c r="Q2686">
        <v>0.34980600000000001</v>
      </c>
      <c r="R2686">
        <v>0.12933549999999999</v>
      </c>
      <c r="S2686">
        <v>3.3257140000000001</v>
      </c>
      <c r="T2686">
        <v>-0.3644907</v>
      </c>
      <c r="U2686">
        <v>0.32933040000000002</v>
      </c>
      <c r="V2686">
        <v>-0.11964329999999999</v>
      </c>
      <c r="W2686">
        <v>0.36072850000000001</v>
      </c>
      <c r="X2686">
        <v>0.92496509999999998</v>
      </c>
      <c r="Y2686">
        <v>-8.7677539999999998E-2</v>
      </c>
      <c r="Z2686">
        <v>4.2872179999999998E-3</v>
      </c>
      <c r="AA2686">
        <v>0.99613969999999996</v>
      </c>
      <c r="AB2686">
        <v>42</v>
      </c>
      <c r="AC2686">
        <v>9.6711000000000205</v>
      </c>
      <c r="AD2686">
        <v>-1.1102805147612</v>
      </c>
      <c r="AE2686">
        <v>0.99840000000000295</v>
      </c>
      <c r="AF2686">
        <v>-0.88636351475333697</v>
      </c>
      <c r="AG2686">
        <v>-1.1102805147612</v>
      </c>
      <c r="AH2686">
        <v>9.5563222216315094</v>
      </c>
      <c r="AI2686">
        <v>96.599000820285994</v>
      </c>
      <c r="AJ2686">
        <v>95.299110151522996</v>
      </c>
      <c r="AK2686">
        <v>9.6613486380211206</v>
      </c>
      <c r="AL2686">
        <v>68.855057630382802</v>
      </c>
      <c r="AM2686">
        <v>97.370228761432998</v>
      </c>
      <c r="AN2686">
        <v>1.00000000308257</v>
      </c>
    </row>
    <row r="2687" spans="1:40" x14ac:dyDescent="0.25">
      <c r="A2687" t="str">
        <f>"20190304164654620"</f>
        <v>20190304164654620</v>
      </c>
      <c r="B2687" t="str">
        <f>"1551689214611011"</f>
        <v>1551689214611011</v>
      </c>
      <c r="C2687" t="s">
        <v>40</v>
      </c>
      <c r="D2687">
        <v>4.8805480000000001</v>
      </c>
      <c r="E2687">
        <v>0.53808619999999996</v>
      </c>
      <c r="F2687" t="s">
        <v>49</v>
      </c>
      <c r="G2687">
        <v>-391.60509999999999</v>
      </c>
      <c r="H2687" s="1">
        <v>-6.8265469999999899E-7</v>
      </c>
      <c r="I2687">
        <v>214.08580000000001</v>
      </c>
      <c r="J2687">
        <v>-401.19560000000001</v>
      </c>
      <c r="K2687">
        <v>1.110304</v>
      </c>
      <c r="L2687">
        <v>213.08680000000001</v>
      </c>
      <c r="M2687">
        <v>0.99987510000000002</v>
      </c>
      <c r="N2687">
        <v>-1.192007E-2</v>
      </c>
      <c r="O2687">
        <v>1.0378999999999999E-2</v>
      </c>
      <c r="P2687">
        <v>0.92743489999999995</v>
      </c>
      <c r="Q2687">
        <v>0.35048230000000002</v>
      </c>
      <c r="R2687">
        <v>0.13048709999999999</v>
      </c>
      <c r="S2687">
        <v>3.3261409999999998</v>
      </c>
      <c r="T2687">
        <v>-0.36978889999999998</v>
      </c>
      <c r="U2687">
        <v>0.33409119999999998</v>
      </c>
      <c r="V2687">
        <v>-0.1208135</v>
      </c>
      <c r="W2687">
        <v>0.36154130000000001</v>
      </c>
      <c r="X2687">
        <v>0.92449550000000003</v>
      </c>
      <c r="Y2687">
        <v>-8.905631E-2</v>
      </c>
      <c r="Z2687">
        <v>4.4326909999999999E-3</v>
      </c>
      <c r="AA2687">
        <v>0.99601669999999998</v>
      </c>
      <c r="AB2687">
        <v>42</v>
      </c>
      <c r="AC2687">
        <v>9.5905000000000094</v>
      </c>
      <c r="AD2687">
        <v>-1.1103046826547001</v>
      </c>
      <c r="AE2687">
        <v>0.998999999999995</v>
      </c>
      <c r="AF2687">
        <v>-0.88763011205301301</v>
      </c>
      <c r="AG2687">
        <v>-1.1103046826547001</v>
      </c>
      <c r="AH2687">
        <v>9.4747261126543698</v>
      </c>
      <c r="AI2687">
        <v>96.654898805656998</v>
      </c>
      <c r="AJ2687">
        <v>95.352075671066501</v>
      </c>
      <c r="AK2687">
        <v>9.5807671203282503</v>
      </c>
      <c r="AL2687">
        <v>68.805116623992305</v>
      </c>
      <c r="AM2687">
        <v>97.4452485058234</v>
      </c>
      <c r="AN2687">
        <v>0.99999997145409403</v>
      </c>
    </row>
    <row r="2688" spans="1:40" x14ac:dyDescent="0.25">
      <c r="A2688" t="str">
        <f>"20190304164654643"</f>
        <v>20190304164654643</v>
      </c>
      <c r="B2688" t="str">
        <f>"1551689214631510"</f>
        <v>1551689214631510</v>
      </c>
      <c r="C2688" t="s">
        <v>40</v>
      </c>
      <c r="D2688">
        <v>4.9829309999999998</v>
      </c>
      <c r="E2688">
        <v>0.56169709999999995</v>
      </c>
      <c r="F2688" t="s">
        <v>41</v>
      </c>
      <c r="G2688">
        <v>-400.22430000000003</v>
      </c>
      <c r="H2688">
        <v>1.007827</v>
      </c>
      <c r="I2688">
        <v>213.15049999999999</v>
      </c>
      <c r="J2688">
        <v>-400.77080000000001</v>
      </c>
      <c r="K2688">
        <v>1.110331</v>
      </c>
      <c r="L2688">
        <v>213.09119999999999</v>
      </c>
      <c r="M2688">
        <v>0.99987329999999996</v>
      </c>
      <c r="N2688">
        <v>-1.207737E-2</v>
      </c>
      <c r="O2688">
        <v>1.037768E-2</v>
      </c>
      <c r="P2688">
        <v>0.92734740000000004</v>
      </c>
      <c r="Q2688">
        <v>0.35073559999999998</v>
      </c>
      <c r="R2688">
        <v>0.13042819999999999</v>
      </c>
      <c r="S2688">
        <v>3.3369749999999998</v>
      </c>
      <c r="T2688">
        <v>-0.35223910000000003</v>
      </c>
      <c r="U2688">
        <v>0.21952820000000001</v>
      </c>
      <c r="V2688">
        <v>-0.1207637</v>
      </c>
      <c r="W2688">
        <v>0.3619366</v>
      </c>
      <c r="X2688">
        <v>0.92434729999999998</v>
      </c>
      <c r="Y2688">
        <v>-5.4990839999999999E-2</v>
      </c>
      <c r="Z2688">
        <v>2.258436E-3</v>
      </c>
      <c r="AA2688">
        <v>0.99848429999999999</v>
      </c>
      <c r="AB2688">
        <v>42</v>
      </c>
      <c r="AC2688">
        <v>0.54649999999998</v>
      </c>
      <c r="AD2688">
        <v>-0.102503999999999</v>
      </c>
      <c r="AE2688">
        <v>5.9300000000007402E-2</v>
      </c>
      <c r="AF2688">
        <v>-5.1823049472403002E-2</v>
      </c>
      <c r="AG2688">
        <v>-0.102503999999999</v>
      </c>
      <c r="AH2688">
        <v>0.52870247170604801</v>
      </c>
      <c r="AI2688">
        <v>100.92121666368401</v>
      </c>
      <c r="AJ2688">
        <v>95.598209465779405</v>
      </c>
      <c r="AK2688">
        <v>0.54103512091240802</v>
      </c>
      <c r="AL2688">
        <v>68.780821956089298</v>
      </c>
      <c r="AM2688">
        <v>97.443393769067001</v>
      </c>
      <c r="AN2688">
        <v>0.99999995233726802</v>
      </c>
    </row>
    <row r="2689" spans="1:40" x14ac:dyDescent="0.25">
      <c r="A2689" t="str">
        <f>"20190304164654667"</f>
        <v>20190304164654667</v>
      </c>
      <c r="B2689" t="str">
        <f>"1551689214661763"</f>
        <v>1551689214661763</v>
      </c>
      <c r="C2689" t="s">
        <v>40</v>
      </c>
      <c r="D2689">
        <v>4.9738689999999997</v>
      </c>
      <c r="E2689">
        <v>0.56231450000000005</v>
      </c>
      <c r="F2689" t="s">
        <v>41</v>
      </c>
      <c r="G2689">
        <v>-399.86590000000001</v>
      </c>
      <c r="H2689">
        <v>0.98855599999999999</v>
      </c>
      <c r="I2689">
        <v>213.10239999999999</v>
      </c>
      <c r="J2689">
        <v>-400.32749999999999</v>
      </c>
      <c r="K2689">
        <v>1.110352</v>
      </c>
      <c r="L2689">
        <v>213.0958</v>
      </c>
      <c r="M2689">
        <v>0.99987130000000002</v>
      </c>
      <c r="N2689">
        <v>-1.223337E-2</v>
      </c>
      <c r="O2689">
        <v>1.037881E-2</v>
      </c>
      <c r="P2689">
        <v>0.92707499999999998</v>
      </c>
      <c r="Q2689">
        <v>0.3513425</v>
      </c>
      <c r="R2689">
        <v>0.13073100000000001</v>
      </c>
      <c r="S2689">
        <v>3.4021910000000002</v>
      </c>
      <c r="T2689">
        <v>-0.45791779999999999</v>
      </c>
      <c r="U2689">
        <v>4.3029789999999998E-2</v>
      </c>
      <c r="V2689">
        <v>-0.1210724</v>
      </c>
      <c r="W2689">
        <v>0.36268319999999998</v>
      </c>
      <c r="X2689">
        <v>0.92401429999999996</v>
      </c>
      <c r="Y2689">
        <v>-2.32169E-3</v>
      </c>
      <c r="Z2689">
        <v>-1.094308E-3</v>
      </c>
      <c r="AA2689">
        <v>0.99999669999999896</v>
      </c>
      <c r="AB2689">
        <v>42</v>
      </c>
      <c r="AC2689">
        <v>0.46159999999997497</v>
      </c>
      <c r="AD2689">
        <v>-0.121796</v>
      </c>
      <c r="AE2689">
        <v>6.5999999999917201E-3</v>
      </c>
      <c r="AF2689">
        <v>-1.69074172052237E-3</v>
      </c>
      <c r="AG2689">
        <v>-0.121796</v>
      </c>
      <c r="AH2689">
        <v>0.43160164446238403</v>
      </c>
      <c r="AI2689">
        <v>105.758707488439</v>
      </c>
      <c r="AJ2689">
        <v>90.224447405503298</v>
      </c>
      <c r="AK2689">
        <v>0.44846081626626</v>
      </c>
      <c r="AL2689">
        <v>68.7349283823539</v>
      </c>
      <c r="AM2689">
        <v>97.464865577665506</v>
      </c>
      <c r="AN2689">
        <v>1.00000002810424</v>
      </c>
    </row>
    <row r="2690" spans="1:40" x14ac:dyDescent="0.25">
      <c r="A2690" t="str">
        <f>"20190304164654689"</f>
        <v>20190304164654689</v>
      </c>
      <c r="B2690" t="str">
        <f>"1551689214681282"</f>
        <v>1551689214681282</v>
      </c>
      <c r="C2690" t="s">
        <v>40</v>
      </c>
      <c r="D2690">
        <v>4.8832839999999997</v>
      </c>
      <c r="E2690">
        <v>0.56321339999999998</v>
      </c>
      <c r="F2690" t="s">
        <v>41</v>
      </c>
      <c r="G2690">
        <v>-399.48970000000003</v>
      </c>
      <c r="H2690">
        <v>0.99737010000000004</v>
      </c>
      <c r="I2690">
        <v>213.10489999999999</v>
      </c>
      <c r="J2690">
        <v>-399.91770000000002</v>
      </c>
      <c r="K2690">
        <v>1.1103700000000001</v>
      </c>
      <c r="L2690">
        <v>213.1</v>
      </c>
      <c r="M2690">
        <v>0.99986969999999997</v>
      </c>
      <c r="N2690">
        <v>-1.236981E-2</v>
      </c>
      <c r="O2690">
        <v>1.0379869999999999E-2</v>
      </c>
      <c r="P2690">
        <v>0.92724899999999999</v>
      </c>
      <c r="Q2690">
        <v>0.35090880000000002</v>
      </c>
      <c r="R2690">
        <v>0.13066169999999999</v>
      </c>
      <c r="S2690">
        <v>3.4046020000000001</v>
      </c>
      <c r="T2690">
        <v>-0.45915810000000001</v>
      </c>
      <c r="U2690">
        <v>3.7918090000000002E-2</v>
      </c>
      <c r="V2690">
        <v>-0.12100379999999999</v>
      </c>
      <c r="W2690">
        <v>0.36237659999999999</v>
      </c>
      <c r="X2690">
        <v>0.92414359999999995</v>
      </c>
      <c r="Y2690">
        <v>-8.2534049999999999E-4</v>
      </c>
      <c r="Z2690">
        <v>-1.205072E-3</v>
      </c>
      <c r="AA2690">
        <v>0.99999890000000002</v>
      </c>
      <c r="AB2690">
        <v>42</v>
      </c>
      <c r="AC2690">
        <v>0.42799999999999699</v>
      </c>
      <c r="AD2690">
        <v>-0.1129999</v>
      </c>
      <c r="AE2690">
        <v>4.8999999999921303E-3</v>
      </c>
      <c r="AF2690">
        <v>-4.2704826445303003E-4</v>
      </c>
      <c r="AG2690">
        <v>-0.1129999</v>
      </c>
      <c r="AH2690">
        <v>0.40013944139852198</v>
      </c>
      <c r="AI2690">
        <v>105.76974035666299</v>
      </c>
      <c r="AJ2690">
        <v>90.061148818087403</v>
      </c>
      <c r="AK2690">
        <v>0.41578928838168899</v>
      </c>
      <c r="AL2690">
        <v>68.753778170921194</v>
      </c>
      <c r="AM2690">
        <v>97.459651531186196</v>
      </c>
      <c r="AN2690">
        <v>1.00000005663147</v>
      </c>
    </row>
    <row r="2691" spans="1:40" x14ac:dyDescent="0.25">
      <c r="A2691" t="str">
        <f>"20190304164654755"</f>
        <v>20190304164654755</v>
      </c>
      <c r="B2691" t="str">
        <f>"1551689214751086"</f>
        <v>1551689214751086</v>
      </c>
      <c r="C2691" t="s">
        <v>40</v>
      </c>
      <c r="D2691">
        <v>4.8336069999999998</v>
      </c>
      <c r="E2691">
        <v>0.54744669999999995</v>
      </c>
      <c r="F2691" t="s">
        <v>49</v>
      </c>
      <c r="G2691">
        <v>-384.09750000000003</v>
      </c>
      <c r="H2691" s="1">
        <v>6.8529029999999999E-7</v>
      </c>
      <c r="I2691">
        <v>213.6644</v>
      </c>
      <c r="J2691">
        <v>-398.7038</v>
      </c>
      <c r="K2691">
        <v>1.1104039999999999</v>
      </c>
      <c r="L2691">
        <v>213.11259999999999</v>
      </c>
      <c r="M2691">
        <v>0.99986529999999996</v>
      </c>
      <c r="N2691">
        <v>-1.272099E-2</v>
      </c>
      <c r="O2691">
        <v>1.037823E-2</v>
      </c>
      <c r="P2691">
        <v>0.92767900000000003</v>
      </c>
      <c r="Q2691">
        <v>0.350410099999999</v>
      </c>
      <c r="R2691">
        <v>0.12893540000000001</v>
      </c>
      <c r="S2691">
        <v>3.3085330000000002</v>
      </c>
      <c r="T2691">
        <v>-0.24469640000000001</v>
      </c>
      <c r="U2691">
        <v>0.1225281</v>
      </c>
      <c r="V2691">
        <v>-0.1192816</v>
      </c>
      <c r="W2691">
        <v>0.362205</v>
      </c>
      <c r="X2691">
        <v>0.92443470000000005</v>
      </c>
      <c r="Y2691">
        <v>-2.6569059999999999E-2</v>
      </c>
      <c r="Z2691">
        <v>5.1579619999999997E-4</v>
      </c>
      <c r="AA2691">
        <v>0.99964679999999995</v>
      </c>
      <c r="AB2691">
        <v>42</v>
      </c>
      <c r="AC2691">
        <v>14.6062999999999</v>
      </c>
      <c r="AD2691">
        <v>-1.1104033147096899</v>
      </c>
      <c r="AE2691">
        <v>0.55180000000001395</v>
      </c>
      <c r="AF2691">
        <v>-0.39787429297090299</v>
      </c>
      <c r="AG2691">
        <v>-1.1104033147096899</v>
      </c>
      <c r="AH2691">
        <v>14.527400738580701</v>
      </c>
      <c r="AI2691">
        <v>94.369277683483205</v>
      </c>
      <c r="AJ2691">
        <v>91.5688161214225</v>
      </c>
      <c r="AK2691">
        <v>14.575207432268</v>
      </c>
      <c r="AL2691">
        <v>68.764326334876799</v>
      </c>
      <c r="AM2691">
        <v>97.352361267276194</v>
      </c>
      <c r="AN2691">
        <v>1.0000000383438199</v>
      </c>
    </row>
    <row r="2692" spans="1:40" x14ac:dyDescent="0.25">
      <c r="A2692" t="str">
        <f>"20190304164654776"</f>
        <v>20190304164654776</v>
      </c>
      <c r="B2692" t="str">
        <f>"1551689214771583"</f>
        <v>1551689214771583</v>
      </c>
      <c r="C2692" t="s">
        <v>40</v>
      </c>
      <c r="D2692">
        <v>4.8147970000000004</v>
      </c>
      <c r="E2692">
        <v>0.55079669999999903</v>
      </c>
      <c r="F2692" t="s">
        <v>49</v>
      </c>
      <c r="G2692">
        <v>-380.93560000000002</v>
      </c>
      <c r="H2692" s="1">
        <v>-1.003033E-6</v>
      </c>
      <c r="I2692">
        <v>213.7955</v>
      </c>
      <c r="J2692">
        <v>-398.30040000000002</v>
      </c>
      <c r="K2692">
        <v>1.1104179999999999</v>
      </c>
      <c r="L2692">
        <v>213.11680000000001</v>
      </c>
      <c r="M2692">
        <v>0.99986399999999998</v>
      </c>
      <c r="N2692">
        <v>-1.281534E-2</v>
      </c>
      <c r="O2692">
        <v>1.037746E-2</v>
      </c>
      <c r="P2692">
        <v>0.92796080000000003</v>
      </c>
      <c r="Q2692">
        <v>0.34968779999999999</v>
      </c>
      <c r="R2692">
        <v>0.12886929999999999</v>
      </c>
      <c r="S2692">
        <v>3.2940369999999999</v>
      </c>
      <c r="T2692">
        <v>-0.2058576</v>
      </c>
      <c r="U2692">
        <v>0.1266022</v>
      </c>
      <c r="V2692">
        <v>-0.11921470000000001</v>
      </c>
      <c r="W2692">
        <v>0.36157339999999999</v>
      </c>
      <c r="X2692">
        <v>0.92469049999999997</v>
      </c>
      <c r="Y2692">
        <v>-2.797972E-2</v>
      </c>
      <c r="Z2692">
        <v>5.37913E-4</v>
      </c>
      <c r="AA2692">
        <v>0.99960830000000001</v>
      </c>
      <c r="AB2692">
        <v>42</v>
      </c>
      <c r="AC2692">
        <v>17.364799999999999</v>
      </c>
      <c r="AD2692">
        <v>-1.1104190030329999</v>
      </c>
      <c r="AE2692">
        <v>0.67869999999999198</v>
      </c>
      <c r="AF2692">
        <v>-0.49641928381253803</v>
      </c>
      <c r="AG2692">
        <v>-1.1104190030329999</v>
      </c>
      <c r="AH2692">
        <v>17.3002728650346</v>
      </c>
      <c r="AI2692">
        <v>93.670988360469394</v>
      </c>
      <c r="AJ2692">
        <v>91.6436115011754</v>
      </c>
      <c r="AK2692">
        <v>17.3429785121325</v>
      </c>
      <c r="AL2692">
        <v>68.803144492674207</v>
      </c>
      <c r="AM2692">
        <v>97.346272151564406</v>
      </c>
      <c r="AN2692">
        <v>0.99999999453694899</v>
      </c>
    </row>
    <row r="2693" spans="1:40" x14ac:dyDescent="0.25">
      <c r="A2693" t="str">
        <f>"20190304164654799"</f>
        <v>20190304164654799</v>
      </c>
      <c r="B2693" t="str">
        <f>"1551689214791606"</f>
        <v>1551689214791606</v>
      </c>
      <c r="C2693" t="s">
        <v>40</v>
      </c>
      <c r="D2693">
        <v>4.7715329999999998</v>
      </c>
      <c r="E2693">
        <v>0.54720340000000001</v>
      </c>
      <c r="F2693" t="s">
        <v>41</v>
      </c>
      <c r="G2693">
        <v>-397.25779999999997</v>
      </c>
      <c r="H2693">
        <v>1.0030239999999999</v>
      </c>
      <c r="I2693">
        <v>213.1516</v>
      </c>
      <c r="J2693">
        <v>-397.87990000000002</v>
      </c>
      <c r="K2693">
        <v>1.110425</v>
      </c>
      <c r="L2693">
        <v>213.12110000000001</v>
      </c>
      <c r="M2693">
        <v>0.9998629</v>
      </c>
      <c r="N2693">
        <v>-1.2901920000000001E-2</v>
      </c>
      <c r="O2693">
        <v>1.037709E-2</v>
      </c>
      <c r="P2693">
        <v>0.92805820000000006</v>
      </c>
      <c r="Q2693">
        <v>0.34953919999999999</v>
      </c>
      <c r="R2693">
        <v>0.12857069999999901</v>
      </c>
      <c r="S2693">
        <v>3.3472599999999999</v>
      </c>
      <c r="T2693">
        <v>-0.34491169999999999</v>
      </c>
      <c r="U2693">
        <v>0.1124115</v>
      </c>
      <c r="V2693">
        <v>-0.11891640000000001</v>
      </c>
      <c r="W2693">
        <v>0.36150589999999999</v>
      </c>
      <c r="X2693">
        <v>0.92475529999999995</v>
      </c>
      <c r="Y2693">
        <v>-2.3094770000000001E-2</v>
      </c>
      <c r="Z2693">
        <v>4.0332490000000003E-4</v>
      </c>
      <c r="AA2693">
        <v>0.99973319999999999</v>
      </c>
      <c r="AB2693">
        <v>42</v>
      </c>
      <c r="AC2693">
        <v>0.62210000000004495</v>
      </c>
      <c r="AD2693">
        <v>-0.107401</v>
      </c>
      <c r="AE2693">
        <v>3.04999999999893E-2</v>
      </c>
      <c r="AF2693">
        <v>-2.3348002420295201E-2</v>
      </c>
      <c r="AG2693">
        <v>-0.107401</v>
      </c>
      <c r="AH2693">
        <v>0.60441144566942695</v>
      </c>
      <c r="AI2693">
        <v>100.068654622663</v>
      </c>
      <c r="AJ2693">
        <v>92.212197005460396</v>
      </c>
      <c r="AK2693">
        <v>0.61432344874196798</v>
      </c>
      <c r="AL2693">
        <v>68.807292564857605</v>
      </c>
      <c r="AM2693">
        <v>97.327582386984801</v>
      </c>
      <c r="AN2693">
        <v>0.99999999540092999</v>
      </c>
    </row>
    <row r="2694" spans="1:40" x14ac:dyDescent="0.25">
      <c r="A2694" t="str">
        <f>"20190304164654822"</f>
        <v>20190304164654822</v>
      </c>
      <c r="B2694" t="str">
        <f>"1551689214811130"</f>
        <v>1551689214811130</v>
      </c>
      <c r="C2694" t="s">
        <v>40</v>
      </c>
      <c r="D2694">
        <v>4.8302189999999996</v>
      </c>
      <c r="E2694">
        <v>0.55038549999999997</v>
      </c>
      <c r="F2694" t="s">
        <v>49</v>
      </c>
      <c r="G2694">
        <v>-382.74590000000001</v>
      </c>
      <c r="H2694" s="1">
        <v>-3.6131690000000003E-8</v>
      </c>
      <c r="I2694">
        <v>213.715</v>
      </c>
      <c r="J2694">
        <v>-397.44529999999997</v>
      </c>
      <c r="K2694">
        <v>1.110441</v>
      </c>
      <c r="L2694">
        <v>213.12559999999999</v>
      </c>
      <c r="M2694">
        <v>0.99986180000000002</v>
      </c>
      <c r="N2694">
        <v>-1.2980439999999999E-2</v>
      </c>
      <c r="O2694">
        <v>1.0377239999999999E-2</v>
      </c>
      <c r="P2694">
        <v>0.92815729999999996</v>
      </c>
      <c r="Q2694">
        <v>0.34936209999999901</v>
      </c>
      <c r="R2694">
        <v>0.12833620000000001</v>
      </c>
      <c r="S2694">
        <v>3.305939</v>
      </c>
      <c r="T2694">
        <v>-0.2425668</v>
      </c>
      <c r="U2694">
        <v>0.129715</v>
      </c>
      <c r="V2694">
        <v>-0.1186812</v>
      </c>
      <c r="W2694">
        <v>0.36140220000000001</v>
      </c>
      <c r="X2694">
        <v>0.92482609999999998</v>
      </c>
      <c r="Y2694">
        <v>-2.87625E-2</v>
      </c>
      <c r="Z2694">
        <v>6.1489300000000004E-4</v>
      </c>
      <c r="AA2694">
        <v>0.99958610000000003</v>
      </c>
      <c r="AB2694">
        <v>41</v>
      </c>
      <c r="AC2694">
        <v>14.699399999999899</v>
      </c>
      <c r="AD2694">
        <v>-1.1104410361316901</v>
      </c>
      <c r="AE2694">
        <v>0.58940000000001103</v>
      </c>
      <c r="AF2694">
        <v>-0.43434147266702899</v>
      </c>
      <c r="AG2694">
        <v>-1.1104410361316901</v>
      </c>
      <c r="AH2694">
        <v>14.6214178352466</v>
      </c>
      <c r="AI2694">
        <v>94.341151543971193</v>
      </c>
      <c r="AJ2694">
        <v>91.701518779980802</v>
      </c>
      <c r="AK2694">
        <v>14.6699553960628</v>
      </c>
      <c r="AL2694">
        <v>68.813666107261497</v>
      </c>
      <c r="AM2694">
        <v>97.312692703159101</v>
      </c>
      <c r="AN2694">
        <v>1.00000004631974</v>
      </c>
    </row>
    <row r="2695" spans="1:40" x14ac:dyDescent="0.25">
      <c r="A2695" t="str">
        <f>"20190304164654843"</f>
        <v>20190304164654843</v>
      </c>
      <c r="B2695" t="str">
        <f>"1551689214831623"</f>
        <v>1551689214831623</v>
      </c>
      <c r="C2695" t="s">
        <v>40</v>
      </c>
      <c r="D2695">
        <v>4.9161789999999996</v>
      </c>
      <c r="E2695">
        <v>0.54974469999999998</v>
      </c>
      <c r="F2695" t="s">
        <v>41</v>
      </c>
      <c r="G2695">
        <v>-396.51080000000002</v>
      </c>
      <c r="H2695">
        <v>1.0140819999999999</v>
      </c>
      <c r="I2695">
        <v>213.1568</v>
      </c>
      <c r="J2695">
        <v>-397.06420000000003</v>
      </c>
      <c r="K2695">
        <v>1.110449</v>
      </c>
      <c r="L2695">
        <v>213.12960000000001</v>
      </c>
      <c r="M2695">
        <v>0.99986120000000001</v>
      </c>
      <c r="N2695">
        <v>-1.304084E-2</v>
      </c>
      <c r="O2695">
        <v>1.0377559999999999E-2</v>
      </c>
      <c r="P2695">
        <v>0.92804109999999995</v>
      </c>
      <c r="Q2695">
        <v>0.34981329999999999</v>
      </c>
      <c r="R2695">
        <v>0.12794739999999999</v>
      </c>
      <c r="S2695">
        <v>3.3465880000000001</v>
      </c>
      <c r="T2695">
        <v>-0.34518459999999901</v>
      </c>
      <c r="U2695">
        <v>0.11250309999999999</v>
      </c>
      <c r="V2695">
        <v>-0.1182933</v>
      </c>
      <c r="W2695">
        <v>0.3619077</v>
      </c>
      <c r="X2695">
        <v>0.924678</v>
      </c>
      <c r="Y2695">
        <v>-2.3127680000000001E-2</v>
      </c>
      <c r="Z2695">
        <v>4.083577E-4</v>
      </c>
      <c r="AA2695">
        <v>0.99973239999999997</v>
      </c>
      <c r="AB2695">
        <v>41</v>
      </c>
      <c r="AC2695">
        <v>0.55340000000001</v>
      </c>
      <c r="AD2695">
        <v>-9.6366999999999994E-2</v>
      </c>
      <c r="AE2695">
        <v>2.71999999999934E-2</v>
      </c>
      <c r="AF2695">
        <v>-2.0825137686723599E-2</v>
      </c>
      <c r="AG2695">
        <v>-9.6366999999999994E-2</v>
      </c>
      <c r="AH2695">
        <v>0.53739606732317902</v>
      </c>
      <c r="AI2695">
        <v>100.158882296176</v>
      </c>
      <c r="AJ2695">
        <v>92.219211918303699</v>
      </c>
      <c r="AK2695">
        <v>0.546365096087854</v>
      </c>
      <c r="AL2695">
        <v>68.782598077251507</v>
      </c>
      <c r="AM2695">
        <v>97.290204098706596</v>
      </c>
      <c r="AN2695">
        <v>0.99999994591408803</v>
      </c>
    </row>
    <row r="2696" spans="1:40" x14ac:dyDescent="0.25">
      <c r="A2696" t="str">
        <f>"20190304164654868"</f>
        <v>20190304164654868</v>
      </c>
      <c r="B2696" t="str">
        <f>"1551689214860902"</f>
        <v>1551689214860902</v>
      </c>
      <c r="C2696" t="s">
        <v>40</v>
      </c>
      <c r="D2696">
        <v>4.8567939999999998</v>
      </c>
      <c r="E2696">
        <v>0.54947919999999995</v>
      </c>
      <c r="F2696" t="s">
        <v>41</v>
      </c>
      <c r="G2696">
        <v>-396.14159999999998</v>
      </c>
      <c r="H2696">
        <v>1.0111669999999999</v>
      </c>
      <c r="I2696">
        <v>213.1617</v>
      </c>
      <c r="J2696">
        <v>-396.61349999999999</v>
      </c>
      <c r="K2696">
        <v>1.110449</v>
      </c>
      <c r="L2696">
        <v>213.1343</v>
      </c>
      <c r="M2696">
        <v>0.99986030000000004</v>
      </c>
      <c r="N2696">
        <v>-1.310297E-2</v>
      </c>
      <c r="O2696">
        <v>1.037799E-2</v>
      </c>
      <c r="P2696">
        <v>0.92800709999999997</v>
      </c>
      <c r="Q2696">
        <v>0.34989480000000001</v>
      </c>
      <c r="R2696">
        <v>0.127971</v>
      </c>
      <c r="S2696">
        <v>3.3523559999999999</v>
      </c>
      <c r="T2696">
        <v>-0.36098720000000001</v>
      </c>
      <c r="U2696">
        <v>0.11836240000000001</v>
      </c>
      <c r="V2696">
        <v>-0.1183174</v>
      </c>
      <c r="W2696">
        <v>0.36204639999999999</v>
      </c>
      <c r="X2696">
        <v>0.92462069999999996</v>
      </c>
      <c r="Y2696">
        <v>-2.4796450000000001E-2</v>
      </c>
      <c r="Z2696">
        <v>5.1556050000000004E-4</v>
      </c>
      <c r="AA2696">
        <v>0.99969240000000004</v>
      </c>
      <c r="AB2696">
        <v>41</v>
      </c>
      <c r="AC2696">
        <v>0.47190000000000498</v>
      </c>
      <c r="AD2696">
        <v>-9.9281999999999995E-2</v>
      </c>
      <c r="AE2696">
        <v>2.7400000000000001E-2</v>
      </c>
      <c r="AF2696">
        <v>-2.15500642592346E-2</v>
      </c>
      <c r="AG2696">
        <v>-9.9281999999999995E-2</v>
      </c>
      <c r="AH2696">
        <v>0.45221003469051102</v>
      </c>
      <c r="AI2696">
        <v>102.369132823806</v>
      </c>
      <c r="AJ2696">
        <v>92.728365624648404</v>
      </c>
      <c r="AK2696">
        <v>0.46348164609655301</v>
      </c>
      <c r="AL2696">
        <v>68.774074712405096</v>
      </c>
      <c r="AM2696">
        <v>97.292120366476595</v>
      </c>
      <c r="AN2696">
        <v>1.0000000208821</v>
      </c>
    </row>
    <row r="2697" spans="1:40" x14ac:dyDescent="0.25">
      <c r="A2697" t="str">
        <f>"20190304164654891"</f>
        <v>20190304164654891</v>
      </c>
      <c r="B2697" t="str">
        <f>"1551689214881399"</f>
        <v>1551689214881399</v>
      </c>
      <c r="C2697" t="s">
        <v>40</v>
      </c>
      <c r="D2697">
        <v>4.9155150000000001</v>
      </c>
      <c r="E2697">
        <v>0.54925080000000004</v>
      </c>
      <c r="F2697" t="s">
        <v>41</v>
      </c>
      <c r="G2697">
        <v>-395.76850000000002</v>
      </c>
      <c r="H2697">
        <v>1.01679599999999</v>
      </c>
      <c r="I2697">
        <v>213.1652</v>
      </c>
      <c r="J2697">
        <v>-396.17970000000003</v>
      </c>
      <c r="K2697">
        <v>1.1104609999999999</v>
      </c>
      <c r="L2697">
        <v>213.1388</v>
      </c>
      <c r="M2697">
        <v>0.99985970000000002</v>
      </c>
      <c r="N2697">
        <v>-1.315447E-2</v>
      </c>
      <c r="O2697">
        <v>1.037795E-2</v>
      </c>
      <c r="P2697">
        <v>0.92786369999999896</v>
      </c>
      <c r="Q2697">
        <v>0.3500337</v>
      </c>
      <c r="R2697">
        <v>0.1286311</v>
      </c>
      <c r="S2697">
        <v>3.3560180000000002</v>
      </c>
      <c r="T2697">
        <v>-0.37213039999999997</v>
      </c>
      <c r="U2697">
        <v>0.1237946</v>
      </c>
      <c r="V2697">
        <v>-0.1189788</v>
      </c>
      <c r="W2697">
        <v>0.36223040000000001</v>
      </c>
      <c r="X2697">
        <v>0.9244637</v>
      </c>
      <c r="Y2697">
        <v>-2.6357229999999999E-2</v>
      </c>
      <c r="Z2697">
        <v>6.1970079999999999E-4</v>
      </c>
      <c r="AA2697">
        <v>0.9996524</v>
      </c>
      <c r="AB2697">
        <v>41</v>
      </c>
      <c r="AC2697">
        <v>0.411200000000007</v>
      </c>
      <c r="AD2697">
        <v>-9.3665000000000304E-2</v>
      </c>
      <c r="AE2697">
        <v>2.6399999999995299E-2</v>
      </c>
      <c r="AF2697">
        <v>-2.10434234523467E-2</v>
      </c>
      <c r="AG2697">
        <v>-9.3665000000000304E-2</v>
      </c>
      <c r="AH2697">
        <v>0.39123561350950098</v>
      </c>
      <c r="AI2697">
        <v>103.44493878696299</v>
      </c>
      <c r="AJ2697">
        <v>93.078806239635199</v>
      </c>
      <c r="AK2697">
        <v>0.402841486410909</v>
      </c>
      <c r="AL2697">
        <v>68.762763588446603</v>
      </c>
      <c r="AM2697">
        <v>97.333672968309301</v>
      </c>
      <c r="AN2697">
        <v>0.99999997507564398</v>
      </c>
    </row>
    <row r="2698" spans="1:40" x14ac:dyDescent="0.25">
      <c r="A2698" t="str">
        <f>"20190304164654913"</f>
        <v>20190304164654913</v>
      </c>
      <c r="B2698" t="str">
        <f>"1551689214901424"</f>
        <v>1551689214901424</v>
      </c>
      <c r="C2698" t="s">
        <v>40</v>
      </c>
      <c r="D2698">
        <v>4.8735229999999996</v>
      </c>
      <c r="E2698">
        <v>0.54959829999999998</v>
      </c>
      <c r="F2698" t="s">
        <v>41</v>
      </c>
      <c r="G2698">
        <v>-395.39389999999997</v>
      </c>
      <c r="H2698">
        <v>1.023066</v>
      </c>
      <c r="I2698">
        <v>213.16839999999999</v>
      </c>
      <c r="J2698">
        <v>-395.77300000000002</v>
      </c>
      <c r="K2698">
        <v>1.1104700000000001</v>
      </c>
      <c r="L2698">
        <v>213.143</v>
      </c>
      <c r="M2698">
        <v>0.99985919999999895</v>
      </c>
      <c r="N2698">
        <v>-1.319618E-2</v>
      </c>
      <c r="O2698">
        <v>1.037803E-2</v>
      </c>
      <c r="P2698">
        <v>0.92764619999999998</v>
      </c>
      <c r="Q2698">
        <v>0.35045369999999998</v>
      </c>
      <c r="R2698">
        <v>0.129054</v>
      </c>
      <c r="S2698">
        <v>3.3562620000000001</v>
      </c>
      <c r="T2698">
        <v>-0.37350430000000001</v>
      </c>
      <c r="U2698">
        <v>0.12864690000000001</v>
      </c>
      <c r="V2698">
        <v>-0.11940439999999899</v>
      </c>
      <c r="W2698">
        <v>0.36268630000000002</v>
      </c>
      <c r="X2698">
        <v>0.92423</v>
      </c>
      <c r="Y2698">
        <v>-2.778684E-2</v>
      </c>
      <c r="Z2698">
        <v>7.1052929999999902E-4</v>
      </c>
      <c r="AA2698">
        <v>0.99961359999999999</v>
      </c>
      <c r="AB2698">
        <v>41</v>
      </c>
      <c r="AC2698">
        <v>0.37910000000005001</v>
      </c>
      <c r="AD2698">
        <v>-8.7403999999999996E-2</v>
      </c>
      <c r="AE2698">
        <v>2.53999999999905E-2</v>
      </c>
      <c r="AF2698">
        <v>-2.03852177913223E-2</v>
      </c>
      <c r="AG2698">
        <v>-8.7403999999999996E-2</v>
      </c>
      <c r="AH2698">
        <v>0.36027774703448501</v>
      </c>
      <c r="AI2698">
        <v>103.615633194316</v>
      </c>
      <c r="AJ2698">
        <v>93.238453939851794</v>
      </c>
      <c r="AK2698">
        <v>0.37128839374352202</v>
      </c>
      <c r="AL2698">
        <v>68.734735554352795</v>
      </c>
      <c r="AM2698">
        <v>97.361459744602399</v>
      </c>
      <c r="AN2698">
        <v>0.99999992792352199</v>
      </c>
    </row>
    <row r="2699" spans="1:40" x14ac:dyDescent="0.25">
      <c r="A2699" t="str">
        <f>"20190304164654933"</f>
        <v>20190304164654933</v>
      </c>
      <c r="B2699" t="str">
        <f>"1551689214920945"</f>
        <v>1551689214920945</v>
      </c>
      <c r="C2699" t="s">
        <v>40</v>
      </c>
      <c r="D2699">
        <v>4.8970710000000004</v>
      </c>
      <c r="E2699">
        <v>0.54922919999999997</v>
      </c>
      <c r="F2699" t="s">
        <v>41</v>
      </c>
      <c r="G2699">
        <v>-395.02030000000002</v>
      </c>
      <c r="H2699">
        <v>1.0275219999999901</v>
      </c>
      <c r="I2699">
        <v>213.1711</v>
      </c>
      <c r="J2699">
        <v>-395.39260000000002</v>
      </c>
      <c r="K2699">
        <v>1.1104700000000001</v>
      </c>
      <c r="L2699">
        <v>213.14699999999999</v>
      </c>
      <c r="M2699">
        <v>0.99985860000000004</v>
      </c>
      <c r="N2699">
        <v>-1.322981E-2</v>
      </c>
      <c r="O2699">
        <v>1.0379670000000001E-2</v>
      </c>
      <c r="P2699">
        <v>0.92772529999999997</v>
      </c>
      <c r="Q2699">
        <v>0.35023549999999998</v>
      </c>
      <c r="R2699">
        <v>0.1290771</v>
      </c>
      <c r="S2699">
        <v>3.356201</v>
      </c>
      <c r="T2699">
        <v>-0.36990060000000002</v>
      </c>
      <c r="U2699">
        <v>0.1260529</v>
      </c>
      <c r="V2699">
        <v>-0.119426</v>
      </c>
      <c r="W2699">
        <v>0.36250009999999999</v>
      </c>
      <c r="X2699">
        <v>0.92430029999999996</v>
      </c>
      <c r="Y2699">
        <v>-2.7021900000000001E-2</v>
      </c>
      <c r="Z2699">
        <v>6.6036489999999996E-4</v>
      </c>
      <c r="AA2699">
        <v>0.99963460000000004</v>
      </c>
      <c r="AB2699">
        <v>41</v>
      </c>
      <c r="AC2699">
        <v>0.37229999999999502</v>
      </c>
      <c r="AD2699">
        <v>-8.2948000000000202E-2</v>
      </c>
      <c r="AE2699">
        <v>2.4099999999975801E-2</v>
      </c>
      <c r="AF2699">
        <v>-1.9280914534743201E-2</v>
      </c>
      <c r="AG2699">
        <v>-8.2948000000000202E-2</v>
      </c>
      <c r="AH2699">
        <v>0.35498255241729598</v>
      </c>
      <c r="AI2699">
        <v>103.13351014749701</v>
      </c>
      <c r="AJ2699">
        <v>93.108971379454701</v>
      </c>
      <c r="AK2699">
        <v>0.365054430037487</v>
      </c>
      <c r="AL2699">
        <v>68.7461839599776</v>
      </c>
      <c r="AM2699">
        <v>97.362222955497202</v>
      </c>
      <c r="AN2699">
        <v>0.99999996827804905</v>
      </c>
    </row>
    <row r="2700" spans="1:40" x14ac:dyDescent="0.25">
      <c r="A2700" t="str">
        <f>"20190304164654955"</f>
        <v>20190304164654955</v>
      </c>
      <c r="B2700" t="str">
        <f>"1551689214951201"</f>
        <v>1551689214951201</v>
      </c>
      <c r="C2700" t="s">
        <v>40</v>
      </c>
      <c r="D2700">
        <v>4.8766540000000003</v>
      </c>
      <c r="E2700">
        <v>0.54890450000000002</v>
      </c>
      <c r="F2700" t="s">
        <v>41</v>
      </c>
      <c r="G2700">
        <v>-394.65</v>
      </c>
      <c r="H2700">
        <v>1.0278130000000001</v>
      </c>
      <c r="I2700">
        <v>213.17519999999999</v>
      </c>
      <c r="J2700">
        <v>-395.00049999999999</v>
      </c>
      <c r="K2700">
        <v>1.1104780000000001</v>
      </c>
      <c r="L2700">
        <v>213.15100000000001</v>
      </c>
      <c r="M2700">
        <v>0.99985829999999998</v>
      </c>
      <c r="N2700">
        <v>-1.325666E-2</v>
      </c>
      <c r="O2700">
        <v>1.0386569999999999E-2</v>
      </c>
      <c r="P2700">
        <v>0.92804569999999997</v>
      </c>
      <c r="Q2700">
        <v>0.3497499</v>
      </c>
      <c r="R2700">
        <v>0.1280876</v>
      </c>
      <c r="S2700">
        <v>3.3568120000000001</v>
      </c>
      <c r="T2700">
        <v>-0.37385030000000002</v>
      </c>
      <c r="U2700">
        <v>0.129776</v>
      </c>
      <c r="V2700">
        <v>-0.1184296</v>
      </c>
      <c r="W2700">
        <v>0.36204239999999999</v>
      </c>
      <c r="X2700">
        <v>0.92460790000000004</v>
      </c>
      <c r="Y2700">
        <v>-2.810528E-2</v>
      </c>
      <c r="Z2700">
        <v>7.3124919999999996E-4</v>
      </c>
      <c r="AA2700">
        <v>0.99960470000000001</v>
      </c>
      <c r="AB2700">
        <v>41</v>
      </c>
      <c r="AC2700">
        <v>0.35050000000001003</v>
      </c>
      <c r="AD2700">
        <v>-8.2665000000000197E-2</v>
      </c>
      <c r="AE2700">
        <v>2.42000000000075E-2</v>
      </c>
      <c r="AF2700">
        <v>-1.9479483476908699E-2</v>
      </c>
      <c r="AG2700">
        <v>-8.2665000000000197E-2</v>
      </c>
      <c r="AH2700">
        <v>0.33233419984479501</v>
      </c>
      <c r="AI2700">
        <v>103.945309907908</v>
      </c>
      <c r="AJ2700">
        <v>93.354504784255397</v>
      </c>
      <c r="AK2700">
        <v>0.34301453742954902</v>
      </c>
      <c r="AL2700">
        <v>68.774320536014002</v>
      </c>
      <c r="AM2700">
        <v>97.299060878186694</v>
      </c>
      <c r="AN2700">
        <v>1.0000000191481599</v>
      </c>
    </row>
    <row r="2701" spans="1:40" x14ac:dyDescent="0.25">
      <c r="A2701" t="str">
        <f>"20190304164654977"</f>
        <v>20190304164654977</v>
      </c>
      <c r="B2701" t="str">
        <f>"1551689214971697"</f>
        <v>1551689214971697</v>
      </c>
      <c r="C2701" t="s">
        <v>40</v>
      </c>
      <c r="D2701">
        <v>4.8617780000000002</v>
      </c>
      <c r="E2701">
        <v>0.54866150000000002</v>
      </c>
      <c r="F2701" t="s">
        <v>41</v>
      </c>
      <c r="G2701">
        <v>-393.9316</v>
      </c>
      <c r="H2701">
        <v>0.98970199999999997</v>
      </c>
      <c r="I2701">
        <v>213.1919</v>
      </c>
      <c r="J2701">
        <v>-394.57260000000002</v>
      </c>
      <c r="K2701">
        <v>1.1104860000000001</v>
      </c>
      <c r="L2701">
        <v>213.15549999999999</v>
      </c>
      <c r="M2701">
        <v>0.99985780000000002</v>
      </c>
      <c r="N2701">
        <v>-1.3276909999999999E-2</v>
      </c>
      <c r="O2701">
        <v>1.0406530000000001E-2</v>
      </c>
      <c r="P2701">
        <v>0.92837250000000004</v>
      </c>
      <c r="Q2701">
        <v>0.34916029999999998</v>
      </c>
      <c r="R2701">
        <v>0.1273262</v>
      </c>
      <c r="S2701">
        <v>3.3577880000000002</v>
      </c>
      <c r="T2701">
        <v>-0.37945030000000002</v>
      </c>
      <c r="U2701">
        <v>0.12895200000000001</v>
      </c>
      <c r="V2701">
        <v>-0.1176536</v>
      </c>
      <c r="W2701">
        <v>0.36147380000000001</v>
      </c>
      <c r="X2701">
        <v>0.92492940000000001</v>
      </c>
      <c r="Y2701">
        <v>-2.782743E-2</v>
      </c>
      <c r="Z2701">
        <v>7.1821160000000005E-4</v>
      </c>
      <c r="AA2701">
        <v>0.99961250000000001</v>
      </c>
      <c r="AB2701">
        <v>41</v>
      </c>
      <c r="AC2701">
        <v>0.641000000000019</v>
      </c>
      <c r="AD2701">
        <v>-0.120783999999999</v>
      </c>
      <c r="AE2701">
        <v>3.6400000000014601E-2</v>
      </c>
      <c r="AF2701">
        <v>-2.87107267748451E-2</v>
      </c>
      <c r="AG2701">
        <v>-0.120783999999999</v>
      </c>
      <c r="AH2701">
        <v>0.61942157486182003</v>
      </c>
      <c r="AI2701">
        <v>101.02237958630199</v>
      </c>
      <c r="AJ2701">
        <v>92.653809635492195</v>
      </c>
      <c r="AK2701">
        <v>0.63174058591500704</v>
      </c>
      <c r="AL2701">
        <v>68.8092660628418</v>
      </c>
      <c r="AM2701">
        <v>97.249251327344297</v>
      </c>
      <c r="AN2701">
        <v>1.00000003633187</v>
      </c>
    </row>
    <row r="2702" spans="1:40" x14ac:dyDescent="0.25">
      <c r="A2702" t="str">
        <f>"20190304164655000"</f>
        <v>20190304164655000</v>
      </c>
      <c r="B2702" t="str">
        <f>"1551689214991217"</f>
        <v>1551689214991217</v>
      </c>
      <c r="C2702" t="s">
        <v>40</v>
      </c>
      <c r="D2702">
        <v>4.8772640000000003</v>
      </c>
      <c r="E2702">
        <v>0.54850940000000004</v>
      </c>
      <c r="F2702" t="s">
        <v>41</v>
      </c>
      <c r="G2702">
        <v>-393.55959999999999</v>
      </c>
      <c r="H2702">
        <v>0.9949867</v>
      </c>
      <c r="I2702">
        <v>213.19450000000001</v>
      </c>
      <c r="J2702">
        <v>-394.14429999999999</v>
      </c>
      <c r="K2702">
        <v>1.11049</v>
      </c>
      <c r="L2702">
        <v>213.16</v>
      </c>
      <c r="M2702">
        <v>0.99985729999999995</v>
      </c>
      <c r="N2702">
        <v>-1.32905E-2</v>
      </c>
      <c r="O2702">
        <v>1.043964E-2</v>
      </c>
      <c r="P2702">
        <v>0.92848249999999999</v>
      </c>
      <c r="Q2702">
        <v>0.34924300000000003</v>
      </c>
      <c r="R2702">
        <v>0.1262943</v>
      </c>
      <c r="S2702">
        <v>3.3577270000000001</v>
      </c>
      <c r="T2702">
        <v>-0.38284980000000002</v>
      </c>
      <c r="U2702">
        <v>0.12918089999999999</v>
      </c>
      <c r="V2702">
        <v>-0.1165993</v>
      </c>
      <c r="W2702">
        <v>0.36156719999999998</v>
      </c>
      <c r="X2702">
        <v>0.92502640000000003</v>
      </c>
      <c r="Y2702">
        <v>-2.7860639999999999E-2</v>
      </c>
      <c r="Z2702">
        <v>7.2085559999999897E-4</v>
      </c>
      <c r="AA2702">
        <v>0.99961160000000004</v>
      </c>
      <c r="AB2702">
        <v>41</v>
      </c>
      <c r="AC2702">
        <v>0.584699999999997</v>
      </c>
      <c r="AD2702">
        <v>-0.115503299999999</v>
      </c>
      <c r="AE2702">
        <v>3.4500000000008399E-2</v>
      </c>
      <c r="AF2702">
        <v>-2.7330693534391302E-2</v>
      </c>
      <c r="AG2702">
        <v>-0.115503299999999</v>
      </c>
      <c r="AH2702">
        <v>0.56312947288399995</v>
      </c>
      <c r="AI2702">
        <v>101.577896960746</v>
      </c>
      <c r="AJ2702">
        <v>92.778589431643198</v>
      </c>
      <c r="AK2702">
        <v>0.57550220012661402</v>
      </c>
      <c r="AL2702">
        <v>68.8035264870866</v>
      </c>
      <c r="AM2702">
        <v>97.184226762257097</v>
      </c>
      <c r="AN2702">
        <v>1.0000000387866399</v>
      </c>
    </row>
    <row r="2703" spans="1:40" x14ac:dyDescent="0.25">
      <c r="A2703" t="str">
        <f>"20190304164655024"</f>
        <v>20190304164655024</v>
      </c>
      <c r="B2703" t="str">
        <f>"1551689215011713"</f>
        <v>1551689215011713</v>
      </c>
      <c r="C2703" t="s">
        <v>40</v>
      </c>
      <c r="D2703">
        <v>4.8860140000000003</v>
      </c>
      <c r="E2703">
        <v>0.54843399999999998</v>
      </c>
      <c r="F2703" t="s">
        <v>41</v>
      </c>
      <c r="G2703">
        <v>-393.18729999999999</v>
      </c>
      <c r="H2703">
        <v>1.0011760000000001</v>
      </c>
      <c r="I2703">
        <v>213.196</v>
      </c>
      <c r="J2703">
        <v>-393.7208</v>
      </c>
      <c r="K2703">
        <v>1.1105050000000001</v>
      </c>
      <c r="L2703">
        <v>213.1644</v>
      </c>
      <c r="M2703">
        <v>0.99985670000000004</v>
      </c>
      <c r="N2703">
        <v>-1.329638E-2</v>
      </c>
      <c r="O2703">
        <v>1.0490859999999999E-2</v>
      </c>
      <c r="P2703">
        <v>0.92872509999999997</v>
      </c>
      <c r="Q2703">
        <v>0.3489063</v>
      </c>
      <c r="R2703">
        <v>0.12543699999999999</v>
      </c>
      <c r="S2703">
        <v>3.358063</v>
      </c>
      <c r="T2703">
        <v>-0.3836598</v>
      </c>
      <c r="U2703">
        <v>0.12741089999999999</v>
      </c>
      <c r="V2703">
        <v>-0.1157048</v>
      </c>
      <c r="W2703">
        <v>0.36123509999999998</v>
      </c>
      <c r="X2703">
        <v>0.92526839999999999</v>
      </c>
      <c r="Y2703">
        <v>-2.728336E-2</v>
      </c>
      <c r="Z2703">
        <v>6.7993419999999897E-4</v>
      </c>
      <c r="AA2703">
        <v>0.9996275</v>
      </c>
      <c r="AB2703">
        <v>41</v>
      </c>
      <c r="AC2703">
        <v>0.53350000000000297</v>
      </c>
      <c r="AD2703">
        <v>-0.109328999999999</v>
      </c>
      <c r="AE2703">
        <v>3.1599999999997401E-2</v>
      </c>
      <c r="AF2703">
        <v>-2.49564984165156E-2</v>
      </c>
      <c r="AG2703">
        <v>-0.109328999999999</v>
      </c>
      <c r="AH2703">
        <v>0.512360603884636</v>
      </c>
      <c r="AI2703">
        <v>102.031444550666</v>
      </c>
      <c r="AJ2703">
        <v>92.788607843141904</v>
      </c>
      <c r="AK2703">
        <v>0.52448931873513105</v>
      </c>
      <c r="AL2703">
        <v>68.823932984543404</v>
      </c>
      <c r="AM2703">
        <v>97.127836228623096</v>
      </c>
      <c r="AN2703">
        <v>1.0000000051268001</v>
      </c>
    </row>
    <row r="2704" spans="1:40" x14ac:dyDescent="0.25">
      <c r="A2704" t="str">
        <f>"20190304164655043"</f>
        <v>20190304164655043</v>
      </c>
      <c r="B2704" t="str">
        <f>"1551689215031233"</f>
        <v>1551689215031233</v>
      </c>
      <c r="C2704" t="s">
        <v>40</v>
      </c>
      <c r="D2704">
        <v>4.8115389999999998</v>
      </c>
      <c r="E2704">
        <v>0.548365199999999</v>
      </c>
      <c r="F2704" t="s">
        <v>41</v>
      </c>
      <c r="G2704">
        <v>-392.81560000000002</v>
      </c>
      <c r="H2704">
        <v>1.0064599999999999</v>
      </c>
      <c r="I2704">
        <v>213.1979</v>
      </c>
      <c r="J2704">
        <v>-393.35390000000001</v>
      </c>
      <c r="K2704">
        <v>1.110517</v>
      </c>
      <c r="L2704">
        <v>213.16829999999999</v>
      </c>
      <c r="M2704">
        <v>0.99985599999999997</v>
      </c>
      <c r="N2704">
        <v>-1.3295410000000001E-2</v>
      </c>
      <c r="O2704">
        <v>1.0553470000000001E-2</v>
      </c>
      <c r="P2704">
        <v>0.92893210000000004</v>
      </c>
      <c r="Q2704">
        <v>0.34858749999999999</v>
      </c>
      <c r="R2704">
        <v>0.1247886</v>
      </c>
      <c r="S2704">
        <v>3.3584589999999999</v>
      </c>
      <c r="T2704">
        <v>-0.38609080000000001</v>
      </c>
      <c r="U2704">
        <v>0.1246338</v>
      </c>
      <c r="V2704">
        <v>-0.1150098</v>
      </c>
      <c r="W2704">
        <v>0.3609135</v>
      </c>
      <c r="X2704">
        <v>0.92548050000000004</v>
      </c>
      <c r="Y2704">
        <v>-2.639611E-2</v>
      </c>
      <c r="Z2704">
        <v>6.1905489999999896E-4</v>
      </c>
      <c r="AA2704">
        <v>0.99965139999999997</v>
      </c>
      <c r="AB2704">
        <v>41</v>
      </c>
      <c r="AC2704">
        <v>0.53829999999999201</v>
      </c>
      <c r="AD2704">
        <v>-0.104056999999999</v>
      </c>
      <c r="AE2704">
        <v>2.96000000000162E-2</v>
      </c>
      <c r="AF2704">
        <v>-2.3057898465565801E-2</v>
      </c>
      <c r="AG2704">
        <v>-0.104056999999999</v>
      </c>
      <c r="AH2704">
        <v>0.51923828990203702</v>
      </c>
      <c r="AI2704">
        <v>101.32127361569501</v>
      </c>
      <c r="AJ2704">
        <v>92.542672417733897</v>
      </c>
      <c r="AK2704">
        <v>0.53006407879712103</v>
      </c>
      <c r="AL2704">
        <v>68.843691823347697</v>
      </c>
      <c r="AM2704">
        <v>97.083850835449496</v>
      </c>
      <c r="AN2704">
        <v>0.999999982229269</v>
      </c>
    </row>
    <row r="2705" spans="1:40" x14ac:dyDescent="0.25">
      <c r="A2705" t="str">
        <f>"20190304164655069"</f>
        <v>20190304164655069</v>
      </c>
      <c r="B2705" t="str">
        <f>"1551689215061489"</f>
        <v>1551689215061489</v>
      </c>
      <c r="C2705" t="s">
        <v>40</v>
      </c>
      <c r="D2705">
        <v>5.3893170000000001</v>
      </c>
      <c r="E2705">
        <v>0.54825389999999996</v>
      </c>
      <c r="F2705" t="s">
        <v>41</v>
      </c>
      <c r="G2705">
        <v>-392.44659999999999</v>
      </c>
      <c r="H2705">
        <v>1.0062329999999999</v>
      </c>
      <c r="I2705">
        <v>213.20079999999999</v>
      </c>
      <c r="J2705">
        <v>-392.90129999999999</v>
      </c>
      <c r="K2705">
        <v>1.1105480000000001</v>
      </c>
      <c r="L2705">
        <v>213.17320000000001</v>
      </c>
      <c r="M2705">
        <v>0.9998551</v>
      </c>
      <c r="N2705">
        <v>-1.3286859999999999E-2</v>
      </c>
      <c r="O2705">
        <v>1.0650349999999999E-2</v>
      </c>
      <c r="P2705">
        <v>0.92889849999999996</v>
      </c>
      <c r="Q2705">
        <v>0.34875850000000003</v>
      </c>
      <c r="R2705">
        <v>0.12456109999999999</v>
      </c>
      <c r="S2705">
        <v>3.3581539999999999</v>
      </c>
      <c r="T2705">
        <v>-0.38607419999999998</v>
      </c>
      <c r="U2705">
        <v>0.12120060000000001</v>
      </c>
      <c r="V2705">
        <v>-0.1147142</v>
      </c>
      <c r="W2705">
        <v>0.36106959999999999</v>
      </c>
      <c r="X2705">
        <v>0.92545630000000001</v>
      </c>
      <c r="Y2705">
        <v>-2.529058E-2</v>
      </c>
      <c r="Z2705">
        <v>5.3836200000000002E-4</v>
      </c>
      <c r="AA2705">
        <v>0.99968000000000001</v>
      </c>
      <c r="AB2705">
        <v>41</v>
      </c>
      <c r="AC2705">
        <v>0.45470000000000199</v>
      </c>
      <c r="AD2705">
        <v>-0.10431499999999901</v>
      </c>
      <c r="AE2705">
        <v>2.7599999999978302E-2</v>
      </c>
      <c r="AF2705">
        <v>-2.1621503890351799E-2</v>
      </c>
      <c r="AG2705">
        <v>-0.10431499999999901</v>
      </c>
      <c r="AH2705">
        <v>0.43229925698431598</v>
      </c>
      <c r="AI2705">
        <v>103.54997775982299</v>
      </c>
      <c r="AJ2705">
        <v>92.863269995513704</v>
      </c>
      <c r="AK2705">
        <v>0.44523224978057502</v>
      </c>
      <c r="AL2705">
        <v>68.834101278380402</v>
      </c>
      <c r="AM2705">
        <v>97.066010980206997</v>
      </c>
      <c r="AN2705">
        <v>0.99999998346774399</v>
      </c>
    </row>
    <row r="2706" spans="1:40" x14ac:dyDescent="0.25">
      <c r="A2706" t="str">
        <f>"20190304164655091"</f>
        <v>20190304164655091</v>
      </c>
      <c r="B2706" t="str">
        <f>"1551689215081009"</f>
        <v>1551689215081009</v>
      </c>
      <c r="C2706" t="s">
        <v>40</v>
      </c>
      <c r="D2706">
        <v>4.8765199999999904</v>
      </c>
      <c r="E2706">
        <v>0.54437780000000002</v>
      </c>
      <c r="F2706" t="s">
        <v>41</v>
      </c>
      <c r="G2706">
        <v>-392.0729</v>
      </c>
      <c r="H2706">
        <v>1.0159720000000001</v>
      </c>
      <c r="I2706">
        <v>213.20259999999999</v>
      </c>
      <c r="J2706">
        <v>-392.4753</v>
      </c>
      <c r="K2706">
        <v>1.110565</v>
      </c>
      <c r="L2706">
        <v>213.17789999999999</v>
      </c>
      <c r="M2706">
        <v>0.99985409999999997</v>
      </c>
      <c r="N2706">
        <v>-1.3274660000000001E-2</v>
      </c>
      <c r="O2706">
        <v>1.076092E-2</v>
      </c>
      <c r="P2706">
        <v>0.92872679999999996</v>
      </c>
      <c r="Q2706">
        <v>0.34886400000000001</v>
      </c>
      <c r="R2706">
        <v>0.12554129999999999</v>
      </c>
      <c r="S2706">
        <v>3.3575439999999999</v>
      </c>
      <c r="T2706">
        <v>-0.38340180000000001</v>
      </c>
      <c r="U2706">
        <v>0.119751</v>
      </c>
      <c r="V2706">
        <v>-0.11561200000000001</v>
      </c>
      <c r="W2706">
        <v>0.36115589999999997</v>
      </c>
      <c r="X2706">
        <v>0.92531090000000005</v>
      </c>
      <c r="Y2706">
        <v>-2.4761499999999999E-2</v>
      </c>
      <c r="Z2706">
        <v>4.9180230000000005E-4</v>
      </c>
      <c r="AA2706">
        <v>0.99969330000000001</v>
      </c>
      <c r="AB2706">
        <v>41</v>
      </c>
      <c r="AC2706">
        <v>0.40239999999999998</v>
      </c>
      <c r="AD2706">
        <v>-9.4593000000000094E-2</v>
      </c>
      <c r="AE2706">
        <v>2.4699999999995701E-2</v>
      </c>
      <c r="AF2706">
        <v>-1.9305214133644701E-2</v>
      </c>
      <c r="AG2706">
        <v>-9.4593000000000094E-2</v>
      </c>
      <c r="AH2706">
        <v>0.38163305831744099</v>
      </c>
      <c r="AI2706">
        <v>103.903900229068</v>
      </c>
      <c r="AJ2706">
        <v>92.895884497050503</v>
      </c>
      <c r="AK2706">
        <v>0.39365507508791198</v>
      </c>
      <c r="AL2706">
        <v>68.828799004914899</v>
      </c>
      <c r="AM2706">
        <v>97.121854376937407</v>
      </c>
      <c r="AN2706">
        <v>0.99999999015381003</v>
      </c>
    </row>
    <row r="2707" spans="1:40" x14ac:dyDescent="0.25">
      <c r="A2707" t="str">
        <f>"20190304164655134"</f>
        <v>20190304164655134</v>
      </c>
      <c r="B2707" t="str">
        <f>"1551689215121028"</f>
        <v>1551689215121028</v>
      </c>
      <c r="C2707" t="s">
        <v>40</v>
      </c>
      <c r="D2707">
        <v>4.7833769999999998</v>
      </c>
      <c r="E2707">
        <v>0.5448712</v>
      </c>
      <c r="F2707" t="s">
        <v>49</v>
      </c>
      <c r="G2707">
        <v>-378.80070000000001</v>
      </c>
      <c r="H2707" s="1">
        <v>3.1465179999999999E-6</v>
      </c>
      <c r="I2707">
        <v>213.76230000000001</v>
      </c>
      <c r="J2707">
        <v>-391.69630000000001</v>
      </c>
      <c r="K2707">
        <v>1.1105910000000001</v>
      </c>
      <c r="L2707">
        <v>213.1866</v>
      </c>
      <c r="M2707">
        <v>0.99985179999999996</v>
      </c>
      <c r="N2707">
        <v>-1.325059E-2</v>
      </c>
      <c r="O2707">
        <v>1.1003249999999999E-2</v>
      </c>
      <c r="P2707">
        <v>0.92828330000000003</v>
      </c>
      <c r="Q2707">
        <v>0.34912379999999998</v>
      </c>
      <c r="R2707">
        <v>0.1280733</v>
      </c>
      <c r="S2707">
        <v>3.3121339999999901</v>
      </c>
      <c r="T2707">
        <v>-0.26899119999999999</v>
      </c>
      <c r="U2707">
        <v>0.14154050000000001</v>
      </c>
      <c r="V2707">
        <v>-0.1179475</v>
      </c>
      <c r="W2707">
        <v>0.36137999999999998</v>
      </c>
      <c r="X2707">
        <v>0.92492859999999999</v>
      </c>
      <c r="Y2707">
        <v>-3.1602640000000001E-2</v>
      </c>
      <c r="Z2707">
        <v>7.4434990000000003E-4</v>
      </c>
      <c r="AA2707">
        <v>0.99950019999999995</v>
      </c>
      <c r="AB2707">
        <v>41</v>
      </c>
      <c r="AC2707">
        <v>12.8956</v>
      </c>
      <c r="AD2707">
        <v>-1.110587853482</v>
      </c>
      <c r="AE2707">
        <v>0.57570000000001098</v>
      </c>
      <c r="AF2707">
        <v>-0.43057203270206401</v>
      </c>
      <c r="AG2707">
        <v>-1.110587853482</v>
      </c>
      <c r="AH2707">
        <v>12.806359691020599</v>
      </c>
      <c r="AI2707">
        <v>94.953595689808793</v>
      </c>
      <c r="AJ2707">
        <v>91.925658136326902</v>
      </c>
      <c r="AK2707">
        <v>12.861634662493101</v>
      </c>
      <c r="AL2707">
        <v>68.815029600991295</v>
      </c>
      <c r="AM2707">
        <v>97.267172902804504</v>
      </c>
      <c r="AN2707">
        <v>1.0000000161271001</v>
      </c>
    </row>
    <row r="2708" spans="1:40" x14ac:dyDescent="0.25">
      <c r="A2708" t="str">
        <f>"20190304164655157"</f>
        <v>20190304164655157</v>
      </c>
      <c r="B2708" t="str">
        <f>"1551689215151281"</f>
        <v>1551689215151281</v>
      </c>
      <c r="C2708" t="s">
        <v>40</v>
      </c>
      <c r="D2708">
        <v>4.853459</v>
      </c>
      <c r="E2708">
        <v>0.54510069999999999</v>
      </c>
      <c r="F2708" t="s">
        <v>49</v>
      </c>
      <c r="G2708">
        <v>-378.0068</v>
      </c>
      <c r="H2708" s="1">
        <v>2.724049E-6</v>
      </c>
      <c r="I2708">
        <v>213.79499999999999</v>
      </c>
      <c r="J2708">
        <v>-391.28800000000001</v>
      </c>
      <c r="K2708">
        <v>1.1106039999999999</v>
      </c>
      <c r="L2708">
        <v>213.19120000000001</v>
      </c>
      <c r="M2708">
        <v>0.99985040000000003</v>
      </c>
      <c r="N2708">
        <v>-1.323911E-2</v>
      </c>
      <c r="O2708">
        <v>1.1139960000000001E-2</v>
      </c>
      <c r="P2708">
        <v>0.92813429999999997</v>
      </c>
      <c r="Q2708">
        <v>0.34916589999999997</v>
      </c>
      <c r="R2708">
        <v>0.12903510000000001</v>
      </c>
      <c r="S2708">
        <v>3.3125309999999999</v>
      </c>
      <c r="T2708">
        <v>-0.26873720000000001</v>
      </c>
      <c r="U2708">
        <v>0.1472321</v>
      </c>
      <c r="V2708">
        <v>-0.1187921</v>
      </c>
      <c r="W2708">
        <v>0.36140670000000003</v>
      </c>
      <c r="X2708">
        <v>0.92481009999999997</v>
      </c>
      <c r="Y2708">
        <v>-3.3169450000000003E-2</v>
      </c>
      <c r="Z2708">
        <v>8.0817789999999997E-4</v>
      </c>
      <c r="AA2708">
        <v>0.99944940000000004</v>
      </c>
      <c r="AB2708">
        <v>41</v>
      </c>
      <c r="AC2708">
        <v>13.2812</v>
      </c>
      <c r="AD2708">
        <v>-1.110601275951</v>
      </c>
      <c r="AE2708">
        <v>0.60379999999997802</v>
      </c>
      <c r="AF2708">
        <v>-0.45263892030776798</v>
      </c>
      <c r="AG2708">
        <v>-1.110601275951</v>
      </c>
      <c r="AH2708">
        <v>13.195024778040199</v>
      </c>
      <c r="AI2708">
        <v>94.808326953063897</v>
      </c>
      <c r="AJ2708">
        <v>91.964690076754806</v>
      </c>
      <c r="AK2708">
        <v>13.249414933475901</v>
      </c>
      <c r="AL2708">
        <v>68.813389522107002</v>
      </c>
      <c r="AM2708">
        <v>97.319577138795793</v>
      </c>
      <c r="AN2708">
        <v>1.0000000434446501</v>
      </c>
    </row>
    <row r="2709" spans="1:40" x14ac:dyDescent="0.25">
      <c r="A2709" t="str">
        <f>"20190304164655178"</f>
        <v>20190304164655178</v>
      </c>
      <c r="B2709" t="str">
        <f>"1551689215170801"</f>
        <v>1551689215170801</v>
      </c>
      <c r="C2709" t="s">
        <v>40</v>
      </c>
      <c r="D2709">
        <v>4.8722909999999997</v>
      </c>
      <c r="E2709">
        <v>0.54958130000000005</v>
      </c>
      <c r="F2709" t="s">
        <v>49</v>
      </c>
      <c r="G2709">
        <v>-377.45580000000001</v>
      </c>
      <c r="H2709" s="1">
        <v>2.4308429999999998E-6</v>
      </c>
      <c r="I2709">
        <v>213.8169</v>
      </c>
      <c r="J2709">
        <v>-390.86360000000002</v>
      </c>
      <c r="K2709">
        <v>1.110619</v>
      </c>
      <c r="L2709">
        <v>213.1961</v>
      </c>
      <c r="M2709">
        <v>0.99984879999999998</v>
      </c>
      <c r="N2709">
        <v>-1.323653E-2</v>
      </c>
      <c r="O2709">
        <v>1.128555E-2</v>
      </c>
      <c r="P2709">
        <v>0.92821319999999996</v>
      </c>
      <c r="Q2709">
        <v>0.34875089999999997</v>
      </c>
      <c r="R2709">
        <v>0.12958939999999999</v>
      </c>
      <c r="S2709">
        <v>3.3114620000000001</v>
      </c>
      <c r="T2709">
        <v>-0.26588119999999998</v>
      </c>
      <c r="U2709">
        <v>0.1497955</v>
      </c>
      <c r="V2709">
        <v>-0.1192145</v>
      </c>
      <c r="W2709">
        <v>0.36098910000000001</v>
      </c>
      <c r="X2709">
        <v>0.92491880000000004</v>
      </c>
      <c r="Y2709">
        <v>-3.3810079999999999E-2</v>
      </c>
      <c r="Z2709">
        <v>8.2374339999999996E-4</v>
      </c>
      <c r="AA2709">
        <v>0.99942790000000004</v>
      </c>
      <c r="AB2709">
        <v>41</v>
      </c>
      <c r="AC2709">
        <v>13.4078</v>
      </c>
      <c r="AD2709">
        <v>-1.110616569157</v>
      </c>
      <c r="AE2709">
        <v>0.62080000000000202</v>
      </c>
      <c r="AF2709">
        <v>-0.46624059465072298</v>
      </c>
      <c r="AG2709">
        <v>-1.110616569157</v>
      </c>
      <c r="AH2709">
        <v>13.3227355008557</v>
      </c>
      <c r="AI2709">
        <v>94.762399455188003</v>
      </c>
      <c r="AJ2709">
        <v>92.004297153182705</v>
      </c>
      <c r="AK2709">
        <v>13.3770748178197</v>
      </c>
      <c r="AL2709">
        <v>68.839047687928598</v>
      </c>
      <c r="AM2709">
        <v>97.344466466777504</v>
      </c>
      <c r="AN2709">
        <v>1.00000000696125</v>
      </c>
    </row>
    <row r="2710" spans="1:40" x14ac:dyDescent="0.25">
      <c r="A2710" t="str">
        <f>"20190304164655201"</f>
        <v>20190304164655201</v>
      </c>
      <c r="B2710" t="str">
        <f>"1551689215191297"</f>
        <v>1551689215191297</v>
      </c>
      <c r="C2710" t="s">
        <v>40</v>
      </c>
      <c r="D2710">
        <v>4.9251300000000002</v>
      </c>
      <c r="E2710">
        <v>0.55228889999999997</v>
      </c>
      <c r="F2710" t="s">
        <v>41</v>
      </c>
      <c r="G2710">
        <v>-389.87090000000001</v>
      </c>
      <c r="H2710">
        <v>0.99596200000000001</v>
      </c>
      <c r="I2710">
        <v>213.23349999999999</v>
      </c>
      <c r="J2710">
        <v>-390.4468</v>
      </c>
      <c r="K2710">
        <v>1.1106309999999999</v>
      </c>
      <c r="L2710">
        <v>213.20099999999999</v>
      </c>
      <c r="M2710">
        <v>0.99984689999999998</v>
      </c>
      <c r="N2710">
        <v>-1.3244819999999999E-2</v>
      </c>
      <c r="O2710">
        <v>1.143387E-2</v>
      </c>
      <c r="P2710">
        <v>0.92802850000000003</v>
      </c>
      <c r="Q2710">
        <v>0.34909010000000001</v>
      </c>
      <c r="R2710">
        <v>0.12999759999999999</v>
      </c>
      <c r="S2710">
        <v>3.3601070000000002</v>
      </c>
      <c r="T2710">
        <v>-0.38825310000000002</v>
      </c>
      <c r="U2710">
        <v>0.1277008</v>
      </c>
      <c r="V2710">
        <v>-0.1194885</v>
      </c>
      <c r="W2710">
        <v>0.36133330000000002</v>
      </c>
      <c r="X2710">
        <v>0.92474900000000004</v>
      </c>
      <c r="Y2710">
        <v>-2.6412250000000002E-2</v>
      </c>
      <c r="Z2710">
        <v>5.3070929999999997E-4</v>
      </c>
      <c r="AA2710">
        <v>0.99965099999999996</v>
      </c>
      <c r="AB2710">
        <v>41</v>
      </c>
      <c r="AC2710">
        <v>0.57589999999998998</v>
      </c>
      <c r="AD2710">
        <v>-0.11466899999999899</v>
      </c>
      <c r="AE2710">
        <v>3.2499999999998801E-2</v>
      </c>
      <c r="AF2710">
        <v>-2.4927400727282899E-2</v>
      </c>
      <c r="AG2710">
        <v>-0.11466899999999899</v>
      </c>
      <c r="AH2710">
        <v>0.55432697650225704</v>
      </c>
      <c r="AI2710">
        <v>101.67597710877401</v>
      </c>
      <c r="AJ2710">
        <v>92.574785933298998</v>
      </c>
      <c r="AK2710">
        <v>0.56661164102597905</v>
      </c>
      <c r="AL2710">
        <v>68.817898510977201</v>
      </c>
      <c r="AM2710">
        <v>97.362498703564697</v>
      </c>
      <c r="AN2710">
        <v>0.99999998416106906</v>
      </c>
    </row>
    <row r="2711" spans="1:40" x14ac:dyDescent="0.25">
      <c r="A2711" t="str">
        <f>"20190304164655223"</f>
        <v>20190304164655223</v>
      </c>
      <c r="B2711" t="str">
        <f>"1551689215210817"</f>
        <v>1551689215210817</v>
      </c>
      <c r="C2711" t="s">
        <v>40</v>
      </c>
      <c r="D2711">
        <v>4.9098410000000001</v>
      </c>
      <c r="E2711">
        <v>0.55371919999999897</v>
      </c>
      <c r="F2711" t="s">
        <v>41</v>
      </c>
      <c r="G2711">
        <v>-389.49959999999999</v>
      </c>
      <c r="H2711">
        <v>1.0030680000000001</v>
      </c>
      <c r="I2711">
        <v>213.2303</v>
      </c>
      <c r="J2711">
        <v>-390.04469999999998</v>
      </c>
      <c r="K2711">
        <v>1.110641</v>
      </c>
      <c r="L2711">
        <v>213.20580000000001</v>
      </c>
      <c r="M2711">
        <v>0.99984490000000004</v>
      </c>
      <c r="N2711">
        <v>-1.327301E-2</v>
      </c>
      <c r="O2711">
        <v>1.157965E-2</v>
      </c>
      <c r="P2711">
        <v>0.92773499999999998</v>
      </c>
      <c r="Q2711">
        <v>0.34995850000000001</v>
      </c>
      <c r="R2711">
        <v>0.1297577</v>
      </c>
      <c r="S2711">
        <v>3.3616030000000001</v>
      </c>
      <c r="T2711">
        <v>-0.38188480000000002</v>
      </c>
      <c r="U2711">
        <v>0.1051483</v>
      </c>
      <c r="V2711">
        <v>-0.11911620000000001</v>
      </c>
      <c r="W2711">
        <v>0.3622242</v>
      </c>
      <c r="X2711">
        <v>0.92444850000000001</v>
      </c>
      <c r="Y2711">
        <v>-1.9604070000000001E-2</v>
      </c>
      <c r="Z2711" s="1">
        <v>8.2683229999999997E-5</v>
      </c>
      <c r="AA2711">
        <v>0.99980780000000002</v>
      </c>
      <c r="AB2711">
        <v>41</v>
      </c>
      <c r="AC2711">
        <v>0.54509999999999004</v>
      </c>
      <c r="AD2711">
        <v>-0.107572999999999</v>
      </c>
      <c r="AE2711">
        <v>2.4499999999988999E-2</v>
      </c>
      <c r="AF2711">
        <v>-1.7505358406158598E-2</v>
      </c>
      <c r="AG2711">
        <v>-0.107572999999999</v>
      </c>
      <c r="AH2711">
        <v>0.52494431591771995</v>
      </c>
      <c r="AI2711">
        <v>101.574615033331</v>
      </c>
      <c r="AJ2711">
        <v>91.909938999947201</v>
      </c>
      <c r="AK2711">
        <v>0.53613890244623297</v>
      </c>
      <c r="AL2711">
        <v>68.763146030627993</v>
      </c>
      <c r="AM2711">
        <v>97.342169142808999</v>
      </c>
      <c r="AN2711">
        <v>1.0000000346601601</v>
      </c>
    </row>
    <row r="2712" spans="1:40" x14ac:dyDescent="0.25">
      <c r="A2712" t="str">
        <f>"20190304164655244"</f>
        <v>20190304164655244</v>
      </c>
      <c r="B2712" t="str">
        <f>"1551689215241073"</f>
        <v>1551689215241073</v>
      </c>
      <c r="C2712" t="s">
        <v>40</v>
      </c>
      <c r="D2712">
        <v>4.889348</v>
      </c>
      <c r="E2712">
        <v>0.55491159999999995</v>
      </c>
      <c r="F2712" t="s">
        <v>41</v>
      </c>
      <c r="G2712">
        <v>-389.12900000000002</v>
      </c>
      <c r="H2712">
        <v>1.0086919999999999</v>
      </c>
      <c r="I2712">
        <v>213.23009999999999</v>
      </c>
      <c r="J2712">
        <v>-389.6481</v>
      </c>
      <c r="K2712">
        <v>1.1106529999999999</v>
      </c>
      <c r="L2712">
        <v>213.2105</v>
      </c>
      <c r="M2712">
        <v>0.99984240000000002</v>
      </c>
      <c r="N2712">
        <v>-1.333312E-2</v>
      </c>
      <c r="O2712">
        <v>1.1724740000000001E-2</v>
      </c>
      <c r="P2712">
        <v>0.92803250000000004</v>
      </c>
      <c r="Q2712">
        <v>0.3494139</v>
      </c>
      <c r="R2712">
        <v>0.1290965</v>
      </c>
      <c r="S2712">
        <v>3.3623050000000001</v>
      </c>
      <c r="T2712">
        <v>-0.37440849999999998</v>
      </c>
      <c r="U2712">
        <v>8.9904789999999998E-2</v>
      </c>
      <c r="V2712">
        <v>-0.11831659999999999</v>
      </c>
      <c r="W2712">
        <v>0.3617397</v>
      </c>
      <c r="X2712">
        <v>0.92474080000000003</v>
      </c>
      <c r="Y2712">
        <v>-1.4958630000000001E-2</v>
      </c>
      <c r="Z2712">
        <v>-2.1515400000000001E-4</v>
      </c>
      <c r="AA2712">
        <v>0.99988809999999995</v>
      </c>
      <c r="AB2712">
        <v>41</v>
      </c>
      <c r="AC2712">
        <v>0.51909999999998002</v>
      </c>
      <c r="AD2712">
        <v>-0.101961</v>
      </c>
      <c r="AE2712">
        <v>1.9599999999996901E-2</v>
      </c>
      <c r="AF2712">
        <v>-1.30105617357866E-2</v>
      </c>
      <c r="AG2712">
        <v>-0.101961</v>
      </c>
      <c r="AH2712">
        <v>0.50003026059883204</v>
      </c>
      <c r="AI2712">
        <v>101.52136585650101</v>
      </c>
      <c r="AJ2712">
        <v>91.4904740294768</v>
      </c>
      <c r="AK2712">
        <v>0.51048563324761298</v>
      </c>
      <c r="AL2712">
        <v>68.792924272123699</v>
      </c>
      <c r="AM2712">
        <v>97.2911347312629</v>
      </c>
      <c r="AN2712">
        <v>0.99999998778814403</v>
      </c>
    </row>
    <row r="2713" spans="1:40" x14ac:dyDescent="0.25">
      <c r="A2713" t="str">
        <f>"20190304164655271"</f>
        <v>20190304164655271</v>
      </c>
      <c r="B2713" t="str">
        <f>"1551689215261571"</f>
        <v>1551689215261571</v>
      </c>
      <c r="C2713" t="s">
        <v>40</v>
      </c>
      <c r="D2713">
        <v>4.8933839999999904</v>
      </c>
      <c r="E2713">
        <v>0.55535159999999995</v>
      </c>
      <c r="F2713" t="s">
        <v>41</v>
      </c>
      <c r="G2713">
        <v>-388.75990000000002</v>
      </c>
      <c r="H2713">
        <v>1.0118670000000001</v>
      </c>
      <c r="I2713">
        <v>213.23060000000001</v>
      </c>
      <c r="J2713">
        <v>-389.18299999999999</v>
      </c>
      <c r="K2713">
        <v>1.110687</v>
      </c>
      <c r="L2713">
        <v>213.21610000000001</v>
      </c>
      <c r="M2713">
        <v>0.99983880000000003</v>
      </c>
      <c r="N2713">
        <v>-1.3455140000000001E-2</v>
      </c>
      <c r="O2713">
        <v>1.189404E-2</v>
      </c>
      <c r="P2713">
        <v>0.92842760000000002</v>
      </c>
      <c r="Q2713">
        <v>0.34876990000000002</v>
      </c>
      <c r="R2713">
        <v>0.1279913</v>
      </c>
      <c r="S2713">
        <v>3.3628849999999999</v>
      </c>
      <c r="T2713">
        <v>-0.3740754</v>
      </c>
      <c r="U2713">
        <v>7.6690670000000002E-2</v>
      </c>
      <c r="V2713">
        <v>-0.1170496</v>
      </c>
      <c r="W2713">
        <v>0.36121409999999998</v>
      </c>
      <c r="X2713">
        <v>0.92510740000000002</v>
      </c>
      <c r="Y2713">
        <v>-1.088682E-2</v>
      </c>
      <c r="Z2713">
        <v>-4.8207419999999999E-4</v>
      </c>
      <c r="AA2713">
        <v>0.99994059999999996</v>
      </c>
      <c r="AB2713">
        <v>41</v>
      </c>
      <c r="AC2713">
        <v>0.42310000000003301</v>
      </c>
      <c r="AD2713">
        <v>-9.8819999999999894E-2</v>
      </c>
      <c r="AE2713">
        <v>1.4499999999998099E-2</v>
      </c>
      <c r="AF2713">
        <v>-8.9770186419342608E-3</v>
      </c>
      <c r="AG2713">
        <v>-9.8819999999999894E-2</v>
      </c>
      <c r="AH2713">
        <v>0.40137289125213499</v>
      </c>
      <c r="AI2713">
        <v>103.828087299731</v>
      </c>
      <c r="AJ2713">
        <v>91.281251311169797</v>
      </c>
      <c r="AK2713">
        <v>0.41345637870976798</v>
      </c>
      <c r="AL2713">
        <v>68.825222501713895</v>
      </c>
      <c r="AM2713">
        <v>97.211055499447198</v>
      </c>
      <c r="AN2713">
        <v>0.99999996821686399</v>
      </c>
    </row>
    <row r="2714" spans="1:40" x14ac:dyDescent="0.25">
      <c r="A2714" t="str">
        <f>"20190304164655292"</f>
        <v>20190304164655292</v>
      </c>
      <c r="B2714" t="str">
        <f>"1551689215281089"</f>
        <v>1551689215281089</v>
      </c>
      <c r="C2714" t="s">
        <v>40</v>
      </c>
      <c r="D2714">
        <v>4.8875330000000003</v>
      </c>
      <c r="E2714">
        <v>0.55569380000000002</v>
      </c>
      <c r="F2714" t="s">
        <v>41</v>
      </c>
      <c r="G2714">
        <v>-388.3879</v>
      </c>
      <c r="H2714">
        <v>1.021938</v>
      </c>
      <c r="I2714">
        <v>213.2328</v>
      </c>
      <c r="J2714">
        <v>-388.7876</v>
      </c>
      <c r="K2714">
        <v>1.1107209999999901</v>
      </c>
      <c r="L2714">
        <v>213.2209</v>
      </c>
      <c r="M2714">
        <v>0.99983520000000004</v>
      </c>
      <c r="N2714">
        <v>-1.359699E-2</v>
      </c>
      <c r="O2714">
        <v>1.2036699999999999E-2</v>
      </c>
      <c r="P2714">
        <v>0.92875700000000005</v>
      </c>
      <c r="Q2714">
        <v>0.348228599999999</v>
      </c>
      <c r="R2714">
        <v>0.1270722</v>
      </c>
      <c r="S2714">
        <v>3.3625790000000002</v>
      </c>
      <c r="T2714">
        <v>-0.37527300000000002</v>
      </c>
      <c r="U2714">
        <v>7.0373539999999998E-2</v>
      </c>
      <c r="V2714">
        <v>-0.1159954</v>
      </c>
      <c r="W2714">
        <v>0.36080820000000002</v>
      </c>
      <c r="X2714">
        <v>0.92539859999999896</v>
      </c>
      <c r="Y2714">
        <v>-8.882872E-3</v>
      </c>
      <c r="Z2714">
        <v>-6.2104619999999995E-4</v>
      </c>
      <c r="AA2714">
        <v>0.99996039999999997</v>
      </c>
      <c r="AB2714">
        <v>41</v>
      </c>
      <c r="AC2714">
        <v>0.399699999999995</v>
      </c>
      <c r="AD2714">
        <v>-8.8782999999999807E-2</v>
      </c>
      <c r="AE2714">
        <v>1.18999999999971E-2</v>
      </c>
      <c r="AF2714">
        <v>-6.7546510829514603E-3</v>
      </c>
      <c r="AG2714">
        <v>-8.8782999999999807E-2</v>
      </c>
      <c r="AH2714">
        <v>0.38103119686609999</v>
      </c>
      <c r="AI2714">
        <v>103.114308795707</v>
      </c>
      <c r="AJ2714">
        <v>91.015592606234705</v>
      </c>
      <c r="AK2714">
        <v>0.39129633193459001</v>
      </c>
      <c r="AL2714">
        <v>68.850162008327203</v>
      </c>
      <c r="AM2714">
        <v>97.144558462318997</v>
      </c>
      <c r="AN2714">
        <v>1.0000000294451701</v>
      </c>
    </row>
    <row r="2715" spans="1:40" x14ac:dyDescent="0.25">
      <c r="A2715" t="str">
        <f>"20190304164655314"</f>
        <v>20190304164655314</v>
      </c>
      <c r="B2715" t="str">
        <f>"1551689215311345"</f>
        <v>1551689215311345</v>
      </c>
      <c r="C2715" t="s">
        <v>40</v>
      </c>
      <c r="D2715">
        <v>4.8864089999999996</v>
      </c>
      <c r="E2715">
        <v>0.55600609999999995</v>
      </c>
      <c r="F2715" t="s">
        <v>41</v>
      </c>
      <c r="G2715">
        <v>-388.01940000000002</v>
      </c>
      <c r="H2715">
        <v>1.0254970000000001</v>
      </c>
      <c r="I2715">
        <v>213.23580000000001</v>
      </c>
      <c r="J2715">
        <v>-388.3802</v>
      </c>
      <c r="K2715">
        <v>1.1107560000000001</v>
      </c>
      <c r="L2715">
        <v>213.226</v>
      </c>
      <c r="M2715">
        <v>0.99983109999999997</v>
      </c>
      <c r="N2715">
        <v>-1.375753E-2</v>
      </c>
      <c r="O2715">
        <v>1.21821E-2</v>
      </c>
      <c r="P2715">
        <v>0.92862160000000005</v>
      </c>
      <c r="Q2715">
        <v>0.3484622</v>
      </c>
      <c r="R2715">
        <v>0.12742100000000001</v>
      </c>
      <c r="S2715">
        <v>3.360992</v>
      </c>
      <c r="T2715">
        <v>-0.3729576</v>
      </c>
      <c r="U2715">
        <v>6.5673830000000002E-2</v>
      </c>
      <c r="V2715">
        <v>-0.1162132</v>
      </c>
      <c r="W2715">
        <v>0.36118840000000002</v>
      </c>
      <c r="X2715">
        <v>0.92522289999999996</v>
      </c>
      <c r="Y2715">
        <v>-7.3604550000000001E-3</v>
      </c>
      <c r="Z2715">
        <v>-7.2242429999999896E-4</v>
      </c>
      <c r="AA2715">
        <v>0.99997259999999999</v>
      </c>
      <c r="AB2715">
        <v>41</v>
      </c>
      <c r="AC2715">
        <v>0.36079999999998302</v>
      </c>
      <c r="AD2715">
        <v>-8.5258999999999904E-2</v>
      </c>
      <c r="AE2715">
        <v>9.8000000000126805E-3</v>
      </c>
      <c r="AF2715">
        <v>-5.1179763290320002E-3</v>
      </c>
      <c r="AG2715">
        <v>-8.5258999999999904E-2</v>
      </c>
      <c r="AH2715">
        <v>0.34181940580690001</v>
      </c>
      <c r="AI2715">
        <v>104.003833927513</v>
      </c>
      <c r="AJ2715">
        <v>90.857811254189699</v>
      </c>
      <c r="AK2715">
        <v>0.352329103181794</v>
      </c>
      <c r="AL2715">
        <v>68.826802127268394</v>
      </c>
      <c r="AM2715">
        <v>97.159179674702898</v>
      </c>
      <c r="AN2715">
        <v>0.99999999141660501</v>
      </c>
    </row>
    <row r="2716" spans="1:40" x14ac:dyDescent="0.25">
      <c r="A2716" t="str">
        <f>"20190304164655336"</f>
        <v>20190304164655336</v>
      </c>
      <c r="B2716" t="str">
        <f>"1551689215330865"</f>
        <v>1551689215330865</v>
      </c>
      <c r="C2716" t="s">
        <v>40</v>
      </c>
      <c r="D2716">
        <v>4.8970479999999998</v>
      </c>
      <c r="E2716">
        <v>0.55614730000000001</v>
      </c>
      <c r="F2716" t="s">
        <v>41</v>
      </c>
      <c r="G2716">
        <v>-387.65050000000002</v>
      </c>
      <c r="H2716">
        <v>1.029636</v>
      </c>
      <c r="I2716">
        <v>213.2396</v>
      </c>
      <c r="J2716">
        <v>-387.98809999999997</v>
      </c>
      <c r="K2716">
        <v>1.110789</v>
      </c>
      <c r="L2716">
        <v>213.23089999999999</v>
      </c>
      <c r="M2716">
        <v>0.99982760000000004</v>
      </c>
      <c r="N2716">
        <v>-1.390833E-2</v>
      </c>
      <c r="O2716">
        <v>1.2320360000000001E-2</v>
      </c>
      <c r="P2716">
        <v>0.92827700000000002</v>
      </c>
      <c r="Q2716">
        <v>0.34902680000000003</v>
      </c>
      <c r="R2716">
        <v>0.1283839</v>
      </c>
      <c r="S2716">
        <v>3.362152</v>
      </c>
      <c r="T2716">
        <v>-0.37389869999999997</v>
      </c>
      <c r="U2716">
        <v>6.3705440000000002E-2</v>
      </c>
      <c r="V2716">
        <v>-0.1170544</v>
      </c>
      <c r="W2716">
        <v>0.3618864</v>
      </c>
      <c r="X2716">
        <v>0.924844</v>
      </c>
      <c r="Y2716">
        <v>-6.6357179999999997E-3</v>
      </c>
      <c r="Z2716">
        <v>-7.8071229999999905E-4</v>
      </c>
      <c r="AA2716">
        <v>0.99997769999999997</v>
      </c>
      <c r="AB2716">
        <v>41</v>
      </c>
      <c r="AC2716">
        <v>0.33759999999995199</v>
      </c>
      <c r="AD2716">
        <v>-8.1153000000000003E-2</v>
      </c>
      <c r="AE2716">
        <v>8.7000000000045895E-3</v>
      </c>
      <c r="AF2716">
        <v>-4.2917562619813297E-3</v>
      </c>
      <c r="AG2716">
        <v>-8.1153000000000003E-2</v>
      </c>
      <c r="AH2716">
        <v>0.31924660692121398</v>
      </c>
      <c r="AI2716">
        <v>104.26135588101999</v>
      </c>
      <c r="AJ2716">
        <v>90.770203044959999</v>
      </c>
      <c r="AK2716">
        <v>0.32942772289459898</v>
      </c>
      <c r="AL2716">
        <v>68.783907564310596</v>
      </c>
      <c r="AM2716">
        <v>97.213380295177402</v>
      </c>
      <c r="AN2716">
        <v>0.99999996170015903</v>
      </c>
    </row>
    <row r="2717" spans="1:40" x14ac:dyDescent="0.25">
      <c r="A2717" t="str">
        <f>"20190304164655358"</f>
        <v>20190304164655358</v>
      </c>
      <c r="B2717" t="str">
        <f>"1551689215351361"</f>
        <v>1551689215351361</v>
      </c>
      <c r="C2717" t="s">
        <v>40</v>
      </c>
      <c r="D2717">
        <v>4.8698550000000003</v>
      </c>
      <c r="E2717">
        <v>0.55629249999999997</v>
      </c>
      <c r="F2717" t="s">
        <v>41</v>
      </c>
      <c r="G2717">
        <v>-386.93650000000002</v>
      </c>
      <c r="H2717">
        <v>0.99493940000000003</v>
      </c>
      <c r="I2717">
        <v>213.25069999999999</v>
      </c>
      <c r="J2717">
        <v>-387.5779</v>
      </c>
      <c r="K2717">
        <v>1.1108100000000001</v>
      </c>
      <c r="L2717">
        <v>213.23609999999999</v>
      </c>
      <c r="M2717">
        <v>0.99982360000000003</v>
      </c>
      <c r="N2717">
        <v>-1.405463E-2</v>
      </c>
      <c r="O2717">
        <v>1.2464940000000001E-2</v>
      </c>
      <c r="P2717">
        <v>0.92804219999999904</v>
      </c>
      <c r="Q2717">
        <v>0.34944039999999998</v>
      </c>
      <c r="R2717">
        <v>0.1289535</v>
      </c>
      <c r="S2717">
        <v>3.3622740000000002</v>
      </c>
      <c r="T2717">
        <v>-0.37043579999999998</v>
      </c>
      <c r="U2717">
        <v>6.3705440000000002E-2</v>
      </c>
      <c r="V2717">
        <v>-0.11749560000000001</v>
      </c>
      <c r="W2717">
        <v>0.36243170000000002</v>
      </c>
      <c r="X2717">
        <v>0.92457449999999997</v>
      </c>
      <c r="Y2717">
        <v>-6.491391E-3</v>
      </c>
      <c r="Z2717">
        <v>-7.9199309999999998E-4</v>
      </c>
      <c r="AA2717">
        <v>0.99997860000000005</v>
      </c>
      <c r="AB2717">
        <v>41</v>
      </c>
      <c r="AC2717">
        <v>0.64139999999997599</v>
      </c>
      <c r="AD2717">
        <v>-0.1158706</v>
      </c>
      <c r="AE2717">
        <v>1.4600000000001501E-2</v>
      </c>
      <c r="AF2717">
        <v>-6.39448542572624E-3</v>
      </c>
      <c r="AG2717">
        <v>-0.1158706</v>
      </c>
      <c r="AH2717">
        <v>0.62126737230600004</v>
      </c>
      <c r="AI2717">
        <v>100.56412586398901</v>
      </c>
      <c r="AJ2717">
        <v>90.589704379122395</v>
      </c>
      <c r="AK2717">
        <v>0.63201268442984804</v>
      </c>
      <c r="AL2717">
        <v>68.750389195385594</v>
      </c>
      <c r="AM2717">
        <v>97.242368924476906</v>
      </c>
      <c r="AN2717">
        <v>0.99999997961724896</v>
      </c>
    </row>
    <row r="2718" spans="1:40" x14ac:dyDescent="0.25">
      <c r="A2718" t="str">
        <f>"20190304164655381"</f>
        <v>20190304164655381</v>
      </c>
      <c r="B2718" t="str">
        <f>"1551689215370881"</f>
        <v>1551689215370881</v>
      </c>
      <c r="C2718" t="s">
        <v>40</v>
      </c>
      <c r="D2718">
        <v>4.8665949999999896</v>
      </c>
      <c r="E2718">
        <v>0.55644669999999996</v>
      </c>
      <c r="F2718" t="s">
        <v>41</v>
      </c>
      <c r="G2718">
        <v>-386.56889999999999</v>
      </c>
      <c r="H2718">
        <v>0.99998969999999998</v>
      </c>
      <c r="I2718">
        <v>213.25540000000001</v>
      </c>
      <c r="J2718">
        <v>-387.15719999999999</v>
      </c>
      <c r="K2718">
        <v>1.1108340000000001</v>
      </c>
      <c r="L2718">
        <v>213.2414</v>
      </c>
      <c r="M2718">
        <v>0.99981969999999998</v>
      </c>
      <c r="N2718">
        <v>-1.419139E-2</v>
      </c>
      <c r="O2718">
        <v>1.2613340000000001E-2</v>
      </c>
      <c r="P2718">
        <v>0.92800660000000001</v>
      </c>
      <c r="Q2718">
        <v>0.3493677</v>
      </c>
      <c r="R2718">
        <v>0.129405399999999</v>
      </c>
      <c r="S2718">
        <v>3.3626710000000002</v>
      </c>
      <c r="T2718">
        <v>-0.36951489999999998</v>
      </c>
      <c r="U2718">
        <v>6.5536499999999998E-2</v>
      </c>
      <c r="V2718">
        <v>-0.11781220000000001</v>
      </c>
      <c r="W2718">
        <v>0.36248409999999998</v>
      </c>
      <c r="X2718">
        <v>0.92451369999999999</v>
      </c>
      <c r="Y2718">
        <v>-6.8827069999999897E-3</v>
      </c>
      <c r="Z2718">
        <v>-7.7715140000000004E-4</v>
      </c>
      <c r="AA2718">
        <v>0.99997599999999998</v>
      </c>
      <c r="AB2718">
        <v>41</v>
      </c>
      <c r="AC2718">
        <v>0.58830000000000304</v>
      </c>
      <c r="AD2718">
        <v>-0.11084430000000001</v>
      </c>
      <c r="AE2718">
        <v>1.4000000000009999E-2</v>
      </c>
      <c r="AF2718">
        <v>-6.3523300859154698E-3</v>
      </c>
      <c r="AG2718">
        <v>-0.11084430000000001</v>
      </c>
      <c r="AH2718">
        <v>0.56826767897855801</v>
      </c>
      <c r="AI2718">
        <v>101.036654557004</v>
      </c>
      <c r="AJ2718">
        <v>90.640449138242204</v>
      </c>
      <c r="AK2718">
        <v>0.57901206024718299</v>
      </c>
      <c r="AL2718">
        <v>68.747168507797397</v>
      </c>
      <c r="AM2718">
        <v>97.262148412436105</v>
      </c>
      <c r="AN2718">
        <v>1.0000000093546699</v>
      </c>
    </row>
    <row r="2719" spans="1:40" x14ac:dyDescent="0.25">
      <c r="A2719" t="str">
        <f>"20190304164655403"</f>
        <v>20190304164655403</v>
      </c>
      <c r="B2719" t="str">
        <f>"1551689215391377"</f>
        <v>1551689215391377</v>
      </c>
      <c r="C2719" t="s">
        <v>40</v>
      </c>
      <c r="D2719">
        <v>4.8511660000000001</v>
      </c>
      <c r="E2719">
        <v>0.55656280000000002</v>
      </c>
      <c r="F2719" t="s">
        <v>41</v>
      </c>
      <c r="G2719">
        <v>-386.20139999999998</v>
      </c>
      <c r="H2719">
        <v>1.005863</v>
      </c>
      <c r="I2719">
        <v>213.25989999999999</v>
      </c>
      <c r="J2719">
        <v>-386.76069999999999</v>
      </c>
      <c r="K2719">
        <v>1.110846</v>
      </c>
      <c r="L2719">
        <v>213.2466</v>
      </c>
      <c r="M2719">
        <v>0.99981640000000005</v>
      </c>
      <c r="N2719">
        <v>-1.4308080000000001E-2</v>
      </c>
      <c r="O2719">
        <v>1.2753560000000001E-2</v>
      </c>
      <c r="P2719">
        <v>0.92794030000000005</v>
      </c>
      <c r="Q2719">
        <v>0.34928160000000003</v>
      </c>
      <c r="R2719">
        <v>0.13011239999999999</v>
      </c>
      <c r="S2719">
        <v>3.3627319999999998</v>
      </c>
      <c r="T2719">
        <v>-0.36934709999999898</v>
      </c>
      <c r="U2719">
        <v>6.4865110000000004E-2</v>
      </c>
      <c r="V2719">
        <v>-0.1183913</v>
      </c>
      <c r="W2719">
        <v>0.36250460000000001</v>
      </c>
      <c r="X2719">
        <v>0.92443169999999997</v>
      </c>
      <c r="Y2719">
        <v>-6.5452399999999999E-3</v>
      </c>
      <c r="Z2719">
        <v>-8.0905850000000004E-4</v>
      </c>
      <c r="AA2719">
        <v>0.99997820000000004</v>
      </c>
      <c r="AB2719">
        <v>41</v>
      </c>
      <c r="AC2719">
        <v>0.55930000000000701</v>
      </c>
      <c r="AD2719">
        <v>-0.10498300000000001</v>
      </c>
      <c r="AE2719">
        <v>1.3299999999986699E-2</v>
      </c>
      <c r="AF2719">
        <v>-5.9554145616735298E-3</v>
      </c>
      <c r="AG2719">
        <v>-0.10498300000000001</v>
      </c>
      <c r="AH2719">
        <v>0.54039521549449299</v>
      </c>
      <c r="AI2719">
        <v>100.993301508668</v>
      </c>
      <c r="AJ2719">
        <v>90.631401420699405</v>
      </c>
      <c r="AK2719">
        <v>0.55053054972539095</v>
      </c>
      <c r="AL2719">
        <v>68.745908608595798</v>
      </c>
      <c r="AM2719">
        <v>97.298101603062406</v>
      </c>
      <c r="AN2719">
        <v>1.0000000264508599</v>
      </c>
    </row>
    <row r="2720" spans="1:40" x14ac:dyDescent="0.25">
      <c r="A2720" t="str">
        <f>"20190304164655424"</f>
        <v>20190304164655424</v>
      </c>
      <c r="B2720" t="str">
        <f>"1551689215421633"</f>
        <v>1551689215421633</v>
      </c>
      <c r="C2720" t="s">
        <v>40</v>
      </c>
      <c r="D2720">
        <v>4.8600839999999996</v>
      </c>
      <c r="E2720">
        <v>0.56425000000000003</v>
      </c>
      <c r="F2720" t="s">
        <v>41</v>
      </c>
      <c r="G2720">
        <v>-385.83550000000002</v>
      </c>
      <c r="H2720">
        <v>1.0091060000000001</v>
      </c>
      <c r="I2720">
        <v>213.26439999999999</v>
      </c>
      <c r="J2720">
        <v>-386.36149999999998</v>
      </c>
      <c r="K2720">
        <v>1.110854</v>
      </c>
      <c r="L2720">
        <v>213.2518</v>
      </c>
      <c r="M2720">
        <v>0.99981299999999995</v>
      </c>
      <c r="N2720">
        <v>-1.4413530000000001E-2</v>
      </c>
      <c r="O2720">
        <v>1.2896049999999999E-2</v>
      </c>
      <c r="P2720">
        <v>0.92808429999999997</v>
      </c>
      <c r="Q2720">
        <v>0.34888180000000002</v>
      </c>
      <c r="R2720">
        <v>0.13015839999999901</v>
      </c>
      <c r="S2720">
        <v>3.3630070000000001</v>
      </c>
      <c r="T2720">
        <v>-0.36999379999999998</v>
      </c>
      <c r="U2720">
        <v>6.5765379999999998E-2</v>
      </c>
      <c r="V2720">
        <v>-0.1183039</v>
      </c>
      <c r="W2720">
        <v>0.36220459999999999</v>
      </c>
      <c r="X2720">
        <v>0.92456039999999995</v>
      </c>
      <c r="Y2720">
        <v>-6.6684480000000004E-3</v>
      </c>
      <c r="Z2720">
        <v>-8.1502039999999999E-4</v>
      </c>
      <c r="AA2720">
        <v>0.99997740000000002</v>
      </c>
      <c r="AB2720">
        <v>41</v>
      </c>
      <c r="AC2720">
        <v>0.52599999999995295</v>
      </c>
      <c r="AD2720">
        <v>-0.10174799999999901</v>
      </c>
      <c r="AE2720">
        <v>1.2599999999991901E-2</v>
      </c>
      <c r="AF2720">
        <v>-5.6053063577602901E-3</v>
      </c>
      <c r="AG2720">
        <v>-0.10174799999999901</v>
      </c>
      <c r="AH2720">
        <v>0.507153001869739</v>
      </c>
      <c r="AI2720">
        <v>101.34373260759</v>
      </c>
      <c r="AJ2720">
        <v>90.633235571022993</v>
      </c>
      <c r="AK2720">
        <v>0.51728932162654595</v>
      </c>
      <c r="AL2720">
        <v>68.764349159126397</v>
      </c>
      <c r="AM2720">
        <v>97.291767712564294</v>
      </c>
      <c r="AN2720">
        <v>0.99999995913226403</v>
      </c>
    </row>
    <row r="2721" spans="1:40" x14ac:dyDescent="0.25">
      <c r="A2721" t="str">
        <f>"20190304164655447"</f>
        <v>20190304164655447</v>
      </c>
      <c r="B2721" t="str">
        <f>"1551689215441154"</f>
        <v>1551689215441154</v>
      </c>
      <c r="C2721" t="s">
        <v>40</v>
      </c>
      <c r="D2721">
        <v>4.807944</v>
      </c>
      <c r="E2721">
        <v>0.56425760000000003</v>
      </c>
      <c r="F2721" t="s">
        <v>41</v>
      </c>
      <c r="G2721">
        <v>-385.47230000000002</v>
      </c>
      <c r="H2721">
        <v>1.00814</v>
      </c>
      <c r="I2721">
        <v>213.25319999999999</v>
      </c>
      <c r="J2721">
        <v>-385.96019999999999</v>
      </c>
      <c r="K2721">
        <v>1.110867</v>
      </c>
      <c r="L2721">
        <v>213.25710000000001</v>
      </c>
      <c r="M2721">
        <v>0.99980990000000003</v>
      </c>
      <c r="N2721">
        <v>-1.450776E-2</v>
      </c>
      <c r="O2721">
        <v>1.3039739999999999E-2</v>
      </c>
      <c r="P2721">
        <v>0.92812380000000005</v>
      </c>
      <c r="Q2721">
        <v>0.348641799999999</v>
      </c>
      <c r="R2721">
        <v>0.1305201</v>
      </c>
      <c r="S2721">
        <v>3.3782649999999999</v>
      </c>
      <c r="T2721">
        <v>-0.39032030000000001</v>
      </c>
      <c r="U2721">
        <v>6.4239500000000003E-3</v>
      </c>
      <c r="V2721">
        <v>-0.11853130000000001</v>
      </c>
      <c r="W2721">
        <v>0.36205219999999999</v>
      </c>
      <c r="X2721">
        <v>0.92459100000000005</v>
      </c>
      <c r="Y2721">
        <v>1.0991020000000001E-2</v>
      </c>
      <c r="Z2721">
        <v>-2.0257859999999999E-3</v>
      </c>
      <c r="AA2721">
        <v>0.99993750000000003</v>
      </c>
      <c r="AB2721">
        <v>41</v>
      </c>
      <c r="AC2721">
        <v>0.48789999999996703</v>
      </c>
      <c r="AD2721">
        <v>-0.102727</v>
      </c>
      <c r="AE2721">
        <v>-3.9000000000157702E-3</v>
      </c>
      <c r="AF2721">
        <v>9.8268210136757302E-3</v>
      </c>
      <c r="AG2721">
        <v>-0.102727</v>
      </c>
      <c r="AH2721">
        <v>0.46710187668396902</v>
      </c>
      <c r="AI2721">
        <v>102.400616190081</v>
      </c>
      <c r="AJ2721">
        <v>88.794797547569701</v>
      </c>
      <c r="AK2721">
        <v>0.47836551520978199</v>
      </c>
      <c r="AL2721">
        <v>68.773717545230696</v>
      </c>
      <c r="AM2721">
        <v>97.305393263830098</v>
      </c>
      <c r="AN2721">
        <v>0.99999999094276404</v>
      </c>
    </row>
    <row r="2722" spans="1:40" x14ac:dyDescent="0.25">
      <c r="A2722" t="str">
        <f>"20190304164655469"</f>
        <v>20190304164655469</v>
      </c>
      <c r="B2722" t="str">
        <f>"1551689215461650"</f>
        <v>1551689215461650</v>
      </c>
      <c r="C2722" t="s">
        <v>40</v>
      </c>
      <c r="D2722">
        <v>4.7774080000000003</v>
      </c>
      <c r="E2722">
        <v>0.5649788</v>
      </c>
      <c r="F2722" t="s">
        <v>41</v>
      </c>
      <c r="G2722">
        <v>-385.10930000000002</v>
      </c>
      <c r="H2722">
        <v>1.0072299999999901</v>
      </c>
      <c r="I2722">
        <v>213.25899999999999</v>
      </c>
      <c r="J2722">
        <v>-385.54649999999998</v>
      </c>
      <c r="K2722">
        <v>1.1108750000000001</v>
      </c>
      <c r="L2722">
        <v>213.26259999999999</v>
      </c>
      <c r="M2722">
        <v>0.99980659999999999</v>
      </c>
      <c r="N2722">
        <v>-1.459332E-2</v>
      </c>
      <c r="O2722">
        <v>1.318867E-2</v>
      </c>
      <c r="P2722">
        <v>0.92805530000000003</v>
      </c>
      <c r="Q2722">
        <v>0.34895219999999999</v>
      </c>
      <c r="R2722">
        <v>0.1301766</v>
      </c>
      <c r="S2722">
        <v>3.3860779999999999</v>
      </c>
      <c r="T2722">
        <v>-0.41250399999999998</v>
      </c>
      <c r="U2722">
        <v>8.6669920000000001E-3</v>
      </c>
      <c r="V2722">
        <v>-0.11805060000000001</v>
      </c>
      <c r="W2722">
        <v>0.36244100000000001</v>
      </c>
      <c r="X2722">
        <v>0.92450019999999999</v>
      </c>
      <c r="Y2722">
        <v>1.0468389999999999E-2</v>
      </c>
      <c r="Z2722">
        <v>-2.1208730000000001E-3</v>
      </c>
      <c r="AA2722">
        <v>0.99994300000000003</v>
      </c>
      <c r="AB2722">
        <v>41</v>
      </c>
      <c r="AC2722">
        <v>0.43719999999996101</v>
      </c>
      <c r="AD2722">
        <v>-0.103645</v>
      </c>
      <c r="AE2722">
        <v>-3.5999999999773899E-3</v>
      </c>
      <c r="AF2722">
        <v>8.8680370271673505E-3</v>
      </c>
      <c r="AG2722">
        <v>-0.103645</v>
      </c>
      <c r="AH2722">
        <v>0.41385727568011899</v>
      </c>
      <c r="AI2722">
        <v>104.05668500182701</v>
      </c>
      <c r="AJ2722">
        <v>88.772467271303796</v>
      </c>
      <c r="AK2722">
        <v>0.42673032788763199</v>
      </c>
      <c r="AL2722">
        <v>68.749818399310001</v>
      </c>
      <c r="AM2722">
        <v>97.276791566187697</v>
      </c>
      <c r="AN2722">
        <v>1.0000000212206901</v>
      </c>
    </row>
    <row r="2723" spans="1:40" x14ac:dyDescent="0.25">
      <c r="A2723" t="str">
        <f>"20190304164655492"</f>
        <v>20190304164655492</v>
      </c>
      <c r="B2723" t="str">
        <f>"1551689215481169"</f>
        <v>1551689215481169</v>
      </c>
      <c r="C2723" t="s">
        <v>40</v>
      </c>
      <c r="D2723">
        <v>4.820894</v>
      </c>
      <c r="E2723">
        <v>0.56517519999999999</v>
      </c>
      <c r="F2723" t="s">
        <v>41</v>
      </c>
      <c r="G2723">
        <v>-384.74349999999998</v>
      </c>
      <c r="H2723">
        <v>1.012934</v>
      </c>
      <c r="I2723">
        <v>213.26300000000001</v>
      </c>
      <c r="J2723">
        <v>-385.12759999999997</v>
      </c>
      <c r="K2723">
        <v>1.110886</v>
      </c>
      <c r="L2723">
        <v>213.26820000000001</v>
      </c>
      <c r="M2723">
        <v>0.99980349999999996</v>
      </c>
      <c r="N2723">
        <v>-1.466866E-2</v>
      </c>
      <c r="O2723">
        <v>1.3339510000000001E-2</v>
      </c>
      <c r="P2723">
        <v>0.92804050000000005</v>
      </c>
      <c r="Q2723">
        <v>0.34917749999999997</v>
      </c>
      <c r="R2723">
        <v>0.1296776</v>
      </c>
      <c r="S2723">
        <v>3.3876339999999998</v>
      </c>
      <c r="T2723">
        <v>-0.41320849999999998</v>
      </c>
      <c r="U2723">
        <v>2.120972E-3</v>
      </c>
      <c r="V2723">
        <v>-0.1174119</v>
      </c>
      <c r="W2723">
        <v>0.36273660000000002</v>
      </c>
      <c r="X2723">
        <v>0.9244656</v>
      </c>
      <c r="Y2723">
        <v>1.253424E-2</v>
      </c>
      <c r="Z2723">
        <v>-2.2799249999999999E-3</v>
      </c>
      <c r="AA2723">
        <v>0.9999188</v>
      </c>
      <c r="AB2723">
        <v>41</v>
      </c>
      <c r="AC2723">
        <v>0.38409999999998901</v>
      </c>
      <c r="AD2723">
        <v>-9.7951999999999997E-2</v>
      </c>
      <c r="AE2723">
        <v>-5.2000000000020901E-3</v>
      </c>
      <c r="AF2723">
        <v>9.6935056104011808E-3</v>
      </c>
      <c r="AG2723">
        <v>-9.7951999999999997E-2</v>
      </c>
      <c r="AH2723">
        <v>0.36055269057586198</v>
      </c>
      <c r="AI2723">
        <v>105.19358026483501</v>
      </c>
      <c r="AJ2723">
        <v>88.459966553689995</v>
      </c>
      <c r="AK2723">
        <v>0.37374697461854101</v>
      </c>
      <c r="AL2723">
        <v>68.731645039193694</v>
      </c>
      <c r="AM2723">
        <v>97.238107914031104</v>
      </c>
      <c r="AN2723">
        <v>1.0000000204122601</v>
      </c>
    </row>
    <row r="2724" spans="1:40" x14ac:dyDescent="0.25">
      <c r="A2724" t="str">
        <f>"20190304164655559"</f>
        <v>20190304164655559</v>
      </c>
      <c r="B2724" t="str">
        <f>"1551689215551441"</f>
        <v>1551689215551441</v>
      </c>
      <c r="C2724" t="s">
        <v>40</v>
      </c>
      <c r="D2724">
        <v>4.783525</v>
      </c>
      <c r="E2724">
        <v>0.56535880000000005</v>
      </c>
      <c r="F2724" t="s">
        <v>41</v>
      </c>
      <c r="G2724">
        <v>-383.31009999999998</v>
      </c>
      <c r="H2724">
        <v>0.98302480000000003</v>
      </c>
      <c r="I2724">
        <v>213.27809999999999</v>
      </c>
      <c r="J2724">
        <v>-383.92840000000001</v>
      </c>
      <c r="K2724">
        <v>1.1109039999999999</v>
      </c>
      <c r="L2724">
        <v>213.28489999999999</v>
      </c>
      <c r="M2724">
        <v>0.99979530000000005</v>
      </c>
      <c r="N2724">
        <v>-1.4830690000000001E-2</v>
      </c>
      <c r="O2724">
        <v>1.3770620000000001E-2</v>
      </c>
      <c r="P2724">
        <v>0.92786480000000005</v>
      </c>
      <c r="Q2724">
        <v>0.3502651</v>
      </c>
      <c r="R2724">
        <v>0.12799089999999999</v>
      </c>
      <c r="S2724">
        <v>3.3916930000000001</v>
      </c>
      <c r="T2724">
        <v>-0.42074099999999998</v>
      </c>
      <c r="U2724">
        <v>-2.9754640000000001E-3</v>
      </c>
      <c r="V2724">
        <v>-0.1153272</v>
      </c>
      <c r="W2724">
        <v>0.36397200000000002</v>
      </c>
      <c r="X2724">
        <v>0.92424240000000002</v>
      </c>
      <c r="Y2724">
        <v>1.444346E-2</v>
      </c>
      <c r="Z2724">
        <v>-2.4981389999999999E-3</v>
      </c>
      <c r="AA2724">
        <v>0.99989260000000002</v>
      </c>
      <c r="AB2724">
        <v>40</v>
      </c>
      <c r="AC2724">
        <v>0.61830000000003305</v>
      </c>
      <c r="AD2724">
        <v>-0.1278792</v>
      </c>
      <c r="AE2724">
        <v>-6.7999999999983603E-3</v>
      </c>
      <c r="AF2724">
        <v>1.4686509196037799E-2</v>
      </c>
      <c r="AG2724">
        <v>-0.1278792</v>
      </c>
      <c r="AH2724">
        <v>0.59279337926015696</v>
      </c>
      <c r="AI2724">
        <v>102.169848971592</v>
      </c>
      <c r="AJ2724">
        <v>88.580782245012898</v>
      </c>
      <c r="AK2724">
        <v>0.60660759461094904</v>
      </c>
      <c r="AL2724">
        <v>68.6556684131738</v>
      </c>
      <c r="AM2724">
        <v>97.112619108460294</v>
      </c>
      <c r="AN2724">
        <v>0.99999999690079999</v>
      </c>
    </row>
    <row r="2725" spans="1:40" x14ac:dyDescent="0.25">
      <c r="A2725" t="str">
        <f>"20190304164655580"</f>
        <v>20190304164655580</v>
      </c>
      <c r="B2725" t="str">
        <f>"1551689215571938"</f>
        <v>1551689215571938</v>
      </c>
      <c r="C2725" t="s">
        <v>40</v>
      </c>
      <c r="D2725">
        <v>4.6960360000000003</v>
      </c>
      <c r="E2725">
        <v>0.56562449999999997</v>
      </c>
      <c r="F2725" t="s">
        <v>41</v>
      </c>
      <c r="G2725">
        <v>-382.94580000000002</v>
      </c>
      <c r="H2725">
        <v>0.98977700000000002</v>
      </c>
      <c r="I2725">
        <v>213.2826</v>
      </c>
      <c r="J2725">
        <v>-383.5335</v>
      </c>
      <c r="K2725">
        <v>1.1109119999999999</v>
      </c>
      <c r="L2725">
        <v>213.29040000000001</v>
      </c>
      <c r="M2725">
        <v>0.99979260000000003</v>
      </c>
      <c r="N2725">
        <v>-1.4869780000000001E-2</v>
      </c>
      <c r="O2725">
        <v>1.3913129999999999E-2</v>
      </c>
      <c r="P2725">
        <v>0.92802600000000002</v>
      </c>
      <c r="Q2725">
        <v>0.34983209999999998</v>
      </c>
      <c r="R2725">
        <v>0.1280046</v>
      </c>
      <c r="S2725">
        <v>3.3920590000000002</v>
      </c>
      <c r="T2725">
        <v>-0.41822429999999999</v>
      </c>
      <c r="U2725">
        <v>-6.8969729999999998E-3</v>
      </c>
      <c r="V2725">
        <v>-0.1152053</v>
      </c>
      <c r="W2725">
        <v>0.36357810000000002</v>
      </c>
      <c r="X2725">
        <v>0.92441269999999998</v>
      </c>
      <c r="Y2725">
        <v>1.5732630000000001E-2</v>
      </c>
      <c r="Z2725">
        <v>-2.58639E-3</v>
      </c>
      <c r="AA2725">
        <v>0.99987289999999995</v>
      </c>
      <c r="AB2725">
        <v>40</v>
      </c>
      <c r="AC2725">
        <v>0.58769999999998301</v>
      </c>
      <c r="AD2725">
        <v>-0.12113500000000001</v>
      </c>
      <c r="AE2725">
        <v>-7.80000000000313E-3</v>
      </c>
      <c r="AF2725">
        <v>1.5325901110056E-2</v>
      </c>
      <c r="AG2725">
        <v>-0.12113500000000001</v>
      </c>
      <c r="AH2725">
        <v>0.56359488199226904</v>
      </c>
      <c r="AI2725">
        <v>102.125847656125</v>
      </c>
      <c r="AJ2725">
        <v>88.442333081845106</v>
      </c>
      <c r="AK2725">
        <v>0.57666954356694999</v>
      </c>
      <c r="AL2725">
        <v>68.679898801391303</v>
      </c>
      <c r="AM2725">
        <v>97.1038824237353</v>
      </c>
      <c r="AN2725">
        <v>1.00000006793449</v>
      </c>
    </row>
    <row r="2726" spans="1:40" x14ac:dyDescent="0.25">
      <c r="A2726" t="str">
        <f>"20190304164655603"</f>
        <v>20190304164655603</v>
      </c>
      <c r="B2726" t="str">
        <f>"1551689215591464"</f>
        <v>1551689215591464</v>
      </c>
      <c r="C2726" t="s">
        <v>40</v>
      </c>
      <c r="D2726">
        <v>4.7945949999999904</v>
      </c>
      <c r="E2726">
        <v>0.56565339999999997</v>
      </c>
      <c r="F2726" t="s">
        <v>41</v>
      </c>
      <c r="G2726">
        <v>-382.58330000000001</v>
      </c>
      <c r="H2726">
        <v>0.99375760000000002</v>
      </c>
      <c r="I2726">
        <v>213.28749999999999</v>
      </c>
      <c r="J2726">
        <v>-383.13560000000001</v>
      </c>
      <c r="K2726">
        <v>1.1109169999999999</v>
      </c>
      <c r="L2726">
        <v>213.2961</v>
      </c>
      <c r="M2726">
        <v>0.99979010000000001</v>
      </c>
      <c r="N2726">
        <v>-1.490357E-2</v>
      </c>
      <c r="O2726">
        <v>1.4056340000000001E-2</v>
      </c>
      <c r="P2726">
        <v>0.92844079999999996</v>
      </c>
      <c r="Q2726">
        <v>0.34901549999999998</v>
      </c>
      <c r="R2726">
        <v>0.1272237</v>
      </c>
      <c r="S2726">
        <v>3.391724</v>
      </c>
      <c r="T2726">
        <v>-0.41818329999999998</v>
      </c>
      <c r="U2726">
        <v>-1.0223390000000001E-2</v>
      </c>
      <c r="V2726">
        <v>-0.1142854</v>
      </c>
      <c r="W2726">
        <v>0.3627996</v>
      </c>
      <c r="X2726">
        <v>0.9248326</v>
      </c>
      <c r="Y2726">
        <v>1.6846380000000001E-2</v>
      </c>
      <c r="Z2726">
        <v>-2.6783879999999999E-3</v>
      </c>
      <c r="AA2726">
        <v>0.99985449999999998</v>
      </c>
      <c r="AB2726">
        <v>40</v>
      </c>
      <c r="AC2726">
        <v>0.55230000000000201</v>
      </c>
      <c r="AD2726">
        <v>-0.1171594</v>
      </c>
      <c r="AE2726">
        <v>-8.6000000000012698E-3</v>
      </c>
      <c r="AF2726">
        <v>1.5658864704895199E-2</v>
      </c>
      <c r="AG2726">
        <v>-0.1171594</v>
      </c>
      <c r="AH2726">
        <v>0.52835477917094298</v>
      </c>
      <c r="AI2726">
        <v>102.49736896824</v>
      </c>
      <c r="AJ2726">
        <v>88.302420360515598</v>
      </c>
      <c r="AK2726">
        <v>0.5414150881948</v>
      </c>
      <c r="AL2726">
        <v>68.727771535951803</v>
      </c>
      <c r="AM2726">
        <v>97.044563796327196</v>
      </c>
      <c r="AN2726">
        <v>1.0000000202180399</v>
      </c>
    </row>
    <row r="2727" spans="1:40" x14ac:dyDescent="0.25">
      <c r="A2727" t="str">
        <f>"20190304164655625"</f>
        <v>20190304164655625</v>
      </c>
      <c r="B2727" t="str">
        <f>"1551689215621713"</f>
        <v>1551689215621713</v>
      </c>
      <c r="C2727" t="s">
        <v>40</v>
      </c>
      <c r="D2727">
        <v>4.7815440000000002</v>
      </c>
      <c r="E2727">
        <v>0.56577619999999995</v>
      </c>
      <c r="F2727" t="s">
        <v>41</v>
      </c>
      <c r="G2727">
        <v>-382.22160000000002</v>
      </c>
      <c r="H2727">
        <v>0.99706939999999999</v>
      </c>
      <c r="I2727">
        <v>213.29230000000001</v>
      </c>
      <c r="J2727">
        <v>-382.74160000000001</v>
      </c>
      <c r="K2727">
        <v>1.110914</v>
      </c>
      <c r="L2727">
        <v>213.30179999999999</v>
      </c>
      <c r="M2727">
        <v>0.9997878</v>
      </c>
      <c r="N2727">
        <v>-1.4931959999999999E-2</v>
      </c>
      <c r="O2727">
        <v>1.4198209999999999E-2</v>
      </c>
      <c r="P2727">
        <v>0.92942919999999996</v>
      </c>
      <c r="Q2727">
        <v>0.34636329999999999</v>
      </c>
      <c r="R2727">
        <v>0.12725620000000001</v>
      </c>
      <c r="S2727">
        <v>3.3919069999999998</v>
      </c>
      <c r="T2727">
        <v>-0.42254330000000001</v>
      </c>
      <c r="U2727">
        <v>-1.3290410000000001E-2</v>
      </c>
      <c r="V2727">
        <v>-0.1141708</v>
      </c>
      <c r="W2727">
        <v>0.36018869999999997</v>
      </c>
      <c r="X2727">
        <v>0.92586670000000004</v>
      </c>
      <c r="Y2727">
        <v>1.7877649999999998E-2</v>
      </c>
      <c r="Z2727">
        <v>-2.7938870000000001E-3</v>
      </c>
      <c r="AA2727">
        <v>0.99983630000000001</v>
      </c>
      <c r="AB2727">
        <v>40</v>
      </c>
      <c r="AC2727">
        <v>0.51999999999998103</v>
      </c>
      <c r="AD2727">
        <v>-0.113844599999999</v>
      </c>
      <c r="AE2727">
        <v>-9.4999999999742998E-3</v>
      </c>
      <c r="AF2727">
        <v>1.6110973447939301E-2</v>
      </c>
      <c r="AG2727">
        <v>-0.113844599999999</v>
      </c>
      <c r="AH2727">
        <v>0.49604460092166602</v>
      </c>
      <c r="AI2727">
        <v>102.919228821476</v>
      </c>
      <c r="AJ2727">
        <v>88.139751136578795</v>
      </c>
      <c r="AK2727">
        <v>0.50919583906207899</v>
      </c>
      <c r="AL2727">
        <v>68.888215005559999</v>
      </c>
      <c r="AM2727">
        <v>97.029789140890699</v>
      </c>
      <c r="AN2727">
        <v>1.0000000086746099</v>
      </c>
    </row>
    <row r="2728" spans="1:40" x14ac:dyDescent="0.25">
      <c r="A2728" t="str">
        <f>"20190304164655649"</f>
        <v>20190304164655649</v>
      </c>
      <c r="B2728" t="str">
        <f>"1551689215641233"</f>
        <v>1551689215641233</v>
      </c>
      <c r="C2728" t="s">
        <v>40</v>
      </c>
      <c r="D2728">
        <v>4.7545349999999997</v>
      </c>
      <c r="E2728">
        <v>0.5655019</v>
      </c>
      <c r="F2728" t="s">
        <v>41</v>
      </c>
      <c r="G2728">
        <v>-381.8605</v>
      </c>
      <c r="H2728">
        <v>0.9996353</v>
      </c>
      <c r="I2728">
        <v>213.2978</v>
      </c>
      <c r="J2728">
        <v>-382.30900000000003</v>
      </c>
      <c r="K2728">
        <v>1.1108960000000001</v>
      </c>
      <c r="L2728">
        <v>213.30799999999999</v>
      </c>
      <c r="M2728">
        <v>0.99978500000000003</v>
      </c>
      <c r="N2728">
        <v>-1.4958229999999999E-2</v>
      </c>
      <c r="O2728">
        <v>1.4354459999999999E-2</v>
      </c>
      <c r="P2728">
        <v>0.93133160000000004</v>
      </c>
      <c r="Q2728">
        <v>0.34102589999999999</v>
      </c>
      <c r="R2728">
        <v>0.12776019999999999</v>
      </c>
      <c r="S2728">
        <v>3.3894350000000002</v>
      </c>
      <c r="T2728">
        <v>-0.42806569999999999</v>
      </c>
      <c r="U2728">
        <v>-1.542664E-2</v>
      </c>
      <c r="V2728">
        <v>-0.1144992</v>
      </c>
      <c r="W2728">
        <v>0.35490529999999998</v>
      </c>
      <c r="X2728">
        <v>0.92786429999999998</v>
      </c>
      <c r="Y2728">
        <v>1.8652330000000002E-2</v>
      </c>
      <c r="Z2728">
        <v>-2.9049919999999999E-3</v>
      </c>
      <c r="AA2728">
        <v>0.99982179999999998</v>
      </c>
      <c r="AB2728">
        <v>40</v>
      </c>
      <c r="AC2728">
        <v>0.44850000000002399</v>
      </c>
      <c r="AD2728">
        <v>-0.111260699999999</v>
      </c>
      <c r="AE2728">
        <v>-1.0199999999997499E-2</v>
      </c>
      <c r="AF2728">
        <v>1.5673588384623599E-2</v>
      </c>
      <c r="AG2728">
        <v>-0.111260699999999</v>
      </c>
      <c r="AH2728">
        <v>0.42233049450178001</v>
      </c>
      <c r="AI2728">
        <v>104.749215781828</v>
      </c>
      <c r="AJ2728">
        <v>87.874606434371501</v>
      </c>
      <c r="AK2728">
        <v>0.43702133966599199</v>
      </c>
      <c r="AL2728">
        <v>69.212359428475295</v>
      </c>
      <c r="AM2728">
        <v>97.034781092666904</v>
      </c>
      <c r="AN2728">
        <v>0.99999999899160996</v>
      </c>
    </row>
    <row r="2729" spans="1:40" x14ac:dyDescent="0.25">
      <c r="A2729" t="str">
        <f>"20190304164655672"</f>
        <v>20190304164655672</v>
      </c>
      <c r="B2729" t="str">
        <f>"1551689215661730"</f>
        <v>1551689215661730</v>
      </c>
      <c r="C2729" t="s">
        <v>40</v>
      </c>
      <c r="D2729">
        <v>4.7155870000000002</v>
      </c>
      <c r="E2729">
        <v>0.56526219999999905</v>
      </c>
      <c r="F2729" t="s">
        <v>41</v>
      </c>
      <c r="G2729">
        <v>-381.49889999999999</v>
      </c>
      <c r="H2729">
        <v>1.0043409999999999</v>
      </c>
      <c r="I2729">
        <v>213.3047</v>
      </c>
      <c r="J2729">
        <v>-381.8956</v>
      </c>
      <c r="K2729">
        <v>1.1108789999999999</v>
      </c>
      <c r="L2729">
        <v>213.3141</v>
      </c>
      <c r="M2729">
        <v>0.99978270000000002</v>
      </c>
      <c r="N2729">
        <v>-1.4979269999999999E-2</v>
      </c>
      <c r="O2729">
        <v>1.4502279999999999E-2</v>
      </c>
      <c r="P2729">
        <v>0.93349130000000002</v>
      </c>
      <c r="Q2729">
        <v>0.33459850000000002</v>
      </c>
      <c r="R2729">
        <v>0.1289891</v>
      </c>
      <c r="S2729">
        <v>3.386139</v>
      </c>
      <c r="T2729">
        <v>-0.44537349999999998</v>
      </c>
      <c r="U2729">
        <v>-1.377869E-2</v>
      </c>
      <c r="V2729">
        <v>-0.1155564</v>
      </c>
      <c r="W2729">
        <v>0.34853119999999999</v>
      </c>
      <c r="X2729">
        <v>0.93014660000000005</v>
      </c>
      <c r="Y2729">
        <v>1.8298689999999999E-2</v>
      </c>
      <c r="Z2729">
        <v>-3.0187640000000002E-3</v>
      </c>
      <c r="AA2729">
        <v>0.99982800000000005</v>
      </c>
      <c r="AB2729">
        <v>40</v>
      </c>
      <c r="AC2729">
        <v>0.39670000000000899</v>
      </c>
      <c r="AD2729">
        <v>-0.10653799999999999</v>
      </c>
      <c r="AE2729">
        <v>-9.3999999999994002E-3</v>
      </c>
      <c r="AF2729">
        <v>1.41338795303307E-2</v>
      </c>
      <c r="AG2729">
        <v>-0.10653799999999999</v>
      </c>
      <c r="AH2729">
        <v>0.36986076776257898</v>
      </c>
      <c r="AI2729">
        <v>106.05787379152</v>
      </c>
      <c r="AJ2729">
        <v>87.8115608149661</v>
      </c>
      <c r="AK2729">
        <v>0.38515853816902801</v>
      </c>
      <c r="AL2729">
        <v>69.602496713934599</v>
      </c>
      <c r="AM2729">
        <v>97.081833337811403</v>
      </c>
      <c r="AN2729">
        <v>0.99999998822297997</v>
      </c>
    </row>
    <row r="2730" spans="1:40" x14ac:dyDescent="0.25">
      <c r="A2730" t="str">
        <f>"20190304164655695"</f>
        <v>20190304164655695</v>
      </c>
      <c r="B2730" t="str">
        <f>"1551689215691009"</f>
        <v>1551689215691009</v>
      </c>
      <c r="C2730" t="s">
        <v>40</v>
      </c>
      <c r="D2730">
        <v>4.7111320000000001</v>
      </c>
      <c r="E2730">
        <v>0.56507069999999904</v>
      </c>
      <c r="F2730" t="s">
        <v>41</v>
      </c>
      <c r="G2730">
        <v>-381.13889999999998</v>
      </c>
      <c r="H2730">
        <v>1.006535</v>
      </c>
      <c r="I2730">
        <v>213.3117</v>
      </c>
      <c r="J2730">
        <v>-381.47199999999998</v>
      </c>
      <c r="K2730">
        <v>1.110868</v>
      </c>
      <c r="L2730">
        <v>213.32040000000001</v>
      </c>
      <c r="M2730">
        <v>0.99978040000000001</v>
      </c>
      <c r="N2730">
        <v>-1.499697E-2</v>
      </c>
      <c r="O2730">
        <v>1.465172E-2</v>
      </c>
      <c r="P2730">
        <v>0.93411449999999996</v>
      </c>
      <c r="Q2730">
        <v>0.33263789999999999</v>
      </c>
      <c r="R2730">
        <v>0.1295471</v>
      </c>
      <c r="S2730">
        <v>3.3823850000000002</v>
      </c>
      <c r="T2730">
        <v>-0.46642790000000001</v>
      </c>
      <c r="U2730">
        <v>-1.025391E-2</v>
      </c>
      <c r="V2730">
        <v>-0.115963</v>
      </c>
      <c r="W2730">
        <v>0.34659659999999998</v>
      </c>
      <c r="X2730">
        <v>0.9308187</v>
      </c>
      <c r="Y2730">
        <v>1.7391739999999999E-2</v>
      </c>
      <c r="Z2730">
        <v>-3.1166739999999998E-3</v>
      </c>
      <c r="AA2730">
        <v>0.99984390000000001</v>
      </c>
      <c r="AB2730">
        <v>40</v>
      </c>
      <c r="AC2730">
        <v>0.33310000000000101</v>
      </c>
      <c r="AD2730">
        <v>-0.104333</v>
      </c>
      <c r="AE2730">
        <v>-8.7000000000045895E-3</v>
      </c>
      <c r="AF2730">
        <v>1.2367597373674001E-2</v>
      </c>
      <c r="AG2730">
        <v>-0.104333</v>
      </c>
      <c r="AH2730">
        <v>0.30321037238605397</v>
      </c>
      <c r="AI2730">
        <v>108.97340770158399</v>
      </c>
      <c r="AJ2730">
        <v>87.664266761296602</v>
      </c>
      <c r="AK2730">
        <v>0.32089696520267502</v>
      </c>
      <c r="AL2730">
        <v>69.720712098884107</v>
      </c>
      <c r="AM2730">
        <v>97.101418483509903</v>
      </c>
      <c r="AN2730">
        <v>1.00000003638512</v>
      </c>
    </row>
    <row r="2731" spans="1:40" x14ac:dyDescent="0.25">
      <c r="A2731" t="str">
        <f>"20190304164655718"</f>
        <v>20190304164655718</v>
      </c>
      <c r="B2731" t="str">
        <f>"1551689215711506"</f>
        <v>1551689215711506</v>
      </c>
      <c r="C2731" t="s">
        <v>40</v>
      </c>
      <c r="D2731">
        <v>4.6714949999999904</v>
      </c>
      <c r="E2731">
        <v>0.56484350000000005</v>
      </c>
      <c r="F2731" t="s">
        <v>41</v>
      </c>
      <c r="G2731">
        <v>-380.4409</v>
      </c>
      <c r="H2731">
        <v>0.96817989999999998</v>
      </c>
      <c r="I2731">
        <v>213.31739999999999</v>
      </c>
      <c r="J2731">
        <v>-381.07560000000001</v>
      </c>
      <c r="K2731">
        <v>1.110881</v>
      </c>
      <c r="L2731">
        <v>213.32640000000001</v>
      </c>
      <c r="M2731">
        <v>0.99977800000000006</v>
      </c>
      <c r="N2731">
        <v>-1.5010509999999999E-2</v>
      </c>
      <c r="O2731">
        <v>1.478926E-2</v>
      </c>
      <c r="P2731">
        <v>0.93347159999999996</v>
      </c>
      <c r="Q2731">
        <v>0.33467439999999998</v>
      </c>
      <c r="R2731">
        <v>0.12893470000000001</v>
      </c>
      <c r="S2731">
        <v>3.379486</v>
      </c>
      <c r="T2731">
        <v>-0.46779730000000003</v>
      </c>
      <c r="U2731">
        <v>-9.3841549999999999E-3</v>
      </c>
      <c r="V2731">
        <v>-0.11523079999999999</v>
      </c>
      <c r="W2731">
        <v>0.34863759999999999</v>
      </c>
      <c r="X2731">
        <v>0.93014719999999995</v>
      </c>
      <c r="Y2731">
        <v>1.7272550000000001E-2</v>
      </c>
      <c r="Z2731">
        <v>-3.136439E-3</v>
      </c>
      <c r="AA2731">
        <v>0.99984589999999995</v>
      </c>
      <c r="AB2731">
        <v>40</v>
      </c>
      <c r="AC2731">
        <v>0.63470000000000903</v>
      </c>
      <c r="AD2731">
        <v>-0.142701099999999</v>
      </c>
      <c r="AE2731">
        <v>-9.0000000000145502E-3</v>
      </c>
      <c r="AF2731">
        <v>1.7502261743072099E-2</v>
      </c>
      <c r="AG2731">
        <v>-0.142701099999999</v>
      </c>
      <c r="AH2731">
        <v>0.603973000232366</v>
      </c>
      <c r="AI2731">
        <v>103.28814477050101</v>
      </c>
      <c r="AJ2731">
        <v>88.340115921385703</v>
      </c>
      <c r="AK2731">
        <v>0.62084886898263603</v>
      </c>
      <c r="AL2731">
        <v>69.595994085545698</v>
      </c>
      <c r="AM2731">
        <v>97.062076313093797</v>
      </c>
      <c r="AN2731">
        <v>1.0000000635351101</v>
      </c>
    </row>
    <row r="2732" spans="1:40" x14ac:dyDescent="0.25">
      <c r="A2732" t="str">
        <f>"20190304164655739"</f>
        <v>20190304164655739</v>
      </c>
      <c r="B2732" t="str">
        <f>"1551689215731025"</f>
        <v>1551689215731025</v>
      </c>
      <c r="C2732" t="s">
        <v>40</v>
      </c>
      <c r="D2732">
        <v>4.6330210000000003</v>
      </c>
      <c r="E2732">
        <v>0.56406469999999997</v>
      </c>
      <c r="F2732" t="s">
        <v>41</v>
      </c>
      <c r="G2732">
        <v>-380.07940000000002</v>
      </c>
      <c r="H2732">
        <v>0.97595580000000004</v>
      </c>
      <c r="I2732">
        <v>213.32239999999999</v>
      </c>
      <c r="J2732">
        <v>-380.70069999999998</v>
      </c>
      <c r="K2732">
        <v>1.110884</v>
      </c>
      <c r="L2732">
        <v>213.3321</v>
      </c>
      <c r="M2732">
        <v>0.99977590000000005</v>
      </c>
      <c r="N2732">
        <v>-1.5021349999999999E-2</v>
      </c>
      <c r="O2732">
        <v>1.491818E-2</v>
      </c>
      <c r="P2732">
        <v>0.93285549999999995</v>
      </c>
      <c r="Q2732">
        <v>0.33670830000000002</v>
      </c>
      <c r="R2732">
        <v>0.1280945</v>
      </c>
      <c r="S2732">
        <v>3.379578</v>
      </c>
      <c r="T2732">
        <v>-0.45785090000000001</v>
      </c>
      <c r="U2732">
        <v>-1.173401E-2</v>
      </c>
      <c r="V2732">
        <v>-0.1142777</v>
      </c>
      <c r="W2732">
        <v>0.3506725</v>
      </c>
      <c r="X2732">
        <v>0.92949959999999998</v>
      </c>
      <c r="Y2732">
        <v>1.8099830000000001E-2</v>
      </c>
      <c r="Z2732">
        <v>-3.1457149999999999E-3</v>
      </c>
      <c r="AA2732">
        <v>0.99983129999999998</v>
      </c>
      <c r="AB2732">
        <v>40</v>
      </c>
      <c r="AC2732">
        <v>0.62129999999996199</v>
      </c>
      <c r="AD2732">
        <v>-0.134928199999999</v>
      </c>
      <c r="AE2732">
        <v>-9.7000000000093695E-3</v>
      </c>
      <c r="AF2732">
        <v>1.8114502529401302E-2</v>
      </c>
      <c r="AG2732">
        <v>-0.134928199999999</v>
      </c>
      <c r="AH2732">
        <v>0.59311955597503896</v>
      </c>
      <c r="AI2732">
        <v>102.810274901209</v>
      </c>
      <c r="AJ2732">
        <v>88.250669675193805</v>
      </c>
      <c r="AK2732">
        <v>0.60854298290026698</v>
      </c>
      <c r="AL2732">
        <v>69.471547358930195</v>
      </c>
      <c r="AM2732">
        <v>97.009078348944499</v>
      </c>
      <c r="AN2732">
        <v>1.0000000506868401</v>
      </c>
    </row>
    <row r="2733" spans="1:40" x14ac:dyDescent="0.25">
      <c r="A2733" t="str">
        <f>"20190304164655761"</f>
        <v>20190304164655761</v>
      </c>
      <c r="B2733" t="str">
        <f>"1551689215751523"</f>
        <v>1551689215751523</v>
      </c>
      <c r="C2733" t="s">
        <v>40</v>
      </c>
      <c r="D2733">
        <v>4.6080199999999998</v>
      </c>
      <c r="E2733">
        <v>0.56416639999999996</v>
      </c>
      <c r="F2733" t="s">
        <v>41</v>
      </c>
      <c r="G2733">
        <v>-379.7115</v>
      </c>
      <c r="H2733">
        <v>0.99753009999999998</v>
      </c>
      <c r="I2733">
        <v>213.32769999999999</v>
      </c>
      <c r="J2733">
        <v>-380.30189999999999</v>
      </c>
      <c r="K2733">
        <v>1.1108929999999999</v>
      </c>
      <c r="L2733">
        <v>213.3382</v>
      </c>
      <c r="M2733">
        <v>0.99977369999999999</v>
      </c>
      <c r="N2733">
        <v>-1.503056E-2</v>
      </c>
      <c r="O2733">
        <v>1.505391E-2</v>
      </c>
      <c r="P2733">
        <v>0.93302280000000004</v>
      </c>
      <c r="Q2733">
        <v>0.336564799999999</v>
      </c>
      <c r="R2733">
        <v>0.1272508</v>
      </c>
      <c r="S2733">
        <v>3.3567809999999998</v>
      </c>
      <c r="T2733">
        <v>-0.38472010000000001</v>
      </c>
      <c r="U2733">
        <v>-1.434326E-2</v>
      </c>
      <c r="V2733">
        <v>-0.1133031</v>
      </c>
      <c r="W2733">
        <v>0.3505412</v>
      </c>
      <c r="X2733">
        <v>0.92966839999999995</v>
      </c>
      <c r="Y2733">
        <v>1.911185E-2</v>
      </c>
      <c r="Z2733">
        <v>-2.729806E-3</v>
      </c>
      <c r="AA2733">
        <v>0.99981359999999997</v>
      </c>
      <c r="AB2733">
        <v>40</v>
      </c>
      <c r="AC2733">
        <v>0.59039999999998805</v>
      </c>
      <c r="AD2733">
        <v>-0.1133629</v>
      </c>
      <c r="AE2733">
        <v>-1.05000000000075E-2</v>
      </c>
      <c r="AF2733">
        <v>1.8698485370218398E-2</v>
      </c>
      <c r="AG2733">
        <v>-0.1133629</v>
      </c>
      <c r="AH2733">
        <v>0.56919651549883199</v>
      </c>
      <c r="AI2733">
        <v>101.25789666097501</v>
      </c>
      <c r="AJ2733">
        <v>88.118472040939494</v>
      </c>
      <c r="AK2733">
        <v>0.58067672048013297</v>
      </c>
      <c r="AL2733">
        <v>69.479579746058306</v>
      </c>
      <c r="AM2733">
        <v>96.948640020891801</v>
      </c>
      <c r="AN2733">
        <v>1.0000000296628</v>
      </c>
    </row>
    <row r="2734" spans="1:40" x14ac:dyDescent="0.25">
      <c r="A2734" t="str">
        <f>"20190304164655784"</f>
        <v>20190304164655784</v>
      </c>
      <c r="B2734" t="str">
        <f>"1551689215771041"</f>
        <v>1551689215771041</v>
      </c>
      <c r="C2734" t="s">
        <v>40</v>
      </c>
      <c r="D2734">
        <v>4.5904309999999997</v>
      </c>
      <c r="E2734">
        <v>0.56429399999999996</v>
      </c>
      <c r="F2734" t="s">
        <v>41</v>
      </c>
      <c r="G2734">
        <v>-379.35239999999999</v>
      </c>
      <c r="H2734">
        <v>1.0018370000000001</v>
      </c>
      <c r="I2734">
        <v>213.33240000000001</v>
      </c>
      <c r="J2734">
        <v>-379.88319999999999</v>
      </c>
      <c r="K2734">
        <v>1.1109020000000001</v>
      </c>
      <c r="L2734">
        <v>213.34460000000001</v>
      </c>
      <c r="M2734">
        <v>0.99977150000000004</v>
      </c>
      <c r="N2734">
        <v>-1.503796E-2</v>
      </c>
      <c r="O2734">
        <v>1.519502E-2</v>
      </c>
      <c r="P2734">
        <v>0.93266859999999996</v>
      </c>
      <c r="Q2734">
        <v>0.33770609999999901</v>
      </c>
      <c r="R2734">
        <v>0.1268234</v>
      </c>
      <c r="S2734">
        <v>3.3570859999999998</v>
      </c>
      <c r="T2734">
        <v>-0.3858105</v>
      </c>
      <c r="U2734">
        <v>-1.8646240000000001E-2</v>
      </c>
      <c r="V2734">
        <v>-0.1127483</v>
      </c>
      <c r="W2734">
        <v>0.35168460000000001</v>
      </c>
      <c r="X2734">
        <v>0.92930389999999996</v>
      </c>
      <c r="Y2734">
        <v>2.0521649999999999E-2</v>
      </c>
      <c r="Z2734">
        <v>-2.8428609999999999E-3</v>
      </c>
      <c r="AA2734">
        <v>0.99978540000000005</v>
      </c>
      <c r="AB2734">
        <v>40</v>
      </c>
      <c r="AC2734">
        <v>0.53079999999999905</v>
      </c>
      <c r="AD2734">
        <v>-0.109064999999999</v>
      </c>
      <c r="AE2734">
        <v>-1.2200000000007E-2</v>
      </c>
      <c r="AF2734">
        <v>1.9444522771427501E-2</v>
      </c>
      <c r="AG2734">
        <v>-0.109064999999999</v>
      </c>
      <c r="AH2734">
        <v>0.50907208676145499</v>
      </c>
      <c r="AI2734">
        <v>102.083850733229</v>
      </c>
      <c r="AJ2734">
        <v>87.812593152175793</v>
      </c>
      <c r="AK2734">
        <v>0.52098719102341695</v>
      </c>
      <c r="AL2734">
        <v>69.409612295794304</v>
      </c>
      <c r="AM2734">
        <v>96.917631507764099</v>
      </c>
      <c r="AN2734">
        <v>0.999999987792629</v>
      </c>
    </row>
    <row r="2735" spans="1:40" x14ac:dyDescent="0.25">
      <c r="A2735" t="str">
        <f>"20190304164655805"</f>
        <v>20190304164655805</v>
      </c>
      <c r="B2735" t="str">
        <f>"1551689215791539"</f>
        <v>1551689215791539</v>
      </c>
      <c r="C2735" t="s">
        <v>40</v>
      </c>
      <c r="D2735">
        <v>4.6220939999999997</v>
      </c>
      <c r="E2735">
        <v>0.56430259999999999</v>
      </c>
      <c r="F2735" t="s">
        <v>41</v>
      </c>
      <c r="G2735">
        <v>-378.99220000000003</v>
      </c>
      <c r="H2735">
        <v>1.0093240000000001</v>
      </c>
      <c r="I2735">
        <v>213.33879999999999</v>
      </c>
      <c r="J2735">
        <v>-379.52289999999999</v>
      </c>
      <c r="K2735">
        <v>1.110911</v>
      </c>
      <c r="L2735">
        <v>213.3502</v>
      </c>
      <c r="M2735">
        <v>0.99976949999999998</v>
      </c>
      <c r="N2735">
        <v>-1.504285E-2</v>
      </c>
      <c r="O2735">
        <v>1.531572E-2</v>
      </c>
      <c r="P2735">
        <v>0.93205550000000004</v>
      </c>
      <c r="Q2735">
        <v>0.33906760000000002</v>
      </c>
      <c r="R2735">
        <v>0.12769330000000001</v>
      </c>
      <c r="S2735">
        <v>3.3581539999999999</v>
      </c>
      <c r="T2735">
        <v>-0.38293539999999998</v>
      </c>
      <c r="U2735">
        <v>-2.1270750000000001E-2</v>
      </c>
      <c r="V2735">
        <v>-0.113514</v>
      </c>
      <c r="W2735">
        <v>0.35304160000000001</v>
      </c>
      <c r="X2735">
        <v>0.92869590000000002</v>
      </c>
      <c r="Y2735">
        <v>2.1418309999999999E-2</v>
      </c>
      <c r="Z2735">
        <v>-2.8899469999999999E-3</v>
      </c>
      <c r="AA2735">
        <v>0.99976640000000006</v>
      </c>
      <c r="AB2735">
        <v>40</v>
      </c>
      <c r="AC2735">
        <v>0.53069999999996698</v>
      </c>
      <c r="AD2735">
        <v>-0.101587</v>
      </c>
      <c r="AE2735">
        <v>-1.14000000000089E-2</v>
      </c>
      <c r="AF2735">
        <v>1.8837704228721702E-2</v>
      </c>
      <c r="AG2735">
        <v>-0.101587</v>
      </c>
      <c r="AH2735">
        <v>0.51172132168510498</v>
      </c>
      <c r="AI2735">
        <v>101.220974520857</v>
      </c>
      <c r="AJ2735">
        <v>87.891755239932607</v>
      </c>
      <c r="AK2735">
        <v>0.52204740085241197</v>
      </c>
      <c r="AL2735">
        <v>69.326532423455703</v>
      </c>
      <c r="AM2735">
        <v>96.968665431122901</v>
      </c>
      <c r="AN2735">
        <v>0.999999937101683</v>
      </c>
    </row>
    <row r="2736" spans="1:40" x14ac:dyDescent="0.25">
      <c r="A2736" t="str">
        <f>"20190304164655826"</f>
        <v>20190304164655826</v>
      </c>
      <c r="B2736" t="str">
        <f>"1551689215821794"</f>
        <v>1551689215821794</v>
      </c>
      <c r="C2736" t="s">
        <v>40</v>
      </c>
      <c r="D2736">
        <v>4.4441179999999996</v>
      </c>
      <c r="E2736">
        <v>0.54154859999999905</v>
      </c>
      <c r="F2736" t="s">
        <v>41</v>
      </c>
      <c r="G2736">
        <v>-378.63490000000002</v>
      </c>
      <c r="H2736">
        <v>1.011728</v>
      </c>
      <c r="I2736">
        <v>213.34460000000001</v>
      </c>
      <c r="J2736">
        <v>-379.13600000000002</v>
      </c>
      <c r="K2736">
        <v>1.1109100000000001</v>
      </c>
      <c r="L2736">
        <v>213.3563</v>
      </c>
      <c r="M2736">
        <v>0.99976770000000004</v>
      </c>
      <c r="N2736">
        <v>-1.504687E-2</v>
      </c>
      <c r="O2736">
        <v>1.544447E-2</v>
      </c>
      <c r="P2736">
        <v>0.93146530000000005</v>
      </c>
      <c r="Q2736">
        <v>0.33977669999999999</v>
      </c>
      <c r="R2736">
        <v>0.1300944</v>
      </c>
      <c r="S2736">
        <v>3.3578800000000002</v>
      </c>
      <c r="T2736">
        <v>-0.37517909999999999</v>
      </c>
      <c r="U2736">
        <v>-1.9729610000000002E-2</v>
      </c>
      <c r="V2736">
        <v>-0.1158035</v>
      </c>
      <c r="W2736">
        <v>0.35374559999999999</v>
      </c>
      <c r="X2736">
        <v>0.9281452</v>
      </c>
      <c r="Y2736">
        <v>2.1099730000000001E-2</v>
      </c>
      <c r="Z2736">
        <v>-2.8228350000000001E-3</v>
      </c>
      <c r="AA2736">
        <v>0.99977340000000003</v>
      </c>
      <c r="AB2736">
        <v>40</v>
      </c>
      <c r="AC2736">
        <v>0.50109999999995103</v>
      </c>
      <c r="AD2736">
        <v>-9.9182000000000103E-2</v>
      </c>
      <c r="AE2736">
        <v>-1.16999999999904E-2</v>
      </c>
      <c r="AF2736">
        <v>1.87062706325682E-2</v>
      </c>
      <c r="AG2736">
        <v>-9.9182000000000103E-2</v>
      </c>
      <c r="AH2736">
        <v>0.48198757886660598</v>
      </c>
      <c r="AI2736">
        <v>101.619338342907</v>
      </c>
      <c r="AJ2736">
        <v>87.777426731800304</v>
      </c>
      <c r="AK2736">
        <v>0.492441894914183</v>
      </c>
      <c r="AL2736">
        <v>69.283414373750503</v>
      </c>
      <c r="AM2736">
        <v>97.111969171309198</v>
      </c>
      <c r="AN2736">
        <v>0.99999995620732396</v>
      </c>
    </row>
    <row r="2737" spans="1:40" x14ac:dyDescent="0.25">
      <c r="A2737" t="str">
        <f>"20190304164655849"</f>
        <v>20190304164655849</v>
      </c>
      <c r="B2737" t="str">
        <f>"1551689215841313"</f>
        <v>1551689215841313</v>
      </c>
      <c r="C2737" t="s">
        <v>40</v>
      </c>
      <c r="D2737">
        <v>4.4871049999999997</v>
      </c>
      <c r="E2737">
        <v>0.53659119999999905</v>
      </c>
      <c r="F2737" t="s">
        <v>41</v>
      </c>
      <c r="G2737">
        <v>-378.2747</v>
      </c>
      <c r="H2737">
        <v>1.0175700000000001</v>
      </c>
      <c r="I2737">
        <v>213.399</v>
      </c>
      <c r="J2737">
        <v>-378.72019999999998</v>
      </c>
      <c r="K2737">
        <v>1.1109119999999999</v>
      </c>
      <c r="L2737">
        <v>213.36279999999999</v>
      </c>
      <c r="M2737">
        <v>0.99976529999999997</v>
      </c>
      <c r="N2737">
        <v>-1.5049959999999999E-2</v>
      </c>
      <c r="O2737">
        <v>1.5582469999999999E-2</v>
      </c>
      <c r="P2737">
        <v>0.93115250000000005</v>
      </c>
      <c r="Q2737">
        <v>0.34006769999999997</v>
      </c>
      <c r="R2737">
        <v>0.13156419999999999</v>
      </c>
      <c r="S2737">
        <v>3.3291629999999999</v>
      </c>
      <c r="T2737">
        <v>-0.36100729999999998</v>
      </c>
      <c r="U2737">
        <v>0.1661987</v>
      </c>
      <c r="V2737">
        <v>-0.11714869999999999</v>
      </c>
      <c r="W2737">
        <v>0.3540355</v>
      </c>
      <c r="X2737">
        <v>0.92786590000000002</v>
      </c>
      <c r="Y2737">
        <v>-3.412917E-2</v>
      </c>
      <c r="Z2737">
        <v>6.5203709999999998E-4</v>
      </c>
      <c r="AA2737">
        <v>0.99941720000000001</v>
      </c>
      <c r="AB2737">
        <v>40</v>
      </c>
      <c r="AC2737">
        <v>0.44549999999998102</v>
      </c>
      <c r="AD2737">
        <v>-9.3341999999999994E-2</v>
      </c>
      <c r="AE2737">
        <v>3.6200000000007997E-2</v>
      </c>
      <c r="AF2737">
        <v>-2.8030380972655901E-2</v>
      </c>
      <c r="AG2737">
        <v>-9.3341999999999994E-2</v>
      </c>
      <c r="AH2737">
        <v>0.42737173863265898</v>
      </c>
      <c r="AI2737">
        <v>102.29485115417801</v>
      </c>
      <c r="AJ2737">
        <v>93.752530641661494</v>
      </c>
      <c r="AK2737">
        <v>0.43834351164739999</v>
      </c>
      <c r="AL2737">
        <v>69.265656899719701</v>
      </c>
      <c r="AM2737">
        <v>97.195865554433894</v>
      </c>
      <c r="AN2737">
        <v>1.0000000407773699</v>
      </c>
    </row>
    <row r="2738" spans="1:40" x14ac:dyDescent="0.25">
      <c r="A2738" t="str">
        <f>"20190304164655872"</f>
        <v>20190304164655872</v>
      </c>
      <c r="B2738" t="str">
        <f>"1551689215861809"</f>
        <v>1551689215861809</v>
      </c>
      <c r="C2738" t="s">
        <v>40</v>
      </c>
      <c r="D2738">
        <v>4.4572250000000002</v>
      </c>
      <c r="E2738">
        <v>0.53497090000000003</v>
      </c>
      <c r="F2738" t="s">
        <v>49</v>
      </c>
      <c r="G2738">
        <v>-368.39980000000003</v>
      </c>
      <c r="H2738" s="1">
        <v>2.9331520000000001E-6</v>
      </c>
      <c r="I2738">
        <v>214.0196</v>
      </c>
      <c r="J2738">
        <v>-378.33019999999999</v>
      </c>
      <c r="K2738">
        <v>1.11091299999999</v>
      </c>
      <c r="L2738">
        <v>213.369</v>
      </c>
      <c r="M2738">
        <v>0.99976339999999997</v>
      </c>
      <c r="N2738">
        <v>-1.5052019999999999E-2</v>
      </c>
      <c r="O2738">
        <v>1.5711349999999999E-2</v>
      </c>
      <c r="P2738">
        <v>0.93085620000000002</v>
      </c>
      <c r="Q2738">
        <v>0.34029759999999998</v>
      </c>
      <c r="R2738">
        <v>0.13305790000000001</v>
      </c>
      <c r="S2738">
        <v>3.3226010000000001</v>
      </c>
      <c r="T2738">
        <v>-0.35765000000000002</v>
      </c>
      <c r="U2738">
        <v>0.21144099999999999</v>
      </c>
      <c r="V2738">
        <v>-0.1185252</v>
      </c>
      <c r="W2738">
        <v>0.3542633</v>
      </c>
      <c r="X2738">
        <v>0.92760410000000004</v>
      </c>
      <c r="Y2738">
        <v>-4.7574039999999998E-2</v>
      </c>
      <c r="Z2738">
        <v>1.46148E-3</v>
      </c>
      <c r="AA2738">
        <v>0.99886660000000005</v>
      </c>
      <c r="AB2738">
        <v>40</v>
      </c>
      <c r="AC2738">
        <v>9.9303999999999597</v>
      </c>
      <c r="AD2738">
        <v>-1.1109100668480001</v>
      </c>
      <c r="AE2738">
        <v>0.65059999999996798</v>
      </c>
      <c r="AF2738">
        <v>-0.48839597104391502</v>
      </c>
      <c r="AG2738">
        <v>-1.1109100668480001</v>
      </c>
      <c r="AH2738">
        <v>9.8170633641645502</v>
      </c>
      <c r="AI2738">
        <v>96.448283358831304</v>
      </c>
      <c r="AJ2738">
        <v>92.848099757952795</v>
      </c>
      <c r="AK2738">
        <v>9.8917837065505001</v>
      </c>
      <c r="AL2738">
        <v>69.251700313939295</v>
      </c>
      <c r="AM2738">
        <v>97.2815478310781</v>
      </c>
      <c r="AN2738">
        <v>1.0000000375493601</v>
      </c>
    </row>
    <row r="2739" spans="1:40" x14ac:dyDescent="0.25">
      <c r="A2739" t="str">
        <f>"20190304164655895"</f>
        <v>20190304164655895</v>
      </c>
      <c r="B2739" t="str">
        <f>"1551689215891089"</f>
        <v>1551689215891089</v>
      </c>
      <c r="C2739" t="s">
        <v>40</v>
      </c>
      <c r="D2739">
        <v>4.4517930000000003</v>
      </c>
      <c r="E2739">
        <v>0.5342903</v>
      </c>
      <c r="F2739" t="s">
        <v>49</v>
      </c>
      <c r="G2739">
        <v>-367.9341</v>
      </c>
      <c r="H2739" s="1">
        <v>2.685332E-6</v>
      </c>
      <c r="I2739">
        <v>214.089</v>
      </c>
      <c r="J2739">
        <v>-377.9221</v>
      </c>
      <c r="K2739">
        <v>1.1109100000000001</v>
      </c>
      <c r="L2739">
        <v>213.37559999999999</v>
      </c>
      <c r="M2739">
        <v>0.99976109999999896</v>
      </c>
      <c r="N2739">
        <v>-1.5053270000000001E-2</v>
      </c>
      <c r="O2739">
        <v>1.5844279999999999E-2</v>
      </c>
      <c r="P2739">
        <v>0.9307957</v>
      </c>
      <c r="Q2739">
        <v>0.34008650000000001</v>
      </c>
      <c r="R2739">
        <v>0.13401749999999901</v>
      </c>
      <c r="S2739">
        <v>3.3196720000000002</v>
      </c>
      <c r="T2739">
        <v>-0.35473280000000001</v>
      </c>
      <c r="U2739">
        <v>0.2299042</v>
      </c>
      <c r="V2739">
        <v>-0.1193602</v>
      </c>
      <c r="W2739">
        <v>0.3540528</v>
      </c>
      <c r="X2739">
        <v>0.9275774</v>
      </c>
      <c r="Y2739">
        <v>-5.2996050000000003E-2</v>
      </c>
      <c r="Z2739">
        <v>1.7725079999999999E-3</v>
      </c>
      <c r="AA2739">
        <v>0.99859319999999896</v>
      </c>
      <c r="AB2739">
        <v>40</v>
      </c>
      <c r="AC2739">
        <v>9.9879999999999995</v>
      </c>
      <c r="AD2739">
        <v>-1.110907314668</v>
      </c>
      <c r="AE2739">
        <v>0.71340000000003501</v>
      </c>
      <c r="AF2739">
        <v>-0.548291429594708</v>
      </c>
      <c r="AG2739">
        <v>-1.110907314668</v>
      </c>
      <c r="AH2739">
        <v>9.8764903711564802</v>
      </c>
      <c r="AI2739">
        <v>96.407868954155404</v>
      </c>
      <c r="AJ2739">
        <v>93.177502420818996</v>
      </c>
      <c r="AK2739">
        <v>9.9538836945735198</v>
      </c>
      <c r="AL2739">
        <v>69.264596968483701</v>
      </c>
      <c r="AM2739">
        <v>97.332498160418993</v>
      </c>
      <c r="AN2739">
        <v>1.0000000377613101</v>
      </c>
    </row>
    <row r="2740" spans="1:40" x14ac:dyDescent="0.25">
      <c r="A2740" t="str">
        <f>"20190304164655937"</f>
        <v>20190304164655937</v>
      </c>
      <c r="B2740" t="str">
        <f>"1551689215931106"</f>
        <v>1551689215931106</v>
      </c>
      <c r="C2740" t="s">
        <v>40</v>
      </c>
      <c r="D2740">
        <v>5.0349309999999896</v>
      </c>
      <c r="E2740">
        <v>0.53399619999999903</v>
      </c>
      <c r="F2740" t="s">
        <v>41</v>
      </c>
      <c r="G2740">
        <v>-376.86059999999998</v>
      </c>
      <c r="H2740">
        <v>1.0019880000000001</v>
      </c>
      <c r="I2740">
        <v>213.4512</v>
      </c>
      <c r="J2740">
        <v>-377.1574</v>
      </c>
      <c r="K2740">
        <v>1.110903</v>
      </c>
      <c r="L2740">
        <v>213.38800000000001</v>
      </c>
      <c r="M2740">
        <v>0.99975740000000002</v>
      </c>
      <c r="N2740">
        <v>-1.5053240000000001E-2</v>
      </c>
      <c r="O2740">
        <v>1.608449E-2</v>
      </c>
      <c r="P2740">
        <v>0.93063439999999997</v>
      </c>
      <c r="Q2740">
        <v>0.34040589999999998</v>
      </c>
      <c r="R2740">
        <v>0.13432740000000001</v>
      </c>
      <c r="S2740">
        <v>3.3132630000000001</v>
      </c>
      <c r="T2740">
        <v>-0.34003159999999999</v>
      </c>
      <c r="U2740">
        <v>0.2362976</v>
      </c>
      <c r="V2740">
        <v>-0.1194438</v>
      </c>
      <c r="W2740">
        <v>0.35437210000000002</v>
      </c>
      <c r="X2740">
        <v>0.92744459999999995</v>
      </c>
      <c r="Y2740">
        <v>-5.4815620000000002E-2</v>
      </c>
      <c r="Z2740">
        <v>1.813561E-3</v>
      </c>
      <c r="AA2740">
        <v>0.99849489999999996</v>
      </c>
      <c r="AB2740">
        <v>40</v>
      </c>
      <c r="AC2740">
        <v>0.29680000000001799</v>
      </c>
      <c r="AD2740">
        <v>-0.108915</v>
      </c>
      <c r="AE2740">
        <v>6.3199999999994802E-2</v>
      </c>
      <c r="AF2740">
        <v>-5.1750782520022597E-2</v>
      </c>
      <c r="AG2740">
        <v>-0.108915</v>
      </c>
      <c r="AH2740">
        <v>0.26379565243270398</v>
      </c>
      <c r="AI2740">
        <v>112.055512841839</v>
      </c>
      <c r="AJ2740">
        <v>101.099191254042</v>
      </c>
      <c r="AK2740">
        <v>0.290049593964258</v>
      </c>
      <c r="AL2740">
        <v>69.245032080573793</v>
      </c>
      <c r="AM2740">
        <v>97.338617109128293</v>
      </c>
      <c r="AN2740">
        <v>0.99999994634300304</v>
      </c>
    </row>
    <row r="2741" spans="1:40" x14ac:dyDescent="0.25">
      <c r="A2741" t="str">
        <f>"20190304164655960"</f>
        <v>20190304164655960</v>
      </c>
      <c r="B2741" t="str">
        <f>"1551689215951602"</f>
        <v>1551689215951602</v>
      </c>
      <c r="C2741" t="s">
        <v>40</v>
      </c>
      <c r="D2741">
        <v>4.497471</v>
      </c>
      <c r="E2741">
        <v>0.53388500000000005</v>
      </c>
      <c r="F2741" t="s">
        <v>49</v>
      </c>
      <c r="G2741">
        <v>-366.09719999999999</v>
      </c>
      <c r="H2741" s="1">
        <v>1.7078509999999999E-6</v>
      </c>
      <c r="I2741">
        <v>214.19460000000001</v>
      </c>
      <c r="J2741">
        <v>-376.7602</v>
      </c>
      <c r="K2741">
        <v>1.110905</v>
      </c>
      <c r="L2741">
        <v>213.39449999999999</v>
      </c>
      <c r="M2741">
        <v>0.99975539999999996</v>
      </c>
      <c r="N2741">
        <v>-1.5052380000000001E-2</v>
      </c>
      <c r="O2741">
        <v>1.6204840000000002E-2</v>
      </c>
      <c r="P2741">
        <v>0.93099430000000005</v>
      </c>
      <c r="Q2741">
        <v>0.3393562</v>
      </c>
      <c r="R2741">
        <v>0.13448840000000001</v>
      </c>
      <c r="S2741">
        <v>3.3103639999999999</v>
      </c>
      <c r="T2741">
        <v>-0.33249770000000001</v>
      </c>
      <c r="U2741">
        <v>0.24143980000000001</v>
      </c>
      <c r="V2741">
        <v>-0.1194837</v>
      </c>
      <c r="W2741">
        <v>0.35332799999999998</v>
      </c>
      <c r="X2741">
        <v>0.92783780000000005</v>
      </c>
      <c r="Y2741">
        <v>-5.630226E-2</v>
      </c>
      <c r="Z2741">
        <v>1.864292E-3</v>
      </c>
      <c r="AA2741">
        <v>0.99841199999999997</v>
      </c>
      <c r="AB2741">
        <v>40</v>
      </c>
      <c r="AC2741">
        <v>10.663</v>
      </c>
      <c r="AD2741">
        <v>-1.1109032921490001</v>
      </c>
      <c r="AE2741">
        <v>0.80010000000001402</v>
      </c>
      <c r="AF2741">
        <v>-0.62048602394852403</v>
      </c>
      <c r="AG2741">
        <v>-1.1109032921490001</v>
      </c>
      <c r="AH2741">
        <v>10.5605826910922</v>
      </c>
      <c r="AI2741">
        <v>95.994788223006196</v>
      </c>
      <c r="AJ2741">
        <v>93.362542269105504</v>
      </c>
      <c r="AK2741">
        <v>10.636964595495201</v>
      </c>
      <c r="AL2741">
        <v>69.308994031962598</v>
      </c>
      <c r="AM2741">
        <v>97.337964745500898</v>
      </c>
      <c r="AN2741">
        <v>1.00000000662926</v>
      </c>
    </row>
    <row r="2742" spans="1:40" x14ac:dyDescent="0.25">
      <c r="A2742" t="str">
        <f>"20190304164655982"</f>
        <v>20190304164655982</v>
      </c>
      <c r="B2742" t="str">
        <f>"1551689215971125"</f>
        <v>1551689215971125</v>
      </c>
      <c r="C2742" t="s">
        <v>40</v>
      </c>
      <c r="D2742">
        <v>4.5140250000000002</v>
      </c>
      <c r="E2742">
        <v>0.53384069999999995</v>
      </c>
      <c r="F2742" t="s">
        <v>49</v>
      </c>
      <c r="G2742">
        <v>-365.63490000000002</v>
      </c>
      <c r="H2742" s="1">
        <v>1.4617980000000001E-6</v>
      </c>
      <c r="I2742">
        <v>214.20689999999999</v>
      </c>
      <c r="J2742">
        <v>-376.36329999999998</v>
      </c>
      <c r="K2742">
        <v>1.1108990000000001</v>
      </c>
      <c r="L2742">
        <v>213.40100000000001</v>
      </c>
      <c r="M2742">
        <v>0.99975360000000002</v>
      </c>
      <c r="N2742">
        <v>-1.505104E-2</v>
      </c>
      <c r="O2742">
        <v>1.6320109999999999E-2</v>
      </c>
      <c r="P2742">
        <v>0.93093789999999998</v>
      </c>
      <c r="Q2742">
        <v>0.33939639999999999</v>
      </c>
      <c r="R2742">
        <v>0.13477709999999901</v>
      </c>
      <c r="S2742">
        <v>3.3078310000000002</v>
      </c>
      <c r="T2742">
        <v>-0.33029930000000002</v>
      </c>
      <c r="U2742">
        <v>0.2415466</v>
      </c>
      <c r="V2742">
        <v>-0.1196627</v>
      </c>
      <c r="W2742">
        <v>0.3533673</v>
      </c>
      <c r="X2742">
        <v>0.92779979999999995</v>
      </c>
      <c r="Y2742">
        <v>-5.6277960000000002E-2</v>
      </c>
      <c r="Z2742">
        <v>1.8461370000000001E-3</v>
      </c>
      <c r="AA2742">
        <v>0.99841340000000001</v>
      </c>
      <c r="AB2742">
        <v>40</v>
      </c>
      <c r="AC2742">
        <v>10.728399999999899</v>
      </c>
      <c r="AD2742">
        <v>-1.1108975382019901</v>
      </c>
      <c r="AE2742">
        <v>0.80590000000000805</v>
      </c>
      <c r="AF2742">
        <v>-0.62403080325236004</v>
      </c>
      <c r="AG2742">
        <v>-1.1108975382019901</v>
      </c>
      <c r="AH2742">
        <v>10.626822657772401</v>
      </c>
      <c r="AI2742">
        <v>95.957671297526801</v>
      </c>
      <c r="AJ2742">
        <v>93.360677038564802</v>
      </c>
      <c r="AK2742">
        <v>10.702937334374001</v>
      </c>
      <c r="AL2742">
        <v>69.306587752972007</v>
      </c>
      <c r="AM2742">
        <v>97.349135456997502</v>
      </c>
      <c r="AN2742">
        <v>1.0000000396802999</v>
      </c>
    </row>
    <row r="2743" spans="1:40" x14ac:dyDescent="0.25">
      <c r="A2743" t="str">
        <f>"20190304164656005"</f>
        <v>20190304164656005</v>
      </c>
      <c r="B2743" t="str">
        <f>"1551689216001378"</f>
        <v>1551689216001378</v>
      </c>
      <c r="C2743" t="s">
        <v>40</v>
      </c>
      <c r="D2743">
        <v>4.4998120000000004</v>
      </c>
      <c r="E2743">
        <v>0.533829199999999</v>
      </c>
      <c r="F2743" t="s">
        <v>49</v>
      </c>
      <c r="G2743">
        <v>-365.22030000000001</v>
      </c>
      <c r="H2743" s="1">
        <v>1.241222E-6</v>
      </c>
      <c r="I2743">
        <v>214.2167</v>
      </c>
      <c r="J2743">
        <v>-375.97579999999999</v>
      </c>
      <c r="K2743">
        <v>1.110895</v>
      </c>
      <c r="L2743">
        <v>213.4074</v>
      </c>
      <c r="M2743">
        <v>0.99975199999999997</v>
      </c>
      <c r="N2743">
        <v>-1.504932E-2</v>
      </c>
      <c r="O2743">
        <v>1.6424040000000001E-2</v>
      </c>
      <c r="P2743">
        <v>0.93109620000000004</v>
      </c>
      <c r="Q2743">
        <v>0.3391304</v>
      </c>
      <c r="R2743">
        <v>0.1343529</v>
      </c>
      <c r="S2743">
        <v>3.3077390000000002</v>
      </c>
      <c r="T2743">
        <v>-0.32976440000000001</v>
      </c>
      <c r="U2743">
        <v>0.24214169999999999</v>
      </c>
      <c r="V2743">
        <v>-0.1191347</v>
      </c>
      <c r="W2743">
        <v>0.35310459999999999</v>
      </c>
      <c r="X2743">
        <v>0.92796769999999995</v>
      </c>
      <c r="Y2743">
        <v>-5.6355530000000001E-2</v>
      </c>
      <c r="Z2743">
        <v>1.83987E-3</v>
      </c>
      <c r="AA2743">
        <v>0.99840910000000005</v>
      </c>
      <c r="AB2743">
        <v>39</v>
      </c>
      <c r="AC2743">
        <v>10.7554999999999</v>
      </c>
      <c r="AD2743">
        <v>-1.1108937587779999</v>
      </c>
      <c r="AE2743">
        <v>0.80930000000000701</v>
      </c>
      <c r="AF2743">
        <v>-0.62588273136751005</v>
      </c>
      <c r="AG2743">
        <v>-1.1108937587779999</v>
      </c>
      <c r="AH2743">
        <v>10.6543217908768</v>
      </c>
      <c r="AI2743">
        <v>95.942376780359197</v>
      </c>
      <c r="AJ2743">
        <v>93.361947802402497</v>
      </c>
      <c r="AK2743">
        <v>10.730348874117199</v>
      </c>
      <c r="AL2743">
        <v>69.322675535440297</v>
      </c>
      <c r="AM2743">
        <v>97.315750748129702</v>
      </c>
      <c r="AN2743">
        <v>0.99999999376426996</v>
      </c>
    </row>
    <row r="2744" spans="1:40" x14ac:dyDescent="0.25">
      <c r="A2744" t="str">
        <f>"20190304164656028"</f>
        <v>20190304164656028</v>
      </c>
      <c r="B2744" t="str">
        <f>"1551689216020898"</f>
        <v>1551689216020898</v>
      </c>
      <c r="C2744" t="s">
        <v>40</v>
      </c>
      <c r="D2744">
        <v>4.5532709999999996</v>
      </c>
      <c r="E2744">
        <v>0.53389109999999995</v>
      </c>
      <c r="F2744" t="s">
        <v>49</v>
      </c>
      <c r="G2744">
        <v>-364.98520000000002</v>
      </c>
      <c r="H2744" s="1">
        <v>1.1160829999999999E-6</v>
      </c>
      <c r="I2744">
        <v>214.21090000000001</v>
      </c>
      <c r="J2744">
        <v>-375.55970000000002</v>
      </c>
      <c r="K2744">
        <v>1.1108929999999999</v>
      </c>
      <c r="L2744">
        <v>213.4144</v>
      </c>
      <c r="M2744">
        <v>0.99975029999999998</v>
      </c>
      <c r="N2744">
        <v>-1.5047079999999999E-2</v>
      </c>
      <c r="O2744">
        <v>1.652553E-2</v>
      </c>
      <c r="P2744">
        <v>0.93116370000000004</v>
      </c>
      <c r="Q2744">
        <v>0.33925640000000001</v>
      </c>
      <c r="R2744">
        <v>0.13356460000000001</v>
      </c>
      <c r="S2744">
        <v>3.308929</v>
      </c>
      <c r="T2744">
        <v>-0.33445449999999999</v>
      </c>
      <c r="U2744">
        <v>0.24188229999999999</v>
      </c>
      <c r="V2744">
        <v>-0.1182436</v>
      </c>
      <c r="W2744">
        <v>0.35323130000000003</v>
      </c>
      <c r="X2744">
        <v>0.92803349999999996</v>
      </c>
      <c r="Y2744">
        <v>-5.614537E-2</v>
      </c>
      <c r="Z2744">
        <v>1.835029E-3</v>
      </c>
      <c r="AA2744">
        <v>0.99842089999999994</v>
      </c>
      <c r="AB2744">
        <v>39</v>
      </c>
      <c r="AC2744">
        <v>10.5745</v>
      </c>
      <c r="AD2744">
        <v>-1.1108918839169999</v>
      </c>
      <c r="AE2744">
        <v>0.79650000000000798</v>
      </c>
      <c r="AF2744">
        <v>-0.61487455675665004</v>
      </c>
      <c r="AG2744">
        <v>-1.1108918839169999</v>
      </c>
      <c r="AH2744">
        <v>10.471307099938199</v>
      </c>
      <c r="AI2744">
        <v>96.045471934153795</v>
      </c>
      <c r="AJ2744">
        <v>93.360546032951703</v>
      </c>
      <c r="AK2744">
        <v>10.5480056825693</v>
      </c>
      <c r="AL2744">
        <v>69.314917116192106</v>
      </c>
      <c r="AM2744">
        <v>97.261107508289896</v>
      </c>
      <c r="AN2744">
        <v>1.0000000386814401</v>
      </c>
    </row>
    <row r="2745" spans="1:40" x14ac:dyDescent="0.25">
      <c r="A2745" t="str">
        <f>"20190304164656051"</f>
        <v>20190304164656051</v>
      </c>
      <c r="B2745" t="str">
        <f>"1551689216041394"</f>
        <v>1551689216041394</v>
      </c>
      <c r="C2745" t="s">
        <v>40</v>
      </c>
      <c r="D2745">
        <v>4.5920880000000004</v>
      </c>
      <c r="E2745">
        <v>0.53384359999999997</v>
      </c>
      <c r="F2745" t="s">
        <v>49</v>
      </c>
      <c r="G2745">
        <v>-364.65379999999999</v>
      </c>
      <c r="H2745" s="1">
        <v>9.3972839999999998E-7</v>
      </c>
      <c r="I2745">
        <v>214.20679999999999</v>
      </c>
      <c r="J2745">
        <v>-375.17020000000002</v>
      </c>
      <c r="K2745">
        <v>1.1108849999999999</v>
      </c>
      <c r="L2745">
        <v>213.42089999999999</v>
      </c>
      <c r="M2745">
        <v>0.99974879999999999</v>
      </c>
      <c r="N2745">
        <v>-1.5044689999999999E-2</v>
      </c>
      <c r="O2745">
        <v>1.6610130000000001E-2</v>
      </c>
      <c r="P2745">
        <v>0.93139349999999999</v>
      </c>
      <c r="Q2745">
        <v>0.339151599999999</v>
      </c>
      <c r="R2745">
        <v>0.13222130000000001</v>
      </c>
      <c r="S2745">
        <v>3.3100890000000001</v>
      </c>
      <c r="T2745">
        <v>-0.33717190000000002</v>
      </c>
      <c r="U2745">
        <v>0.240509</v>
      </c>
      <c r="V2745">
        <v>-0.1168091</v>
      </c>
      <c r="W2745">
        <v>0.35313090000000003</v>
      </c>
      <c r="X2745">
        <v>0.92825329999999995</v>
      </c>
      <c r="Y2745">
        <v>-5.5623159999999998E-2</v>
      </c>
      <c r="Z2745">
        <v>1.806186E-3</v>
      </c>
      <c r="AA2745">
        <v>0.99845019999999995</v>
      </c>
      <c r="AB2745">
        <v>39</v>
      </c>
      <c r="AC2745">
        <v>10.516400000000001</v>
      </c>
      <c r="AD2745">
        <v>-1.1108840602715999</v>
      </c>
      <c r="AE2745">
        <v>0.78589999999999705</v>
      </c>
      <c r="AF2745">
        <v>-0.60438645017473602</v>
      </c>
      <c r="AG2745">
        <v>-1.1108840602715999</v>
      </c>
      <c r="AH2745">
        <v>10.4124627120833</v>
      </c>
      <c r="AI2745">
        <v>96.079576453274001</v>
      </c>
      <c r="AJ2745">
        <v>93.321978874120902</v>
      </c>
      <c r="AK2745">
        <v>10.4889811758362</v>
      </c>
      <c r="AL2745">
        <v>69.321064895274503</v>
      </c>
      <c r="AM2745">
        <v>97.172259990887696</v>
      </c>
      <c r="AN2745">
        <v>0.99999999366925496</v>
      </c>
    </row>
    <row r="2746" spans="1:40" x14ac:dyDescent="0.25">
      <c r="A2746" t="str">
        <f>"20190304164656072"</f>
        <v>20190304164656072</v>
      </c>
      <c r="B2746" t="str">
        <f>"1551689216060913"</f>
        <v>1551689216060913</v>
      </c>
      <c r="C2746" t="s">
        <v>40</v>
      </c>
      <c r="D2746">
        <v>4.5525760000000002</v>
      </c>
      <c r="E2746">
        <v>0.53390099999999996</v>
      </c>
      <c r="F2746" t="s">
        <v>49</v>
      </c>
      <c r="G2746">
        <v>-364.28829999999999</v>
      </c>
      <c r="H2746" s="1">
        <v>7.4521609999999898E-7</v>
      </c>
      <c r="I2746">
        <v>214.20519999999999</v>
      </c>
      <c r="J2746">
        <v>-374.78800000000001</v>
      </c>
      <c r="K2746">
        <v>1.110873</v>
      </c>
      <c r="L2746">
        <v>213.4273</v>
      </c>
      <c r="M2746">
        <v>0.99974779999999996</v>
      </c>
      <c r="N2746">
        <v>-1.5042069999999999E-2</v>
      </c>
      <c r="O2746">
        <v>1.6682019999999999E-2</v>
      </c>
      <c r="P2746">
        <v>0.93167219999999995</v>
      </c>
      <c r="Q2746">
        <v>0.33908159999999998</v>
      </c>
      <c r="R2746">
        <v>0.13042580000000001</v>
      </c>
      <c r="S2746">
        <v>3.3101500000000001</v>
      </c>
      <c r="T2746">
        <v>-0.33791670000000001</v>
      </c>
      <c r="U2746">
        <v>0.2385864</v>
      </c>
      <c r="V2746">
        <v>-0.11493339999999901</v>
      </c>
      <c r="W2746">
        <v>0.35306530000000003</v>
      </c>
      <c r="X2746">
        <v>0.92851229999999996</v>
      </c>
      <c r="Y2746">
        <v>-5.4976200000000003E-2</v>
      </c>
      <c r="Z2746">
        <v>1.7645569999999999E-3</v>
      </c>
      <c r="AA2746">
        <v>0.99848610000000004</v>
      </c>
      <c r="AB2746">
        <v>39</v>
      </c>
      <c r="AC2746">
        <v>10.499700000000001</v>
      </c>
      <c r="AD2746">
        <v>-1.1108722547838901</v>
      </c>
      <c r="AE2746">
        <v>0.77789999999998805</v>
      </c>
      <c r="AF2746">
        <v>-0.59598089670780396</v>
      </c>
      <c r="AG2746">
        <v>-1.1108722547838901</v>
      </c>
      <c r="AH2746">
        <v>10.395488047862299</v>
      </c>
      <c r="AI2746">
        <v>96.089613003509598</v>
      </c>
      <c r="AJ2746">
        <v>93.281216975977799</v>
      </c>
      <c r="AK2746">
        <v>10.4716475374669</v>
      </c>
      <c r="AL2746">
        <v>69.325081152693699</v>
      </c>
      <c r="AM2746">
        <v>97.056311109335496</v>
      </c>
      <c r="AN2746">
        <v>0.99999994187546803</v>
      </c>
    </row>
    <row r="2747" spans="1:40" x14ac:dyDescent="0.25">
      <c r="A2747" t="str">
        <f>"20190304164656098"</f>
        <v>20190304164656098</v>
      </c>
      <c r="B2747" t="str">
        <f>"1551689216091170"</f>
        <v>1551689216091170</v>
      </c>
      <c r="C2747" t="s">
        <v>40</v>
      </c>
      <c r="D2747">
        <v>4.5458230000000004</v>
      </c>
      <c r="E2747">
        <v>0.53391319999999998</v>
      </c>
      <c r="F2747" t="s">
        <v>49</v>
      </c>
      <c r="G2747">
        <v>-364.01049999999998</v>
      </c>
      <c r="H2747" s="1">
        <v>5.9739380000000005E-7</v>
      </c>
      <c r="I2747">
        <v>214.19110000000001</v>
      </c>
      <c r="J2747">
        <v>-374.35550000000001</v>
      </c>
      <c r="K2747">
        <v>1.1108610000000001</v>
      </c>
      <c r="L2747">
        <v>213.43450000000001</v>
      </c>
      <c r="M2747">
        <v>0.99974669999999999</v>
      </c>
      <c r="N2747">
        <v>-1.5038859999999999E-2</v>
      </c>
      <c r="O2747">
        <v>1.674701E-2</v>
      </c>
      <c r="P2747">
        <v>0.93190320000000004</v>
      </c>
      <c r="Q2747">
        <v>0.33907880000000001</v>
      </c>
      <c r="R2747">
        <v>0.12877189999999999</v>
      </c>
      <c r="S2747">
        <v>3.31134</v>
      </c>
      <c r="T2747">
        <v>-0.34130949999999999</v>
      </c>
      <c r="U2747">
        <v>0.23468020000000001</v>
      </c>
      <c r="V2747">
        <v>-0.1132042</v>
      </c>
      <c r="W2747">
        <v>0.35306710000000002</v>
      </c>
      <c r="X2747">
        <v>0.92872410000000005</v>
      </c>
      <c r="Y2747">
        <v>-5.3716989999999999E-2</v>
      </c>
      <c r="Z2747">
        <v>1.6951939999999999E-3</v>
      </c>
      <c r="AA2747">
        <v>0.99855479999999996</v>
      </c>
      <c r="AB2747">
        <v>39</v>
      </c>
      <c r="AC2747">
        <v>10.345000000000001</v>
      </c>
      <c r="AD2747">
        <v>-1.1108604026061999</v>
      </c>
      <c r="AE2747">
        <v>0.75659999999999095</v>
      </c>
      <c r="AF2747">
        <v>-0.576613052109201</v>
      </c>
      <c r="AG2747">
        <v>-1.1108604026061999</v>
      </c>
      <c r="AH2747">
        <v>10.238788222904001</v>
      </c>
      <c r="AI2747">
        <v>96.182382308042406</v>
      </c>
      <c r="AJ2747">
        <v>93.223294904009506</v>
      </c>
      <c r="AK2747">
        <v>10.3150025554732</v>
      </c>
      <c r="AL2747">
        <v>69.324972414929306</v>
      </c>
      <c r="AM2747">
        <v>96.949623986374803</v>
      </c>
      <c r="AN2747">
        <v>1.0000000109604299</v>
      </c>
    </row>
    <row r="2748" spans="1:40" x14ac:dyDescent="0.25">
      <c r="A2748" t="str">
        <f>"20190304164656119"</f>
        <v>20190304164656119</v>
      </c>
      <c r="B2748" t="str">
        <f>"1551689216111666"</f>
        <v>1551689216111666</v>
      </c>
      <c r="C2748" t="s">
        <v>40</v>
      </c>
      <c r="D2748">
        <v>5.1646460000000003</v>
      </c>
      <c r="E2748">
        <v>0.53378309999999995</v>
      </c>
      <c r="F2748" t="s">
        <v>41</v>
      </c>
      <c r="G2748">
        <v>-373.33980000000003</v>
      </c>
      <c r="H2748">
        <v>1.0051349999999999</v>
      </c>
      <c r="I2748">
        <v>213.5051</v>
      </c>
      <c r="J2748">
        <v>-373.9753</v>
      </c>
      <c r="K2748">
        <v>1.1108549999999999</v>
      </c>
      <c r="L2748">
        <v>213.4409</v>
      </c>
      <c r="M2748">
        <v>0.99974600000000002</v>
      </c>
      <c r="N2748">
        <v>-1.503589E-2</v>
      </c>
      <c r="O2748">
        <v>1.6789410000000001E-2</v>
      </c>
      <c r="P2748">
        <v>0.93194650000000001</v>
      </c>
      <c r="Q2748">
        <v>0.33938049999999997</v>
      </c>
      <c r="R2748">
        <v>0.12765940000000001</v>
      </c>
      <c r="S2748">
        <v>3.312897</v>
      </c>
      <c r="T2748">
        <v>-0.34486440000000002</v>
      </c>
      <c r="U2748">
        <v>0.23027039999999999</v>
      </c>
      <c r="V2748">
        <v>-0.1120404</v>
      </c>
      <c r="W2748">
        <v>0.35337000000000002</v>
      </c>
      <c r="X2748">
        <v>0.92874999999999996</v>
      </c>
      <c r="Y2748">
        <v>-5.2323019999999998E-2</v>
      </c>
      <c r="Z2748">
        <v>1.618822E-3</v>
      </c>
      <c r="AA2748">
        <v>0.99862890000000004</v>
      </c>
      <c r="AB2748">
        <v>39</v>
      </c>
      <c r="AC2748">
        <v>0.63549999999997897</v>
      </c>
      <c r="AD2748">
        <v>-0.105719999999999</v>
      </c>
      <c r="AE2748">
        <v>6.4199999999999494E-2</v>
      </c>
      <c r="AF2748">
        <v>-5.2092978516831603E-2</v>
      </c>
      <c r="AG2748">
        <v>-0.105719999999999</v>
      </c>
      <c r="AH2748">
        <v>0.61951666484392998</v>
      </c>
      <c r="AI2748">
        <v>99.650776844239402</v>
      </c>
      <c r="AJ2748">
        <v>94.806493799750697</v>
      </c>
      <c r="AK2748">
        <v>0.63062769906665295</v>
      </c>
      <c r="AL2748">
        <v>69.306421208953793</v>
      </c>
      <c r="AM2748">
        <v>96.878676202663002</v>
      </c>
      <c r="AN2748">
        <v>0.99999998531607903</v>
      </c>
    </row>
    <row r="2749" spans="1:40" x14ac:dyDescent="0.25">
      <c r="A2749" t="str">
        <f>"20190304164656140"</f>
        <v>20190304164656140</v>
      </c>
      <c r="B2749" t="str">
        <f>"1551689216131186"</f>
        <v>1551689216131186</v>
      </c>
      <c r="C2749" t="s">
        <v>40</v>
      </c>
      <c r="D2749">
        <v>4.5806100000000001</v>
      </c>
      <c r="E2749">
        <v>0.53360390000000002</v>
      </c>
      <c r="F2749" t="s">
        <v>41</v>
      </c>
      <c r="G2749">
        <v>-372.98790000000002</v>
      </c>
      <c r="H2749">
        <v>1.008767</v>
      </c>
      <c r="I2749">
        <v>213.50829999999999</v>
      </c>
      <c r="J2749">
        <v>-373.5933</v>
      </c>
      <c r="K2749">
        <v>1.1108469999999999</v>
      </c>
      <c r="L2749">
        <v>213.44730000000001</v>
      </c>
      <c r="M2749">
        <v>0.99974560000000001</v>
      </c>
      <c r="N2749">
        <v>-1.5032739999999999E-2</v>
      </c>
      <c r="O2749">
        <v>1.6820140000000001E-2</v>
      </c>
      <c r="P2749">
        <v>0.9317474</v>
      </c>
      <c r="Q2749">
        <v>0.34044679999999999</v>
      </c>
      <c r="R2749">
        <v>0.12626709999999999</v>
      </c>
      <c r="S2749">
        <v>3.3126829999999998</v>
      </c>
      <c r="T2749">
        <v>-0.34265139999999999</v>
      </c>
      <c r="U2749">
        <v>0.22726440000000001</v>
      </c>
      <c r="V2749">
        <v>-0.11061219999999999</v>
      </c>
      <c r="W2749">
        <v>0.35443370000000002</v>
      </c>
      <c r="X2749">
        <v>0.92851589999999995</v>
      </c>
      <c r="Y2749">
        <v>-5.1403440000000002E-2</v>
      </c>
      <c r="Z2749">
        <v>1.5555359999999999E-3</v>
      </c>
      <c r="AA2749">
        <v>0.99867680000000003</v>
      </c>
      <c r="AB2749">
        <v>39</v>
      </c>
      <c r="AC2749">
        <v>0.60539999999997396</v>
      </c>
      <c r="AD2749">
        <v>-0.102079999999999</v>
      </c>
      <c r="AE2749">
        <v>6.0999999999978599E-2</v>
      </c>
      <c r="AF2749">
        <v>-4.9416453198022001E-2</v>
      </c>
      <c r="AG2749">
        <v>-0.102079999999999</v>
      </c>
      <c r="AH2749">
        <v>0.58974187855609805</v>
      </c>
      <c r="AI2749">
        <v>99.786546407915495</v>
      </c>
      <c r="AJ2749">
        <v>94.7898164697081</v>
      </c>
      <c r="AK2749">
        <v>0.60054791280092501</v>
      </c>
      <c r="AL2749">
        <v>69.241259741244605</v>
      </c>
      <c r="AM2749">
        <v>96.793513098827702</v>
      </c>
      <c r="AN2749">
        <v>1.0000000415186601</v>
      </c>
    </row>
    <row r="2750" spans="1:40" x14ac:dyDescent="0.25">
      <c r="A2750" t="str">
        <f>"20190304164656163"</f>
        <v>20190304164656163</v>
      </c>
      <c r="B2750" t="str">
        <f>"1551689216151682"</f>
        <v>1551689216151682</v>
      </c>
      <c r="C2750" t="s">
        <v>40</v>
      </c>
      <c r="D2750">
        <v>4.556686</v>
      </c>
      <c r="E2750">
        <v>0.53351719999999903</v>
      </c>
      <c r="F2750" t="s">
        <v>49</v>
      </c>
      <c r="G2750">
        <v>-362.63229999999999</v>
      </c>
      <c r="H2750" s="1">
        <v>-1.360376E-7</v>
      </c>
      <c r="I2750">
        <v>214.1909</v>
      </c>
      <c r="J2750">
        <v>-373.20460000000003</v>
      </c>
      <c r="K2750">
        <v>1.1108370000000001</v>
      </c>
      <c r="L2750">
        <v>213.4539</v>
      </c>
      <c r="M2750">
        <v>0.9997452</v>
      </c>
      <c r="N2750">
        <v>-1.502937E-2</v>
      </c>
      <c r="O2750">
        <v>1.684099E-2</v>
      </c>
      <c r="P2750">
        <v>0.93159630000000004</v>
      </c>
      <c r="Q2750">
        <v>0.34127099999999999</v>
      </c>
      <c r="R2750">
        <v>0.1251506</v>
      </c>
      <c r="S2750">
        <v>3.3119200000000002</v>
      </c>
      <c r="T2750">
        <v>-0.33564650000000001</v>
      </c>
      <c r="U2750">
        <v>0.22467039999999999</v>
      </c>
      <c r="V2750">
        <v>-0.1094688</v>
      </c>
      <c r="W2750">
        <v>0.3552553</v>
      </c>
      <c r="X2750">
        <v>0.92833739999999998</v>
      </c>
      <c r="Y2750">
        <v>-5.0633009999999999E-2</v>
      </c>
      <c r="Z2750">
        <v>1.490475E-3</v>
      </c>
      <c r="AA2750">
        <v>0.99871620000000005</v>
      </c>
      <c r="AB2750">
        <v>39</v>
      </c>
      <c r="AC2750">
        <v>10.5723</v>
      </c>
      <c r="AD2750">
        <v>-1.1108371360375999</v>
      </c>
      <c r="AE2750">
        <v>0.73699999999999399</v>
      </c>
      <c r="AF2750">
        <v>-0.55275454420179004</v>
      </c>
      <c r="AG2750">
        <v>-1.1108371360375999</v>
      </c>
      <c r="AH2750">
        <v>10.4682053445148</v>
      </c>
      <c r="AI2750">
        <v>96.048928573050503</v>
      </c>
      <c r="AJ2750">
        <v>93.022592343191107</v>
      </c>
      <c r="AK2750">
        <v>10.541480914172499</v>
      </c>
      <c r="AL2750">
        <v>69.190908877240702</v>
      </c>
      <c r="AM2750">
        <v>96.725215779740793</v>
      </c>
      <c r="AN2750">
        <v>1.0000000372951401</v>
      </c>
    </row>
    <row r="2751" spans="1:40" x14ac:dyDescent="0.25">
      <c r="A2751" t="str">
        <f>"20190304164656206"</f>
        <v>20190304164656206</v>
      </c>
      <c r="B2751" t="str">
        <f>"1551689216201460"</f>
        <v>1551689216201460</v>
      </c>
      <c r="C2751" t="s">
        <v>40</v>
      </c>
      <c r="D2751">
        <v>4.5094890000000003</v>
      </c>
      <c r="E2751">
        <v>0.53334429999999999</v>
      </c>
      <c r="F2751" t="s">
        <v>49</v>
      </c>
      <c r="G2751">
        <v>-362.13830000000002</v>
      </c>
      <c r="H2751" s="1">
        <v>-3.9888910000000001E-7</v>
      </c>
      <c r="I2751">
        <v>214.20419999999999</v>
      </c>
      <c r="J2751">
        <v>-372.45710000000003</v>
      </c>
      <c r="K2751">
        <v>1.1108169999999999</v>
      </c>
      <c r="L2751">
        <v>213.4665</v>
      </c>
      <c r="M2751">
        <v>0.99974510000000005</v>
      </c>
      <c r="N2751">
        <v>-1.502236E-2</v>
      </c>
      <c r="O2751">
        <v>1.6859619999999999E-2</v>
      </c>
      <c r="P2751">
        <v>0.93166579999999999</v>
      </c>
      <c r="Q2751">
        <v>0.34114990000000001</v>
      </c>
      <c r="R2751">
        <v>0.12496359999999999</v>
      </c>
      <c r="S2751">
        <v>3.3119200000000002</v>
      </c>
      <c r="T2751">
        <v>-0.33245269999999999</v>
      </c>
      <c r="U2751">
        <v>0.22454830000000001</v>
      </c>
      <c r="V2751">
        <v>-0.109248</v>
      </c>
      <c r="W2751">
        <v>0.3551337</v>
      </c>
      <c r="X2751">
        <v>0.92840990000000001</v>
      </c>
      <c r="Y2751">
        <v>-5.0582009999999997E-2</v>
      </c>
      <c r="Z2751">
        <v>1.477548E-3</v>
      </c>
      <c r="AA2751">
        <v>0.99871880000000002</v>
      </c>
      <c r="AB2751">
        <v>39</v>
      </c>
      <c r="AC2751">
        <v>10.3188</v>
      </c>
      <c r="AD2751">
        <v>-1.1108173988890999</v>
      </c>
      <c r="AE2751">
        <v>0.73769999999998903</v>
      </c>
      <c r="AF2751">
        <v>-0.55718041182232902</v>
      </c>
      <c r="AG2751">
        <v>-1.1108173988890999</v>
      </c>
      <c r="AH2751">
        <v>10.2120314766023</v>
      </c>
      <c r="AI2751">
        <v>96.198813552570797</v>
      </c>
      <c r="AJ2751">
        <v>93.123028367131099</v>
      </c>
      <c r="AK2751">
        <v>10.2873685743299</v>
      </c>
      <c r="AL2751">
        <v>69.198361374397194</v>
      </c>
      <c r="AM2751">
        <v>96.711255464663097</v>
      </c>
      <c r="AN2751">
        <v>1.0000000063988499</v>
      </c>
    </row>
    <row r="2752" spans="1:40" x14ac:dyDescent="0.25">
      <c r="A2752" t="str">
        <f>"20190304164656228"</f>
        <v>20190304164656228</v>
      </c>
      <c r="B2752" t="str">
        <f>"1551689216220981"</f>
        <v>1551689216220981</v>
      </c>
      <c r="C2752" t="s">
        <v>40</v>
      </c>
      <c r="D2752">
        <v>4.4766839999999997</v>
      </c>
      <c r="E2752">
        <v>0.53331519999999899</v>
      </c>
      <c r="F2752" t="s">
        <v>49</v>
      </c>
      <c r="G2752">
        <v>-361.4812</v>
      </c>
      <c r="H2752" s="1">
        <v>-7.4855969999999899E-7</v>
      </c>
      <c r="I2752">
        <v>214.22040000000001</v>
      </c>
      <c r="J2752">
        <v>-372.05680000000001</v>
      </c>
      <c r="K2752">
        <v>1.110808</v>
      </c>
      <c r="L2752">
        <v>213.47329999999999</v>
      </c>
      <c r="M2752">
        <v>0.9997452</v>
      </c>
      <c r="N2752">
        <v>-1.501852E-2</v>
      </c>
      <c r="O2752">
        <v>1.686257E-2</v>
      </c>
      <c r="P2752">
        <v>0.931697</v>
      </c>
      <c r="Q2752">
        <v>0.34075899999999998</v>
      </c>
      <c r="R2752">
        <v>0.1257955</v>
      </c>
      <c r="S2752">
        <v>3.3122560000000001</v>
      </c>
      <c r="T2752">
        <v>-0.33521820000000002</v>
      </c>
      <c r="U2752">
        <v>0.2275238</v>
      </c>
      <c r="V2752">
        <v>-0.11007069999999999</v>
      </c>
      <c r="W2752">
        <v>0.35474129999999998</v>
      </c>
      <c r="X2752">
        <v>0.92846269999999997</v>
      </c>
      <c r="Y2752">
        <v>-5.1456849999999998E-2</v>
      </c>
      <c r="Z2752">
        <v>1.5347189999999999E-3</v>
      </c>
      <c r="AA2752">
        <v>0.99867399999999995</v>
      </c>
      <c r="AB2752">
        <v>39</v>
      </c>
      <c r="AC2752">
        <v>10.5756</v>
      </c>
      <c r="AD2752">
        <v>-1.1108087485597</v>
      </c>
      <c r="AE2752">
        <v>0.74710000000001697</v>
      </c>
      <c r="AF2752">
        <v>-0.56246734334048698</v>
      </c>
      <c r="AG2752">
        <v>-1.1108087485597</v>
      </c>
      <c r="AH2752">
        <v>10.471741066466199</v>
      </c>
      <c r="AI2752">
        <v>96.046457981728196</v>
      </c>
      <c r="AJ2752">
        <v>93.074566664637103</v>
      </c>
      <c r="AK2752">
        <v>10.545502669447099</v>
      </c>
      <c r="AL2752">
        <v>69.222409192491895</v>
      </c>
      <c r="AM2752">
        <v>96.760947942856404</v>
      </c>
      <c r="AN2752">
        <v>0.99999996710773398</v>
      </c>
    </row>
    <row r="2753" spans="1:40" x14ac:dyDescent="0.25">
      <c r="A2753" t="str">
        <f>"20190304164656250"</f>
        <v>20190304164656250</v>
      </c>
      <c r="B2753" t="str">
        <f>"1551689216241477"</f>
        <v>1551689216241477</v>
      </c>
      <c r="C2753" t="s">
        <v>40</v>
      </c>
      <c r="D2753">
        <v>4.4873519999999996</v>
      </c>
      <c r="E2753">
        <v>0.53328750000000003</v>
      </c>
      <c r="F2753" t="s">
        <v>49</v>
      </c>
      <c r="G2753">
        <v>-361.19479999999999</v>
      </c>
      <c r="H2753" s="1">
        <v>-9.0097720000000002E-7</v>
      </c>
      <c r="I2753">
        <v>214.23490000000001</v>
      </c>
      <c r="J2753">
        <v>-371.67630000000003</v>
      </c>
      <c r="K2753">
        <v>1.110797</v>
      </c>
      <c r="L2753">
        <v>213.47970000000001</v>
      </c>
      <c r="M2753">
        <v>0.99974529999999995</v>
      </c>
      <c r="N2753">
        <v>-1.501481E-2</v>
      </c>
      <c r="O2753">
        <v>1.6854750000000002E-2</v>
      </c>
      <c r="P2753">
        <v>0.93153790000000003</v>
      </c>
      <c r="Q2753">
        <v>0.34103820000000001</v>
      </c>
      <c r="R2753">
        <v>0.12621569999999999</v>
      </c>
      <c r="S2753">
        <v>3.3125</v>
      </c>
      <c r="T2753">
        <v>-0.33875490000000003</v>
      </c>
      <c r="U2753">
        <v>0.23226930000000001</v>
      </c>
      <c r="V2753">
        <v>-0.11049349999999999</v>
      </c>
      <c r="W2753">
        <v>0.35501729999999998</v>
      </c>
      <c r="X2753">
        <v>0.92830710000000005</v>
      </c>
      <c r="Y2753">
        <v>-5.2870630000000002E-2</v>
      </c>
      <c r="Z2753">
        <v>1.6272120000000001E-3</v>
      </c>
      <c r="AA2753">
        <v>0.99860009999999999</v>
      </c>
      <c r="AB2753">
        <v>39</v>
      </c>
      <c r="AC2753">
        <v>10.4815</v>
      </c>
      <c r="AD2753">
        <v>-1.1107979009772</v>
      </c>
      <c r="AE2753">
        <v>0.75520000000000198</v>
      </c>
      <c r="AF2753">
        <v>-0.57201850433613</v>
      </c>
      <c r="AG2753">
        <v>-1.1107979009772</v>
      </c>
      <c r="AH2753">
        <v>10.376799656981399</v>
      </c>
      <c r="AI2753">
        <v>96.100841003047805</v>
      </c>
      <c r="AJ2753">
        <v>93.155222238876505</v>
      </c>
      <c r="AK2753">
        <v>10.4517485746284</v>
      </c>
      <c r="AL2753">
        <v>69.205497174875006</v>
      </c>
      <c r="AM2753">
        <v>96.787803050974404</v>
      </c>
      <c r="AN2753">
        <v>1.00000008437597</v>
      </c>
    </row>
    <row r="2754" spans="1:40" x14ac:dyDescent="0.25">
      <c r="A2754" t="str">
        <f>"20190304164656273"</f>
        <v>20190304164656273</v>
      </c>
      <c r="B2754" t="str">
        <f>"1551689216261000"</f>
        <v>1551689216261000</v>
      </c>
      <c r="C2754" t="s">
        <v>40</v>
      </c>
      <c r="D2754">
        <v>4.4950000000000001</v>
      </c>
      <c r="E2754">
        <v>0.53321189999999996</v>
      </c>
      <c r="F2754" t="s">
        <v>49</v>
      </c>
      <c r="G2754">
        <v>-360.83429999999998</v>
      </c>
      <c r="H2754" s="1">
        <v>-1.092841E-6</v>
      </c>
      <c r="I2754">
        <v>214.25229999999999</v>
      </c>
      <c r="J2754">
        <v>-371.28750000000002</v>
      </c>
      <c r="K2754">
        <v>1.110787</v>
      </c>
      <c r="L2754">
        <v>213.4862</v>
      </c>
      <c r="M2754">
        <v>0.99974580000000002</v>
      </c>
      <c r="N2754">
        <v>-1.501093E-2</v>
      </c>
      <c r="O2754">
        <v>1.682962E-2</v>
      </c>
      <c r="P2754">
        <v>0.9312764</v>
      </c>
      <c r="Q2754">
        <v>0.34172360000000002</v>
      </c>
      <c r="R2754">
        <v>0.1262913</v>
      </c>
      <c r="S2754">
        <v>3.3127140000000002</v>
      </c>
      <c r="T2754">
        <v>-0.33939789999999997</v>
      </c>
      <c r="U2754">
        <v>0.23606869999999999</v>
      </c>
      <c r="V2754">
        <v>-0.110585</v>
      </c>
      <c r="W2754">
        <v>0.35569879999999998</v>
      </c>
      <c r="X2754">
        <v>0.92803519999999995</v>
      </c>
      <c r="Y2754">
        <v>-5.4023090000000003E-2</v>
      </c>
      <c r="Z2754">
        <v>1.6984809999999999E-3</v>
      </c>
      <c r="AA2754">
        <v>0.99853829999999999</v>
      </c>
      <c r="AB2754">
        <v>39</v>
      </c>
      <c r="AC2754">
        <v>10.453200000000001</v>
      </c>
      <c r="AD2754">
        <v>-1.1107880928409899</v>
      </c>
      <c r="AE2754">
        <v>0.76609999999999401</v>
      </c>
      <c r="AF2754">
        <v>-0.58349477000651795</v>
      </c>
      <c r="AG2754">
        <v>-1.1107880928409899</v>
      </c>
      <c r="AH2754">
        <v>10.348386004931401</v>
      </c>
      <c r="AI2754">
        <v>96.1169864054024</v>
      </c>
      <c r="AJ2754">
        <v>93.227211029836397</v>
      </c>
      <c r="AK2754">
        <v>10.424174271417501</v>
      </c>
      <c r="AL2754">
        <v>69.163721829832795</v>
      </c>
      <c r="AM2754">
        <v>96.795343283900095</v>
      </c>
      <c r="AN2754">
        <v>1.00000000549273</v>
      </c>
    </row>
    <row r="2755" spans="1:40" x14ac:dyDescent="0.25">
      <c r="A2755" t="str">
        <f>"20190304164656296"</f>
        <v>20190304164656296</v>
      </c>
      <c r="B2755" t="str">
        <f>"1551689216291253"</f>
        <v>1551689216291253</v>
      </c>
      <c r="C2755" t="s">
        <v>40</v>
      </c>
      <c r="D2755">
        <v>4.5257809999999896</v>
      </c>
      <c r="E2755">
        <v>0.53311540000000002</v>
      </c>
      <c r="F2755" t="s">
        <v>49</v>
      </c>
      <c r="G2755">
        <v>-360.4228</v>
      </c>
      <c r="H2755" s="1">
        <v>-1.3117949999999999E-6</v>
      </c>
      <c r="I2755">
        <v>214.27029999999999</v>
      </c>
      <c r="J2755">
        <v>-370.8997</v>
      </c>
      <c r="K2755">
        <v>1.110781</v>
      </c>
      <c r="L2755">
        <v>213.49270000000001</v>
      </c>
      <c r="M2755">
        <v>0.99974640000000004</v>
      </c>
      <c r="N2755">
        <v>-1.5007339999999999E-2</v>
      </c>
      <c r="O2755">
        <v>1.678785E-2</v>
      </c>
      <c r="P2755">
        <v>0.93121050000000005</v>
      </c>
      <c r="Q2755">
        <v>0.34203109999999998</v>
      </c>
      <c r="R2755">
        <v>0.12594339999999901</v>
      </c>
      <c r="S2755">
        <v>3.3132929999999998</v>
      </c>
      <c r="T2755">
        <v>-0.3387443</v>
      </c>
      <c r="U2755">
        <v>0.23912050000000001</v>
      </c>
      <c r="V2755">
        <v>-0.1102624</v>
      </c>
      <c r="W2755">
        <v>0.3560063</v>
      </c>
      <c r="X2755">
        <v>0.92795570000000005</v>
      </c>
      <c r="Y2755">
        <v>-5.4962650000000002E-2</v>
      </c>
      <c r="Z2755">
        <v>1.754675E-3</v>
      </c>
      <c r="AA2755">
        <v>0.99848689999999996</v>
      </c>
      <c r="AB2755">
        <v>39</v>
      </c>
      <c r="AC2755">
        <v>10.476900000000001</v>
      </c>
      <c r="AD2755">
        <v>-1.110782311795</v>
      </c>
      <c r="AE2755">
        <v>0.77759999999997798</v>
      </c>
      <c r="AF2755">
        <v>-0.59493511477576999</v>
      </c>
      <c r="AG2755">
        <v>-1.110782311795</v>
      </c>
      <c r="AH2755">
        <v>10.372523519116699</v>
      </c>
      <c r="AI2755">
        <v>96.102494185693899</v>
      </c>
      <c r="AJ2755">
        <v>93.282707870868606</v>
      </c>
      <c r="AK2755">
        <v>10.4487812346522</v>
      </c>
      <c r="AL2755">
        <v>69.144869907880107</v>
      </c>
      <c r="AM2755">
        <v>96.776279482485194</v>
      </c>
      <c r="AN2755">
        <v>1.00000003182796</v>
      </c>
    </row>
    <row r="2756" spans="1:40" x14ac:dyDescent="0.25">
      <c r="A2756" t="str">
        <f>"20190304164656321"</f>
        <v>20190304164656321</v>
      </c>
      <c r="B2756" t="str">
        <f>"1551689216311280"</f>
        <v>1551689216311280</v>
      </c>
      <c r="C2756" t="s">
        <v>40</v>
      </c>
      <c r="D2756">
        <v>4.5092019999999904</v>
      </c>
      <c r="E2756">
        <v>0.5330838</v>
      </c>
      <c r="F2756" t="s">
        <v>41</v>
      </c>
      <c r="G2756">
        <v>-369.85059999999999</v>
      </c>
      <c r="H2756">
        <v>1.003987</v>
      </c>
      <c r="I2756">
        <v>213.56890000000001</v>
      </c>
      <c r="J2756">
        <v>-370.46719999999999</v>
      </c>
      <c r="K2756">
        <v>1.1107640000000001</v>
      </c>
      <c r="L2756">
        <v>213.4999</v>
      </c>
      <c r="M2756">
        <v>0.99974759999999996</v>
      </c>
      <c r="N2756">
        <v>-1.5002969999999999E-2</v>
      </c>
      <c r="O2756">
        <v>1.672322E-2</v>
      </c>
      <c r="P2756">
        <v>0.93115899999999996</v>
      </c>
      <c r="Q2756">
        <v>0.34260269999999998</v>
      </c>
      <c r="R2756">
        <v>0.12476619999999999</v>
      </c>
      <c r="S2756">
        <v>3.3129879999999998</v>
      </c>
      <c r="T2756">
        <v>-0.33731480000000003</v>
      </c>
      <c r="U2756">
        <v>0.24076839999999999</v>
      </c>
      <c r="V2756">
        <v>-0.1091297</v>
      </c>
      <c r="W2756">
        <v>0.3565779</v>
      </c>
      <c r="X2756">
        <v>0.92787010000000003</v>
      </c>
      <c r="Y2756">
        <v>-5.5526220000000001E-2</v>
      </c>
      <c r="Z2756">
        <v>1.7883980000000001E-3</v>
      </c>
      <c r="AA2756">
        <v>0.9984556</v>
      </c>
      <c r="AB2756">
        <v>39</v>
      </c>
      <c r="AC2756">
        <v>0.61660000000000503</v>
      </c>
      <c r="AD2756">
        <v>-0.106776999999999</v>
      </c>
      <c r="AE2756">
        <v>6.9000000000016798E-2</v>
      </c>
      <c r="AF2756">
        <v>-5.6989774214141198E-2</v>
      </c>
      <c r="AG2756">
        <v>-0.106776999999999</v>
      </c>
      <c r="AH2756">
        <v>0.599900426642896</v>
      </c>
      <c r="AI2756">
        <v>100.04814020205799</v>
      </c>
      <c r="AJ2756">
        <v>95.426739963172906</v>
      </c>
      <c r="AK2756">
        <v>0.61198830379371405</v>
      </c>
      <c r="AL2756">
        <v>69.109818883174995</v>
      </c>
      <c r="AM2756">
        <v>96.707918953032106</v>
      </c>
      <c r="AN2756">
        <v>1.0000000063322501</v>
      </c>
    </row>
    <row r="2757" spans="1:40" x14ac:dyDescent="0.25">
      <c r="A2757" t="str">
        <f>"20190304164656340"</f>
        <v>20190304164656340</v>
      </c>
      <c r="B2757" t="str">
        <f>"1551689216331777"</f>
        <v>1551689216331777</v>
      </c>
      <c r="C2757" t="s">
        <v>40</v>
      </c>
      <c r="D2757">
        <v>4.5239859999999998</v>
      </c>
      <c r="E2757">
        <v>0.53305550000000002</v>
      </c>
      <c r="F2757" t="s">
        <v>49</v>
      </c>
      <c r="G2757">
        <v>-359.54320000000001</v>
      </c>
      <c r="H2757" s="1">
        <v>3.55608E-6</v>
      </c>
      <c r="I2757">
        <v>214.28559999999999</v>
      </c>
      <c r="J2757">
        <v>-370.12520000000001</v>
      </c>
      <c r="K2757">
        <v>1.1107530000000001</v>
      </c>
      <c r="L2757">
        <v>213.50559999999999</v>
      </c>
      <c r="M2757">
        <v>0.99974879999999999</v>
      </c>
      <c r="N2757">
        <v>-1.499924E-2</v>
      </c>
      <c r="O2757">
        <v>1.666132E-2</v>
      </c>
      <c r="P2757">
        <v>0.93114319999999895</v>
      </c>
      <c r="Q2757">
        <v>0.3431497</v>
      </c>
      <c r="R2757">
        <v>0.1233728</v>
      </c>
      <c r="S2757">
        <v>3.3138730000000001</v>
      </c>
      <c r="T2757">
        <v>-0.33695819999999999</v>
      </c>
      <c r="U2757">
        <v>0.2383575</v>
      </c>
      <c r="V2757">
        <v>-0.1077835</v>
      </c>
      <c r="W2757">
        <v>0.35712349999999998</v>
      </c>
      <c r="X2757">
        <v>0.92781760000000002</v>
      </c>
      <c r="Y2757">
        <v>-5.4850500000000003E-2</v>
      </c>
      <c r="Z2757">
        <v>1.75280799999999E-3</v>
      </c>
      <c r="AA2757">
        <v>0.99849299999999996</v>
      </c>
      <c r="AB2757">
        <v>39</v>
      </c>
      <c r="AC2757">
        <v>10.581999999999899</v>
      </c>
      <c r="AD2757">
        <v>-1.1107494439200001</v>
      </c>
      <c r="AE2757">
        <v>0.78000000000000103</v>
      </c>
      <c r="AF2757">
        <v>-0.59701947796726096</v>
      </c>
      <c r="AG2757">
        <v>-1.1107494439200001</v>
      </c>
      <c r="AH2757">
        <v>10.4786992696458</v>
      </c>
      <c r="AI2757">
        <v>96.041073208682405</v>
      </c>
      <c r="AJ2757">
        <v>93.260877576623599</v>
      </c>
      <c r="AK2757">
        <v>10.554304096808901</v>
      </c>
      <c r="AL2757">
        <v>69.076354696034898</v>
      </c>
      <c r="AM2757">
        <v>96.626283436050002</v>
      </c>
      <c r="AN2757">
        <v>0.99999998799712997</v>
      </c>
    </row>
    <row r="2758" spans="1:40" x14ac:dyDescent="0.25">
      <c r="A2758" t="str">
        <f>"20190304164656363"</f>
        <v>20190304164656363</v>
      </c>
      <c r="B2758" t="str">
        <f>"1551689216351296"</f>
        <v>1551689216351296</v>
      </c>
      <c r="C2758" t="s">
        <v>40</v>
      </c>
      <c r="D2758">
        <v>4.5597269999999996</v>
      </c>
      <c r="E2758">
        <v>0.50941990000000004</v>
      </c>
      <c r="F2758" t="s">
        <v>49</v>
      </c>
      <c r="G2758">
        <v>-359.18830000000003</v>
      </c>
      <c r="H2758" s="1">
        <v>3.3674179999999998E-6</v>
      </c>
      <c r="I2758">
        <v>214.2816</v>
      </c>
      <c r="J2758">
        <v>-369.74189999999999</v>
      </c>
      <c r="K2758">
        <v>1.1107479999999901</v>
      </c>
      <c r="L2758">
        <v>213.5119</v>
      </c>
      <c r="M2758">
        <v>0.99975020000000003</v>
      </c>
      <c r="N2758">
        <v>-1.499496E-2</v>
      </c>
      <c r="O2758">
        <v>1.6581700000000001E-2</v>
      </c>
      <c r="P2758">
        <v>0.93138889999999996</v>
      </c>
      <c r="Q2758">
        <v>0.34322009999999997</v>
      </c>
      <c r="R2758">
        <v>0.121304</v>
      </c>
      <c r="S2758">
        <v>3.3146969999999998</v>
      </c>
      <c r="T2758">
        <v>-0.33663999999999999</v>
      </c>
      <c r="U2758">
        <v>0.23519899999999999</v>
      </c>
      <c r="V2758">
        <v>-0.1057751</v>
      </c>
      <c r="W2758">
        <v>0.3571957</v>
      </c>
      <c r="X2758">
        <v>0.92802099999999998</v>
      </c>
      <c r="Y2758">
        <v>-5.3971030000000003E-2</v>
      </c>
      <c r="Z2758">
        <v>1.7071020000000001E-3</v>
      </c>
      <c r="AA2758">
        <v>0.99854109999999996</v>
      </c>
      <c r="AB2758">
        <v>39</v>
      </c>
      <c r="AC2758">
        <v>10.5535999999999</v>
      </c>
      <c r="AD2758">
        <v>-1.1107446325819901</v>
      </c>
      <c r="AE2758">
        <v>0.76970000000000005</v>
      </c>
      <c r="AF2758">
        <v>-0.58809790209762602</v>
      </c>
      <c r="AG2758">
        <v>-1.1107446325819901</v>
      </c>
      <c r="AH2758">
        <v>10.4497720568408</v>
      </c>
      <c r="AI2758">
        <v>96.057882209627095</v>
      </c>
      <c r="AJ2758">
        <v>93.221124889331406</v>
      </c>
      <c r="AK2758">
        <v>10.525081891424501</v>
      </c>
      <c r="AL2758">
        <v>69.071927364811302</v>
      </c>
      <c r="AM2758">
        <v>96.502466139908293</v>
      </c>
      <c r="AN2758">
        <v>1.0000000581597399</v>
      </c>
    </row>
    <row r="2759" spans="1:40" x14ac:dyDescent="0.25">
      <c r="A2759" t="str">
        <f>"20190304164656383"</f>
        <v>20190304164656383</v>
      </c>
      <c r="B2759" t="str">
        <f>"1551689216371792"</f>
        <v>1551689216371792</v>
      </c>
      <c r="C2759" t="s">
        <v>40</v>
      </c>
      <c r="D2759">
        <v>4.4956449999999997</v>
      </c>
      <c r="E2759">
        <v>0.50003249999999999</v>
      </c>
      <c r="F2759" t="s">
        <v>49</v>
      </c>
      <c r="G2759">
        <v>-358.52910000000003</v>
      </c>
      <c r="H2759" s="1">
        <v>2.9886230000000001E-6</v>
      </c>
      <c r="I2759">
        <v>214.9222</v>
      </c>
      <c r="J2759">
        <v>-369.37720000000002</v>
      </c>
      <c r="K2759">
        <v>1.110741</v>
      </c>
      <c r="L2759">
        <v>213.5179</v>
      </c>
      <c r="M2759">
        <v>0.99975159999999996</v>
      </c>
      <c r="N2759">
        <v>-1.499082E-2</v>
      </c>
      <c r="O2759">
        <v>1.6498680000000002E-2</v>
      </c>
      <c r="P2759">
        <v>0.93142659999999999</v>
      </c>
      <c r="Q2759">
        <v>0.34357019999999999</v>
      </c>
      <c r="R2759">
        <v>0.1200172</v>
      </c>
      <c r="S2759">
        <v>3.2871090000000001</v>
      </c>
      <c r="T2759">
        <v>-0.3256251</v>
      </c>
      <c r="U2759">
        <v>0.4134369</v>
      </c>
      <c r="V2759">
        <v>-0.1045587</v>
      </c>
      <c r="W2759">
        <v>0.35754350000000001</v>
      </c>
      <c r="X2759">
        <v>0.92802479999999998</v>
      </c>
      <c r="Y2759">
        <v>-0.1078612</v>
      </c>
      <c r="Z2759">
        <v>4.744931E-3</v>
      </c>
      <c r="AA2759">
        <v>0.9941546</v>
      </c>
      <c r="AB2759">
        <v>39</v>
      </c>
      <c r="AC2759">
        <v>10.848099999999899</v>
      </c>
      <c r="AD2759">
        <v>-1.110738011377</v>
      </c>
      <c r="AE2759">
        <v>1.4043000000000001</v>
      </c>
      <c r="AF2759">
        <v>-1.21260627053703</v>
      </c>
      <c r="AG2759">
        <v>-1.110738011377</v>
      </c>
      <c r="AH2759">
        <v>10.7588607822808</v>
      </c>
      <c r="AI2759">
        <v>95.857472088930805</v>
      </c>
      <c r="AJ2759">
        <v>96.430537099545504</v>
      </c>
      <c r="AK2759">
        <v>10.883806238157799</v>
      </c>
      <c r="AL2759">
        <v>69.050588586932903</v>
      </c>
      <c r="AM2759">
        <v>96.428292052921293</v>
      </c>
      <c r="AN2759">
        <v>0.99999995277648801</v>
      </c>
    </row>
    <row r="2760" spans="1:40" x14ac:dyDescent="0.25">
      <c r="A2760" t="str">
        <f>"20190304164656405"</f>
        <v>20190304164656405</v>
      </c>
      <c r="B2760" t="str">
        <f>"1551689216401073"</f>
        <v>1551689216401073</v>
      </c>
      <c r="C2760" t="s">
        <v>40</v>
      </c>
      <c r="D2760">
        <v>4.4945820000000003</v>
      </c>
      <c r="E2760">
        <v>0.49459170000000002</v>
      </c>
      <c r="F2760" t="s">
        <v>49</v>
      </c>
      <c r="G2760">
        <v>-357.37079999999997</v>
      </c>
      <c r="H2760" s="1">
        <v>2.3565639999999999E-6</v>
      </c>
      <c r="I2760">
        <v>215.28100000000001</v>
      </c>
      <c r="J2760">
        <v>-368.99579999999997</v>
      </c>
      <c r="K2760">
        <v>1.110738</v>
      </c>
      <c r="L2760">
        <v>213.524</v>
      </c>
      <c r="M2760">
        <v>0.99975320000000001</v>
      </c>
      <c r="N2760">
        <v>-1.498647E-2</v>
      </c>
      <c r="O2760">
        <v>1.6406819999999999E-2</v>
      </c>
      <c r="P2760">
        <v>0.93129969999999995</v>
      </c>
      <c r="Q2760">
        <v>0.34416849999999999</v>
      </c>
      <c r="R2760">
        <v>0.1192864</v>
      </c>
      <c r="S2760">
        <v>3.2705690000000001</v>
      </c>
      <c r="T2760">
        <v>-0.30256860000000002</v>
      </c>
      <c r="U2760">
        <v>0.48028559999999998</v>
      </c>
      <c r="V2760">
        <v>-0.1039112</v>
      </c>
      <c r="W2760">
        <v>0.35813660000000003</v>
      </c>
      <c r="X2760">
        <v>0.9278689</v>
      </c>
      <c r="Y2760">
        <v>-0.12846099999999999</v>
      </c>
      <c r="Z2760">
        <v>5.6063179999999999E-3</v>
      </c>
      <c r="AA2760">
        <v>0.99169870000000004</v>
      </c>
      <c r="AB2760">
        <v>39</v>
      </c>
      <c r="AC2760">
        <v>11.625</v>
      </c>
      <c r="AD2760">
        <v>-1.1107356434360001</v>
      </c>
      <c r="AE2760">
        <v>1.7569999999999699</v>
      </c>
      <c r="AF2760">
        <v>-1.55215917052156</v>
      </c>
      <c r="AG2760">
        <v>-1.1107356434360001</v>
      </c>
      <c r="AH2760">
        <v>11.549184143662499</v>
      </c>
      <c r="AI2760">
        <v>95.444835798217099</v>
      </c>
      <c r="AJ2760">
        <v>97.654433542847002</v>
      </c>
      <c r="AK2760">
        <v>11.705835559431801</v>
      </c>
      <c r="AL2760">
        <v>69.014198359417605</v>
      </c>
      <c r="AM2760">
        <v>96.389878342160003</v>
      </c>
      <c r="AN2760">
        <v>1.0000000286660999</v>
      </c>
    </row>
    <row r="2761" spans="1:40" x14ac:dyDescent="0.25">
      <c r="A2761" t="str">
        <f>"20190304164656430"</f>
        <v>20190304164656430</v>
      </c>
      <c r="B2761" t="str">
        <f>"1551689216421569"</f>
        <v>1551689216421569</v>
      </c>
      <c r="C2761" t="s">
        <v>40</v>
      </c>
      <c r="D2761">
        <v>4.4908849999999996</v>
      </c>
      <c r="E2761">
        <v>0.49315290000000001</v>
      </c>
      <c r="F2761" t="s">
        <v>49</v>
      </c>
      <c r="G2761">
        <v>-357.3809</v>
      </c>
      <c r="H2761" s="1">
        <v>2.3580219999999999E-6</v>
      </c>
      <c r="I2761">
        <v>215.36969999999999</v>
      </c>
      <c r="J2761">
        <v>-368.5822</v>
      </c>
      <c r="K2761">
        <v>1.110738</v>
      </c>
      <c r="L2761">
        <v>213.5308</v>
      </c>
      <c r="M2761">
        <v>0.99975480000000005</v>
      </c>
      <c r="N2761">
        <v>-1.498177E-2</v>
      </c>
      <c r="O2761">
        <v>1.6305440000000001E-2</v>
      </c>
      <c r="P2761">
        <v>0.93108210000000002</v>
      </c>
      <c r="Q2761">
        <v>0.34483190000000002</v>
      </c>
      <c r="R2761">
        <v>0.1190686</v>
      </c>
      <c r="S2761">
        <v>3.2703250000000001</v>
      </c>
      <c r="T2761">
        <v>-0.3127413</v>
      </c>
      <c r="U2761">
        <v>0.51966859999999904</v>
      </c>
      <c r="V2761">
        <v>-0.1037867</v>
      </c>
      <c r="W2761">
        <v>0.35879359999999999</v>
      </c>
      <c r="X2761">
        <v>0.92762889999999998</v>
      </c>
      <c r="Y2761">
        <v>-0.1401374</v>
      </c>
      <c r="Z2761">
        <v>6.3999349999999998E-3</v>
      </c>
      <c r="AA2761">
        <v>0.99011139999999997</v>
      </c>
      <c r="AB2761">
        <v>39</v>
      </c>
      <c r="AC2761">
        <v>11.2013</v>
      </c>
      <c r="AD2761">
        <v>-1.1107356419779999</v>
      </c>
      <c r="AE2761">
        <v>1.83889999999999</v>
      </c>
      <c r="AF2761">
        <v>-1.6402872461079201</v>
      </c>
      <c r="AG2761">
        <v>-1.1107356419779999</v>
      </c>
      <c r="AH2761">
        <v>11.1232934380721</v>
      </c>
      <c r="AI2761">
        <v>95.641852121678298</v>
      </c>
      <c r="AJ2761">
        <v>98.388617866095004</v>
      </c>
      <c r="AK2761">
        <v>11.2983154861936</v>
      </c>
      <c r="AL2761">
        <v>68.9738735833986</v>
      </c>
      <c r="AM2761">
        <v>96.383923215497106</v>
      </c>
      <c r="AN2761">
        <v>0.99999995130652797</v>
      </c>
    </row>
    <row r="2762" spans="1:40" x14ac:dyDescent="0.25">
      <c r="A2762" t="str">
        <f>"20190304164656451"</f>
        <v>20190304164656451</v>
      </c>
      <c r="B2762" t="str">
        <f>"1551689216441092"</f>
        <v>1551689216441092</v>
      </c>
      <c r="C2762" t="s">
        <v>40</v>
      </c>
      <c r="D2762">
        <v>4.4499579999999996</v>
      </c>
      <c r="E2762">
        <v>0.49201279999999997</v>
      </c>
      <c r="F2762" t="s">
        <v>49</v>
      </c>
      <c r="G2762">
        <v>-357.11779999999999</v>
      </c>
      <c r="H2762" s="1">
        <v>2.2170900000000001E-6</v>
      </c>
      <c r="I2762">
        <v>215.3904</v>
      </c>
      <c r="J2762">
        <v>-368.21080000000001</v>
      </c>
      <c r="K2762">
        <v>1.1107370000000001</v>
      </c>
      <c r="L2762">
        <v>213.5367</v>
      </c>
      <c r="M2762">
        <v>0.99975650000000005</v>
      </c>
      <c r="N2762">
        <v>-1.49777E-2</v>
      </c>
      <c r="O2762">
        <v>1.621415E-2</v>
      </c>
      <c r="P2762">
        <v>0.93081860000000005</v>
      </c>
      <c r="Q2762">
        <v>0.3452557</v>
      </c>
      <c r="R2762">
        <v>0.1198988</v>
      </c>
      <c r="S2762">
        <v>3.271576</v>
      </c>
      <c r="T2762">
        <v>-0.3169671</v>
      </c>
      <c r="U2762">
        <v>0.53067019999999998</v>
      </c>
      <c r="V2762">
        <v>-0.1047024</v>
      </c>
      <c r="W2762">
        <v>0.35921110000000001</v>
      </c>
      <c r="X2762">
        <v>0.92736450000000004</v>
      </c>
      <c r="Y2762">
        <v>-0.14338110000000001</v>
      </c>
      <c r="Z2762">
        <v>6.6528050000000004E-3</v>
      </c>
      <c r="AA2762">
        <v>0.9896452</v>
      </c>
      <c r="AB2762">
        <v>39</v>
      </c>
      <c r="AC2762">
        <v>11.093</v>
      </c>
      <c r="AD2762">
        <v>-1.1107347829100001</v>
      </c>
      <c r="AE2762">
        <v>1.8536999999999999</v>
      </c>
      <c r="AF2762">
        <v>-1.6574069826328199</v>
      </c>
      <c r="AG2762">
        <v>-1.1107347829100001</v>
      </c>
      <c r="AH2762">
        <v>11.014173921003501</v>
      </c>
      <c r="AI2762">
        <v>95.694890053266207</v>
      </c>
      <c r="AJ2762">
        <v>98.557630452397404</v>
      </c>
      <c r="AK2762">
        <v>11.1934247139184</v>
      </c>
      <c r="AL2762">
        <v>68.948246470738198</v>
      </c>
      <c r="AM2762">
        <v>96.441597442630695</v>
      </c>
      <c r="AN2762">
        <v>1.0000000613946001</v>
      </c>
    </row>
    <row r="2763" spans="1:40" x14ac:dyDescent="0.25">
      <c r="A2763" t="str">
        <f>"20190304164656474"</f>
        <v>20190304164656474</v>
      </c>
      <c r="B2763" t="str">
        <f>"1551689216471345"</f>
        <v>1551689216471345</v>
      </c>
      <c r="C2763" t="s">
        <v>40</v>
      </c>
      <c r="D2763">
        <v>4.4463980000000003</v>
      </c>
      <c r="E2763">
        <v>0.49110110000000001</v>
      </c>
      <c r="F2763" t="s">
        <v>49</v>
      </c>
      <c r="G2763">
        <v>-356.77409999999998</v>
      </c>
      <c r="H2763" s="1">
        <v>2.0325220000000002E-6</v>
      </c>
      <c r="I2763">
        <v>215.42869999999999</v>
      </c>
      <c r="J2763">
        <v>-367.82769999999999</v>
      </c>
      <c r="K2763">
        <v>1.1107340000000001</v>
      </c>
      <c r="L2763">
        <v>213.5429</v>
      </c>
      <c r="M2763">
        <v>0.99975789999999998</v>
      </c>
      <c r="N2763">
        <v>-1.4973490000000001E-2</v>
      </c>
      <c r="O2763">
        <v>1.6120659999999998E-2</v>
      </c>
      <c r="P2763">
        <v>0.93056989999999995</v>
      </c>
      <c r="Q2763">
        <v>0.34556479999999901</v>
      </c>
      <c r="R2763">
        <v>0.1209326</v>
      </c>
      <c r="S2763">
        <v>3.2711489999999999</v>
      </c>
      <c r="T2763">
        <v>-0.31769429999999999</v>
      </c>
      <c r="U2763">
        <v>0.541153</v>
      </c>
      <c r="V2763">
        <v>-0.1058246</v>
      </c>
      <c r="W2763">
        <v>0.359514099999999</v>
      </c>
      <c r="X2763">
        <v>0.92711960000000004</v>
      </c>
      <c r="Y2763">
        <v>-0.146562</v>
      </c>
      <c r="Z2763">
        <v>6.8488619999999998E-3</v>
      </c>
      <c r="AA2763">
        <v>0.9891778</v>
      </c>
      <c r="AB2763">
        <v>38</v>
      </c>
      <c r="AC2763">
        <v>11.053599999999999</v>
      </c>
      <c r="AD2763">
        <v>-1.1107319674779901</v>
      </c>
      <c r="AE2763">
        <v>1.8857999999999799</v>
      </c>
      <c r="AF2763">
        <v>-1.69075415405301</v>
      </c>
      <c r="AG2763">
        <v>-1.1107319674779901</v>
      </c>
      <c r="AH2763">
        <v>10.9748831445722</v>
      </c>
      <c r="AI2763">
        <v>95.712107465517605</v>
      </c>
      <c r="AJ2763">
        <v>98.757945729848203</v>
      </c>
      <c r="AK2763">
        <v>11.1597685975131</v>
      </c>
      <c r="AL2763">
        <v>68.929641607733501</v>
      </c>
      <c r="AM2763">
        <v>96.511753758467094</v>
      </c>
      <c r="AN2763">
        <v>0.99999999338406498</v>
      </c>
    </row>
    <row r="2764" spans="1:40" x14ac:dyDescent="0.25">
      <c r="A2764" t="str">
        <f>"20190304164656497"</f>
        <v>20190304164656497</v>
      </c>
      <c r="B2764" t="str">
        <f>"1551689216491841"</f>
        <v>1551689216491841</v>
      </c>
      <c r="C2764" t="s">
        <v>40</v>
      </c>
      <c r="D2764">
        <v>4.4711429999999996</v>
      </c>
      <c r="E2764">
        <v>0.49059829999999999</v>
      </c>
      <c r="F2764" t="s">
        <v>49</v>
      </c>
      <c r="G2764">
        <v>-356.47519999999997</v>
      </c>
      <c r="H2764" s="1">
        <v>1.872198E-6</v>
      </c>
      <c r="I2764">
        <v>215.4581</v>
      </c>
      <c r="J2764">
        <v>-367.42169999999999</v>
      </c>
      <c r="K2764">
        <v>1.11073</v>
      </c>
      <c r="L2764">
        <v>213.54939999999999</v>
      </c>
      <c r="M2764">
        <v>0.99975970000000003</v>
      </c>
      <c r="N2764">
        <v>-1.496895E-2</v>
      </c>
      <c r="O2764">
        <v>1.6022479999999999E-2</v>
      </c>
      <c r="P2764">
        <v>0.9304576</v>
      </c>
      <c r="Q2764">
        <v>0.3452712</v>
      </c>
      <c r="R2764">
        <v>0.12262389999999999</v>
      </c>
      <c r="S2764">
        <v>3.270966</v>
      </c>
      <c r="T2764">
        <v>-0.3200325</v>
      </c>
      <c r="U2764">
        <v>0.55181880000000005</v>
      </c>
      <c r="V2764">
        <v>-0.10760599999999999</v>
      </c>
      <c r="W2764">
        <v>0.35921550000000002</v>
      </c>
      <c r="X2764">
        <v>0.92703029999999997</v>
      </c>
      <c r="Y2764">
        <v>-0.1497782</v>
      </c>
      <c r="Z2764">
        <v>7.0760909999999996E-3</v>
      </c>
      <c r="AA2764">
        <v>0.98869430000000003</v>
      </c>
      <c r="AB2764">
        <v>38</v>
      </c>
      <c r="AC2764">
        <v>10.9465</v>
      </c>
      <c r="AD2764">
        <v>-1.110728127802</v>
      </c>
      <c r="AE2764">
        <v>1.9087000000000101</v>
      </c>
      <c r="AF2764">
        <v>-1.7158997448968401</v>
      </c>
      <c r="AG2764">
        <v>-1.110728127802</v>
      </c>
      <c r="AH2764">
        <v>10.8670947254317</v>
      </c>
      <c r="AI2764">
        <v>95.765013697965699</v>
      </c>
      <c r="AJ2764">
        <v>98.972846182971494</v>
      </c>
      <c r="AK2764">
        <v>11.057656925403901</v>
      </c>
      <c r="AL2764">
        <v>68.947975027425102</v>
      </c>
      <c r="AM2764">
        <v>96.621036408104004</v>
      </c>
      <c r="AN2764">
        <v>1.00000000189717</v>
      </c>
    </row>
    <row r="2765" spans="1:40" x14ac:dyDescent="0.25">
      <c r="A2765" t="str">
        <f>"20190304164656520"</f>
        <v>20190304164656520</v>
      </c>
      <c r="B2765" t="str">
        <f>"1551689216511360"</f>
        <v>1551689216511360</v>
      </c>
      <c r="C2765" t="s">
        <v>40</v>
      </c>
      <c r="D2765">
        <v>4.5055560000000003</v>
      </c>
      <c r="E2765">
        <v>0.49027660000000001</v>
      </c>
      <c r="F2765" t="s">
        <v>49</v>
      </c>
      <c r="G2765">
        <v>-356.18790000000001</v>
      </c>
      <c r="H2765" s="1">
        <v>1.7183360000000001E-6</v>
      </c>
      <c r="I2765">
        <v>215.48070000000001</v>
      </c>
      <c r="J2765">
        <v>-367.03640000000001</v>
      </c>
      <c r="K2765">
        <v>1.110733</v>
      </c>
      <c r="L2765">
        <v>213.55539999999999</v>
      </c>
      <c r="M2765">
        <v>0.99976100000000001</v>
      </c>
      <c r="N2765">
        <v>-1.496461E-2</v>
      </c>
      <c r="O2765">
        <v>1.5929789999999999E-2</v>
      </c>
      <c r="P2765">
        <v>0.93009200000000003</v>
      </c>
      <c r="Q2765">
        <v>0.34564630000000002</v>
      </c>
      <c r="R2765">
        <v>0.12432749999999999</v>
      </c>
      <c r="S2765">
        <v>3.270111</v>
      </c>
      <c r="T2765">
        <v>-0.32332919999999998</v>
      </c>
      <c r="U2765">
        <v>0.56219479999999999</v>
      </c>
      <c r="V2765">
        <v>-0.10939989999999999</v>
      </c>
      <c r="W2765">
        <v>0.35958269999999998</v>
      </c>
      <c r="X2765">
        <v>0.92667790000000005</v>
      </c>
      <c r="Y2765">
        <v>-0.15292849999999999</v>
      </c>
      <c r="Z2765">
        <v>7.3201960000000002E-3</v>
      </c>
      <c r="AA2765">
        <v>0.98821009999999998</v>
      </c>
      <c r="AB2765">
        <v>38</v>
      </c>
      <c r="AC2765">
        <v>10.8485</v>
      </c>
      <c r="AD2765">
        <v>-1.110731281664</v>
      </c>
      <c r="AE2765">
        <v>1.92530000000002</v>
      </c>
      <c r="AF2765">
        <v>-1.73459371531545</v>
      </c>
      <c r="AG2765">
        <v>-1.110731281664</v>
      </c>
      <c r="AH2765">
        <v>10.768360125918001</v>
      </c>
      <c r="AI2765">
        <v>95.814668033981903</v>
      </c>
      <c r="AJ2765">
        <v>99.150737825402203</v>
      </c>
      <c r="AK2765">
        <v>10.9635814923199</v>
      </c>
      <c r="AL2765">
        <v>68.9254294324044</v>
      </c>
      <c r="AM2765">
        <v>96.732947285429603</v>
      </c>
      <c r="AN2765">
        <v>0.99999999330385503</v>
      </c>
    </row>
    <row r="2766" spans="1:40" x14ac:dyDescent="0.25">
      <c r="A2766" t="str">
        <f>"20190304164656542"</f>
        <v>20190304164656542</v>
      </c>
      <c r="B2766" t="str">
        <f>"1551689216530881"</f>
        <v>1551689216530881</v>
      </c>
      <c r="C2766" t="s">
        <v>40</v>
      </c>
      <c r="D2766">
        <v>4.4726889999999999</v>
      </c>
      <c r="E2766">
        <v>0.4898285</v>
      </c>
      <c r="F2766" t="s">
        <v>49</v>
      </c>
      <c r="G2766">
        <v>-355.79140000000001</v>
      </c>
      <c r="H2766" s="1">
        <v>1.5058480000000001E-6</v>
      </c>
      <c r="I2766">
        <v>215.51499999999999</v>
      </c>
      <c r="J2766">
        <v>-366.6574</v>
      </c>
      <c r="K2766">
        <v>1.110733</v>
      </c>
      <c r="L2766">
        <v>213.56139999999999</v>
      </c>
      <c r="M2766">
        <v>0.9997627</v>
      </c>
      <c r="N2766">
        <v>-1.4960360000000001E-2</v>
      </c>
      <c r="O2766">
        <v>1.5837839999999999E-2</v>
      </c>
      <c r="P2766">
        <v>0.9297936</v>
      </c>
      <c r="Q2766">
        <v>0.34584340000000002</v>
      </c>
      <c r="R2766">
        <v>0.12600140000000001</v>
      </c>
      <c r="S2766">
        <v>3.2693479999999999</v>
      </c>
      <c r="T2766">
        <v>-0.322932</v>
      </c>
      <c r="U2766">
        <v>0.56973269999999998</v>
      </c>
      <c r="V2766">
        <v>-0.1111629</v>
      </c>
      <c r="W2766">
        <v>0.35977219999999999</v>
      </c>
      <c r="X2766">
        <v>0.92639450000000001</v>
      </c>
      <c r="Y2766">
        <v>-0.15525829999999999</v>
      </c>
      <c r="Z2766">
        <v>7.45210199999999E-3</v>
      </c>
      <c r="AA2766">
        <v>0.9878458</v>
      </c>
      <c r="AB2766">
        <v>38</v>
      </c>
      <c r="AC2766">
        <v>10.8659999999999</v>
      </c>
      <c r="AD2766">
        <v>-1.1107314941519999</v>
      </c>
      <c r="AE2766">
        <v>1.95359999999999</v>
      </c>
      <c r="AF2766">
        <v>-1.7633927844703601</v>
      </c>
      <c r="AG2766">
        <v>-1.1107314941519999</v>
      </c>
      <c r="AH2766">
        <v>10.7864020700674</v>
      </c>
      <c r="AI2766">
        <v>95.802821753255103</v>
      </c>
      <c r="AJ2766">
        <v>99.284747428479804</v>
      </c>
      <c r="AK2766">
        <v>10.9858885931715</v>
      </c>
      <c r="AL2766">
        <v>68.913793245427797</v>
      </c>
      <c r="AM2766">
        <v>96.842502704911396</v>
      </c>
      <c r="AN2766">
        <v>0.99999999792975003</v>
      </c>
    </row>
    <row r="2767" spans="1:40" x14ac:dyDescent="0.25">
      <c r="A2767" t="str">
        <f>"20190304164656564"</f>
        <v>20190304164656564</v>
      </c>
      <c r="B2767" t="str">
        <f>"1551689216561137"</f>
        <v>1551689216561137</v>
      </c>
      <c r="C2767" t="s">
        <v>40</v>
      </c>
      <c r="D2767">
        <v>4.4585489999999997</v>
      </c>
      <c r="E2767">
        <v>0.48936229999999997</v>
      </c>
      <c r="F2767" t="s">
        <v>49</v>
      </c>
      <c r="G2767">
        <v>-355.4323</v>
      </c>
      <c r="H2767" s="1">
        <v>1.313355E-6</v>
      </c>
      <c r="I2767">
        <v>215.54580000000001</v>
      </c>
      <c r="J2767">
        <v>-366.28539999999998</v>
      </c>
      <c r="K2767">
        <v>1.1107400000000001</v>
      </c>
      <c r="L2767">
        <v>213.56720000000001</v>
      </c>
      <c r="M2767">
        <v>0.99976430000000005</v>
      </c>
      <c r="N2767">
        <v>-1.4956199999999999E-2</v>
      </c>
      <c r="O2767">
        <v>1.5747549999999999E-2</v>
      </c>
      <c r="P2767">
        <v>0.92956209999999995</v>
      </c>
      <c r="Q2767">
        <v>0.34608349999999999</v>
      </c>
      <c r="R2767">
        <v>0.1270464</v>
      </c>
      <c r="S2767">
        <v>3.2685240000000002</v>
      </c>
      <c r="T2767">
        <v>-0.32342029999999999</v>
      </c>
      <c r="U2767">
        <v>0.57781979999999999</v>
      </c>
      <c r="V2767">
        <v>-0.1122943</v>
      </c>
      <c r="W2767">
        <v>0.36000579999999999</v>
      </c>
      <c r="X2767">
        <v>0.92616730000000003</v>
      </c>
      <c r="Y2767">
        <v>-0.1577442</v>
      </c>
      <c r="Z2767">
        <v>7.6092759999999999E-3</v>
      </c>
      <c r="AA2767">
        <v>0.98745070000000001</v>
      </c>
      <c r="AB2767">
        <v>38</v>
      </c>
      <c r="AC2767">
        <v>10.8530999999999</v>
      </c>
      <c r="AD2767">
        <v>-1.110738686645</v>
      </c>
      <c r="AE2767">
        <v>1.9785999999999999</v>
      </c>
      <c r="AF2767">
        <v>-1.7892874641660701</v>
      </c>
      <c r="AG2767">
        <v>-1.110738686645</v>
      </c>
      <c r="AH2767">
        <v>10.7737006736829</v>
      </c>
      <c r="AI2767">
        <v>95.807250757442404</v>
      </c>
      <c r="AJ2767">
        <v>99.429568797577502</v>
      </c>
      <c r="AK2767">
        <v>10.977609770143401</v>
      </c>
      <c r="AL2767">
        <v>68.899448368427201</v>
      </c>
      <c r="AM2767">
        <v>96.913153501214396</v>
      </c>
      <c r="AN2767">
        <v>1.0000000267177001</v>
      </c>
    </row>
    <row r="2768" spans="1:40" x14ac:dyDescent="0.25">
      <c r="A2768" t="str">
        <f>"20190304164656585"</f>
        <v>20190304164656585</v>
      </c>
      <c r="B2768" t="str">
        <f>"1551689216581632"</f>
        <v>1551689216581632</v>
      </c>
      <c r="C2768" t="s">
        <v>40</v>
      </c>
      <c r="D2768">
        <v>4.4460850000000001</v>
      </c>
      <c r="E2768">
        <v>0.48913859999999998</v>
      </c>
      <c r="F2768" t="s">
        <v>49</v>
      </c>
      <c r="G2768">
        <v>-355.11369999999999</v>
      </c>
      <c r="H2768" s="1">
        <v>1.1429290000000001E-6</v>
      </c>
      <c r="I2768">
        <v>215.56639999999999</v>
      </c>
      <c r="J2768">
        <v>-365.92430000000002</v>
      </c>
      <c r="K2768">
        <v>1.1107400000000001</v>
      </c>
      <c r="L2768">
        <v>213.5728</v>
      </c>
      <c r="M2768">
        <v>0.99976569999999998</v>
      </c>
      <c r="N2768">
        <v>-1.4952190000000001E-2</v>
      </c>
      <c r="O2768">
        <v>1.5659780000000002E-2</v>
      </c>
      <c r="P2768">
        <v>0.92931549999999996</v>
      </c>
      <c r="Q2768">
        <v>0.34662029999999999</v>
      </c>
      <c r="R2768">
        <v>0.12738759999999999</v>
      </c>
      <c r="S2768">
        <v>3.268402</v>
      </c>
      <c r="T2768">
        <v>-0.32495889999999999</v>
      </c>
      <c r="U2768">
        <v>0.58486939999999998</v>
      </c>
      <c r="V2768">
        <v>-0.112720899999999</v>
      </c>
      <c r="W2768">
        <v>0.3605351</v>
      </c>
      <c r="X2768">
        <v>0.92590950000000005</v>
      </c>
      <c r="Y2768">
        <v>-0.15988250000000001</v>
      </c>
      <c r="Z2768">
        <v>7.766144E-3</v>
      </c>
      <c r="AA2768">
        <v>0.98710549999999997</v>
      </c>
      <c r="AB2768">
        <v>38</v>
      </c>
      <c r="AC2768">
        <v>10.810600000000001</v>
      </c>
      <c r="AD2768">
        <v>-1.110738857071</v>
      </c>
      <c r="AE2768">
        <v>1.9935999999999801</v>
      </c>
      <c r="AF2768">
        <v>-1.80561074486206</v>
      </c>
      <c r="AG2768">
        <v>-1.110738857071</v>
      </c>
      <c r="AH2768">
        <v>10.730940356592701</v>
      </c>
      <c r="AI2768">
        <v>95.828177983010306</v>
      </c>
      <c r="AJ2768">
        <v>99.551241107780498</v>
      </c>
      <c r="AK2768">
        <v>10.938329484309699</v>
      </c>
      <c r="AL2768">
        <v>68.866937599894797</v>
      </c>
      <c r="AM2768">
        <v>96.941073833514693</v>
      </c>
      <c r="AN2768">
        <v>0.99999998090953401</v>
      </c>
    </row>
    <row r="2769" spans="1:40" x14ac:dyDescent="0.25">
      <c r="A2769" t="str">
        <f>"20190304164656607"</f>
        <v>20190304164656607</v>
      </c>
      <c r="B2769" t="str">
        <f>"1551689216601153"</f>
        <v>1551689216601153</v>
      </c>
      <c r="C2769" t="s">
        <v>40</v>
      </c>
      <c r="D2769">
        <v>4.4411440000000004</v>
      </c>
      <c r="E2769">
        <v>0.48892639999999998</v>
      </c>
      <c r="F2769" t="s">
        <v>49</v>
      </c>
      <c r="G2769">
        <v>-354.75839999999999</v>
      </c>
      <c r="H2769" s="1">
        <v>9.5297829999999998E-7</v>
      </c>
      <c r="I2769">
        <v>215.58709999999999</v>
      </c>
      <c r="J2769">
        <v>-365.53199999999998</v>
      </c>
      <c r="K2769">
        <v>1.1107389999999999</v>
      </c>
      <c r="L2769">
        <v>213.5789</v>
      </c>
      <c r="M2769">
        <v>0.99976719999999997</v>
      </c>
      <c r="N2769">
        <v>-1.494785E-2</v>
      </c>
      <c r="O2769">
        <v>1.5564440000000001E-2</v>
      </c>
      <c r="P2769">
        <v>0.92955169999999998</v>
      </c>
      <c r="Q2769">
        <v>0.34606229999999999</v>
      </c>
      <c r="R2769">
        <v>0.12717970000000001</v>
      </c>
      <c r="S2769">
        <v>3.2686769999999998</v>
      </c>
      <c r="T2769">
        <v>-0.32515729999999998</v>
      </c>
      <c r="U2769">
        <v>0.58966059999999998</v>
      </c>
      <c r="V2769">
        <v>-0.112597699999999</v>
      </c>
      <c r="W2769">
        <v>0.35997639999999997</v>
      </c>
      <c r="X2769">
        <v>0.92614189999999996</v>
      </c>
      <c r="Y2769">
        <v>-0.16135469999999999</v>
      </c>
      <c r="Z2769">
        <v>7.8599210000000006E-3</v>
      </c>
      <c r="AA2769">
        <v>0.9868652</v>
      </c>
      <c r="AB2769">
        <v>38</v>
      </c>
      <c r="AC2769">
        <v>10.773599999999901</v>
      </c>
      <c r="AD2769">
        <v>-1.1107380470217001</v>
      </c>
      <c r="AE2769">
        <v>2.00819999999998</v>
      </c>
      <c r="AF2769">
        <v>-1.8215414653095301</v>
      </c>
      <c r="AG2769">
        <v>-1.1107380470217001</v>
      </c>
      <c r="AH2769">
        <v>10.693705569179</v>
      </c>
      <c r="AI2769">
        <v>95.846343006437607</v>
      </c>
      <c r="AJ2769">
        <v>99.666850900919499</v>
      </c>
      <c r="AK2769">
        <v>10.904452811545999</v>
      </c>
      <c r="AL2769">
        <v>68.901254093881207</v>
      </c>
      <c r="AM2769">
        <v>96.931838437556607</v>
      </c>
      <c r="AN2769">
        <v>1.00000003476892</v>
      </c>
    </row>
    <row r="2770" spans="1:40" x14ac:dyDescent="0.25">
      <c r="A2770" t="str">
        <f>"20190304164656631"</f>
        <v>20190304164656631</v>
      </c>
      <c r="B2770" t="str">
        <f>"1551689216621649"</f>
        <v>1551689216621649</v>
      </c>
      <c r="C2770" t="s">
        <v>40</v>
      </c>
      <c r="D2770">
        <v>4.443721</v>
      </c>
      <c r="E2770">
        <v>0.48875150000000001</v>
      </c>
      <c r="F2770" t="s">
        <v>49</v>
      </c>
      <c r="G2770">
        <v>-354.48309999999998</v>
      </c>
      <c r="H2770" s="1">
        <v>8.0716470000000004E-7</v>
      </c>
      <c r="I2770">
        <v>215.5711</v>
      </c>
      <c r="J2770">
        <v>-365.13459999999998</v>
      </c>
      <c r="K2770">
        <v>1.110733</v>
      </c>
      <c r="L2770">
        <v>213.58500000000001</v>
      </c>
      <c r="M2770">
        <v>0.99976869999999995</v>
      </c>
      <c r="N2770">
        <v>-1.494346E-2</v>
      </c>
      <c r="O2770">
        <v>1.546815E-2</v>
      </c>
      <c r="P2770">
        <v>0.92961700000000003</v>
      </c>
      <c r="Q2770">
        <v>0.34591559999999999</v>
      </c>
      <c r="R2770">
        <v>0.12710160000000001</v>
      </c>
      <c r="S2770">
        <v>3.2690429999999999</v>
      </c>
      <c r="T2770">
        <v>-0.32863530000000002</v>
      </c>
      <c r="U2770">
        <v>0.58943179999999995</v>
      </c>
      <c r="V2770">
        <v>-0.11260779999999999</v>
      </c>
      <c r="W2770">
        <v>0.35982700000000001</v>
      </c>
      <c r="X2770">
        <v>0.92619870000000004</v>
      </c>
      <c r="Y2770">
        <v>-0.16134699999999999</v>
      </c>
      <c r="Z2770">
        <v>7.9348089999999993E-3</v>
      </c>
      <c r="AA2770">
        <v>0.98686580000000002</v>
      </c>
      <c r="AB2770">
        <v>38</v>
      </c>
      <c r="AC2770">
        <v>10.6515</v>
      </c>
      <c r="AD2770">
        <v>-1.1107321928353</v>
      </c>
      <c r="AE2770">
        <v>1.98609999999999</v>
      </c>
      <c r="AF2770">
        <v>-1.80214649337865</v>
      </c>
      <c r="AG2770">
        <v>-1.1107321928353</v>
      </c>
      <c r="AH2770">
        <v>10.569873158231699</v>
      </c>
      <c r="AI2770">
        <v>95.914166479027799</v>
      </c>
      <c r="AJ2770">
        <v>99.675797317954803</v>
      </c>
      <c r="AK2770">
        <v>10.779780914698801</v>
      </c>
      <c r="AL2770">
        <v>68.910428318934706</v>
      </c>
      <c r="AM2770">
        <v>96.932033169690797</v>
      </c>
      <c r="AN2770">
        <v>1.0000000092157599</v>
      </c>
    </row>
    <row r="2771" spans="1:40" x14ac:dyDescent="0.25">
      <c r="A2771" t="str">
        <f>"20190304164656653"</f>
        <v>20190304164656653</v>
      </c>
      <c r="B2771" t="str">
        <f>"1551689216641169"</f>
        <v>1551689216641169</v>
      </c>
      <c r="C2771" t="s">
        <v>40</v>
      </c>
      <c r="D2771">
        <v>4.4212239999999996</v>
      </c>
      <c r="E2771">
        <v>0.48857850000000003</v>
      </c>
      <c r="F2771" t="s">
        <v>49</v>
      </c>
      <c r="G2771">
        <v>-354.14859999999999</v>
      </c>
      <c r="H2771" s="1">
        <v>6.2947699999999997E-7</v>
      </c>
      <c r="I2771">
        <v>215.5634</v>
      </c>
      <c r="J2771">
        <v>-364.76</v>
      </c>
      <c r="K2771">
        <v>1.1107340000000001</v>
      </c>
      <c r="L2771">
        <v>213.5907</v>
      </c>
      <c r="M2771">
        <v>0.99977020000000005</v>
      </c>
      <c r="N2771">
        <v>-1.4939320000000001E-2</v>
      </c>
      <c r="O2771">
        <v>1.537735E-2</v>
      </c>
      <c r="P2771">
        <v>0.92985969999999996</v>
      </c>
      <c r="Q2771">
        <v>0.3455821</v>
      </c>
      <c r="R2771">
        <v>0.12623090000000001</v>
      </c>
      <c r="S2771">
        <v>3.2696529999999999</v>
      </c>
      <c r="T2771">
        <v>-0.33057429999999999</v>
      </c>
      <c r="U2771">
        <v>0.58882139999999905</v>
      </c>
      <c r="V2771">
        <v>-0.111818</v>
      </c>
      <c r="W2771">
        <v>0.35949320000000001</v>
      </c>
      <c r="X2771">
        <v>0.92642400000000003</v>
      </c>
      <c r="Y2771">
        <v>-0.16121750000000001</v>
      </c>
      <c r="Z2771">
        <v>7.9716950000000009E-3</v>
      </c>
      <c r="AA2771">
        <v>0.98688670000000001</v>
      </c>
      <c r="AB2771">
        <v>38</v>
      </c>
      <c r="AC2771">
        <v>10.6114</v>
      </c>
      <c r="AD2771">
        <v>-1.110733370523</v>
      </c>
      <c r="AE2771">
        <v>1.9726999999999999</v>
      </c>
      <c r="AF2771">
        <v>-1.79031288637495</v>
      </c>
      <c r="AG2771">
        <v>-1.110733370523</v>
      </c>
      <c r="AH2771">
        <v>10.5289756912064</v>
      </c>
      <c r="AI2771">
        <v>95.937431520612094</v>
      </c>
      <c r="AJ2771">
        <v>99.650092198276994</v>
      </c>
      <c r="AK2771">
        <v>10.7377035700157</v>
      </c>
      <c r="AL2771">
        <v>68.930925623918597</v>
      </c>
      <c r="AM2771">
        <v>96.882223908211103</v>
      </c>
      <c r="AN2771">
        <v>1.00000002687311</v>
      </c>
    </row>
    <row r="2772" spans="1:40" x14ac:dyDescent="0.25">
      <c r="A2772" t="str">
        <f>"20190304164656676"</f>
        <v>20190304164656676</v>
      </c>
      <c r="B2772" t="str">
        <f>"1551689216671425"</f>
        <v>1551689216671425</v>
      </c>
      <c r="C2772" t="s">
        <v>40</v>
      </c>
      <c r="D2772">
        <v>4.4312129999999996</v>
      </c>
      <c r="E2772">
        <v>0.48840620000000001</v>
      </c>
      <c r="F2772" t="s">
        <v>49</v>
      </c>
      <c r="G2772">
        <v>-353.8426</v>
      </c>
      <c r="H2772" s="1">
        <v>4.672122E-7</v>
      </c>
      <c r="I2772">
        <v>215.55009999999999</v>
      </c>
      <c r="J2772">
        <v>-364.39850000000001</v>
      </c>
      <c r="K2772">
        <v>1.110735</v>
      </c>
      <c r="L2772">
        <v>213.59620000000001</v>
      </c>
      <c r="M2772">
        <v>0.99977169999999904</v>
      </c>
      <c r="N2772">
        <v>-1.49353E-2</v>
      </c>
      <c r="O2772">
        <v>1.528941E-2</v>
      </c>
      <c r="P2772">
        <v>0.93009500000000001</v>
      </c>
      <c r="Q2772">
        <v>0.3450298</v>
      </c>
      <c r="R2772">
        <v>0.12600729999999999</v>
      </c>
      <c r="S2772">
        <v>3.2702640000000001</v>
      </c>
      <c r="T2772">
        <v>-0.33271499999999998</v>
      </c>
      <c r="U2772">
        <v>0.58691409999999999</v>
      </c>
      <c r="V2772">
        <v>-0.11167299999999999</v>
      </c>
      <c r="W2772">
        <v>0.35894009999999998</v>
      </c>
      <c r="X2772">
        <v>0.92665589999999998</v>
      </c>
      <c r="Y2772">
        <v>-0.16070709999999999</v>
      </c>
      <c r="Z2772">
        <v>7.9904759999999998E-3</v>
      </c>
      <c r="AA2772">
        <v>0.98696980000000001</v>
      </c>
      <c r="AB2772">
        <v>38</v>
      </c>
      <c r="AC2772">
        <v>10.555899999999999</v>
      </c>
      <c r="AD2772">
        <v>-1.1107345327878</v>
      </c>
      <c r="AE2772">
        <v>1.95389999999997</v>
      </c>
      <c r="AF2772">
        <v>-1.7732766117922401</v>
      </c>
      <c r="AG2772">
        <v>-1.1107345327878</v>
      </c>
      <c r="AH2772">
        <v>10.472432478815</v>
      </c>
      <c r="AI2772">
        <v>95.969957248407695</v>
      </c>
      <c r="AJ2772">
        <v>99.610622882554694</v>
      </c>
      <c r="AK2772">
        <v>10.679423353701999</v>
      </c>
      <c r="AL2772">
        <v>68.964881923508102</v>
      </c>
      <c r="AM2772">
        <v>96.871681167564503</v>
      </c>
      <c r="AN2772">
        <v>1.00000000566091</v>
      </c>
    </row>
    <row r="2773" spans="1:40" x14ac:dyDescent="0.25">
      <c r="A2773" t="str">
        <f>"20190304164656698"</f>
        <v>20190304164656698</v>
      </c>
      <c r="B2773" t="str">
        <f>"1551689216690946"</f>
        <v>1551689216690946</v>
      </c>
      <c r="C2773" t="s">
        <v>40</v>
      </c>
      <c r="D2773">
        <v>4.4278550000000001</v>
      </c>
      <c r="E2773">
        <v>0.48814439999999998</v>
      </c>
      <c r="F2773" t="s">
        <v>49</v>
      </c>
      <c r="G2773">
        <v>-353.58429999999998</v>
      </c>
      <c r="H2773" s="1">
        <v>3.3031419999999999E-7</v>
      </c>
      <c r="I2773">
        <v>215.5378</v>
      </c>
      <c r="J2773">
        <v>-363.99520000000001</v>
      </c>
      <c r="K2773">
        <v>1.110738</v>
      </c>
      <c r="L2773">
        <v>213.60220000000001</v>
      </c>
      <c r="M2773">
        <v>0.99977309999999997</v>
      </c>
      <c r="N2773">
        <v>-1.4930850000000001E-2</v>
      </c>
      <c r="O2773">
        <v>1.519122E-2</v>
      </c>
      <c r="P2773">
        <v>0.93009439999999999</v>
      </c>
      <c r="Q2773">
        <v>0.34506779999999998</v>
      </c>
      <c r="R2773">
        <v>0.1259083</v>
      </c>
      <c r="S2773">
        <v>3.270508</v>
      </c>
      <c r="T2773">
        <v>-0.33591589999999999</v>
      </c>
      <c r="U2773">
        <v>0.58718870000000001</v>
      </c>
      <c r="V2773">
        <v>-0.11166520000000001</v>
      </c>
      <c r="W2773">
        <v>0.3589734</v>
      </c>
      <c r="X2773">
        <v>0.92664389999999996</v>
      </c>
      <c r="Y2773">
        <v>-0.160855</v>
      </c>
      <c r="Z2773">
        <v>8.0694310000000002E-3</v>
      </c>
      <c r="AA2773">
        <v>0.98694499999999996</v>
      </c>
      <c r="AB2773">
        <v>38</v>
      </c>
      <c r="AC2773">
        <v>10.4109</v>
      </c>
      <c r="AD2773">
        <v>-1.1107376696858</v>
      </c>
      <c r="AE2773">
        <v>1.93559999999999</v>
      </c>
      <c r="AF2773">
        <v>-1.75786393708385</v>
      </c>
      <c r="AG2773">
        <v>-1.1107376696858</v>
      </c>
      <c r="AH2773">
        <v>10.325500337817401</v>
      </c>
      <c r="AI2773">
        <v>96.053391092638904</v>
      </c>
      <c r="AJ2773">
        <v>99.661683261276295</v>
      </c>
      <c r="AK2773">
        <v>10.532795498747101</v>
      </c>
      <c r="AL2773">
        <v>68.962836910003901</v>
      </c>
      <c r="AM2773">
        <v>96.871293922688295</v>
      </c>
      <c r="AN2773">
        <v>0.99999996810290404</v>
      </c>
    </row>
    <row r="2774" spans="1:40" x14ac:dyDescent="0.25">
      <c r="A2774" t="str">
        <f>"20190304164656721"</f>
        <v>20190304164656721</v>
      </c>
      <c r="B2774" t="str">
        <f>"1551689216711441"</f>
        <v>1551689216711441</v>
      </c>
      <c r="C2774" t="s">
        <v>40</v>
      </c>
      <c r="D2774">
        <v>4.5202479999999996</v>
      </c>
      <c r="E2774">
        <v>0.48804609999999898</v>
      </c>
      <c r="F2774" t="s">
        <v>49</v>
      </c>
      <c r="G2774">
        <v>-353.20699999999999</v>
      </c>
      <c r="H2774" s="1">
        <v>1.291613E-7</v>
      </c>
      <c r="I2774">
        <v>215.54650000000001</v>
      </c>
      <c r="J2774">
        <v>-363.6157</v>
      </c>
      <c r="K2774">
        <v>1.1107389999999999</v>
      </c>
      <c r="L2774">
        <v>213.6079</v>
      </c>
      <c r="M2774">
        <v>0.99977459999999996</v>
      </c>
      <c r="N2774">
        <v>-1.4926679999999999E-2</v>
      </c>
      <c r="O2774">
        <v>1.5098749999999999E-2</v>
      </c>
      <c r="P2774">
        <v>0.9301547</v>
      </c>
      <c r="Q2774">
        <v>0.34502179999999999</v>
      </c>
      <c r="R2774">
        <v>0.1255879</v>
      </c>
      <c r="S2774">
        <v>3.2706300000000001</v>
      </c>
      <c r="T2774">
        <v>-0.33673940000000002</v>
      </c>
      <c r="U2774">
        <v>0.58943179999999995</v>
      </c>
      <c r="V2774">
        <v>-0.11143019999999999</v>
      </c>
      <c r="W2774">
        <v>0.35892449999999998</v>
      </c>
      <c r="X2774">
        <v>0.92669120000000005</v>
      </c>
      <c r="Y2774">
        <v>-0.16158710000000001</v>
      </c>
      <c r="Z2774">
        <v>8.1354930000000006E-3</v>
      </c>
      <c r="AA2774">
        <v>0.9868249</v>
      </c>
      <c r="AB2774">
        <v>38</v>
      </c>
      <c r="AC2774">
        <v>10.4087</v>
      </c>
      <c r="AD2774">
        <v>-1.1107388708386901</v>
      </c>
      <c r="AE2774">
        <v>1.9386000000000001</v>
      </c>
      <c r="AF2774">
        <v>-1.7618129454657301</v>
      </c>
      <c r="AG2774">
        <v>-1.1107388708386901</v>
      </c>
      <c r="AH2774">
        <v>10.3231722047187</v>
      </c>
      <c r="AI2774">
        <v>96.054333628835096</v>
      </c>
      <c r="AJ2774">
        <v>99.6851199760508</v>
      </c>
      <c r="AK2774">
        <v>10.5311732519354</v>
      </c>
      <c r="AL2774">
        <v>68.965840156474002</v>
      </c>
      <c r="AM2774">
        <v>96.856624411822594</v>
      </c>
      <c r="AN2774">
        <v>1.00000003316486</v>
      </c>
    </row>
    <row r="2775" spans="1:40" x14ac:dyDescent="0.25">
      <c r="A2775" t="str">
        <f>"20190304164656746"</f>
        <v>20190304164656746</v>
      </c>
      <c r="B2775" t="str">
        <f>"1551689216741696"</f>
        <v>1551689216741696</v>
      </c>
      <c r="C2775" t="s">
        <v>40</v>
      </c>
      <c r="D2775">
        <v>4.7019570000000002</v>
      </c>
      <c r="E2775">
        <v>0.52719380000000005</v>
      </c>
      <c r="F2775" t="s">
        <v>49</v>
      </c>
      <c r="G2775">
        <v>-352.85930000000002</v>
      </c>
      <c r="H2775" s="1">
        <v>-5.5836459999999999E-8</v>
      </c>
      <c r="I2775">
        <v>215.54589999999999</v>
      </c>
      <c r="J2775">
        <v>-363.19959999999998</v>
      </c>
      <c r="K2775">
        <v>1.1107359999999999</v>
      </c>
      <c r="L2775">
        <v>213.61410000000001</v>
      </c>
      <c r="M2775">
        <v>0.9997762</v>
      </c>
      <c r="N2775">
        <v>-1.4922080000000001E-2</v>
      </c>
      <c r="O2775">
        <v>1.4997409999999999E-2</v>
      </c>
      <c r="P2775">
        <v>0.9300292</v>
      </c>
      <c r="Q2775">
        <v>0.34552690000000003</v>
      </c>
      <c r="R2775">
        <v>0.1251284</v>
      </c>
      <c r="S2775">
        <v>3.270966</v>
      </c>
      <c r="T2775">
        <v>-0.33777089999999999</v>
      </c>
      <c r="U2775">
        <v>0.58934019999999898</v>
      </c>
      <c r="V2775">
        <v>-0.1110676</v>
      </c>
      <c r="W2775">
        <v>0.35942289999999999</v>
      </c>
      <c r="X2775">
        <v>0.92654150000000002</v>
      </c>
      <c r="Y2775">
        <v>-0.16163720000000001</v>
      </c>
      <c r="Z2775">
        <v>8.1665809999999991E-3</v>
      </c>
      <c r="AA2775">
        <v>0.98681649999999999</v>
      </c>
      <c r="AB2775">
        <v>38</v>
      </c>
      <c r="AC2775">
        <v>10.3402999999999</v>
      </c>
      <c r="AD2775">
        <v>-1.1107360558364601</v>
      </c>
      <c r="AE2775">
        <v>1.93179999999998</v>
      </c>
      <c r="AF2775">
        <v>-1.7568991300098999</v>
      </c>
      <c r="AG2775">
        <v>-1.1107360558364601</v>
      </c>
      <c r="AH2775">
        <v>10.253787261232899</v>
      </c>
      <c r="AI2775">
        <v>96.094300192182601</v>
      </c>
      <c r="AJ2775">
        <v>99.7227312119944</v>
      </c>
      <c r="AK2775">
        <v>10.4623411499237</v>
      </c>
      <c r="AL2775">
        <v>68.935241250424397</v>
      </c>
      <c r="AM2775">
        <v>96.835617762018899</v>
      </c>
      <c r="AN2775">
        <v>0.99999999201820999</v>
      </c>
    </row>
    <row r="2776" spans="1:40" x14ac:dyDescent="0.25">
      <c r="A2776" t="str">
        <f>"20190304164656765"</f>
        <v>20190304164656765</v>
      </c>
      <c r="B2776" t="str">
        <f>"1551689216751456"</f>
        <v>1551689216751456</v>
      </c>
      <c r="C2776" t="s">
        <v>40</v>
      </c>
      <c r="D2776">
        <v>4.5492689999999998</v>
      </c>
      <c r="E2776">
        <v>0.53472569999999997</v>
      </c>
      <c r="F2776" t="s">
        <v>49</v>
      </c>
      <c r="G2776">
        <v>-353.18779999999998</v>
      </c>
      <c r="H2776" s="1">
        <v>1.6627209999999999E-7</v>
      </c>
      <c r="I2776">
        <v>214.4641</v>
      </c>
      <c r="J2776">
        <v>-362.88</v>
      </c>
      <c r="K2776">
        <v>1.110743</v>
      </c>
      <c r="L2776">
        <v>213.61879999999999</v>
      </c>
      <c r="M2776">
        <v>0.99977740000000004</v>
      </c>
      <c r="N2776">
        <v>-1.4918529999999999E-2</v>
      </c>
      <c r="O2776">
        <v>1.491965E-2</v>
      </c>
      <c r="P2776">
        <v>0.93022680000000002</v>
      </c>
      <c r="Q2776">
        <v>0.34508319999999998</v>
      </c>
      <c r="R2776">
        <v>0.12488349999999999</v>
      </c>
      <c r="S2776">
        <v>3.3247990000000001</v>
      </c>
      <c r="T2776">
        <v>-0.36886390000000002</v>
      </c>
      <c r="U2776">
        <v>0.28228760000000003</v>
      </c>
      <c r="V2776">
        <v>-0.1108917</v>
      </c>
      <c r="W2776">
        <v>0.358979299999999</v>
      </c>
      <c r="X2776">
        <v>0.92673459999999996</v>
      </c>
      <c r="Y2776">
        <v>-6.9310549999999999E-2</v>
      </c>
      <c r="Z2776">
        <v>2.9206549999999999E-3</v>
      </c>
      <c r="AA2776">
        <v>0.9975908</v>
      </c>
      <c r="AB2776">
        <v>38</v>
      </c>
      <c r="AC2776">
        <v>9.6922000000000104</v>
      </c>
      <c r="AD2776">
        <v>-1.1107428337278999</v>
      </c>
      <c r="AE2776">
        <v>0.84530000000000804</v>
      </c>
      <c r="AF2776">
        <v>-0.69157134307969204</v>
      </c>
      <c r="AG2776">
        <v>-1.1107428337278999</v>
      </c>
      <c r="AH2776">
        <v>9.5788789185057706</v>
      </c>
      <c r="AI2776">
        <v>96.597315154289404</v>
      </c>
      <c r="AJ2776">
        <v>94.129448484518804</v>
      </c>
      <c r="AK2776">
        <v>9.6678302581624393</v>
      </c>
      <c r="AL2776">
        <v>68.962476812952403</v>
      </c>
      <c r="AM2776">
        <v>96.823485581904706</v>
      </c>
      <c r="AN2776">
        <v>1.0000000628972601</v>
      </c>
    </row>
    <row r="2777" spans="1:40" x14ac:dyDescent="0.25">
      <c r="A2777" t="str">
        <f>"20190304164656786"</f>
        <v>20190304164656786</v>
      </c>
      <c r="B2777" t="str">
        <f>"1551689216781713"</f>
        <v>1551689216781713</v>
      </c>
      <c r="C2777" t="s">
        <v>40</v>
      </c>
      <c r="D2777">
        <v>4.5905509999999996</v>
      </c>
      <c r="E2777">
        <v>0.54458809999999902</v>
      </c>
      <c r="F2777" t="s">
        <v>49</v>
      </c>
      <c r="G2777">
        <v>-352.23700000000002</v>
      </c>
      <c r="H2777" s="1">
        <v>-3.3342269999999998E-7</v>
      </c>
      <c r="I2777">
        <v>214.3203</v>
      </c>
      <c r="J2777">
        <v>-362.52379999999999</v>
      </c>
      <c r="K2777">
        <v>1.110741</v>
      </c>
      <c r="L2777">
        <v>213.624</v>
      </c>
      <c r="M2777">
        <v>0.99977890000000003</v>
      </c>
      <c r="N2777">
        <v>-1.491459E-2</v>
      </c>
      <c r="O2777">
        <v>1.483285E-2</v>
      </c>
      <c r="P2777">
        <v>0.93014229999999998</v>
      </c>
      <c r="Q2777">
        <v>0.34556569999999998</v>
      </c>
      <c r="R2777">
        <v>0.1241771</v>
      </c>
      <c r="S2777">
        <v>3.324341</v>
      </c>
      <c r="T2777">
        <v>-0.34693980000000002</v>
      </c>
      <c r="U2777">
        <v>0.21910099999999999</v>
      </c>
      <c r="V2777">
        <v>-0.1102677</v>
      </c>
      <c r="W2777">
        <v>0.35945589999999999</v>
      </c>
      <c r="X2777">
        <v>0.92662420000000001</v>
      </c>
      <c r="Y2777">
        <v>-5.0701030000000001E-2</v>
      </c>
      <c r="Z2777">
        <v>1.6939520000000001E-3</v>
      </c>
      <c r="AA2777">
        <v>0.99871239999999994</v>
      </c>
      <c r="AB2777">
        <v>38</v>
      </c>
      <c r="AC2777">
        <v>10.286799999999999</v>
      </c>
      <c r="AD2777">
        <v>-1.1107413334227001</v>
      </c>
      <c r="AE2777">
        <v>0.69629999999997905</v>
      </c>
      <c r="AF2777">
        <v>-0.53738699331897499</v>
      </c>
      <c r="AG2777">
        <v>-1.1107413334227001</v>
      </c>
      <c r="AH2777">
        <v>10.1778736302764</v>
      </c>
      <c r="AI2777">
        <v>96.219613846536603</v>
      </c>
      <c r="AJ2777">
        <v>93.022383999851897</v>
      </c>
      <c r="AK2777">
        <v>10.2523969258042</v>
      </c>
      <c r="AL2777">
        <v>68.933214345689507</v>
      </c>
      <c r="AM2777">
        <v>96.7862489659082</v>
      </c>
      <c r="AN2777">
        <v>0.99999995886686899</v>
      </c>
    </row>
    <row r="2778" spans="1:40" x14ac:dyDescent="0.25">
      <c r="A2778" t="str">
        <f>"20190304164656809"</f>
        <v>20190304164656809</v>
      </c>
      <c r="B2778" t="str">
        <f>"1551689216801233"</f>
        <v>1551689216801233</v>
      </c>
      <c r="C2778" t="s">
        <v>40</v>
      </c>
      <c r="D2778">
        <v>4.6093440000000001</v>
      </c>
      <c r="E2778">
        <v>0.54753830000000003</v>
      </c>
      <c r="F2778" t="s">
        <v>41</v>
      </c>
      <c r="G2778">
        <v>-361.65690000000001</v>
      </c>
      <c r="H2778">
        <v>1.0219819999999999</v>
      </c>
      <c r="I2778">
        <v>213.6602</v>
      </c>
      <c r="J2778">
        <v>-362.13010000000003</v>
      </c>
      <c r="K2778">
        <v>1.1107479999999901</v>
      </c>
      <c r="L2778">
        <v>213.62979999999999</v>
      </c>
      <c r="M2778">
        <v>0.99978020000000001</v>
      </c>
      <c r="N2778">
        <v>-1.491024E-2</v>
      </c>
      <c r="O2778">
        <v>1.473782E-2</v>
      </c>
      <c r="P2778">
        <v>0.93022020000000005</v>
      </c>
      <c r="Q2778">
        <v>0.3457924</v>
      </c>
      <c r="R2778">
        <v>0.1229562</v>
      </c>
      <c r="S2778">
        <v>3.3334350000000001</v>
      </c>
      <c r="T2778">
        <v>-0.34136470000000002</v>
      </c>
      <c r="U2778">
        <v>0.14004520000000001</v>
      </c>
      <c r="V2778">
        <v>-0.1091348</v>
      </c>
      <c r="W2778">
        <v>0.35967870000000002</v>
      </c>
      <c r="X2778">
        <v>0.92667189999999999</v>
      </c>
      <c r="Y2778">
        <v>-2.7137930000000001E-2</v>
      </c>
      <c r="Z2778">
        <v>3.0303799999999999E-4</v>
      </c>
      <c r="AA2778">
        <v>0.99963159999999895</v>
      </c>
      <c r="AB2778">
        <v>38</v>
      </c>
      <c r="AC2778">
        <v>0.47320000000001899</v>
      </c>
      <c r="AD2778">
        <v>-8.8765999999999901E-2</v>
      </c>
      <c r="AE2778">
        <v>3.0400000000014402E-2</v>
      </c>
      <c r="AF2778">
        <v>-2.2628973391597001E-2</v>
      </c>
      <c r="AG2778">
        <v>-8.8765999999999901E-2</v>
      </c>
      <c r="AH2778">
        <v>0.45756182609996399</v>
      </c>
      <c r="AI2778">
        <v>100.965805039427</v>
      </c>
      <c r="AJ2778">
        <v>92.831287691975604</v>
      </c>
      <c r="AK2778">
        <v>0.46664150897309897</v>
      </c>
      <c r="AL2778">
        <v>68.919534594859698</v>
      </c>
      <c r="AM2778">
        <v>96.716824215195103</v>
      </c>
      <c r="AN2778">
        <v>0.99999999102716997</v>
      </c>
    </row>
    <row r="2779" spans="1:40" x14ac:dyDescent="0.25">
      <c r="A2779" t="str">
        <f>"20190304164656832"</f>
        <v>20190304164656832</v>
      </c>
      <c r="B2779" t="str">
        <f>"1551689216821729"</f>
        <v>1551689216821729</v>
      </c>
      <c r="C2779" t="s">
        <v>40</v>
      </c>
      <c r="D2779">
        <v>4.5948209999999996</v>
      </c>
      <c r="E2779">
        <v>0.54923769999999905</v>
      </c>
      <c r="F2779" t="s">
        <v>41</v>
      </c>
      <c r="G2779">
        <v>-361.31900000000002</v>
      </c>
      <c r="H2779">
        <v>1.025185</v>
      </c>
      <c r="I2779">
        <v>213.65719999999999</v>
      </c>
      <c r="J2779">
        <v>-361.74689999999998</v>
      </c>
      <c r="K2779">
        <v>1.110751</v>
      </c>
      <c r="L2779">
        <v>213.6353</v>
      </c>
      <c r="M2779">
        <v>0.9997817</v>
      </c>
      <c r="N2779">
        <v>-1.4905969999999999E-2</v>
      </c>
      <c r="O2779">
        <v>1.464734E-2</v>
      </c>
      <c r="P2779">
        <v>0.93028759999999999</v>
      </c>
      <c r="Q2779">
        <v>0.3457905</v>
      </c>
      <c r="R2779">
        <v>0.122451</v>
      </c>
      <c r="S2779">
        <v>3.340973</v>
      </c>
      <c r="T2779">
        <v>-0.35266330000000001</v>
      </c>
      <c r="U2779">
        <v>0.1146393</v>
      </c>
      <c r="V2779">
        <v>-0.1087139</v>
      </c>
      <c r="W2779">
        <v>0.35967339999999998</v>
      </c>
      <c r="X2779">
        <v>0.92672339999999997</v>
      </c>
      <c r="Y2779">
        <v>-1.958474E-2</v>
      </c>
      <c r="Z2779">
        <v>-1.4651120000000001E-4</v>
      </c>
      <c r="AA2779">
        <v>0.99980820000000004</v>
      </c>
      <c r="AB2779">
        <v>38</v>
      </c>
      <c r="AC2779">
        <v>0.42789999999996498</v>
      </c>
      <c r="AD2779">
        <v>-8.5566000000000003E-2</v>
      </c>
      <c r="AE2779">
        <v>2.1899999999987999E-2</v>
      </c>
      <c r="AF2779">
        <v>-1.50299272087367E-2</v>
      </c>
      <c r="AG2779">
        <v>-8.5566000000000003E-2</v>
      </c>
      <c r="AH2779">
        <v>0.411753174403581</v>
      </c>
      <c r="AI2779">
        <v>101.731894941655</v>
      </c>
      <c r="AJ2779">
        <v>92.090498103714907</v>
      </c>
      <c r="AK2779">
        <v>0.42081838802424698</v>
      </c>
      <c r="AL2779">
        <v>68.919859432482099</v>
      </c>
      <c r="AM2779">
        <v>96.690786316062301</v>
      </c>
      <c r="AN2779">
        <v>0.99999996341416397</v>
      </c>
    </row>
    <row r="2780" spans="1:40" x14ac:dyDescent="0.25">
      <c r="A2780" t="str">
        <f>"20190304164656852"</f>
        <v>20190304164656852</v>
      </c>
      <c r="B2780" t="str">
        <f>"1551689216841249"</f>
        <v>1551689216841249</v>
      </c>
      <c r="C2780" t="s">
        <v>40</v>
      </c>
      <c r="D2780">
        <v>4.6051199999999897</v>
      </c>
      <c r="E2780">
        <v>0.55032169999999903</v>
      </c>
      <c r="F2780" t="s">
        <v>41</v>
      </c>
      <c r="G2780">
        <v>-360.98039999999997</v>
      </c>
      <c r="H2780">
        <v>1.028705</v>
      </c>
      <c r="I2780">
        <v>213.65799999999999</v>
      </c>
      <c r="J2780">
        <v>-361.39769999999999</v>
      </c>
      <c r="K2780">
        <v>1.1107549999999999</v>
      </c>
      <c r="L2780">
        <v>213.6404</v>
      </c>
      <c r="M2780">
        <v>0.99978290000000003</v>
      </c>
      <c r="N2780">
        <v>-1.490206E-2</v>
      </c>
      <c r="O2780">
        <v>1.4566580000000001E-2</v>
      </c>
      <c r="P2780">
        <v>0.93006460000000002</v>
      </c>
      <c r="Q2780">
        <v>0.3464139</v>
      </c>
      <c r="R2780">
        <v>0.12238250000000001</v>
      </c>
      <c r="S2780">
        <v>3.344757</v>
      </c>
      <c r="T2780">
        <v>-0.35821449999999999</v>
      </c>
      <c r="U2780">
        <v>0.10031130000000001</v>
      </c>
      <c r="V2780">
        <v>-0.10872469999999999</v>
      </c>
      <c r="W2780">
        <v>0.36028909999999997</v>
      </c>
      <c r="X2780">
        <v>0.92648299999999995</v>
      </c>
      <c r="Y2780">
        <v>-1.537382E-2</v>
      </c>
      <c r="Z2780">
        <v>-4.0292779999999997E-4</v>
      </c>
      <c r="AA2780">
        <v>0.99988169999999998</v>
      </c>
      <c r="AB2780">
        <v>38</v>
      </c>
      <c r="AC2780">
        <v>0.417300000000011</v>
      </c>
      <c r="AD2780">
        <v>-8.2049999999999901E-2</v>
      </c>
      <c r="AE2780">
        <v>1.75999999999874E-2</v>
      </c>
      <c r="AF2780">
        <v>-1.1090815525002099E-2</v>
      </c>
      <c r="AG2780">
        <v>-8.2049999999999901E-2</v>
      </c>
      <c r="AH2780">
        <v>0.40199850111872298</v>
      </c>
      <c r="AI2780">
        <v>101.531648794056</v>
      </c>
      <c r="AJ2780">
        <v>91.580343617804402</v>
      </c>
      <c r="AK2780">
        <v>0.41043635754000901</v>
      </c>
      <c r="AL2780">
        <v>68.882048798808299</v>
      </c>
      <c r="AM2780">
        <v>96.693165491670797</v>
      </c>
      <c r="AN2780">
        <v>1.0000000226289401</v>
      </c>
    </row>
    <row r="2781" spans="1:40" x14ac:dyDescent="0.25">
      <c r="A2781" t="str">
        <f>"20190304164656876"</f>
        <v>20190304164656876</v>
      </c>
      <c r="B2781" t="str">
        <f>"1551689216871504"</f>
        <v>1551689216871504</v>
      </c>
      <c r="C2781" t="s">
        <v>40</v>
      </c>
      <c r="D2781">
        <v>4.6057090000000001</v>
      </c>
      <c r="E2781">
        <v>0.55125959999999996</v>
      </c>
      <c r="F2781" t="s">
        <v>41</v>
      </c>
      <c r="G2781">
        <v>-360.64429999999999</v>
      </c>
      <c r="H2781">
        <v>1.029382</v>
      </c>
      <c r="I2781">
        <v>213.66069999999999</v>
      </c>
      <c r="J2781">
        <v>-361.01339999999999</v>
      </c>
      <c r="K2781">
        <v>1.1107560000000001</v>
      </c>
      <c r="L2781">
        <v>213.64590000000001</v>
      </c>
      <c r="M2781">
        <v>0.99978420000000001</v>
      </c>
      <c r="N2781">
        <v>-1.489791E-2</v>
      </c>
      <c r="O2781">
        <v>1.4478309999999999E-2</v>
      </c>
      <c r="P2781">
        <v>0.93029669999999998</v>
      </c>
      <c r="Q2781">
        <v>0.34592640000000002</v>
      </c>
      <c r="R2781">
        <v>0.1219961</v>
      </c>
      <c r="S2781">
        <v>3.3482970000000001</v>
      </c>
      <c r="T2781">
        <v>-0.36184179999999999</v>
      </c>
      <c r="U2781">
        <v>9.1720579999999996E-2</v>
      </c>
      <c r="V2781">
        <v>-0.10841919999999999</v>
      </c>
      <c r="W2781">
        <v>0.35980069999999997</v>
      </c>
      <c r="X2781">
        <v>0.92670859999999999</v>
      </c>
      <c r="Y2781">
        <v>-1.288282E-2</v>
      </c>
      <c r="Z2781">
        <v>-5.5427779999999999E-4</v>
      </c>
      <c r="AA2781">
        <v>0.9999169</v>
      </c>
      <c r="AB2781">
        <v>38</v>
      </c>
      <c r="AC2781">
        <v>0.36910000000000298</v>
      </c>
      <c r="AD2781">
        <v>-8.1373999999999794E-2</v>
      </c>
      <c r="AE2781">
        <v>1.4799999999979699E-2</v>
      </c>
      <c r="AF2781">
        <v>-9.0163714926780394E-3</v>
      </c>
      <c r="AG2781">
        <v>-8.1373999999999794E-2</v>
      </c>
      <c r="AH2781">
        <v>0.35218504071658702</v>
      </c>
      <c r="AI2781">
        <v>103.006027057461</v>
      </c>
      <c r="AJ2781">
        <v>91.466522293194103</v>
      </c>
      <c r="AK2781">
        <v>0.361576168649758</v>
      </c>
      <c r="AL2781">
        <v>68.912044223733602</v>
      </c>
      <c r="AM2781">
        <v>96.672918419015105</v>
      </c>
      <c r="AN2781">
        <v>1.0000000479815401</v>
      </c>
    </row>
    <row r="2782" spans="1:40" x14ac:dyDescent="0.25">
      <c r="A2782" t="str">
        <f>"20190304164656900"</f>
        <v>20190304164656900</v>
      </c>
      <c r="B2782" t="str">
        <f>"1551689216891025"</f>
        <v>1551689216891025</v>
      </c>
      <c r="C2782" t="s">
        <v>40</v>
      </c>
      <c r="D2782">
        <v>4.55307</v>
      </c>
      <c r="E2782">
        <v>0.55031219999999903</v>
      </c>
      <c r="F2782" t="s">
        <v>41</v>
      </c>
      <c r="G2782">
        <v>-359.9898</v>
      </c>
      <c r="H2782">
        <v>0.99952050000000003</v>
      </c>
      <c r="I2782">
        <v>213.67150000000001</v>
      </c>
      <c r="J2782">
        <v>-360.60559999999998</v>
      </c>
      <c r="K2782">
        <v>1.110754</v>
      </c>
      <c r="L2782">
        <v>213.65170000000001</v>
      </c>
      <c r="M2782">
        <v>0.9997857</v>
      </c>
      <c r="N2782">
        <v>-1.489356E-2</v>
      </c>
      <c r="O2782">
        <v>1.438628E-2</v>
      </c>
      <c r="P2782">
        <v>0.93032599999999999</v>
      </c>
      <c r="Q2782">
        <v>0.34602640000000001</v>
      </c>
      <c r="R2782">
        <v>0.1214884</v>
      </c>
      <c r="S2782">
        <v>3.349091</v>
      </c>
      <c r="T2782">
        <v>-0.36410589999999998</v>
      </c>
      <c r="U2782">
        <v>8.4823609999999994E-2</v>
      </c>
      <c r="V2782">
        <v>-0.1079978</v>
      </c>
      <c r="W2782">
        <v>0.359896299999999</v>
      </c>
      <c r="X2782">
        <v>0.92672060000000001</v>
      </c>
      <c r="Y2782">
        <v>-1.0923240000000001E-2</v>
      </c>
      <c r="Z2782">
        <v>-6.7180919999999995E-4</v>
      </c>
      <c r="AA2782">
        <v>0.9999401</v>
      </c>
      <c r="AB2782">
        <v>38</v>
      </c>
      <c r="AC2782">
        <v>0.61579999999997803</v>
      </c>
      <c r="AD2782">
        <v>-0.1112335</v>
      </c>
      <c r="AE2782">
        <v>1.9800000000003599E-2</v>
      </c>
      <c r="AF2782">
        <v>-1.05926368492236E-2</v>
      </c>
      <c r="AG2782">
        <v>-0.1112335</v>
      </c>
      <c r="AH2782">
        <v>0.59657609413759205</v>
      </c>
      <c r="AI2782">
        <v>100.560074990323</v>
      </c>
      <c r="AJ2782">
        <v>91.017220810185407</v>
      </c>
      <c r="AK2782">
        <v>0.60694985919277999</v>
      </c>
      <c r="AL2782">
        <v>68.906171768965706</v>
      </c>
      <c r="AM2782">
        <v>96.647129594324596</v>
      </c>
      <c r="AN2782">
        <v>0.999999971011444</v>
      </c>
    </row>
    <row r="2783" spans="1:40" x14ac:dyDescent="0.25">
      <c r="A2783" t="str">
        <f>"20190304164656922"</f>
        <v>20190304164656922</v>
      </c>
      <c r="B2783" t="str">
        <f>"1551689216911521"</f>
        <v>1551689216911521</v>
      </c>
      <c r="C2783" t="s">
        <v>40</v>
      </c>
      <c r="D2783">
        <v>4.5391389999999996</v>
      </c>
      <c r="E2783">
        <v>0.54923420000000001</v>
      </c>
      <c r="F2783" t="s">
        <v>41</v>
      </c>
      <c r="G2783">
        <v>-359.65109999999999</v>
      </c>
      <c r="H2783">
        <v>1.007428</v>
      </c>
      <c r="I2783">
        <v>213.67769999999999</v>
      </c>
      <c r="J2783">
        <v>-360.23469999999998</v>
      </c>
      <c r="K2783">
        <v>1.1107590000000001</v>
      </c>
      <c r="L2783">
        <v>213.65690000000001</v>
      </c>
      <c r="M2783">
        <v>0.99978699999999998</v>
      </c>
      <c r="N2783">
        <v>-1.4889329999999999E-2</v>
      </c>
      <c r="O2783">
        <v>1.430384E-2</v>
      </c>
      <c r="P2783">
        <v>0.9304405</v>
      </c>
      <c r="Q2783">
        <v>0.3457518</v>
      </c>
      <c r="R2783">
        <v>0.12139369999999999</v>
      </c>
      <c r="S2783">
        <v>3.3475649999999999</v>
      </c>
      <c r="T2783">
        <v>-0.36248229999999998</v>
      </c>
      <c r="U2783">
        <v>9.1705320000000007E-2</v>
      </c>
      <c r="V2783">
        <v>-0.1079792</v>
      </c>
      <c r="W2783">
        <v>0.35961920000000003</v>
      </c>
      <c r="X2783">
        <v>0.92683040000000005</v>
      </c>
      <c r="Y2783">
        <v>-1.305683E-2</v>
      </c>
      <c r="Z2783">
        <v>-5.2924009999999997E-4</v>
      </c>
      <c r="AA2783">
        <v>0.99991459999999999</v>
      </c>
      <c r="AB2783">
        <v>37</v>
      </c>
      <c r="AC2783">
        <v>0.58359999999998902</v>
      </c>
      <c r="AD2783">
        <v>-0.10333100000000001</v>
      </c>
      <c r="AE2783">
        <v>2.0799999999979901E-2</v>
      </c>
      <c r="AF2783">
        <v>-1.2071277997879101E-2</v>
      </c>
      <c r="AG2783">
        <v>-0.10333100000000001</v>
      </c>
      <c r="AH2783">
        <v>0.56611298729204595</v>
      </c>
      <c r="AI2783">
        <v>100.34186346138399</v>
      </c>
      <c r="AJ2783">
        <v>91.221537933460596</v>
      </c>
      <c r="AK2783">
        <v>0.57559267341951703</v>
      </c>
      <c r="AL2783">
        <v>68.923189100374898</v>
      </c>
      <c r="AM2783">
        <v>96.645214732048203</v>
      </c>
      <c r="AN2783">
        <v>1.0000000335027099</v>
      </c>
    </row>
    <row r="2784" spans="1:40" x14ac:dyDescent="0.25">
      <c r="A2784" t="str">
        <f>"20190304164656945"</f>
        <v>20190304164656945</v>
      </c>
      <c r="B2784" t="str">
        <f>"1551689216941776"</f>
        <v>1551689216941776</v>
      </c>
      <c r="C2784" t="s">
        <v>40</v>
      </c>
      <c r="D2784">
        <v>4.6092930000000001</v>
      </c>
      <c r="E2784">
        <v>0.54808650000000003</v>
      </c>
      <c r="F2784" t="s">
        <v>41</v>
      </c>
      <c r="G2784">
        <v>-359.31459999999998</v>
      </c>
      <c r="H2784">
        <v>1.011754</v>
      </c>
      <c r="I2784">
        <v>213.68379999999999</v>
      </c>
      <c r="J2784">
        <v>-359.85680000000002</v>
      </c>
      <c r="K2784">
        <v>1.1107590000000001</v>
      </c>
      <c r="L2784">
        <v>213.66220000000001</v>
      </c>
      <c r="M2784">
        <v>0.99978800000000001</v>
      </c>
      <c r="N2784">
        <v>-1.488482E-2</v>
      </c>
      <c r="O2784">
        <v>1.4220679999999999E-2</v>
      </c>
      <c r="P2784">
        <v>0.93053419999999998</v>
      </c>
      <c r="Q2784">
        <v>0.34562379999999998</v>
      </c>
      <c r="R2784">
        <v>0.12103899999999999</v>
      </c>
      <c r="S2784">
        <v>3.3450929999999999</v>
      </c>
      <c r="T2784">
        <v>-0.36011870000000001</v>
      </c>
      <c r="U2784">
        <v>9.944153E-2</v>
      </c>
      <c r="V2784">
        <v>-0.1077009</v>
      </c>
      <c r="W2784">
        <v>0.35948790000000003</v>
      </c>
      <c r="X2784">
        <v>0.92691369999999895</v>
      </c>
      <c r="Y2784">
        <v>-1.545479E-2</v>
      </c>
      <c r="Z2784">
        <v>-3.7019579999999998E-4</v>
      </c>
      <c r="AA2784">
        <v>0.99988049999999995</v>
      </c>
      <c r="AB2784">
        <v>37</v>
      </c>
      <c r="AC2784">
        <v>0.54220000000003599</v>
      </c>
      <c r="AD2784">
        <v>-9.9004999999999996E-2</v>
      </c>
      <c r="AE2784">
        <v>2.1599999999978001E-2</v>
      </c>
      <c r="AF2784">
        <v>-1.34391266537241E-2</v>
      </c>
      <c r="AG2784">
        <v>-9.9004999999999996E-2</v>
      </c>
      <c r="AH2784">
        <v>0.52497619655009897</v>
      </c>
      <c r="AI2784">
        <v>100.676529893615</v>
      </c>
      <c r="AJ2784">
        <v>91.466422868623496</v>
      </c>
      <c r="AK2784">
        <v>0.53439929555943699</v>
      </c>
      <c r="AL2784">
        <v>68.931250909696601</v>
      </c>
      <c r="AM2784">
        <v>96.627649923877598</v>
      </c>
      <c r="AN2784">
        <v>1.00000002067745</v>
      </c>
    </row>
    <row r="2785" spans="1:40" x14ac:dyDescent="0.25">
      <c r="A2785" t="str">
        <f>"20190304164656966"</f>
        <v>20190304164656966</v>
      </c>
      <c r="B2785" t="str">
        <f>"1551689216961297"</f>
        <v>1551689216961297</v>
      </c>
      <c r="C2785" t="s">
        <v>40</v>
      </c>
      <c r="D2785">
        <v>4.494599</v>
      </c>
      <c r="E2785">
        <v>0.54748560000000002</v>
      </c>
      <c r="F2785" t="s">
        <v>41</v>
      </c>
      <c r="G2785">
        <v>-358.97789999999998</v>
      </c>
      <c r="H2785">
        <v>1.017107</v>
      </c>
      <c r="I2785">
        <v>213.6902</v>
      </c>
      <c r="J2785">
        <v>-359.51190000000003</v>
      </c>
      <c r="K2785">
        <v>1.110762</v>
      </c>
      <c r="L2785">
        <v>213.6671</v>
      </c>
      <c r="M2785">
        <v>0.99978920000000004</v>
      </c>
      <c r="N2785">
        <v>-1.488071E-2</v>
      </c>
      <c r="O2785">
        <v>1.414461E-2</v>
      </c>
      <c r="P2785">
        <v>0.93062999999999996</v>
      </c>
      <c r="Q2785">
        <v>0.34564309999999998</v>
      </c>
      <c r="R2785">
        <v>0.1202444</v>
      </c>
      <c r="S2785">
        <v>3.3423769999999902</v>
      </c>
      <c r="T2785">
        <v>-0.35626530000000001</v>
      </c>
      <c r="U2785">
        <v>0.1068573</v>
      </c>
      <c r="V2785">
        <v>-0.10697660000000001</v>
      </c>
      <c r="W2785">
        <v>0.359504299999999</v>
      </c>
      <c r="X2785">
        <v>0.92699120000000002</v>
      </c>
      <c r="Y2785">
        <v>-1.7756620000000001E-2</v>
      </c>
      <c r="Z2785">
        <v>-2.1695960000000001E-4</v>
      </c>
      <c r="AA2785">
        <v>0.99984229999999996</v>
      </c>
      <c r="AB2785">
        <v>37</v>
      </c>
      <c r="AC2785">
        <v>0.53400000000004799</v>
      </c>
      <c r="AD2785">
        <v>-9.3655000000000002E-2</v>
      </c>
      <c r="AE2785">
        <v>2.3099999999999399E-2</v>
      </c>
      <c r="AF2785">
        <v>-1.50806240241904E-2</v>
      </c>
      <c r="AG2785">
        <v>-9.3655000000000002E-2</v>
      </c>
      <c r="AH2785">
        <v>0.51835866558191701</v>
      </c>
      <c r="AI2785">
        <v>100.237249040267</v>
      </c>
      <c r="AJ2785">
        <v>91.666437757874107</v>
      </c>
      <c r="AK2785">
        <v>0.52696716257260701</v>
      </c>
      <c r="AL2785">
        <v>68.930243698812902</v>
      </c>
      <c r="AM2785">
        <v>96.582925285282499</v>
      </c>
      <c r="AN2785">
        <v>1.0000000097717401</v>
      </c>
    </row>
    <row r="2786" spans="1:40" x14ac:dyDescent="0.25">
      <c r="A2786" t="str">
        <f>"20190304164656987"</f>
        <v>20190304164656987</v>
      </c>
      <c r="B2786" t="str">
        <f>"1551689216981792"</f>
        <v>1551689216981792</v>
      </c>
      <c r="C2786" t="s">
        <v>40</v>
      </c>
      <c r="D2786">
        <v>4.478364</v>
      </c>
      <c r="E2786">
        <v>0.54697059999999997</v>
      </c>
      <c r="F2786" t="s">
        <v>41</v>
      </c>
      <c r="G2786">
        <v>-358.64359999999999</v>
      </c>
      <c r="H2786">
        <v>1.0184899999999999</v>
      </c>
      <c r="I2786">
        <v>213.69499999999999</v>
      </c>
      <c r="J2786">
        <v>-359.14319999999998</v>
      </c>
      <c r="K2786">
        <v>1.110762</v>
      </c>
      <c r="L2786">
        <v>213.6722</v>
      </c>
      <c r="M2786">
        <v>0.99979050000000003</v>
      </c>
      <c r="N2786">
        <v>-1.487635E-2</v>
      </c>
      <c r="O2786">
        <v>1.406311E-2</v>
      </c>
      <c r="P2786">
        <v>0.93056110000000003</v>
      </c>
      <c r="Q2786">
        <v>0.3458657</v>
      </c>
      <c r="R2786">
        <v>0.12013790000000001</v>
      </c>
      <c r="S2786">
        <v>3.3414920000000001</v>
      </c>
      <c r="T2786">
        <v>-0.355274599999999</v>
      </c>
      <c r="U2786">
        <v>0.1087494</v>
      </c>
      <c r="V2786">
        <v>-0.1069471</v>
      </c>
      <c r="W2786">
        <v>0.35972150000000003</v>
      </c>
      <c r="X2786">
        <v>0.92691029999999996</v>
      </c>
      <c r="Y2786">
        <v>-1.8407819999999998E-2</v>
      </c>
      <c r="Z2786">
        <v>-1.688529E-4</v>
      </c>
      <c r="AA2786">
        <v>0.99983049999999996</v>
      </c>
      <c r="AB2786">
        <v>37</v>
      </c>
      <c r="AC2786">
        <v>0.499599999999986</v>
      </c>
      <c r="AD2786">
        <v>-9.2272000000000104E-2</v>
      </c>
      <c r="AE2786">
        <v>2.2799999999989402E-2</v>
      </c>
      <c r="AF2786">
        <v>-1.52518622412205E-2</v>
      </c>
      <c r="AG2786">
        <v>-9.2272000000000104E-2</v>
      </c>
      <c r="AH2786">
        <v>0.483415714984123</v>
      </c>
      <c r="AI2786">
        <v>100.801101322279</v>
      </c>
      <c r="AJ2786">
        <v>91.807093829459106</v>
      </c>
      <c r="AK2786">
        <v>0.49237942156373299</v>
      </c>
      <c r="AL2786">
        <v>68.916906006632999</v>
      </c>
      <c r="AM2786">
        <v>96.581695252459198</v>
      </c>
      <c r="AN2786">
        <v>0.99999997200337398</v>
      </c>
    </row>
    <row r="2787" spans="1:40" x14ac:dyDescent="0.25">
      <c r="A2787" t="str">
        <f>"20190304164657010"</f>
        <v>20190304164657010</v>
      </c>
      <c r="B2787" t="str">
        <f>"1551689217001313"</f>
        <v>1551689217001313</v>
      </c>
      <c r="C2787" t="s">
        <v>40</v>
      </c>
      <c r="D2787">
        <v>4.5076799999999997</v>
      </c>
      <c r="E2787">
        <v>0.54659760000000002</v>
      </c>
      <c r="F2787" t="s">
        <v>41</v>
      </c>
      <c r="G2787">
        <v>-358.30770000000001</v>
      </c>
      <c r="H2787">
        <v>1.022667</v>
      </c>
      <c r="I2787">
        <v>213.70009999999999</v>
      </c>
      <c r="J2787">
        <v>-358.77190000000002</v>
      </c>
      <c r="K2787">
        <v>1.1107670000000001</v>
      </c>
      <c r="L2787">
        <v>213.6773</v>
      </c>
      <c r="M2787">
        <v>0.9997916</v>
      </c>
      <c r="N2787">
        <v>-1.4872E-2</v>
      </c>
      <c r="O2787">
        <v>1.398079E-2</v>
      </c>
      <c r="P2787">
        <v>0.93037409999999998</v>
      </c>
      <c r="Q2787">
        <v>0.34634369999999998</v>
      </c>
      <c r="R2787">
        <v>0.12020749999999999</v>
      </c>
      <c r="S2787">
        <v>3.3403019999999999</v>
      </c>
      <c r="T2787">
        <v>-0.35230889999999998</v>
      </c>
      <c r="U2787">
        <v>0.11203</v>
      </c>
      <c r="V2787">
        <v>-0.10709639999999999</v>
      </c>
      <c r="W2787">
        <v>0.36019259999999997</v>
      </c>
      <c r="X2787">
        <v>0.92671009999999998</v>
      </c>
      <c r="Y2787">
        <v>-1.9476219999999999E-2</v>
      </c>
      <c r="Z2787" s="1">
        <v>-9.3270619999999996E-5</v>
      </c>
      <c r="AA2787">
        <v>0.99981030000000004</v>
      </c>
      <c r="AB2787">
        <v>37</v>
      </c>
      <c r="AC2787">
        <v>0.464200000000005</v>
      </c>
      <c r="AD2787">
        <v>-8.8099999999999998E-2</v>
      </c>
      <c r="AE2787">
        <v>2.2799999999989402E-2</v>
      </c>
      <c r="AF2787">
        <v>-1.57415277838312E-2</v>
      </c>
      <c r="AG2787">
        <v>-8.8099999999999998E-2</v>
      </c>
      <c r="AH2787">
        <v>0.44836235390079099</v>
      </c>
      <c r="AI2787">
        <v>101.109912268442</v>
      </c>
      <c r="AJ2787">
        <v>92.010768276128303</v>
      </c>
      <c r="AK2787">
        <v>0.45720696199033001</v>
      </c>
      <c r="AL2787">
        <v>68.887974811599506</v>
      </c>
      <c r="AM2787">
        <v>96.592213929706006</v>
      </c>
      <c r="AN2787">
        <v>0.99999997871486401</v>
      </c>
    </row>
    <row r="2788" spans="1:40" x14ac:dyDescent="0.25">
      <c r="A2788" t="str">
        <f>"20190304164657032"</f>
        <v>20190304164657032</v>
      </c>
      <c r="B2788" t="str">
        <f>"1551689217021809"</f>
        <v>1551689217021809</v>
      </c>
      <c r="C2788" t="s">
        <v>40</v>
      </c>
      <c r="D2788">
        <v>4.4970619999999997</v>
      </c>
      <c r="E2788">
        <v>0.54633189999999998</v>
      </c>
      <c r="F2788" t="s">
        <v>41</v>
      </c>
      <c r="G2788">
        <v>-357.97129999999999</v>
      </c>
      <c r="H2788">
        <v>1.02701</v>
      </c>
      <c r="I2788">
        <v>213.70410000000001</v>
      </c>
      <c r="J2788">
        <v>-358.40269999999998</v>
      </c>
      <c r="K2788">
        <v>1.1107739999999999</v>
      </c>
      <c r="L2788">
        <v>213.6824</v>
      </c>
      <c r="M2788">
        <v>0.99979289999999998</v>
      </c>
      <c r="N2788">
        <v>-1.486787E-2</v>
      </c>
      <c r="O2788">
        <v>1.3898819999999999E-2</v>
      </c>
      <c r="P2788">
        <v>0.93012799999999995</v>
      </c>
      <c r="Q2788">
        <v>0.34695199999999998</v>
      </c>
      <c r="R2788">
        <v>0.1203583</v>
      </c>
      <c r="S2788">
        <v>3.339966</v>
      </c>
      <c r="T2788">
        <v>-0.3497267</v>
      </c>
      <c r="U2788">
        <v>0.1140289</v>
      </c>
      <c r="V2788">
        <v>-0.1073278</v>
      </c>
      <c r="W2788">
        <v>0.36079349999999999</v>
      </c>
      <c r="X2788">
        <v>0.92644959999999998</v>
      </c>
      <c r="Y2788">
        <v>-2.0155389999999999E-2</v>
      </c>
      <c r="Z2788" s="1">
        <v>-4.229799E-5</v>
      </c>
      <c r="AA2788">
        <v>0.99979689999999999</v>
      </c>
      <c r="AB2788">
        <v>37</v>
      </c>
      <c r="AC2788">
        <v>0.43139999999999601</v>
      </c>
      <c r="AD2788">
        <v>-8.3763999999999894E-2</v>
      </c>
      <c r="AE2788">
        <v>2.1700000000009802E-2</v>
      </c>
      <c r="AF2788">
        <v>-1.51322274737868E-2</v>
      </c>
      <c r="AG2788">
        <v>-8.3763999999999894E-2</v>
      </c>
      <c r="AH2788">
        <v>0.41601529013284899</v>
      </c>
      <c r="AI2788">
        <v>101.37687024316401</v>
      </c>
      <c r="AJ2788">
        <v>92.083170296952801</v>
      </c>
      <c r="AK2788">
        <v>0.42463409381329398</v>
      </c>
      <c r="AL2788">
        <v>68.851065181806206</v>
      </c>
      <c r="AM2788">
        <v>96.608172904755904</v>
      </c>
      <c r="AN2788">
        <v>1.00000003381762</v>
      </c>
    </row>
    <row r="2789" spans="1:40" x14ac:dyDescent="0.25">
      <c r="A2789" t="str">
        <f>"20190304164657054"</f>
        <v>20190304164657054</v>
      </c>
      <c r="B2789" t="str">
        <f>"1551689217041329"</f>
        <v>1551689217041329</v>
      </c>
      <c r="C2789" t="s">
        <v>40</v>
      </c>
      <c r="D2789">
        <v>4.4729939999999999</v>
      </c>
      <c r="E2789">
        <v>0.54602090000000003</v>
      </c>
      <c r="F2789" t="s">
        <v>41</v>
      </c>
      <c r="G2789">
        <v>-357.63470000000001</v>
      </c>
      <c r="H2789">
        <v>1.0315970000000001</v>
      </c>
      <c r="I2789">
        <v>213.70920000000001</v>
      </c>
      <c r="J2789">
        <v>-358.03980000000001</v>
      </c>
      <c r="K2789">
        <v>1.1107819999999999</v>
      </c>
      <c r="L2789">
        <v>213.6874</v>
      </c>
      <c r="M2789">
        <v>0.99979419999999997</v>
      </c>
      <c r="N2789">
        <v>-1.486383E-2</v>
      </c>
      <c r="O2789">
        <v>1.381815E-2</v>
      </c>
      <c r="P2789">
        <v>0.9300484</v>
      </c>
      <c r="Q2789">
        <v>0.34735490000000002</v>
      </c>
      <c r="R2789">
        <v>0.1198116</v>
      </c>
      <c r="S2789">
        <v>3.3386840000000002</v>
      </c>
      <c r="T2789">
        <v>-0.34423530000000002</v>
      </c>
      <c r="U2789">
        <v>0.1168671</v>
      </c>
      <c r="V2789">
        <v>-0.1068569</v>
      </c>
      <c r="W2789">
        <v>0.36119059999999997</v>
      </c>
      <c r="X2789">
        <v>0.92634930000000004</v>
      </c>
      <c r="Y2789">
        <v>-2.109364E-2</v>
      </c>
      <c r="Z2789" s="1">
        <v>2.6011719999999998E-5</v>
      </c>
      <c r="AA2789">
        <v>0.99977749999999999</v>
      </c>
      <c r="AB2789">
        <v>37</v>
      </c>
      <c r="AC2789">
        <v>0.40510000000000401</v>
      </c>
      <c r="AD2789">
        <v>-7.9185000000000005E-2</v>
      </c>
      <c r="AE2789">
        <v>2.1800000000013101E-2</v>
      </c>
      <c r="AF2789">
        <v>-1.5605042597043201E-2</v>
      </c>
      <c r="AG2789">
        <v>-7.9185000000000005E-2</v>
      </c>
      <c r="AH2789">
        <v>0.39048574416609999</v>
      </c>
      <c r="AI2789">
        <v>101.45442949309199</v>
      </c>
      <c r="AJ2789">
        <v>92.288502389520502</v>
      </c>
      <c r="AK2789">
        <v>0.39873913524559901</v>
      </c>
      <c r="AL2789">
        <v>68.826667942977807</v>
      </c>
      <c r="AM2789">
        <v>96.580140490895104</v>
      </c>
      <c r="AN2789">
        <v>1.00000003610822</v>
      </c>
    </row>
    <row r="2790" spans="1:40" x14ac:dyDescent="0.25">
      <c r="A2790" t="str">
        <f>"20190304164657076"</f>
        <v>20190304164657076</v>
      </c>
      <c r="B2790" t="str">
        <f>"1551689217071585"</f>
        <v>1551689217071585</v>
      </c>
      <c r="C2790" t="s">
        <v>40</v>
      </c>
      <c r="D2790">
        <v>4.5270580000000002</v>
      </c>
      <c r="E2790">
        <v>0.54566029999999999</v>
      </c>
      <c r="F2790" t="s">
        <v>49</v>
      </c>
      <c r="G2790">
        <v>-347.1728</v>
      </c>
      <c r="H2790" s="1">
        <v>2.2802129999999999E-6</v>
      </c>
      <c r="I2790">
        <v>214.06700000000001</v>
      </c>
      <c r="J2790">
        <v>-357.6728</v>
      </c>
      <c r="K2790">
        <v>1.1107830000000001</v>
      </c>
      <c r="L2790">
        <v>213.69239999999999</v>
      </c>
      <c r="M2790">
        <v>0.99979530000000005</v>
      </c>
      <c r="N2790">
        <v>-1.485965E-2</v>
      </c>
      <c r="O2790">
        <v>1.373683E-2</v>
      </c>
      <c r="P2790">
        <v>0.93011529999999998</v>
      </c>
      <c r="Q2790">
        <v>0.34751110000000002</v>
      </c>
      <c r="R2790">
        <v>0.1188348</v>
      </c>
      <c r="S2790">
        <v>3.3380429999999999</v>
      </c>
      <c r="T2790">
        <v>-0.3412017</v>
      </c>
      <c r="U2790">
        <v>0.11660769999999999</v>
      </c>
      <c r="V2790">
        <v>-0.1059556</v>
      </c>
      <c r="W2790">
        <v>0.36134309999999997</v>
      </c>
      <c r="X2790">
        <v>0.92639329999999998</v>
      </c>
      <c r="Y2790">
        <v>-2.1104680000000001E-2</v>
      </c>
      <c r="Z2790" s="1">
        <v>3.6519780000000001E-5</v>
      </c>
      <c r="AA2790">
        <v>0.99977729999999998</v>
      </c>
      <c r="AB2790">
        <v>37</v>
      </c>
      <c r="AC2790">
        <v>10.5</v>
      </c>
      <c r="AD2790">
        <v>-1.1107807197869899</v>
      </c>
      <c r="AE2790">
        <v>0.37460000000001498</v>
      </c>
      <c r="AF2790">
        <v>-0.22776626987318399</v>
      </c>
      <c r="AG2790">
        <v>-1.1107807197869899</v>
      </c>
      <c r="AH2790">
        <v>10.3880481199089</v>
      </c>
      <c r="AI2790">
        <v>96.101918076162704</v>
      </c>
      <c r="AJ2790">
        <v>91.256054573682803</v>
      </c>
      <c r="AK2790">
        <v>10.449749041134201</v>
      </c>
      <c r="AL2790">
        <v>68.817296359445507</v>
      </c>
      <c r="AM2790">
        <v>96.524812753239999</v>
      </c>
      <c r="AN2790">
        <v>0.99999998568692905</v>
      </c>
    </row>
    <row r="2791" spans="1:40" x14ac:dyDescent="0.25">
      <c r="A2791" t="str">
        <f>"20190304164657099"</f>
        <v>20190304164657099</v>
      </c>
      <c r="B2791" t="str">
        <f>"1551689217091105"</f>
        <v>1551689217091105</v>
      </c>
      <c r="C2791" t="s">
        <v>40</v>
      </c>
      <c r="D2791">
        <v>4.5037149999999997</v>
      </c>
      <c r="E2791">
        <v>0.54545959999999905</v>
      </c>
      <c r="F2791" t="s">
        <v>41</v>
      </c>
      <c r="G2791">
        <v>-356.6551</v>
      </c>
      <c r="H2791">
        <v>1.006869</v>
      </c>
      <c r="I2791">
        <v>213.72749999999999</v>
      </c>
      <c r="J2791">
        <v>-357.2758</v>
      </c>
      <c r="K2791">
        <v>1.1107819999999999</v>
      </c>
      <c r="L2791">
        <v>213.6977</v>
      </c>
      <c r="M2791">
        <v>0.99979649999999998</v>
      </c>
      <c r="N2791">
        <v>-1.4855119999999999E-2</v>
      </c>
      <c r="O2791">
        <v>1.3648840000000001E-2</v>
      </c>
      <c r="P2791">
        <v>0.93025199999999997</v>
      </c>
      <c r="Q2791">
        <v>0.34750049999999999</v>
      </c>
      <c r="R2791">
        <v>0.1177906</v>
      </c>
      <c r="S2791">
        <v>3.337952</v>
      </c>
      <c r="T2791">
        <v>-0.34091149999999998</v>
      </c>
      <c r="U2791">
        <v>0.11581420000000001</v>
      </c>
      <c r="V2791">
        <v>-0.1049919</v>
      </c>
      <c r="W2791">
        <v>0.36132969999999998</v>
      </c>
      <c r="X2791">
        <v>0.9265082</v>
      </c>
      <c r="Y2791">
        <v>-2.0956909999999999E-2</v>
      </c>
      <c r="Z2791" s="1">
        <v>3.5702949999999997E-5</v>
      </c>
      <c r="AA2791">
        <v>0.99978040000000001</v>
      </c>
      <c r="AB2791">
        <v>37</v>
      </c>
      <c r="AC2791">
        <v>0.62069999999999903</v>
      </c>
      <c r="AD2791">
        <v>-0.10391299999999901</v>
      </c>
      <c r="AE2791">
        <v>2.97999999999944E-2</v>
      </c>
      <c r="AF2791">
        <v>-2.07443881812845E-2</v>
      </c>
      <c r="AG2791">
        <v>-0.10391299999999901</v>
      </c>
      <c r="AH2791">
        <v>0.60415524348734995</v>
      </c>
      <c r="AI2791">
        <v>99.7535870866881</v>
      </c>
      <c r="AJ2791">
        <v>91.966546079487998</v>
      </c>
      <c r="AK2791">
        <v>0.61337737115357804</v>
      </c>
      <c r="AL2791">
        <v>68.818118916621998</v>
      </c>
      <c r="AM2791">
        <v>96.465177278898096</v>
      </c>
      <c r="AN2791">
        <v>0.99999994791746805</v>
      </c>
    </row>
    <row r="2792" spans="1:40" x14ac:dyDescent="0.25">
      <c r="A2792" t="str">
        <f>"20190304164657123"</f>
        <v>20190304164657123</v>
      </c>
      <c r="B2792" t="str">
        <f>"1551689217111601"</f>
        <v>1551689217111601</v>
      </c>
      <c r="C2792" t="s">
        <v>40</v>
      </c>
      <c r="D2792">
        <v>4.4780309999999997</v>
      </c>
      <c r="E2792">
        <v>0.5452766</v>
      </c>
      <c r="F2792" t="s">
        <v>41</v>
      </c>
      <c r="G2792">
        <v>-356.32100000000003</v>
      </c>
      <c r="H2792">
        <v>1.013204</v>
      </c>
      <c r="I2792">
        <v>213.72980000000001</v>
      </c>
      <c r="J2792">
        <v>-356.89229999999998</v>
      </c>
      <c r="K2792">
        <v>1.1107769999999999</v>
      </c>
      <c r="L2792">
        <v>213.7029</v>
      </c>
      <c r="M2792">
        <v>0.99979770000000001</v>
      </c>
      <c r="N2792">
        <v>-1.4850769999999999E-2</v>
      </c>
      <c r="O2792">
        <v>1.356401E-2</v>
      </c>
      <c r="P2792">
        <v>0.93032300000000001</v>
      </c>
      <c r="Q2792">
        <v>0.34759830000000003</v>
      </c>
      <c r="R2792">
        <v>0.1169388</v>
      </c>
      <c r="S2792">
        <v>3.338104</v>
      </c>
      <c r="T2792">
        <v>-0.34122400000000003</v>
      </c>
      <c r="U2792">
        <v>0.112808199999999</v>
      </c>
      <c r="V2792">
        <v>-0.10421859999999999</v>
      </c>
      <c r="W2792">
        <v>0.36142400000000002</v>
      </c>
      <c r="X2792">
        <v>0.92655880000000002</v>
      </c>
      <c r="Y2792">
        <v>-2.0145329999999999E-2</v>
      </c>
      <c r="Z2792" s="1">
        <v>-4.7070209999999999E-6</v>
      </c>
      <c r="AA2792">
        <v>0.99979700000000005</v>
      </c>
      <c r="AB2792">
        <v>37</v>
      </c>
      <c r="AC2792">
        <v>0.57130000000000702</v>
      </c>
      <c r="AD2792">
        <v>-9.7573000000000104E-2</v>
      </c>
      <c r="AE2792">
        <v>2.6900000000011901E-2</v>
      </c>
      <c r="AF2792">
        <v>-1.8606021003267598E-2</v>
      </c>
      <c r="AG2792">
        <v>-9.7573000000000104E-2</v>
      </c>
      <c r="AH2792">
        <v>0.55544603183041896</v>
      </c>
      <c r="AI2792">
        <v>99.957794882167505</v>
      </c>
      <c r="AJ2792">
        <v>91.918544655770503</v>
      </c>
      <c r="AK2792">
        <v>0.56425789194545894</v>
      </c>
      <c r="AL2792">
        <v>68.812325861612393</v>
      </c>
      <c r="AM2792">
        <v>96.417610323194793</v>
      </c>
      <c r="AN2792">
        <v>1.0000000171096901</v>
      </c>
    </row>
    <row r="2793" spans="1:40" x14ac:dyDescent="0.25">
      <c r="A2793" t="str">
        <f>"20190304164657145"</f>
        <v>20190304164657145</v>
      </c>
      <c r="B2793" t="str">
        <f>"1551689217141857"</f>
        <v>1551689217141857</v>
      </c>
      <c r="C2793" t="s">
        <v>40</v>
      </c>
      <c r="D2793">
        <v>4.4963660000000001</v>
      </c>
      <c r="E2793">
        <v>0.54507209999999995</v>
      </c>
      <c r="F2793" t="s">
        <v>41</v>
      </c>
      <c r="G2793">
        <v>-355.98770000000002</v>
      </c>
      <c r="H2793">
        <v>1.018661</v>
      </c>
      <c r="I2793">
        <v>213.73249999999999</v>
      </c>
      <c r="J2793">
        <v>-356.53039999999999</v>
      </c>
      <c r="K2793">
        <v>1.110779</v>
      </c>
      <c r="L2793">
        <v>213.70769999999999</v>
      </c>
      <c r="M2793">
        <v>0.99979899999999999</v>
      </c>
      <c r="N2793">
        <v>-1.4846720000000001E-2</v>
      </c>
      <c r="O2793">
        <v>1.348334E-2</v>
      </c>
      <c r="P2793">
        <v>0.93055200000000005</v>
      </c>
      <c r="Q2793">
        <v>0.34749170000000001</v>
      </c>
      <c r="R2793">
        <v>0.11542470000000001</v>
      </c>
      <c r="S2793">
        <v>3.3378909999999999</v>
      </c>
      <c r="T2793">
        <v>-0.3399682</v>
      </c>
      <c r="U2793">
        <v>0.1099854</v>
      </c>
      <c r="V2793">
        <v>-0.10277699999999999</v>
      </c>
      <c r="W2793">
        <v>0.36131639999999998</v>
      </c>
      <c r="X2793">
        <v>0.92676170000000002</v>
      </c>
      <c r="Y2793">
        <v>-1.9388119999999998E-2</v>
      </c>
      <c r="Z2793" s="1">
        <v>-4.0623649999999999E-5</v>
      </c>
      <c r="AA2793">
        <v>0.99981200000000003</v>
      </c>
      <c r="AB2793">
        <v>37</v>
      </c>
      <c r="AC2793">
        <v>0.54269999999996799</v>
      </c>
      <c r="AD2793">
        <v>-9.2118000000000103E-2</v>
      </c>
      <c r="AE2793">
        <v>2.4799999999999E-2</v>
      </c>
      <c r="AF2793">
        <v>-1.69910105502456E-2</v>
      </c>
      <c r="AG2793">
        <v>-9.2118000000000103E-2</v>
      </c>
      <c r="AH2793">
        <v>0.527809659018324</v>
      </c>
      <c r="AI2793">
        <v>99.895024940975702</v>
      </c>
      <c r="AJ2793">
        <v>91.843803166437098</v>
      </c>
      <c r="AK2793">
        <v>0.53605732577454701</v>
      </c>
      <c r="AL2793">
        <v>68.818936222973093</v>
      </c>
      <c r="AM2793">
        <v>96.328189915401097</v>
      </c>
      <c r="AN2793">
        <v>0.99999995061242297</v>
      </c>
    </row>
    <row r="2794" spans="1:40" x14ac:dyDescent="0.25">
      <c r="A2794" t="str">
        <f>"20190304164657165"</f>
        <v>20190304164657165</v>
      </c>
      <c r="B2794" t="str">
        <f>"1551689217161378"</f>
        <v>1551689217161378</v>
      </c>
      <c r="C2794" t="s">
        <v>40</v>
      </c>
      <c r="D2794">
        <v>4.5588800000000003</v>
      </c>
      <c r="E2794">
        <v>0.54493449999999999</v>
      </c>
      <c r="F2794" t="s">
        <v>41</v>
      </c>
      <c r="G2794">
        <v>-355.65609999999998</v>
      </c>
      <c r="H2794">
        <v>1.021385</v>
      </c>
      <c r="I2794">
        <v>213.7353</v>
      </c>
      <c r="J2794">
        <v>-356.20359999999999</v>
      </c>
      <c r="K2794">
        <v>1.110779</v>
      </c>
      <c r="L2794">
        <v>213.71209999999999</v>
      </c>
      <c r="M2794">
        <v>0.99980000000000002</v>
      </c>
      <c r="N2794">
        <v>-1.484309E-2</v>
      </c>
      <c r="O2794">
        <v>1.341084E-2</v>
      </c>
      <c r="P2794">
        <v>0.93075129999999995</v>
      </c>
      <c r="Q2794">
        <v>0.34730119999999998</v>
      </c>
      <c r="R2794">
        <v>0.1143853</v>
      </c>
      <c r="S2794">
        <v>3.3382260000000001</v>
      </c>
      <c r="T2794">
        <v>-0.34144269999999999</v>
      </c>
      <c r="U2794">
        <v>0.10617070000000001</v>
      </c>
      <c r="V2794">
        <v>-0.10180259999999999</v>
      </c>
      <c r="W2794">
        <v>0.36112529999999998</v>
      </c>
      <c r="X2794">
        <v>0.92694379999999998</v>
      </c>
      <c r="Y2794">
        <v>-1.832168E-2</v>
      </c>
      <c r="Z2794" s="1">
        <v>-9.8343760000000003E-5</v>
      </c>
      <c r="AA2794">
        <v>0.99983219999999995</v>
      </c>
      <c r="AB2794">
        <v>37</v>
      </c>
      <c r="AC2794">
        <v>0.54750000000001298</v>
      </c>
      <c r="AD2794">
        <v>-8.9394000000000196E-2</v>
      </c>
      <c r="AE2794">
        <v>2.3200000000002701E-2</v>
      </c>
      <c r="AF2794">
        <v>-1.5443690291208199E-2</v>
      </c>
      <c r="AG2794">
        <v>-8.9394000000000196E-2</v>
      </c>
      <c r="AH2794">
        <v>0.53356300590160199</v>
      </c>
      <c r="AI2794">
        <v>99.507181522009304</v>
      </c>
      <c r="AJ2794">
        <v>91.657932207057797</v>
      </c>
      <c r="AK2794">
        <v>0.54122017337915596</v>
      </c>
      <c r="AL2794">
        <v>68.830680028170605</v>
      </c>
      <c r="AM2794">
        <v>96.2674523148779</v>
      </c>
      <c r="AN2794">
        <v>1.0000000300126399</v>
      </c>
    </row>
    <row r="2795" spans="1:40" x14ac:dyDescent="0.25">
      <c r="A2795" t="str">
        <f>"20190304164657188"</f>
        <v>20190304164657188</v>
      </c>
      <c r="B2795" t="str">
        <f>"1551689217180897"</f>
        <v>1551689217180897</v>
      </c>
      <c r="C2795" t="s">
        <v>40</v>
      </c>
      <c r="D2795">
        <v>4.505528</v>
      </c>
      <c r="E2795">
        <v>0.54479719999999998</v>
      </c>
      <c r="F2795" t="s">
        <v>41</v>
      </c>
      <c r="G2795">
        <v>-355.32639999999998</v>
      </c>
      <c r="H2795">
        <v>1.0208790000000001</v>
      </c>
      <c r="I2795">
        <v>213.7388</v>
      </c>
      <c r="J2795">
        <v>-355.80869999999999</v>
      </c>
      <c r="K2795">
        <v>1.1107750000000001</v>
      </c>
      <c r="L2795">
        <v>213.71729999999999</v>
      </c>
      <c r="M2795">
        <v>0.9998013</v>
      </c>
      <c r="N2795">
        <v>-1.483871E-2</v>
      </c>
      <c r="O2795">
        <v>1.3323140000000001E-2</v>
      </c>
      <c r="P2795">
        <v>0.93077080000000001</v>
      </c>
      <c r="Q2795">
        <v>0.34762870000000001</v>
      </c>
      <c r="R2795">
        <v>0.11322699999999999</v>
      </c>
      <c r="S2795">
        <v>3.3382869999999998</v>
      </c>
      <c r="T2795">
        <v>-0.34223619999999999</v>
      </c>
      <c r="U2795">
        <v>0.1026001</v>
      </c>
      <c r="V2795">
        <v>-0.1007256</v>
      </c>
      <c r="W2795">
        <v>0.36144799999999999</v>
      </c>
      <c r="X2795">
        <v>0.92693570000000003</v>
      </c>
      <c r="Y2795">
        <v>-1.734577E-2</v>
      </c>
      <c r="Z2795">
        <v>-1.4892719999999999E-4</v>
      </c>
      <c r="AA2795">
        <v>0.99984960000000001</v>
      </c>
      <c r="AB2795">
        <v>37</v>
      </c>
      <c r="AC2795">
        <v>0.482300000000009</v>
      </c>
      <c r="AD2795">
        <v>-8.9895999999999907E-2</v>
      </c>
      <c r="AE2795">
        <v>2.15000000000031E-2</v>
      </c>
      <c r="AF2795">
        <v>-1.4566576095161999E-2</v>
      </c>
      <c r="AG2795">
        <v>-8.9895999999999907E-2</v>
      </c>
      <c r="AH2795">
        <v>0.46637337303628901</v>
      </c>
      <c r="AI2795">
        <v>100.90507327488601</v>
      </c>
      <c r="AJ2795">
        <v>91.788978834102096</v>
      </c>
      <c r="AK2795">
        <v>0.47518164845917799</v>
      </c>
      <c r="AL2795">
        <v>68.810851738419402</v>
      </c>
      <c r="AM2795">
        <v>96.201720236732697</v>
      </c>
      <c r="AN2795">
        <v>1.00000004756692</v>
      </c>
    </row>
    <row r="2796" spans="1:40" x14ac:dyDescent="0.25">
      <c r="A2796" t="str">
        <f>"20190304164657212"</f>
        <v>20190304164657212</v>
      </c>
      <c r="B2796" t="str">
        <f>"1551689217201393"</f>
        <v>1551689217201393</v>
      </c>
      <c r="C2796" t="s">
        <v>40</v>
      </c>
      <c r="D2796">
        <v>4.5006789999999999</v>
      </c>
      <c r="E2796">
        <v>0.5446472</v>
      </c>
      <c r="F2796" t="s">
        <v>41</v>
      </c>
      <c r="G2796">
        <v>-354.99220000000003</v>
      </c>
      <c r="H2796">
        <v>1.027334</v>
      </c>
      <c r="I2796">
        <v>213.74100000000001</v>
      </c>
      <c r="J2796">
        <v>-355.428</v>
      </c>
      <c r="K2796">
        <v>1.1107769999999999</v>
      </c>
      <c r="L2796">
        <v>213.72229999999999</v>
      </c>
      <c r="M2796">
        <v>0.99980250000000004</v>
      </c>
      <c r="N2796">
        <v>-1.483451E-2</v>
      </c>
      <c r="O2796">
        <v>1.3238959999999999E-2</v>
      </c>
      <c r="P2796">
        <v>0.93110360000000003</v>
      </c>
      <c r="Q2796">
        <v>0.34685359999999998</v>
      </c>
      <c r="R2796">
        <v>0.1128672</v>
      </c>
      <c r="S2796">
        <v>3.3387150000000001</v>
      </c>
      <c r="T2796">
        <v>-0.34122560000000002</v>
      </c>
      <c r="U2796">
        <v>9.7503660000000006E-2</v>
      </c>
      <c r="V2796">
        <v>-0.1004405</v>
      </c>
      <c r="W2796">
        <v>0.36067389999999999</v>
      </c>
      <c r="X2796">
        <v>0.92726810000000004</v>
      </c>
      <c r="Y2796">
        <v>-1.5909630000000001E-2</v>
      </c>
      <c r="Z2796">
        <v>-2.2411290000000001E-4</v>
      </c>
      <c r="AA2796">
        <v>0.99987340000000002</v>
      </c>
      <c r="AB2796">
        <v>37</v>
      </c>
      <c r="AC2796">
        <v>0.435800000000028</v>
      </c>
      <c r="AD2796">
        <v>-8.34430000000001E-2</v>
      </c>
      <c r="AE2796">
        <v>1.8699999999995401E-2</v>
      </c>
      <c r="AF2796">
        <v>-1.24717987514096E-2</v>
      </c>
      <c r="AG2796">
        <v>-8.34430000000001E-2</v>
      </c>
      <c r="AH2796">
        <v>0.42061744085150499</v>
      </c>
      <c r="AI2796">
        <v>101.215970713689</v>
      </c>
      <c r="AJ2796">
        <v>91.698389211583503</v>
      </c>
      <c r="AK2796">
        <v>0.42899570109916602</v>
      </c>
      <c r="AL2796">
        <v>68.858412654680606</v>
      </c>
      <c r="AM2796">
        <v>96.182102980224599</v>
      </c>
      <c r="AN2796">
        <v>1.0000000427295299</v>
      </c>
    </row>
    <row r="2797" spans="1:40" x14ac:dyDescent="0.25">
      <c r="A2797" t="str">
        <f>"20190304164657232"</f>
        <v>20190304164657232</v>
      </c>
      <c r="B2797" t="str">
        <f>"1551689217220913"</f>
        <v>1551689217220913</v>
      </c>
      <c r="C2797" t="s">
        <v>40</v>
      </c>
      <c r="D2797">
        <v>4.5386790000000001</v>
      </c>
      <c r="E2797">
        <v>0.54453130000000005</v>
      </c>
      <c r="F2797" t="s">
        <v>41</v>
      </c>
      <c r="G2797">
        <v>-354.65960000000001</v>
      </c>
      <c r="H2797">
        <v>1.031606</v>
      </c>
      <c r="I2797">
        <v>213.74440000000001</v>
      </c>
      <c r="J2797">
        <v>-355.0838</v>
      </c>
      <c r="K2797">
        <v>1.1107849999999999</v>
      </c>
      <c r="L2797">
        <v>213.7268</v>
      </c>
      <c r="M2797">
        <v>0.99980349999999996</v>
      </c>
      <c r="N2797">
        <v>-1.483071E-2</v>
      </c>
      <c r="O2797">
        <v>1.316264E-2</v>
      </c>
      <c r="P2797">
        <v>0.93108800000000003</v>
      </c>
      <c r="Q2797">
        <v>0.34698570000000001</v>
      </c>
      <c r="R2797">
        <v>0.1125874</v>
      </c>
      <c r="S2797">
        <v>3.3383180000000001</v>
      </c>
      <c r="T2797">
        <v>-0.34406550000000002</v>
      </c>
      <c r="U2797">
        <v>9.7717289999999998E-2</v>
      </c>
      <c r="V2797">
        <v>-0.1002318</v>
      </c>
      <c r="W2797">
        <v>0.36080190000000001</v>
      </c>
      <c r="X2797">
        <v>0.92724079999999998</v>
      </c>
      <c r="Y2797">
        <v>-1.605169E-2</v>
      </c>
      <c r="Z2797">
        <v>-2.1364760000000001E-4</v>
      </c>
      <c r="AA2797">
        <v>0.99987110000000001</v>
      </c>
      <c r="AB2797">
        <v>37</v>
      </c>
      <c r="AC2797">
        <v>0.42419999999998398</v>
      </c>
      <c r="AD2797">
        <v>-7.9179000000000097E-2</v>
      </c>
      <c r="AE2797">
        <v>1.7600000000015801E-2</v>
      </c>
      <c r="AF2797">
        <v>-1.1610455921409401E-2</v>
      </c>
      <c r="AG2797">
        <v>-7.9179000000000097E-2</v>
      </c>
      <c r="AH2797">
        <v>0.410130520293782</v>
      </c>
      <c r="AI2797">
        <v>100.92270997137901</v>
      </c>
      <c r="AJ2797">
        <v>91.621563058132807</v>
      </c>
      <c r="AK2797">
        <v>0.41786500260748199</v>
      </c>
      <c r="AL2797">
        <v>68.850547568579501</v>
      </c>
      <c r="AM2797">
        <v>96.169536913217598</v>
      </c>
      <c r="AN2797">
        <v>0.99999996297974403</v>
      </c>
    </row>
    <row r="2798" spans="1:40" x14ac:dyDescent="0.25">
      <c r="A2798" t="str">
        <f>"20190304164657255"</f>
        <v>20190304164657255</v>
      </c>
      <c r="B2798" t="str">
        <f>"1551689217251170"</f>
        <v>1551689217251170</v>
      </c>
      <c r="C2798" t="s">
        <v>40</v>
      </c>
      <c r="D2798">
        <v>4.6880030000000001</v>
      </c>
      <c r="E2798">
        <v>0.56584369999999995</v>
      </c>
      <c r="F2798" t="s">
        <v>41</v>
      </c>
      <c r="G2798">
        <v>-354.32960000000003</v>
      </c>
      <c r="H2798">
        <v>1.033056</v>
      </c>
      <c r="I2798">
        <v>213.74889999999999</v>
      </c>
      <c r="J2798">
        <v>-354.73020000000002</v>
      </c>
      <c r="K2798">
        <v>1.110792</v>
      </c>
      <c r="L2798">
        <v>213.7313</v>
      </c>
      <c r="M2798">
        <v>0.99980460000000004</v>
      </c>
      <c r="N2798">
        <v>-1.4826840000000001E-2</v>
      </c>
      <c r="O2798">
        <v>1.3084119999999999E-2</v>
      </c>
      <c r="P2798">
        <v>0.93101060000000002</v>
      </c>
      <c r="Q2798">
        <v>0.34712579999999998</v>
      </c>
      <c r="R2798">
        <v>0.11279839999999999</v>
      </c>
      <c r="S2798">
        <v>3.3383180000000001</v>
      </c>
      <c r="T2798">
        <v>-0.34416469999999999</v>
      </c>
      <c r="U2798">
        <v>9.9090579999999998E-2</v>
      </c>
      <c r="V2798">
        <v>-0.1005175</v>
      </c>
      <c r="W2798">
        <v>0.36093710000000001</v>
      </c>
      <c r="X2798">
        <v>0.92715729999999996</v>
      </c>
      <c r="Y2798">
        <v>-1.6537920000000001E-2</v>
      </c>
      <c r="Z2798">
        <v>-1.783597E-4</v>
      </c>
      <c r="AA2798">
        <v>0.99986319999999995</v>
      </c>
      <c r="AB2798">
        <v>37</v>
      </c>
      <c r="AC2798">
        <v>0.40059999999999701</v>
      </c>
      <c r="AD2798">
        <v>-7.7736E-2</v>
      </c>
      <c r="AE2798">
        <v>1.75999999999874E-2</v>
      </c>
      <c r="AF2798">
        <v>-1.19088552119957E-2</v>
      </c>
      <c r="AG2798">
        <v>-7.7736E-2</v>
      </c>
      <c r="AH2798">
        <v>0.38627870862843799</v>
      </c>
      <c r="AI2798">
        <v>101.373149068537</v>
      </c>
      <c r="AJ2798">
        <v>91.765852150906895</v>
      </c>
      <c r="AK2798">
        <v>0.394202926508815</v>
      </c>
      <c r="AL2798">
        <v>68.842242492712103</v>
      </c>
      <c r="AM2798">
        <v>96.1875392027749</v>
      </c>
      <c r="AN2798">
        <v>1.0000000084529701</v>
      </c>
    </row>
    <row r="2799" spans="1:40" x14ac:dyDescent="0.25">
      <c r="A2799" t="str">
        <f>"20190304164657278"</f>
        <v>20190304164657278</v>
      </c>
      <c r="B2799" t="str">
        <f>"1551689217271665"</f>
        <v>1551689217271665</v>
      </c>
      <c r="C2799" t="s">
        <v>40</v>
      </c>
      <c r="D2799">
        <v>4.6614000000000004</v>
      </c>
      <c r="E2799">
        <v>0.56642000000000003</v>
      </c>
      <c r="F2799" t="s">
        <v>41</v>
      </c>
      <c r="G2799">
        <v>-353.69459999999998</v>
      </c>
      <c r="H2799">
        <v>0.99697480000000005</v>
      </c>
      <c r="I2799">
        <v>213.71119999999999</v>
      </c>
      <c r="J2799">
        <v>-354.3417</v>
      </c>
      <c r="K2799">
        <v>1.1107899999999999</v>
      </c>
      <c r="L2799">
        <v>213.7363</v>
      </c>
      <c r="M2799">
        <v>0.99980570000000002</v>
      </c>
      <c r="N2799">
        <v>-1.482257E-2</v>
      </c>
      <c r="O2799">
        <v>1.2997730000000001E-2</v>
      </c>
      <c r="P2799">
        <v>0.93092079999999999</v>
      </c>
      <c r="Q2799">
        <v>0.3469216</v>
      </c>
      <c r="R2799">
        <v>0.11415690000000001</v>
      </c>
      <c r="S2799">
        <v>3.3682560000000001</v>
      </c>
      <c r="T2799">
        <v>-0.37026940000000003</v>
      </c>
      <c r="U2799">
        <v>-6.5002439999999995E-2</v>
      </c>
      <c r="V2799">
        <v>-0.1019578</v>
      </c>
      <c r="W2799">
        <v>0.36072769999999998</v>
      </c>
      <c r="X2799">
        <v>0.9270815</v>
      </c>
      <c r="Y2799">
        <v>3.2012529999999997E-2</v>
      </c>
      <c r="Z2799">
        <v>-3.2244790000000001E-3</v>
      </c>
      <c r="AA2799">
        <v>0.99948230000000005</v>
      </c>
      <c r="AB2799">
        <v>37</v>
      </c>
      <c r="AC2799">
        <v>0.64710000000002299</v>
      </c>
      <c r="AD2799">
        <v>-0.11381520000000001</v>
      </c>
      <c r="AE2799">
        <v>-2.5100000000009001E-2</v>
      </c>
      <c r="AF2799">
        <v>3.2505567379551299E-2</v>
      </c>
      <c r="AG2799">
        <v>-0.11381520000000001</v>
      </c>
      <c r="AH2799">
        <v>0.62734106499498599</v>
      </c>
      <c r="AI2799">
        <v>100.26954195442499</v>
      </c>
      <c r="AJ2799">
        <v>87.033881778756097</v>
      </c>
      <c r="AK2799">
        <v>0.63840999639005402</v>
      </c>
      <c r="AL2799">
        <v>68.855106421420203</v>
      </c>
      <c r="AM2799">
        <v>96.276006078605306</v>
      </c>
      <c r="AN2799">
        <v>0.999999987085189</v>
      </c>
    </row>
    <row r="2800" spans="1:40" x14ac:dyDescent="0.25">
      <c r="A2800" t="str">
        <f>"20190304164657299"</f>
        <v>20190304164657299</v>
      </c>
      <c r="B2800" t="str">
        <f>"1551689217292162"</f>
        <v>1551689217292162</v>
      </c>
      <c r="C2800" t="s">
        <v>40</v>
      </c>
      <c r="D2800">
        <v>4.6588849999999997</v>
      </c>
      <c r="E2800">
        <v>0.56771419999999995</v>
      </c>
      <c r="F2800" t="s">
        <v>41</v>
      </c>
      <c r="G2800">
        <v>-353.36410000000001</v>
      </c>
      <c r="H2800">
        <v>1.0027379999999999</v>
      </c>
      <c r="I2800">
        <v>213.71690000000001</v>
      </c>
      <c r="J2800">
        <v>-353.98349999999999</v>
      </c>
      <c r="K2800">
        <v>1.1107910000000001</v>
      </c>
      <c r="L2800">
        <v>213.74090000000001</v>
      </c>
      <c r="M2800">
        <v>0.99980690000000005</v>
      </c>
      <c r="N2800">
        <v>-1.4818629999999999E-2</v>
      </c>
      <c r="O2800">
        <v>1.2917720000000001E-2</v>
      </c>
      <c r="P2800">
        <v>0.9307375</v>
      </c>
      <c r="Q2800">
        <v>0.34701910000000002</v>
      </c>
      <c r="R2800">
        <v>0.115351</v>
      </c>
      <c r="S2800">
        <v>3.369507</v>
      </c>
      <c r="T2800">
        <v>-0.37258010000000003</v>
      </c>
      <c r="U2800">
        <v>-6.5490720000000002E-2</v>
      </c>
      <c r="V2800">
        <v>-0.1032291</v>
      </c>
      <c r="W2800">
        <v>0.36081930000000001</v>
      </c>
      <c r="X2800">
        <v>0.92690519999999998</v>
      </c>
      <c r="Y2800">
        <v>3.2066949999999997E-2</v>
      </c>
      <c r="Z2800">
        <v>-3.2387800000000001E-3</v>
      </c>
      <c r="AA2800">
        <v>0.99948049999999999</v>
      </c>
      <c r="AB2800">
        <v>37</v>
      </c>
      <c r="AC2800">
        <v>0.61939999999998396</v>
      </c>
      <c r="AD2800">
        <v>-0.108053</v>
      </c>
      <c r="AE2800">
        <v>-2.4000000000000899E-2</v>
      </c>
      <c r="AF2800">
        <v>3.1056416578853399E-2</v>
      </c>
      <c r="AG2800">
        <v>-0.108053</v>
      </c>
      <c r="AH2800">
        <v>0.60078260798695504</v>
      </c>
      <c r="AI2800">
        <v>100.182545756333</v>
      </c>
      <c r="AJ2800">
        <v>87.040827845635405</v>
      </c>
      <c r="AK2800">
        <v>0.61121166045759201</v>
      </c>
      <c r="AL2800">
        <v>68.849480147753596</v>
      </c>
      <c r="AM2800">
        <v>96.354823398361205</v>
      </c>
      <c r="AN2800">
        <v>1.0000000320631599</v>
      </c>
    </row>
    <row r="2801" spans="1:40" x14ac:dyDescent="0.25">
      <c r="A2801" t="str">
        <f>"20190304164657324"</f>
        <v>20190304164657324</v>
      </c>
      <c r="B2801" t="str">
        <f>"1551689217311681"</f>
        <v>1551689217311681</v>
      </c>
      <c r="C2801" t="s">
        <v>40</v>
      </c>
      <c r="D2801">
        <v>4.659942</v>
      </c>
      <c r="E2801">
        <v>0.5682391</v>
      </c>
      <c r="F2801" t="s">
        <v>41</v>
      </c>
      <c r="G2801">
        <v>-353.03469999999999</v>
      </c>
      <c r="H2801">
        <v>1.006901</v>
      </c>
      <c r="I2801">
        <v>213.7201</v>
      </c>
      <c r="J2801">
        <v>-353.59660000000002</v>
      </c>
      <c r="K2801">
        <v>1.110792</v>
      </c>
      <c r="L2801">
        <v>213.7458</v>
      </c>
      <c r="M2801">
        <v>0.99980800000000003</v>
      </c>
      <c r="N2801">
        <v>-1.481436E-2</v>
      </c>
      <c r="O2801">
        <v>1.2832359999999999E-2</v>
      </c>
      <c r="P2801">
        <v>0.93069650000000004</v>
      </c>
      <c r="Q2801">
        <v>0.34681450000000003</v>
      </c>
      <c r="R2801">
        <v>0.1162926</v>
      </c>
      <c r="S2801">
        <v>3.3699650000000001</v>
      </c>
      <c r="T2801">
        <v>-0.36903740000000002</v>
      </c>
      <c r="U2801">
        <v>-7.3410030000000001E-2</v>
      </c>
      <c r="V2801">
        <v>-0.1042511</v>
      </c>
      <c r="W2801">
        <v>0.36061070000000001</v>
      </c>
      <c r="X2801">
        <v>0.92687200000000003</v>
      </c>
      <c r="Y2801">
        <v>3.4317060000000003E-2</v>
      </c>
      <c r="Z2801">
        <v>-3.3395819999999998E-3</v>
      </c>
      <c r="AA2801">
        <v>0.9994054</v>
      </c>
      <c r="AB2801">
        <v>37</v>
      </c>
      <c r="AC2801">
        <v>0.56190000000003604</v>
      </c>
      <c r="AD2801">
        <v>-0.103890999999999</v>
      </c>
      <c r="AE2801">
        <v>-2.57000000000005E-2</v>
      </c>
      <c r="AF2801">
        <v>3.1823554584842199E-2</v>
      </c>
      <c r="AG2801">
        <v>-0.103890999999999</v>
      </c>
      <c r="AH2801">
        <v>0.54300009437158703</v>
      </c>
      <c r="AI2801">
        <v>100.813258384474</v>
      </c>
      <c r="AJ2801">
        <v>86.645908397098196</v>
      </c>
      <c r="AK2801">
        <v>0.55376455375454203</v>
      </c>
      <c r="AL2801">
        <v>68.862294878352799</v>
      </c>
      <c r="AM2801">
        <v>96.417443765381506</v>
      </c>
      <c r="AN2801">
        <v>1.00000003659484</v>
      </c>
    </row>
    <row r="2802" spans="1:40" x14ac:dyDescent="0.25">
      <c r="A2802" t="str">
        <f>"20190304164657344"</f>
        <v>20190304164657344</v>
      </c>
      <c r="B2802" t="str">
        <f>"1551689217341937"</f>
        <v>1551689217341937</v>
      </c>
      <c r="C2802" t="s">
        <v>40</v>
      </c>
      <c r="D2802">
        <v>4.6362370000000004</v>
      </c>
      <c r="E2802">
        <v>0.56860659999999996</v>
      </c>
      <c r="F2802" t="s">
        <v>41</v>
      </c>
      <c r="G2802">
        <v>-352.7047</v>
      </c>
      <c r="H2802">
        <v>1.013225</v>
      </c>
      <c r="I2802">
        <v>213.72579999999999</v>
      </c>
      <c r="J2802">
        <v>-353.25069999999999</v>
      </c>
      <c r="K2802">
        <v>1.110792</v>
      </c>
      <c r="L2802">
        <v>213.75020000000001</v>
      </c>
      <c r="M2802">
        <v>0.99980910000000001</v>
      </c>
      <c r="N2802">
        <v>-1.4810500000000001E-2</v>
      </c>
      <c r="O2802">
        <v>1.2757849999999999E-2</v>
      </c>
      <c r="P2802">
        <v>0.93058969999999996</v>
      </c>
      <c r="Q2802">
        <v>0.3469758</v>
      </c>
      <c r="R2802">
        <v>0.1166653</v>
      </c>
      <c r="S2802">
        <v>3.370117</v>
      </c>
      <c r="T2802">
        <v>-0.36872509999999997</v>
      </c>
      <c r="U2802">
        <v>-7.4295040000000007E-2</v>
      </c>
      <c r="V2802">
        <v>-0.1046956</v>
      </c>
      <c r="W2802">
        <v>0.3607668</v>
      </c>
      <c r="X2802">
        <v>0.92676119999999995</v>
      </c>
      <c r="Y2802">
        <v>3.4503499999999999E-2</v>
      </c>
      <c r="Z2802">
        <v>-3.34118E-3</v>
      </c>
      <c r="AA2802">
        <v>0.99939900000000004</v>
      </c>
      <c r="AB2802">
        <v>37</v>
      </c>
      <c r="AC2802">
        <v>0.54599999999999205</v>
      </c>
      <c r="AD2802">
        <v>-9.7566999999999904E-2</v>
      </c>
      <c r="AE2802">
        <v>-2.4400000000014101E-2</v>
      </c>
      <c r="AF2802">
        <v>3.0395907420847499E-2</v>
      </c>
      <c r="AG2802">
        <v>-9.7566999999999904E-2</v>
      </c>
      <c r="AH2802">
        <v>0.528792688226285</v>
      </c>
      <c r="AI2802">
        <v>100.43716422055699</v>
      </c>
      <c r="AJ2802">
        <v>86.710160859159501</v>
      </c>
      <c r="AK2802">
        <v>0.53857677057084297</v>
      </c>
      <c r="AL2802">
        <v>68.852706633491707</v>
      </c>
      <c r="AM2802">
        <v>96.445340389564294</v>
      </c>
      <c r="AN2802">
        <v>1.00000008723351</v>
      </c>
    </row>
    <row r="2803" spans="1:40" x14ac:dyDescent="0.25">
      <c r="A2803" t="str">
        <f>"20190304164657368"</f>
        <v>20190304164657368</v>
      </c>
      <c r="B2803" t="str">
        <f>"1551689217361457"</f>
        <v>1551689217361457</v>
      </c>
      <c r="C2803" t="s">
        <v>40</v>
      </c>
      <c r="D2803">
        <v>4.6359349999999999</v>
      </c>
      <c r="E2803">
        <v>0.56896289999999905</v>
      </c>
      <c r="F2803" t="s">
        <v>41</v>
      </c>
      <c r="G2803">
        <v>-352.37689999999998</v>
      </c>
      <c r="H2803">
        <v>1.0156019999999999</v>
      </c>
      <c r="I2803">
        <v>213.7304</v>
      </c>
      <c r="J2803">
        <v>-352.875</v>
      </c>
      <c r="K2803">
        <v>1.110795</v>
      </c>
      <c r="L2803">
        <v>213.75489999999999</v>
      </c>
      <c r="M2803">
        <v>0.99980999999999998</v>
      </c>
      <c r="N2803">
        <v>-1.48063E-2</v>
      </c>
      <c r="O2803">
        <v>1.268086E-2</v>
      </c>
      <c r="P2803">
        <v>0.93057080000000003</v>
      </c>
      <c r="Q2803">
        <v>0.3471687</v>
      </c>
      <c r="R2803">
        <v>0.1162405</v>
      </c>
      <c r="S2803">
        <v>3.3701780000000001</v>
      </c>
      <c r="T2803">
        <v>-0.36721789999999999</v>
      </c>
      <c r="U2803">
        <v>-7.5592039999999999E-2</v>
      </c>
      <c r="V2803">
        <v>-0.1043449</v>
      </c>
      <c r="W2803">
        <v>0.36095440000000001</v>
      </c>
      <c r="X2803">
        <v>0.92672759999999998</v>
      </c>
      <c r="Y2803">
        <v>3.4811179999999997E-2</v>
      </c>
      <c r="Z2803">
        <v>-3.3395500000000002E-3</v>
      </c>
      <c r="AA2803">
        <v>0.99938830000000001</v>
      </c>
      <c r="AB2803">
        <v>37</v>
      </c>
      <c r="AC2803">
        <v>0.49810000000002203</v>
      </c>
      <c r="AD2803">
        <v>-9.5192999999999806E-2</v>
      </c>
      <c r="AE2803">
        <v>-2.4499999999988999E-2</v>
      </c>
      <c r="AF2803">
        <v>2.9731759820596001E-2</v>
      </c>
      <c r="AG2803">
        <v>-9.5192999999999806E-2</v>
      </c>
      <c r="AH2803">
        <v>0.480250931843059</v>
      </c>
      <c r="AI2803">
        <v>101.190683953963</v>
      </c>
      <c r="AJ2803">
        <v>86.457408214619704</v>
      </c>
      <c r="AK2803">
        <v>0.49049632243999203</v>
      </c>
      <c r="AL2803">
        <v>68.841179233332298</v>
      </c>
      <c r="AM2803">
        <v>96.424162103172407</v>
      </c>
      <c r="AN2803">
        <v>0.99999999081856406</v>
      </c>
    </row>
    <row r="2804" spans="1:40" x14ac:dyDescent="0.25">
      <c r="A2804" t="str">
        <f>"20190304164657389"</f>
        <v>20190304164657389</v>
      </c>
      <c r="B2804" t="str">
        <f>"1551689217380978"</f>
        <v>1551689217380978</v>
      </c>
      <c r="C2804" t="s">
        <v>40</v>
      </c>
      <c r="D2804">
        <v>4.5261199999999997</v>
      </c>
      <c r="E2804">
        <v>0.56907319999999995</v>
      </c>
      <c r="F2804" t="s">
        <v>41</v>
      </c>
      <c r="G2804">
        <v>-352.048</v>
      </c>
      <c r="H2804">
        <v>1.0212490000000001</v>
      </c>
      <c r="I2804">
        <v>213.73500000000001</v>
      </c>
      <c r="J2804">
        <v>-352.51400000000001</v>
      </c>
      <c r="K2804">
        <v>1.1108009999999999</v>
      </c>
      <c r="L2804">
        <v>213.7594</v>
      </c>
      <c r="M2804">
        <v>0.99981100000000001</v>
      </c>
      <c r="N2804">
        <v>-1.4802360000000001E-2</v>
      </c>
      <c r="O2804">
        <v>1.2612129999999999E-2</v>
      </c>
      <c r="P2804">
        <v>0.93068899999999999</v>
      </c>
      <c r="Q2804">
        <v>0.34722069999999999</v>
      </c>
      <c r="R2804">
        <v>0.11513420000000001</v>
      </c>
      <c r="S2804">
        <v>3.3700559999999999</v>
      </c>
      <c r="T2804">
        <v>-0.36505850000000001</v>
      </c>
      <c r="U2804">
        <v>-8.0123899999999998E-2</v>
      </c>
      <c r="V2804">
        <v>-0.1033053</v>
      </c>
      <c r="W2804">
        <v>0.3610025</v>
      </c>
      <c r="X2804">
        <v>0.92682529999999996</v>
      </c>
      <c r="Y2804">
        <v>3.6081630000000003E-2</v>
      </c>
      <c r="Z2804">
        <v>-3.3921149999999998E-3</v>
      </c>
      <c r="AA2804">
        <v>0.99934310000000004</v>
      </c>
      <c r="AB2804">
        <v>37</v>
      </c>
      <c r="AC2804">
        <v>0.46600000000000802</v>
      </c>
      <c r="AD2804">
        <v>-8.9551999999999798E-2</v>
      </c>
      <c r="AE2804">
        <v>-2.43999999999857E-2</v>
      </c>
      <c r="AF2804">
        <v>2.9200529108969302E-2</v>
      </c>
      <c r="AG2804">
        <v>-8.9551999999999798E-2</v>
      </c>
      <c r="AH2804">
        <v>0.44911472088476101</v>
      </c>
      <c r="AI2804">
        <v>101.253539481358</v>
      </c>
      <c r="AJ2804">
        <v>86.279980543783296</v>
      </c>
      <c r="AK2804">
        <v>0.45888589444396799</v>
      </c>
      <c r="AL2804">
        <v>68.838223441763205</v>
      </c>
      <c r="AM2804">
        <v>96.360019629084505</v>
      </c>
      <c r="AN2804">
        <v>0.99999996336721397</v>
      </c>
    </row>
    <row r="2805" spans="1:40" x14ac:dyDescent="0.25">
      <c r="A2805" t="str">
        <f>"20190304164657412"</f>
        <v>20190304164657412</v>
      </c>
      <c r="B2805" t="str">
        <f>"1551689217401473"</f>
        <v>1551689217401473</v>
      </c>
      <c r="C2805" t="s">
        <v>40</v>
      </c>
      <c r="D2805">
        <v>4.5637990000000004</v>
      </c>
      <c r="E2805">
        <v>0.57511889999999999</v>
      </c>
      <c r="F2805" t="s">
        <v>41</v>
      </c>
      <c r="G2805">
        <v>-351.72039999999998</v>
      </c>
      <c r="H2805">
        <v>1.024821</v>
      </c>
      <c r="I2805">
        <v>213.73949999999999</v>
      </c>
      <c r="J2805">
        <v>-352.15010000000001</v>
      </c>
      <c r="K2805">
        <v>1.1108089999999999</v>
      </c>
      <c r="L2805">
        <v>213.76390000000001</v>
      </c>
      <c r="M2805">
        <v>0.99981180000000003</v>
      </c>
      <c r="N2805">
        <v>-1.4798479999999999E-2</v>
      </c>
      <c r="O2805">
        <v>1.2550830000000001E-2</v>
      </c>
      <c r="P2805">
        <v>0.9309674</v>
      </c>
      <c r="Q2805">
        <v>0.34685440000000001</v>
      </c>
      <c r="R2805">
        <v>0.1139825</v>
      </c>
      <c r="S2805">
        <v>3.3699949999999999</v>
      </c>
      <c r="T2805">
        <v>-0.36525550000000001</v>
      </c>
      <c r="U2805">
        <v>-8.363342E-2</v>
      </c>
      <c r="V2805">
        <v>-0.10221330000000001</v>
      </c>
      <c r="W2805">
        <v>0.36063430000000002</v>
      </c>
      <c r="X2805">
        <v>0.92708979999999996</v>
      </c>
      <c r="Y2805">
        <v>3.7054360000000001E-2</v>
      </c>
      <c r="Z2805">
        <v>-3.447954E-3</v>
      </c>
      <c r="AA2805">
        <v>0.99930730000000001</v>
      </c>
      <c r="AB2805">
        <v>36</v>
      </c>
      <c r="AC2805">
        <v>0.42970000000002501</v>
      </c>
      <c r="AD2805">
        <v>-8.5987999999999898E-2</v>
      </c>
      <c r="AE2805">
        <v>-2.4400000000014101E-2</v>
      </c>
      <c r="AF2805">
        <v>2.86482368553958E-2</v>
      </c>
      <c r="AG2805">
        <v>-8.5987999999999898E-2</v>
      </c>
      <c r="AH2805">
        <v>0.41287938435548299</v>
      </c>
      <c r="AI2805">
        <v>101.737058923088</v>
      </c>
      <c r="AJ2805">
        <v>86.030810672246901</v>
      </c>
      <c r="AK2805">
        <v>0.422710354314495</v>
      </c>
      <c r="AL2805">
        <v>68.860846046792403</v>
      </c>
      <c r="AM2805">
        <v>96.291551522818196</v>
      </c>
      <c r="AN2805">
        <v>1.0000000771487001</v>
      </c>
    </row>
    <row r="2806" spans="1:40" x14ac:dyDescent="0.25">
      <c r="A2806" t="str">
        <f>"20190304164657432"</f>
        <v>20190304164657432</v>
      </c>
      <c r="B2806" t="str">
        <f>"1551689217420994"</f>
        <v>1551689217420994</v>
      </c>
      <c r="C2806" t="s">
        <v>40</v>
      </c>
      <c r="D2806">
        <v>4.5567960000000003</v>
      </c>
      <c r="E2806">
        <v>0.57500519999999999</v>
      </c>
      <c r="F2806" t="s">
        <v>41</v>
      </c>
      <c r="G2806">
        <v>-351.38959999999997</v>
      </c>
      <c r="H2806">
        <v>1.0357940000000001</v>
      </c>
      <c r="I2806">
        <v>213.73249999999999</v>
      </c>
      <c r="J2806">
        <v>-351.81450000000001</v>
      </c>
      <c r="K2806">
        <v>1.1108209999999901</v>
      </c>
      <c r="L2806">
        <v>213.7681</v>
      </c>
      <c r="M2806">
        <v>0.99981249999999999</v>
      </c>
      <c r="N2806">
        <v>-1.479493E-2</v>
      </c>
      <c r="O2806">
        <v>1.2503439999999999E-2</v>
      </c>
      <c r="P2806">
        <v>0.93100130000000003</v>
      </c>
      <c r="Q2806">
        <v>0.34714040000000002</v>
      </c>
      <c r="R2806">
        <v>0.11283020000000001</v>
      </c>
      <c r="S2806">
        <v>3.3629760000000002</v>
      </c>
      <c r="T2806">
        <v>-0.3318527</v>
      </c>
      <c r="U2806">
        <v>-0.13795470000000001</v>
      </c>
      <c r="V2806">
        <v>-0.1011117</v>
      </c>
      <c r="W2806">
        <v>0.36091489999999998</v>
      </c>
      <c r="X2806">
        <v>0.92710130000000002</v>
      </c>
      <c r="Y2806">
        <v>5.3137860000000002E-2</v>
      </c>
      <c r="Z2806">
        <v>-4.0545379999999999E-3</v>
      </c>
      <c r="AA2806">
        <v>0.99857899999999999</v>
      </c>
      <c r="AB2806">
        <v>36</v>
      </c>
      <c r="AC2806">
        <v>0.42490000000003603</v>
      </c>
      <c r="AD2806">
        <v>-7.5026999999999705E-2</v>
      </c>
      <c r="AE2806">
        <v>-3.56000000000165E-2</v>
      </c>
      <c r="AF2806">
        <v>3.9681893301936201E-2</v>
      </c>
      <c r="AG2806">
        <v>-7.5026999999999705E-2</v>
      </c>
      <c r="AH2806">
        <v>0.411675467282342</v>
      </c>
      <c r="AI2806">
        <v>100.282046577356</v>
      </c>
      <c r="AJ2806">
        <v>84.494200818312294</v>
      </c>
      <c r="AK2806">
        <v>0.420333669537857</v>
      </c>
      <c r="AL2806">
        <v>68.843605777882104</v>
      </c>
      <c r="AM2806">
        <v>96.224203043205307</v>
      </c>
      <c r="AN2806">
        <v>0.99999998069029405</v>
      </c>
    </row>
    <row r="2807" spans="1:40" x14ac:dyDescent="0.25">
      <c r="A2807" t="str">
        <f>"20190304164657456"</f>
        <v>20190304164657456</v>
      </c>
      <c r="B2807" t="str">
        <f>"1551689217451250"</f>
        <v>1551689217451250</v>
      </c>
      <c r="C2807" t="s">
        <v>40</v>
      </c>
      <c r="D2807">
        <v>4.5623420000000001</v>
      </c>
      <c r="E2807">
        <v>0.5749978</v>
      </c>
      <c r="F2807" t="s">
        <v>41</v>
      </c>
      <c r="G2807">
        <v>-351.06389999999999</v>
      </c>
      <c r="H2807">
        <v>1.037172</v>
      </c>
      <c r="I2807">
        <v>213.7362</v>
      </c>
      <c r="J2807">
        <v>-351.45030000000003</v>
      </c>
      <c r="K2807">
        <v>1.1108340000000001</v>
      </c>
      <c r="L2807">
        <v>213.77260000000001</v>
      </c>
      <c r="M2807">
        <v>0.9998129</v>
      </c>
      <c r="N2807">
        <v>-1.47911E-2</v>
      </c>
      <c r="O2807">
        <v>1.2461730000000001E-2</v>
      </c>
      <c r="P2807">
        <v>0.93094560000000004</v>
      </c>
      <c r="Q2807">
        <v>0.34783550000000002</v>
      </c>
      <c r="R2807">
        <v>0.11113480000000001</v>
      </c>
      <c r="S2807">
        <v>3.3626100000000001</v>
      </c>
      <c r="T2807">
        <v>-0.33008599999999999</v>
      </c>
      <c r="U2807">
        <v>-0.1416473</v>
      </c>
      <c r="V2807">
        <v>-9.946381E-2</v>
      </c>
      <c r="W2807">
        <v>0.36160320000000001</v>
      </c>
      <c r="X2807">
        <v>0.92701140000000004</v>
      </c>
      <c r="Y2807">
        <v>5.4193070000000003E-2</v>
      </c>
      <c r="Z2807">
        <v>-4.090448E-3</v>
      </c>
      <c r="AA2807">
        <v>0.99852209999999997</v>
      </c>
      <c r="AB2807">
        <v>36</v>
      </c>
      <c r="AC2807">
        <v>0.38640000000003699</v>
      </c>
      <c r="AD2807">
        <v>-7.3662000000000102E-2</v>
      </c>
      <c r="AE2807">
        <v>-3.6400000000014601E-2</v>
      </c>
      <c r="AF2807">
        <v>3.9779933442050601E-2</v>
      </c>
      <c r="AG2807">
        <v>-7.3662000000000102E-2</v>
      </c>
      <c r="AH2807">
        <v>0.37249796551533199</v>
      </c>
      <c r="AI2807">
        <v>101.12433614126</v>
      </c>
      <c r="AJ2807">
        <v>83.904351775870794</v>
      </c>
      <c r="AK2807">
        <v>0.38178955939328002</v>
      </c>
      <c r="AL2807">
        <v>68.801313949321397</v>
      </c>
      <c r="AM2807">
        <v>96.124129082067697</v>
      </c>
      <c r="AN2807">
        <v>1.0000000297399501</v>
      </c>
    </row>
    <row r="2808" spans="1:40" x14ac:dyDescent="0.25">
      <c r="A2808" t="str">
        <f>"20190304164657479"</f>
        <v>20190304164657479</v>
      </c>
      <c r="B2808" t="str">
        <f>"1551689217471746"</f>
        <v>1551689217471746</v>
      </c>
      <c r="C2808" t="s">
        <v>40</v>
      </c>
      <c r="D2808">
        <v>4.5349690000000002</v>
      </c>
      <c r="E2808">
        <v>0.57504529999999998</v>
      </c>
      <c r="F2808" t="s">
        <v>41</v>
      </c>
      <c r="G2808">
        <v>-350.42770000000002</v>
      </c>
      <c r="H2808">
        <v>1.010975</v>
      </c>
      <c r="I2808">
        <v>213.72829999999999</v>
      </c>
      <c r="J2808">
        <v>-351.06150000000002</v>
      </c>
      <c r="K2808">
        <v>1.1108480000000001</v>
      </c>
      <c r="L2808">
        <v>213.7774</v>
      </c>
      <c r="M2808">
        <v>0.99981359999999997</v>
      </c>
      <c r="N2808">
        <v>-1.4787059999999999E-2</v>
      </c>
      <c r="O2808">
        <v>1.242592E-2</v>
      </c>
      <c r="P2808">
        <v>0.93105099999999996</v>
      </c>
      <c r="Q2808">
        <v>0.3479796</v>
      </c>
      <c r="R2808">
        <v>0.10979319999999999</v>
      </c>
      <c r="S2808">
        <v>3.3626100000000001</v>
      </c>
      <c r="T2808">
        <v>-0.32834049999999998</v>
      </c>
      <c r="U2808">
        <v>-0.14570620000000001</v>
      </c>
      <c r="V2808">
        <v>-9.8162429999999995E-2</v>
      </c>
      <c r="W2808">
        <v>0.36174230000000002</v>
      </c>
      <c r="X2808">
        <v>0.92709580000000003</v>
      </c>
      <c r="Y2808">
        <v>5.53576E-2</v>
      </c>
      <c r="Z2808">
        <v>-4.1322870000000001E-3</v>
      </c>
      <c r="AA2808">
        <v>0.99845799999999996</v>
      </c>
      <c r="AB2808">
        <v>36</v>
      </c>
      <c r="AC2808">
        <v>0.63380000000000702</v>
      </c>
      <c r="AD2808">
        <v>-9.9873000000000101E-2</v>
      </c>
      <c r="AE2808">
        <v>-4.91000000000099E-2</v>
      </c>
      <c r="AF2808">
        <v>5.56002508274527E-2</v>
      </c>
      <c r="AG2808">
        <v>-9.9873000000000101E-2</v>
      </c>
      <c r="AH2808">
        <v>0.61788967682612095</v>
      </c>
      <c r="AI2808">
        <v>99.145307530328097</v>
      </c>
      <c r="AJ2808">
        <v>84.8581387255078</v>
      </c>
      <c r="AK2808">
        <v>0.62837381927429503</v>
      </c>
      <c r="AL2808">
        <v>68.792764493821295</v>
      </c>
      <c r="AM2808">
        <v>96.044052149115501</v>
      </c>
      <c r="AN2808">
        <v>0.99999998832521697</v>
      </c>
    </row>
    <row r="2809" spans="1:40" x14ac:dyDescent="0.25">
      <c r="A2809" t="str">
        <f>"20190304164657501"</f>
        <v>20190304164657501</v>
      </c>
      <c r="B2809" t="str">
        <f>"1551689217491265"</f>
        <v>1551689217491265</v>
      </c>
      <c r="C2809" t="s">
        <v>40</v>
      </c>
      <c r="D2809">
        <v>4.5723770000000004</v>
      </c>
      <c r="E2809">
        <v>0.57496599999999998</v>
      </c>
      <c r="F2809" t="s">
        <v>41</v>
      </c>
      <c r="G2809">
        <v>-350.10059999999999</v>
      </c>
      <c r="H2809">
        <v>1.017353</v>
      </c>
      <c r="I2809">
        <v>213.73429999999999</v>
      </c>
      <c r="J2809">
        <v>-350.70949999999999</v>
      </c>
      <c r="K2809">
        <v>1.1108559999999901</v>
      </c>
      <c r="L2809">
        <v>213.7817</v>
      </c>
      <c r="M2809">
        <v>0.99981390000000003</v>
      </c>
      <c r="N2809">
        <v>-1.4783579999999999E-2</v>
      </c>
      <c r="O2809">
        <v>1.240055E-2</v>
      </c>
      <c r="P2809">
        <v>0.9310119</v>
      </c>
      <c r="Q2809">
        <v>0.34805999999999998</v>
      </c>
      <c r="R2809">
        <v>0.1098686</v>
      </c>
      <c r="S2809">
        <v>3.3621829999999999</v>
      </c>
      <c r="T2809">
        <v>-0.32727060000000002</v>
      </c>
      <c r="U2809">
        <v>-0.1500397</v>
      </c>
      <c r="V2809">
        <v>-9.8266800000000001E-2</v>
      </c>
      <c r="W2809">
        <v>0.36181740000000001</v>
      </c>
      <c r="X2809">
        <v>0.92705539999999997</v>
      </c>
      <c r="Y2809">
        <v>5.6617460000000001E-2</v>
      </c>
      <c r="Z2809">
        <v>-4.188359E-3</v>
      </c>
      <c r="AA2809">
        <v>0.99838720000000003</v>
      </c>
      <c r="AB2809">
        <v>36</v>
      </c>
      <c r="AC2809">
        <v>0.60890000000000499</v>
      </c>
      <c r="AD2809">
        <v>-9.35029999999996E-2</v>
      </c>
      <c r="AE2809">
        <v>-4.7400000000010302E-2</v>
      </c>
      <c r="AF2809">
        <v>5.3689457887740398E-2</v>
      </c>
      <c r="AG2809">
        <v>-9.35029999999996E-2</v>
      </c>
      <c r="AH2809">
        <v>0.59433482825538597</v>
      </c>
      <c r="AI2809">
        <v>98.905029744711698</v>
      </c>
      <c r="AJ2809">
        <v>84.838174999385899</v>
      </c>
      <c r="AK2809">
        <v>0.60403580769242304</v>
      </c>
      <c r="AL2809">
        <v>68.788148193916399</v>
      </c>
      <c r="AM2809">
        <v>96.050692485377198</v>
      </c>
      <c r="AN2809">
        <v>0.99999995479707904</v>
      </c>
    </row>
    <row r="2810" spans="1:40" x14ac:dyDescent="0.25">
      <c r="A2810" t="str">
        <f>"20190304164657524"</f>
        <v>20190304164657524</v>
      </c>
      <c r="B2810" t="str">
        <f>"1551689217511761"</f>
        <v>1551689217511761</v>
      </c>
      <c r="C2810" t="s">
        <v>40</v>
      </c>
      <c r="D2810">
        <v>4.5918169999999998</v>
      </c>
      <c r="E2810">
        <v>0.57452789999999998</v>
      </c>
      <c r="F2810" t="s">
        <v>41</v>
      </c>
      <c r="G2810">
        <v>-349.77589999999998</v>
      </c>
      <c r="H2810">
        <v>1.019579</v>
      </c>
      <c r="I2810">
        <v>213.73990000000001</v>
      </c>
      <c r="J2810">
        <v>-350.3485</v>
      </c>
      <c r="K2810">
        <v>1.110857</v>
      </c>
      <c r="L2810">
        <v>213.78620000000001</v>
      </c>
      <c r="M2810">
        <v>0.99981419999999999</v>
      </c>
      <c r="N2810">
        <v>-1.477974E-2</v>
      </c>
      <c r="O2810">
        <v>1.2379090000000001E-2</v>
      </c>
      <c r="P2810">
        <v>0.93101630000000002</v>
      </c>
      <c r="Q2810">
        <v>0.3478521</v>
      </c>
      <c r="R2810">
        <v>0.1104866</v>
      </c>
      <c r="S2810">
        <v>3.362946</v>
      </c>
      <c r="T2810">
        <v>-0.32885180000000003</v>
      </c>
      <c r="U2810">
        <v>-0.15008540000000001</v>
      </c>
      <c r="V2810">
        <v>-9.8908510000000005E-2</v>
      </c>
      <c r="W2810">
        <v>0.36160540000000002</v>
      </c>
      <c r="X2810">
        <v>0.9270699</v>
      </c>
      <c r="Y2810">
        <v>5.6596590000000002E-2</v>
      </c>
      <c r="Z2810">
        <v>-4.203465E-3</v>
      </c>
      <c r="AA2810">
        <v>0.99838830000000001</v>
      </c>
      <c r="AB2810">
        <v>36</v>
      </c>
      <c r="AC2810">
        <v>0.57260000000002198</v>
      </c>
      <c r="AD2810">
        <v>-9.1277999999999901E-2</v>
      </c>
      <c r="AE2810">
        <v>-4.6300000000002201E-2</v>
      </c>
      <c r="AF2810">
        <v>5.2070890397880598E-2</v>
      </c>
      <c r="AG2810">
        <v>-9.1277999999999901E-2</v>
      </c>
      <c r="AH2810">
        <v>0.55789799126203299</v>
      </c>
      <c r="AI2810">
        <v>99.252355921354393</v>
      </c>
      <c r="AJ2810">
        <v>84.667799251683405</v>
      </c>
      <c r="AK2810">
        <v>0.56770874536600202</v>
      </c>
      <c r="AL2810">
        <v>68.801177623953706</v>
      </c>
      <c r="AM2810">
        <v>96.0898147150195</v>
      </c>
      <c r="AN2810">
        <v>0.99999997907279403</v>
      </c>
    </row>
    <row r="2811" spans="1:40" x14ac:dyDescent="0.25">
      <c r="A2811" t="str">
        <f>"20190304164657545"</f>
        <v>20190304164657545</v>
      </c>
      <c r="B2811" t="str">
        <f>"1551689217541042"</f>
        <v>1551689217541042</v>
      </c>
      <c r="C2811" t="s">
        <v>40</v>
      </c>
      <c r="D2811">
        <v>4.5166380000000004</v>
      </c>
      <c r="E2811">
        <v>0.57413919999999996</v>
      </c>
      <c r="F2811" t="s">
        <v>41</v>
      </c>
      <c r="G2811">
        <v>-349.45159999999998</v>
      </c>
      <c r="H2811">
        <v>1.022003</v>
      </c>
      <c r="I2811">
        <v>213.74770000000001</v>
      </c>
      <c r="J2811">
        <v>-349.98930000000001</v>
      </c>
      <c r="K2811">
        <v>1.110857</v>
      </c>
      <c r="L2811">
        <v>213.79060000000001</v>
      </c>
      <c r="M2811">
        <v>0.9998146</v>
      </c>
      <c r="N2811">
        <v>-1.4775709999999999E-2</v>
      </c>
      <c r="O2811">
        <v>1.2360579999999999E-2</v>
      </c>
      <c r="P2811">
        <v>0.93082359999999997</v>
      </c>
      <c r="Q2811">
        <v>0.34832529999999901</v>
      </c>
      <c r="R2811">
        <v>0.1106222</v>
      </c>
      <c r="S2811">
        <v>3.363953</v>
      </c>
      <c r="T2811">
        <v>-0.3333197</v>
      </c>
      <c r="U2811">
        <v>-0.14451600000000001</v>
      </c>
      <c r="V2811">
        <v>-9.9067020000000006E-2</v>
      </c>
      <c r="W2811">
        <v>0.36207089999999997</v>
      </c>
      <c r="X2811">
        <v>0.92687129999999995</v>
      </c>
      <c r="Y2811">
        <v>5.491534E-2</v>
      </c>
      <c r="Z2811">
        <v>-4.1589180000000002E-3</v>
      </c>
      <c r="AA2811">
        <v>0.99848230000000004</v>
      </c>
      <c r="AB2811">
        <v>36</v>
      </c>
      <c r="AC2811">
        <v>0.53770000000002904</v>
      </c>
      <c r="AD2811">
        <v>-8.8853999999999905E-2</v>
      </c>
      <c r="AE2811">
        <v>-4.2900000000002998E-2</v>
      </c>
      <c r="AF2811">
        <v>4.8234911210979697E-2</v>
      </c>
      <c r="AG2811">
        <v>-8.8853999999999905E-2</v>
      </c>
      <c r="AH2811">
        <v>0.52293901833058998</v>
      </c>
      <c r="AI2811">
        <v>99.603184988592602</v>
      </c>
      <c r="AJ2811">
        <v>84.730056666746094</v>
      </c>
      <c r="AK2811">
        <v>0.53262262143856798</v>
      </c>
      <c r="AL2811">
        <v>68.772568531328005</v>
      </c>
      <c r="AM2811">
        <v>96.100797773586805</v>
      </c>
      <c r="AN2811">
        <v>1.0000000089210901</v>
      </c>
    </row>
    <row r="2812" spans="1:40" x14ac:dyDescent="0.25">
      <c r="A2812" t="str">
        <f>"20190304164657568"</f>
        <v>20190304164657568</v>
      </c>
      <c r="B2812" t="str">
        <f>"1551689217561539"</f>
        <v>1551689217561539</v>
      </c>
      <c r="C2812" t="s">
        <v>40</v>
      </c>
      <c r="D2812">
        <v>4.4998760000000004</v>
      </c>
      <c r="E2812">
        <v>0.57397989999999999</v>
      </c>
      <c r="F2812" t="s">
        <v>41</v>
      </c>
      <c r="G2812">
        <v>-349.12740000000002</v>
      </c>
      <c r="H2812">
        <v>1.0248619999999999</v>
      </c>
      <c r="I2812">
        <v>213.75489999999999</v>
      </c>
      <c r="J2812">
        <v>-349.62639999999999</v>
      </c>
      <c r="K2812">
        <v>1.1108610000000001</v>
      </c>
      <c r="L2812">
        <v>213.79509999999999</v>
      </c>
      <c r="M2812">
        <v>0.99981489999999995</v>
      </c>
      <c r="N2812">
        <v>-1.4771569999999999E-2</v>
      </c>
      <c r="O2812">
        <v>1.234272E-2</v>
      </c>
      <c r="P2812">
        <v>0.93064340000000001</v>
      </c>
      <c r="Q2812">
        <v>0.3484064</v>
      </c>
      <c r="R2812">
        <v>0.1118743</v>
      </c>
      <c r="S2812">
        <v>3.3651430000000002</v>
      </c>
      <c r="T2812">
        <v>-0.33580320000000002</v>
      </c>
      <c r="U2812">
        <v>-0.13900760000000001</v>
      </c>
      <c r="V2812">
        <v>-0.1003402</v>
      </c>
      <c r="W2812">
        <v>0.36214499999999999</v>
      </c>
      <c r="X2812">
        <v>0.92670540000000001</v>
      </c>
      <c r="Y2812">
        <v>5.3255440000000001E-2</v>
      </c>
      <c r="Z2812">
        <v>-4.0903679999999996E-3</v>
      </c>
      <c r="AA2812">
        <v>0.99857249999999997</v>
      </c>
      <c r="AB2812">
        <v>36</v>
      </c>
      <c r="AC2812">
        <v>0.49899999999996603</v>
      </c>
      <c r="AD2812">
        <v>-8.5998999999999895E-2</v>
      </c>
      <c r="AE2812">
        <v>-4.0199999999998598E-2</v>
      </c>
      <c r="AF2812">
        <v>4.5027832558252497E-2</v>
      </c>
      <c r="AG2812">
        <v>-8.5998999999999895E-2</v>
      </c>
      <c r="AH2812">
        <v>0.48417744283527497</v>
      </c>
      <c r="AI2812">
        <v>100.02937300497101</v>
      </c>
      <c r="AJ2812">
        <v>84.686853923128794</v>
      </c>
      <c r="AK2812">
        <v>0.49381284901914002</v>
      </c>
      <c r="AL2812">
        <v>68.768014228739702</v>
      </c>
      <c r="AM2812">
        <v>96.179698333406904</v>
      </c>
      <c r="AN2812">
        <v>1.00000002757509</v>
      </c>
    </row>
    <row r="2813" spans="1:40" x14ac:dyDescent="0.25">
      <c r="A2813" t="str">
        <f>"20190304164657590"</f>
        <v>20190304164657590</v>
      </c>
      <c r="B2813" t="str">
        <f>"1551689217582033"</f>
        <v>1551689217582033</v>
      </c>
      <c r="C2813" t="s">
        <v>40</v>
      </c>
      <c r="D2813">
        <v>4.5152219999999996</v>
      </c>
      <c r="E2813">
        <v>0.5738434</v>
      </c>
      <c r="F2813" t="s">
        <v>41</v>
      </c>
      <c r="G2813">
        <v>-348.8032</v>
      </c>
      <c r="H2813">
        <v>1.0283089999999999</v>
      </c>
      <c r="I2813">
        <v>213.76249999999999</v>
      </c>
      <c r="J2813">
        <v>-349.26670000000001</v>
      </c>
      <c r="K2813">
        <v>1.110859</v>
      </c>
      <c r="L2813">
        <v>213.79949999999999</v>
      </c>
      <c r="M2813">
        <v>0.99981520000000002</v>
      </c>
      <c r="N2813">
        <v>-1.476745E-2</v>
      </c>
      <c r="O2813">
        <v>1.232538E-2</v>
      </c>
      <c r="P2813">
        <v>0.93066199999999999</v>
      </c>
      <c r="Q2813">
        <v>0.34809630000000003</v>
      </c>
      <c r="R2813">
        <v>0.11268350000000001</v>
      </c>
      <c r="S2813">
        <v>3.365936</v>
      </c>
      <c r="T2813">
        <v>-0.33767819999999998</v>
      </c>
      <c r="U2813">
        <v>-0.13252259999999999</v>
      </c>
      <c r="V2813">
        <v>-0.1011669</v>
      </c>
      <c r="W2813">
        <v>0.36183120000000002</v>
      </c>
      <c r="X2813">
        <v>0.92673810000000001</v>
      </c>
      <c r="Y2813">
        <v>5.1315149999999997E-2</v>
      </c>
      <c r="Z2813">
        <v>-3.9981790000000001E-3</v>
      </c>
      <c r="AA2813">
        <v>0.99867450000000002</v>
      </c>
      <c r="AB2813">
        <v>36</v>
      </c>
      <c r="AC2813">
        <v>0.46350000000001002</v>
      </c>
      <c r="AD2813">
        <v>-8.2550000000000096E-2</v>
      </c>
      <c r="AE2813">
        <v>-3.7000000000006097E-2</v>
      </c>
      <c r="AF2813">
        <v>4.1405552097411299E-2</v>
      </c>
      <c r="AG2813">
        <v>-8.2550000000000096E-2</v>
      </c>
      <c r="AH2813">
        <v>0.44886093342863398</v>
      </c>
      <c r="AI2813">
        <v>100.37772219173399</v>
      </c>
      <c r="AJ2813">
        <v>84.729618218984498</v>
      </c>
      <c r="AK2813">
        <v>0.45826309015991701</v>
      </c>
      <c r="AL2813">
        <v>68.787301774345707</v>
      </c>
      <c r="AM2813">
        <v>96.229995810298206</v>
      </c>
      <c r="AN2813">
        <v>1.00000003247032</v>
      </c>
    </row>
    <row r="2814" spans="1:40" x14ac:dyDescent="0.25">
      <c r="A2814" t="str">
        <f>"20190304164657613"</f>
        <v>20190304164657613</v>
      </c>
      <c r="B2814" t="str">
        <f>"1551689217601557"</f>
        <v>1551689217601557</v>
      </c>
      <c r="C2814" t="s">
        <v>40</v>
      </c>
      <c r="D2814">
        <v>4.4430370000000003</v>
      </c>
      <c r="E2814">
        <v>0.57369599999999998</v>
      </c>
      <c r="F2814" t="s">
        <v>41</v>
      </c>
      <c r="G2814">
        <v>-348.47980000000001</v>
      </c>
      <c r="H2814">
        <v>1.031131</v>
      </c>
      <c r="I2814">
        <v>213.76939999999999</v>
      </c>
      <c r="J2814">
        <v>-348.9076</v>
      </c>
      <c r="K2814">
        <v>1.1108640000000001</v>
      </c>
      <c r="L2814">
        <v>213.8039</v>
      </c>
      <c r="M2814">
        <v>0.99981529999999996</v>
      </c>
      <c r="N2814">
        <v>-1.476336E-2</v>
      </c>
      <c r="O2814">
        <v>1.2307500000000001E-2</v>
      </c>
      <c r="P2814">
        <v>0.93063439999999997</v>
      </c>
      <c r="Q2814">
        <v>0.34798509999999999</v>
      </c>
      <c r="R2814">
        <v>0.11325250000000001</v>
      </c>
      <c r="S2814">
        <v>3.366638</v>
      </c>
      <c r="T2814">
        <v>-0.341126599999999</v>
      </c>
      <c r="U2814">
        <v>-0.1282654</v>
      </c>
      <c r="V2814">
        <v>-0.1017547</v>
      </c>
      <c r="W2814">
        <v>0.36171569999999997</v>
      </c>
      <c r="X2814">
        <v>0.92671879999999995</v>
      </c>
      <c r="Y2814">
        <v>5.00291E-2</v>
      </c>
      <c r="Z2814">
        <v>-3.9600049999999999E-3</v>
      </c>
      <c r="AA2814">
        <v>0.99873990000000001</v>
      </c>
      <c r="AB2814">
        <v>36</v>
      </c>
      <c r="AC2814">
        <v>0.42779999999999002</v>
      </c>
      <c r="AD2814">
        <v>-7.9732999999999804E-2</v>
      </c>
      <c r="AE2814">
        <v>-3.4500000000008399E-2</v>
      </c>
      <c r="AF2814">
        <v>3.8436558098708599E-2</v>
      </c>
      <c r="AG2814">
        <v>-7.9732999999999804E-2</v>
      </c>
      <c r="AH2814">
        <v>0.413086204152392</v>
      </c>
      <c r="AI2814">
        <v>100.878894563171</v>
      </c>
      <c r="AJ2814">
        <v>84.6840882279174</v>
      </c>
      <c r="AK2814">
        <v>0.42246293606481899</v>
      </c>
      <c r="AL2814">
        <v>68.7943995319756</v>
      </c>
      <c r="AM2814">
        <v>96.266035695004504</v>
      </c>
      <c r="AN2814">
        <v>1.0000000004360099</v>
      </c>
    </row>
    <row r="2815" spans="1:40" x14ac:dyDescent="0.25">
      <c r="A2815" t="str">
        <f>"20190304164657633"</f>
        <v>20190304164657633</v>
      </c>
      <c r="B2815" t="str">
        <f>"1551689217621074"</f>
        <v>1551689217621074</v>
      </c>
      <c r="C2815" t="s">
        <v>40</v>
      </c>
      <c r="D2815">
        <v>4.3738049999999999</v>
      </c>
      <c r="E2815">
        <v>0.57181789999999999</v>
      </c>
      <c r="F2815" t="s">
        <v>41</v>
      </c>
      <c r="G2815">
        <v>-348.15629999999999</v>
      </c>
      <c r="H2815">
        <v>1.03464</v>
      </c>
      <c r="I2815">
        <v>213.7758</v>
      </c>
      <c r="J2815">
        <v>-348.57130000000001</v>
      </c>
      <c r="K2815">
        <v>1.110865</v>
      </c>
      <c r="L2815">
        <v>213.80799999999999</v>
      </c>
      <c r="M2815">
        <v>0.99981549999999997</v>
      </c>
      <c r="N2815">
        <v>-1.475954E-2</v>
      </c>
      <c r="O2815">
        <v>1.229045E-2</v>
      </c>
      <c r="P2815">
        <v>0.93078249999999996</v>
      </c>
      <c r="Q2815">
        <v>0.34755269999999999</v>
      </c>
      <c r="R2815">
        <v>0.11336209999999999</v>
      </c>
      <c r="S2815">
        <v>3.3666079999999998</v>
      </c>
      <c r="T2815">
        <v>-0.34173579999999998</v>
      </c>
      <c r="U2815">
        <v>-0.1251526</v>
      </c>
      <c r="V2815">
        <v>-0.1018791</v>
      </c>
      <c r="W2815">
        <v>0.36128169999999998</v>
      </c>
      <c r="X2815">
        <v>0.92687439999999999</v>
      </c>
      <c r="Y2815">
        <v>4.9094619999999999E-2</v>
      </c>
      <c r="Z2815">
        <v>-3.9110639999999997E-3</v>
      </c>
      <c r="AA2815">
        <v>0.99878639999999996</v>
      </c>
      <c r="AB2815">
        <v>36</v>
      </c>
      <c r="AC2815">
        <v>0.41500000000002002</v>
      </c>
      <c r="AD2815">
        <v>-7.6224999999999904E-2</v>
      </c>
      <c r="AE2815">
        <v>-3.2199999999988897E-2</v>
      </c>
      <c r="AF2815">
        <v>3.6088451483195103E-2</v>
      </c>
      <c r="AG2815">
        <v>-7.6224999999999904E-2</v>
      </c>
      <c r="AH2815">
        <v>0.401121442062427</v>
      </c>
      <c r="AI2815">
        <v>100.71733204497301</v>
      </c>
      <c r="AJ2815">
        <v>84.859003513733796</v>
      </c>
      <c r="AK2815">
        <v>0.40989149568842698</v>
      </c>
      <c r="AL2815">
        <v>68.821069192414797</v>
      </c>
      <c r="AM2815">
        <v>96.272590380828106</v>
      </c>
      <c r="AN2815">
        <v>0.99999998557352898</v>
      </c>
    </row>
    <row r="2816" spans="1:40" x14ac:dyDescent="0.25">
      <c r="A2816" t="str">
        <f>"20190304164657658"</f>
        <v>20190304164657658</v>
      </c>
      <c r="B2816" t="str">
        <f>"1551689217651329"</f>
        <v>1551689217651329</v>
      </c>
      <c r="C2816" t="s">
        <v>40</v>
      </c>
      <c r="D2816">
        <v>4.3977649999999997</v>
      </c>
      <c r="E2816">
        <v>0.56992799999999999</v>
      </c>
      <c r="F2816" t="s">
        <v>41</v>
      </c>
      <c r="G2816">
        <v>-347.83429999999998</v>
      </c>
      <c r="H2816">
        <v>1.036016</v>
      </c>
      <c r="I2816">
        <v>213.78370000000001</v>
      </c>
      <c r="J2816">
        <v>-348.18509999999998</v>
      </c>
      <c r="K2816">
        <v>1.1108659999999999</v>
      </c>
      <c r="L2816">
        <v>213.81270000000001</v>
      </c>
      <c r="M2816">
        <v>0.99981580000000003</v>
      </c>
      <c r="N2816">
        <v>-1.475538E-2</v>
      </c>
      <c r="O2816">
        <v>1.227059E-2</v>
      </c>
      <c r="P2816">
        <v>0.93074100000000004</v>
      </c>
      <c r="Q2816">
        <v>0.34769640000000002</v>
      </c>
      <c r="R2816">
        <v>0.1132635</v>
      </c>
      <c r="S2816">
        <v>3.3641969999999999</v>
      </c>
      <c r="T2816">
        <v>-0.34171659999999998</v>
      </c>
      <c r="U2816">
        <v>-0.11106870000000001</v>
      </c>
      <c r="V2816">
        <v>-0.10180069999999999</v>
      </c>
      <c r="W2816">
        <v>0.36142089999999999</v>
      </c>
      <c r="X2816">
        <v>0.92682869999999995</v>
      </c>
      <c r="Y2816">
        <v>4.4948799999999997E-2</v>
      </c>
      <c r="Z2816">
        <v>-3.6713219999999999E-3</v>
      </c>
      <c r="AA2816">
        <v>0.9989825</v>
      </c>
      <c r="AB2816">
        <v>36</v>
      </c>
      <c r="AC2816">
        <v>0.35079999999999201</v>
      </c>
      <c r="AD2816">
        <v>-7.4849999999999806E-2</v>
      </c>
      <c r="AE2816">
        <v>-2.89999999999963E-2</v>
      </c>
      <c r="AF2816">
        <v>3.1862084206874697E-2</v>
      </c>
      <c r="AG2816">
        <v>-7.4849999999999806E-2</v>
      </c>
      <c r="AH2816">
        <v>0.33525816168749301</v>
      </c>
      <c r="AI2816">
        <v>102.530832340168</v>
      </c>
      <c r="AJ2816">
        <v>84.571060393289599</v>
      </c>
      <c r="AK2816">
        <v>0.344986593780227</v>
      </c>
      <c r="AL2816">
        <v>68.812514738687995</v>
      </c>
      <c r="AM2816">
        <v>96.268108399041793</v>
      </c>
      <c r="AN2816">
        <v>0.99999994431049299</v>
      </c>
    </row>
    <row r="2817" spans="1:40" x14ac:dyDescent="0.25">
      <c r="A2817" t="str">
        <f>"20190304164657680"</f>
        <v>20190304164657680</v>
      </c>
      <c r="B2817" t="str">
        <f>"1551689217671826"</f>
        <v>1551689217671826</v>
      </c>
      <c r="C2817" t="s">
        <v>40</v>
      </c>
      <c r="D2817">
        <v>4.4089</v>
      </c>
      <c r="E2817">
        <v>0.56891210000000003</v>
      </c>
      <c r="F2817" t="s">
        <v>41</v>
      </c>
      <c r="G2817">
        <v>-347.2047</v>
      </c>
      <c r="H2817">
        <v>1.0117750000000001</v>
      </c>
      <c r="I2817">
        <v>213.7841</v>
      </c>
      <c r="J2817">
        <v>-347.81450000000001</v>
      </c>
      <c r="K2817">
        <v>1.1108720000000001</v>
      </c>
      <c r="L2817">
        <v>213.81729999999999</v>
      </c>
      <c r="M2817">
        <v>0.99981620000000004</v>
      </c>
      <c r="N2817">
        <v>-1.475132E-2</v>
      </c>
      <c r="O2817">
        <v>1.2251379999999999E-2</v>
      </c>
      <c r="P2817">
        <v>0.93078209999999995</v>
      </c>
      <c r="Q2817">
        <v>0.34767409999999999</v>
      </c>
      <c r="R2817">
        <v>0.11299439999999999</v>
      </c>
      <c r="S2817">
        <v>3.3620909999999999</v>
      </c>
      <c r="T2817">
        <v>-0.33991070000000001</v>
      </c>
      <c r="U2817">
        <v>-9.7381590000000004E-2</v>
      </c>
      <c r="V2817">
        <v>-0.1015495</v>
      </c>
      <c r="W2817">
        <v>0.36139510000000002</v>
      </c>
      <c r="X2817">
        <v>0.92686639999999998</v>
      </c>
      <c r="Y2817">
        <v>4.0913329999999998E-2</v>
      </c>
      <c r="Z2817">
        <v>-3.420176E-3</v>
      </c>
      <c r="AA2817">
        <v>0.99915679999999996</v>
      </c>
      <c r="AB2817">
        <v>36</v>
      </c>
      <c r="AC2817">
        <v>0.609800000000007</v>
      </c>
      <c r="AD2817">
        <v>-9.9096999999999699E-2</v>
      </c>
      <c r="AE2817">
        <v>-3.3199999999993603E-2</v>
      </c>
      <c r="AF2817">
        <v>3.9625839623550201E-2</v>
      </c>
      <c r="AG2817">
        <v>-9.9096999999999699E-2</v>
      </c>
      <c r="AH2817">
        <v>0.59371457278726703</v>
      </c>
      <c r="AI2817">
        <v>99.455241458910095</v>
      </c>
      <c r="AJ2817">
        <v>86.181614398754206</v>
      </c>
      <c r="AK2817">
        <v>0.60323081528950295</v>
      </c>
      <c r="AL2817">
        <v>68.814101840902097</v>
      </c>
      <c r="AM2817">
        <v>96.252511771268701</v>
      </c>
      <c r="AN2817">
        <v>1.0000000213516</v>
      </c>
    </row>
    <row r="2818" spans="1:40" x14ac:dyDescent="0.25">
      <c r="A2818" t="str">
        <f>"20190304164657704"</f>
        <v>20190304164657704</v>
      </c>
      <c r="B2818" t="str">
        <f>"1551689217701107"</f>
        <v>1551689217701107</v>
      </c>
      <c r="C2818" t="s">
        <v>40</v>
      </c>
      <c r="D2818">
        <v>4.3884030000000003</v>
      </c>
      <c r="E2818">
        <v>0.56759969999999904</v>
      </c>
      <c r="F2818" t="s">
        <v>41</v>
      </c>
      <c r="G2818">
        <v>-346.88199999999898</v>
      </c>
      <c r="H2818">
        <v>1.016691</v>
      </c>
      <c r="I2818">
        <v>213.79230000000001</v>
      </c>
      <c r="J2818">
        <v>-347.45659999999998</v>
      </c>
      <c r="K2818">
        <v>1.110876</v>
      </c>
      <c r="L2818">
        <v>213.82169999999999</v>
      </c>
      <c r="M2818">
        <v>0.9998165</v>
      </c>
      <c r="N2818">
        <v>-1.4747410000000001E-2</v>
      </c>
      <c r="O2818">
        <v>1.2232939999999999E-2</v>
      </c>
      <c r="P2818">
        <v>0.93077520000000002</v>
      </c>
      <c r="Q2818">
        <v>0.3478272</v>
      </c>
      <c r="R2818">
        <v>0.1125792</v>
      </c>
      <c r="S2818">
        <v>3.3608090000000002</v>
      </c>
      <c r="T2818">
        <v>-0.33944180000000002</v>
      </c>
      <c r="U2818">
        <v>-8.9996339999999994E-2</v>
      </c>
      <c r="V2818">
        <v>-0.10115159999999999</v>
      </c>
      <c r="W2818">
        <v>0.36154409999999998</v>
      </c>
      <c r="X2818">
        <v>0.9268518</v>
      </c>
      <c r="Y2818">
        <v>3.8725290000000002E-2</v>
      </c>
      <c r="Z2818">
        <v>-3.2889780000000001E-3</v>
      </c>
      <c r="AA2818">
        <v>0.99924449999999998</v>
      </c>
      <c r="AB2818">
        <v>36</v>
      </c>
      <c r="AC2818">
        <v>0.57460000000003197</v>
      </c>
      <c r="AD2818">
        <v>-9.4184999999999894E-2</v>
      </c>
      <c r="AE2818">
        <v>-2.9399999999981202E-2</v>
      </c>
      <c r="AF2818">
        <v>3.5476912887979301E-2</v>
      </c>
      <c r="AG2818">
        <v>-9.4184999999999894E-2</v>
      </c>
      <c r="AH2818">
        <v>0.55921174621201197</v>
      </c>
      <c r="AI2818">
        <v>99.541464644662</v>
      </c>
      <c r="AJ2818">
        <v>86.369967276784806</v>
      </c>
      <c r="AK2818">
        <v>0.56819644725618301</v>
      </c>
      <c r="AL2818">
        <v>68.804945652643298</v>
      </c>
      <c r="AM2818">
        <v>96.228302888813801</v>
      </c>
      <c r="AN2818">
        <v>1.0000000207952999</v>
      </c>
    </row>
    <row r="2819" spans="1:40" x14ac:dyDescent="0.25">
      <c r="A2819" t="str">
        <f>"20190304164657725"</f>
        <v>20190304164657725</v>
      </c>
      <c r="B2819" t="str">
        <f>"1551689217721602"</f>
        <v>1551689217721602</v>
      </c>
      <c r="C2819" t="s">
        <v>40</v>
      </c>
      <c r="D2819">
        <v>4.2252939999999999</v>
      </c>
      <c r="E2819">
        <v>0.56706800000000002</v>
      </c>
      <c r="F2819" t="s">
        <v>41</v>
      </c>
      <c r="G2819">
        <v>-346.56029999999998</v>
      </c>
      <c r="H2819">
        <v>1.0203139999999999</v>
      </c>
      <c r="I2819">
        <v>213.79990000000001</v>
      </c>
      <c r="J2819">
        <v>-347.1121</v>
      </c>
      <c r="K2819">
        <v>1.1108739999999999</v>
      </c>
      <c r="L2819">
        <v>213.82589999999999</v>
      </c>
      <c r="M2819">
        <v>0.99981679999999995</v>
      </c>
      <c r="N2819">
        <v>-1.474366E-2</v>
      </c>
      <c r="O2819">
        <v>1.2215220000000001E-2</v>
      </c>
      <c r="P2819">
        <v>0.93085770000000001</v>
      </c>
      <c r="Q2819">
        <v>0.34768149999999998</v>
      </c>
      <c r="R2819">
        <v>0.11234760000000001</v>
      </c>
      <c r="S2819">
        <v>3.3598629999999998</v>
      </c>
      <c r="T2819">
        <v>-0.33951350000000002</v>
      </c>
      <c r="U2819">
        <v>-8.1314090000000006E-2</v>
      </c>
      <c r="V2819">
        <v>-0.1009364</v>
      </c>
      <c r="W2819">
        <v>0.361396</v>
      </c>
      <c r="X2819">
        <v>0.92693300000000001</v>
      </c>
      <c r="Y2819">
        <v>3.6149319999999999E-2</v>
      </c>
      <c r="Z2819">
        <v>-3.14022E-3</v>
      </c>
      <c r="AA2819">
        <v>0.99934149999999999</v>
      </c>
      <c r="AB2819">
        <v>36</v>
      </c>
      <c r="AC2819">
        <v>0.55180000000001395</v>
      </c>
      <c r="AD2819">
        <v>-9.0559999999999904E-2</v>
      </c>
      <c r="AE2819">
        <v>-2.5999999999981999E-2</v>
      </c>
      <c r="AF2819">
        <v>3.1882317129522601E-2</v>
      </c>
      <c r="AG2819">
        <v>-9.0559999999999904E-2</v>
      </c>
      <c r="AH2819">
        <v>0.537009143214777</v>
      </c>
      <c r="AI2819">
        <v>99.555652950700605</v>
      </c>
      <c r="AJ2819">
        <v>86.6023288855435</v>
      </c>
      <c r="AK2819">
        <v>0.54552398264587398</v>
      </c>
      <c r="AL2819">
        <v>68.814046197589903</v>
      </c>
      <c r="AM2819">
        <v>96.214615795009394</v>
      </c>
      <c r="AN2819">
        <v>1.0000000060749701</v>
      </c>
    </row>
    <row r="2820" spans="1:40" x14ac:dyDescent="0.25">
      <c r="A2820" t="str">
        <f>"20190304164657747"</f>
        <v>20190304164657747</v>
      </c>
      <c r="B2820" t="str">
        <f>"1551689217741122"</f>
        <v>1551689217741122</v>
      </c>
      <c r="C2820" t="s">
        <v>40</v>
      </c>
      <c r="D2820">
        <v>4.3807349999999996</v>
      </c>
      <c r="E2820">
        <v>0.56645880000000004</v>
      </c>
      <c r="F2820" t="s">
        <v>41</v>
      </c>
      <c r="G2820">
        <v>-346.23950000000002</v>
      </c>
      <c r="H2820">
        <v>1.0228330000000001</v>
      </c>
      <c r="I2820">
        <v>213.80539999999999</v>
      </c>
      <c r="J2820">
        <v>-346.75150000000002</v>
      </c>
      <c r="K2820">
        <v>1.1108739999999999</v>
      </c>
      <c r="L2820">
        <v>213.83029999999999</v>
      </c>
      <c r="M2820">
        <v>0.99981710000000001</v>
      </c>
      <c r="N2820">
        <v>-1.473969E-2</v>
      </c>
      <c r="O2820">
        <v>1.219636E-2</v>
      </c>
      <c r="P2820">
        <v>0.93105099999999996</v>
      </c>
      <c r="Q2820">
        <v>0.34713579999999999</v>
      </c>
      <c r="R2820">
        <v>0.112432</v>
      </c>
      <c r="S2820">
        <v>3.3588559999999998</v>
      </c>
      <c r="T2820">
        <v>-0.33904420000000002</v>
      </c>
      <c r="U2820">
        <v>-7.7697749999999996E-2</v>
      </c>
      <c r="V2820">
        <v>-0.10103620000000001</v>
      </c>
      <c r="W2820">
        <v>0.36084949999999999</v>
      </c>
      <c r="X2820">
        <v>0.92713500000000004</v>
      </c>
      <c r="Y2820">
        <v>3.506927E-2</v>
      </c>
      <c r="Z2820">
        <v>-3.072965E-3</v>
      </c>
      <c r="AA2820">
        <v>0.99938020000000005</v>
      </c>
      <c r="AB2820">
        <v>36</v>
      </c>
      <c r="AC2820">
        <v>0.51200000000000001</v>
      </c>
      <c r="AD2820">
        <v>-8.80409999999998E-2</v>
      </c>
      <c r="AE2820">
        <v>-2.4900000000002299E-2</v>
      </c>
      <c r="AF2820">
        <v>3.0250994170143E-2</v>
      </c>
      <c r="AG2820">
        <v>-8.80409999999998E-2</v>
      </c>
      <c r="AH2820">
        <v>0.49699737164149899</v>
      </c>
      <c r="AI2820">
        <v>100.027314126729</v>
      </c>
      <c r="AJ2820">
        <v>86.516845658447906</v>
      </c>
      <c r="AK2820">
        <v>0.50564090790583804</v>
      </c>
      <c r="AL2820">
        <v>68.847623929040694</v>
      </c>
      <c r="AM2820">
        <v>96.219367573864005</v>
      </c>
      <c r="AN2820">
        <v>0.99999999179284504</v>
      </c>
    </row>
    <row r="2821" spans="1:40" x14ac:dyDescent="0.25">
      <c r="A2821" t="str">
        <f>"20190304164657771"</f>
        <v>20190304164657771</v>
      </c>
      <c r="B2821" t="str">
        <f>"1551689217761618"</f>
        <v>1551689217761618</v>
      </c>
      <c r="C2821" t="s">
        <v>40</v>
      </c>
      <c r="D2821">
        <v>4.2232849999999997</v>
      </c>
      <c r="E2821">
        <v>0.56606909999999999</v>
      </c>
      <c r="F2821" t="s">
        <v>41</v>
      </c>
      <c r="G2821">
        <v>-345.9187</v>
      </c>
      <c r="H2821">
        <v>1.0262039999999999</v>
      </c>
      <c r="I2821">
        <v>213.81209999999999</v>
      </c>
      <c r="J2821">
        <v>-346.37970000000001</v>
      </c>
      <c r="K2821">
        <v>1.1108720000000001</v>
      </c>
      <c r="L2821">
        <v>213.8347</v>
      </c>
      <c r="M2821">
        <v>0.99981739999999997</v>
      </c>
      <c r="N2821">
        <v>-1.473563E-2</v>
      </c>
      <c r="O2821">
        <v>1.217708E-2</v>
      </c>
      <c r="P2821">
        <v>0.93113889999999999</v>
      </c>
      <c r="Q2821">
        <v>0.34686250000000002</v>
      </c>
      <c r="R2821">
        <v>0.1125468</v>
      </c>
      <c r="S2821">
        <v>3.358276</v>
      </c>
      <c r="T2821">
        <v>-0.34152670000000002</v>
      </c>
      <c r="U2821">
        <v>-7.2326660000000001E-2</v>
      </c>
      <c r="V2821">
        <v>-0.10116799999999999</v>
      </c>
      <c r="W2821">
        <v>0.3605738</v>
      </c>
      <c r="X2821">
        <v>0.92722789999999999</v>
      </c>
      <c r="Y2821">
        <v>3.3462260000000001E-2</v>
      </c>
      <c r="Z2821">
        <v>-3.000281E-3</v>
      </c>
      <c r="AA2821">
        <v>0.99943550000000003</v>
      </c>
      <c r="AB2821">
        <v>36</v>
      </c>
      <c r="AC2821">
        <v>0.46100000000001201</v>
      </c>
      <c r="AD2821">
        <v>-8.4667999999999702E-2</v>
      </c>
      <c r="AE2821">
        <v>-2.2600000000011201E-2</v>
      </c>
      <c r="AF2821">
        <v>2.7294100829128198E-2</v>
      </c>
      <c r="AG2821">
        <v>-8.4667999999999702E-2</v>
      </c>
      <c r="AH2821">
        <v>0.44569270417201601</v>
      </c>
      <c r="AI2821">
        <v>100.736632811196</v>
      </c>
      <c r="AJ2821">
        <v>86.495598422343704</v>
      </c>
      <c r="AK2821">
        <v>0.454483910294122</v>
      </c>
      <c r="AL2821">
        <v>68.864560866890201</v>
      </c>
      <c r="AM2821">
        <v>96.2267978996247</v>
      </c>
      <c r="AN2821">
        <v>1.0000000040044199</v>
      </c>
    </row>
    <row r="2822" spans="1:40" x14ac:dyDescent="0.25">
      <c r="A2822" t="str">
        <f>"20190304164657791"</f>
        <v>20190304164657791</v>
      </c>
      <c r="B2822" t="str">
        <f>"1551689217781138"</f>
        <v>1551689217781138</v>
      </c>
      <c r="C2822" t="s">
        <v>40</v>
      </c>
      <c r="D2822">
        <v>4.2391610000000002</v>
      </c>
      <c r="E2822">
        <v>0.56571719999999903</v>
      </c>
      <c r="F2822" t="s">
        <v>41</v>
      </c>
      <c r="G2822">
        <v>-345.59739999999999</v>
      </c>
      <c r="H2822">
        <v>1.031247</v>
      </c>
      <c r="I2822">
        <v>213.81870000000001</v>
      </c>
      <c r="J2822">
        <v>-346.04270000000002</v>
      </c>
      <c r="K2822">
        <v>1.1108769999999999</v>
      </c>
      <c r="L2822">
        <v>213.83879999999999</v>
      </c>
      <c r="M2822">
        <v>0.99981759999999997</v>
      </c>
      <c r="N2822">
        <v>-1.4731950000000001E-2</v>
      </c>
      <c r="O2822">
        <v>1.215953E-2</v>
      </c>
      <c r="P2822">
        <v>0.93109660000000005</v>
      </c>
      <c r="Q2822">
        <v>0.3470319</v>
      </c>
      <c r="R2822">
        <v>0.1123758</v>
      </c>
      <c r="S2822">
        <v>3.3574519999999999</v>
      </c>
      <c r="T2822">
        <v>-0.34174080000000001</v>
      </c>
      <c r="U2822">
        <v>-6.8511959999999997E-2</v>
      </c>
      <c r="V2822">
        <v>-0.1010139</v>
      </c>
      <c r="W2822">
        <v>0.36073880000000003</v>
      </c>
      <c r="X2822">
        <v>0.92718049999999996</v>
      </c>
      <c r="Y2822">
        <v>3.2321330000000002E-2</v>
      </c>
      <c r="Z2822">
        <v>-2.9349749999999998E-3</v>
      </c>
      <c r="AA2822">
        <v>0.99947319999999995</v>
      </c>
      <c r="AB2822">
        <v>36</v>
      </c>
      <c r="AC2822">
        <v>0.445300000000031</v>
      </c>
      <c r="AD2822">
        <v>-7.9630000000000006E-2</v>
      </c>
      <c r="AE2822">
        <v>-2.0099999999985099E-2</v>
      </c>
      <c r="AF2822">
        <v>2.47247066201642E-2</v>
      </c>
      <c r="AG2822">
        <v>-7.9630000000000006E-2</v>
      </c>
      <c r="AH2822">
        <v>0.43125995228497699</v>
      </c>
      <c r="AI2822">
        <v>100.444777854386</v>
      </c>
      <c r="AJ2822">
        <v>86.718748642172699</v>
      </c>
      <c r="AK2822">
        <v>0.43924639379543501</v>
      </c>
      <c r="AL2822">
        <v>68.854424472678403</v>
      </c>
      <c r="AM2822">
        <v>96.217702883325003</v>
      </c>
      <c r="AN2822">
        <v>0.99999998469944895</v>
      </c>
    </row>
    <row r="2823" spans="1:40" x14ac:dyDescent="0.25">
      <c r="A2823" t="str">
        <f>"20190304164657814"</f>
        <v>20190304164657814</v>
      </c>
      <c r="B2823" t="str">
        <f>"1551689217801634"</f>
        <v>1551689217801634</v>
      </c>
      <c r="C2823" t="s">
        <v>40</v>
      </c>
      <c r="D2823">
        <v>4.3667809999999996</v>
      </c>
      <c r="E2823">
        <v>0.56544280000000002</v>
      </c>
      <c r="F2823" t="s">
        <v>41</v>
      </c>
      <c r="G2823">
        <v>-345.27800000000002</v>
      </c>
      <c r="H2823">
        <v>1.033301</v>
      </c>
      <c r="I2823">
        <v>213.8236</v>
      </c>
      <c r="J2823">
        <v>-345.69729999999998</v>
      </c>
      <c r="K2823">
        <v>1.1108819999999999</v>
      </c>
      <c r="L2823">
        <v>213.84299999999999</v>
      </c>
      <c r="M2823">
        <v>0.99981790000000004</v>
      </c>
      <c r="N2823">
        <v>-1.4728069999999999E-2</v>
      </c>
      <c r="O2823">
        <v>1.214168E-2</v>
      </c>
      <c r="P2823">
        <v>0.93116690000000002</v>
      </c>
      <c r="Q2823">
        <v>0.34688350000000001</v>
      </c>
      <c r="R2823">
        <v>0.1122517</v>
      </c>
      <c r="S2823">
        <v>3.3569949999999902</v>
      </c>
      <c r="T2823">
        <v>-0.34061049999999998</v>
      </c>
      <c r="U2823">
        <v>-6.6726679999999997E-2</v>
      </c>
      <c r="V2823">
        <v>-0.1009057</v>
      </c>
      <c r="W2823">
        <v>0.36058750000000001</v>
      </c>
      <c r="X2823">
        <v>0.92725119999999905</v>
      </c>
      <c r="Y2823">
        <v>3.1779670000000003E-2</v>
      </c>
      <c r="Z2823">
        <v>-2.8929400000000001E-3</v>
      </c>
      <c r="AA2823">
        <v>0.99949069999999995</v>
      </c>
      <c r="AB2823">
        <v>36</v>
      </c>
      <c r="AC2823">
        <v>0.41929999999996398</v>
      </c>
      <c r="AD2823">
        <v>-7.75809999999999E-2</v>
      </c>
      <c r="AE2823">
        <v>-1.93999999999903E-2</v>
      </c>
      <c r="AF2823">
        <v>2.3681152781532201E-2</v>
      </c>
      <c r="AG2823">
        <v>-7.75809999999999E-2</v>
      </c>
      <c r="AH2823">
        <v>0.40519170184132403</v>
      </c>
      <c r="AI2823">
        <v>100.82106327048299</v>
      </c>
      <c r="AJ2823">
        <v>86.655192093642498</v>
      </c>
      <c r="AK2823">
        <v>0.413231077968648</v>
      </c>
      <c r="AL2823">
        <v>68.863720246089201</v>
      </c>
      <c r="AM2823">
        <v>96.2106250609868</v>
      </c>
      <c r="AN2823">
        <v>1.00000004667508</v>
      </c>
    </row>
    <row r="2824" spans="1:40" x14ac:dyDescent="0.25">
      <c r="A2824" t="str">
        <f>"20190304164657836"</f>
        <v>20190304164657836</v>
      </c>
      <c r="B2824" t="str">
        <f>"1551689217831808"</f>
        <v>1551689217831808</v>
      </c>
      <c r="C2824" t="s">
        <v>40</v>
      </c>
      <c r="D2824">
        <v>4.2242309999999996</v>
      </c>
      <c r="E2824">
        <v>0.56511279999999997</v>
      </c>
      <c r="F2824" t="s">
        <v>41</v>
      </c>
      <c r="G2824">
        <v>-344.95859999999999</v>
      </c>
      <c r="H2824">
        <v>1.0358860000000001</v>
      </c>
      <c r="I2824">
        <v>213.8288</v>
      </c>
      <c r="J2824">
        <v>-345.351</v>
      </c>
      <c r="K2824">
        <v>1.110886</v>
      </c>
      <c r="L2824">
        <v>213.84719999999999</v>
      </c>
      <c r="M2824">
        <v>0.99981810000000004</v>
      </c>
      <c r="N2824">
        <v>-1.4724309999999999E-2</v>
      </c>
      <c r="O2824">
        <v>1.212359E-2</v>
      </c>
      <c r="P2824">
        <v>0.93101420000000001</v>
      </c>
      <c r="Q2824">
        <v>0.34719949999999999</v>
      </c>
      <c r="R2824">
        <v>0.11254069999999999</v>
      </c>
      <c r="S2824">
        <v>3.3564759999999998</v>
      </c>
      <c r="T2824">
        <v>-0.34081709999999998</v>
      </c>
      <c r="U2824">
        <v>-6.4178470000000001E-2</v>
      </c>
      <c r="V2824">
        <v>-0.1012137</v>
      </c>
      <c r="W2824">
        <v>0.36089850000000001</v>
      </c>
      <c r="X2824">
        <v>0.92709660000000005</v>
      </c>
      <c r="Y2824">
        <v>3.1010380000000001E-2</v>
      </c>
      <c r="Z2824">
        <v>-2.8488910000000001E-3</v>
      </c>
      <c r="AA2824">
        <v>0.99951500000000004</v>
      </c>
      <c r="AB2824">
        <v>36</v>
      </c>
      <c r="AC2824">
        <v>0.39240000000000902</v>
      </c>
      <c r="AD2824">
        <v>-7.49999999999999E-2</v>
      </c>
      <c r="AE2824">
        <v>-1.8399999999985501E-2</v>
      </c>
      <c r="AF2824">
        <v>2.23420669127199E-2</v>
      </c>
      <c r="AG2824">
        <v>-7.49999999999999E-2</v>
      </c>
      <c r="AH2824">
        <v>0.378356543534416</v>
      </c>
      <c r="AI2824">
        <v>101.19314629531</v>
      </c>
      <c r="AJ2824">
        <v>86.620591388667904</v>
      </c>
      <c r="AK2824">
        <v>0.38636490781286398</v>
      </c>
      <c r="AL2824">
        <v>68.844614275401398</v>
      </c>
      <c r="AM2824">
        <v>96.230463909376596</v>
      </c>
      <c r="AN2824">
        <v>1.00000002305074</v>
      </c>
    </row>
    <row r="2825" spans="1:40" x14ac:dyDescent="0.25">
      <c r="A2825" t="str">
        <f>"20190304164657859"</f>
        <v>20190304164657859</v>
      </c>
      <c r="B2825" t="str">
        <f>"1551689217851327"</f>
        <v>1551689217851327</v>
      </c>
      <c r="C2825" t="s">
        <v>40</v>
      </c>
      <c r="D2825">
        <v>4.2485549999999996</v>
      </c>
      <c r="E2825">
        <v>0.56503049999999999</v>
      </c>
      <c r="F2825" t="s">
        <v>41</v>
      </c>
      <c r="G2825">
        <v>-344.33690000000001</v>
      </c>
      <c r="H2825">
        <v>1.008764</v>
      </c>
      <c r="I2825">
        <v>213.82830000000001</v>
      </c>
      <c r="J2825">
        <v>-344.98200000000003</v>
      </c>
      <c r="K2825">
        <v>1.110884</v>
      </c>
      <c r="L2825">
        <v>213.85169999999999</v>
      </c>
      <c r="M2825">
        <v>0.9998184</v>
      </c>
      <c r="N2825">
        <v>-1.472032E-2</v>
      </c>
      <c r="O2825">
        <v>1.210468E-2</v>
      </c>
      <c r="P2825">
        <v>0.93107589999999996</v>
      </c>
      <c r="Q2825">
        <v>0.34691060000000001</v>
      </c>
      <c r="R2825">
        <v>0.112918699999999</v>
      </c>
      <c r="S2825">
        <v>3.3558349999999999</v>
      </c>
      <c r="T2825">
        <v>-0.33805190000000002</v>
      </c>
      <c r="U2825">
        <v>-6.1553959999999998E-2</v>
      </c>
      <c r="V2825">
        <v>-0.1016088</v>
      </c>
      <c r="W2825">
        <v>0.3606067</v>
      </c>
      <c r="X2825">
        <v>0.92716690000000002</v>
      </c>
      <c r="Y2825">
        <v>3.022186E-2</v>
      </c>
      <c r="Z2825">
        <v>-2.779761E-3</v>
      </c>
      <c r="AA2825">
        <v>0.99953939999999997</v>
      </c>
      <c r="AB2825">
        <v>36</v>
      </c>
      <c r="AC2825">
        <v>0.64509999999995604</v>
      </c>
      <c r="AD2825">
        <v>-0.10212</v>
      </c>
      <c r="AE2825">
        <v>-2.3399999999980901E-2</v>
      </c>
      <c r="AF2825">
        <v>3.04459120752219E-2</v>
      </c>
      <c r="AG2825">
        <v>-0.10212</v>
      </c>
      <c r="AH2825">
        <v>0.62902722879939299</v>
      </c>
      <c r="AI2825">
        <v>99.210687094212801</v>
      </c>
      <c r="AJ2825">
        <v>87.228956283269397</v>
      </c>
      <c r="AK2825">
        <v>0.63798957870261197</v>
      </c>
      <c r="AL2825">
        <v>68.862539791871995</v>
      </c>
      <c r="AM2825">
        <v>96.2541224148857</v>
      </c>
      <c r="AN2825">
        <v>1.00000000038897</v>
      </c>
    </row>
    <row r="2826" spans="1:40" x14ac:dyDescent="0.25">
      <c r="A2826" t="str">
        <f>"20190304164657881"</f>
        <v>20190304164657881</v>
      </c>
      <c r="B2826" t="str">
        <f>"1551689217871823"</f>
        <v>1551689217871823</v>
      </c>
      <c r="C2826" t="s">
        <v>40</v>
      </c>
      <c r="D2826">
        <v>4.2497099999999897</v>
      </c>
      <c r="E2826">
        <v>0.56474829999999998</v>
      </c>
      <c r="F2826" t="s">
        <v>41</v>
      </c>
      <c r="G2826">
        <v>-344.01690000000002</v>
      </c>
      <c r="H2826">
        <v>1.0148379999999999</v>
      </c>
      <c r="I2826">
        <v>213.8339</v>
      </c>
      <c r="J2826">
        <v>-344.62560000000002</v>
      </c>
      <c r="K2826">
        <v>1.110884</v>
      </c>
      <c r="L2826">
        <v>213.85599999999999</v>
      </c>
      <c r="M2826">
        <v>0.99981869999999995</v>
      </c>
      <c r="N2826">
        <v>-1.4716450000000001E-2</v>
      </c>
      <c r="O2826">
        <v>1.2086110000000001E-2</v>
      </c>
      <c r="P2826">
        <v>0.93108590000000002</v>
      </c>
      <c r="Q2826">
        <v>0.34694019999999998</v>
      </c>
      <c r="R2826">
        <v>0.1127465</v>
      </c>
      <c r="S2826">
        <v>3.3539119999999998</v>
      </c>
      <c r="T2826">
        <v>-0.33384000000000003</v>
      </c>
      <c r="U2826">
        <v>-6.1553959999999998E-2</v>
      </c>
      <c r="V2826">
        <v>-0.1014543</v>
      </c>
      <c r="W2826">
        <v>0.36063250000000002</v>
      </c>
      <c r="X2826">
        <v>0.92717380000000005</v>
      </c>
      <c r="Y2826">
        <v>3.0218999999999999E-2</v>
      </c>
      <c r="Z2826">
        <v>-2.7456300000000002E-3</v>
      </c>
      <c r="AA2826">
        <v>0.99953959999999997</v>
      </c>
      <c r="AB2826">
        <v>35</v>
      </c>
      <c r="AC2826">
        <v>0.60869999999999802</v>
      </c>
      <c r="AD2826">
        <v>-9.6046000000000006E-2</v>
      </c>
      <c r="AE2826">
        <v>-2.20999999999946E-2</v>
      </c>
      <c r="AF2826">
        <v>2.87413574207366E-2</v>
      </c>
      <c r="AG2826">
        <v>-9.6046000000000006E-2</v>
      </c>
      <c r="AH2826">
        <v>0.593628128290976</v>
      </c>
      <c r="AI2826">
        <v>99.179951708019402</v>
      </c>
      <c r="AJ2826">
        <v>87.228107200801603</v>
      </c>
      <c r="AK2826">
        <v>0.60203426351050304</v>
      </c>
      <c r="AL2826">
        <v>68.860955248100097</v>
      </c>
      <c r="AM2826">
        <v>96.244641868072094</v>
      </c>
      <c r="AN2826">
        <v>1.0000000152255899</v>
      </c>
    </row>
    <row r="2827" spans="1:40" x14ac:dyDescent="0.25">
      <c r="A2827" t="str">
        <f>"20190304164657902"</f>
        <v>20190304164657902</v>
      </c>
      <c r="B2827" t="str">
        <f>"1551689217891343"</f>
        <v>1551689217891343</v>
      </c>
      <c r="C2827" t="s">
        <v>40</v>
      </c>
      <c r="D2827">
        <v>4.2790860000000004</v>
      </c>
      <c r="E2827">
        <v>0.56462400000000001</v>
      </c>
      <c r="F2827" t="s">
        <v>41</v>
      </c>
      <c r="G2827">
        <v>-343.69799999999998</v>
      </c>
      <c r="H2827">
        <v>1.019557</v>
      </c>
      <c r="I2827">
        <v>213.83940000000001</v>
      </c>
      <c r="J2827">
        <v>-344.2955</v>
      </c>
      <c r="K2827">
        <v>1.1108849999999999</v>
      </c>
      <c r="L2827">
        <v>213.85990000000001</v>
      </c>
      <c r="M2827">
        <v>0.99981900000000001</v>
      </c>
      <c r="N2827">
        <v>-1.4712859999999999E-2</v>
      </c>
      <c r="O2827">
        <v>1.206903E-2</v>
      </c>
      <c r="P2827">
        <v>0.9310389</v>
      </c>
      <c r="Q2827">
        <v>0.34727469999999999</v>
      </c>
      <c r="R2827">
        <v>0.112104</v>
      </c>
      <c r="S2827">
        <v>3.3522340000000002</v>
      </c>
      <c r="T2827">
        <v>-0.33010489999999998</v>
      </c>
      <c r="U2827">
        <v>-5.9234620000000002E-2</v>
      </c>
      <c r="V2827">
        <v>-0.1008281</v>
      </c>
      <c r="W2827">
        <v>0.36096289999999998</v>
      </c>
      <c r="X2827">
        <v>0.92711350000000003</v>
      </c>
      <c r="Y2827">
        <v>2.9528160000000001E-2</v>
      </c>
      <c r="Z2827">
        <v>-2.6764250000000001E-3</v>
      </c>
      <c r="AA2827">
        <v>0.99956040000000002</v>
      </c>
      <c r="AB2827">
        <v>35</v>
      </c>
      <c r="AC2827">
        <v>0.59749999999996795</v>
      </c>
      <c r="AD2827">
        <v>-9.1328000000000006E-2</v>
      </c>
      <c r="AE2827">
        <v>-2.0499999999998401E-2</v>
      </c>
      <c r="AF2827">
        <v>2.70786327552947E-2</v>
      </c>
      <c r="AG2827">
        <v>-9.1328000000000006E-2</v>
      </c>
      <c r="AH2827">
        <v>0.58359052747150097</v>
      </c>
      <c r="AI2827">
        <v>98.884859266036301</v>
      </c>
      <c r="AJ2827">
        <v>87.343378106091393</v>
      </c>
      <c r="AK2827">
        <v>0.59131375739987702</v>
      </c>
      <c r="AL2827">
        <v>68.840656803207295</v>
      </c>
      <c r="AM2827">
        <v>96.206800694457897</v>
      </c>
      <c r="AN2827">
        <v>0.99999998140413404</v>
      </c>
    </row>
    <row r="2828" spans="1:40" x14ac:dyDescent="0.25">
      <c r="A2828" t="str">
        <f>"20190304164657925"</f>
        <v>20190304164657925</v>
      </c>
      <c r="B2828" t="str">
        <f>"1551689217921131"</f>
        <v>1551689217921131</v>
      </c>
      <c r="C2828" t="s">
        <v>40</v>
      </c>
      <c r="D2828">
        <v>4.2751210000000004</v>
      </c>
      <c r="E2828">
        <v>0.564353199999999</v>
      </c>
      <c r="F2828" t="s">
        <v>41</v>
      </c>
      <c r="G2828">
        <v>-343.38049999999998</v>
      </c>
      <c r="H2828">
        <v>1.02206</v>
      </c>
      <c r="I2828">
        <v>213.84389999999999</v>
      </c>
      <c r="J2828">
        <v>-343.94490000000002</v>
      </c>
      <c r="K2828">
        <v>1.110884</v>
      </c>
      <c r="L2828">
        <v>213.86410000000001</v>
      </c>
      <c r="M2828">
        <v>0.99981929999999997</v>
      </c>
      <c r="N2828">
        <v>-1.470905E-2</v>
      </c>
      <c r="O2828">
        <v>1.2050999999999999E-2</v>
      </c>
      <c r="P2828">
        <v>0.93128449999999996</v>
      </c>
      <c r="Q2828">
        <v>0.34665059999999998</v>
      </c>
      <c r="R2828">
        <v>0.1119947</v>
      </c>
      <c r="S2828">
        <v>3.350616</v>
      </c>
      <c r="T2828">
        <v>-0.32528590000000002</v>
      </c>
      <c r="U2828">
        <v>-5.8654789999999998E-2</v>
      </c>
      <c r="V2828">
        <v>-0.10073260000000001</v>
      </c>
      <c r="W2828">
        <v>0.36033890000000002</v>
      </c>
      <c r="X2828">
        <v>0.92736660000000004</v>
      </c>
      <c r="Y2828">
        <v>2.9352429999999999E-2</v>
      </c>
      <c r="Z2828">
        <v>-2.6280539999999999E-3</v>
      </c>
      <c r="AA2828">
        <v>0.9995657</v>
      </c>
      <c r="AB2828">
        <v>35</v>
      </c>
      <c r="AC2828">
        <v>0.56440000000003399</v>
      </c>
      <c r="AD2828">
        <v>-8.8824E-2</v>
      </c>
      <c r="AE2828">
        <v>-2.0200000000016798E-2</v>
      </c>
      <c r="AF2828">
        <v>2.6349079739387E-2</v>
      </c>
      <c r="AG2828">
        <v>-8.8824E-2</v>
      </c>
      <c r="AH2828">
        <v>0.55049838385106697</v>
      </c>
      <c r="AI2828">
        <v>99.155486076076997</v>
      </c>
      <c r="AJ2828">
        <v>87.259683578640903</v>
      </c>
      <c r="AK2828">
        <v>0.55824049262101105</v>
      </c>
      <c r="AL2828">
        <v>68.878989406156606</v>
      </c>
      <c r="AM2828">
        <v>96.199288492839898</v>
      </c>
      <c r="AN2828">
        <v>0.99999999517576499</v>
      </c>
    </row>
    <row r="2829" spans="1:40" x14ac:dyDescent="0.25">
      <c r="A2829" t="str">
        <f>"20190304164657948"</f>
        <v>20190304164657948</v>
      </c>
      <c r="B2829" t="str">
        <f>"1551689217941626"</f>
        <v>1551689217941626</v>
      </c>
      <c r="C2829" t="s">
        <v>40</v>
      </c>
      <c r="D2829">
        <v>4.2955180000000004</v>
      </c>
      <c r="E2829">
        <v>0.56417799999999996</v>
      </c>
      <c r="F2829" t="s">
        <v>41</v>
      </c>
      <c r="G2829">
        <v>-343.06330000000003</v>
      </c>
      <c r="H2829">
        <v>1.0247250000000001</v>
      </c>
      <c r="I2829">
        <v>213.84870000000001</v>
      </c>
      <c r="J2829">
        <v>-343.56920000000002</v>
      </c>
      <c r="K2829">
        <v>1.1108819999999999</v>
      </c>
      <c r="L2829">
        <v>213.86869999999999</v>
      </c>
      <c r="M2829">
        <v>0.99981949999999997</v>
      </c>
      <c r="N2829">
        <v>-1.470495E-2</v>
      </c>
      <c r="O2829">
        <v>1.203245E-2</v>
      </c>
      <c r="P2829">
        <v>0.93110280000000001</v>
      </c>
      <c r="Q2829">
        <v>0.34712739999999997</v>
      </c>
      <c r="R2829">
        <v>0.11202860000000001</v>
      </c>
      <c r="S2829">
        <v>3.3501590000000001</v>
      </c>
      <c r="T2829">
        <v>-0.32762210000000003</v>
      </c>
      <c r="U2829">
        <v>-5.7098389999999999E-2</v>
      </c>
      <c r="V2829">
        <v>-0.1007864</v>
      </c>
      <c r="W2829">
        <v>0.36080859999999998</v>
      </c>
      <c r="X2829">
        <v>0.92717810000000001</v>
      </c>
      <c r="Y2829">
        <v>2.8871850000000001E-2</v>
      </c>
      <c r="Z2829">
        <v>-2.6183980000000001E-3</v>
      </c>
      <c r="AA2829">
        <v>0.99957969999999896</v>
      </c>
      <c r="AB2829">
        <v>35</v>
      </c>
      <c r="AC2829">
        <v>0.50589999999999602</v>
      </c>
      <c r="AD2829">
        <v>-8.6156999999999803E-2</v>
      </c>
      <c r="AE2829">
        <v>-1.99999999999818E-2</v>
      </c>
      <c r="AF2829">
        <v>2.5352267011201499E-2</v>
      </c>
      <c r="AG2829">
        <v>-8.6156999999999803E-2</v>
      </c>
      <c r="AH2829">
        <v>0.49139277823371202</v>
      </c>
      <c r="AI2829">
        <v>99.931769260438799</v>
      </c>
      <c r="AJ2829">
        <v>87.046576193794095</v>
      </c>
      <c r="AK2829">
        <v>0.49953240995140002</v>
      </c>
      <c r="AL2829">
        <v>68.850136487014694</v>
      </c>
      <c r="AM2829">
        <v>96.203824836039402</v>
      </c>
      <c r="AN2829">
        <v>0.99999998668926404</v>
      </c>
    </row>
    <row r="2830" spans="1:40" x14ac:dyDescent="0.25">
      <c r="A2830" t="str">
        <f>"20190304164657970"</f>
        <v>20190304164657970</v>
      </c>
      <c r="B2830" t="str">
        <f>"1551689217962123"</f>
        <v>1551689217962123</v>
      </c>
      <c r="C2830" t="s">
        <v>40</v>
      </c>
      <c r="D2830">
        <v>4.3054329999999998</v>
      </c>
      <c r="E2830">
        <v>0.56411599999999995</v>
      </c>
      <c r="F2830" t="s">
        <v>41</v>
      </c>
      <c r="G2830">
        <v>-342.7448</v>
      </c>
      <c r="H2830">
        <v>1.0307809999999999</v>
      </c>
      <c r="I2830">
        <v>213.8546</v>
      </c>
      <c r="J2830">
        <v>-343.21260000000001</v>
      </c>
      <c r="K2830">
        <v>1.1108819999999999</v>
      </c>
      <c r="L2830">
        <v>213.87289999999999</v>
      </c>
      <c r="M2830">
        <v>0.99981980000000004</v>
      </c>
      <c r="N2830">
        <v>-1.470106E-2</v>
      </c>
      <c r="O2830">
        <v>1.2016219999999999E-2</v>
      </c>
      <c r="P2830">
        <v>0.93108579999999996</v>
      </c>
      <c r="Q2830">
        <v>0.34726370000000001</v>
      </c>
      <c r="R2830">
        <v>0.1117464</v>
      </c>
      <c r="S2830">
        <v>3.3501889999999999</v>
      </c>
      <c r="T2830">
        <v>-0.32559559999999999</v>
      </c>
      <c r="U2830">
        <v>-5.6945799999999998E-2</v>
      </c>
      <c r="V2830">
        <v>-0.10052</v>
      </c>
      <c r="W2830">
        <v>0.36094110000000001</v>
      </c>
      <c r="X2830">
        <v>0.92715550000000002</v>
      </c>
      <c r="Y2830">
        <v>2.881276E-2</v>
      </c>
      <c r="Z2830">
        <v>-2.5978239999999999E-3</v>
      </c>
      <c r="AA2830">
        <v>0.99958150000000001</v>
      </c>
      <c r="AB2830">
        <v>35</v>
      </c>
      <c r="AC2830">
        <v>0.46780000000001098</v>
      </c>
      <c r="AD2830">
        <v>-8.0100999999999895E-2</v>
      </c>
      <c r="AE2830">
        <v>-1.8299999999982199E-2</v>
      </c>
      <c r="AF2830">
        <v>2.3240127331279999E-2</v>
      </c>
      <c r="AG2830">
        <v>-8.0100999999999895E-2</v>
      </c>
      <c r="AH2830">
        <v>0.454248348156091</v>
      </c>
      <c r="AI2830">
        <v>99.987782781203293</v>
      </c>
      <c r="AJ2830">
        <v>87.071202919619907</v>
      </c>
      <c r="AK2830">
        <v>0.46184178624493399</v>
      </c>
      <c r="AL2830">
        <v>68.841997323856404</v>
      </c>
      <c r="AM2830">
        <v>96.187703820831899</v>
      </c>
      <c r="AN2830">
        <v>1.00000003462472</v>
      </c>
    </row>
    <row r="2831" spans="1:40" x14ac:dyDescent="0.25">
      <c r="A2831" t="str">
        <f>"20190304164657992"</f>
        <v>20190304164657992</v>
      </c>
      <c r="B2831" t="str">
        <f>"1551689217981643"</f>
        <v>1551689217981643</v>
      </c>
      <c r="C2831" t="s">
        <v>40</v>
      </c>
      <c r="D2831">
        <v>4.4475100000000003</v>
      </c>
      <c r="E2831">
        <v>0.56389149999999999</v>
      </c>
      <c r="F2831" t="s">
        <v>41</v>
      </c>
      <c r="G2831">
        <v>-342.42759999999998</v>
      </c>
      <c r="H2831">
        <v>1.0348489999999999</v>
      </c>
      <c r="I2831">
        <v>213.85890000000001</v>
      </c>
      <c r="J2831">
        <v>-342.87009999999998</v>
      </c>
      <c r="K2831">
        <v>1.1108849999999999</v>
      </c>
      <c r="L2831">
        <v>213.87700000000001</v>
      </c>
      <c r="M2831">
        <v>0.99982009999999999</v>
      </c>
      <c r="N2831">
        <v>-1.469731E-2</v>
      </c>
      <c r="O2831">
        <v>1.200239E-2</v>
      </c>
      <c r="P2831">
        <v>0.9311895</v>
      </c>
      <c r="Q2831">
        <v>0.34708139999999998</v>
      </c>
      <c r="R2831">
        <v>0.1114484</v>
      </c>
      <c r="S2831">
        <v>3.3501280000000002</v>
      </c>
      <c r="T2831">
        <v>-0.3246037</v>
      </c>
      <c r="U2831">
        <v>-5.8532710000000002E-2</v>
      </c>
      <c r="V2831">
        <v>-0.100235</v>
      </c>
      <c r="W2831">
        <v>0.36075610000000002</v>
      </c>
      <c r="X2831">
        <v>0.92725829999999998</v>
      </c>
      <c r="Y2831">
        <v>2.9271330000000002E-2</v>
      </c>
      <c r="Z2831">
        <v>-2.614487E-3</v>
      </c>
      <c r="AA2831">
        <v>0.99956809999999996</v>
      </c>
      <c r="AB2831">
        <v>35</v>
      </c>
      <c r="AC2831">
        <v>0.44249999999999501</v>
      </c>
      <c r="AD2831">
        <v>-7.6036000000000201E-2</v>
      </c>
      <c r="AE2831">
        <v>-1.8100000000003998E-2</v>
      </c>
      <c r="AF2831">
        <v>2.2740014909156399E-2</v>
      </c>
      <c r="AG2831">
        <v>-7.6036000000000201E-2</v>
      </c>
      <c r="AH2831">
        <v>0.42958781480661801</v>
      </c>
      <c r="AI2831">
        <v>100.02351092776701</v>
      </c>
      <c r="AJ2831">
        <v>86.969904788111094</v>
      </c>
      <c r="AK2831">
        <v>0.43685726754214999</v>
      </c>
      <c r="AL2831">
        <v>68.853361740884097</v>
      </c>
      <c r="AM2831">
        <v>96.169616820371303</v>
      </c>
      <c r="AN2831">
        <v>0.99999998691554903</v>
      </c>
    </row>
    <row r="2832" spans="1:40" x14ac:dyDescent="0.25">
      <c r="A2832" t="str">
        <f>"20190304164658013"</f>
        <v>20190304164658013</v>
      </c>
      <c r="B2832" t="str">
        <f>"1551689218001163"</f>
        <v>1551689218001163</v>
      </c>
      <c r="C2832" t="s">
        <v>40</v>
      </c>
      <c r="D2832">
        <v>4.40916</v>
      </c>
      <c r="E2832">
        <v>0.56365719999999997</v>
      </c>
      <c r="F2832" t="s">
        <v>41</v>
      </c>
      <c r="G2832">
        <v>-342.11160000000001</v>
      </c>
      <c r="H2832">
        <v>1.0370900000000001</v>
      </c>
      <c r="I2832">
        <v>213.8638</v>
      </c>
      <c r="J2832">
        <v>-342.53919999999999</v>
      </c>
      <c r="K2832">
        <v>1.110892</v>
      </c>
      <c r="L2832">
        <v>213.881</v>
      </c>
      <c r="M2832">
        <v>0.99982009999999999</v>
      </c>
      <c r="N2832">
        <v>-1.4693690000000001E-2</v>
      </c>
      <c r="O2832">
        <v>1.199221E-2</v>
      </c>
      <c r="P2832">
        <v>0.93128650000000002</v>
      </c>
      <c r="Q2832">
        <v>0.34690349999999998</v>
      </c>
      <c r="R2832">
        <v>0.1111917</v>
      </c>
      <c r="S2832">
        <v>3.350098</v>
      </c>
      <c r="T2832">
        <v>-0.32604719999999998</v>
      </c>
      <c r="U2832">
        <v>-5.751038E-2</v>
      </c>
      <c r="V2832">
        <v>-9.9989140000000004E-2</v>
      </c>
      <c r="W2832">
        <v>0.36057600000000001</v>
      </c>
      <c r="X2832">
        <v>0.92735489999999998</v>
      </c>
      <c r="Y2832">
        <v>2.895638E-2</v>
      </c>
      <c r="Z2832">
        <v>-2.6074620000000001E-3</v>
      </c>
      <c r="AA2832">
        <v>0.9995773</v>
      </c>
      <c r="AB2832">
        <v>35</v>
      </c>
      <c r="AC2832">
        <v>0.42759999999998399</v>
      </c>
      <c r="AD2832">
        <v>-7.3801999999999895E-2</v>
      </c>
      <c r="AE2832">
        <v>-1.7199999999974101E-2</v>
      </c>
      <c r="AF2832">
        <v>2.1682326874002299E-2</v>
      </c>
      <c r="AG2832">
        <v>-7.3801999999999895E-2</v>
      </c>
      <c r="AH2832">
        <v>0.415019763644013</v>
      </c>
      <c r="AI2832">
        <v>100.06991767508001</v>
      </c>
      <c r="AJ2832">
        <v>87.009353510599695</v>
      </c>
      <c r="AK2832">
        <v>0.422087979830987</v>
      </c>
      <c r="AL2832">
        <v>68.8644255307495</v>
      </c>
      <c r="AM2832">
        <v>96.153963857547097</v>
      </c>
      <c r="AN2832">
        <v>0.99999999522397398</v>
      </c>
    </row>
    <row r="2833" spans="1:40" x14ac:dyDescent="0.25">
      <c r="A2833" t="str">
        <f>"20190304164658037"</f>
        <v>20190304164658037</v>
      </c>
      <c r="B2833" t="str">
        <f>"1551689218031419"</f>
        <v>1551689218031419</v>
      </c>
      <c r="C2833" t="s">
        <v>40</v>
      </c>
      <c r="D2833">
        <v>4.3960309999999998</v>
      </c>
      <c r="E2833">
        <v>0.563411199999999</v>
      </c>
      <c r="F2833" t="s">
        <v>41</v>
      </c>
      <c r="G2833">
        <v>-341.79610000000002</v>
      </c>
      <c r="H2833">
        <v>1.0381830000000001</v>
      </c>
      <c r="I2833">
        <v>213.86850000000001</v>
      </c>
      <c r="J2833">
        <v>-342.17570000000001</v>
      </c>
      <c r="K2833">
        <v>1.1108979999999999</v>
      </c>
      <c r="L2833">
        <v>213.8853</v>
      </c>
      <c r="M2833">
        <v>0.99982020000000005</v>
      </c>
      <c r="N2833">
        <v>-1.46897E-2</v>
      </c>
      <c r="O2833">
        <v>1.19846E-2</v>
      </c>
      <c r="P2833">
        <v>0.93139159999999999</v>
      </c>
      <c r="Q2833">
        <v>0.3467383</v>
      </c>
      <c r="R2833">
        <v>0.11082500000000001</v>
      </c>
      <c r="S2833">
        <v>3.350098</v>
      </c>
      <c r="T2833">
        <v>-0.32788499999999998</v>
      </c>
      <c r="U2833">
        <v>-5.5480960000000003E-2</v>
      </c>
      <c r="V2833">
        <v>-9.9631250000000005E-2</v>
      </c>
      <c r="W2833">
        <v>0.3604079</v>
      </c>
      <c r="X2833">
        <v>0.92745880000000003</v>
      </c>
      <c r="Y2833">
        <v>2.8344609999999999E-2</v>
      </c>
      <c r="Z2833">
        <v>-2.5868879999999999E-3</v>
      </c>
      <c r="AA2833">
        <v>0.99959489999999995</v>
      </c>
      <c r="AB2833">
        <v>35</v>
      </c>
      <c r="AC2833">
        <v>0.37959999999998201</v>
      </c>
      <c r="AD2833">
        <v>-7.2714999999999794E-2</v>
      </c>
      <c r="AE2833">
        <v>-1.6799999999989199E-2</v>
      </c>
      <c r="AF2833">
        <v>2.0594423175238699E-2</v>
      </c>
      <c r="AG2833">
        <v>-7.2714999999999794E-2</v>
      </c>
      <c r="AH2833">
        <v>0.36596874635467502</v>
      </c>
      <c r="AI2833">
        <v>101.220543827057</v>
      </c>
      <c r="AJ2833">
        <v>86.779150271003601</v>
      </c>
      <c r="AK2833">
        <v>0.37369068064287198</v>
      </c>
      <c r="AL2833">
        <v>68.874752064079104</v>
      </c>
      <c r="AM2833">
        <v>96.131423434656398</v>
      </c>
      <c r="AN2833">
        <v>1.0000000330282</v>
      </c>
    </row>
    <row r="2834" spans="1:40" x14ac:dyDescent="0.25">
      <c r="A2834" t="str">
        <f>"20190304164658059"</f>
        <v>20190304164658059</v>
      </c>
      <c r="B2834" t="str">
        <f>"1551689218050939"</f>
        <v>1551689218050939</v>
      </c>
      <c r="C2834" t="s">
        <v>40</v>
      </c>
      <c r="D2834">
        <v>4.4493450000000001</v>
      </c>
      <c r="E2834">
        <v>0.56365799999999999</v>
      </c>
      <c r="F2834" t="s">
        <v>41</v>
      </c>
      <c r="G2834">
        <v>-341.18119999999999</v>
      </c>
      <c r="H2834">
        <v>1.0131790000000001</v>
      </c>
      <c r="I2834">
        <v>213.8689</v>
      </c>
      <c r="J2834">
        <v>-341.80790000000002</v>
      </c>
      <c r="K2834">
        <v>1.110903</v>
      </c>
      <c r="L2834">
        <v>213.8897</v>
      </c>
      <c r="M2834">
        <v>0.9998205</v>
      </c>
      <c r="N2834">
        <v>-1.468567E-2</v>
      </c>
      <c r="O2834">
        <v>1.197932E-2</v>
      </c>
      <c r="P2834">
        <v>0.93116909999999997</v>
      </c>
      <c r="Q2834">
        <v>0.34725980000000001</v>
      </c>
      <c r="R2834">
        <v>0.11106240000000001</v>
      </c>
      <c r="S2834">
        <v>3.3500369999999999</v>
      </c>
      <c r="T2834">
        <v>-0.32931880000000002</v>
      </c>
      <c r="U2834">
        <v>-5.4275509999999999E-2</v>
      </c>
      <c r="V2834">
        <v>-9.9878419999999996E-2</v>
      </c>
      <c r="W2834">
        <v>0.36092150000000001</v>
      </c>
      <c r="X2834">
        <v>0.92723239999999996</v>
      </c>
      <c r="Y2834">
        <v>2.7980359999999999E-2</v>
      </c>
      <c r="Z2834">
        <v>-2.5770709999999998E-3</v>
      </c>
      <c r="AA2834">
        <v>0.99960519999999997</v>
      </c>
      <c r="AB2834">
        <v>35</v>
      </c>
      <c r="AC2834">
        <v>0.62670000000002701</v>
      </c>
      <c r="AD2834">
        <v>-9.7723999999999894E-2</v>
      </c>
      <c r="AE2834">
        <v>-2.0800000000008301E-2</v>
      </c>
      <c r="AF2834">
        <v>2.7635523956580602E-2</v>
      </c>
      <c r="AG2834">
        <v>-9.7723999999999894E-2</v>
      </c>
      <c r="AH2834">
        <v>0.61155199893318202</v>
      </c>
      <c r="AI2834">
        <v>99.069818119667005</v>
      </c>
      <c r="AJ2834">
        <v>87.412611830370693</v>
      </c>
      <c r="AK2834">
        <v>0.619927051966218</v>
      </c>
      <c r="AL2834">
        <v>68.843200186220798</v>
      </c>
      <c r="AM2834">
        <v>96.148007560144507</v>
      </c>
      <c r="AN2834">
        <v>0.99999997577685196</v>
      </c>
    </row>
    <row r="2835" spans="1:40" x14ac:dyDescent="0.25">
      <c r="A2835" t="str">
        <f>"20190304164658082"</f>
        <v>20190304164658082</v>
      </c>
      <c r="B2835" t="str">
        <f>"1551689218071435"</f>
        <v>1551689218071435</v>
      </c>
      <c r="C2835" t="s">
        <v>40</v>
      </c>
      <c r="D2835">
        <v>4.6750480000000003</v>
      </c>
      <c r="E2835">
        <v>0.56389889999999998</v>
      </c>
      <c r="F2835" t="s">
        <v>41</v>
      </c>
      <c r="G2835">
        <v>-340.86509999999998</v>
      </c>
      <c r="H2835">
        <v>1.0186900000000001</v>
      </c>
      <c r="I2835">
        <v>213.8741</v>
      </c>
      <c r="J2835">
        <v>-341.46769999999998</v>
      </c>
      <c r="K2835">
        <v>1.110903</v>
      </c>
      <c r="L2835">
        <v>213.8938</v>
      </c>
      <c r="M2835">
        <v>0.9998205</v>
      </c>
      <c r="N2835">
        <v>-1.4681929999999999E-2</v>
      </c>
      <c r="O2835">
        <v>1.197671E-2</v>
      </c>
      <c r="P2835">
        <v>0.93108539999999995</v>
      </c>
      <c r="Q2835">
        <v>0.3474932</v>
      </c>
      <c r="R2835">
        <v>0.1110338</v>
      </c>
      <c r="S2835">
        <v>3.3505549999999999</v>
      </c>
      <c r="T2835">
        <v>-0.32776139999999998</v>
      </c>
      <c r="U2835">
        <v>-5.4931639999999997E-2</v>
      </c>
      <c r="V2835">
        <v>-9.9855250000000007E-2</v>
      </c>
      <c r="W2835">
        <v>0.36114960000000002</v>
      </c>
      <c r="X2835">
        <v>0.92714609999999997</v>
      </c>
      <c r="Y2835">
        <v>2.8171789999999999E-2</v>
      </c>
      <c r="Z2835">
        <v>-2.5752079999999998E-3</v>
      </c>
      <c r="AA2835">
        <v>0.99959980000000004</v>
      </c>
      <c r="AB2835">
        <v>35</v>
      </c>
      <c r="AC2835">
        <v>0.60259999999999503</v>
      </c>
      <c r="AD2835">
        <v>-9.22130000000001E-2</v>
      </c>
      <c r="AE2835">
        <v>-1.97000000000002E-2</v>
      </c>
      <c r="AF2835">
        <v>2.63012974902385E-2</v>
      </c>
      <c r="AG2835">
        <v>-9.22130000000001E-2</v>
      </c>
      <c r="AH2835">
        <v>0.58855352466592004</v>
      </c>
      <c r="AI2835">
        <v>98.895822839888197</v>
      </c>
      <c r="AJ2835">
        <v>87.441266868016299</v>
      </c>
      <c r="AK2835">
        <v>0.59631388296378596</v>
      </c>
      <c r="AL2835">
        <v>68.829186260375394</v>
      </c>
      <c r="AM2835">
        <v>96.147160004367507</v>
      </c>
      <c r="AN2835">
        <v>0.99999999763896597</v>
      </c>
    </row>
    <row r="2836" spans="1:40" x14ac:dyDescent="0.25">
      <c r="A2836" t="str">
        <f>"20190304164658104"</f>
        <v>20190304164658104</v>
      </c>
      <c r="B2836" t="str">
        <f>"1551689218090955"</f>
        <v>1551689218090955</v>
      </c>
      <c r="C2836" t="s">
        <v>40</v>
      </c>
      <c r="D2836">
        <v>4.6707619999999999</v>
      </c>
      <c r="E2836">
        <v>0.56417099999999998</v>
      </c>
      <c r="F2836" t="s">
        <v>41</v>
      </c>
      <c r="G2836">
        <v>-340.55079999999998</v>
      </c>
      <c r="H2836">
        <v>1.0211709999999901</v>
      </c>
      <c r="I2836">
        <v>213.8776</v>
      </c>
      <c r="J2836">
        <v>-341.12220000000002</v>
      </c>
      <c r="K2836">
        <v>1.110905</v>
      </c>
      <c r="L2836">
        <v>213.89789999999999</v>
      </c>
      <c r="M2836">
        <v>0.99982070000000001</v>
      </c>
      <c r="N2836">
        <v>-1.467825E-2</v>
      </c>
      <c r="O2836">
        <v>1.197575E-2</v>
      </c>
      <c r="P2836">
        <v>0.93100459999999996</v>
      </c>
      <c r="Q2836">
        <v>0.34799409999999997</v>
      </c>
      <c r="R2836">
        <v>0.1101417</v>
      </c>
      <c r="S2836">
        <v>3.3513790000000001</v>
      </c>
      <c r="T2836">
        <v>-0.32819009999999998</v>
      </c>
      <c r="U2836">
        <v>-5.7647709999999998E-2</v>
      </c>
      <c r="V2836">
        <v>-9.8966090000000007E-2</v>
      </c>
      <c r="W2836">
        <v>0.36164540000000001</v>
      </c>
      <c r="X2836">
        <v>0.92704810000000004</v>
      </c>
      <c r="Y2836">
        <v>2.8971859999999999E-2</v>
      </c>
      <c r="Z2836">
        <v>-2.6227619999999998E-3</v>
      </c>
      <c r="AA2836">
        <v>0.99957680000000004</v>
      </c>
      <c r="AB2836">
        <v>35</v>
      </c>
      <c r="AC2836">
        <v>0.57140000000003899</v>
      </c>
      <c r="AD2836">
        <v>-8.9734000000000202E-2</v>
      </c>
      <c r="AE2836">
        <v>-2.02999999999917E-2</v>
      </c>
      <c r="AF2836">
        <v>2.6489749104977402E-2</v>
      </c>
      <c r="AG2836">
        <v>-8.9734000000000202E-2</v>
      </c>
      <c r="AH2836">
        <v>0.55738676944023602</v>
      </c>
      <c r="AI2836">
        <v>99.135469000800995</v>
      </c>
      <c r="AJ2836">
        <v>87.279071228083396</v>
      </c>
      <c r="AK2836">
        <v>0.56518484437453498</v>
      </c>
      <c r="AL2836">
        <v>68.798718362608895</v>
      </c>
      <c r="AM2836">
        <v>96.093475472798104</v>
      </c>
      <c r="AN2836">
        <v>0.99999993101232598</v>
      </c>
    </row>
    <row r="2837" spans="1:40" x14ac:dyDescent="0.25">
      <c r="A2837" t="str">
        <f>"20190304164658126"</f>
        <v>20190304164658126</v>
      </c>
      <c r="B2837" t="str">
        <f>"1551689218121718"</f>
        <v>1551689218121718</v>
      </c>
      <c r="C2837" t="s">
        <v>40</v>
      </c>
      <c r="D2837">
        <v>4.484229</v>
      </c>
      <c r="E2837">
        <v>0.56474539999999995</v>
      </c>
      <c r="F2837" t="s">
        <v>41</v>
      </c>
      <c r="G2837">
        <v>-340.23660000000001</v>
      </c>
      <c r="H2837">
        <v>1.024324</v>
      </c>
      <c r="I2837">
        <v>213.8817</v>
      </c>
      <c r="J2837">
        <v>-340.78230000000002</v>
      </c>
      <c r="K2837">
        <v>1.1109100000000001</v>
      </c>
      <c r="L2837">
        <v>213.90199999999999</v>
      </c>
      <c r="M2837">
        <v>0.99982059999999995</v>
      </c>
      <c r="N2837">
        <v>-1.4674700000000001E-2</v>
      </c>
      <c r="O2837">
        <v>1.197614E-2</v>
      </c>
      <c r="P2837">
        <v>0.93101420000000001</v>
      </c>
      <c r="Q2837">
        <v>0.34822069999999999</v>
      </c>
      <c r="R2837">
        <v>0.10933850000000001</v>
      </c>
      <c r="S2837">
        <v>3.3520810000000001</v>
      </c>
      <c r="T2837">
        <v>-0.32779930000000002</v>
      </c>
      <c r="U2837">
        <v>-6.1218259999999997E-2</v>
      </c>
      <c r="V2837">
        <v>-9.8163470000000003E-2</v>
      </c>
      <c r="W2837">
        <v>0.36186810000000003</v>
      </c>
      <c r="X2837">
        <v>0.92704660000000005</v>
      </c>
      <c r="Y2837">
        <v>3.00278E-2</v>
      </c>
      <c r="Z2837">
        <v>-2.6784370000000001E-3</v>
      </c>
      <c r="AA2837">
        <v>0.99954549999999998</v>
      </c>
      <c r="AB2837">
        <v>35</v>
      </c>
      <c r="AC2837">
        <v>0.54570000000000995</v>
      </c>
      <c r="AD2837">
        <v>-8.6585999999999996E-2</v>
      </c>
      <c r="AE2837">
        <v>-2.0300000000020101E-2</v>
      </c>
      <c r="AF2837">
        <v>2.6176516856330101E-2</v>
      </c>
      <c r="AG2837">
        <v>-8.6585999999999996E-2</v>
      </c>
      <c r="AH2837">
        <v>0.53204152493109402</v>
      </c>
      <c r="AI2837">
        <v>99.232471945547005</v>
      </c>
      <c r="AJ2837">
        <v>87.183310974847501</v>
      </c>
      <c r="AK2837">
        <v>0.53967631936349902</v>
      </c>
      <c r="AL2837">
        <v>68.785033015222893</v>
      </c>
      <c r="AM2837">
        <v>96.044434107224205</v>
      </c>
      <c r="AN2837">
        <v>0.99999999360580505</v>
      </c>
    </row>
    <row r="2838" spans="1:40" x14ac:dyDescent="0.25">
      <c r="A2838" t="str">
        <f>"20190304164658150"</f>
        <v>20190304164658150</v>
      </c>
      <c r="B2838" t="str">
        <f>"1551689218141238"</f>
        <v>1551689218141238</v>
      </c>
      <c r="C2838" t="s">
        <v>40</v>
      </c>
      <c r="D2838">
        <v>4.5480910000000003</v>
      </c>
      <c r="E2838">
        <v>0.56506259999999997</v>
      </c>
      <c r="F2838" t="s">
        <v>41</v>
      </c>
      <c r="G2838">
        <v>-339.923</v>
      </c>
      <c r="H2838">
        <v>1.0271060000000001</v>
      </c>
      <c r="I2838">
        <v>213.8843</v>
      </c>
      <c r="J2838">
        <v>-340.4051</v>
      </c>
      <c r="K2838">
        <v>1.1109100000000001</v>
      </c>
      <c r="L2838">
        <v>213.90649999999999</v>
      </c>
      <c r="M2838">
        <v>0.99982079999999995</v>
      </c>
      <c r="N2838">
        <v>-1.467044E-2</v>
      </c>
      <c r="O2838">
        <v>1.1976840000000001E-2</v>
      </c>
      <c r="P2838">
        <v>0.93108360000000001</v>
      </c>
      <c r="Q2838">
        <v>0.348329099999999</v>
      </c>
      <c r="R2838">
        <v>0.1083992</v>
      </c>
      <c r="S2838">
        <v>3.3525999999999998</v>
      </c>
      <c r="T2838">
        <v>-0.32709009999999999</v>
      </c>
      <c r="U2838">
        <v>-6.7718509999999996E-2</v>
      </c>
      <c r="V2838">
        <v>-9.7222890000000006E-2</v>
      </c>
      <c r="W2838">
        <v>0.3619735</v>
      </c>
      <c r="X2838">
        <v>0.92710459999999995</v>
      </c>
      <c r="Y2838">
        <v>3.1953309999999999E-2</v>
      </c>
      <c r="Z2838">
        <v>-2.780228E-3</v>
      </c>
      <c r="AA2838">
        <v>0.99948550000000003</v>
      </c>
      <c r="AB2838">
        <v>35</v>
      </c>
      <c r="AC2838">
        <v>0.48210000000000203</v>
      </c>
      <c r="AD2838">
        <v>-8.3804000000000198E-2</v>
      </c>
      <c r="AE2838">
        <v>-2.2199999999997999E-2</v>
      </c>
      <c r="AF2838">
        <v>2.7154270789274501E-2</v>
      </c>
      <c r="AG2838">
        <v>-8.3804000000000198E-2</v>
      </c>
      <c r="AH2838">
        <v>0.467696880521421</v>
      </c>
      <c r="AI2838">
        <v>100.141981128072</v>
      </c>
      <c r="AJ2838">
        <v>86.677163091935995</v>
      </c>
      <c r="AK2838">
        <v>0.47592104060186802</v>
      </c>
      <c r="AL2838">
        <v>68.778555515725301</v>
      </c>
      <c r="AM2838">
        <v>95.986568558300803</v>
      </c>
      <c r="AN2838">
        <v>1.00000002219168</v>
      </c>
    </row>
    <row r="2839" spans="1:40" x14ac:dyDescent="0.25">
      <c r="A2839" t="str">
        <f>"20190304164658173"</f>
        <v>20190304164658173</v>
      </c>
      <c r="B2839" t="str">
        <f>"1551689218161734"</f>
        <v>1551689218161734</v>
      </c>
      <c r="C2839" t="s">
        <v>40</v>
      </c>
      <c r="D2839">
        <v>4.464264</v>
      </c>
      <c r="E2839">
        <v>0.56540659999999998</v>
      </c>
      <c r="F2839" t="s">
        <v>41</v>
      </c>
      <c r="G2839">
        <v>-339.608</v>
      </c>
      <c r="H2839">
        <v>1.0332250000000001</v>
      </c>
      <c r="I2839">
        <v>213.8887</v>
      </c>
      <c r="J2839">
        <v>-340.04899999999998</v>
      </c>
      <c r="K2839">
        <v>1.1109150000000001</v>
      </c>
      <c r="L2839">
        <v>213.91079999999999</v>
      </c>
      <c r="M2839">
        <v>0.99982070000000001</v>
      </c>
      <c r="N2839">
        <v>-1.466627E-2</v>
      </c>
      <c r="O2839">
        <v>1.1983479999999999E-2</v>
      </c>
      <c r="P2839">
        <v>0.93121710000000002</v>
      </c>
      <c r="Q2839">
        <v>0.34828120000000001</v>
      </c>
      <c r="R2839">
        <v>0.10740230000000001</v>
      </c>
      <c r="S2839">
        <v>3.3529659999999999</v>
      </c>
      <c r="T2839">
        <v>-0.3268723</v>
      </c>
      <c r="U2839">
        <v>-7.4111940000000001E-2</v>
      </c>
      <c r="V2839">
        <v>-9.6220910000000007E-2</v>
      </c>
      <c r="W2839">
        <v>0.36192279999999999</v>
      </c>
      <c r="X2839">
        <v>0.92722890000000002</v>
      </c>
      <c r="Y2839">
        <v>3.3852599999999997E-2</v>
      </c>
      <c r="Z2839">
        <v>-2.884934E-3</v>
      </c>
      <c r="AA2839">
        <v>0.9994227</v>
      </c>
      <c r="AB2839">
        <v>35</v>
      </c>
      <c r="AC2839">
        <v>0.44100000000002998</v>
      </c>
      <c r="AD2839">
        <v>-7.7689999999999801E-2</v>
      </c>
      <c r="AE2839">
        <v>-2.20999999999946E-2</v>
      </c>
      <c r="AF2839">
        <v>2.65614242779173E-2</v>
      </c>
      <c r="AG2839">
        <v>-7.7689999999999801E-2</v>
      </c>
      <c r="AH2839">
        <v>0.427470122213643</v>
      </c>
      <c r="AI2839">
        <v>100.281310819327</v>
      </c>
      <c r="AJ2839">
        <v>86.444421813497897</v>
      </c>
      <c r="AK2839">
        <v>0.43528375888036303</v>
      </c>
      <c r="AL2839">
        <v>68.781671308063494</v>
      </c>
      <c r="AM2839">
        <v>95.924523477761696</v>
      </c>
      <c r="AN2839">
        <v>1.0000000048381299</v>
      </c>
    </row>
    <row r="2840" spans="1:40" x14ac:dyDescent="0.25">
      <c r="A2840" t="str">
        <f>"20190304164658193"</f>
        <v>20190304164658193</v>
      </c>
      <c r="B2840" t="str">
        <f>"1551689218181254"</f>
        <v>1551689218181254</v>
      </c>
      <c r="C2840" t="s">
        <v>40</v>
      </c>
      <c r="D2840">
        <v>4.5485480000000003</v>
      </c>
      <c r="E2840">
        <v>0.5656409</v>
      </c>
      <c r="F2840" t="s">
        <v>41</v>
      </c>
      <c r="G2840">
        <v>-339.2944</v>
      </c>
      <c r="H2840">
        <v>1.037353</v>
      </c>
      <c r="I2840">
        <v>213.89230000000001</v>
      </c>
      <c r="J2840">
        <v>-339.72620000000001</v>
      </c>
      <c r="K2840">
        <v>1.110922</v>
      </c>
      <c r="L2840">
        <v>213.91460000000001</v>
      </c>
      <c r="M2840">
        <v>0.99982040000000005</v>
      </c>
      <c r="N2840">
        <v>-1.466247E-2</v>
      </c>
      <c r="O2840">
        <v>1.2001710000000001E-2</v>
      </c>
      <c r="P2840">
        <v>0.93146370000000001</v>
      </c>
      <c r="Q2840">
        <v>0.34799390000000002</v>
      </c>
      <c r="R2840">
        <v>0.10618669999999999</v>
      </c>
      <c r="S2840">
        <v>3.3532099999999998</v>
      </c>
      <c r="T2840">
        <v>-0.32707350000000002</v>
      </c>
      <c r="U2840">
        <v>-8.0657960000000001E-2</v>
      </c>
      <c r="V2840">
        <v>-9.4992480000000004E-2</v>
      </c>
      <c r="W2840">
        <v>0.36163390000000001</v>
      </c>
      <c r="X2840">
        <v>0.92746819999999996</v>
      </c>
      <c r="Y2840">
        <v>3.5808180000000002E-2</v>
      </c>
      <c r="Z2840">
        <v>-2.997404E-3</v>
      </c>
      <c r="AA2840">
        <v>0.99935419999999997</v>
      </c>
      <c r="AB2840">
        <v>35</v>
      </c>
      <c r="AC2840">
        <v>0.43180000000000901</v>
      </c>
      <c r="AD2840">
        <v>-7.3568999999999996E-2</v>
      </c>
      <c r="AE2840">
        <v>-2.2300000000001301E-2</v>
      </c>
      <c r="AF2840">
        <v>2.67080572051158E-2</v>
      </c>
      <c r="AG2840">
        <v>-7.3568999999999996E-2</v>
      </c>
      <c r="AH2840">
        <v>0.419360215105127</v>
      </c>
      <c r="AI2840">
        <v>99.930515770716198</v>
      </c>
      <c r="AJ2840">
        <v>86.355889390003796</v>
      </c>
      <c r="AK2840">
        <v>0.42660134563042601</v>
      </c>
      <c r="AL2840">
        <v>68.799425640457599</v>
      </c>
      <c r="AM2840">
        <v>95.847915511002299</v>
      </c>
      <c r="AN2840">
        <v>0.99999995544849896</v>
      </c>
    </row>
    <row r="2841" spans="1:40" x14ac:dyDescent="0.25">
      <c r="A2841" t="str">
        <f>"20190304164658215"</f>
        <v>20190304164658215</v>
      </c>
      <c r="B2841" t="str">
        <f>"1551689218211042"</f>
        <v>1551689218211042</v>
      </c>
      <c r="C2841" t="s">
        <v>40</v>
      </c>
      <c r="D2841">
        <v>4.5731460000000004</v>
      </c>
      <c r="E2841">
        <v>0.56596899999999895</v>
      </c>
      <c r="F2841" t="s">
        <v>41</v>
      </c>
      <c r="G2841">
        <v>-338.98289999999997</v>
      </c>
      <c r="H2841">
        <v>1.0379590000000001</v>
      </c>
      <c r="I2841">
        <v>213.8956</v>
      </c>
      <c r="J2841">
        <v>-339.38760000000002</v>
      </c>
      <c r="K2841">
        <v>1.110935</v>
      </c>
      <c r="L2841">
        <v>213.9187</v>
      </c>
      <c r="M2841">
        <v>0.99982020000000005</v>
      </c>
      <c r="N2841">
        <v>-1.4658529999999999E-2</v>
      </c>
      <c r="O2841">
        <v>1.203767E-2</v>
      </c>
      <c r="P2841">
        <v>0.93162579999999995</v>
      </c>
      <c r="Q2841">
        <v>0.34782829999999998</v>
      </c>
      <c r="R2841">
        <v>0.1053062</v>
      </c>
      <c r="S2841">
        <v>3.3535159999999999</v>
      </c>
      <c r="T2841">
        <v>-0.32914959999999999</v>
      </c>
      <c r="U2841">
        <v>-8.5891720000000005E-2</v>
      </c>
      <c r="V2841">
        <v>-9.4088089999999999E-2</v>
      </c>
      <c r="W2841">
        <v>0.3614636</v>
      </c>
      <c r="X2841">
        <v>0.92762679999999997</v>
      </c>
      <c r="Y2841">
        <v>3.7388850000000001E-2</v>
      </c>
      <c r="Z2841">
        <v>-3.1074539999999999E-3</v>
      </c>
      <c r="AA2841">
        <v>0.99929590000000001</v>
      </c>
      <c r="AB2841">
        <v>35</v>
      </c>
      <c r="AC2841">
        <v>0.40470000000004702</v>
      </c>
      <c r="AD2841">
        <v>-7.2975999999999902E-2</v>
      </c>
      <c r="AE2841">
        <v>-2.3099999999999399E-2</v>
      </c>
      <c r="AF2841">
        <v>2.7092424380484301E-2</v>
      </c>
      <c r="AG2841">
        <v>-7.2975999999999902E-2</v>
      </c>
      <c r="AH2841">
        <v>0.39169759302359902</v>
      </c>
      <c r="AI2841">
        <v>100.52901709625201</v>
      </c>
      <c r="AJ2841">
        <v>86.043342376472594</v>
      </c>
      <c r="AK2841">
        <v>0.39935760968747402</v>
      </c>
      <c r="AL2841">
        <v>68.809891864101004</v>
      </c>
      <c r="AM2841">
        <v>95.791636320650497</v>
      </c>
      <c r="AN2841">
        <v>0.99999999144152396</v>
      </c>
    </row>
    <row r="2842" spans="1:40" x14ac:dyDescent="0.25">
      <c r="A2842" t="str">
        <f>"20190304164658238"</f>
        <v>20190304164658238</v>
      </c>
      <c r="B2842" t="str">
        <f>"1551689218231538"</f>
        <v>1551689218231538</v>
      </c>
      <c r="C2842" t="s">
        <v>40</v>
      </c>
      <c r="D2842">
        <v>4.4568690000000002</v>
      </c>
      <c r="E2842">
        <v>0.56625499999999995</v>
      </c>
      <c r="F2842" t="s">
        <v>41</v>
      </c>
      <c r="G2842">
        <v>-338.37490000000003</v>
      </c>
      <c r="H2842">
        <v>1.0110509999999999</v>
      </c>
      <c r="I2842">
        <v>213.89109999999999</v>
      </c>
      <c r="J2842">
        <v>-339.03230000000002</v>
      </c>
      <c r="K2842">
        <v>1.1109500000000001</v>
      </c>
      <c r="L2842">
        <v>213.923</v>
      </c>
      <c r="M2842">
        <v>0.99981940000000002</v>
      </c>
      <c r="N2842">
        <v>-1.4654399999999901E-2</v>
      </c>
      <c r="O2842">
        <v>1.2093599999999999E-2</v>
      </c>
      <c r="P2842">
        <v>0.93159559999999997</v>
      </c>
      <c r="Q2842">
        <v>0.34793200000000002</v>
      </c>
      <c r="R2842">
        <v>0.10522769999999999</v>
      </c>
      <c r="S2842">
        <v>3.3540649999999999</v>
      </c>
      <c r="T2842">
        <v>-0.33084859999999999</v>
      </c>
      <c r="U2842">
        <v>-9.1415410000000002E-2</v>
      </c>
      <c r="V2842">
        <v>-9.3972E-2</v>
      </c>
      <c r="W2842">
        <v>0.36155920000000003</v>
      </c>
      <c r="X2842">
        <v>0.92760129999999996</v>
      </c>
      <c r="Y2842">
        <v>3.9073070000000001E-2</v>
      </c>
      <c r="Z2842">
        <v>-3.2222599999999998E-3</v>
      </c>
      <c r="AA2842">
        <v>0.99923119999999999</v>
      </c>
      <c r="AB2842">
        <v>35</v>
      </c>
      <c r="AC2842">
        <v>0.65739999999999499</v>
      </c>
      <c r="AD2842">
        <v>-9.9899000000000099E-2</v>
      </c>
      <c r="AE2842">
        <v>-3.1900000000007298E-2</v>
      </c>
      <c r="AF2842">
        <v>3.8951495968304398E-2</v>
      </c>
      <c r="AG2842">
        <v>-9.9899000000000099E-2</v>
      </c>
      <c r="AH2842">
        <v>0.64217184369815805</v>
      </c>
      <c r="AI2842">
        <v>98.826336956945994</v>
      </c>
      <c r="AJ2842">
        <v>86.528926961343799</v>
      </c>
      <c r="AK2842">
        <v>0.65106198328412701</v>
      </c>
      <c r="AL2842">
        <v>68.804016847347896</v>
      </c>
      <c r="AM2842">
        <v>95.784696775448296</v>
      </c>
      <c r="AN2842">
        <v>0.99999998182516403</v>
      </c>
    </row>
    <row r="2843" spans="1:40" x14ac:dyDescent="0.25">
      <c r="A2843" t="str">
        <f>"20190304164658259"</f>
        <v>20190304164658259</v>
      </c>
      <c r="B2843" t="str">
        <f>"1551689218251062"</f>
        <v>1551689218251062</v>
      </c>
      <c r="C2843" t="s">
        <v>40</v>
      </c>
      <c r="D2843">
        <v>4.4744570000000001</v>
      </c>
      <c r="E2843">
        <v>0.56651980000000002</v>
      </c>
      <c r="F2843" t="s">
        <v>41</v>
      </c>
      <c r="G2843">
        <v>-338.06259999999997</v>
      </c>
      <c r="H2843">
        <v>1.0154529999999999</v>
      </c>
      <c r="I2843">
        <v>213.8954</v>
      </c>
      <c r="J2843">
        <v>-338.68970000000002</v>
      </c>
      <c r="K2843">
        <v>1.1109659999999999</v>
      </c>
      <c r="L2843">
        <v>213.9273</v>
      </c>
      <c r="M2843">
        <v>0.99981880000000001</v>
      </c>
      <c r="N2843">
        <v>-1.465049E-2</v>
      </c>
      <c r="O2843">
        <v>1.216129E-2</v>
      </c>
      <c r="P2843">
        <v>0.93176780000000003</v>
      </c>
      <c r="Q2843">
        <v>0.34749629999999998</v>
      </c>
      <c r="R2843">
        <v>0.10514510000000001</v>
      </c>
      <c r="S2843">
        <v>3.3543699999999999</v>
      </c>
      <c r="T2843">
        <v>-0.33046940000000002</v>
      </c>
      <c r="U2843">
        <v>-9.4528200000000007E-2</v>
      </c>
      <c r="V2843">
        <v>-9.3836550000000005E-2</v>
      </c>
      <c r="W2843">
        <v>0.36111939999999998</v>
      </c>
      <c r="X2843">
        <v>0.92778640000000001</v>
      </c>
      <c r="Y2843">
        <v>4.0059690000000002E-2</v>
      </c>
      <c r="Z2843">
        <v>-3.2797490000000002E-3</v>
      </c>
      <c r="AA2843">
        <v>0.99919190000000002</v>
      </c>
      <c r="AB2843">
        <v>35</v>
      </c>
      <c r="AC2843">
        <v>0.62710000000004096</v>
      </c>
      <c r="AD2843">
        <v>-9.5512999999999695E-2</v>
      </c>
      <c r="AE2843">
        <v>-3.1900000000007298E-2</v>
      </c>
      <c r="AF2843">
        <v>3.86309537628357E-2</v>
      </c>
      <c r="AG2843">
        <v>-9.5512999999999695E-2</v>
      </c>
      <c r="AH2843">
        <v>0.61249364614920199</v>
      </c>
      <c r="AI2843">
        <v>98.846088888703306</v>
      </c>
      <c r="AJ2843">
        <v>86.391044000401095</v>
      </c>
      <c r="AK2843">
        <v>0.62109866392608704</v>
      </c>
      <c r="AL2843">
        <v>68.831043236664698</v>
      </c>
      <c r="AM2843">
        <v>95.775270569343803</v>
      </c>
      <c r="AN2843">
        <v>1.0000000615986</v>
      </c>
    </row>
    <row r="2844" spans="1:40" x14ac:dyDescent="0.25">
      <c r="A2844" t="str">
        <f>"20190304164658282"</f>
        <v>20190304164658282</v>
      </c>
      <c r="B2844" t="str">
        <f>"1551689218271558"</f>
        <v>1551689218271558</v>
      </c>
      <c r="C2844" t="s">
        <v>40</v>
      </c>
      <c r="D2844">
        <v>4.4126699999999897</v>
      </c>
      <c r="E2844">
        <v>0.56679579999999996</v>
      </c>
      <c r="F2844" t="s">
        <v>41</v>
      </c>
      <c r="G2844">
        <v>-337.75150000000002</v>
      </c>
      <c r="H2844">
        <v>1.018216</v>
      </c>
      <c r="I2844">
        <v>213.89949999999999</v>
      </c>
      <c r="J2844">
        <v>-338.35050000000001</v>
      </c>
      <c r="K2844">
        <v>1.1109690000000001</v>
      </c>
      <c r="L2844">
        <v>213.9315</v>
      </c>
      <c r="M2844">
        <v>0.99981799999999998</v>
      </c>
      <c r="N2844">
        <v>-1.464675E-2</v>
      </c>
      <c r="O2844">
        <v>1.2239399999999999E-2</v>
      </c>
      <c r="P2844">
        <v>0.93186720000000001</v>
      </c>
      <c r="Q2844">
        <v>0.34731659999999998</v>
      </c>
      <c r="R2844">
        <v>0.10485750000000001</v>
      </c>
      <c r="S2844">
        <v>3.354492</v>
      </c>
      <c r="T2844">
        <v>-0.33168540000000002</v>
      </c>
      <c r="U2844">
        <v>-9.8327639999999994E-2</v>
      </c>
      <c r="V2844">
        <v>-9.3484010000000006E-2</v>
      </c>
      <c r="W2844">
        <v>0.36093530000000001</v>
      </c>
      <c r="X2844">
        <v>0.92789350000000004</v>
      </c>
      <c r="Y2844">
        <v>4.1258629999999998E-2</v>
      </c>
      <c r="Z2844">
        <v>-3.3656419999999999E-3</v>
      </c>
      <c r="AA2844">
        <v>0.9991428</v>
      </c>
      <c r="AB2844">
        <v>35</v>
      </c>
      <c r="AC2844">
        <v>0.59899999999998899</v>
      </c>
      <c r="AD2844">
        <v>-9.2753000000000002E-2</v>
      </c>
      <c r="AE2844">
        <v>-3.2000000000010603E-2</v>
      </c>
      <c r="AF2844">
        <v>3.8411403360035901E-2</v>
      </c>
      <c r="AG2844">
        <v>-9.2753000000000002E-2</v>
      </c>
      <c r="AH2844">
        <v>0.58458644029937301</v>
      </c>
      <c r="AI2844">
        <v>98.996560188698197</v>
      </c>
      <c r="AJ2844">
        <v>86.240671934150996</v>
      </c>
      <c r="AK2844">
        <v>0.59314404751205196</v>
      </c>
      <c r="AL2844">
        <v>68.842351764183604</v>
      </c>
      <c r="AM2844">
        <v>95.753059312844499</v>
      </c>
      <c r="AN2844">
        <v>0.99999994912700796</v>
      </c>
    </row>
    <row r="2845" spans="1:40" x14ac:dyDescent="0.25">
      <c r="A2845" t="str">
        <f>"20190304164658303"</f>
        <v>20190304164658303</v>
      </c>
      <c r="B2845" t="str">
        <f>"1551689218291075"</f>
        <v>1551689218291075</v>
      </c>
      <c r="C2845" t="s">
        <v>40</v>
      </c>
      <c r="D2845">
        <v>4.407203</v>
      </c>
      <c r="E2845">
        <v>0.56705340000000004</v>
      </c>
      <c r="F2845" t="s">
        <v>41</v>
      </c>
      <c r="G2845">
        <v>-337.44069999999999</v>
      </c>
      <c r="H2845">
        <v>1.021002</v>
      </c>
      <c r="I2845">
        <v>213.90350000000001</v>
      </c>
      <c r="J2845">
        <v>-338.01859999999999</v>
      </c>
      <c r="K2845">
        <v>1.1109739999999999</v>
      </c>
      <c r="L2845">
        <v>213.93559999999999</v>
      </c>
      <c r="M2845">
        <v>0.99981679999999995</v>
      </c>
      <c r="N2845">
        <v>-1.464304E-2</v>
      </c>
      <c r="O2845">
        <v>1.2324649999999999E-2</v>
      </c>
      <c r="P2845">
        <v>0.93191489999999999</v>
      </c>
      <c r="Q2845">
        <v>0.3472633</v>
      </c>
      <c r="R2845">
        <v>0.1046089</v>
      </c>
      <c r="S2845">
        <v>3.3545530000000001</v>
      </c>
      <c r="T2845">
        <v>-0.33184029999999998</v>
      </c>
      <c r="U2845">
        <v>-0.1024017</v>
      </c>
      <c r="V2845">
        <v>-9.3160999999999994E-2</v>
      </c>
      <c r="W2845">
        <v>0.36087799999999998</v>
      </c>
      <c r="X2845">
        <v>0.92794840000000001</v>
      </c>
      <c r="Y2845">
        <v>4.2547870000000002E-2</v>
      </c>
      <c r="Z2845">
        <v>-3.447243E-3</v>
      </c>
      <c r="AA2845">
        <v>0.99908850000000005</v>
      </c>
      <c r="AB2845">
        <v>35</v>
      </c>
      <c r="AC2845">
        <v>0.57789999999999897</v>
      </c>
      <c r="AD2845">
        <v>-8.9971999999999899E-2</v>
      </c>
      <c r="AE2845">
        <v>-3.2099999999985501E-2</v>
      </c>
      <c r="AF2845">
        <v>3.82953657131163E-2</v>
      </c>
      <c r="AG2845">
        <v>-8.9971999999999899E-2</v>
      </c>
      <c r="AH2845">
        <v>0.563835822789168</v>
      </c>
      <c r="AI2845">
        <v>99.045829601436907</v>
      </c>
      <c r="AJ2845">
        <v>86.114474941088105</v>
      </c>
      <c r="AK2845">
        <v>0.57225198197947702</v>
      </c>
      <c r="AL2845">
        <v>68.845874708656694</v>
      </c>
      <c r="AM2845">
        <v>95.732976809941306</v>
      </c>
      <c r="AN2845">
        <v>1.0000000679337699</v>
      </c>
    </row>
    <row r="2846" spans="1:40" x14ac:dyDescent="0.25">
      <c r="A2846" t="str">
        <f>"20190304164658326"</f>
        <v>20190304164658326</v>
      </c>
      <c r="B2846" t="str">
        <f>"1551689218321331"</f>
        <v>1551689218321331</v>
      </c>
      <c r="C2846" t="s">
        <v>40</v>
      </c>
      <c r="D2846">
        <v>4.3583759999999998</v>
      </c>
      <c r="E2846">
        <v>0.56743259999999995</v>
      </c>
      <c r="F2846" t="s">
        <v>41</v>
      </c>
      <c r="G2846">
        <v>-337.13060000000002</v>
      </c>
      <c r="H2846">
        <v>1.023085</v>
      </c>
      <c r="I2846">
        <v>213.90780000000001</v>
      </c>
      <c r="J2846">
        <v>-337.66820000000001</v>
      </c>
      <c r="K2846">
        <v>1.1109880000000001</v>
      </c>
      <c r="L2846">
        <v>213.94</v>
      </c>
      <c r="M2846">
        <v>0.99981580000000003</v>
      </c>
      <c r="N2846">
        <v>-1.4639070000000001E-2</v>
      </c>
      <c r="O2846">
        <v>1.242042E-2</v>
      </c>
      <c r="P2846">
        <v>0.93210000000000004</v>
      </c>
      <c r="Q2846">
        <v>0.34713769999999999</v>
      </c>
      <c r="R2846">
        <v>0.10337109999999999</v>
      </c>
      <c r="S2846">
        <v>3.3546749999999999</v>
      </c>
      <c r="T2846">
        <v>-0.33202540000000003</v>
      </c>
      <c r="U2846">
        <v>-0.10484309999999999</v>
      </c>
      <c r="V2846">
        <v>-9.1835689999999998E-2</v>
      </c>
      <c r="W2846">
        <v>0.36075030000000002</v>
      </c>
      <c r="X2846">
        <v>0.92813009999999996</v>
      </c>
      <c r="Y2846">
        <v>4.336367E-2</v>
      </c>
      <c r="Z2846">
        <v>-3.503206E-3</v>
      </c>
      <c r="AA2846">
        <v>0.99905319999999997</v>
      </c>
      <c r="AB2846">
        <v>35</v>
      </c>
      <c r="AC2846">
        <v>0.53759999999999697</v>
      </c>
      <c r="AD2846">
        <v>-8.7902999999999801E-2</v>
      </c>
      <c r="AE2846">
        <v>-3.2199999999988897E-2</v>
      </c>
      <c r="AF2846">
        <v>3.7866681365691997E-2</v>
      </c>
      <c r="AG2846">
        <v>-8.7902999999999801E-2</v>
      </c>
      <c r="AH2846">
        <v>0.52321998103271605</v>
      </c>
      <c r="AI2846">
        <v>99.5124303767698</v>
      </c>
      <c r="AJ2846">
        <v>85.860584433368501</v>
      </c>
      <c r="AK2846">
        <v>0.53190221988493902</v>
      </c>
      <c r="AL2846">
        <v>68.853718954014695</v>
      </c>
      <c r="AM2846">
        <v>95.650851886739105</v>
      </c>
      <c r="AN2846">
        <v>1.0000000277169301</v>
      </c>
    </row>
    <row r="2847" spans="1:40" x14ac:dyDescent="0.25">
      <c r="A2847" t="str">
        <f>"20190304164658351"</f>
        <v>20190304164658351</v>
      </c>
      <c r="B2847" t="str">
        <f>"1551689218341826"</f>
        <v>1551689218341826</v>
      </c>
      <c r="C2847" t="s">
        <v>40</v>
      </c>
      <c r="D2847">
        <v>4.3397399999999999</v>
      </c>
      <c r="E2847">
        <v>0.56768989999999997</v>
      </c>
      <c r="F2847" t="s">
        <v>41</v>
      </c>
      <c r="G2847">
        <v>-336.82</v>
      </c>
      <c r="H2847">
        <v>1.026986</v>
      </c>
      <c r="I2847">
        <v>213.91159999999999</v>
      </c>
      <c r="J2847">
        <v>-337.28649999999999</v>
      </c>
      <c r="K2847">
        <v>1.110989</v>
      </c>
      <c r="L2847">
        <v>213.94489999999999</v>
      </c>
      <c r="M2847">
        <v>0.9998146</v>
      </c>
      <c r="N2847">
        <v>-1.463479E-2</v>
      </c>
      <c r="O2847">
        <v>1.252702E-2</v>
      </c>
      <c r="P2847">
        <v>0.93201699999999998</v>
      </c>
      <c r="Q2847">
        <v>0.34727709999999901</v>
      </c>
      <c r="R2847">
        <v>0.1036485</v>
      </c>
      <c r="S2847">
        <v>3.3547060000000002</v>
      </c>
      <c r="T2847">
        <v>-0.33235969999999998</v>
      </c>
      <c r="U2847">
        <v>-0.1114502</v>
      </c>
      <c r="V2847">
        <v>-9.2017340000000003E-2</v>
      </c>
      <c r="W2847">
        <v>0.36088419999999999</v>
      </c>
      <c r="X2847">
        <v>0.92806010000000005</v>
      </c>
      <c r="Y2847">
        <v>4.5422900000000002E-2</v>
      </c>
      <c r="Z2847">
        <v>-3.6322469999999999E-3</v>
      </c>
      <c r="AA2847">
        <v>0.99896130000000005</v>
      </c>
      <c r="AB2847">
        <v>35</v>
      </c>
      <c r="AC2847">
        <v>0.46649999999999597</v>
      </c>
      <c r="AD2847">
        <v>-8.4002999999999994E-2</v>
      </c>
      <c r="AE2847">
        <v>-3.3299999999996999E-2</v>
      </c>
      <c r="AF2847">
        <v>3.7918571977686902E-2</v>
      </c>
      <c r="AG2847">
        <v>-8.4002999999999994E-2</v>
      </c>
      <c r="AH2847">
        <v>0.45148092848133198</v>
      </c>
      <c r="AI2847">
        <v>100.503833163339</v>
      </c>
      <c r="AJ2847">
        <v>85.1991608286028</v>
      </c>
      <c r="AK2847">
        <v>0.46079209074396299</v>
      </c>
      <c r="AL2847">
        <v>68.845493917577201</v>
      </c>
      <c r="AM2847">
        <v>95.662380940945496</v>
      </c>
      <c r="AN2847">
        <v>1.00000007294116</v>
      </c>
    </row>
    <row r="2848" spans="1:40" x14ac:dyDescent="0.25">
      <c r="A2848" t="str">
        <f>"20190304164658373"</f>
        <v>20190304164658373</v>
      </c>
      <c r="B2848" t="str">
        <f>"1551689218361347"</f>
        <v>1551689218361347</v>
      </c>
      <c r="C2848" t="s">
        <v>40</v>
      </c>
      <c r="D2848">
        <v>4.3110290000000004</v>
      </c>
      <c r="E2848">
        <v>0.56786809999999999</v>
      </c>
      <c r="F2848" t="s">
        <v>41</v>
      </c>
      <c r="G2848">
        <v>-336.50810000000001</v>
      </c>
      <c r="H2848">
        <v>1.0340780000000001</v>
      </c>
      <c r="I2848">
        <v>213.9188</v>
      </c>
      <c r="J2848">
        <v>-336.9495</v>
      </c>
      <c r="K2848">
        <v>1.1109929999999999</v>
      </c>
      <c r="L2848">
        <v>213.94919999999999</v>
      </c>
      <c r="M2848">
        <v>0.99981350000000002</v>
      </c>
      <c r="N2848">
        <v>-1.463104E-2</v>
      </c>
      <c r="O2848">
        <v>1.262073E-2</v>
      </c>
      <c r="P2848">
        <v>0.93192549999999996</v>
      </c>
      <c r="Q2848">
        <v>0.34756009999999998</v>
      </c>
      <c r="R2848">
        <v>0.10352409999999999</v>
      </c>
      <c r="S2848">
        <v>3.3547669999999998</v>
      </c>
      <c r="T2848">
        <v>-0.33154250000000002</v>
      </c>
      <c r="U2848">
        <v>-0.1119232</v>
      </c>
      <c r="V2848">
        <v>-9.1808940000000006E-2</v>
      </c>
      <c r="W2848">
        <v>0.36116209999999999</v>
      </c>
      <c r="X2848">
        <v>0.92797260000000004</v>
      </c>
      <c r="Y2848">
        <v>4.565644E-2</v>
      </c>
      <c r="Z2848">
        <v>-3.644703E-3</v>
      </c>
      <c r="AA2848">
        <v>0.99895049999999996</v>
      </c>
      <c r="AB2848">
        <v>35</v>
      </c>
      <c r="AC2848">
        <v>0.44139999999998702</v>
      </c>
      <c r="AD2848">
        <v>-7.6914999999999997E-2</v>
      </c>
      <c r="AE2848">
        <v>-3.03999999999859E-2</v>
      </c>
      <c r="AF2848">
        <v>3.4913848245555698E-2</v>
      </c>
      <c r="AG2848">
        <v>-7.6914999999999997E-2</v>
      </c>
      <c r="AH2848">
        <v>0.42804536173095098</v>
      </c>
      <c r="AI2848">
        <v>100.15369228748099</v>
      </c>
      <c r="AJ2848">
        <v>85.336948568634796</v>
      </c>
      <c r="AK2848">
        <v>0.43630004093936903</v>
      </c>
      <c r="AL2848">
        <v>68.828419279151703</v>
      </c>
      <c r="AM2848">
        <v>95.650169157673403</v>
      </c>
      <c r="AN2848">
        <v>1.00000004514554</v>
      </c>
    </row>
    <row r="2849" spans="1:40" x14ac:dyDescent="0.25">
      <c r="A2849" t="str">
        <f>"20190304164658393"</f>
        <v>20190304164658393</v>
      </c>
      <c r="B2849" t="str">
        <f>"1551689218381843"</f>
        <v>1551689218381843</v>
      </c>
      <c r="C2849" t="s">
        <v>40</v>
      </c>
      <c r="D2849">
        <v>4.2868399999999998</v>
      </c>
      <c r="E2849">
        <v>0.56811080000000003</v>
      </c>
      <c r="F2849" t="s">
        <v>41</v>
      </c>
      <c r="G2849">
        <v>-336.19869999999997</v>
      </c>
      <c r="H2849">
        <v>1.0370109999999999</v>
      </c>
      <c r="I2849">
        <v>213.9237</v>
      </c>
      <c r="J2849">
        <v>-336.63130000000001</v>
      </c>
      <c r="K2849">
        <v>1.111003</v>
      </c>
      <c r="L2849">
        <v>213.95330000000001</v>
      </c>
      <c r="M2849">
        <v>0.99981240000000005</v>
      </c>
      <c r="N2849">
        <v>-1.462755E-2</v>
      </c>
      <c r="O2849">
        <v>1.270775E-2</v>
      </c>
      <c r="P2849">
        <v>0.93179889999999999</v>
      </c>
      <c r="Q2849">
        <v>0.34788859999999999</v>
      </c>
      <c r="R2849">
        <v>0.1035594</v>
      </c>
      <c r="S2849">
        <v>3.3550420000000001</v>
      </c>
      <c r="T2849">
        <v>-0.33077600000000001</v>
      </c>
      <c r="U2849">
        <v>-0.1130066</v>
      </c>
      <c r="V2849">
        <v>-9.1766520000000004E-2</v>
      </c>
      <c r="W2849">
        <v>0.3614849</v>
      </c>
      <c r="X2849">
        <v>0.92785110000000004</v>
      </c>
      <c r="Y2849">
        <v>4.6061699999999997E-2</v>
      </c>
      <c r="Z2849">
        <v>-3.6665080000000002E-3</v>
      </c>
      <c r="AA2849">
        <v>0.99893189999999998</v>
      </c>
      <c r="AB2849">
        <v>34</v>
      </c>
      <c r="AC2849">
        <v>0.43260000000003601</v>
      </c>
      <c r="AD2849">
        <v>-7.3991999999999794E-2</v>
      </c>
      <c r="AE2849">
        <v>-2.96000000000162E-2</v>
      </c>
      <c r="AF2849">
        <v>3.4102556504648197E-2</v>
      </c>
      <c r="AG2849">
        <v>-7.3991999999999794E-2</v>
      </c>
      <c r="AH2849">
        <v>0.41996028701372301</v>
      </c>
      <c r="AI2849">
        <v>99.960156184444799</v>
      </c>
      <c r="AJ2849">
        <v>85.357526166851699</v>
      </c>
      <c r="AK2849">
        <v>0.42779018583039202</v>
      </c>
      <c r="AL2849">
        <v>68.808584158169893</v>
      </c>
      <c r="AM2849">
        <v>95.648310152879304</v>
      </c>
      <c r="AN2849">
        <v>1.00000004544606</v>
      </c>
    </row>
    <row r="2850" spans="1:40" x14ac:dyDescent="0.25">
      <c r="A2850" t="str">
        <f>"20190304164658416"</f>
        <v>20190304164658416</v>
      </c>
      <c r="B2850" t="str">
        <f>"1551689218411122"</f>
        <v>1551689218411122</v>
      </c>
      <c r="C2850" t="s">
        <v>40</v>
      </c>
      <c r="D2850">
        <v>4.2692740000000002</v>
      </c>
      <c r="E2850">
        <v>0.56847840000000005</v>
      </c>
      <c r="F2850" t="s">
        <v>41</v>
      </c>
      <c r="G2850">
        <v>-335.89049999999997</v>
      </c>
      <c r="H2850">
        <v>1.0383180000000001</v>
      </c>
      <c r="I2850">
        <v>213.92779999999999</v>
      </c>
      <c r="J2850">
        <v>-336.28460000000001</v>
      </c>
      <c r="K2850">
        <v>1.1110059999999999</v>
      </c>
      <c r="L2850">
        <v>213.95779999999999</v>
      </c>
      <c r="M2850">
        <v>0.99981109999999895</v>
      </c>
      <c r="N2850">
        <v>-1.462376E-2</v>
      </c>
      <c r="O2850">
        <v>1.2801450000000001E-2</v>
      </c>
      <c r="P2850">
        <v>0.93170609999999998</v>
      </c>
      <c r="Q2850">
        <v>0.34802470000000002</v>
      </c>
      <c r="R2850">
        <v>0.1039364</v>
      </c>
      <c r="S2850">
        <v>3.3552550000000001</v>
      </c>
      <c r="T2850">
        <v>-0.3292274</v>
      </c>
      <c r="U2850">
        <v>-0.1148682</v>
      </c>
      <c r="V2850">
        <v>-9.2059699999999994E-2</v>
      </c>
      <c r="W2850">
        <v>0.3616161</v>
      </c>
      <c r="X2850">
        <v>0.92777089999999995</v>
      </c>
      <c r="Y2850">
        <v>4.670564E-2</v>
      </c>
      <c r="Z2850">
        <v>-3.6938700000000001E-3</v>
      </c>
      <c r="AA2850">
        <v>0.99890179999999995</v>
      </c>
      <c r="AB2850">
        <v>34</v>
      </c>
      <c r="AC2850">
        <v>0.39410000000003698</v>
      </c>
      <c r="AD2850">
        <v>-7.2687999999999794E-2</v>
      </c>
      <c r="AE2850">
        <v>-3.0000000000001099E-2</v>
      </c>
      <c r="AF2850">
        <v>3.3896668730133403E-2</v>
      </c>
      <c r="AG2850">
        <v>-7.2687999999999794E-2</v>
      </c>
      <c r="AH2850">
        <v>0.38080394700083797</v>
      </c>
      <c r="AI2850">
        <v>100.765080023034</v>
      </c>
      <c r="AJ2850">
        <v>84.913311991276998</v>
      </c>
      <c r="AK2850">
        <v>0.38915829111868799</v>
      </c>
      <c r="AL2850">
        <v>68.800520915581899</v>
      </c>
      <c r="AM2850">
        <v>95.666725020207494</v>
      </c>
      <c r="AN2850">
        <v>1.0000000175150501</v>
      </c>
    </row>
    <row r="2851" spans="1:40" x14ac:dyDescent="0.25">
      <c r="A2851" t="str">
        <f>"20190304164658439"</f>
        <v>20190304164658439</v>
      </c>
      <c r="B2851" t="str">
        <f>"1551689218431618"</f>
        <v>1551689218431618</v>
      </c>
      <c r="C2851" t="s">
        <v>40</v>
      </c>
      <c r="D2851">
        <v>4.2315259999999997</v>
      </c>
      <c r="E2851">
        <v>0.56870010000000004</v>
      </c>
      <c r="F2851" t="s">
        <v>41</v>
      </c>
      <c r="G2851">
        <v>-335.28840000000002</v>
      </c>
      <c r="H2851">
        <v>1.013709</v>
      </c>
      <c r="I2851">
        <v>213.9228</v>
      </c>
      <c r="J2851">
        <v>-335.92939999999999</v>
      </c>
      <c r="K2851">
        <v>1.1110070000000001</v>
      </c>
      <c r="L2851">
        <v>213.9624</v>
      </c>
      <c r="M2851">
        <v>0.99980990000000003</v>
      </c>
      <c r="N2851">
        <v>-1.461991E-2</v>
      </c>
      <c r="O2851">
        <v>1.289681E-2</v>
      </c>
      <c r="P2851">
        <v>0.93180549999999995</v>
      </c>
      <c r="Q2851">
        <v>0.34765479999999999</v>
      </c>
      <c r="R2851">
        <v>0.1042815</v>
      </c>
      <c r="S2851">
        <v>3.3554080000000002</v>
      </c>
      <c r="T2851">
        <v>-0.32778220000000002</v>
      </c>
      <c r="U2851">
        <v>-0.1172943</v>
      </c>
      <c r="V2851">
        <v>-9.2315540000000001E-2</v>
      </c>
      <c r="W2851">
        <v>0.3612435</v>
      </c>
      <c r="X2851">
        <v>0.92789060000000001</v>
      </c>
      <c r="Y2851">
        <v>4.7518570000000003E-2</v>
      </c>
      <c r="Z2851">
        <v>-3.7316239999999998E-3</v>
      </c>
      <c r="AA2851">
        <v>0.99886339999999996</v>
      </c>
      <c r="AB2851">
        <v>34</v>
      </c>
      <c r="AC2851">
        <v>0.64099999999996204</v>
      </c>
      <c r="AD2851">
        <v>-9.7298000000000107E-2</v>
      </c>
      <c r="AE2851">
        <v>-3.9600000000007102E-2</v>
      </c>
      <c r="AF2851">
        <v>4.6790468551807601E-2</v>
      </c>
      <c r="AG2851">
        <v>-9.7298000000000107E-2</v>
      </c>
      <c r="AH2851">
        <v>0.62606588769115801</v>
      </c>
      <c r="AI2851">
        <v>98.809587580352499</v>
      </c>
      <c r="AJ2851">
        <v>85.725814875726201</v>
      </c>
      <c r="AK2851">
        <v>0.63530681129814404</v>
      </c>
      <c r="AL2851">
        <v>68.823416630786596</v>
      </c>
      <c r="AM2851">
        <v>95.681642060961494</v>
      </c>
      <c r="AN2851">
        <v>0.99999999539304996</v>
      </c>
    </row>
    <row r="2852" spans="1:40" x14ac:dyDescent="0.25">
      <c r="A2852" t="str">
        <f>"20190304164658460"</f>
        <v>20190304164658460</v>
      </c>
      <c r="B2852" t="str">
        <f>"1551689218451138"</f>
        <v>1551689218451138</v>
      </c>
      <c r="C2852" t="s">
        <v>40</v>
      </c>
      <c r="D2852">
        <v>4.2181340000000001</v>
      </c>
      <c r="E2852">
        <v>0.56892739999999997</v>
      </c>
      <c r="F2852" t="s">
        <v>41</v>
      </c>
      <c r="G2852">
        <v>-334.9796</v>
      </c>
      <c r="H2852">
        <v>1.018097</v>
      </c>
      <c r="I2852">
        <v>213.92859999999999</v>
      </c>
      <c r="J2852">
        <v>-335.5949</v>
      </c>
      <c r="K2852">
        <v>1.1110089999999999</v>
      </c>
      <c r="L2852">
        <v>213.96680000000001</v>
      </c>
      <c r="M2852">
        <v>0.99980899999999995</v>
      </c>
      <c r="N2852">
        <v>-1.46163E-2</v>
      </c>
      <c r="O2852">
        <v>1.2986070000000001E-2</v>
      </c>
      <c r="P2852">
        <v>0.93184630000000002</v>
      </c>
      <c r="Q2852">
        <v>0.34738859999999999</v>
      </c>
      <c r="R2852">
        <v>0.1048042</v>
      </c>
      <c r="S2852">
        <v>3.3553160000000002</v>
      </c>
      <c r="T2852">
        <v>-0.32844559999999901</v>
      </c>
      <c r="U2852">
        <v>-0.1181946</v>
      </c>
      <c r="V2852">
        <v>-9.275506E-2</v>
      </c>
      <c r="W2852">
        <v>0.36097489999999999</v>
      </c>
      <c r="X2852">
        <v>0.92795130000000003</v>
      </c>
      <c r="Y2852">
        <v>4.7872919999999999E-2</v>
      </c>
      <c r="Z2852">
        <v>-3.7661750000000001E-3</v>
      </c>
      <c r="AA2852">
        <v>0.99884640000000002</v>
      </c>
      <c r="AB2852">
        <v>34</v>
      </c>
      <c r="AC2852">
        <v>0.61529999999998997</v>
      </c>
      <c r="AD2852">
        <v>-9.29119999999998E-2</v>
      </c>
      <c r="AE2852">
        <v>-3.8200000000017498E-2</v>
      </c>
      <c r="AF2852">
        <v>4.51621338777305E-2</v>
      </c>
      <c r="AG2852">
        <v>-9.29119999999998E-2</v>
      </c>
      <c r="AH2852">
        <v>0.60109846252700205</v>
      </c>
      <c r="AI2852">
        <v>98.762380080511306</v>
      </c>
      <c r="AJ2852">
        <v>85.703287695902404</v>
      </c>
      <c r="AK2852">
        <v>0.60991115724564005</v>
      </c>
      <c r="AL2852">
        <v>68.839919900679604</v>
      </c>
      <c r="AM2852">
        <v>95.708143525656496</v>
      </c>
      <c r="AN2852">
        <v>0.99999999737865097</v>
      </c>
    </row>
    <row r="2853" spans="1:40" x14ac:dyDescent="0.25">
      <c r="A2853" t="str">
        <f>"20190304164658482"</f>
        <v>20190304164658482</v>
      </c>
      <c r="B2853" t="str">
        <f>"1551689218471638"</f>
        <v>1551689218471638</v>
      </c>
      <c r="C2853" t="s">
        <v>40</v>
      </c>
      <c r="D2853">
        <v>4.2397320000000001</v>
      </c>
      <c r="E2853">
        <v>0.56914639999999905</v>
      </c>
      <c r="F2853" t="s">
        <v>41</v>
      </c>
      <c r="G2853">
        <v>-334.67219999999998</v>
      </c>
      <c r="H2853">
        <v>1.0205470000000001</v>
      </c>
      <c r="I2853">
        <v>213.93430000000001</v>
      </c>
      <c r="J2853">
        <v>-335.27010000000001</v>
      </c>
      <c r="K2853">
        <v>1.1110059999999999</v>
      </c>
      <c r="L2853">
        <v>213.97110000000001</v>
      </c>
      <c r="M2853">
        <v>0.99980769999999997</v>
      </c>
      <c r="N2853">
        <v>-1.46128E-2</v>
      </c>
      <c r="O2853">
        <v>1.307354E-2</v>
      </c>
      <c r="P2853">
        <v>0.9315099</v>
      </c>
      <c r="Q2853">
        <v>0.34785860000000002</v>
      </c>
      <c r="R2853">
        <v>0.1062246</v>
      </c>
      <c r="S2853">
        <v>3.3553160000000002</v>
      </c>
      <c r="T2853">
        <v>-0.3290304</v>
      </c>
      <c r="U2853">
        <v>-0.11776730000000001</v>
      </c>
      <c r="V2853">
        <v>-9.4098429999999997E-2</v>
      </c>
      <c r="W2853">
        <v>0.36143649999999999</v>
      </c>
      <c r="X2853">
        <v>0.92763629999999997</v>
      </c>
      <c r="Y2853">
        <v>4.7832140000000002E-2</v>
      </c>
      <c r="Z2853">
        <v>-3.7775220000000002E-3</v>
      </c>
      <c r="AA2853">
        <v>0.99884830000000002</v>
      </c>
      <c r="AB2853">
        <v>34</v>
      </c>
      <c r="AC2853">
        <v>0.59790000000003796</v>
      </c>
      <c r="AD2853">
        <v>-9.0458999999999998E-2</v>
      </c>
      <c r="AE2853">
        <v>-3.67999999999995E-2</v>
      </c>
      <c r="AF2853">
        <v>4.3619671329087603E-2</v>
      </c>
      <c r="AG2853">
        <v>-9.0458999999999998E-2</v>
      </c>
      <c r="AH2853">
        <v>0.58404927860870004</v>
      </c>
      <c r="AI2853">
        <v>98.780087067198707</v>
      </c>
      <c r="AJ2853">
        <v>85.728799094238994</v>
      </c>
      <c r="AK2853">
        <v>0.59262050778824704</v>
      </c>
      <c r="AL2853">
        <v>68.811556949250701</v>
      </c>
      <c r="AM2853">
        <v>95.792209560913903</v>
      </c>
      <c r="AN2853">
        <v>0.999999981569202</v>
      </c>
    </row>
    <row r="2854" spans="1:40" x14ac:dyDescent="0.25">
      <c r="A2854" t="str">
        <f>"20190304164658505"</f>
        <v>20190304164658505</v>
      </c>
      <c r="B2854" t="str">
        <f>"1551689218501891"</f>
        <v>1551689218501891</v>
      </c>
      <c r="C2854" t="s">
        <v>40</v>
      </c>
      <c r="D2854">
        <v>4.201111</v>
      </c>
      <c r="E2854">
        <v>0.58161770000000002</v>
      </c>
      <c r="F2854" t="s">
        <v>41</v>
      </c>
      <c r="G2854">
        <v>-334.36520000000002</v>
      </c>
      <c r="H2854">
        <v>1.0229919999999999</v>
      </c>
      <c r="I2854">
        <v>213.93940000000001</v>
      </c>
      <c r="J2854">
        <v>-334.91269999999997</v>
      </c>
      <c r="K2854">
        <v>1.111008</v>
      </c>
      <c r="L2854">
        <v>213.9759</v>
      </c>
      <c r="M2854">
        <v>0.99980659999999999</v>
      </c>
      <c r="N2854">
        <v>-1.4608929999999999E-2</v>
      </c>
      <c r="O2854">
        <v>1.3169709999999999E-2</v>
      </c>
      <c r="P2854">
        <v>0.93157809999999996</v>
      </c>
      <c r="Q2854">
        <v>0.34745700000000002</v>
      </c>
      <c r="R2854">
        <v>0.1069396</v>
      </c>
      <c r="S2854">
        <v>3.355804</v>
      </c>
      <c r="T2854">
        <v>-0.32656439999999998</v>
      </c>
      <c r="U2854">
        <v>-0.11628719999999999</v>
      </c>
      <c r="V2854">
        <v>-9.4722959999999995E-2</v>
      </c>
      <c r="W2854">
        <v>0.36103229999999997</v>
      </c>
      <c r="X2854">
        <v>0.9277301</v>
      </c>
      <c r="Y2854">
        <v>4.7489190000000001E-2</v>
      </c>
      <c r="Z2854">
        <v>-3.7387539999999999E-3</v>
      </c>
      <c r="AA2854">
        <v>0.9988648</v>
      </c>
      <c r="AB2854">
        <v>34</v>
      </c>
      <c r="AC2854">
        <v>0.54749999999995602</v>
      </c>
      <c r="AD2854">
        <v>-8.8016000000000094E-2</v>
      </c>
      <c r="AE2854">
        <v>-3.6499999999989499E-2</v>
      </c>
      <c r="AF2854">
        <v>4.2611648591849002E-2</v>
      </c>
      <c r="AG2854">
        <v>-8.8016000000000094E-2</v>
      </c>
      <c r="AH2854">
        <v>0.53325153849312501</v>
      </c>
      <c r="AI2854">
        <v>99.343215053472207</v>
      </c>
      <c r="AJ2854">
        <v>85.431254048696104</v>
      </c>
      <c r="AK2854">
        <v>0.54214368220703302</v>
      </c>
      <c r="AL2854">
        <v>68.836392245535805</v>
      </c>
      <c r="AM2854">
        <v>95.829802973628901</v>
      </c>
      <c r="AN2854">
        <v>0.99999994962022898</v>
      </c>
    </row>
    <row r="2855" spans="1:40" x14ac:dyDescent="0.25">
      <c r="A2855" t="str">
        <f>"20190304164658528"</f>
        <v>20190304164658528</v>
      </c>
      <c r="B2855" t="str">
        <f>"1551689218521411"</f>
        <v>1551689218521411</v>
      </c>
      <c r="C2855" t="s">
        <v>40</v>
      </c>
      <c r="D2855">
        <v>4.316954</v>
      </c>
      <c r="E2855">
        <v>0.58205909999999905</v>
      </c>
      <c r="F2855" t="s">
        <v>41</v>
      </c>
      <c r="G2855">
        <v>-334.06060000000002</v>
      </c>
      <c r="H2855">
        <v>1.020751</v>
      </c>
      <c r="I2855">
        <v>213.92269999999999</v>
      </c>
      <c r="J2855">
        <v>-334.56389999999999</v>
      </c>
      <c r="K2855">
        <v>1.1110120000000001</v>
      </c>
      <c r="L2855">
        <v>213.98060000000001</v>
      </c>
      <c r="M2855">
        <v>0.99980539999999996</v>
      </c>
      <c r="N2855">
        <v>-1.4605170000000001E-2</v>
      </c>
      <c r="O2855">
        <v>1.3263850000000001E-2</v>
      </c>
      <c r="P2855">
        <v>0.93142100000000005</v>
      </c>
      <c r="Q2855">
        <v>0.34779650000000001</v>
      </c>
      <c r="R2855">
        <v>0.1072036</v>
      </c>
      <c r="S2855">
        <v>3.3780209999999999</v>
      </c>
      <c r="T2855">
        <v>-0.35792839999999998</v>
      </c>
      <c r="U2855">
        <v>-0.21043400000000001</v>
      </c>
      <c r="V2855">
        <v>-9.4900899999999996E-2</v>
      </c>
      <c r="W2855">
        <v>0.36136620000000003</v>
      </c>
      <c r="X2855">
        <v>0.92758200000000002</v>
      </c>
      <c r="Y2855">
        <v>7.4877959999999993E-2</v>
      </c>
      <c r="Z2855">
        <v>-5.7083739999999996E-3</v>
      </c>
      <c r="AA2855">
        <v>0.99717630000000002</v>
      </c>
      <c r="AB2855">
        <v>34</v>
      </c>
      <c r="AC2855">
        <v>0.503299999999967</v>
      </c>
      <c r="AD2855">
        <v>-9.0261000000000105E-2</v>
      </c>
      <c r="AE2855">
        <v>-5.7900000000017798E-2</v>
      </c>
      <c r="AF2855">
        <v>6.2584738165176401E-2</v>
      </c>
      <c r="AG2855">
        <v>-9.0261000000000105E-2</v>
      </c>
      <c r="AH2855">
        <v>0.48702832496130299</v>
      </c>
      <c r="AI2855">
        <v>100.415754591896</v>
      </c>
      <c r="AJ2855">
        <v>82.677434391742196</v>
      </c>
      <c r="AK2855">
        <v>0.49925993919682299</v>
      </c>
      <c r="AL2855">
        <v>68.815878097059795</v>
      </c>
      <c r="AM2855">
        <v>95.841604885805907</v>
      </c>
      <c r="AN2855">
        <v>1.0000000390236199</v>
      </c>
    </row>
    <row r="2856" spans="1:40" x14ac:dyDescent="0.25">
      <c r="A2856" t="str">
        <f>"20190304164658550"</f>
        <v>20190304164658550</v>
      </c>
      <c r="B2856" t="str">
        <f>"1551689218541906"</f>
        <v>1551689218541906</v>
      </c>
      <c r="C2856" t="s">
        <v>40</v>
      </c>
      <c r="D2856">
        <v>4.157489</v>
      </c>
      <c r="E2856">
        <v>0.58257609999999904</v>
      </c>
      <c r="F2856" t="s">
        <v>41</v>
      </c>
      <c r="G2856">
        <v>-333.75299999999999</v>
      </c>
      <c r="H2856">
        <v>1.0257829999999999</v>
      </c>
      <c r="I2856">
        <v>213.92939999999999</v>
      </c>
      <c r="J2856">
        <v>-334.22789999999998</v>
      </c>
      <c r="K2856">
        <v>1.1110070000000001</v>
      </c>
      <c r="L2856">
        <v>213.98519999999999</v>
      </c>
      <c r="M2856">
        <v>0.99980429999999998</v>
      </c>
      <c r="N2856">
        <v>-1.460153E-2</v>
      </c>
      <c r="O2856">
        <v>1.3353820000000001E-2</v>
      </c>
      <c r="P2856">
        <v>0.93148140000000001</v>
      </c>
      <c r="Q2856">
        <v>0.34767490000000001</v>
      </c>
      <c r="R2856">
        <v>0.10707469999999999</v>
      </c>
      <c r="S2856">
        <v>3.377869</v>
      </c>
      <c r="T2856">
        <v>-0.3552247</v>
      </c>
      <c r="U2856">
        <v>-0.21179200000000001</v>
      </c>
      <c r="V2856">
        <v>-9.4688179999999997E-2</v>
      </c>
      <c r="W2856">
        <v>0.3612417</v>
      </c>
      <c r="X2856">
        <v>0.92765220000000004</v>
      </c>
      <c r="Y2856">
        <v>7.5373999999999997E-2</v>
      </c>
      <c r="Z2856">
        <v>-5.705969E-3</v>
      </c>
      <c r="AA2856">
        <v>0.997139</v>
      </c>
      <c r="AB2856">
        <v>34</v>
      </c>
      <c r="AC2856">
        <v>0.47489999999993399</v>
      </c>
      <c r="AD2856">
        <v>-8.5224000000000105E-2</v>
      </c>
      <c r="AE2856">
        <v>-5.5800000000004901E-2</v>
      </c>
      <c r="AF2856">
        <v>6.0224332573921097E-2</v>
      </c>
      <c r="AG2856">
        <v>-8.5224000000000105E-2</v>
      </c>
      <c r="AH2856">
        <v>0.45951538533242398</v>
      </c>
      <c r="AI2856">
        <v>100.419841508722</v>
      </c>
      <c r="AJ2856">
        <v>82.533341621486002</v>
      </c>
      <c r="AK2856">
        <v>0.47121596934651999</v>
      </c>
      <c r="AL2856">
        <v>68.823527571807404</v>
      </c>
      <c r="AM2856">
        <v>95.8281631582514</v>
      </c>
      <c r="AN2856">
        <v>1.00000001070772</v>
      </c>
    </row>
    <row r="2857" spans="1:40" x14ac:dyDescent="0.25">
      <c r="A2857" t="str">
        <f>"20190304164658574"</f>
        <v>20190304164658574</v>
      </c>
      <c r="B2857" t="str">
        <f>"1551689218571186"</f>
        <v>1551689218571186</v>
      </c>
      <c r="C2857" t="s">
        <v>40</v>
      </c>
      <c r="D2857">
        <v>4.3117070000000002</v>
      </c>
      <c r="E2857">
        <v>0.58243009999999995</v>
      </c>
      <c r="F2857" t="s">
        <v>41</v>
      </c>
      <c r="G2857">
        <v>-333.44659999999999</v>
      </c>
      <c r="H2857">
        <v>1.0290459999999999</v>
      </c>
      <c r="I2857">
        <v>213.93520000000001</v>
      </c>
      <c r="J2857">
        <v>-333.87029999999999</v>
      </c>
      <c r="K2857">
        <v>1.1110059999999999</v>
      </c>
      <c r="L2857">
        <v>213.99</v>
      </c>
      <c r="M2857">
        <v>0.999803</v>
      </c>
      <c r="N2857">
        <v>-1.459762E-2</v>
      </c>
      <c r="O2857">
        <v>1.3450109999999999E-2</v>
      </c>
      <c r="P2857">
        <v>0.93165450000000005</v>
      </c>
      <c r="Q2857">
        <v>0.3472923</v>
      </c>
      <c r="R2857">
        <v>0.1068085</v>
      </c>
      <c r="S2857">
        <v>3.3776860000000002</v>
      </c>
      <c r="T2857">
        <v>-0.35445789999999999</v>
      </c>
      <c r="U2857">
        <v>-0.21498110000000001</v>
      </c>
      <c r="V2857">
        <v>-9.4329399999999994E-2</v>
      </c>
      <c r="W2857">
        <v>0.36085889999999998</v>
      </c>
      <c r="X2857">
        <v>0.92783769999999999</v>
      </c>
      <c r="Y2857">
        <v>7.6406429999999997E-2</v>
      </c>
      <c r="Z2857">
        <v>-5.7647410000000003E-3</v>
      </c>
      <c r="AA2857">
        <v>0.9970601</v>
      </c>
      <c r="AB2857">
        <v>34</v>
      </c>
      <c r="AC2857">
        <v>0.42369999999999602</v>
      </c>
      <c r="AD2857">
        <v>-8.1960000000000005E-2</v>
      </c>
      <c r="AE2857">
        <v>-5.4800000000000099E-2</v>
      </c>
      <c r="AF2857">
        <v>5.8347116880418902E-2</v>
      </c>
      <c r="AG2857">
        <v>-8.1960000000000005E-2</v>
      </c>
      <c r="AH2857">
        <v>0.40791216514737999</v>
      </c>
      <c r="AI2857">
        <v>101.249381919014</v>
      </c>
      <c r="AJ2857">
        <v>81.859718490742097</v>
      </c>
      <c r="AK2857">
        <v>0.420135885307933</v>
      </c>
      <c r="AL2857">
        <v>68.847046387372501</v>
      </c>
      <c r="AM2857">
        <v>95.805078115085706</v>
      </c>
      <c r="AN2857">
        <v>0.99999998947742996</v>
      </c>
    </row>
    <row r="2858" spans="1:40" x14ac:dyDescent="0.25">
      <c r="A2858" t="str">
        <f>"20190304164658594"</f>
        <v>20190304164658594</v>
      </c>
      <c r="B2858" t="str">
        <f>"1551689218591682"</f>
        <v>1551689218591682</v>
      </c>
      <c r="C2858" t="s">
        <v>40</v>
      </c>
      <c r="D2858">
        <v>4.2969210000000002</v>
      </c>
      <c r="E2858">
        <v>0.58225799999999905</v>
      </c>
      <c r="F2858" t="s">
        <v>41</v>
      </c>
      <c r="G2858">
        <v>-333.1397</v>
      </c>
      <c r="H2858">
        <v>1.0339940000000001</v>
      </c>
      <c r="I2858">
        <v>213.94329999999999</v>
      </c>
      <c r="J2858">
        <v>-333.56270000000001</v>
      </c>
      <c r="K2858">
        <v>1.111019</v>
      </c>
      <c r="L2858">
        <v>213.99430000000001</v>
      </c>
      <c r="M2858">
        <v>0.99980210000000003</v>
      </c>
      <c r="N2858">
        <v>-1.4594289999999999E-2</v>
      </c>
      <c r="O2858">
        <v>1.3532499999999999E-2</v>
      </c>
      <c r="P2858">
        <v>0.93172379999999999</v>
      </c>
      <c r="Q2858">
        <v>0.34717700000000001</v>
      </c>
      <c r="R2858">
        <v>0.1065787</v>
      </c>
      <c r="S2858">
        <v>3.3775330000000001</v>
      </c>
      <c r="T2858">
        <v>-0.35611389999999998</v>
      </c>
      <c r="U2858">
        <v>-0.21530150000000001</v>
      </c>
      <c r="V2858">
        <v>-9.4021599999999997E-2</v>
      </c>
      <c r="W2858">
        <v>0.3607419</v>
      </c>
      <c r="X2858">
        <v>0.92791440000000003</v>
      </c>
      <c r="Y2858">
        <v>7.6579399999999895E-2</v>
      </c>
      <c r="Z2858">
        <v>-5.8078100000000001E-3</v>
      </c>
      <c r="AA2858">
        <v>0.99704660000000001</v>
      </c>
      <c r="AB2858">
        <v>34</v>
      </c>
      <c r="AC2858">
        <v>0.42300000000000099</v>
      </c>
      <c r="AD2858">
        <v>-7.7024999999999899E-2</v>
      </c>
      <c r="AE2858">
        <v>-5.1000000000016102E-2</v>
      </c>
      <c r="AF2858">
        <v>5.4925096804663703E-2</v>
      </c>
      <c r="AG2858">
        <v>-7.7024999999999899E-2</v>
      </c>
      <c r="AH2858">
        <v>0.40890693463042599</v>
      </c>
      <c r="AI2858">
        <v>100.574892807098</v>
      </c>
      <c r="AJ2858">
        <v>82.349720714673794</v>
      </c>
      <c r="AK2858">
        <v>0.419707634041666</v>
      </c>
      <c r="AL2858">
        <v>68.854233412333798</v>
      </c>
      <c r="AM2858">
        <v>95.785789649185801</v>
      </c>
      <c r="AN2858">
        <v>0.99999995670476405</v>
      </c>
    </row>
    <row r="2859" spans="1:40" x14ac:dyDescent="0.25">
      <c r="A2859" t="str">
        <f>"20190304164658617"</f>
        <v>20190304164658617</v>
      </c>
      <c r="B2859" t="str">
        <f>"1551689218611202"</f>
        <v>1551689218611202</v>
      </c>
      <c r="C2859" t="s">
        <v>40</v>
      </c>
      <c r="D2859">
        <v>4.2804279999999997</v>
      </c>
      <c r="E2859">
        <v>0.58217069999999904</v>
      </c>
      <c r="F2859" t="s">
        <v>41</v>
      </c>
      <c r="G2859">
        <v>-332.54660000000001</v>
      </c>
      <c r="H2859">
        <v>1.003735</v>
      </c>
      <c r="I2859">
        <v>213.9288</v>
      </c>
      <c r="J2859">
        <v>-333.21699999999998</v>
      </c>
      <c r="K2859">
        <v>1.1110169999999999</v>
      </c>
      <c r="L2859">
        <v>213.999</v>
      </c>
      <c r="M2859">
        <v>0.99980069999999999</v>
      </c>
      <c r="N2859">
        <v>-1.4590550000000001E-2</v>
      </c>
      <c r="O2859">
        <v>1.3625450000000001E-2</v>
      </c>
      <c r="P2859">
        <v>0.93188300000000002</v>
      </c>
      <c r="Q2859">
        <v>0.34696700000000003</v>
      </c>
      <c r="R2859">
        <v>0.105867</v>
      </c>
      <c r="S2859">
        <v>3.3775629999999999</v>
      </c>
      <c r="T2859">
        <v>-0.35673050000000001</v>
      </c>
      <c r="U2859">
        <v>-0.21641540000000001</v>
      </c>
      <c r="V2859">
        <v>-9.3221319999999996E-2</v>
      </c>
      <c r="W2859">
        <v>0.36053059999999998</v>
      </c>
      <c r="X2859">
        <v>0.92807729999999999</v>
      </c>
      <c r="Y2859">
        <v>7.699425E-2</v>
      </c>
      <c r="Z2859">
        <v>-5.8502919999999896E-3</v>
      </c>
      <c r="AA2859">
        <v>0.99701430000000002</v>
      </c>
      <c r="AB2859">
        <v>34</v>
      </c>
      <c r="AC2859">
        <v>0.67039999999997202</v>
      </c>
      <c r="AD2859">
        <v>-0.107281999999999</v>
      </c>
      <c r="AE2859">
        <v>-7.0200000000028198E-2</v>
      </c>
      <c r="AF2859">
        <v>7.7369130938947206E-2</v>
      </c>
      <c r="AG2859">
        <v>-0.107281999999999</v>
      </c>
      <c r="AH2859">
        <v>0.65284405530450396</v>
      </c>
      <c r="AI2859">
        <v>99.268300195302004</v>
      </c>
      <c r="AJ2859">
        <v>83.241349821771806</v>
      </c>
      <c r="AK2859">
        <v>0.66610867768906801</v>
      </c>
      <c r="AL2859">
        <v>68.867214475148899</v>
      </c>
      <c r="AM2859">
        <v>95.735872606530805</v>
      </c>
      <c r="AN2859">
        <v>1.00000000140709</v>
      </c>
    </row>
    <row r="2860" spans="1:40" x14ac:dyDescent="0.25">
      <c r="A2860" t="str">
        <f>"20190304164658640"</f>
        <v>20190304164658640</v>
      </c>
      <c r="B2860" t="str">
        <f>"1551689218631699"</f>
        <v>1551689218631699</v>
      </c>
      <c r="C2860" t="s">
        <v>40</v>
      </c>
      <c r="D2860">
        <v>4.2851249999999999</v>
      </c>
      <c r="E2860">
        <v>0.5820225</v>
      </c>
      <c r="F2860" t="s">
        <v>41</v>
      </c>
      <c r="G2860">
        <v>-332.24149999999997</v>
      </c>
      <c r="H2860">
        <v>1.007158</v>
      </c>
      <c r="I2860">
        <v>213.9359</v>
      </c>
      <c r="J2860">
        <v>-332.86869999999999</v>
      </c>
      <c r="K2860">
        <v>1.1110139999999999</v>
      </c>
      <c r="L2860">
        <v>214.00389999999999</v>
      </c>
      <c r="M2860">
        <v>0.99979949999999995</v>
      </c>
      <c r="N2860">
        <v>-1.458688E-2</v>
      </c>
      <c r="O2860">
        <v>1.37194E-2</v>
      </c>
      <c r="P2860">
        <v>0.93212070000000002</v>
      </c>
      <c r="Q2860">
        <v>0.3464218</v>
      </c>
      <c r="R2860">
        <v>0.1055608</v>
      </c>
      <c r="S2860">
        <v>3.3780519999999998</v>
      </c>
      <c r="T2860">
        <v>-0.35968630000000001</v>
      </c>
      <c r="U2860">
        <v>-0.21861269999999999</v>
      </c>
      <c r="V2860">
        <v>-9.2824069999999995E-2</v>
      </c>
      <c r="W2860">
        <v>0.35998570000000002</v>
      </c>
      <c r="X2860">
        <v>0.92832859999999995</v>
      </c>
      <c r="Y2860">
        <v>7.7711089999999997E-2</v>
      </c>
      <c r="Z2860">
        <v>-5.9464019999999999E-3</v>
      </c>
      <c r="AA2860">
        <v>0.99695820000000002</v>
      </c>
      <c r="AB2860">
        <v>34</v>
      </c>
      <c r="AC2860">
        <v>0.62720000000001597</v>
      </c>
      <c r="AD2860">
        <v>-0.103855999999999</v>
      </c>
      <c r="AE2860">
        <v>-6.7999999999983601E-2</v>
      </c>
      <c r="AF2860">
        <v>7.4578221249203894E-2</v>
      </c>
      <c r="AG2860">
        <v>-0.103855999999999</v>
      </c>
      <c r="AH2860">
        <v>0.60968521814670296</v>
      </c>
      <c r="AI2860">
        <v>99.596993077369802</v>
      </c>
      <c r="AJ2860">
        <v>83.026082291341396</v>
      </c>
      <c r="AK2860">
        <v>0.62294786703807603</v>
      </c>
      <c r="AL2860">
        <v>68.900682204416597</v>
      </c>
      <c r="AM2860">
        <v>95.710055995872494</v>
      </c>
      <c r="AN2860">
        <v>1.0000000008769001</v>
      </c>
    </row>
    <row r="2861" spans="1:40" x14ac:dyDescent="0.25">
      <c r="A2861" t="str">
        <f>"20190304164658662"</f>
        <v>20190304164658662</v>
      </c>
      <c r="B2861" t="str">
        <f>"1551689218651218"</f>
        <v>1551689218651218</v>
      </c>
      <c r="C2861" t="s">
        <v>40</v>
      </c>
      <c r="D2861">
        <v>4.2605559999999896</v>
      </c>
      <c r="E2861">
        <v>0.58189809999999997</v>
      </c>
      <c r="F2861" t="s">
        <v>41</v>
      </c>
      <c r="G2861">
        <v>-331.93669999999997</v>
      </c>
      <c r="H2861">
        <v>1.0108280000000001</v>
      </c>
      <c r="I2861">
        <v>213.94309999999999</v>
      </c>
      <c r="J2861">
        <v>-332.52789999999999</v>
      </c>
      <c r="K2861">
        <v>1.111008</v>
      </c>
      <c r="L2861">
        <v>214.0087</v>
      </c>
      <c r="M2861">
        <v>0.99979830000000003</v>
      </c>
      <c r="N2861">
        <v>-1.4583169999999999E-2</v>
      </c>
      <c r="O2861">
        <v>1.3811149999999999E-2</v>
      </c>
      <c r="P2861">
        <v>0.93218760000000001</v>
      </c>
      <c r="Q2861">
        <v>0.34625729999999999</v>
      </c>
      <c r="R2861">
        <v>0.10550859999999999</v>
      </c>
      <c r="S2861">
        <v>3.3782960000000002</v>
      </c>
      <c r="T2861">
        <v>-0.36335529999999999</v>
      </c>
      <c r="U2861">
        <v>-0.21894839999999999</v>
      </c>
      <c r="V2861">
        <v>-9.2685279999999995E-2</v>
      </c>
      <c r="W2861">
        <v>0.35981849999999999</v>
      </c>
      <c r="X2861">
        <v>0.92840730000000005</v>
      </c>
      <c r="Y2861">
        <v>7.7884229999999999E-2</v>
      </c>
      <c r="Z2861">
        <v>-6.0215360000000001E-3</v>
      </c>
      <c r="AA2861">
        <v>0.99694419999999995</v>
      </c>
      <c r="AB2861">
        <v>34</v>
      </c>
      <c r="AC2861">
        <v>0.59120000000001405</v>
      </c>
      <c r="AD2861">
        <v>-0.10017999999999901</v>
      </c>
      <c r="AE2861">
        <v>-6.5600000000017603E-2</v>
      </c>
      <c r="AF2861">
        <v>7.1725293098515802E-2</v>
      </c>
      <c r="AG2861">
        <v>-0.10017999999999901</v>
      </c>
      <c r="AH2861">
        <v>0.57395734581119495</v>
      </c>
      <c r="AI2861">
        <v>99.825895040074599</v>
      </c>
      <c r="AJ2861">
        <v>82.876888041627694</v>
      </c>
      <c r="AK2861">
        <v>0.58703286524750797</v>
      </c>
      <c r="AL2861">
        <v>68.910950408788594</v>
      </c>
      <c r="AM2861">
        <v>95.701094514865105</v>
      </c>
      <c r="AN2861">
        <v>1.0000000143821</v>
      </c>
    </row>
    <row r="2862" spans="1:40" x14ac:dyDescent="0.25">
      <c r="A2862" t="str">
        <f>"20190304164658684"</f>
        <v>20190304164658684</v>
      </c>
      <c r="B2862" t="str">
        <f>"1551689218681475"</f>
        <v>1551689218681475</v>
      </c>
      <c r="C2862" t="s">
        <v>40</v>
      </c>
      <c r="D2862">
        <v>4.2762560000000001</v>
      </c>
      <c r="E2862">
        <v>0.58190319999999995</v>
      </c>
      <c r="F2862" t="s">
        <v>41</v>
      </c>
      <c r="G2862">
        <v>-331.6327</v>
      </c>
      <c r="H2862">
        <v>1.0136799999999999</v>
      </c>
      <c r="I2862">
        <v>213.95089999999999</v>
      </c>
      <c r="J2862">
        <v>-332.20409999999998</v>
      </c>
      <c r="K2862">
        <v>1.1110089999999999</v>
      </c>
      <c r="L2862">
        <v>214.01320000000001</v>
      </c>
      <c r="M2862">
        <v>0.99979709999999999</v>
      </c>
      <c r="N2862">
        <v>-1.457964E-2</v>
      </c>
      <c r="O2862">
        <v>1.389844E-2</v>
      </c>
      <c r="P2862">
        <v>0.93231240000000004</v>
      </c>
      <c r="Q2862">
        <v>0.3459179</v>
      </c>
      <c r="R2862">
        <v>0.10552010000000001</v>
      </c>
      <c r="S2862">
        <v>3.3793329999999999</v>
      </c>
      <c r="T2862">
        <v>-0.3674442</v>
      </c>
      <c r="U2862">
        <v>-0.21751400000000001</v>
      </c>
      <c r="V2862">
        <v>-9.2612879999999995E-2</v>
      </c>
      <c r="W2862">
        <v>0.35947810000000002</v>
      </c>
      <c r="X2862">
        <v>0.92854639999999999</v>
      </c>
      <c r="Y2862">
        <v>7.7520140000000001E-2</v>
      </c>
      <c r="Z2862">
        <v>-6.0688560000000001E-3</v>
      </c>
      <c r="AA2862">
        <v>0.99697230000000003</v>
      </c>
      <c r="AB2862">
        <v>34</v>
      </c>
      <c r="AC2862">
        <v>0.57139999999998203</v>
      </c>
      <c r="AD2862">
        <v>-9.7328999999999999E-2</v>
      </c>
      <c r="AE2862">
        <v>-6.2300000000021699E-2</v>
      </c>
      <c r="AF2862">
        <v>6.8278646757887695E-2</v>
      </c>
      <c r="AG2862">
        <v>-9.7328999999999999E-2</v>
      </c>
      <c r="AH2862">
        <v>0.55457748319833899</v>
      </c>
      <c r="AI2862">
        <v>99.880984942809107</v>
      </c>
      <c r="AJ2862">
        <v>82.981161921409097</v>
      </c>
      <c r="AK2862">
        <v>0.56717818427253797</v>
      </c>
      <c r="AL2862">
        <v>68.931852914142993</v>
      </c>
      <c r="AM2862">
        <v>95.695822702659399</v>
      </c>
      <c r="AN2862">
        <v>1.0000000334372301</v>
      </c>
    </row>
    <row r="2863" spans="1:40" x14ac:dyDescent="0.25">
      <c r="A2863" t="str">
        <f>"20190304164658707"</f>
        <v>20190304164658707</v>
      </c>
      <c r="B2863" t="str">
        <f>"1551689218701970"</f>
        <v>1551689218701970</v>
      </c>
      <c r="C2863" t="s">
        <v>40</v>
      </c>
      <c r="D2863">
        <v>4.2723740000000001</v>
      </c>
      <c r="E2863">
        <v>0.58194539999999995</v>
      </c>
      <c r="F2863" t="s">
        <v>41</v>
      </c>
      <c r="G2863">
        <v>-331.32960000000003</v>
      </c>
      <c r="H2863">
        <v>1.015333</v>
      </c>
      <c r="I2863">
        <v>213.95670000000001</v>
      </c>
      <c r="J2863">
        <v>-331.84829999999999</v>
      </c>
      <c r="K2863">
        <v>1.111008</v>
      </c>
      <c r="L2863">
        <v>214.01830000000001</v>
      </c>
      <c r="M2863">
        <v>0.99979589999999996</v>
      </c>
      <c r="N2863">
        <v>-1.457573E-2</v>
      </c>
      <c r="O2863">
        <v>1.399418E-2</v>
      </c>
      <c r="P2863">
        <v>0.93207790000000001</v>
      </c>
      <c r="Q2863">
        <v>0.34655839999999999</v>
      </c>
      <c r="R2863">
        <v>0.10549119999999999</v>
      </c>
      <c r="S2863">
        <v>3.3796080000000002</v>
      </c>
      <c r="T2863">
        <v>-0.36983680000000002</v>
      </c>
      <c r="U2863">
        <v>-0.21710209999999999</v>
      </c>
      <c r="V2863">
        <v>-9.2498339999999998E-2</v>
      </c>
      <c r="W2863">
        <v>0.36011130000000002</v>
      </c>
      <c r="X2863">
        <v>0.92831240000000004</v>
      </c>
      <c r="Y2863">
        <v>7.7482049999999997E-2</v>
      </c>
      <c r="Z2863">
        <v>-6.1119540000000002E-3</v>
      </c>
      <c r="AA2863">
        <v>0.99697499999999994</v>
      </c>
      <c r="AB2863">
        <v>34</v>
      </c>
      <c r="AC2863">
        <v>0.51869999999996697</v>
      </c>
      <c r="AD2863">
        <v>-9.5674999999999899E-2</v>
      </c>
      <c r="AE2863">
        <v>-6.1599999999998503E-2</v>
      </c>
      <c r="AF2863">
        <v>6.6618520622938104E-2</v>
      </c>
      <c r="AG2863">
        <v>-9.5674999999999899E-2</v>
      </c>
      <c r="AH2863">
        <v>0.50097959983414397</v>
      </c>
      <c r="AI2863">
        <v>100.719773482731</v>
      </c>
      <c r="AJ2863">
        <v>82.425444723433898</v>
      </c>
      <c r="AK2863">
        <v>0.51436591291119604</v>
      </c>
      <c r="AL2863">
        <v>68.892968542673103</v>
      </c>
      <c r="AM2863">
        <v>95.690249139515601</v>
      </c>
      <c r="AN2863">
        <v>1.0000000016421</v>
      </c>
    </row>
    <row r="2864" spans="1:40" x14ac:dyDescent="0.25">
      <c r="A2864" t="str">
        <f>"20190304164658729"</f>
        <v>20190304164658729</v>
      </c>
      <c r="B2864" t="str">
        <f>"1551689218721491"</f>
        <v>1551689218721491</v>
      </c>
      <c r="C2864" t="s">
        <v>40</v>
      </c>
      <c r="D2864">
        <v>4.2247629999999896</v>
      </c>
      <c r="E2864">
        <v>0.58201309999999995</v>
      </c>
      <c r="F2864" t="s">
        <v>41</v>
      </c>
      <c r="G2864">
        <v>-331.02449999999999</v>
      </c>
      <c r="H2864">
        <v>1.021571</v>
      </c>
      <c r="I2864">
        <v>213.96510000000001</v>
      </c>
      <c r="J2864">
        <v>-331.52530000000002</v>
      </c>
      <c r="K2864">
        <v>1.1110139999999999</v>
      </c>
      <c r="L2864">
        <v>214.02289999999999</v>
      </c>
      <c r="M2864">
        <v>0.99979470000000004</v>
      </c>
      <c r="N2864">
        <v>-1.4572170000000001E-2</v>
      </c>
      <c r="O2864">
        <v>1.407972E-2</v>
      </c>
      <c r="P2864">
        <v>0.93189639999999996</v>
      </c>
      <c r="Q2864">
        <v>0.34690399999999999</v>
      </c>
      <c r="R2864">
        <v>0.1059562</v>
      </c>
      <c r="S2864">
        <v>3.3797299999999999</v>
      </c>
      <c r="T2864">
        <v>-0.36693880000000001</v>
      </c>
      <c r="U2864">
        <v>-0.21809390000000001</v>
      </c>
      <c r="V2864">
        <v>-9.2884939999999999E-2</v>
      </c>
      <c r="W2864">
        <v>0.36045149999999998</v>
      </c>
      <c r="X2864">
        <v>0.92814180000000002</v>
      </c>
      <c r="Y2864">
        <v>7.7862360000000005E-2</v>
      </c>
      <c r="Z2864">
        <v>-6.0981580000000002E-3</v>
      </c>
      <c r="AA2864">
        <v>0.99694539999999998</v>
      </c>
      <c r="AB2864">
        <v>34</v>
      </c>
      <c r="AC2864">
        <v>0.500800000000026</v>
      </c>
      <c r="AD2864">
        <v>-8.9442999999999898E-2</v>
      </c>
      <c r="AE2864">
        <v>-5.7799999999986001E-2</v>
      </c>
      <c r="AF2864">
        <v>6.2867163571772397E-2</v>
      </c>
      <c r="AG2864">
        <v>-8.9442999999999898E-2</v>
      </c>
      <c r="AH2864">
        <v>0.48467936448907201</v>
      </c>
      <c r="AI2864">
        <v>100.37079421079299</v>
      </c>
      <c r="AJ2864">
        <v>82.609497495258495</v>
      </c>
      <c r="AK2864">
        <v>0.49685653549700898</v>
      </c>
      <c r="AL2864">
        <v>68.872074304108594</v>
      </c>
      <c r="AM2864">
        <v>95.7149179917065</v>
      </c>
      <c r="AN2864">
        <v>1.00000004841914</v>
      </c>
    </row>
    <row r="2865" spans="1:40" x14ac:dyDescent="0.25">
      <c r="A2865" t="str">
        <f>"20190304164658750"</f>
        <v>20190304164658750</v>
      </c>
      <c r="B2865" t="str">
        <f>"1551689218741986"</f>
        <v>1551689218741986</v>
      </c>
      <c r="C2865" t="s">
        <v>40</v>
      </c>
      <c r="D2865">
        <v>4.2334339999999999</v>
      </c>
      <c r="E2865">
        <v>0.58215729999999999</v>
      </c>
      <c r="F2865" t="s">
        <v>41</v>
      </c>
      <c r="G2865">
        <v>-330.72160000000002</v>
      </c>
      <c r="H2865">
        <v>1.02424</v>
      </c>
      <c r="I2865">
        <v>213.9708</v>
      </c>
      <c r="J2865">
        <v>-331.19490000000002</v>
      </c>
      <c r="K2865">
        <v>1.111005</v>
      </c>
      <c r="L2865">
        <v>214.02760000000001</v>
      </c>
      <c r="M2865">
        <v>0.99979359999999995</v>
      </c>
      <c r="N2865">
        <v>-1.456855E-2</v>
      </c>
      <c r="O2865">
        <v>1.416422E-2</v>
      </c>
      <c r="P2865">
        <v>0.93174729999999995</v>
      </c>
      <c r="Q2865">
        <v>0.34735179999999999</v>
      </c>
      <c r="R2865">
        <v>0.1057997</v>
      </c>
      <c r="S2865">
        <v>3.3798520000000001</v>
      </c>
      <c r="T2865">
        <v>-0.36504360000000002</v>
      </c>
      <c r="U2865">
        <v>-0.21752929999999901</v>
      </c>
      <c r="V2865">
        <v>-9.2649739999999994E-2</v>
      </c>
      <c r="W2865">
        <v>0.3608944</v>
      </c>
      <c r="X2865">
        <v>0.92799310000000002</v>
      </c>
      <c r="Y2865">
        <v>7.7784389999999995E-2</v>
      </c>
      <c r="Z2865">
        <v>-6.0715279999999996E-3</v>
      </c>
      <c r="AA2865">
        <v>0.9969517</v>
      </c>
      <c r="AB2865">
        <v>34</v>
      </c>
      <c r="AC2865">
        <v>0.473299999999994</v>
      </c>
      <c r="AD2865">
        <v>-8.6764999999999898E-2</v>
      </c>
      <c r="AE2865">
        <v>-5.6800000000009697E-2</v>
      </c>
      <c r="AF2865">
        <v>6.1462748645673901E-2</v>
      </c>
      <c r="AG2865">
        <v>-8.6764999999999898E-2</v>
      </c>
      <c r="AH2865">
        <v>0.45729814658692802</v>
      </c>
      <c r="AI2865">
        <v>100.64971496115299</v>
      </c>
      <c r="AJ2865">
        <v>82.345085972820996</v>
      </c>
      <c r="AK2865">
        <v>0.46949699633535502</v>
      </c>
      <c r="AL2865">
        <v>68.844864942431997</v>
      </c>
      <c r="AM2865">
        <v>95.701449733023594</v>
      </c>
      <c r="AN2865">
        <v>0.99999996796051804</v>
      </c>
    </row>
    <row r="2866" spans="1:40" x14ac:dyDescent="0.25">
      <c r="A2866" t="str">
        <f>"20190304164658774"</f>
        <v>20190304164658774</v>
      </c>
      <c r="B2866" t="str">
        <f>"1551689218771268"</f>
        <v>1551689218771268</v>
      </c>
      <c r="C2866" t="s">
        <v>40</v>
      </c>
      <c r="D2866">
        <v>4.2299980000000001</v>
      </c>
      <c r="E2866">
        <v>0.58239659999999904</v>
      </c>
      <c r="F2866" t="s">
        <v>41</v>
      </c>
      <c r="G2866">
        <v>-330.41860000000003</v>
      </c>
      <c r="H2866">
        <v>1.0276529999999999</v>
      </c>
      <c r="I2866">
        <v>213.97730000000001</v>
      </c>
      <c r="J2866">
        <v>-330.84989999999999</v>
      </c>
      <c r="K2866">
        <v>1.111</v>
      </c>
      <c r="L2866">
        <v>214.0326</v>
      </c>
      <c r="M2866">
        <v>0.99979229999999997</v>
      </c>
      <c r="N2866">
        <v>-1.4565069999999999E-2</v>
      </c>
      <c r="O2866">
        <v>1.4249609999999999E-2</v>
      </c>
      <c r="P2866">
        <v>0.9318478</v>
      </c>
      <c r="Q2866">
        <v>0.3473079</v>
      </c>
      <c r="R2866">
        <v>0.10505680000000001</v>
      </c>
      <c r="S2866">
        <v>3.379883</v>
      </c>
      <c r="T2866">
        <v>-0.36301840000000002</v>
      </c>
      <c r="U2866">
        <v>-0.2181091</v>
      </c>
      <c r="V2866">
        <v>-9.1823500000000002E-2</v>
      </c>
      <c r="W2866">
        <v>0.36084949999999999</v>
      </c>
      <c r="X2866">
        <v>0.92809269999999999</v>
      </c>
      <c r="Y2866">
        <v>7.8043349999999997E-2</v>
      </c>
      <c r="Z2866">
        <v>-6.0634959999999998E-3</v>
      </c>
      <c r="AA2866">
        <v>0.99693160000000003</v>
      </c>
      <c r="AB2866">
        <v>34</v>
      </c>
      <c r="AC2866">
        <v>0.43129999999996399</v>
      </c>
      <c r="AD2866">
        <v>-8.3346999999999796E-2</v>
      </c>
      <c r="AE2866">
        <v>-5.5299999999988303E-2</v>
      </c>
      <c r="AF2866">
        <v>5.9263549156584799E-2</v>
      </c>
      <c r="AG2866">
        <v>-8.3346999999999796E-2</v>
      </c>
      <c r="AH2866">
        <v>0.41521317097101601</v>
      </c>
      <c r="AI2866">
        <v>101.239347131727</v>
      </c>
      <c r="AJ2866">
        <v>81.877013395458405</v>
      </c>
      <c r="AK2866">
        <v>0.42762234274583999</v>
      </c>
      <c r="AL2866">
        <v>68.847623851561806</v>
      </c>
      <c r="AM2866">
        <v>95.650332875855796</v>
      </c>
      <c r="AN2866">
        <v>0.99999998829789405</v>
      </c>
    </row>
    <row r="2867" spans="1:40" x14ac:dyDescent="0.25">
      <c r="A2867" t="str">
        <f>"20190304164658796"</f>
        <v>20190304164658796</v>
      </c>
      <c r="B2867" t="str">
        <f>"1551689218791763"</f>
        <v>1551689218791763</v>
      </c>
      <c r="C2867" t="s">
        <v>40</v>
      </c>
      <c r="D2867">
        <v>4.1837200000000001</v>
      </c>
      <c r="E2867">
        <v>0.58258369999999904</v>
      </c>
      <c r="F2867" t="s">
        <v>41</v>
      </c>
      <c r="G2867">
        <v>-330.11529999999999</v>
      </c>
      <c r="H2867">
        <v>1.0323059999999999</v>
      </c>
      <c r="I2867">
        <v>213.98400000000001</v>
      </c>
      <c r="J2867">
        <v>-330.52050000000003</v>
      </c>
      <c r="K2867">
        <v>1.1110040000000001</v>
      </c>
      <c r="L2867">
        <v>214.03739999999999</v>
      </c>
      <c r="M2867">
        <v>0.9997914</v>
      </c>
      <c r="N2867">
        <v>-1.4561549999999999E-2</v>
      </c>
      <c r="O2867">
        <v>1.432808E-2</v>
      </c>
      <c r="P2867">
        <v>0.93194429999999995</v>
      </c>
      <c r="Q2867">
        <v>0.34727229999999998</v>
      </c>
      <c r="R2867">
        <v>0.1043153</v>
      </c>
      <c r="S2867">
        <v>3.3794559999999998</v>
      </c>
      <c r="T2867">
        <v>-0.36224840000000003</v>
      </c>
      <c r="U2867">
        <v>-0.2220917</v>
      </c>
      <c r="V2867">
        <v>-9.1004799999999997E-2</v>
      </c>
      <c r="W2867">
        <v>0.36081259999999998</v>
      </c>
      <c r="X2867">
        <v>0.92818769999999995</v>
      </c>
      <c r="Y2867">
        <v>7.9293279999999994E-2</v>
      </c>
      <c r="Z2867">
        <v>-6.1350190000000002E-3</v>
      </c>
      <c r="AA2867">
        <v>0.99683239999999995</v>
      </c>
      <c r="AB2867">
        <v>34</v>
      </c>
      <c r="AC2867">
        <v>0.40520000000003598</v>
      </c>
      <c r="AD2867">
        <v>-7.8698000000000101E-2</v>
      </c>
      <c r="AE2867">
        <v>-5.3399999999982101E-2</v>
      </c>
      <c r="AF2867">
        <v>5.7084325729493998E-2</v>
      </c>
      <c r="AG2867">
        <v>-7.8698000000000101E-2</v>
      </c>
      <c r="AH2867">
        <v>0.389935363987093</v>
      </c>
      <c r="AI2867">
        <v>101.293110655983</v>
      </c>
      <c r="AJ2867">
        <v>81.671384258805006</v>
      </c>
      <c r="AK2867">
        <v>0.40187259614924897</v>
      </c>
      <c r="AL2867">
        <v>68.849891183069602</v>
      </c>
      <c r="AM2867">
        <v>95.599706541871896</v>
      </c>
      <c r="AN2867">
        <v>1.0000000061865399</v>
      </c>
    </row>
    <row r="2868" spans="1:40" x14ac:dyDescent="0.25">
      <c r="A2868" t="str">
        <f>"20190304164658819"</f>
        <v>20190304164658819</v>
      </c>
      <c r="B2868" t="str">
        <f>"1551689218811282"</f>
        <v>1551689218811282</v>
      </c>
      <c r="C2868" t="s">
        <v>40</v>
      </c>
      <c r="D2868">
        <v>4.2232989999999999</v>
      </c>
      <c r="E2868">
        <v>0.5826133</v>
      </c>
      <c r="F2868" t="s">
        <v>41</v>
      </c>
      <c r="G2868">
        <v>-329.52760000000001</v>
      </c>
      <c r="H2868">
        <v>1.005061</v>
      </c>
      <c r="I2868">
        <v>213.97040000000001</v>
      </c>
      <c r="J2868">
        <v>-330.17039999999997</v>
      </c>
      <c r="K2868">
        <v>1.110997</v>
      </c>
      <c r="L2868">
        <v>214.04249999999999</v>
      </c>
      <c r="M2868">
        <v>0.99979030000000002</v>
      </c>
      <c r="N2868">
        <v>-1.4557489999999999E-2</v>
      </c>
      <c r="O2868">
        <v>1.440636E-2</v>
      </c>
      <c r="P2868">
        <v>0.93195220000000001</v>
      </c>
      <c r="Q2868">
        <v>0.34744130000000001</v>
      </c>
      <c r="R2868">
        <v>0.1036812</v>
      </c>
      <c r="S2868">
        <v>3.3788450000000001</v>
      </c>
      <c r="T2868">
        <v>-0.36061700000000002</v>
      </c>
      <c r="U2868">
        <v>-0.2270508</v>
      </c>
      <c r="V2868">
        <v>-9.0294410000000006E-2</v>
      </c>
      <c r="W2868">
        <v>0.36097849999999998</v>
      </c>
      <c r="X2868">
        <v>0.92819260000000003</v>
      </c>
      <c r="Y2868">
        <v>8.0834230000000007E-2</v>
      </c>
      <c r="Z2868">
        <v>-6.2102420000000004E-3</v>
      </c>
      <c r="AA2868">
        <v>0.99670820000000004</v>
      </c>
      <c r="AB2868">
        <v>34</v>
      </c>
      <c r="AC2868">
        <v>0.64279999999996495</v>
      </c>
      <c r="AD2868">
        <v>-0.105936</v>
      </c>
      <c r="AE2868">
        <v>-7.2099999999977599E-2</v>
      </c>
      <c r="AF2868">
        <v>7.9228760775168702E-2</v>
      </c>
      <c r="AG2868">
        <v>-0.105936</v>
      </c>
      <c r="AH2868">
        <v>0.62493198683740503</v>
      </c>
      <c r="AI2868">
        <v>99.546104326609196</v>
      </c>
      <c r="AJ2868">
        <v>82.774598797112503</v>
      </c>
      <c r="AK2868">
        <v>0.638779790540148</v>
      </c>
      <c r="AL2868">
        <v>68.839699453432701</v>
      </c>
      <c r="AM2868">
        <v>95.556240281278903</v>
      </c>
      <c r="AN2868">
        <v>1.0000000303171199</v>
      </c>
    </row>
    <row r="2869" spans="1:40" x14ac:dyDescent="0.25">
      <c r="A2869" t="str">
        <f>"20190304164658841"</f>
        <v>20190304164658841</v>
      </c>
      <c r="B2869" t="str">
        <f>"1551689218831782"</f>
        <v>1551689218831782</v>
      </c>
      <c r="C2869" t="s">
        <v>40</v>
      </c>
      <c r="D2869">
        <v>4.2032339999999904</v>
      </c>
      <c r="E2869">
        <v>0.58264749999999998</v>
      </c>
      <c r="F2869" t="s">
        <v>41</v>
      </c>
      <c r="G2869">
        <v>-329.2253</v>
      </c>
      <c r="H2869">
        <v>1.0102120000000001</v>
      </c>
      <c r="I2869">
        <v>213.97810000000001</v>
      </c>
      <c r="J2869">
        <v>-329.83080000000001</v>
      </c>
      <c r="K2869">
        <v>1.1109899999999999</v>
      </c>
      <c r="L2869">
        <v>214.04740000000001</v>
      </c>
      <c r="M2869">
        <v>0.99978940000000005</v>
      </c>
      <c r="N2869">
        <v>-1.455351E-2</v>
      </c>
      <c r="O2869">
        <v>1.4478080000000001E-2</v>
      </c>
      <c r="P2869">
        <v>0.93224149999999995</v>
      </c>
      <c r="Q2869">
        <v>0.34703990000000001</v>
      </c>
      <c r="R2869">
        <v>0.1024178</v>
      </c>
      <c r="S2869">
        <v>3.3789060000000002</v>
      </c>
      <c r="T2869">
        <v>-0.36031560000000001</v>
      </c>
      <c r="U2869">
        <v>-0.2297363</v>
      </c>
      <c r="V2869">
        <v>-8.8956919999999995E-2</v>
      </c>
      <c r="W2869">
        <v>0.36057869999999997</v>
      </c>
      <c r="X2869">
        <v>0.92847710000000006</v>
      </c>
      <c r="Y2869">
        <v>8.1688280000000002E-2</v>
      </c>
      <c r="Z2869">
        <v>-6.2632299999999998E-3</v>
      </c>
      <c r="AA2869">
        <v>0.99663820000000003</v>
      </c>
      <c r="AB2869">
        <v>34</v>
      </c>
      <c r="AC2869">
        <v>0.60550000000000603</v>
      </c>
      <c r="AD2869">
        <v>-0.10077799999999899</v>
      </c>
      <c r="AE2869">
        <v>-6.9299999999998294E-2</v>
      </c>
      <c r="AF2869">
        <v>7.5982525046210003E-2</v>
      </c>
      <c r="AG2869">
        <v>-0.10077799999999899</v>
      </c>
      <c r="AH2869">
        <v>0.58834575735788697</v>
      </c>
      <c r="AI2869">
        <v>99.641340907199705</v>
      </c>
      <c r="AJ2869">
        <v>82.641208239332997</v>
      </c>
      <c r="AK2869">
        <v>0.60173106916414398</v>
      </c>
      <c r="AL2869">
        <v>68.864260420089707</v>
      </c>
      <c r="AM2869">
        <v>95.4727746647944</v>
      </c>
      <c r="AN2869">
        <v>1.0000000288669899</v>
      </c>
    </row>
    <row r="2870" spans="1:40" x14ac:dyDescent="0.25">
      <c r="A2870" t="str">
        <f>"20190304164658863"</f>
        <v>20190304164658863</v>
      </c>
      <c r="B2870" t="str">
        <f>"1551689218851298"</f>
        <v>1551689218851298</v>
      </c>
      <c r="C2870" t="s">
        <v>40</v>
      </c>
      <c r="D2870">
        <v>4.2284480000000002</v>
      </c>
      <c r="E2870">
        <v>0.5827002</v>
      </c>
      <c r="F2870" t="s">
        <v>41</v>
      </c>
      <c r="G2870">
        <v>-328.92399999999998</v>
      </c>
      <c r="H2870">
        <v>1.013687</v>
      </c>
      <c r="I2870">
        <v>213.98429999999999</v>
      </c>
      <c r="J2870">
        <v>-329.50220000000002</v>
      </c>
      <c r="K2870">
        <v>1.1109819999999999</v>
      </c>
      <c r="L2870">
        <v>214.0522</v>
      </c>
      <c r="M2870">
        <v>0.99978849999999997</v>
      </c>
      <c r="N2870">
        <v>-1.4549690000000001E-2</v>
      </c>
      <c r="O2870">
        <v>1.454133E-2</v>
      </c>
      <c r="P2870">
        <v>0.93256329999999998</v>
      </c>
      <c r="Q2870">
        <v>0.34633580000000003</v>
      </c>
      <c r="R2870">
        <v>0.1018693</v>
      </c>
      <c r="S2870">
        <v>3.3788149999999999</v>
      </c>
      <c r="T2870">
        <v>-0.36267159999999998</v>
      </c>
      <c r="U2870">
        <v>-0.2344513</v>
      </c>
      <c r="V2870">
        <v>-8.8340600000000005E-2</v>
      </c>
      <c r="W2870">
        <v>0.35987720000000001</v>
      </c>
      <c r="X2870">
        <v>0.92880799999999997</v>
      </c>
      <c r="Y2870">
        <v>8.3120379999999994E-2</v>
      </c>
      <c r="Z2870">
        <v>-6.3941450000000004E-3</v>
      </c>
      <c r="AA2870">
        <v>0.99651900000000004</v>
      </c>
      <c r="AB2870">
        <v>34</v>
      </c>
      <c r="AC2870">
        <v>0.57819999999998095</v>
      </c>
      <c r="AD2870">
        <v>-9.7294999999999895E-2</v>
      </c>
      <c r="AE2870">
        <v>-6.7900000000008703E-2</v>
      </c>
      <c r="AF2870">
        <v>7.4228282648726496E-2</v>
      </c>
      <c r="AG2870">
        <v>-9.7294999999999895E-2</v>
      </c>
      <c r="AH2870">
        <v>0.56146934910811896</v>
      </c>
      <c r="AI2870">
        <v>99.747785153137201</v>
      </c>
      <c r="AJ2870">
        <v>82.468962989851505</v>
      </c>
      <c r="AK2870">
        <v>0.57465118546634397</v>
      </c>
      <c r="AL2870">
        <v>68.907344925947797</v>
      </c>
      <c r="AM2870">
        <v>95.433160760900904</v>
      </c>
      <c r="AN2870">
        <v>0.99999998077609897</v>
      </c>
    </row>
    <row r="2871" spans="1:40" x14ac:dyDescent="0.25">
      <c r="A2871" t="str">
        <f>"20190304164658884"</f>
        <v>20190304164658884</v>
      </c>
      <c r="B2871" t="str">
        <f>"1551689218881555"</f>
        <v>1551689218881555</v>
      </c>
      <c r="C2871" t="s">
        <v>40</v>
      </c>
      <c r="D2871">
        <v>4.2509199999999998</v>
      </c>
      <c r="E2871">
        <v>0.58276790000000001</v>
      </c>
      <c r="F2871" t="s">
        <v>41</v>
      </c>
      <c r="G2871">
        <v>-328.62369999999999</v>
      </c>
      <c r="H2871">
        <v>1.0158370000000001</v>
      </c>
      <c r="I2871">
        <v>213.99039999999999</v>
      </c>
      <c r="J2871">
        <v>-329.18830000000003</v>
      </c>
      <c r="K2871">
        <v>1.110976</v>
      </c>
      <c r="L2871">
        <v>214.05690000000001</v>
      </c>
      <c r="M2871">
        <v>0.99978769999999995</v>
      </c>
      <c r="N2871">
        <v>-1.454606E-2</v>
      </c>
      <c r="O2871">
        <v>1.4591710000000001E-2</v>
      </c>
      <c r="P2871">
        <v>0.9327782</v>
      </c>
      <c r="Q2871">
        <v>0.3459026</v>
      </c>
      <c r="R2871">
        <v>0.1013725</v>
      </c>
      <c r="S2871">
        <v>3.3787539999999998</v>
      </c>
      <c r="T2871">
        <v>-0.36598779999999997</v>
      </c>
      <c r="U2871">
        <v>-0.23712159999999999</v>
      </c>
      <c r="V2871">
        <v>-8.7787569999999995E-2</v>
      </c>
      <c r="W2871">
        <v>0.35944520000000002</v>
      </c>
      <c r="X2871">
        <v>0.92902770000000001</v>
      </c>
      <c r="Y2871">
        <v>8.3939319999999998E-2</v>
      </c>
      <c r="Z2871">
        <v>-6.5034410000000004E-3</v>
      </c>
      <c r="AA2871">
        <v>0.99644960000000005</v>
      </c>
      <c r="AB2871">
        <v>34</v>
      </c>
      <c r="AC2871">
        <v>0.56460000000004096</v>
      </c>
      <c r="AD2871">
        <v>-9.5138999999999793E-2</v>
      </c>
      <c r="AE2871">
        <v>-6.6500000000019099E-2</v>
      </c>
      <c r="AF2871">
        <v>7.2696332306795994E-2</v>
      </c>
      <c r="AG2871">
        <v>-9.5138999999999793E-2</v>
      </c>
      <c r="AH2871">
        <v>0.54821605539793195</v>
      </c>
      <c r="AI2871">
        <v>99.761435947874602</v>
      </c>
      <c r="AJ2871">
        <v>82.446347434026293</v>
      </c>
      <c r="AK2871">
        <v>0.56113904644742796</v>
      </c>
      <c r="AL2871">
        <v>68.933871969772298</v>
      </c>
      <c r="AM2871">
        <v>95.398080398031894</v>
      </c>
      <c r="AN2871">
        <v>0.99999998830841696</v>
      </c>
    </row>
    <row r="2872" spans="1:40" x14ac:dyDescent="0.25">
      <c r="A2872" t="str">
        <f>"20190304164658906"</f>
        <v>20190304164658906</v>
      </c>
      <c r="B2872" t="str">
        <f>"1551689218901075"</f>
        <v>1551689218901075</v>
      </c>
      <c r="C2872" t="s">
        <v>40</v>
      </c>
      <c r="D2872">
        <v>4.2401400000000002</v>
      </c>
      <c r="E2872">
        <v>0.58281019999999994</v>
      </c>
      <c r="F2872" t="s">
        <v>41</v>
      </c>
      <c r="G2872">
        <v>-328.32429999999999</v>
      </c>
      <c r="H2872">
        <v>1.01694</v>
      </c>
      <c r="I2872">
        <v>213.99539999999999</v>
      </c>
      <c r="J2872">
        <v>-328.8528</v>
      </c>
      <c r="K2872">
        <v>1.1109639999999901</v>
      </c>
      <c r="L2872">
        <v>214.06180000000001</v>
      </c>
      <c r="M2872">
        <v>0.99978719999999999</v>
      </c>
      <c r="N2872">
        <v>-1.454216E-2</v>
      </c>
      <c r="O2872">
        <v>1.4631419999999999E-2</v>
      </c>
      <c r="P2872">
        <v>0.93314839999999999</v>
      </c>
      <c r="Q2872">
        <v>0.34534979999999998</v>
      </c>
      <c r="R2872">
        <v>9.9837200000000001E-2</v>
      </c>
      <c r="S2872">
        <v>3.3786619999999998</v>
      </c>
      <c r="T2872">
        <v>-0.36785129999999999</v>
      </c>
      <c r="U2872">
        <v>-0.2394104</v>
      </c>
      <c r="V2872">
        <v>-8.6199750000000006E-2</v>
      </c>
      <c r="W2872">
        <v>0.3588964</v>
      </c>
      <c r="X2872">
        <v>0.92938849999999995</v>
      </c>
      <c r="Y2872">
        <v>8.4641519999999998E-2</v>
      </c>
      <c r="Z2872">
        <v>-6.581211E-3</v>
      </c>
      <c r="AA2872">
        <v>0.99638970000000004</v>
      </c>
      <c r="AB2872">
        <v>33</v>
      </c>
      <c r="AC2872">
        <v>0.52850000000000796</v>
      </c>
      <c r="AD2872">
        <v>-9.4023999999999802E-2</v>
      </c>
      <c r="AE2872">
        <v>-6.6400000000015696E-2</v>
      </c>
      <c r="AF2872">
        <v>7.1886491761579602E-2</v>
      </c>
      <c r="AG2872">
        <v>-9.4023999999999802E-2</v>
      </c>
      <c r="AH2872">
        <v>0.51153285526910197</v>
      </c>
      <c r="AI2872">
        <v>100.31602571964901</v>
      </c>
      <c r="AJ2872">
        <v>82.000523128084197</v>
      </c>
      <c r="AK2872">
        <v>0.52504670486876404</v>
      </c>
      <c r="AL2872">
        <v>68.967564441034398</v>
      </c>
      <c r="AM2872">
        <v>95.298960028881794</v>
      </c>
      <c r="AN2872">
        <v>1.00000000338263</v>
      </c>
    </row>
    <row r="2873" spans="1:40" x14ac:dyDescent="0.25">
      <c r="A2873" t="str">
        <f>"20190304164658931"</f>
        <v>20190304164658931</v>
      </c>
      <c r="B2873" t="str">
        <f>"1551689218921572"</f>
        <v>1551689218921572</v>
      </c>
      <c r="C2873" t="s">
        <v>40</v>
      </c>
      <c r="D2873">
        <v>4.2401600000000004</v>
      </c>
      <c r="E2873">
        <v>0.58291859999999995</v>
      </c>
      <c r="F2873" t="s">
        <v>41</v>
      </c>
      <c r="G2873">
        <v>-328.02409999999998</v>
      </c>
      <c r="H2873">
        <v>1.020357</v>
      </c>
      <c r="I2873">
        <v>214.00139999999999</v>
      </c>
      <c r="J2873">
        <v>-328.49639999999999</v>
      </c>
      <c r="K2873">
        <v>1.1109560000000001</v>
      </c>
      <c r="L2873">
        <v>214.06710000000001</v>
      </c>
      <c r="M2873">
        <v>0.99978690000000003</v>
      </c>
      <c r="N2873">
        <v>-1.4538189999999999E-2</v>
      </c>
      <c r="O2873">
        <v>1.4659459999999999E-2</v>
      </c>
      <c r="P2873">
        <v>0.93337630000000005</v>
      </c>
      <c r="Q2873">
        <v>0.34499540000000001</v>
      </c>
      <c r="R2873">
        <v>9.8929539999999996E-2</v>
      </c>
      <c r="S2873">
        <v>3.3779599999999999</v>
      </c>
      <c r="T2873">
        <v>-0.36929620000000002</v>
      </c>
      <c r="U2873">
        <v>-0.24642939999999999</v>
      </c>
      <c r="V2873">
        <v>-8.5250839999999994E-2</v>
      </c>
      <c r="W2873">
        <v>0.35854439999999999</v>
      </c>
      <c r="X2873">
        <v>0.92961190000000005</v>
      </c>
      <c r="Y2873">
        <v>8.6724599999999999E-2</v>
      </c>
      <c r="Z2873">
        <v>-6.7373619999999898E-3</v>
      </c>
      <c r="AA2873">
        <v>0.99620960000000003</v>
      </c>
      <c r="AB2873">
        <v>33</v>
      </c>
      <c r="AC2873">
        <v>0.47230000000001798</v>
      </c>
      <c r="AD2873">
        <v>-9.0599000000000096E-2</v>
      </c>
      <c r="AE2873">
        <v>-6.5700000000020894E-2</v>
      </c>
      <c r="AF2873">
        <v>7.0087297426968606E-2</v>
      </c>
      <c r="AG2873">
        <v>-9.0599000000000096E-2</v>
      </c>
      <c r="AH2873">
        <v>0.45486609514040599</v>
      </c>
      <c r="AI2873">
        <v>101.13651836122899</v>
      </c>
      <c r="AJ2873">
        <v>81.240561400232195</v>
      </c>
      <c r="AK2873">
        <v>0.46906670375320503</v>
      </c>
      <c r="AL2873">
        <v>68.989171322835801</v>
      </c>
      <c r="AM2873">
        <v>95.239701812961201</v>
      </c>
      <c r="AN2873">
        <v>1.00000003855683</v>
      </c>
    </row>
    <row r="2874" spans="1:40" x14ac:dyDescent="0.25">
      <c r="A2874" t="str">
        <f>"20190304164658951"</f>
        <v>20190304164658951</v>
      </c>
      <c r="B2874" t="str">
        <f>"1551689218941091"</f>
        <v>1551689218941091</v>
      </c>
      <c r="C2874" t="s">
        <v>40</v>
      </c>
      <c r="D2874">
        <v>4.2741249999999997</v>
      </c>
      <c r="E2874">
        <v>0.58299060000000003</v>
      </c>
      <c r="F2874" t="s">
        <v>41</v>
      </c>
      <c r="G2874">
        <v>-327.72300000000001</v>
      </c>
      <c r="H2874">
        <v>1.0263040000000001</v>
      </c>
      <c r="I2874">
        <v>214.0094</v>
      </c>
      <c r="J2874">
        <v>-328.18799999999999</v>
      </c>
      <c r="K2874">
        <v>1.110941</v>
      </c>
      <c r="L2874">
        <v>214.07159999999999</v>
      </c>
      <c r="M2874">
        <v>0.99978679999999998</v>
      </c>
      <c r="N2874">
        <v>-1.453481E-2</v>
      </c>
      <c r="O2874">
        <v>1.4673179999999999E-2</v>
      </c>
      <c r="P2874">
        <v>0.9334654</v>
      </c>
      <c r="Q2874">
        <v>0.34499159999999901</v>
      </c>
      <c r="R2874">
        <v>9.8099220000000001E-2</v>
      </c>
      <c r="S2874">
        <v>3.37738</v>
      </c>
      <c r="T2874">
        <v>-0.36984289999999997</v>
      </c>
      <c r="U2874">
        <v>-0.2504883</v>
      </c>
      <c r="V2874">
        <v>-8.4397159999999999E-2</v>
      </c>
      <c r="W2874">
        <v>0.35854130000000001</v>
      </c>
      <c r="X2874">
        <v>0.92969100000000005</v>
      </c>
      <c r="Y2874">
        <v>8.7931209999999996E-2</v>
      </c>
      <c r="Z2874">
        <v>-6.8232960000000004E-3</v>
      </c>
      <c r="AA2874">
        <v>0.99610319999999997</v>
      </c>
      <c r="AB2874">
        <v>33</v>
      </c>
      <c r="AC2874">
        <v>0.465000000000031</v>
      </c>
      <c r="AD2874">
        <v>-8.4636999999999796E-2</v>
      </c>
      <c r="AE2874">
        <v>-6.2199999999989999E-2</v>
      </c>
      <c r="AF2874">
        <v>6.6841550825083501E-2</v>
      </c>
      <c r="AG2874">
        <v>-8.4636999999999796E-2</v>
      </c>
      <c r="AH2874">
        <v>0.44941015235067899</v>
      </c>
      <c r="AI2874">
        <v>100.552112808922</v>
      </c>
      <c r="AJ2874">
        <v>81.540314905073402</v>
      </c>
      <c r="AK2874">
        <v>0.462169557328869</v>
      </c>
      <c r="AL2874">
        <v>68.989361840733196</v>
      </c>
      <c r="AM2874">
        <v>95.187081532639496</v>
      </c>
      <c r="AN2874">
        <v>1.0000000499513699</v>
      </c>
    </row>
    <row r="2875" spans="1:40" x14ac:dyDescent="0.25">
      <c r="A2875" t="str">
        <f>"20190304164658976"</f>
        <v>20190304164658976</v>
      </c>
      <c r="B2875" t="str">
        <f>"1551689218971347"</f>
        <v>1551689218971347</v>
      </c>
      <c r="C2875" t="s">
        <v>40</v>
      </c>
      <c r="D2875">
        <v>4.3028510000000004</v>
      </c>
      <c r="E2875">
        <v>0.58310899999999999</v>
      </c>
      <c r="F2875" t="s">
        <v>41</v>
      </c>
      <c r="G2875">
        <v>-327.4246</v>
      </c>
      <c r="H2875">
        <v>1.027434</v>
      </c>
      <c r="I2875">
        <v>214.0138</v>
      </c>
      <c r="J2875">
        <v>-327.83800000000002</v>
      </c>
      <c r="K2875">
        <v>1.11093</v>
      </c>
      <c r="L2875">
        <v>214.07669999999999</v>
      </c>
      <c r="M2875">
        <v>0.99978679999999998</v>
      </c>
      <c r="N2875">
        <v>-1.453085E-2</v>
      </c>
      <c r="O2875">
        <v>1.4667589999999999E-2</v>
      </c>
      <c r="P2875">
        <v>0.93349559999999998</v>
      </c>
      <c r="Q2875">
        <v>0.34486909999999998</v>
      </c>
      <c r="R2875">
        <v>9.8242369999999996E-2</v>
      </c>
      <c r="S2875">
        <v>3.3771360000000001</v>
      </c>
      <c r="T2875">
        <v>-0.36955329999999997</v>
      </c>
      <c r="U2875">
        <v>-0.25466919999999998</v>
      </c>
      <c r="V2875">
        <v>-8.4532659999999996E-2</v>
      </c>
      <c r="W2875">
        <v>0.35841840000000003</v>
      </c>
      <c r="X2875">
        <v>0.92972600000000005</v>
      </c>
      <c r="Y2875">
        <v>8.9149980000000004E-2</v>
      </c>
      <c r="Z2875">
        <v>-6.893171E-3</v>
      </c>
      <c r="AA2875">
        <v>0.99599439999999995</v>
      </c>
      <c r="AB2875">
        <v>33</v>
      </c>
      <c r="AC2875">
        <v>0.41340000000002403</v>
      </c>
      <c r="AD2875">
        <v>-8.3496000000000001E-2</v>
      </c>
      <c r="AE2875">
        <v>-6.2899999999984801E-2</v>
      </c>
      <c r="AF2875">
        <v>6.6313506525414206E-2</v>
      </c>
      <c r="AG2875">
        <v>-8.3496000000000001E-2</v>
      </c>
      <c r="AH2875">
        <v>0.39661944408423899</v>
      </c>
      <c r="AI2875">
        <v>101.73004415721</v>
      </c>
      <c r="AJ2875">
        <v>80.508126207815096</v>
      </c>
      <c r="AK2875">
        <v>0.41070189503992599</v>
      </c>
      <c r="AL2875">
        <v>68.9969032247825</v>
      </c>
      <c r="AM2875">
        <v>95.195169364677099</v>
      </c>
      <c r="AN2875">
        <v>0.99999997757061698</v>
      </c>
    </row>
    <row r="2876" spans="1:40" x14ac:dyDescent="0.25">
      <c r="A2876" t="str">
        <f>"20190304164658998"</f>
        <v>20190304164658998</v>
      </c>
      <c r="B2876" t="str">
        <f>"1551689218991844"</f>
        <v>1551689218991844</v>
      </c>
      <c r="C2876" t="s">
        <v>40</v>
      </c>
      <c r="D2876">
        <v>4.3274850000000002</v>
      </c>
      <c r="E2876">
        <v>0.58310909999999905</v>
      </c>
      <c r="F2876" t="s">
        <v>41</v>
      </c>
      <c r="G2876">
        <v>-326.84219999999999</v>
      </c>
      <c r="H2876">
        <v>1.0017609999999999</v>
      </c>
      <c r="I2876">
        <v>214.0018</v>
      </c>
      <c r="J2876">
        <v>-327.49950000000001</v>
      </c>
      <c r="K2876">
        <v>1.11091299999999</v>
      </c>
      <c r="L2876">
        <v>214.08170000000001</v>
      </c>
      <c r="M2876">
        <v>0.9997876</v>
      </c>
      <c r="N2876">
        <v>-1.452704E-2</v>
      </c>
      <c r="O2876">
        <v>1.4630509999999999E-2</v>
      </c>
      <c r="P2876">
        <v>0.933253</v>
      </c>
      <c r="Q2876">
        <v>0.3454469</v>
      </c>
      <c r="R2876">
        <v>9.8516300000000001E-2</v>
      </c>
      <c r="S2876">
        <v>3.3772280000000001</v>
      </c>
      <c r="T2876">
        <v>-0.37020110000000001</v>
      </c>
      <c r="U2876">
        <v>-0.25424190000000002</v>
      </c>
      <c r="V2876">
        <v>-8.4827799999999995E-2</v>
      </c>
      <c r="W2876">
        <v>0.3589926</v>
      </c>
      <c r="X2876">
        <v>0.92947760000000001</v>
      </c>
      <c r="Y2876">
        <v>8.8984830000000001E-2</v>
      </c>
      <c r="Z2876">
        <v>-6.8904350000000003E-3</v>
      </c>
      <c r="AA2876">
        <v>0.99600920000000004</v>
      </c>
      <c r="AB2876">
        <v>33</v>
      </c>
      <c r="AC2876">
        <v>0.65730000000001998</v>
      </c>
      <c r="AD2876">
        <v>-0.109151999999999</v>
      </c>
      <c r="AE2876">
        <v>-7.9900000000009103E-2</v>
      </c>
      <c r="AF2876">
        <v>8.71410561072989E-2</v>
      </c>
      <c r="AG2876">
        <v>-0.109151999999999</v>
      </c>
      <c r="AH2876">
        <v>0.63870390349774897</v>
      </c>
      <c r="AI2876">
        <v>99.610586566087093</v>
      </c>
      <c r="AJ2876">
        <v>82.230864828091299</v>
      </c>
      <c r="AK2876">
        <v>0.65379690967972404</v>
      </c>
      <c r="AL2876">
        <v>68.961659536935102</v>
      </c>
      <c r="AM2876">
        <v>95.214593705215805</v>
      </c>
      <c r="AN2876">
        <v>1.0000000257046699</v>
      </c>
    </row>
    <row r="2877" spans="1:40" x14ac:dyDescent="0.25">
      <c r="A2877" t="str">
        <f>"20190304164659021"</f>
        <v>20190304164659021</v>
      </c>
      <c r="B2877" t="str">
        <f>"1551689219011363"</f>
        <v>1551689219011363</v>
      </c>
      <c r="C2877" t="s">
        <v>40</v>
      </c>
      <c r="D2877">
        <v>4.5870329999999999</v>
      </c>
      <c r="E2877">
        <v>0.583179</v>
      </c>
      <c r="F2877" t="s">
        <v>41</v>
      </c>
      <c r="G2877">
        <v>-326.54320000000001</v>
      </c>
      <c r="H2877">
        <v>1.006348</v>
      </c>
      <c r="I2877">
        <v>214.0102</v>
      </c>
      <c r="J2877">
        <v>-327.16320000000002</v>
      </c>
      <c r="K2877">
        <v>1.1109009999999999</v>
      </c>
      <c r="L2877">
        <v>214.0865</v>
      </c>
      <c r="M2877">
        <v>0.99978849999999997</v>
      </c>
      <c r="N2877">
        <v>-1.4523319999999999E-2</v>
      </c>
      <c r="O2877">
        <v>1.45684E-2</v>
      </c>
      <c r="P2877">
        <v>0.93302609999999997</v>
      </c>
      <c r="Q2877">
        <v>0.34593950000000001</v>
      </c>
      <c r="R2877">
        <v>9.8936200000000002E-2</v>
      </c>
      <c r="S2877">
        <v>3.3778380000000001</v>
      </c>
      <c r="T2877">
        <v>-0.36939739999999999</v>
      </c>
      <c r="U2877">
        <v>-0.25155640000000001</v>
      </c>
      <c r="V2877">
        <v>-8.5290089999999999E-2</v>
      </c>
      <c r="W2877">
        <v>0.359483</v>
      </c>
      <c r="X2877">
        <v>0.92924569999999995</v>
      </c>
      <c r="Y2877">
        <v>8.8130970000000003E-2</v>
      </c>
      <c r="Z2877">
        <v>-6.8168090000000001E-3</v>
      </c>
      <c r="AA2877">
        <v>0.99608560000000002</v>
      </c>
      <c r="AB2877">
        <v>33</v>
      </c>
      <c r="AC2877">
        <v>0.62000000000000399</v>
      </c>
      <c r="AD2877">
        <v>-0.10455299999999899</v>
      </c>
      <c r="AE2877">
        <v>-7.6300000000003296E-2</v>
      </c>
      <c r="AF2877">
        <v>8.3000166547732596E-2</v>
      </c>
      <c r="AG2877">
        <v>-0.10455299999999899</v>
      </c>
      <c r="AH2877">
        <v>0.60195972832832501</v>
      </c>
      <c r="AI2877">
        <v>99.762710012693802</v>
      </c>
      <c r="AJ2877">
        <v>82.149373184582302</v>
      </c>
      <c r="AK2877">
        <v>0.61658403481201296</v>
      </c>
      <c r="AL2877">
        <v>68.931551289730706</v>
      </c>
      <c r="AM2877">
        <v>95.244155073773697</v>
      </c>
      <c r="AN2877">
        <v>0.99999999885484903</v>
      </c>
    </row>
    <row r="2878" spans="1:40" x14ac:dyDescent="0.25">
      <c r="A2878" t="str">
        <f>"20190304164659041"</f>
        <v>20190304164659041</v>
      </c>
      <c r="B2878" t="str">
        <f>"1551689219031859"</f>
        <v>1551689219031859</v>
      </c>
      <c r="C2878" t="s">
        <v>40</v>
      </c>
      <c r="D2878">
        <v>4.3950610000000001</v>
      </c>
      <c r="E2878">
        <v>0.58316709999999905</v>
      </c>
      <c r="F2878" t="s">
        <v>41</v>
      </c>
      <c r="G2878">
        <v>-326.24450000000002</v>
      </c>
      <c r="H2878">
        <v>1.0106839999999999</v>
      </c>
      <c r="I2878">
        <v>214.01849999999999</v>
      </c>
      <c r="J2878">
        <v>-326.8578</v>
      </c>
      <c r="K2878">
        <v>1.1108849999999999</v>
      </c>
      <c r="L2878">
        <v>214.0909</v>
      </c>
      <c r="M2878">
        <v>0.99978959999999995</v>
      </c>
      <c r="N2878">
        <v>-1.451995E-2</v>
      </c>
      <c r="O2878">
        <v>1.4487689999999999E-2</v>
      </c>
      <c r="P2878">
        <v>0.93302689999999999</v>
      </c>
      <c r="Q2878">
        <v>0.34593069999999998</v>
      </c>
      <c r="R2878">
        <v>9.89593E-2</v>
      </c>
      <c r="S2878">
        <v>3.3784480000000001</v>
      </c>
      <c r="T2878">
        <v>-0.36854389999999998</v>
      </c>
      <c r="U2878">
        <v>-0.24949650000000001</v>
      </c>
      <c r="V2878">
        <v>-8.5369210000000001E-2</v>
      </c>
      <c r="W2878">
        <v>0.35947590000000001</v>
      </c>
      <c r="X2878">
        <v>0.92924119999999999</v>
      </c>
      <c r="Y2878">
        <v>8.7441279999999996E-2</v>
      </c>
      <c r="Z2878">
        <v>-6.7509229999999998E-3</v>
      </c>
      <c r="AA2878">
        <v>0.9961468</v>
      </c>
      <c r="AB2878">
        <v>33</v>
      </c>
      <c r="AC2878">
        <v>0.61329999999998097</v>
      </c>
      <c r="AD2878">
        <v>-0.100201</v>
      </c>
      <c r="AE2878">
        <v>-7.2400000000015993E-2</v>
      </c>
      <c r="AF2878">
        <v>7.9193768220127095E-2</v>
      </c>
      <c r="AG2878">
        <v>-0.100201</v>
      </c>
      <c r="AH2878">
        <v>0.59648347272305602</v>
      </c>
      <c r="AI2878">
        <v>99.454420850525494</v>
      </c>
      <c r="AJ2878">
        <v>82.437198524283204</v>
      </c>
      <c r="AK2878">
        <v>0.61000362831515997</v>
      </c>
      <c r="AL2878">
        <v>68.931987614799795</v>
      </c>
      <c r="AM2878">
        <v>95.249017969902695</v>
      </c>
      <c r="AN2878">
        <v>1.0000000162371301</v>
      </c>
    </row>
    <row r="2879" spans="1:40" x14ac:dyDescent="0.25">
      <c r="A2879" t="str">
        <f>"20190304164659063"</f>
        <v>20190304164659063</v>
      </c>
      <c r="B2879" t="str">
        <f>"1551689219051379"</f>
        <v>1551689219051379</v>
      </c>
      <c r="C2879" t="s">
        <v>40</v>
      </c>
      <c r="D2879">
        <v>4.3782100000000002</v>
      </c>
      <c r="E2879">
        <v>0.58315289999999997</v>
      </c>
      <c r="F2879" t="s">
        <v>41</v>
      </c>
      <c r="G2879">
        <v>-325.94810000000001</v>
      </c>
      <c r="H2879">
        <v>1.0113909999999999</v>
      </c>
      <c r="I2879">
        <v>214.0239</v>
      </c>
      <c r="J2879">
        <v>-326.53870000000001</v>
      </c>
      <c r="K2879">
        <v>1.110862</v>
      </c>
      <c r="L2879">
        <v>214.09540000000001</v>
      </c>
      <c r="M2879">
        <v>0.9997914</v>
      </c>
      <c r="N2879">
        <v>-1.451647E-2</v>
      </c>
      <c r="O2879">
        <v>1.4377030000000001E-2</v>
      </c>
      <c r="P2879">
        <v>0.93312729999999999</v>
      </c>
      <c r="Q2879">
        <v>0.3457423</v>
      </c>
      <c r="R2879">
        <v>9.8670320000000006E-2</v>
      </c>
      <c r="S2879">
        <v>3.3786619999999998</v>
      </c>
      <c r="T2879">
        <v>-0.36958580000000002</v>
      </c>
      <c r="U2879">
        <v>-0.24812319999999999</v>
      </c>
      <c r="V2879">
        <v>-8.5161699999999896E-2</v>
      </c>
      <c r="W2879">
        <v>0.35929030000000001</v>
      </c>
      <c r="X2879">
        <v>0.92933200000000005</v>
      </c>
      <c r="Y2879">
        <v>8.6924189999999998E-2</v>
      </c>
      <c r="Z2879">
        <v>-6.7258989999999996E-3</v>
      </c>
      <c r="AA2879">
        <v>0.99619219999999997</v>
      </c>
      <c r="AB2879">
        <v>33</v>
      </c>
      <c r="AC2879">
        <v>0.59059999999999402</v>
      </c>
      <c r="AD2879">
        <v>-9.9471000000000004E-2</v>
      </c>
      <c r="AE2879">
        <v>-7.1500000000014496E-2</v>
      </c>
      <c r="AF2879">
        <v>7.7809279405088597E-2</v>
      </c>
      <c r="AG2879">
        <v>-9.9471000000000004E-2</v>
      </c>
      <c r="AH2879">
        <v>0.573478275254938</v>
      </c>
      <c r="AI2879">
        <v>99.752550489005102</v>
      </c>
      <c r="AJ2879">
        <v>82.273316730716004</v>
      </c>
      <c r="AK2879">
        <v>0.58721895064100005</v>
      </c>
      <c r="AL2879">
        <v>68.943382691609401</v>
      </c>
      <c r="AM2879">
        <v>95.235821235874496</v>
      </c>
      <c r="AN2879">
        <v>1.0000000005224901</v>
      </c>
    </row>
    <row r="2880" spans="1:40" x14ac:dyDescent="0.25">
      <c r="A2880" t="str">
        <f>"20190304164659085"</f>
        <v>20190304164659085</v>
      </c>
      <c r="B2880" t="str">
        <f>"1551689219081635"</f>
        <v>1551689219081635</v>
      </c>
      <c r="C2880" t="s">
        <v>40</v>
      </c>
      <c r="D2880">
        <v>4.3878570000000003</v>
      </c>
      <c r="E2880">
        <v>0.58315989999999995</v>
      </c>
      <c r="F2880" t="s">
        <v>41</v>
      </c>
      <c r="G2880">
        <v>-325.65129999999999</v>
      </c>
      <c r="H2880">
        <v>1.013328</v>
      </c>
      <c r="I2880">
        <v>214.0301</v>
      </c>
      <c r="J2880">
        <v>-326.20609999999999</v>
      </c>
      <c r="K2880">
        <v>1.110835</v>
      </c>
      <c r="L2880">
        <v>214.1001</v>
      </c>
      <c r="M2880">
        <v>0.99979340000000005</v>
      </c>
      <c r="N2880">
        <v>-1.45129E-2</v>
      </c>
      <c r="O2880">
        <v>1.42367E-2</v>
      </c>
      <c r="P2880">
        <v>0.93343509999999996</v>
      </c>
      <c r="Q2880">
        <v>0.34540330000000002</v>
      </c>
      <c r="R2880">
        <v>9.6929790000000002E-2</v>
      </c>
      <c r="S2880">
        <v>3.3788450000000001</v>
      </c>
      <c r="T2880">
        <v>-0.37143890000000002</v>
      </c>
      <c r="U2880">
        <v>-0.2480774</v>
      </c>
      <c r="V2880">
        <v>-8.3528149999999995E-2</v>
      </c>
      <c r="W2880">
        <v>0.358956099999999</v>
      </c>
      <c r="X2880">
        <v>0.92960940000000003</v>
      </c>
      <c r="Y2880">
        <v>8.6762549999999994E-2</v>
      </c>
      <c r="Z2880">
        <v>-6.7335229999999999E-3</v>
      </c>
      <c r="AA2880">
        <v>0.99620629999999999</v>
      </c>
      <c r="AB2880">
        <v>33</v>
      </c>
      <c r="AC2880">
        <v>0.55479999999999996</v>
      </c>
      <c r="AD2880">
        <v>-9.7506999999999996E-2</v>
      </c>
      <c r="AE2880">
        <v>-6.9999999999993096E-2</v>
      </c>
      <c r="AF2880">
        <v>7.5593854794131707E-2</v>
      </c>
      <c r="AG2880">
        <v>-9.7506999999999996E-2</v>
      </c>
      <c r="AH2880">
        <v>0.53740742206168601</v>
      </c>
      <c r="AI2880">
        <v>100.18570367146199</v>
      </c>
      <c r="AJ2880">
        <v>81.993082337036995</v>
      </c>
      <c r="AK2880">
        <v>0.55138805139268598</v>
      </c>
      <c r="AL2880">
        <v>68.963900383618494</v>
      </c>
      <c r="AM2880">
        <v>95.134406988017403</v>
      </c>
      <c r="AN2880">
        <v>1.0000000350689899</v>
      </c>
    </row>
    <row r="2881" spans="1:40" x14ac:dyDescent="0.25">
      <c r="A2881" t="str">
        <f>"20190304164659108"</f>
        <v>20190304164659108</v>
      </c>
      <c r="B2881" t="str">
        <f>"1551689219101155"</f>
        <v>1551689219101155</v>
      </c>
      <c r="C2881" t="s">
        <v>40</v>
      </c>
      <c r="D2881">
        <v>4.4520369999999998</v>
      </c>
      <c r="E2881">
        <v>0.58318110000000001</v>
      </c>
      <c r="F2881" t="s">
        <v>41</v>
      </c>
      <c r="G2881">
        <v>-325.35419999999999</v>
      </c>
      <c r="H2881">
        <v>1.016486</v>
      </c>
      <c r="I2881">
        <v>214.0361</v>
      </c>
      <c r="J2881">
        <v>-325.85730000000001</v>
      </c>
      <c r="K2881">
        <v>1.110816</v>
      </c>
      <c r="L2881">
        <v>214.10489999999999</v>
      </c>
      <c r="M2881">
        <v>0.99979580000000001</v>
      </c>
      <c r="N2881">
        <v>-1.450921E-2</v>
      </c>
      <c r="O2881">
        <v>1.406932E-2</v>
      </c>
      <c r="P2881">
        <v>0.93380920000000001</v>
      </c>
      <c r="Q2881">
        <v>0.34486030000000001</v>
      </c>
      <c r="R2881">
        <v>9.5248009999999994E-2</v>
      </c>
      <c r="S2881">
        <v>3.3786930000000002</v>
      </c>
      <c r="T2881">
        <v>-0.3742974</v>
      </c>
      <c r="U2881">
        <v>-0.25306699999999999</v>
      </c>
      <c r="V2881">
        <v>-8.1981429999999994E-2</v>
      </c>
      <c r="W2881">
        <v>0.35841840000000003</v>
      </c>
      <c r="X2881">
        <v>0.92995450000000002</v>
      </c>
      <c r="Y2881">
        <v>8.8044430000000007E-2</v>
      </c>
      <c r="Z2881">
        <v>-6.8456760000000002E-3</v>
      </c>
      <c r="AA2881">
        <v>0.99609300000000001</v>
      </c>
      <c r="AB2881">
        <v>33</v>
      </c>
      <c r="AC2881">
        <v>0.50310000000001698</v>
      </c>
      <c r="AD2881">
        <v>-9.4329999999999997E-2</v>
      </c>
      <c r="AE2881">
        <v>-6.8799999999981695E-2</v>
      </c>
      <c r="AF2881">
        <v>7.3341207703107494E-2</v>
      </c>
      <c r="AG2881">
        <v>-9.4329999999999997E-2</v>
      </c>
      <c r="AH2881">
        <v>0.485333298376595</v>
      </c>
      <c r="AI2881">
        <v>100.878437336906</v>
      </c>
      <c r="AJ2881">
        <v>81.406757962062898</v>
      </c>
      <c r="AK2881">
        <v>0.499825461696836</v>
      </c>
      <c r="AL2881">
        <v>68.996904558397901</v>
      </c>
      <c r="AM2881">
        <v>95.037964993605101</v>
      </c>
      <c r="AN2881">
        <v>1.0000000381968199</v>
      </c>
    </row>
    <row r="2882" spans="1:40" x14ac:dyDescent="0.25">
      <c r="A2882" t="str">
        <f>"20190304164659130"</f>
        <v>20190304164659130</v>
      </c>
      <c r="B2882" t="str">
        <f>"1551689219121654"</f>
        <v>1551689219121654</v>
      </c>
      <c r="C2882" t="s">
        <v>40</v>
      </c>
      <c r="D2882">
        <v>4.4451999999999998</v>
      </c>
      <c r="E2882">
        <v>0.58316519999999905</v>
      </c>
      <c r="F2882" t="s">
        <v>41</v>
      </c>
      <c r="G2882">
        <v>-325.05669999999998</v>
      </c>
      <c r="H2882">
        <v>1.0214650000000001</v>
      </c>
      <c r="I2882">
        <v>214.04339999999999</v>
      </c>
      <c r="J2882">
        <v>-325.5385</v>
      </c>
      <c r="K2882">
        <v>1.1108049999999901</v>
      </c>
      <c r="L2882">
        <v>214.10919999999999</v>
      </c>
      <c r="M2882">
        <v>0.99979810000000002</v>
      </c>
      <c r="N2882">
        <v>-1.4505840000000001E-2</v>
      </c>
      <c r="O2882">
        <v>1.3903789999999999E-2</v>
      </c>
      <c r="P2882">
        <v>0.93373170000000005</v>
      </c>
      <c r="Q2882">
        <v>0.34545169999999997</v>
      </c>
      <c r="R2882">
        <v>9.3852370000000004E-2</v>
      </c>
      <c r="S2882">
        <v>3.3782649999999999</v>
      </c>
      <c r="T2882">
        <v>-0.37711729999999999</v>
      </c>
      <c r="U2882">
        <v>-0.25886540000000002</v>
      </c>
      <c r="V2882">
        <v>-8.0730380000000004E-2</v>
      </c>
      <c r="W2882">
        <v>0.3590064</v>
      </c>
      <c r="X2882">
        <v>0.92983709999999997</v>
      </c>
      <c r="Y2882">
        <v>8.9569019999999999E-2</v>
      </c>
      <c r="Z2882">
        <v>-6.9738589999999998E-3</v>
      </c>
      <c r="AA2882">
        <v>0.99595619999999996</v>
      </c>
      <c r="AB2882">
        <v>33</v>
      </c>
      <c r="AC2882">
        <v>0.48180000000002099</v>
      </c>
      <c r="AD2882">
        <v>-8.9339999999999697E-2</v>
      </c>
      <c r="AE2882">
        <v>-6.5799999999995806E-2</v>
      </c>
      <c r="AF2882">
        <v>7.0126112424773707E-2</v>
      </c>
      <c r="AG2882">
        <v>-8.9339999999999697E-2</v>
      </c>
      <c r="AH2882">
        <v>0.46513792153935002</v>
      </c>
      <c r="AI2882">
        <v>100.753858393614</v>
      </c>
      <c r="AJ2882">
        <v>81.4264213769479</v>
      </c>
      <c r="AK2882">
        <v>0.47880329290613499</v>
      </c>
      <c r="AL2882">
        <v>68.9608120582281</v>
      </c>
      <c r="AM2882">
        <v>94.962094825592601</v>
      </c>
      <c r="AN2882">
        <v>1.00000001101615</v>
      </c>
    </row>
    <row r="2883" spans="1:40" x14ac:dyDescent="0.25">
      <c r="A2883" t="str">
        <f>"20190304164659151"</f>
        <v>20190304164659151</v>
      </c>
      <c r="B2883" t="str">
        <f>"1551689219141171"</f>
        <v>1551689219141171</v>
      </c>
      <c r="C2883" t="s">
        <v>40</v>
      </c>
      <c r="D2883">
        <v>4.4017999999999997</v>
      </c>
      <c r="E2883">
        <v>0.58320930000000004</v>
      </c>
      <c r="F2883" t="s">
        <v>41</v>
      </c>
      <c r="G2883">
        <v>-324.7604</v>
      </c>
      <c r="H2883">
        <v>1.0244610000000001</v>
      </c>
      <c r="I2883">
        <v>214.04759999999999</v>
      </c>
      <c r="J2883">
        <v>-325.22629999999998</v>
      </c>
      <c r="K2883">
        <v>1.110795</v>
      </c>
      <c r="L2883">
        <v>214.11340000000001</v>
      </c>
      <c r="M2883">
        <v>0.99980040000000003</v>
      </c>
      <c r="N2883">
        <v>-1.45025E-2</v>
      </c>
      <c r="O2883">
        <v>1.3734400000000001E-2</v>
      </c>
      <c r="P2883">
        <v>0.93378430000000001</v>
      </c>
      <c r="Q2883">
        <v>0.3453</v>
      </c>
      <c r="R2883">
        <v>9.388842E-2</v>
      </c>
      <c r="S2883">
        <v>3.3784480000000001</v>
      </c>
      <c r="T2883">
        <v>-0.37506780000000001</v>
      </c>
      <c r="U2883">
        <v>-0.26628109999999999</v>
      </c>
      <c r="V2883">
        <v>-8.0917249999999996E-2</v>
      </c>
      <c r="W2883">
        <v>0.35885420000000001</v>
      </c>
      <c r="X2883">
        <v>0.92987960000000003</v>
      </c>
      <c r="Y2883">
        <v>9.1563400000000003E-2</v>
      </c>
      <c r="Z2883">
        <v>-7.0461380000000004E-3</v>
      </c>
      <c r="AA2883">
        <v>0.9957743</v>
      </c>
      <c r="AB2883">
        <v>33</v>
      </c>
      <c r="AC2883">
        <v>0.465899999999976</v>
      </c>
      <c r="AD2883">
        <v>-8.6333999999999897E-2</v>
      </c>
      <c r="AE2883">
        <v>-6.58000000000242E-2</v>
      </c>
      <c r="AF2883">
        <v>6.9841972247516204E-2</v>
      </c>
      <c r="AG2883">
        <v>-8.6333999999999897E-2</v>
      </c>
      <c r="AH2883">
        <v>0.44980864224261602</v>
      </c>
      <c r="AI2883">
        <v>100.739290928321</v>
      </c>
      <c r="AJ2883">
        <v>81.174137783529602</v>
      </c>
      <c r="AK2883">
        <v>0.46331336617840901</v>
      </c>
      <c r="AL2883">
        <v>68.9701549052659</v>
      </c>
      <c r="AM2883">
        <v>94.973297075855399</v>
      </c>
      <c r="AN2883">
        <v>1.00000000435068</v>
      </c>
    </row>
    <row r="2884" spans="1:40" x14ac:dyDescent="0.25">
      <c r="A2884" t="str">
        <f>"20190304164659176"</f>
        <v>20190304164659176</v>
      </c>
      <c r="B2884" t="str">
        <f>"1551689219171427"</f>
        <v>1551689219171427</v>
      </c>
      <c r="C2884" t="s">
        <v>40</v>
      </c>
      <c r="D2884">
        <v>4.2699740000000004</v>
      </c>
      <c r="E2884">
        <v>0.53546349999999998</v>
      </c>
      <c r="F2884" t="s">
        <v>41</v>
      </c>
      <c r="G2884">
        <v>-324.46510000000001</v>
      </c>
      <c r="H2884">
        <v>1.0262739999999999</v>
      </c>
      <c r="I2884">
        <v>214.05279999999999</v>
      </c>
      <c r="J2884">
        <v>-324.87389999999999</v>
      </c>
      <c r="K2884">
        <v>1.1107880000000001</v>
      </c>
      <c r="L2884">
        <v>214.11799999999999</v>
      </c>
      <c r="M2884">
        <v>0.99980329999999995</v>
      </c>
      <c r="N2884">
        <v>-1.4498850000000001E-2</v>
      </c>
      <c r="O2884">
        <v>1.353942E-2</v>
      </c>
      <c r="P2884">
        <v>0.93401319999999999</v>
      </c>
      <c r="Q2884">
        <v>0.34478599999999998</v>
      </c>
      <c r="R2884">
        <v>9.3498819999999996E-2</v>
      </c>
      <c r="S2884">
        <v>3.3785099999999999</v>
      </c>
      <c r="T2884">
        <v>-0.37514130000000001</v>
      </c>
      <c r="U2884">
        <v>-0.2689667</v>
      </c>
      <c r="V2884">
        <v>-8.0701960000000003E-2</v>
      </c>
      <c r="W2884">
        <v>0.35834050000000001</v>
      </c>
      <c r="X2884">
        <v>0.93009640000000005</v>
      </c>
      <c r="Y2884">
        <v>9.2151049999999998E-2</v>
      </c>
      <c r="Z2884">
        <v>-7.065025E-3</v>
      </c>
      <c r="AA2884">
        <v>0.99572000000000005</v>
      </c>
      <c r="AB2884">
        <v>33</v>
      </c>
      <c r="AC2884">
        <v>0.40879999999998501</v>
      </c>
      <c r="AD2884">
        <v>-8.4513999999999895E-2</v>
      </c>
      <c r="AE2884">
        <v>-6.5200000000004296E-2</v>
      </c>
      <c r="AF2884">
        <v>6.7899477179610201E-2</v>
      </c>
      <c r="AG2884">
        <v>-8.4513999999999895E-2</v>
      </c>
      <c r="AH2884">
        <v>0.39155950782828702</v>
      </c>
      <c r="AI2884">
        <v>102.00598291606001</v>
      </c>
      <c r="AJ2884">
        <v>80.162293292296198</v>
      </c>
      <c r="AK2884">
        <v>0.40629029445458698</v>
      </c>
      <c r="AL2884">
        <v>69.001684995641</v>
      </c>
      <c r="AM2884">
        <v>94.9589807138819</v>
      </c>
      <c r="AN2884">
        <v>1.0000000167905201</v>
      </c>
    </row>
    <row r="2885" spans="1:40" x14ac:dyDescent="0.25">
      <c r="A2885" t="str">
        <f>"20190304164659199"</f>
        <v>20190304164659199</v>
      </c>
      <c r="B2885" t="str">
        <f>"1551689219191924"</f>
        <v>1551689219191924</v>
      </c>
      <c r="C2885" t="s">
        <v>40</v>
      </c>
      <c r="D2885">
        <v>4.253584</v>
      </c>
      <c r="E2885">
        <v>0.534362</v>
      </c>
      <c r="F2885" t="s">
        <v>41</v>
      </c>
      <c r="G2885">
        <v>-323.97770000000003</v>
      </c>
      <c r="H2885">
        <v>0.80227329999999997</v>
      </c>
      <c r="I2885">
        <v>214.16149999999999</v>
      </c>
      <c r="J2885">
        <v>-324.52120000000002</v>
      </c>
      <c r="K2885">
        <v>1.1107830000000001</v>
      </c>
      <c r="L2885">
        <v>214.12260000000001</v>
      </c>
      <c r="M2885">
        <v>0.99980590000000003</v>
      </c>
      <c r="N2885">
        <v>-1.449523E-2</v>
      </c>
      <c r="O2885">
        <v>1.334401E-2</v>
      </c>
      <c r="P2885">
        <v>0.93433339999999998</v>
      </c>
      <c r="Q2885">
        <v>0.34393620000000003</v>
      </c>
      <c r="R2885">
        <v>9.3429670000000006E-2</v>
      </c>
      <c r="S2885">
        <v>3.6590579999999999</v>
      </c>
      <c r="T2885">
        <v>-1.2595160000000001</v>
      </c>
      <c r="U2885">
        <v>0.17826839999999999</v>
      </c>
      <c r="V2885">
        <v>-8.0809019999999995E-2</v>
      </c>
      <c r="W2885">
        <v>0.3574928</v>
      </c>
      <c r="X2885">
        <v>0.93041320000000005</v>
      </c>
      <c r="Y2885">
        <v>-3.3991550000000002E-2</v>
      </c>
      <c r="Z2885">
        <v>1.663482E-3</v>
      </c>
      <c r="AA2885">
        <v>0.9994208</v>
      </c>
      <c r="AB2885">
        <v>33</v>
      </c>
      <c r="AC2885">
        <v>0.54349999999999399</v>
      </c>
      <c r="AD2885">
        <v>-0.3085097</v>
      </c>
      <c r="AE2885">
        <v>3.8899999999983899E-2</v>
      </c>
      <c r="AF2885">
        <v>-2.3961898852546799E-2</v>
      </c>
      <c r="AG2885">
        <v>-0.3085097</v>
      </c>
      <c r="AH2885">
        <v>0.41192195332000198</v>
      </c>
      <c r="AI2885">
        <v>126.785018970465</v>
      </c>
      <c r="AJ2885">
        <v>93.329199168291495</v>
      </c>
      <c r="AK2885">
        <v>0.51520103184841903</v>
      </c>
      <c r="AL2885">
        <v>69.053699252396996</v>
      </c>
      <c r="AM2885">
        <v>94.963844193659696</v>
      </c>
      <c r="AN2885">
        <v>0.99999996124971902</v>
      </c>
    </row>
    <row r="2886" spans="1:40" x14ac:dyDescent="0.25">
      <c r="A2886" t="str">
        <f>"20190304164659221"</f>
        <v>20190304164659221</v>
      </c>
      <c r="B2886" t="str">
        <f>"1551689219211443"</f>
        <v>1551689219211443</v>
      </c>
      <c r="C2886" t="s">
        <v>40</v>
      </c>
      <c r="D2886">
        <v>4.2600569999999998</v>
      </c>
      <c r="E2886">
        <v>0.53436649999999997</v>
      </c>
      <c r="F2886" t="s">
        <v>41</v>
      </c>
      <c r="G2886">
        <v>-323.68049999999999</v>
      </c>
      <c r="H2886">
        <v>0.81099030000000005</v>
      </c>
      <c r="I2886">
        <v>214.167</v>
      </c>
      <c r="J2886">
        <v>-324.21140000000003</v>
      </c>
      <c r="K2886">
        <v>1.1107940000000001</v>
      </c>
      <c r="L2886">
        <v>214.1266</v>
      </c>
      <c r="M2886">
        <v>0.99980820000000004</v>
      </c>
      <c r="N2886">
        <v>-1.4492120000000001E-2</v>
      </c>
      <c r="O2886">
        <v>1.3174190000000001E-2</v>
      </c>
      <c r="P2886">
        <v>0.93423690000000004</v>
      </c>
      <c r="Q2886">
        <v>0.34400520000000001</v>
      </c>
      <c r="R2886">
        <v>9.4137449999999998E-2</v>
      </c>
      <c r="S2886">
        <v>3.673584</v>
      </c>
      <c r="T2886">
        <v>-1.31003799999999</v>
      </c>
      <c r="U2886">
        <v>0.19477839999999999</v>
      </c>
      <c r="V2886">
        <v>-8.1674590000000005E-2</v>
      </c>
      <c r="W2886">
        <v>0.3575583</v>
      </c>
      <c r="X2886">
        <v>0.93031249999999999</v>
      </c>
      <c r="Y2886">
        <v>-3.8087049999999997E-2</v>
      </c>
      <c r="Z2886">
        <v>2.4997600000000002E-3</v>
      </c>
      <c r="AA2886">
        <v>0.99927129999999997</v>
      </c>
      <c r="AB2886">
        <v>33</v>
      </c>
      <c r="AC2886">
        <v>0.53090000000003101</v>
      </c>
      <c r="AD2886">
        <v>-0.29980370000000001</v>
      </c>
      <c r="AE2886">
        <v>4.04000000000053E-2</v>
      </c>
      <c r="AF2886">
        <v>-2.53607215887151E-2</v>
      </c>
      <c r="AG2886">
        <v>-0.29980370000000001</v>
      </c>
      <c r="AH2886">
        <v>0.40346406482376501</v>
      </c>
      <c r="AI2886">
        <v>126.561018920032</v>
      </c>
      <c r="AJ2886">
        <v>93.596734508372293</v>
      </c>
      <c r="AK2886">
        <v>0.50329780084688003</v>
      </c>
      <c r="AL2886">
        <v>69.049681886077707</v>
      </c>
      <c r="AM2886">
        <v>95.017283789492893</v>
      </c>
      <c r="AN2886">
        <v>1.0000000121034001</v>
      </c>
    </row>
    <row r="2887" spans="1:40" x14ac:dyDescent="0.25">
      <c r="A2887" t="str">
        <f>"20190304164659243"</f>
        <v>20190304164659243</v>
      </c>
      <c r="B2887" t="str">
        <f>"1551689219231939"</f>
        <v>1551689219231939</v>
      </c>
      <c r="C2887" t="s">
        <v>40</v>
      </c>
      <c r="D2887">
        <v>4.2974300000000003</v>
      </c>
      <c r="E2887">
        <v>0.53475059999999996</v>
      </c>
      <c r="F2887" t="s">
        <v>41</v>
      </c>
      <c r="G2887">
        <v>-323.3861</v>
      </c>
      <c r="H2887">
        <v>0.813992099999999</v>
      </c>
      <c r="I2887">
        <v>214.17089999999999</v>
      </c>
      <c r="J2887">
        <v>-323.87759999999997</v>
      </c>
      <c r="K2887">
        <v>1.110795</v>
      </c>
      <c r="L2887">
        <v>214.13079999999999</v>
      </c>
      <c r="M2887">
        <v>0.99981070000000005</v>
      </c>
      <c r="N2887">
        <v>-1.4488819999999999E-2</v>
      </c>
      <c r="O2887">
        <v>1.299264E-2</v>
      </c>
      <c r="P2887">
        <v>0.9337531</v>
      </c>
      <c r="Q2887">
        <v>0.34510010000000002</v>
      </c>
      <c r="R2887">
        <v>9.4927310000000001E-2</v>
      </c>
      <c r="S2887">
        <v>3.678375</v>
      </c>
      <c r="T2887">
        <v>-1.322929</v>
      </c>
      <c r="U2887">
        <v>0.19824220000000001</v>
      </c>
      <c r="V2887">
        <v>-8.2638459999999997E-2</v>
      </c>
      <c r="W2887">
        <v>0.35864370000000001</v>
      </c>
      <c r="X2887">
        <v>0.92980949999999996</v>
      </c>
      <c r="Y2887">
        <v>-3.9038660000000003E-2</v>
      </c>
      <c r="Z2887">
        <v>2.749582E-3</v>
      </c>
      <c r="AA2887">
        <v>0.99923390000000001</v>
      </c>
      <c r="AB2887">
        <v>33</v>
      </c>
      <c r="AC2887">
        <v>0.49149999999997301</v>
      </c>
      <c r="AD2887">
        <v>-0.29680289999999998</v>
      </c>
      <c r="AE2887">
        <v>4.0099999999995299E-2</v>
      </c>
      <c r="AF2887">
        <v>-2.4745877084541401E-2</v>
      </c>
      <c r="AG2887">
        <v>-0.29680289999999998</v>
      </c>
      <c r="AH2887">
        <v>0.36115228087515799</v>
      </c>
      <c r="AI2887">
        <v>129.34831329742201</v>
      </c>
      <c r="AJ2887">
        <v>93.919736258861505</v>
      </c>
      <c r="AK2887">
        <v>0.46811888432578902</v>
      </c>
      <c r="AL2887">
        <v>68.983077034092105</v>
      </c>
      <c r="AM2887">
        <v>95.078918631099498</v>
      </c>
      <c r="AN2887">
        <v>1.0000000624555501</v>
      </c>
    </row>
    <row r="2888" spans="1:40" x14ac:dyDescent="0.25">
      <c r="A2888" t="str">
        <f>"20190304164659265"</f>
        <v>20190304164659265</v>
      </c>
      <c r="B2888" t="str">
        <f>"1551689219261219"</f>
        <v>1551689219261219</v>
      </c>
      <c r="C2888" t="s">
        <v>40</v>
      </c>
      <c r="D2888">
        <v>4.3215409999999999</v>
      </c>
      <c r="E2888">
        <v>0.54413369999999905</v>
      </c>
      <c r="F2888" t="s">
        <v>41</v>
      </c>
      <c r="G2888">
        <v>-323.0872</v>
      </c>
      <c r="H2888">
        <v>0.82814100000000002</v>
      </c>
      <c r="I2888">
        <v>214.17230000000001</v>
      </c>
      <c r="J2888">
        <v>-323.57650000000001</v>
      </c>
      <c r="K2888">
        <v>1.110792</v>
      </c>
      <c r="L2888">
        <v>214.1345</v>
      </c>
      <c r="M2888">
        <v>0.99981279999999995</v>
      </c>
      <c r="N2888">
        <v>-1.448575E-2</v>
      </c>
      <c r="O2888">
        <v>1.2829689999999999E-2</v>
      </c>
      <c r="P2888">
        <v>0.93387450000000005</v>
      </c>
      <c r="Q2888">
        <v>0.3445319</v>
      </c>
      <c r="R2888">
        <v>9.5793050000000005E-2</v>
      </c>
      <c r="S2888">
        <v>3.6792910000000001</v>
      </c>
      <c r="T2888">
        <v>-1.3158069999999999</v>
      </c>
      <c r="U2888">
        <v>0.1949158</v>
      </c>
      <c r="V2888">
        <v>-8.3654649999999997E-2</v>
      </c>
      <c r="W2888">
        <v>0.35807519999999998</v>
      </c>
      <c r="X2888">
        <v>0.92993769999999998</v>
      </c>
      <c r="Y2888">
        <v>-3.8341640000000003E-2</v>
      </c>
      <c r="Z2888">
        <v>2.665588E-3</v>
      </c>
      <c r="AA2888">
        <v>0.99926110000000001</v>
      </c>
      <c r="AB2888">
        <v>33</v>
      </c>
      <c r="AC2888">
        <v>0.489300000000014</v>
      </c>
      <c r="AD2888">
        <v>-0.28265099999999999</v>
      </c>
      <c r="AE2888">
        <v>3.7800000000004198E-2</v>
      </c>
      <c r="AF2888">
        <v>-2.3667705625861998E-2</v>
      </c>
      <c r="AG2888">
        <v>-0.28265099999999999</v>
      </c>
      <c r="AH2888">
        <v>0.367754634440491</v>
      </c>
      <c r="AI2888">
        <v>127.488172409358</v>
      </c>
      <c r="AJ2888">
        <v>93.682324978688399</v>
      </c>
      <c r="AK2888">
        <v>0.464429993909795</v>
      </c>
      <c r="AL2888">
        <v>69.017966395991607</v>
      </c>
      <c r="AM2888">
        <v>95.140335558153595</v>
      </c>
      <c r="AN2888">
        <v>1.0000000376014699</v>
      </c>
    </row>
    <row r="2889" spans="1:40" x14ac:dyDescent="0.25">
      <c r="A2889" t="str">
        <f>"20190304164659287"</f>
        <v>20190304164659287</v>
      </c>
      <c r="B2889" t="str">
        <f>"1551689219281715"</f>
        <v>1551689219281715</v>
      </c>
      <c r="C2889" t="s">
        <v>40</v>
      </c>
      <c r="D2889">
        <v>4.3478960000000004</v>
      </c>
      <c r="E2889">
        <v>0.54425389999999996</v>
      </c>
      <c r="F2889" t="s">
        <v>41</v>
      </c>
      <c r="G2889">
        <v>-322.78160000000003</v>
      </c>
      <c r="H2889">
        <v>0.85995359999999998</v>
      </c>
      <c r="I2889">
        <v>214.1584</v>
      </c>
      <c r="J2889">
        <v>-323.2396</v>
      </c>
      <c r="K2889">
        <v>1.110789</v>
      </c>
      <c r="L2889">
        <v>214.1387</v>
      </c>
      <c r="M2889">
        <v>0.99981520000000002</v>
      </c>
      <c r="N2889">
        <v>-1.448229E-2</v>
      </c>
      <c r="O2889">
        <v>1.2648339999999999E-2</v>
      </c>
      <c r="P2889">
        <v>0.93418780000000001</v>
      </c>
      <c r="Q2889">
        <v>0.34341880000000002</v>
      </c>
      <c r="R2889">
        <v>9.6731709999999999E-2</v>
      </c>
      <c r="S2889">
        <v>3.6230159999999998</v>
      </c>
      <c r="T2889">
        <v>-1.143181</v>
      </c>
      <c r="U2889">
        <v>0.10852050000000001</v>
      </c>
      <c r="V2889">
        <v>-8.4758769999999997E-2</v>
      </c>
      <c r="W2889">
        <v>0.35696359999999999</v>
      </c>
      <c r="X2889">
        <v>0.93026500000000001</v>
      </c>
      <c r="Y2889">
        <v>-1.6987660000000002E-2</v>
      </c>
      <c r="Z2889">
        <v>-9.741439E-4</v>
      </c>
      <c r="AA2889">
        <v>0.99985520000000006</v>
      </c>
      <c r="AB2889">
        <v>33</v>
      </c>
      <c r="AC2889">
        <v>0.45799999999996999</v>
      </c>
      <c r="AD2889">
        <v>-0.25083539999999999</v>
      </c>
      <c r="AE2889">
        <v>1.97000000000002E-2</v>
      </c>
      <c r="AF2889">
        <v>-1.0701042685519E-2</v>
      </c>
      <c r="AG2889">
        <v>-0.25083539999999999</v>
      </c>
      <c r="AH2889">
        <v>0.352635418693442</v>
      </c>
      <c r="AI2889">
        <v>125.41241715765101</v>
      </c>
      <c r="AJ2889">
        <v>91.738159158577105</v>
      </c>
      <c r="AK2889">
        <v>0.43287948522055902</v>
      </c>
      <c r="AL2889">
        <v>69.086163365841898</v>
      </c>
      <c r="AM2889">
        <v>95.205987660921195</v>
      </c>
      <c r="AN2889">
        <v>1.0000000155209301</v>
      </c>
    </row>
    <row r="2890" spans="1:40" x14ac:dyDescent="0.25">
      <c r="A2890" t="str">
        <f>"20190304164659309"</f>
        <v>20190304164659309</v>
      </c>
      <c r="B2890" t="str">
        <f>"1551689219301235"</f>
        <v>1551689219301235</v>
      </c>
      <c r="C2890" t="s">
        <v>40</v>
      </c>
      <c r="D2890">
        <v>4.3188399999999998</v>
      </c>
      <c r="E2890">
        <v>0.54427190000000003</v>
      </c>
      <c r="F2890" t="s">
        <v>41</v>
      </c>
      <c r="G2890">
        <v>-322.4846</v>
      </c>
      <c r="H2890">
        <v>0.87112019999999901</v>
      </c>
      <c r="I2890">
        <v>214.16159999999999</v>
      </c>
      <c r="J2890">
        <v>-322.91480000000001</v>
      </c>
      <c r="K2890">
        <v>1.110778</v>
      </c>
      <c r="L2890">
        <v>214.14259999999999</v>
      </c>
      <c r="M2890">
        <v>0.99981730000000002</v>
      </c>
      <c r="N2890">
        <v>-1.4478960000000001E-2</v>
      </c>
      <c r="O2890">
        <v>1.2473619999999999E-2</v>
      </c>
      <c r="P2890">
        <v>0.93458779999999997</v>
      </c>
      <c r="Q2890">
        <v>0.34209250000000002</v>
      </c>
      <c r="R2890">
        <v>9.7562720000000006E-2</v>
      </c>
      <c r="S2890">
        <v>3.6224980000000002</v>
      </c>
      <c r="T2890">
        <v>-1.14991</v>
      </c>
      <c r="U2890">
        <v>0.11106870000000001</v>
      </c>
      <c r="V2890">
        <v>-8.574851E-2</v>
      </c>
      <c r="W2890">
        <v>0.35564079999999998</v>
      </c>
      <c r="X2890">
        <v>0.93068079999999997</v>
      </c>
      <c r="Y2890">
        <v>-1.7815879999999999E-2</v>
      </c>
      <c r="Z2890">
        <v>-7.9550550000000002E-4</v>
      </c>
      <c r="AA2890">
        <v>0.99984099999999998</v>
      </c>
      <c r="AB2890">
        <v>33</v>
      </c>
      <c r="AC2890">
        <v>0.43020000000001302</v>
      </c>
      <c r="AD2890">
        <v>-0.2396578</v>
      </c>
      <c r="AE2890">
        <v>1.9000000000005401E-2</v>
      </c>
      <c r="AF2890">
        <v>-1.0408032685422701E-2</v>
      </c>
      <c r="AG2890">
        <v>-0.2396578</v>
      </c>
      <c r="AH2890">
        <v>0.32861777652887297</v>
      </c>
      <c r="AI2890">
        <v>126.089239952634</v>
      </c>
      <c r="AJ2890">
        <v>91.814074308779396</v>
      </c>
      <c r="AK2890">
        <v>0.40685849050499301</v>
      </c>
      <c r="AL2890">
        <v>69.167276677583303</v>
      </c>
      <c r="AM2890">
        <v>95.264099172783602</v>
      </c>
      <c r="AN2890">
        <v>0.99999996854024897</v>
      </c>
    </row>
    <row r="2891" spans="1:40" x14ac:dyDescent="0.25">
      <c r="A2891" t="str">
        <f>"20190304164659331"</f>
        <v>20190304164659331</v>
      </c>
      <c r="B2891" t="str">
        <f>"1551689219321731"</f>
        <v>1551689219321731</v>
      </c>
      <c r="C2891" t="s">
        <v>40</v>
      </c>
      <c r="D2891">
        <v>4.3972069999999999</v>
      </c>
      <c r="E2891">
        <v>0.54444429999999999</v>
      </c>
      <c r="F2891" t="s">
        <v>41</v>
      </c>
      <c r="G2891">
        <v>-322.1893</v>
      </c>
      <c r="H2891">
        <v>0.87916240000000001</v>
      </c>
      <c r="I2891">
        <v>214.1653</v>
      </c>
      <c r="J2891">
        <v>-322.59550000000002</v>
      </c>
      <c r="K2891">
        <v>1.110776</v>
      </c>
      <c r="L2891">
        <v>214.1464</v>
      </c>
      <c r="M2891">
        <v>0.99981960000000003</v>
      </c>
      <c r="N2891">
        <v>-1.447567E-2</v>
      </c>
      <c r="O2891">
        <v>1.230157E-2</v>
      </c>
      <c r="P2891">
        <v>0.93489370000000005</v>
      </c>
      <c r="Q2891">
        <v>0.34114889999999998</v>
      </c>
      <c r="R2891">
        <v>9.7936930000000005E-2</v>
      </c>
      <c r="S2891">
        <v>3.6212770000000001</v>
      </c>
      <c r="T2891">
        <v>-1.156002</v>
      </c>
      <c r="U2891">
        <v>0.1133575</v>
      </c>
      <c r="V2891">
        <v>-8.6280350000000006E-2</v>
      </c>
      <c r="W2891">
        <v>0.35469850000000003</v>
      </c>
      <c r="X2891">
        <v>0.93099120000000002</v>
      </c>
      <c r="Y2891">
        <v>-1.85787E-2</v>
      </c>
      <c r="Z2891">
        <v>-6.2592979999999995E-4</v>
      </c>
      <c r="AA2891">
        <v>0.99982720000000003</v>
      </c>
      <c r="AB2891">
        <v>33</v>
      </c>
      <c r="AC2891">
        <v>0.406200000000012</v>
      </c>
      <c r="AD2891">
        <v>-0.2316136</v>
      </c>
      <c r="AE2891">
        <v>1.8900000000002099E-2</v>
      </c>
      <c r="AF2891">
        <v>-1.0496018705409799E-2</v>
      </c>
      <c r="AG2891">
        <v>-0.2316136</v>
      </c>
      <c r="AH2891">
        <v>0.30685239429184602</v>
      </c>
      <c r="AI2891">
        <v>127.02956659220401</v>
      </c>
      <c r="AJ2891">
        <v>91.959063085800594</v>
      </c>
      <c r="AK2891">
        <v>0.384595135169782</v>
      </c>
      <c r="AL2891">
        <v>69.225032060603098</v>
      </c>
      <c r="AM2891">
        <v>95.294807817396702</v>
      </c>
      <c r="AN2891">
        <v>0.99999996958790505</v>
      </c>
    </row>
    <row r="2892" spans="1:40" x14ac:dyDescent="0.25">
      <c r="A2892" t="str">
        <f>"20190304164659352"</f>
        <v>20190304164659352</v>
      </c>
      <c r="B2892" t="str">
        <f>"1551689219341251"</f>
        <v>1551689219341251</v>
      </c>
      <c r="C2892" t="s">
        <v>40</v>
      </c>
      <c r="D2892">
        <v>4.3569519999999997</v>
      </c>
      <c r="E2892">
        <v>0.54473009999999999</v>
      </c>
      <c r="F2892" t="s">
        <v>41</v>
      </c>
      <c r="G2892">
        <v>-321.89460000000003</v>
      </c>
      <c r="H2892">
        <v>0.88670059999999995</v>
      </c>
      <c r="I2892">
        <v>214.1679</v>
      </c>
      <c r="J2892">
        <v>-322.28570000000002</v>
      </c>
      <c r="K2892">
        <v>1.1107800000000001</v>
      </c>
      <c r="L2892">
        <v>214.15010000000001</v>
      </c>
      <c r="M2892">
        <v>0.99982170000000004</v>
      </c>
      <c r="N2892">
        <v>-1.447245E-2</v>
      </c>
      <c r="O2892">
        <v>1.213495E-2</v>
      </c>
      <c r="P2892">
        <v>0.93472359999999999</v>
      </c>
      <c r="Q2892">
        <v>0.34152259999999901</v>
      </c>
      <c r="R2892">
        <v>9.8256720000000006E-2</v>
      </c>
      <c r="S2892">
        <v>3.619415</v>
      </c>
      <c r="T2892">
        <v>-1.157106</v>
      </c>
      <c r="U2892">
        <v>0.1121979</v>
      </c>
      <c r="V2892">
        <v>-8.6758349999999998E-2</v>
      </c>
      <c r="W2892">
        <v>0.35506720000000003</v>
      </c>
      <c r="X2892">
        <v>0.93080629999999998</v>
      </c>
      <c r="Y2892">
        <v>-1.8440020000000001E-2</v>
      </c>
      <c r="Z2892">
        <v>-6.0037800000000004E-4</v>
      </c>
      <c r="AA2892">
        <v>0.99982979999999999</v>
      </c>
      <c r="AB2892">
        <v>33</v>
      </c>
      <c r="AC2892">
        <v>0.39109999999999401</v>
      </c>
      <c r="AD2892">
        <v>-0.22407939999999901</v>
      </c>
      <c r="AE2892">
        <v>1.7799999999994001E-2</v>
      </c>
      <c r="AF2892">
        <v>-9.8315152336868293E-3</v>
      </c>
      <c r="AG2892">
        <v>-0.22407939999999901</v>
      </c>
      <c r="AH2892">
        <v>0.29473516628921498</v>
      </c>
      <c r="AI2892">
        <v>127.22942547129</v>
      </c>
      <c r="AJ2892">
        <v>91.910513585875904</v>
      </c>
      <c r="AK2892">
        <v>0.37037420866426601</v>
      </c>
      <c r="AL2892">
        <v>69.2024380754643</v>
      </c>
      <c r="AM2892">
        <v>95.325024876710302</v>
      </c>
      <c r="AN2892">
        <v>1.0000000479651201</v>
      </c>
    </row>
    <row r="2893" spans="1:40" x14ac:dyDescent="0.25">
      <c r="A2893" t="str">
        <f>"20190304164659378"</f>
        <v>20190304164659378</v>
      </c>
      <c r="B2893" t="str">
        <f>"1551689219371508"</f>
        <v>1551689219371508</v>
      </c>
      <c r="C2893" t="s">
        <v>40</v>
      </c>
      <c r="D2893">
        <v>4.351674</v>
      </c>
      <c r="E2893">
        <v>0.544803699999999</v>
      </c>
      <c r="F2893" t="s">
        <v>41</v>
      </c>
      <c r="G2893">
        <v>-321.6003</v>
      </c>
      <c r="H2893">
        <v>0.89394079999999998</v>
      </c>
      <c r="I2893">
        <v>214.17089999999999</v>
      </c>
      <c r="J2893">
        <v>-321.92590000000001</v>
      </c>
      <c r="K2893">
        <v>1.1107830000000001</v>
      </c>
      <c r="L2893">
        <v>214.1542</v>
      </c>
      <c r="M2893">
        <v>0.99982400000000005</v>
      </c>
      <c r="N2893">
        <v>-1.446866E-2</v>
      </c>
      <c r="O2893">
        <v>1.1940930000000001E-2</v>
      </c>
      <c r="P2893">
        <v>0.93498859999999995</v>
      </c>
      <c r="Q2893">
        <v>0.34086699999999998</v>
      </c>
      <c r="R2893">
        <v>9.8008899999999996E-2</v>
      </c>
      <c r="S2893">
        <v>3.6159059999999998</v>
      </c>
      <c r="T2893">
        <v>-1.1439459999999999</v>
      </c>
      <c r="U2893">
        <v>0.10968020000000001</v>
      </c>
      <c r="V2893">
        <v>-8.6689509999999997E-2</v>
      </c>
      <c r="W2893">
        <v>0.3544118</v>
      </c>
      <c r="X2893">
        <v>0.93106239999999996</v>
      </c>
      <c r="Y2893">
        <v>-1.7990349999999999E-2</v>
      </c>
      <c r="Z2893">
        <v>-6.0703229999999996E-4</v>
      </c>
      <c r="AA2893">
        <v>0.999838</v>
      </c>
      <c r="AB2893">
        <v>33</v>
      </c>
      <c r="AC2893">
        <v>0.32560000000000799</v>
      </c>
      <c r="AD2893">
        <v>-0.21684220000000001</v>
      </c>
      <c r="AE2893">
        <v>1.66999999999859E-2</v>
      </c>
      <c r="AF2893">
        <v>-8.8815671676894508E-3</v>
      </c>
      <c r="AG2893">
        <v>-0.21684220000000001</v>
      </c>
      <c r="AH2893">
        <v>0.22586300114154001</v>
      </c>
      <c r="AI2893">
        <v>133.810558634892</v>
      </c>
      <c r="AJ2893">
        <v>92.251870672578505</v>
      </c>
      <c r="AK2893">
        <v>0.31323077310643899</v>
      </c>
      <c r="AL2893">
        <v>69.242600592964806</v>
      </c>
      <c r="AM2893">
        <v>95.319368737984504</v>
      </c>
      <c r="AN2893">
        <v>0.99999999390852001</v>
      </c>
    </row>
    <row r="2894" spans="1:40" x14ac:dyDescent="0.25">
      <c r="A2894" t="str">
        <f>"20190304164659400"</f>
        <v>20190304164659400</v>
      </c>
      <c r="B2894" t="str">
        <f>"1551689219392004"</f>
        <v>1551689219392004</v>
      </c>
      <c r="C2894" t="s">
        <v>40</v>
      </c>
      <c r="D2894">
        <v>4.3771519999999997</v>
      </c>
      <c r="E2894">
        <v>0.54471119999999995</v>
      </c>
      <c r="F2894" t="s">
        <v>41</v>
      </c>
      <c r="G2894">
        <v>-321.04579999999999</v>
      </c>
      <c r="H2894">
        <v>0.832491599999999</v>
      </c>
      <c r="I2894">
        <v>214.18010000000001</v>
      </c>
      <c r="J2894">
        <v>-321.59699999999998</v>
      </c>
      <c r="K2894">
        <v>1.1107860000000001</v>
      </c>
      <c r="L2894">
        <v>214.15799999999999</v>
      </c>
      <c r="M2894">
        <v>0.99982629999999995</v>
      </c>
      <c r="N2894">
        <v>-1.4465240000000001E-2</v>
      </c>
      <c r="O2894">
        <v>1.176352E-2</v>
      </c>
      <c r="P2894">
        <v>0.93512360000000005</v>
      </c>
      <c r="Q2894">
        <v>0.34039589999999997</v>
      </c>
      <c r="R2894">
        <v>9.8360089999999997E-2</v>
      </c>
      <c r="S2894">
        <v>3.6140140000000001</v>
      </c>
      <c r="T2894">
        <v>-1.1427689999999999</v>
      </c>
      <c r="U2894">
        <v>0.1066742</v>
      </c>
      <c r="V2894">
        <v>-8.7205660000000004E-2</v>
      </c>
      <c r="W2894">
        <v>0.35393909999999901</v>
      </c>
      <c r="X2894">
        <v>0.93119399999999997</v>
      </c>
      <c r="Y2894">
        <v>-1.7376570000000001E-2</v>
      </c>
      <c r="Z2894">
        <v>-6.5370510000000001E-4</v>
      </c>
      <c r="AA2894">
        <v>0.99984879999999998</v>
      </c>
      <c r="AB2894">
        <v>33</v>
      </c>
      <c r="AC2894">
        <v>0.55119999999999403</v>
      </c>
      <c r="AD2894">
        <v>-0.2782944</v>
      </c>
      <c r="AE2894">
        <v>2.2100000000023101E-2</v>
      </c>
      <c r="AF2894">
        <v>-1.2446156373451299E-2</v>
      </c>
      <c r="AG2894">
        <v>-0.2782944</v>
      </c>
      <c r="AH2894">
        <v>0.43955402995463799</v>
      </c>
      <c r="AI2894">
        <v>122.32871065081299</v>
      </c>
      <c r="AJ2894">
        <v>91.621920610630696</v>
      </c>
      <c r="AK2894">
        <v>0.52039448991048698</v>
      </c>
      <c r="AL2894">
        <v>69.271561496928996</v>
      </c>
      <c r="AM2894">
        <v>95.350105190581601</v>
      </c>
      <c r="AN2894">
        <v>0.99999998964042203</v>
      </c>
    </row>
    <row r="2895" spans="1:40" x14ac:dyDescent="0.25">
      <c r="A2895" t="str">
        <f>"20190304164659421"</f>
        <v>20190304164659421</v>
      </c>
      <c r="B2895" t="str">
        <f>"1551689219411523"</f>
        <v>1551689219411523</v>
      </c>
      <c r="C2895" t="s">
        <v>40</v>
      </c>
      <c r="D2895">
        <v>4.8316549999999996</v>
      </c>
      <c r="E2895">
        <v>0.5384466</v>
      </c>
      <c r="F2895" t="s">
        <v>41</v>
      </c>
      <c r="G2895">
        <v>-320.75150000000002</v>
      </c>
      <c r="H2895">
        <v>0.84218470000000001</v>
      </c>
      <c r="I2895">
        <v>214.18270000000001</v>
      </c>
      <c r="J2895">
        <v>-321.29410000000001</v>
      </c>
      <c r="K2895">
        <v>1.1107990000000001</v>
      </c>
      <c r="L2895">
        <v>214.16139999999999</v>
      </c>
      <c r="M2895">
        <v>0.9998281</v>
      </c>
      <c r="N2895">
        <v>-1.446215E-2</v>
      </c>
      <c r="O2895">
        <v>1.160066E-2</v>
      </c>
      <c r="P2895">
        <v>0.93536609999999998</v>
      </c>
      <c r="Q2895">
        <v>0.33975369999999999</v>
      </c>
      <c r="R2895">
        <v>9.8275050000000003E-2</v>
      </c>
      <c r="S2895">
        <v>3.61496</v>
      </c>
      <c r="T2895">
        <v>-1.1484859999999999</v>
      </c>
      <c r="U2895">
        <v>0.10672</v>
      </c>
      <c r="V2895">
        <v>-8.7270920000000002E-2</v>
      </c>
      <c r="W2895">
        <v>0.35329729999999998</v>
      </c>
      <c r="X2895">
        <v>0.93143160000000003</v>
      </c>
      <c r="Y2895">
        <v>-1.7526380000000001E-2</v>
      </c>
      <c r="Z2895">
        <v>-5.8555110000000005E-4</v>
      </c>
      <c r="AA2895">
        <v>0.99984620000000002</v>
      </c>
      <c r="AB2895">
        <v>32</v>
      </c>
      <c r="AC2895">
        <v>0.54259999999999298</v>
      </c>
      <c r="AD2895">
        <v>-0.26861429999999897</v>
      </c>
      <c r="AE2895">
        <v>2.13000000000249E-2</v>
      </c>
      <c r="AF2895">
        <v>-1.2053841972211699E-2</v>
      </c>
      <c r="AG2895">
        <v>-0.26861429999999897</v>
      </c>
      <c r="AH2895">
        <v>0.436098327337265</v>
      </c>
      <c r="AI2895">
        <v>121.62117973209099</v>
      </c>
      <c r="AJ2895">
        <v>91.583263296904605</v>
      </c>
      <c r="AK2895">
        <v>0.51232869173719098</v>
      </c>
      <c r="AL2895">
        <v>69.310874363605606</v>
      </c>
      <c r="AM2895">
        <v>95.352727815477905</v>
      </c>
      <c r="AN2895">
        <v>1.0000000105717399</v>
      </c>
    </row>
    <row r="2896" spans="1:40" x14ac:dyDescent="0.25">
      <c r="A2896" t="str">
        <f>"20190304164659442"</f>
        <v>20190304164659442</v>
      </c>
      <c r="B2896" t="str">
        <f>"1551689219432019"</f>
        <v>1551689219432019</v>
      </c>
      <c r="C2896" t="s">
        <v>40</v>
      </c>
      <c r="D2896">
        <v>4.4611799999999997</v>
      </c>
      <c r="E2896">
        <v>0.53875329999999999</v>
      </c>
      <c r="F2896" t="s">
        <v>41</v>
      </c>
      <c r="G2896">
        <v>-320.47239999999999</v>
      </c>
      <c r="H2896">
        <v>0.81652519999999995</v>
      </c>
      <c r="I2896">
        <v>214.19890000000001</v>
      </c>
      <c r="J2896">
        <v>-320.98110000000003</v>
      </c>
      <c r="K2896">
        <v>1.1108009999999999</v>
      </c>
      <c r="L2896">
        <v>214.16480000000001</v>
      </c>
      <c r="M2896">
        <v>0.99983010000000005</v>
      </c>
      <c r="N2896">
        <v>-1.445899E-2</v>
      </c>
      <c r="O2896">
        <v>1.1432080000000001E-2</v>
      </c>
      <c r="P2896">
        <v>0.93524759999999996</v>
      </c>
      <c r="Q2896">
        <v>0.33992739999999999</v>
      </c>
      <c r="R2896">
        <v>9.880042E-2</v>
      </c>
      <c r="S2896">
        <v>3.6665649999999999</v>
      </c>
      <c r="T2896">
        <v>-1.313121</v>
      </c>
      <c r="U2896">
        <v>0.1682129</v>
      </c>
      <c r="V2896">
        <v>-8.7955939999999996E-2</v>
      </c>
      <c r="W2896">
        <v>0.35346670000000002</v>
      </c>
      <c r="X2896">
        <v>0.93130279999999999</v>
      </c>
      <c r="Y2896">
        <v>-3.2926980000000002E-2</v>
      </c>
      <c r="Z2896">
        <v>2.153168E-3</v>
      </c>
      <c r="AA2896">
        <v>0.99945550000000005</v>
      </c>
      <c r="AB2896">
        <v>32</v>
      </c>
      <c r="AC2896">
        <v>0.50870000000003202</v>
      </c>
      <c r="AD2896">
        <v>-0.29427579999999998</v>
      </c>
      <c r="AE2896">
        <v>3.40999999999951E-2</v>
      </c>
      <c r="AF2896">
        <v>-2.1214181169977302E-2</v>
      </c>
      <c r="AG2896">
        <v>-0.29427579999999998</v>
      </c>
      <c r="AH2896">
        <v>0.38184526424201598</v>
      </c>
      <c r="AI2896">
        <v>127.577600167489</v>
      </c>
      <c r="AJ2896">
        <v>93.179913197876999</v>
      </c>
      <c r="AK2896">
        <v>0.48254957649179098</v>
      </c>
      <c r="AL2896">
        <v>69.300497296062005</v>
      </c>
      <c r="AM2896">
        <v>95.395238008787601</v>
      </c>
      <c r="AN2896">
        <v>0.99999993033900403</v>
      </c>
    </row>
    <row r="2897" spans="1:40" x14ac:dyDescent="0.25">
      <c r="A2897" t="str">
        <f>"20190304164659465"</f>
        <v>20190304164659465</v>
      </c>
      <c r="B2897" t="str">
        <f>"1551689219461300"</f>
        <v>1551689219461300</v>
      </c>
      <c r="C2897" t="s">
        <v>40</v>
      </c>
      <c r="D2897">
        <v>4.4620449999999998</v>
      </c>
      <c r="E2897">
        <v>0.53835859999999902</v>
      </c>
      <c r="F2897" t="s">
        <v>41</v>
      </c>
      <c r="G2897">
        <v>-320.17919999999998</v>
      </c>
      <c r="H2897">
        <v>0.82541299999999995</v>
      </c>
      <c r="I2897">
        <v>214.20070000000001</v>
      </c>
      <c r="J2897">
        <v>-320.65890000000002</v>
      </c>
      <c r="K2897">
        <v>1.110806</v>
      </c>
      <c r="L2897">
        <v>214.16829999999999</v>
      </c>
      <c r="M2897">
        <v>0.99983219999999995</v>
      </c>
      <c r="N2897">
        <v>-1.4455829999999999E-2</v>
      </c>
      <c r="O2897">
        <v>1.1259079999999999E-2</v>
      </c>
      <c r="P2897">
        <v>0.93495170000000005</v>
      </c>
      <c r="Q2897">
        <v>0.3404122</v>
      </c>
      <c r="R2897">
        <v>9.992521E-2</v>
      </c>
      <c r="S2897">
        <v>3.6642459999999999</v>
      </c>
      <c r="T2897">
        <v>-1.304006</v>
      </c>
      <c r="U2897">
        <v>0.16488649999999999</v>
      </c>
      <c r="V2897">
        <v>-8.9245550000000007E-2</v>
      </c>
      <c r="W2897">
        <v>0.3539445</v>
      </c>
      <c r="X2897">
        <v>0.93099869999999996</v>
      </c>
      <c r="Y2897">
        <v>-3.2272710000000003E-2</v>
      </c>
      <c r="Z2897">
        <v>2.0821709999999998E-3</v>
      </c>
      <c r="AA2897">
        <v>0.9994769</v>
      </c>
      <c r="AB2897">
        <v>32</v>
      </c>
      <c r="AC2897">
        <v>0.47970000000003599</v>
      </c>
      <c r="AD2897">
        <v>-0.28539300000000001</v>
      </c>
      <c r="AE2897">
        <v>3.2400000000023903E-2</v>
      </c>
      <c r="AF2897">
        <v>-1.9962630125298999E-2</v>
      </c>
      <c r="AG2897">
        <v>-0.28539300000000001</v>
      </c>
      <c r="AH2897">
        <v>0.35496396302887301</v>
      </c>
      <c r="AI2897">
        <v>128.755306191241</v>
      </c>
      <c r="AJ2897">
        <v>93.218836349992699</v>
      </c>
      <c r="AK2897">
        <v>0.45590249626392998</v>
      </c>
      <c r="AL2897">
        <v>69.271231524538393</v>
      </c>
      <c r="AM2897">
        <v>95.475643071200295</v>
      </c>
      <c r="AN2897">
        <v>1.0000000283383701</v>
      </c>
    </row>
    <row r="2898" spans="1:40" x14ac:dyDescent="0.25">
      <c r="A2898" t="str">
        <f>"20190304164659487"</f>
        <v>20190304164659487</v>
      </c>
      <c r="B2898" t="str">
        <f>"1551689219481797"</f>
        <v>1551689219481797</v>
      </c>
      <c r="C2898" t="s">
        <v>40</v>
      </c>
      <c r="D2898">
        <v>4.4793909999999997</v>
      </c>
      <c r="E2898">
        <v>0.5383078</v>
      </c>
      <c r="F2898" t="s">
        <v>41</v>
      </c>
      <c r="G2898">
        <v>-319.88589999999999</v>
      </c>
      <c r="H2898">
        <v>0.83512489999999995</v>
      </c>
      <c r="I2898">
        <v>214.20359999999999</v>
      </c>
      <c r="J2898">
        <v>-320.32819999999998</v>
      </c>
      <c r="K2898">
        <v>1.110814</v>
      </c>
      <c r="L2898">
        <v>214.17189999999999</v>
      </c>
      <c r="M2898">
        <v>0.99983420000000001</v>
      </c>
      <c r="N2898">
        <v>-1.445219E-2</v>
      </c>
      <c r="O2898">
        <v>1.108163E-2</v>
      </c>
      <c r="P2898">
        <v>0.93445659999999997</v>
      </c>
      <c r="Q2898">
        <v>0.34150449999999999</v>
      </c>
      <c r="R2898">
        <v>0.10082530000000001</v>
      </c>
      <c r="S2898">
        <v>3.6668699999999999</v>
      </c>
      <c r="T2898">
        <v>-1.307793</v>
      </c>
      <c r="U2898">
        <v>0.1681976</v>
      </c>
      <c r="V2898">
        <v>-9.0317930000000005E-2</v>
      </c>
      <c r="W2898">
        <v>0.35502620000000001</v>
      </c>
      <c r="X2898">
        <v>0.93048319999999995</v>
      </c>
      <c r="Y2898">
        <v>-3.3240699999999998E-2</v>
      </c>
      <c r="Z2898">
        <v>2.3189769999999998E-3</v>
      </c>
      <c r="AA2898">
        <v>0.99944469999999996</v>
      </c>
      <c r="AB2898">
        <v>32</v>
      </c>
      <c r="AC2898">
        <v>0.44229999999998798</v>
      </c>
      <c r="AD2898">
        <v>-0.27568909999999902</v>
      </c>
      <c r="AE2898">
        <v>3.17000000000007E-2</v>
      </c>
      <c r="AF2898">
        <v>-1.93260791446223E-2</v>
      </c>
      <c r="AG2898">
        <v>-0.27568909999999902</v>
      </c>
      <c r="AH2898">
        <v>0.319232198424097</v>
      </c>
      <c r="AI2898">
        <v>130.76207236016401</v>
      </c>
      <c r="AJ2898">
        <v>93.464415515017507</v>
      </c>
      <c r="AK2898">
        <v>0.42224065851667603</v>
      </c>
      <c r="AL2898">
        <v>69.204948967066599</v>
      </c>
      <c r="AM2898">
        <v>95.544082348239698</v>
      </c>
      <c r="AN2898">
        <v>0.99999995832408095</v>
      </c>
    </row>
    <row r="2899" spans="1:40" x14ac:dyDescent="0.25">
      <c r="A2899" t="str">
        <f>"20190304164659511"</f>
        <v>20190304164659511</v>
      </c>
      <c r="B2899" t="str">
        <f>"1551689219501315"</f>
        <v>1551689219501315</v>
      </c>
      <c r="C2899" t="s">
        <v>40</v>
      </c>
      <c r="D2899">
        <v>4.4888899999999996</v>
      </c>
      <c r="E2899">
        <v>0.53823520000000002</v>
      </c>
      <c r="F2899" t="s">
        <v>41</v>
      </c>
      <c r="G2899">
        <v>-319.59120000000001</v>
      </c>
      <c r="H2899">
        <v>0.84887330000000005</v>
      </c>
      <c r="I2899">
        <v>214.20570000000001</v>
      </c>
      <c r="J2899">
        <v>-319.99869999999999</v>
      </c>
      <c r="K2899">
        <v>1.110811</v>
      </c>
      <c r="L2899">
        <v>214.17529999999999</v>
      </c>
      <c r="M2899">
        <v>0.99983630000000001</v>
      </c>
      <c r="N2899">
        <v>-1.444834E-2</v>
      </c>
      <c r="O2899">
        <v>1.0905130000000001E-2</v>
      </c>
      <c r="P2899">
        <v>0.9341431</v>
      </c>
      <c r="Q2899">
        <v>0.34224979999999999</v>
      </c>
      <c r="R2899">
        <v>0.1012036</v>
      </c>
      <c r="S2899">
        <v>3.668701</v>
      </c>
      <c r="T2899">
        <v>-1.303944</v>
      </c>
      <c r="U2899">
        <v>0.16958619999999999</v>
      </c>
      <c r="V2899">
        <v>-9.0864810000000004E-2</v>
      </c>
      <c r="W2899">
        <v>0.355763</v>
      </c>
      <c r="X2899">
        <v>0.93014850000000004</v>
      </c>
      <c r="Y2899">
        <v>-3.3739659999999998E-2</v>
      </c>
      <c r="Z2899">
        <v>2.4606889999999998E-3</v>
      </c>
      <c r="AA2899">
        <v>0.99942759999999997</v>
      </c>
      <c r="AB2899">
        <v>32</v>
      </c>
      <c r="AC2899">
        <v>0.40749999999997</v>
      </c>
      <c r="AD2899">
        <v>-0.261937699999999</v>
      </c>
      <c r="AE2899">
        <v>3.0400000000014402E-2</v>
      </c>
      <c r="AF2899">
        <v>-1.8395340910701299E-2</v>
      </c>
      <c r="AG2899">
        <v>-0.261937699999999</v>
      </c>
      <c r="AH2899">
        <v>0.28904164581826097</v>
      </c>
      <c r="AI2899">
        <v>132.12614373124299</v>
      </c>
      <c r="AJ2899">
        <v>93.641537000305206</v>
      </c>
      <c r="AK2899">
        <v>0.39050585176900898</v>
      </c>
      <c r="AL2899">
        <v>69.159785412703897</v>
      </c>
      <c r="AM2899">
        <v>95.579435328110407</v>
      </c>
      <c r="AN2899">
        <v>0.999999978958792</v>
      </c>
    </row>
    <row r="2900" spans="1:40" x14ac:dyDescent="0.25">
      <c r="A2900" t="str">
        <f>"20190304164659532"</f>
        <v>20190304164659532</v>
      </c>
      <c r="B2900" t="str">
        <f>"1551689219521408"</f>
        <v>1551689219521408</v>
      </c>
      <c r="C2900" t="s">
        <v>40</v>
      </c>
      <c r="D2900">
        <v>4.4960709999999997</v>
      </c>
      <c r="E2900">
        <v>0.53808389999999995</v>
      </c>
      <c r="F2900" t="s">
        <v>41</v>
      </c>
      <c r="G2900">
        <v>-319.29719999999998</v>
      </c>
      <c r="H2900">
        <v>0.86175800000000002</v>
      </c>
      <c r="I2900">
        <v>214.2088</v>
      </c>
      <c r="J2900">
        <v>-319.69450000000001</v>
      </c>
      <c r="K2900">
        <v>1.110811</v>
      </c>
      <c r="L2900">
        <v>214.17850000000001</v>
      </c>
      <c r="M2900">
        <v>0.99983809999999995</v>
      </c>
      <c r="N2900">
        <v>-1.4444769999999999E-2</v>
      </c>
      <c r="O2900">
        <v>1.0742399999999999E-2</v>
      </c>
      <c r="P2900">
        <v>0.93410000000000004</v>
      </c>
      <c r="Q2900">
        <v>0.34227109999999999</v>
      </c>
      <c r="R2900">
        <v>0.1015273</v>
      </c>
      <c r="S2900">
        <v>3.6699830000000002</v>
      </c>
      <c r="T2900">
        <v>-1.3030029999999999</v>
      </c>
      <c r="U2900">
        <v>0.17448429999999901</v>
      </c>
      <c r="V2900">
        <v>-9.1341829999999999E-2</v>
      </c>
      <c r="W2900">
        <v>0.35578029999999999</v>
      </c>
      <c r="X2900">
        <v>0.93009520000000001</v>
      </c>
      <c r="Y2900">
        <v>-3.5123130000000002E-2</v>
      </c>
      <c r="Z2900">
        <v>2.7606950000000001E-3</v>
      </c>
      <c r="AA2900">
        <v>0.99937920000000002</v>
      </c>
      <c r="AB2900">
        <v>32</v>
      </c>
      <c r="AC2900">
        <v>0.39730000000002902</v>
      </c>
      <c r="AD2900">
        <v>-0.249053</v>
      </c>
      <c r="AE2900">
        <v>3.0299999999982601E-2</v>
      </c>
      <c r="AF2900">
        <v>-1.8717275311709702E-2</v>
      </c>
      <c r="AG2900">
        <v>-0.249053</v>
      </c>
      <c r="AH2900">
        <v>0.28590395327351797</v>
      </c>
      <c r="AI2900">
        <v>130.99868534067801</v>
      </c>
      <c r="AJ2900">
        <v>93.745637961659099</v>
      </c>
      <c r="AK2900">
        <v>0.379629824567986</v>
      </c>
      <c r="AL2900">
        <v>69.158725620186104</v>
      </c>
      <c r="AM2900">
        <v>95.608859205566006</v>
      </c>
      <c r="AN2900">
        <v>1.00000001641943</v>
      </c>
    </row>
    <row r="2901" spans="1:40" x14ac:dyDescent="0.25">
      <c r="A2901" t="str">
        <f>"20190304164659554"</f>
        <v>20190304164659554</v>
      </c>
      <c r="B2901" t="str">
        <f>"1551689219541905"</f>
        <v>1551689219541905</v>
      </c>
      <c r="C2901" t="s">
        <v>40</v>
      </c>
      <c r="D2901">
        <v>4.8465699999999998</v>
      </c>
      <c r="E2901">
        <v>0.53794090000000006</v>
      </c>
      <c r="F2901" t="s">
        <v>41</v>
      </c>
      <c r="G2901">
        <v>-319.00720000000001</v>
      </c>
      <c r="H2901">
        <v>0.86615980000000004</v>
      </c>
      <c r="I2901">
        <v>214.2116</v>
      </c>
      <c r="J2901">
        <v>-319.37549999999999</v>
      </c>
      <c r="K2901">
        <v>1.1108100000000001</v>
      </c>
      <c r="L2901">
        <v>214.18180000000001</v>
      </c>
      <c r="M2901">
        <v>0.9998399</v>
      </c>
      <c r="N2901">
        <v>-1.444106E-2</v>
      </c>
      <c r="O2901">
        <v>1.057192E-2</v>
      </c>
      <c r="P2901">
        <v>0.93432499999999996</v>
      </c>
      <c r="Q2901">
        <v>0.34149740000000001</v>
      </c>
      <c r="R2901">
        <v>0.1020599</v>
      </c>
      <c r="S2901">
        <v>3.6711119999999999</v>
      </c>
      <c r="T2901">
        <v>-1.3066610000000001</v>
      </c>
      <c r="U2901">
        <v>0.17846679999999901</v>
      </c>
      <c r="V2901">
        <v>-9.2032039999999996E-2</v>
      </c>
      <c r="W2901">
        <v>0.35500660000000001</v>
      </c>
      <c r="X2901">
        <v>0.93032280000000001</v>
      </c>
      <c r="Y2901">
        <v>-3.6270129999999998E-2</v>
      </c>
      <c r="Z2901">
        <v>3.0290030000000002E-3</v>
      </c>
      <c r="AA2901">
        <v>0.99933740000000004</v>
      </c>
      <c r="AB2901">
        <v>32</v>
      </c>
      <c r="AC2901">
        <v>0.36829999999997598</v>
      </c>
      <c r="AD2901">
        <v>-0.24465020000000001</v>
      </c>
      <c r="AE2901">
        <v>2.97999999999944E-2</v>
      </c>
      <c r="AF2901">
        <v>-1.8009313040612498E-2</v>
      </c>
      <c r="AG2901">
        <v>-0.24465020000000001</v>
      </c>
      <c r="AH2901">
        <v>0.25625614343152298</v>
      </c>
      <c r="AI2901">
        <v>133.602207650102</v>
      </c>
      <c r="AJ2901">
        <v>94.020055184591797</v>
      </c>
      <c r="AK2901">
        <v>0.35474676427365998</v>
      </c>
      <c r="AL2901">
        <v>69.206152149731295</v>
      </c>
      <c r="AM2901">
        <v>95.649594816426799</v>
      </c>
      <c r="AN2901">
        <v>1.0000000473149699</v>
      </c>
    </row>
    <row r="2902" spans="1:40" x14ac:dyDescent="0.25">
      <c r="A2902" t="str">
        <f>"20190304164659578"</f>
        <v>20190304164659578</v>
      </c>
      <c r="B2902" t="str">
        <f>"1551689219571185"</f>
        <v>1551689219571185</v>
      </c>
      <c r="C2902" t="s">
        <v>40</v>
      </c>
      <c r="D2902">
        <v>4.5370809999999997</v>
      </c>
      <c r="E2902">
        <v>0.53793179999999996</v>
      </c>
      <c r="F2902" t="s">
        <v>41</v>
      </c>
      <c r="G2902">
        <v>-318.71559999999999</v>
      </c>
      <c r="H2902">
        <v>0.87484769999999901</v>
      </c>
      <c r="I2902">
        <v>214.2149</v>
      </c>
      <c r="J2902">
        <v>-319.0213</v>
      </c>
      <c r="K2902">
        <v>1.110803</v>
      </c>
      <c r="L2902">
        <v>214.18530000000001</v>
      </c>
      <c r="M2902">
        <v>0.99984189999999995</v>
      </c>
      <c r="N2902">
        <v>-1.443696E-2</v>
      </c>
      <c r="O2902">
        <v>1.0385E-2</v>
      </c>
      <c r="P2902">
        <v>0.93418000000000001</v>
      </c>
      <c r="Q2902">
        <v>0.34185480000000001</v>
      </c>
      <c r="R2902">
        <v>0.10219159999999999</v>
      </c>
      <c r="S2902">
        <v>3.6705019999999999</v>
      </c>
      <c r="T2902">
        <v>-1.3125770000000001</v>
      </c>
      <c r="U2902">
        <v>0.18412780000000001</v>
      </c>
      <c r="V2902">
        <v>-9.2340909999999998E-2</v>
      </c>
      <c r="W2902">
        <v>0.3553578</v>
      </c>
      <c r="X2902">
        <v>0.93015809999999999</v>
      </c>
      <c r="Y2902">
        <v>-3.7873469999999999E-2</v>
      </c>
      <c r="Z2902">
        <v>3.3923790000000001E-3</v>
      </c>
      <c r="AA2902">
        <v>0.99927679999999997</v>
      </c>
      <c r="AB2902">
        <v>32</v>
      </c>
      <c r="AC2902">
        <v>0.30570000000000103</v>
      </c>
      <c r="AD2902">
        <v>-0.23595530000000001</v>
      </c>
      <c r="AE2902">
        <v>2.9599999999987799E-2</v>
      </c>
      <c r="AF2902">
        <v>-1.6616150332955E-2</v>
      </c>
      <c r="AG2902">
        <v>-0.23595530000000001</v>
      </c>
      <c r="AH2902">
        <v>0.19242018970243999</v>
      </c>
      <c r="AI2902">
        <v>140.69867489624801</v>
      </c>
      <c r="AJ2902">
        <v>94.935445711827995</v>
      </c>
      <c r="AK2902">
        <v>0.304920529737013</v>
      </c>
      <c r="AL2902">
        <v>69.184626392490898</v>
      </c>
      <c r="AM2902">
        <v>95.669429377239794</v>
      </c>
      <c r="AN2902">
        <v>1.00000005033803</v>
      </c>
    </row>
    <row r="2903" spans="1:40" x14ac:dyDescent="0.25">
      <c r="A2903" t="str">
        <f>"20190304164659602"</f>
        <v>20190304164659602</v>
      </c>
      <c r="B2903" t="str">
        <f>"1551689219591680"</f>
        <v>1551689219591680</v>
      </c>
      <c r="C2903" t="s">
        <v>40</v>
      </c>
      <c r="D2903">
        <v>4.532591</v>
      </c>
      <c r="E2903">
        <v>0.53786330000000004</v>
      </c>
      <c r="F2903" t="s">
        <v>41</v>
      </c>
      <c r="G2903">
        <v>-318.1705</v>
      </c>
      <c r="H2903">
        <v>0.80688509999999902</v>
      </c>
      <c r="I2903">
        <v>214.22810000000001</v>
      </c>
      <c r="J2903">
        <v>-318.6893</v>
      </c>
      <c r="K2903">
        <v>1.110811</v>
      </c>
      <c r="L2903">
        <v>214.18860000000001</v>
      </c>
      <c r="M2903">
        <v>0.9998437</v>
      </c>
      <c r="N2903">
        <v>-1.443321E-2</v>
      </c>
      <c r="O2903">
        <v>1.0211980000000001E-2</v>
      </c>
      <c r="P2903">
        <v>0.93421770000000004</v>
      </c>
      <c r="Q2903">
        <v>0.34183720000000001</v>
      </c>
      <c r="R2903">
        <v>0.1019057</v>
      </c>
      <c r="S2903">
        <v>3.670776</v>
      </c>
      <c r="T2903">
        <v>-1.3110459999999999</v>
      </c>
      <c r="U2903">
        <v>0.18586730000000001</v>
      </c>
      <c r="V2903">
        <v>-9.2218419999999995E-2</v>
      </c>
      <c r="W2903">
        <v>0.3553364</v>
      </c>
      <c r="X2903">
        <v>0.93017830000000001</v>
      </c>
      <c r="Y2903">
        <v>-3.8471060000000001E-2</v>
      </c>
      <c r="Z2903">
        <v>3.5541399999999999E-3</v>
      </c>
      <c r="AA2903">
        <v>0.99925339999999996</v>
      </c>
      <c r="AB2903">
        <v>32</v>
      </c>
      <c r="AC2903">
        <v>0.51879999999999804</v>
      </c>
      <c r="AD2903">
        <v>-0.30392590000000003</v>
      </c>
      <c r="AE2903">
        <v>3.9500000000003803E-2</v>
      </c>
      <c r="AF2903">
        <v>-2.5498873137754698E-2</v>
      </c>
      <c r="AG2903">
        <v>-0.30392590000000003</v>
      </c>
      <c r="AH2903">
        <v>0.38709471833220599</v>
      </c>
      <c r="AI2903">
        <v>128.07685880183601</v>
      </c>
      <c r="AJ2903">
        <v>93.768767903448094</v>
      </c>
      <c r="AK2903">
        <v>0.492811795904679</v>
      </c>
      <c r="AL2903">
        <v>69.185935555540695</v>
      </c>
      <c r="AM2903">
        <v>95.661835631516297</v>
      </c>
      <c r="AN2903">
        <v>0.999999931971571</v>
      </c>
    </row>
    <row r="2904" spans="1:40" x14ac:dyDescent="0.25">
      <c r="A2904" t="str">
        <f>"20190304164659622"</f>
        <v>20190304164659622</v>
      </c>
      <c r="B2904" t="str">
        <f>"1551689219611201"</f>
        <v>1551689219611201</v>
      </c>
      <c r="C2904" t="s">
        <v>40</v>
      </c>
      <c r="D2904">
        <v>4.5352240000000004</v>
      </c>
      <c r="E2904">
        <v>0.53774330000000004</v>
      </c>
      <c r="F2904" t="s">
        <v>41</v>
      </c>
      <c r="G2904">
        <v>-317.87779999999998</v>
      </c>
      <c r="H2904">
        <v>0.82078490000000004</v>
      </c>
      <c r="I2904">
        <v>214.22919999999999</v>
      </c>
      <c r="J2904">
        <v>-318.39839999999998</v>
      </c>
      <c r="K2904">
        <v>1.1108169999999999</v>
      </c>
      <c r="L2904">
        <v>214.19139999999999</v>
      </c>
      <c r="M2904">
        <v>0.9998454</v>
      </c>
      <c r="N2904">
        <v>-1.443007E-2</v>
      </c>
      <c r="O2904">
        <v>1.0062750000000001E-2</v>
      </c>
      <c r="P2904">
        <v>0.93418749999999995</v>
      </c>
      <c r="Q2904">
        <v>0.3421149</v>
      </c>
      <c r="R2904">
        <v>0.1012488</v>
      </c>
      <c r="S2904">
        <v>3.6712039999999999</v>
      </c>
      <c r="T2904">
        <v>-1.312073</v>
      </c>
      <c r="U2904">
        <v>0.1849518</v>
      </c>
      <c r="V2904">
        <v>-9.1703439999999997E-2</v>
      </c>
      <c r="W2904">
        <v>0.35560960000000003</v>
      </c>
      <c r="X2904">
        <v>0.93012490000000003</v>
      </c>
      <c r="Y2904">
        <v>-3.8361939999999997E-2</v>
      </c>
      <c r="Z2904">
        <v>3.585923E-3</v>
      </c>
      <c r="AA2904">
        <v>0.99925750000000002</v>
      </c>
      <c r="AB2904">
        <v>32</v>
      </c>
      <c r="AC2904">
        <v>0.52060000000000095</v>
      </c>
      <c r="AD2904">
        <v>-0.29003209999999902</v>
      </c>
      <c r="AE2904">
        <v>3.7800000000004198E-2</v>
      </c>
      <c r="AF2904">
        <v>-2.48779313964229E-2</v>
      </c>
      <c r="AG2904">
        <v>-0.29003209999999902</v>
      </c>
      <c r="AH2904">
        <v>0.39805612715217797</v>
      </c>
      <c r="AI2904">
        <v>126.024732198913</v>
      </c>
      <c r="AJ2904">
        <v>93.576251709816503</v>
      </c>
      <c r="AK2904">
        <v>0.49313913945697502</v>
      </c>
      <c r="AL2904">
        <v>69.169190440564293</v>
      </c>
      <c r="AM2904">
        <v>95.630742853904295</v>
      </c>
      <c r="AN2904">
        <v>1.00000001906</v>
      </c>
    </row>
    <row r="2905" spans="1:40" x14ac:dyDescent="0.25">
      <c r="A2905" t="str">
        <f>"20190304164659643"</f>
        <v>20190304164659643</v>
      </c>
      <c r="B2905" t="str">
        <f>"1551689219631282"</f>
        <v>1551689219631282</v>
      </c>
      <c r="C2905" t="s">
        <v>40</v>
      </c>
      <c r="D2905">
        <v>4.5458759999999998</v>
      </c>
      <c r="E2905">
        <v>0.5375972</v>
      </c>
      <c r="F2905" t="s">
        <v>41</v>
      </c>
      <c r="G2905">
        <v>-317.59089999999998</v>
      </c>
      <c r="H2905">
        <v>0.82206019999999902</v>
      </c>
      <c r="I2905">
        <v>214.23169999999999</v>
      </c>
      <c r="J2905">
        <v>-318.0917</v>
      </c>
      <c r="K2905">
        <v>1.1108209999999901</v>
      </c>
      <c r="L2905">
        <v>214.1943</v>
      </c>
      <c r="M2905">
        <v>0.99984680000000004</v>
      </c>
      <c r="N2905">
        <v>-1.4426670000000001E-2</v>
      </c>
      <c r="O2905">
        <v>9.9092360000000001E-3</v>
      </c>
      <c r="P2905">
        <v>0.93406299999999998</v>
      </c>
      <c r="Q2905">
        <v>0.34275430000000001</v>
      </c>
      <c r="R2905">
        <v>0.1002276</v>
      </c>
      <c r="S2905">
        <v>3.672272</v>
      </c>
      <c r="T2905">
        <v>-1.3130869999999999</v>
      </c>
      <c r="U2905">
        <v>0.1841583</v>
      </c>
      <c r="V2905">
        <v>-9.0829279999999998E-2</v>
      </c>
      <c r="W2905">
        <v>0.35624280000000003</v>
      </c>
      <c r="X2905">
        <v>0.92996840000000003</v>
      </c>
      <c r="Y2905">
        <v>-3.8280210000000002E-2</v>
      </c>
      <c r="Z2905">
        <v>3.6235490000000002E-3</v>
      </c>
      <c r="AA2905">
        <v>0.9992605</v>
      </c>
      <c r="AB2905">
        <v>32</v>
      </c>
      <c r="AC2905">
        <v>0.500800000000026</v>
      </c>
      <c r="AD2905">
        <v>-0.28876079999999898</v>
      </c>
      <c r="AE2905">
        <v>3.7399999999991003E-2</v>
      </c>
      <c r="AF2905">
        <v>-2.4375884969040199E-2</v>
      </c>
      <c r="AG2905">
        <v>-0.28876079999999898</v>
      </c>
      <c r="AH2905">
        <v>0.376625260400335</v>
      </c>
      <c r="AI2905">
        <v>127.419785993678</v>
      </c>
      <c r="AJ2905">
        <v>93.703124122468097</v>
      </c>
      <c r="AK2905">
        <v>0.47520897524803102</v>
      </c>
      <c r="AL2905">
        <v>69.130369305925001</v>
      </c>
      <c r="AM2905">
        <v>95.578340708293396</v>
      </c>
      <c r="AN2905">
        <v>1.0000000578278501</v>
      </c>
    </row>
    <row r="2906" spans="1:40" x14ac:dyDescent="0.25">
      <c r="A2906" t="str">
        <f>"20190304164659668"</f>
        <v>20190304164659668</v>
      </c>
      <c r="B2906" t="str">
        <f>"1551689219661538"</f>
        <v>1551689219661538</v>
      </c>
      <c r="C2906" t="s">
        <v>40</v>
      </c>
      <c r="D2906">
        <v>4.5403149999999997</v>
      </c>
      <c r="E2906">
        <v>0.53741839999999996</v>
      </c>
      <c r="F2906" t="s">
        <v>41</v>
      </c>
      <c r="G2906">
        <v>-317.30200000000002</v>
      </c>
      <c r="H2906">
        <v>0.82861240000000003</v>
      </c>
      <c r="I2906">
        <v>214.233</v>
      </c>
      <c r="J2906">
        <v>-317.74720000000002</v>
      </c>
      <c r="K2906">
        <v>1.1108290000000001</v>
      </c>
      <c r="L2906">
        <v>214.19749999999999</v>
      </c>
      <c r="M2906">
        <v>0.99984870000000003</v>
      </c>
      <c r="N2906">
        <v>-1.4422799999999901E-2</v>
      </c>
      <c r="O2906">
        <v>9.7425749999999998E-3</v>
      </c>
      <c r="P2906">
        <v>0.93351839999999997</v>
      </c>
      <c r="Q2906">
        <v>0.344445</v>
      </c>
      <c r="R2906">
        <v>9.9507059999999994E-2</v>
      </c>
      <c r="S2906">
        <v>3.6741030000000001</v>
      </c>
      <c r="T2906">
        <v>-1.312959</v>
      </c>
      <c r="U2906">
        <v>0.18138119999999999</v>
      </c>
      <c r="V2906">
        <v>-9.0273309999999996E-2</v>
      </c>
      <c r="W2906">
        <v>0.35791980000000001</v>
      </c>
      <c r="X2906">
        <v>0.92937840000000005</v>
      </c>
      <c r="Y2906">
        <v>-3.7698479999999999E-2</v>
      </c>
      <c r="Z2906">
        <v>3.5719900000000001E-3</v>
      </c>
      <c r="AA2906">
        <v>0.99928280000000003</v>
      </c>
      <c r="AB2906">
        <v>32</v>
      </c>
      <c r="AC2906">
        <v>0.44519999999999899</v>
      </c>
      <c r="AD2906">
        <v>-0.28221659999999998</v>
      </c>
      <c r="AE2906">
        <v>3.5500000000013097E-2</v>
      </c>
      <c r="AF2906">
        <v>-2.22685715865906E-2</v>
      </c>
      <c r="AG2906">
        <v>-0.28221659999999998</v>
      </c>
      <c r="AH2906">
        <v>0.31839057921959701</v>
      </c>
      <c r="AI2906">
        <v>131.48391242309</v>
      </c>
      <c r="AJ2906">
        <v>94.000811839883397</v>
      </c>
      <c r="AK2906">
        <v>0.42604537262110698</v>
      </c>
      <c r="AL2906">
        <v>69.027502044618601</v>
      </c>
      <c r="AM2906">
        <v>95.547906670374303</v>
      </c>
      <c r="AN2906">
        <v>1.0000000320584701</v>
      </c>
    </row>
    <row r="2907" spans="1:40" x14ac:dyDescent="0.25">
      <c r="A2907" t="str">
        <f>"20190304164659689"</f>
        <v>20190304164659689</v>
      </c>
      <c r="B2907" t="str">
        <f>"1551689219682035"</f>
        <v>1551689219682035</v>
      </c>
      <c r="C2907" t="s">
        <v>40</v>
      </c>
      <c r="D2907">
        <v>4.5641089999999904</v>
      </c>
      <c r="E2907">
        <v>0.53727950000000002</v>
      </c>
      <c r="F2907" t="s">
        <v>41</v>
      </c>
      <c r="G2907">
        <v>-317.00810000000001</v>
      </c>
      <c r="H2907">
        <v>0.84769119999999998</v>
      </c>
      <c r="I2907">
        <v>214.23390000000001</v>
      </c>
      <c r="J2907">
        <v>-317.42410000000001</v>
      </c>
      <c r="K2907">
        <v>1.1108439999999999</v>
      </c>
      <c r="L2907">
        <v>214.20050000000001</v>
      </c>
      <c r="M2907">
        <v>0.99985009999999996</v>
      </c>
      <c r="N2907">
        <v>-1.441917E-2</v>
      </c>
      <c r="O2907">
        <v>9.593028E-3</v>
      </c>
      <c r="P2907">
        <v>0.93309370000000003</v>
      </c>
      <c r="Q2907">
        <v>0.34577370000000002</v>
      </c>
      <c r="R2907">
        <v>9.8878679999999997E-2</v>
      </c>
      <c r="S2907">
        <v>3.677368</v>
      </c>
      <c r="T2907">
        <v>-1.3092469999999901</v>
      </c>
      <c r="U2907">
        <v>0.18157960000000001</v>
      </c>
      <c r="V2907">
        <v>-8.9792079999999996E-2</v>
      </c>
      <c r="W2907">
        <v>0.35923729999999998</v>
      </c>
      <c r="X2907">
        <v>0.92891650000000003</v>
      </c>
      <c r="Y2907">
        <v>-3.7852719999999999E-2</v>
      </c>
      <c r="Z2907">
        <v>3.6381149999999999E-3</v>
      </c>
      <c r="AA2907">
        <v>0.99927670000000002</v>
      </c>
      <c r="AB2907">
        <v>32</v>
      </c>
      <c r="AC2907">
        <v>0.41599999999999598</v>
      </c>
      <c r="AD2907">
        <v>-0.26315280000000002</v>
      </c>
      <c r="AE2907">
        <v>3.3400000000000298E-2</v>
      </c>
      <c r="AF2907">
        <v>-2.1041424924945699E-2</v>
      </c>
      <c r="AG2907">
        <v>-0.26315280000000002</v>
      </c>
      <c r="AH2907">
        <v>0.29787018772189999</v>
      </c>
      <c r="AI2907">
        <v>131.388178258697</v>
      </c>
      <c r="AJ2907">
        <v>94.040637853973095</v>
      </c>
      <c r="AK2907">
        <v>0.39801857550143499</v>
      </c>
      <c r="AL2907">
        <v>68.946635711254999</v>
      </c>
      <c r="AM2907">
        <v>95.521241985497298</v>
      </c>
      <c r="AN2907">
        <v>0.99999995965713195</v>
      </c>
    </row>
    <row r="2908" spans="1:40" x14ac:dyDescent="0.25">
      <c r="A2908" t="str">
        <f>"20190304164659712"</f>
        <v>20190304164659712</v>
      </c>
      <c r="B2908" t="str">
        <f>"1551689219701555"</f>
        <v>1551689219701555</v>
      </c>
      <c r="C2908" t="s">
        <v>40</v>
      </c>
      <c r="D2908">
        <v>4.5340339999999903</v>
      </c>
      <c r="E2908">
        <v>0.53716900000000001</v>
      </c>
      <c r="F2908" t="s">
        <v>41</v>
      </c>
      <c r="G2908">
        <v>-316.7174</v>
      </c>
      <c r="H2908">
        <v>0.85988819999999999</v>
      </c>
      <c r="I2908">
        <v>214.23509999999999</v>
      </c>
      <c r="J2908">
        <v>-317.10939999999999</v>
      </c>
      <c r="K2908">
        <v>1.110841</v>
      </c>
      <c r="L2908">
        <v>214.20339999999999</v>
      </c>
      <c r="M2908">
        <v>0.99985139999999995</v>
      </c>
      <c r="N2908">
        <v>-1.44157E-2</v>
      </c>
      <c r="O2908">
        <v>9.4547490000000001E-3</v>
      </c>
      <c r="P2908">
        <v>0.93336889999999995</v>
      </c>
      <c r="Q2908">
        <v>0.34510950000000001</v>
      </c>
      <c r="R2908">
        <v>9.860149E-2</v>
      </c>
      <c r="S2908">
        <v>3.6801149999999998</v>
      </c>
      <c r="T2908">
        <v>-1.306808</v>
      </c>
      <c r="U2908">
        <v>0.18156430000000001</v>
      </c>
      <c r="V2908">
        <v>-8.9646530000000002E-2</v>
      </c>
      <c r="W2908">
        <v>0.35857290000000003</v>
      </c>
      <c r="X2908">
        <v>0.92918730000000005</v>
      </c>
      <c r="Y2908">
        <v>-3.7945550000000002E-2</v>
      </c>
      <c r="Z2908">
        <v>3.692426E-3</v>
      </c>
      <c r="AA2908">
        <v>0.99927299999999997</v>
      </c>
      <c r="AB2908">
        <v>32</v>
      </c>
      <c r="AC2908">
        <v>0.39199999999999502</v>
      </c>
      <c r="AD2908">
        <v>-0.25095279999999998</v>
      </c>
      <c r="AE2908">
        <v>3.17000000000007E-2</v>
      </c>
      <c r="AF2908">
        <v>-1.9892291831015801E-2</v>
      </c>
      <c r="AG2908">
        <v>-0.25095279999999998</v>
      </c>
      <c r="AH2908">
        <v>0.27877287273076601</v>
      </c>
      <c r="AI2908">
        <v>131.921369384869</v>
      </c>
      <c r="AJ2908">
        <v>94.081515557796294</v>
      </c>
      <c r="AK2908">
        <v>0.37561592840652203</v>
      </c>
      <c r="AL2908">
        <v>68.987421930718398</v>
      </c>
      <c r="AM2908">
        <v>95.510750789096406</v>
      </c>
      <c r="AN2908">
        <v>1.0000000317183699</v>
      </c>
    </row>
    <row r="2909" spans="1:40" x14ac:dyDescent="0.25">
      <c r="A2909" t="str">
        <f>"20190304164659732"</f>
        <v>20190304164659732</v>
      </c>
      <c r="B2909" t="str">
        <f>"1551689219721839"</f>
        <v>1551689219721839</v>
      </c>
      <c r="C2909" t="s">
        <v>40</v>
      </c>
      <c r="D2909">
        <v>4.5475669999999999</v>
      </c>
      <c r="E2909">
        <v>0.53711509999999996</v>
      </c>
      <c r="F2909" t="s">
        <v>41</v>
      </c>
      <c r="G2909">
        <v>-316.42869999999999</v>
      </c>
      <c r="H2909">
        <v>0.86827350000000003</v>
      </c>
      <c r="I2909">
        <v>214.23699999999999</v>
      </c>
      <c r="J2909">
        <v>-316.81950000000001</v>
      </c>
      <c r="K2909">
        <v>1.110841</v>
      </c>
      <c r="L2909">
        <v>214.20599999999999</v>
      </c>
      <c r="M2909">
        <v>0.99985270000000004</v>
      </c>
      <c r="N2909">
        <v>-1.441254E-2</v>
      </c>
      <c r="O2909">
        <v>9.3329139999999994E-3</v>
      </c>
      <c r="P2909">
        <v>0.93367929999999999</v>
      </c>
      <c r="Q2909">
        <v>0.34416469999999999</v>
      </c>
      <c r="R2909">
        <v>9.8964209999999997E-2</v>
      </c>
      <c r="S2909">
        <v>3.6798099999999998</v>
      </c>
      <c r="T2909">
        <v>-1.3114079999999999</v>
      </c>
      <c r="U2909">
        <v>0.18203739999999999</v>
      </c>
      <c r="V2909">
        <v>-9.0124529999999994E-2</v>
      </c>
      <c r="W2909">
        <v>0.35762899999999997</v>
      </c>
      <c r="X2909">
        <v>0.92950480000000002</v>
      </c>
      <c r="Y2909">
        <v>-3.8165829999999998E-2</v>
      </c>
      <c r="Z2909">
        <v>3.7835669999999998E-3</v>
      </c>
      <c r="AA2909">
        <v>0.99926420000000005</v>
      </c>
      <c r="AB2909">
        <v>32</v>
      </c>
      <c r="AC2909">
        <v>0.39080000000001203</v>
      </c>
      <c r="AD2909">
        <v>-0.24256749999999999</v>
      </c>
      <c r="AE2909">
        <v>3.1000000000005901E-2</v>
      </c>
      <c r="AF2909">
        <v>-1.9778653603679201E-2</v>
      </c>
      <c r="AG2909">
        <v>-0.24256749999999999</v>
      </c>
      <c r="AH2909">
        <v>0.28280110497293198</v>
      </c>
      <c r="AI2909">
        <v>130.55167617240701</v>
      </c>
      <c r="AJ2909">
        <v>94.0006600710214</v>
      </c>
      <c r="AK2909">
        <v>0.373104076858637</v>
      </c>
      <c r="AL2909">
        <v>69.045345153665906</v>
      </c>
      <c r="AM2909">
        <v>95.538071515482997</v>
      </c>
      <c r="AN2909">
        <v>1.0000000528858699</v>
      </c>
    </row>
    <row r="2910" spans="1:40" x14ac:dyDescent="0.25">
      <c r="A2910" t="str">
        <f>"20190304164659756"</f>
        <v>20190304164659756</v>
      </c>
      <c r="B2910" t="str">
        <f>"1551689219751119"</f>
        <v>1551689219751119</v>
      </c>
      <c r="C2910" t="s">
        <v>40</v>
      </c>
      <c r="D2910">
        <v>4.5302410000000002</v>
      </c>
      <c r="E2910">
        <v>0.53485130000000003</v>
      </c>
      <c r="F2910" t="s">
        <v>41</v>
      </c>
      <c r="G2910">
        <v>-316.14370000000002</v>
      </c>
      <c r="H2910">
        <v>0.8690658</v>
      </c>
      <c r="I2910">
        <v>214.23939999999999</v>
      </c>
      <c r="J2910">
        <v>-316.488</v>
      </c>
      <c r="K2910">
        <v>1.1108439999999999</v>
      </c>
      <c r="L2910">
        <v>214.2089</v>
      </c>
      <c r="M2910">
        <v>0.99985400000000002</v>
      </c>
      <c r="N2910">
        <v>-1.440898E-2</v>
      </c>
      <c r="O2910">
        <v>9.1991030000000001E-3</v>
      </c>
      <c r="P2910">
        <v>0.93417119999999998</v>
      </c>
      <c r="Q2910">
        <v>0.34260649999999998</v>
      </c>
      <c r="R2910">
        <v>9.9725460000000002E-2</v>
      </c>
      <c r="S2910">
        <v>3.6788020000000001</v>
      </c>
      <c r="T2910">
        <v>-1.316195</v>
      </c>
      <c r="U2910">
        <v>0.18331910000000001</v>
      </c>
      <c r="V2910">
        <v>-9.1010740000000007E-2</v>
      </c>
      <c r="W2910">
        <v>0.35607359999999999</v>
      </c>
      <c r="X2910">
        <v>0.93001540000000005</v>
      </c>
      <c r="Y2910">
        <v>-3.8609989999999997E-2</v>
      </c>
      <c r="Z2910">
        <v>3.9207779999999998E-3</v>
      </c>
      <c r="AA2910">
        <v>0.99924669999999904</v>
      </c>
      <c r="AB2910">
        <v>32</v>
      </c>
      <c r="AC2910">
        <v>0.34429999999997501</v>
      </c>
      <c r="AD2910">
        <v>-0.241778199999999</v>
      </c>
      <c r="AE2910">
        <v>3.04999999999893E-2</v>
      </c>
      <c r="AF2910">
        <v>-1.8351797086324902E-2</v>
      </c>
      <c r="AG2910">
        <v>-0.241778199999999</v>
      </c>
      <c r="AH2910">
        <v>0.23136277074252501</v>
      </c>
      <c r="AI2910">
        <v>136.17131064664699</v>
      </c>
      <c r="AJ2910">
        <v>94.535230937686507</v>
      </c>
      <c r="AK2910">
        <v>0.33514507028627999</v>
      </c>
      <c r="AL2910">
        <v>69.140742890312893</v>
      </c>
      <c r="AM2910">
        <v>95.5891340105956</v>
      </c>
      <c r="AN2910">
        <v>1.0000000038247301</v>
      </c>
    </row>
    <row r="2911" spans="1:40" x14ac:dyDescent="0.25">
      <c r="A2911" t="str">
        <f>"20190304164659779"</f>
        <v>20190304164659779</v>
      </c>
      <c r="B2911" t="str">
        <f>"1551689219771615"</f>
        <v>1551689219771615</v>
      </c>
      <c r="C2911" t="s">
        <v>40</v>
      </c>
      <c r="D2911">
        <v>4.5188490000000003</v>
      </c>
      <c r="E2911">
        <v>0.53489319999999996</v>
      </c>
      <c r="F2911" t="s">
        <v>41</v>
      </c>
      <c r="G2911">
        <v>-315.6103</v>
      </c>
      <c r="H2911">
        <v>0.78637190000000001</v>
      </c>
      <c r="I2911">
        <v>214.25810000000001</v>
      </c>
      <c r="J2911">
        <v>-316.15750000000003</v>
      </c>
      <c r="K2911">
        <v>1.110843</v>
      </c>
      <c r="L2911">
        <v>214.21190000000001</v>
      </c>
      <c r="M2911">
        <v>0.99985500000000005</v>
      </c>
      <c r="N2911">
        <v>-1.440547E-2</v>
      </c>
      <c r="O2911">
        <v>9.0699779999999994E-3</v>
      </c>
      <c r="P2911">
        <v>0.93419589999999997</v>
      </c>
      <c r="Q2911">
        <v>0.34232000000000001</v>
      </c>
      <c r="R2911">
        <v>0.1004741</v>
      </c>
      <c r="S2911">
        <v>3.6894230000000001</v>
      </c>
      <c r="T2911">
        <v>-1.3639709999999901</v>
      </c>
      <c r="U2911">
        <v>0.2079926</v>
      </c>
      <c r="V2911">
        <v>-9.1883199999999998E-2</v>
      </c>
      <c r="W2911">
        <v>0.35578389999999999</v>
      </c>
      <c r="X2911">
        <v>0.93004050000000005</v>
      </c>
      <c r="Y2911">
        <v>-4.4708520000000002E-2</v>
      </c>
      <c r="Z2911">
        <v>5.210307E-3</v>
      </c>
      <c r="AA2911">
        <v>0.9989865</v>
      </c>
      <c r="AB2911">
        <v>32</v>
      </c>
      <c r="AC2911">
        <v>0.54720000000003199</v>
      </c>
      <c r="AD2911">
        <v>-0.32447109999999901</v>
      </c>
      <c r="AE2911">
        <v>4.6199999999998902E-2</v>
      </c>
      <c r="AF2911">
        <v>-3.0563985790957201E-2</v>
      </c>
      <c r="AG2911">
        <v>-0.32447109999999901</v>
      </c>
      <c r="AH2911">
        <v>0.40589159415842901</v>
      </c>
      <c r="AI2911">
        <v>128.55997986108301</v>
      </c>
      <c r="AJ2911">
        <v>94.306294486139805</v>
      </c>
      <c r="AK2911">
        <v>0.52054167765041703</v>
      </c>
      <c r="AL2911">
        <v>69.158504966092806</v>
      </c>
      <c r="AM2911">
        <v>95.642217952865494</v>
      </c>
      <c r="AN2911">
        <v>1.00000001879084</v>
      </c>
    </row>
    <row r="2912" spans="1:40" x14ac:dyDescent="0.25">
      <c r="A2912" t="str">
        <f>"20190304164659802"</f>
        <v>20190304164659802</v>
      </c>
      <c r="B2912" t="str">
        <f>"1551689219791136"</f>
        <v>1551689219791136</v>
      </c>
      <c r="C2912" t="s">
        <v>40</v>
      </c>
      <c r="D2912">
        <v>4.5057019999999897</v>
      </c>
      <c r="E2912">
        <v>0.5350258</v>
      </c>
      <c r="F2912" t="s">
        <v>41</v>
      </c>
      <c r="G2912">
        <v>-315.32049999999998</v>
      </c>
      <c r="H2912">
        <v>0.8012321</v>
      </c>
      <c r="I2912">
        <v>214.2594</v>
      </c>
      <c r="J2912">
        <v>-315.83260000000001</v>
      </c>
      <c r="K2912">
        <v>1.1108420000000001</v>
      </c>
      <c r="L2912">
        <v>214.21459999999999</v>
      </c>
      <c r="M2912">
        <v>0.99985639999999998</v>
      </c>
      <c r="N2912">
        <v>-1.440204E-2</v>
      </c>
      <c r="O2912">
        <v>8.9455409999999996E-3</v>
      </c>
      <c r="P2912">
        <v>0.93437119999999996</v>
      </c>
      <c r="Q2912">
        <v>0.34161059999999999</v>
      </c>
      <c r="R2912">
        <v>0.1012561</v>
      </c>
      <c r="S2912">
        <v>3.6887210000000001</v>
      </c>
      <c r="T2912">
        <v>-1.3645080000000001</v>
      </c>
      <c r="U2912">
        <v>0.21003720000000001</v>
      </c>
      <c r="V2912">
        <v>-9.2782299999999998E-2</v>
      </c>
      <c r="W2912">
        <v>0.35507339999999998</v>
      </c>
      <c r="X2912">
        <v>0.93022269999999896</v>
      </c>
      <c r="Y2912">
        <v>-4.5341739999999998E-2</v>
      </c>
      <c r="Z2912">
        <v>5.3735199999999997E-3</v>
      </c>
      <c r="AA2912">
        <v>0.99895710000000004</v>
      </c>
      <c r="AB2912">
        <v>32</v>
      </c>
      <c r="AC2912">
        <v>0.51210000000003197</v>
      </c>
      <c r="AD2912">
        <v>-0.30960989999999999</v>
      </c>
      <c r="AE2912">
        <v>4.4800000000009201E-2</v>
      </c>
      <c r="AF2912">
        <v>-2.9511415703801801E-2</v>
      </c>
      <c r="AG2912">
        <v>-0.30960989999999999</v>
      </c>
      <c r="AH2912">
        <v>0.37606296642826798</v>
      </c>
      <c r="AI2912">
        <v>129.378099681751</v>
      </c>
      <c r="AJ2912">
        <v>94.487071370374593</v>
      </c>
      <c r="AK2912">
        <v>0.48800877917685098</v>
      </c>
      <c r="AL2912">
        <v>69.202056451569902</v>
      </c>
      <c r="AM2912">
        <v>95.695958486833803</v>
      </c>
      <c r="AN2912">
        <v>0.99999997308806898</v>
      </c>
    </row>
    <row r="2913" spans="1:40" x14ac:dyDescent="0.25">
      <c r="A2913" t="str">
        <f>"20190304164659825"</f>
        <v>20190304164659825</v>
      </c>
      <c r="B2913" t="str">
        <f>"1551689219821306"</f>
        <v>1551689219821306</v>
      </c>
      <c r="C2913" t="s">
        <v>40</v>
      </c>
      <c r="D2913">
        <v>4.5316599999999996</v>
      </c>
      <c r="E2913">
        <v>0.53505059999999904</v>
      </c>
      <c r="F2913" t="s">
        <v>41</v>
      </c>
      <c r="G2913">
        <v>-315.03129999999999</v>
      </c>
      <c r="H2913">
        <v>0.81483700000000003</v>
      </c>
      <c r="I2913">
        <v>214.26009999999999</v>
      </c>
      <c r="J2913">
        <v>-315.51639999999998</v>
      </c>
      <c r="K2913">
        <v>1.1108480000000001</v>
      </c>
      <c r="L2913">
        <v>214.21729999999999</v>
      </c>
      <c r="M2913">
        <v>0.99985740000000001</v>
      </c>
      <c r="N2913">
        <v>-1.439871E-2</v>
      </c>
      <c r="O2913">
        <v>8.8260969999999998E-3</v>
      </c>
      <c r="P2913">
        <v>0.9346546</v>
      </c>
      <c r="Q2913">
        <v>0.34084609999999999</v>
      </c>
      <c r="R2913">
        <v>0.1012165</v>
      </c>
      <c r="S2913">
        <v>3.6856990000000001</v>
      </c>
      <c r="T2913">
        <v>-1.3615569999999999</v>
      </c>
      <c r="U2913">
        <v>0.21003720000000001</v>
      </c>
      <c r="V2913">
        <v>-9.2853649999999996E-2</v>
      </c>
      <c r="W2913">
        <v>0.35430970000000001</v>
      </c>
      <c r="X2913">
        <v>0.93050679999999997</v>
      </c>
      <c r="Y2913">
        <v>-4.5496200000000001E-2</v>
      </c>
      <c r="Z2913">
        <v>5.4369539999999999E-3</v>
      </c>
      <c r="AA2913">
        <v>0.99894970000000005</v>
      </c>
      <c r="AB2913">
        <v>32</v>
      </c>
      <c r="AC2913">
        <v>0.48509999999998799</v>
      </c>
      <c r="AD2913">
        <v>-0.29601100000000002</v>
      </c>
      <c r="AE2913">
        <v>4.2799999999999699E-2</v>
      </c>
      <c r="AF2913">
        <v>-2.8124893133987802E-2</v>
      </c>
      <c r="AG2913">
        <v>-0.29601100000000002</v>
      </c>
      <c r="AH2913">
        <v>0.35448530099699399</v>
      </c>
      <c r="AI2913">
        <v>129.774964963625</v>
      </c>
      <c r="AJ2913">
        <v>94.536349272343699</v>
      </c>
      <c r="AK2913">
        <v>0.46268061376907499</v>
      </c>
      <c r="AL2913">
        <v>69.248857319358294</v>
      </c>
      <c r="AM2913">
        <v>95.698580920658003</v>
      </c>
      <c r="AN2913">
        <v>1.0000000343393201</v>
      </c>
    </row>
    <row r="2914" spans="1:40" x14ac:dyDescent="0.25">
      <c r="A2914" t="str">
        <f>"20190304164659844"</f>
        <v>20190304164659844</v>
      </c>
      <c r="B2914" t="str">
        <f>"1551689219831066"</f>
        <v>1551689219831066</v>
      </c>
      <c r="C2914" t="s">
        <v>40</v>
      </c>
      <c r="D2914">
        <v>4.5826919999999998</v>
      </c>
      <c r="E2914">
        <v>0.54361510000000002</v>
      </c>
      <c r="F2914" t="s">
        <v>41</v>
      </c>
      <c r="G2914">
        <v>-314.74400000000003</v>
      </c>
      <c r="H2914">
        <v>0.8248065</v>
      </c>
      <c r="I2914">
        <v>214.26159999999999</v>
      </c>
      <c r="J2914">
        <v>-315.23009999999999</v>
      </c>
      <c r="K2914">
        <v>1.110851</v>
      </c>
      <c r="L2914">
        <v>214.21969999999999</v>
      </c>
      <c r="M2914">
        <v>0.99985829999999998</v>
      </c>
      <c r="N2914">
        <v>-1.4395720000000001E-2</v>
      </c>
      <c r="O2914">
        <v>8.7185690000000007E-3</v>
      </c>
      <c r="P2914">
        <v>0.93476570000000003</v>
      </c>
      <c r="Q2914">
        <v>0.34071269999999998</v>
      </c>
      <c r="R2914">
        <v>0.100637</v>
      </c>
      <c r="S2914">
        <v>3.6843569999999999</v>
      </c>
      <c r="T2914">
        <v>-1.364498</v>
      </c>
      <c r="U2914">
        <v>0.2118225</v>
      </c>
      <c r="V2914">
        <v>-9.2375520000000003E-2</v>
      </c>
      <c r="W2914">
        <v>0.35417419999999999</v>
      </c>
      <c r="X2914">
        <v>0.93060589999999999</v>
      </c>
      <c r="Y2914">
        <v>-4.6049890000000003E-2</v>
      </c>
      <c r="Z2914">
        <v>5.5889039999999996E-3</v>
      </c>
      <c r="AA2914">
        <v>0.99892349999999996</v>
      </c>
      <c r="AB2914">
        <v>32</v>
      </c>
      <c r="AC2914">
        <v>0.48609999999996401</v>
      </c>
      <c r="AD2914">
        <v>-0.28604449999999998</v>
      </c>
      <c r="AE2914">
        <v>4.1899999999998203E-2</v>
      </c>
      <c r="AF2914">
        <v>-2.8026636397612499E-2</v>
      </c>
      <c r="AG2914">
        <v>-0.28604449999999998</v>
      </c>
      <c r="AH2914">
        <v>0.362015827351099</v>
      </c>
      <c r="AI2914">
        <v>128.23055630835401</v>
      </c>
      <c r="AJ2914">
        <v>94.426909441298704</v>
      </c>
      <c r="AK2914">
        <v>0.462236311404367</v>
      </c>
      <c r="AL2914">
        <v>69.257157868434703</v>
      </c>
      <c r="AM2914">
        <v>95.668829147299206</v>
      </c>
      <c r="AN2914">
        <v>0.99999997087785897</v>
      </c>
    </row>
    <row r="2915" spans="1:40" x14ac:dyDescent="0.25">
      <c r="A2915" t="str">
        <f>"20190304164659869"</f>
        <v>20190304164659869</v>
      </c>
      <c r="B2915" t="str">
        <f>"1551689219861323"</f>
        <v>1551689219861323</v>
      </c>
      <c r="C2915" t="s">
        <v>40</v>
      </c>
      <c r="D2915">
        <v>4.510961</v>
      </c>
      <c r="E2915">
        <v>0.55214909999999995</v>
      </c>
      <c r="F2915" t="s">
        <v>41</v>
      </c>
      <c r="G2915">
        <v>-314.44900000000001</v>
      </c>
      <c r="H2915">
        <v>0.85443199999999997</v>
      </c>
      <c r="I2915">
        <v>214.24789999999999</v>
      </c>
      <c r="J2915">
        <v>-314.88940000000002</v>
      </c>
      <c r="K2915">
        <v>1.110854</v>
      </c>
      <c r="L2915">
        <v>214.2226</v>
      </c>
      <c r="M2915">
        <v>0.99985959999999996</v>
      </c>
      <c r="N2915">
        <v>-1.4392159999999999E-2</v>
      </c>
      <c r="O2915">
        <v>8.5917400000000005E-3</v>
      </c>
      <c r="P2915">
        <v>0.935141</v>
      </c>
      <c r="Q2915">
        <v>0.33984019999999998</v>
      </c>
      <c r="R2915">
        <v>0.1001001</v>
      </c>
      <c r="S2915">
        <v>3.6295169999999999</v>
      </c>
      <c r="T2915">
        <v>-1.191576</v>
      </c>
      <c r="U2915">
        <v>0.13174439999999901</v>
      </c>
      <c r="V2915">
        <v>-9.195615E-2</v>
      </c>
      <c r="W2915">
        <v>0.35330309999999998</v>
      </c>
      <c r="X2915">
        <v>0.93097850000000004</v>
      </c>
      <c r="Y2915">
        <v>-2.6636320000000002E-2</v>
      </c>
      <c r="Z2915">
        <v>1.8291399999999999E-3</v>
      </c>
      <c r="AA2915">
        <v>0.99964350000000002</v>
      </c>
      <c r="AB2915">
        <v>32</v>
      </c>
      <c r="AC2915">
        <v>0.44040000000001001</v>
      </c>
      <c r="AD2915">
        <v>-0.25642199999999998</v>
      </c>
      <c r="AE2915">
        <v>2.5299999999987201E-2</v>
      </c>
      <c r="AF2915">
        <v>-1.60811059744068E-2</v>
      </c>
      <c r="AG2915">
        <v>-0.25642199999999998</v>
      </c>
      <c r="AH2915">
        <v>0.32932352649947</v>
      </c>
      <c r="AI2915">
        <v>127.872415887831</v>
      </c>
      <c r="AJ2915">
        <v>92.795573803614403</v>
      </c>
      <c r="AK2915">
        <v>0.41768987198567198</v>
      </c>
      <c r="AL2915">
        <v>69.310518710302205</v>
      </c>
      <c r="AM2915">
        <v>95.641016068452501</v>
      </c>
      <c r="AN2915">
        <v>0.99999999072734103</v>
      </c>
    </row>
    <row r="2916" spans="1:40" x14ac:dyDescent="0.25">
      <c r="A2916" t="str">
        <f>"20190304164659890"</f>
        <v>20190304164659890</v>
      </c>
      <c r="B2916" t="str">
        <f>"1551689219881818"</f>
        <v>1551689219881818</v>
      </c>
      <c r="C2916" t="s">
        <v>40</v>
      </c>
      <c r="D2916">
        <v>4.4386210000000004</v>
      </c>
      <c r="E2916">
        <v>0.55069749999999995</v>
      </c>
      <c r="F2916" t="s">
        <v>41</v>
      </c>
      <c r="G2916">
        <v>-314.10210000000001</v>
      </c>
      <c r="H2916">
        <v>0.99853119999999995</v>
      </c>
      <c r="I2916">
        <v>214.2235</v>
      </c>
      <c r="J2916">
        <v>-314.57670000000002</v>
      </c>
      <c r="K2916">
        <v>1.1108559999999901</v>
      </c>
      <c r="L2916">
        <v>214.2251</v>
      </c>
      <c r="M2916">
        <v>0.99986059999999999</v>
      </c>
      <c r="N2916">
        <v>-1.438888E-2</v>
      </c>
      <c r="O2916">
        <v>8.4782119999999902E-3</v>
      </c>
      <c r="P2916">
        <v>0.9352317</v>
      </c>
      <c r="Q2916">
        <v>0.3397365</v>
      </c>
      <c r="R2916">
        <v>9.9604730000000002E-2</v>
      </c>
      <c r="S2916">
        <v>3.382965</v>
      </c>
      <c r="T2916">
        <v>-0.48274139999999999</v>
      </c>
      <c r="U2916">
        <v>5.1574709999999899E-3</v>
      </c>
      <c r="V2916">
        <v>-9.1568999999999998E-2</v>
      </c>
      <c r="W2916">
        <v>0.35319650000000002</v>
      </c>
      <c r="X2916">
        <v>0.93105709999999997</v>
      </c>
      <c r="Y2916">
        <v>6.8091590000000004E-3</v>
      </c>
      <c r="Z2916">
        <v>-1.6149039999999999E-3</v>
      </c>
      <c r="AA2916">
        <v>0.99997550000000002</v>
      </c>
      <c r="AB2916">
        <v>32</v>
      </c>
      <c r="AC2916">
        <v>0.47460000000000901</v>
      </c>
      <c r="AD2916">
        <v>-0.112324799999999</v>
      </c>
      <c r="AE2916">
        <v>-1.59999999999627E-3</v>
      </c>
      <c r="AF2916">
        <v>5.3258026173820796E-3</v>
      </c>
      <c r="AG2916">
        <v>-0.112324799999999</v>
      </c>
      <c r="AH2916">
        <v>0.44939716884358799</v>
      </c>
      <c r="AI2916">
        <v>104.032358062111</v>
      </c>
      <c r="AJ2916">
        <v>89.321019914368406</v>
      </c>
      <c r="AK2916">
        <v>0.46325267428606498</v>
      </c>
      <c r="AL2916">
        <v>69.317047254790296</v>
      </c>
      <c r="AM2916">
        <v>95.616947521784198</v>
      </c>
      <c r="AN2916">
        <v>0.99999998641682897</v>
      </c>
    </row>
    <row r="2917" spans="1:40" x14ac:dyDescent="0.25">
      <c r="A2917" t="str">
        <f>"20190304164659912"</f>
        <v>20190304164659912</v>
      </c>
      <c r="B2917" t="str">
        <f>"1551689219901338"</f>
        <v>1551689219901338</v>
      </c>
      <c r="C2917" t="s">
        <v>40</v>
      </c>
      <c r="D2917">
        <v>4.4457309999999897</v>
      </c>
      <c r="E2917">
        <v>0.55027780000000004</v>
      </c>
      <c r="F2917" t="s">
        <v>41</v>
      </c>
      <c r="G2917">
        <v>-313.81130000000002</v>
      </c>
      <c r="H2917">
        <v>1.0163740000000001</v>
      </c>
      <c r="I2917">
        <v>214.2268</v>
      </c>
      <c r="J2917">
        <v>-314.28339999999997</v>
      </c>
      <c r="K2917">
        <v>1.1108549999999999</v>
      </c>
      <c r="L2917">
        <v>214.22749999999999</v>
      </c>
      <c r="M2917">
        <v>0.99986140000000001</v>
      </c>
      <c r="N2917">
        <v>-1.4385770000000001E-2</v>
      </c>
      <c r="O2917">
        <v>8.3763829999999994E-3</v>
      </c>
      <c r="P2917">
        <v>0.93533120000000003</v>
      </c>
      <c r="Q2917">
        <v>0.33970549999999999</v>
      </c>
      <c r="R2917">
        <v>9.8770869999999997E-2</v>
      </c>
      <c r="S2917">
        <v>3.3574830000000002</v>
      </c>
      <c r="T2917">
        <v>-0.41463610000000001</v>
      </c>
      <c r="U2917">
        <v>8.5296629999999998E-3</v>
      </c>
      <c r="V2917">
        <v>-9.0832780000000002E-2</v>
      </c>
      <c r="W2917">
        <v>0.35316259999999999</v>
      </c>
      <c r="X2917">
        <v>0.93114209999999997</v>
      </c>
      <c r="Y2917">
        <v>5.7384489999999996E-3</v>
      </c>
      <c r="Z2917">
        <v>-1.3048669999999999E-3</v>
      </c>
      <c r="AA2917">
        <v>0.9999827</v>
      </c>
      <c r="AB2917">
        <v>32</v>
      </c>
      <c r="AC2917">
        <v>0.472099999999954</v>
      </c>
      <c r="AD2917">
        <v>-9.4480999999999996E-2</v>
      </c>
      <c r="AE2917">
        <v>-6.9999999999481501E-4</v>
      </c>
      <c r="AF2917">
        <v>4.4756194615336404E-3</v>
      </c>
      <c r="AG2917">
        <v>-9.4480999999999996E-2</v>
      </c>
      <c r="AH2917">
        <v>0.45389821458815</v>
      </c>
      <c r="AI2917">
        <v>101.757918074485</v>
      </c>
      <c r="AJ2917">
        <v>89.435058814342995</v>
      </c>
      <c r="AK2917">
        <v>0.46364887548324202</v>
      </c>
      <c r="AL2917">
        <v>69.319123955007001</v>
      </c>
      <c r="AM2917">
        <v>95.571566839367506</v>
      </c>
      <c r="AN2917">
        <v>1.0000000131768401</v>
      </c>
    </row>
    <row r="2918" spans="1:40" x14ac:dyDescent="0.25">
      <c r="A2918" t="str">
        <f>"20190304164659933"</f>
        <v>20190304164659933</v>
      </c>
      <c r="B2918" t="str">
        <f>"1551689219931594"</f>
        <v>1551689219931594</v>
      </c>
      <c r="C2918" t="s">
        <v>40</v>
      </c>
      <c r="D2918">
        <v>4.3049019999999896</v>
      </c>
      <c r="E2918">
        <v>0.54989529999999998</v>
      </c>
      <c r="F2918" t="s">
        <v>41</v>
      </c>
      <c r="G2918">
        <v>-313.52670000000001</v>
      </c>
      <c r="H2918">
        <v>1.0224009999999999</v>
      </c>
      <c r="I2918">
        <v>214.22909999999999</v>
      </c>
      <c r="J2918">
        <v>-313.9753</v>
      </c>
      <c r="K2918">
        <v>1.1108610000000001</v>
      </c>
      <c r="L2918">
        <v>214.22989999999999</v>
      </c>
      <c r="M2918">
        <v>0.99986240000000004</v>
      </c>
      <c r="N2918">
        <v>-1.438249E-2</v>
      </c>
      <c r="O2918">
        <v>8.2761390000000001E-3</v>
      </c>
      <c r="P2918">
        <v>0.93545889999999998</v>
      </c>
      <c r="Q2918">
        <v>0.3395763</v>
      </c>
      <c r="R2918">
        <v>9.8003599999999996E-2</v>
      </c>
      <c r="S2918">
        <v>3.348846</v>
      </c>
      <c r="T2918">
        <v>-0.39147189999999998</v>
      </c>
      <c r="U2918">
        <v>7.2631839999999998E-3</v>
      </c>
      <c r="V2918">
        <v>-9.0163119999999999E-2</v>
      </c>
      <c r="W2918">
        <v>0.35303050000000002</v>
      </c>
      <c r="X2918">
        <v>0.93125720000000001</v>
      </c>
      <c r="Y2918">
        <v>6.0187959999999999E-3</v>
      </c>
      <c r="Z2918">
        <v>-1.2395279999999999E-3</v>
      </c>
      <c r="AA2918">
        <v>0.99998109999999996</v>
      </c>
      <c r="AB2918">
        <v>32</v>
      </c>
      <c r="AC2918">
        <v>0.448599999999998</v>
      </c>
      <c r="AD2918">
        <v>-8.84599999999999E-2</v>
      </c>
      <c r="AE2918">
        <v>-7.9999999999813499E-4</v>
      </c>
      <c r="AF2918">
        <v>4.3441145672505604E-3</v>
      </c>
      <c r="AG2918">
        <v>-8.84599999999999E-2</v>
      </c>
      <c r="AH2918">
        <v>0.43178824109157699</v>
      </c>
      <c r="AI2918">
        <v>101.57734970729599</v>
      </c>
      <c r="AJ2918">
        <v>89.423580798440796</v>
      </c>
      <c r="AK2918">
        <v>0.44077786704453698</v>
      </c>
      <c r="AL2918">
        <v>69.327212397573106</v>
      </c>
      <c r="AM2918">
        <v>95.530067032581599</v>
      </c>
      <c r="AN2918">
        <v>0.99999994734511</v>
      </c>
    </row>
    <row r="2919" spans="1:40" x14ac:dyDescent="0.25">
      <c r="A2919" t="str">
        <f>"20190304164659956"</f>
        <v>20190304164659956</v>
      </c>
      <c r="B2919" t="str">
        <f>"1551689219951115"</f>
        <v>1551689219951115</v>
      </c>
      <c r="C2919" t="s">
        <v>40</v>
      </c>
      <c r="D2919">
        <v>4.4838500000000003</v>
      </c>
      <c r="E2919">
        <v>0.54929849999999902</v>
      </c>
      <c r="F2919" t="s">
        <v>41</v>
      </c>
      <c r="G2919">
        <v>-313.24099999999999</v>
      </c>
      <c r="H2919">
        <v>1.031175</v>
      </c>
      <c r="I2919">
        <v>214.2313</v>
      </c>
      <c r="J2919">
        <v>-313.65249999999997</v>
      </c>
      <c r="K2919">
        <v>1.110868</v>
      </c>
      <c r="L2919">
        <v>214.23249999999999</v>
      </c>
      <c r="M2919">
        <v>0.9998631</v>
      </c>
      <c r="N2919">
        <v>-1.4379009999999999E-2</v>
      </c>
      <c r="O2919">
        <v>8.1840039999999999E-3</v>
      </c>
      <c r="P2919">
        <v>0.93542639999999999</v>
      </c>
      <c r="Q2919">
        <v>0.33987790000000001</v>
      </c>
      <c r="R2919">
        <v>9.7266080000000005E-2</v>
      </c>
      <c r="S2919">
        <v>3.3378299999999999</v>
      </c>
      <c r="T2919">
        <v>-0.36241610000000002</v>
      </c>
      <c r="U2919">
        <v>6.8817139999999997E-3</v>
      </c>
      <c r="V2919">
        <v>-8.9520080000000002E-2</v>
      </c>
      <c r="W2919">
        <v>0.35332629999999998</v>
      </c>
      <c r="X2919">
        <v>0.93120709999999995</v>
      </c>
      <c r="Y2919">
        <v>6.046699E-3</v>
      </c>
      <c r="Z2919">
        <v>-1.139534E-3</v>
      </c>
      <c r="AA2919">
        <v>0.99998100000000001</v>
      </c>
      <c r="AB2919">
        <v>32</v>
      </c>
      <c r="AC2919">
        <v>0.41149999999998899</v>
      </c>
      <c r="AD2919">
        <v>-7.9693E-2</v>
      </c>
      <c r="AE2919">
        <v>-1.1999999999829901E-3</v>
      </c>
      <c r="AF2919">
        <v>4.4028922871676701E-3</v>
      </c>
      <c r="AG2919">
        <v>-7.9693E-2</v>
      </c>
      <c r="AH2919">
        <v>0.39660158448062399</v>
      </c>
      <c r="AI2919">
        <v>101.361010814667</v>
      </c>
      <c r="AJ2919">
        <v>89.363954172556305</v>
      </c>
      <c r="AK2919">
        <v>0.40455305773412897</v>
      </c>
      <c r="AL2919">
        <v>69.309097813155006</v>
      </c>
      <c r="AM2919">
        <v>95.491162306902595</v>
      </c>
      <c r="AN2919">
        <v>0.99999999104265302</v>
      </c>
    </row>
    <row r="2920" spans="1:40" x14ac:dyDescent="0.25">
      <c r="A2920" t="str">
        <f>"20190304164659979"</f>
        <v>20190304164659979</v>
      </c>
      <c r="B2920" t="str">
        <f>"1551689219971614"</f>
        <v>1551689219971614</v>
      </c>
      <c r="C2920" t="s">
        <v>40</v>
      </c>
      <c r="D2920">
        <v>4.46854</v>
      </c>
      <c r="E2920">
        <v>0.54861879999999996</v>
      </c>
      <c r="F2920" t="s">
        <v>41</v>
      </c>
      <c r="G2920">
        <v>-312.69159999999999</v>
      </c>
      <c r="H2920">
        <v>1.0059149999999999</v>
      </c>
      <c r="I2920">
        <v>214.23509999999999</v>
      </c>
      <c r="J2920">
        <v>-313.3306</v>
      </c>
      <c r="K2920">
        <v>1.1108819999999999</v>
      </c>
      <c r="L2920">
        <v>214.23509999999999</v>
      </c>
      <c r="M2920">
        <v>0.99986399999999998</v>
      </c>
      <c r="N2920">
        <v>-1.4375539999999999E-2</v>
      </c>
      <c r="O2920">
        <v>8.1074700000000003E-3</v>
      </c>
      <c r="P2920">
        <v>0.93549289999999996</v>
      </c>
      <c r="Q2920">
        <v>0.33979690000000001</v>
      </c>
      <c r="R2920">
        <v>9.69087E-2</v>
      </c>
      <c r="S2920">
        <v>3.338562</v>
      </c>
      <c r="T2920">
        <v>-0.36474319999999999</v>
      </c>
      <c r="U2920">
        <v>1.004028E-2</v>
      </c>
      <c r="V2920">
        <v>-8.9243870000000003E-2</v>
      </c>
      <c r="W2920">
        <v>0.3532401</v>
      </c>
      <c r="X2920">
        <v>0.93126629999999999</v>
      </c>
      <c r="Y2920">
        <v>5.030741E-3</v>
      </c>
      <c r="Z2920">
        <v>-1.077134E-3</v>
      </c>
      <c r="AA2920">
        <v>0.99998679999999995</v>
      </c>
      <c r="AB2920">
        <v>31</v>
      </c>
      <c r="AC2920">
        <v>0.63900000000001</v>
      </c>
      <c r="AD2920">
        <v>-0.104967</v>
      </c>
      <c r="AE2920">
        <v>0</v>
      </c>
      <c r="AF2920">
        <v>5.0450722176250502E-3</v>
      </c>
      <c r="AG2920">
        <v>-0.104967</v>
      </c>
      <c r="AH2920">
        <v>0.62218991717557404</v>
      </c>
      <c r="AI2920">
        <v>99.575647313980497</v>
      </c>
      <c r="AJ2920">
        <v>89.535423184273796</v>
      </c>
      <c r="AK2920">
        <v>0.63100223207024297</v>
      </c>
      <c r="AL2920">
        <v>69.314376879735505</v>
      </c>
      <c r="AM2920">
        <v>95.473976779519603</v>
      </c>
      <c r="AN2920">
        <v>0.99999997904813798</v>
      </c>
    </row>
    <row r="2921" spans="1:40" x14ac:dyDescent="0.25">
      <c r="A2921" t="str">
        <f>"20190304164700003"</f>
        <v>20190304164700003</v>
      </c>
      <c r="B2921" t="str">
        <f>"1551689219991130"</f>
        <v>1551689219991130</v>
      </c>
      <c r="C2921" t="s">
        <v>40</v>
      </c>
      <c r="D2921">
        <v>4.5295969999999999</v>
      </c>
      <c r="E2921">
        <v>0.54812530000000004</v>
      </c>
      <c r="F2921" t="s">
        <v>41</v>
      </c>
      <c r="G2921">
        <v>-312.40960000000001</v>
      </c>
      <c r="H2921">
        <v>1.0092129999999999</v>
      </c>
      <c r="I2921">
        <v>214.2389</v>
      </c>
      <c r="J2921">
        <v>-313.00889999999998</v>
      </c>
      <c r="K2921">
        <v>1.1108929999999999</v>
      </c>
      <c r="L2921">
        <v>214.23759999999999</v>
      </c>
      <c r="M2921">
        <v>0.99986439999999999</v>
      </c>
      <c r="N2921">
        <v>-1.4372060000000001E-2</v>
      </c>
      <c r="O2921">
        <v>8.0453119999999902E-3</v>
      </c>
      <c r="P2921">
        <v>0.9354962</v>
      </c>
      <c r="Q2921">
        <v>0.33986349999999999</v>
      </c>
      <c r="R2921">
        <v>9.6642729999999996E-2</v>
      </c>
      <c r="S2921">
        <v>3.3393250000000001</v>
      </c>
      <c r="T2921">
        <v>-0.3687569</v>
      </c>
      <c r="U2921">
        <v>1.472473E-2</v>
      </c>
      <c r="V2921">
        <v>-8.9046739999999999E-2</v>
      </c>
      <c r="W2921">
        <v>0.35330080000000003</v>
      </c>
      <c r="X2921">
        <v>0.93126209999999998</v>
      </c>
      <c r="Y2921">
        <v>3.5751789999999999E-3</v>
      </c>
      <c r="Z2921">
        <v>-9.9297779999999998E-4</v>
      </c>
      <c r="AA2921">
        <v>0.99999309999999997</v>
      </c>
      <c r="AB2921">
        <v>31</v>
      </c>
      <c r="AC2921">
        <v>0.59929999999997097</v>
      </c>
      <c r="AD2921">
        <v>-0.10168000000000001</v>
      </c>
      <c r="AE2921">
        <v>1.3000000000147299E-3</v>
      </c>
      <c r="AF2921">
        <v>3.4235453713517701E-3</v>
      </c>
      <c r="AG2921">
        <v>-0.10168000000000001</v>
      </c>
      <c r="AH2921">
        <v>0.58252259734201595</v>
      </c>
      <c r="AI2921">
        <v>99.901123997839704</v>
      </c>
      <c r="AJ2921">
        <v>89.663270672631199</v>
      </c>
      <c r="AK2921">
        <v>0.59134010474260801</v>
      </c>
      <c r="AL2921">
        <v>69.310658435021494</v>
      </c>
      <c r="AM2921">
        <v>95.461983047010506</v>
      </c>
      <c r="AN2921">
        <v>0.99999993804083598</v>
      </c>
    </row>
    <row r="2922" spans="1:40" x14ac:dyDescent="0.25">
      <c r="A2922" t="str">
        <f>"20190304164700048"</f>
        <v>20190304164700048</v>
      </c>
      <c r="B2922" t="str">
        <f>"1551689220041414"</f>
        <v>1551689220041414</v>
      </c>
      <c r="C2922" t="s">
        <v>40</v>
      </c>
      <c r="D2922">
        <v>4.5529039999999998</v>
      </c>
      <c r="E2922">
        <v>0.54747639999999997</v>
      </c>
      <c r="F2922" t="s">
        <v>41</v>
      </c>
      <c r="G2922">
        <v>-312.12779999999998</v>
      </c>
      <c r="H2922">
        <v>1.0126040000000001</v>
      </c>
      <c r="I2922">
        <v>214.24180000000001</v>
      </c>
      <c r="J2922">
        <v>-312.37740000000002</v>
      </c>
      <c r="K2922">
        <v>1.1109340000000001</v>
      </c>
      <c r="L2922">
        <v>214.24250000000001</v>
      </c>
      <c r="M2922">
        <v>0.99986509999999995</v>
      </c>
      <c r="N2922">
        <v>-1.4365259999999999E-2</v>
      </c>
      <c r="O2922">
        <v>7.9739540000000001E-3</v>
      </c>
      <c r="P2922">
        <v>0.93541070000000004</v>
      </c>
      <c r="Q2922">
        <v>0.34020729999999999</v>
      </c>
      <c r="R2922">
        <v>9.625968E-2</v>
      </c>
      <c r="S2922">
        <v>3.340576</v>
      </c>
      <c r="T2922">
        <v>-0.37286449999999999</v>
      </c>
      <c r="U2922">
        <v>1.7303470000000001E-2</v>
      </c>
      <c r="V2922">
        <v>-8.8754269999999996E-2</v>
      </c>
      <c r="W2922">
        <v>0.35363099999999997</v>
      </c>
      <c r="X2922">
        <v>0.93116469999999996</v>
      </c>
      <c r="Y2922">
        <v>2.7383249999999998E-3</v>
      </c>
      <c r="Z2922">
        <v>-9.450951E-4</v>
      </c>
      <c r="AA2922">
        <v>0.99999579999999999</v>
      </c>
      <c r="AB2922">
        <v>31</v>
      </c>
      <c r="AC2922">
        <v>0.24960000000004301</v>
      </c>
      <c r="AD2922">
        <v>-9.8330000000000001E-2</v>
      </c>
      <c r="AE2922">
        <v>-6.9999999999481501E-4</v>
      </c>
      <c r="AF2922">
        <v>2.32902705688216E-3</v>
      </c>
      <c r="AG2922">
        <v>-9.8330000000000001E-2</v>
      </c>
      <c r="AH2922">
        <v>0.21605559542174299</v>
      </c>
      <c r="AI2922">
        <v>114.46970749795599</v>
      </c>
      <c r="AJ2922">
        <v>89.382389278181606</v>
      </c>
      <c r="AK2922">
        <v>0.23739046648944401</v>
      </c>
      <c r="AL2922">
        <v>69.290434108540495</v>
      </c>
      <c r="AM2922">
        <v>95.444717407065696</v>
      </c>
      <c r="AN2922">
        <v>0.99999995156515997</v>
      </c>
    </row>
    <row r="2923" spans="1:40" x14ac:dyDescent="0.25">
      <c r="A2923" t="str">
        <f>"20190304164700069"</f>
        <v>20190304164700069</v>
      </c>
      <c r="B2923" t="str">
        <f>"1551689220061910"</f>
        <v>1551689220061910</v>
      </c>
      <c r="C2923" t="s">
        <v>40</v>
      </c>
      <c r="D2923">
        <v>4.5096339999999904</v>
      </c>
      <c r="E2923">
        <v>0.54722139999999997</v>
      </c>
      <c r="F2923" t="s">
        <v>41</v>
      </c>
      <c r="G2923">
        <v>-311.56560000000002</v>
      </c>
      <c r="H2923">
        <v>1.0191059999999901</v>
      </c>
      <c r="I2923">
        <v>214.24690000000001</v>
      </c>
      <c r="J2923">
        <v>-312.07569999999998</v>
      </c>
      <c r="K2923">
        <v>1.1109469999999999</v>
      </c>
      <c r="L2923">
        <v>214.2449</v>
      </c>
      <c r="M2923">
        <v>0.99986520000000001</v>
      </c>
      <c r="N2923">
        <v>-1.4362E-2</v>
      </c>
      <c r="O2923">
        <v>7.9600529999999999E-3</v>
      </c>
      <c r="P2923">
        <v>0.93541370000000001</v>
      </c>
      <c r="Q2923">
        <v>0.340333</v>
      </c>
      <c r="R2923">
        <v>9.578507E-2</v>
      </c>
      <c r="S2923">
        <v>3.3426819999999999</v>
      </c>
      <c r="T2923">
        <v>-0.3783048</v>
      </c>
      <c r="U2923">
        <v>1.9622799999999999E-2</v>
      </c>
      <c r="V2923">
        <v>-8.8301969999999994E-2</v>
      </c>
      <c r="W2923">
        <v>0.35375089999999998</v>
      </c>
      <c r="X2923">
        <v>0.93116220000000005</v>
      </c>
      <c r="Y2923">
        <v>2.0372490000000001E-3</v>
      </c>
      <c r="Z2923">
        <v>-9.1357090000000003E-4</v>
      </c>
      <c r="AA2923">
        <v>0.99999749999999998</v>
      </c>
      <c r="AB2923">
        <v>31</v>
      </c>
      <c r="AC2923">
        <v>0.51009999999996503</v>
      </c>
      <c r="AD2923">
        <v>-9.1841000000000006E-2</v>
      </c>
      <c r="AE2923">
        <v>2.0000000000095402E-3</v>
      </c>
      <c r="AF2923">
        <v>1.9961969524708799E-3</v>
      </c>
      <c r="AG2923">
        <v>-9.1841000000000006E-2</v>
      </c>
      <c r="AH2923">
        <v>0.49408367178553603</v>
      </c>
      <c r="AI2923">
        <v>100.529959697549</v>
      </c>
      <c r="AJ2923">
        <v>89.768514839337101</v>
      </c>
      <c r="AK2923">
        <v>0.50255092160730397</v>
      </c>
      <c r="AL2923">
        <v>69.283090444627703</v>
      </c>
      <c r="AM2923">
        <v>95.4171505568426</v>
      </c>
      <c r="AN2923">
        <v>0.99999998993276495</v>
      </c>
    </row>
    <row r="2924" spans="1:40" x14ac:dyDescent="0.25">
      <c r="A2924" t="str">
        <f>"20190304164700091"</f>
        <v>20190304164700091</v>
      </c>
      <c r="B2924" t="str">
        <f>"1551689220081433"</f>
        <v>1551689220081433</v>
      </c>
      <c r="C2924" t="s">
        <v>40</v>
      </c>
      <c r="D2924">
        <v>4.6400139999999999</v>
      </c>
      <c r="E2924">
        <v>0.54758469999999904</v>
      </c>
      <c r="F2924" t="s">
        <v>41</v>
      </c>
      <c r="G2924">
        <v>-311.28550000000001</v>
      </c>
      <c r="H2924">
        <v>1.021328</v>
      </c>
      <c r="I2924">
        <v>214.24969999999999</v>
      </c>
      <c r="J2924">
        <v>-311.77089999999998</v>
      </c>
      <c r="K2924">
        <v>1.110959</v>
      </c>
      <c r="L2924">
        <v>214.2473</v>
      </c>
      <c r="M2924">
        <v>0.99986540000000002</v>
      </c>
      <c r="N2924">
        <v>-1.435871E-2</v>
      </c>
      <c r="O2924">
        <v>7.9542129999999999E-3</v>
      </c>
      <c r="P2924">
        <v>0.93528319999999998</v>
      </c>
      <c r="Q2924">
        <v>0.34080159999999998</v>
      </c>
      <c r="R2924">
        <v>9.5394069999999997E-2</v>
      </c>
      <c r="S2924">
        <v>3.343048</v>
      </c>
      <c r="T2924">
        <v>-0.37919969999999997</v>
      </c>
      <c r="U2924">
        <v>2.0477289999999999E-2</v>
      </c>
      <c r="V2924">
        <v>-8.7925420000000004E-2</v>
      </c>
      <c r="W2924">
        <v>0.354213</v>
      </c>
      <c r="X2924">
        <v>0.93102220000000002</v>
      </c>
      <c r="Y2924">
        <v>1.7780960000000001E-3</v>
      </c>
      <c r="Z2924">
        <v>-8.9876989999999998E-4</v>
      </c>
      <c r="AA2924">
        <v>0.99999800000000005</v>
      </c>
      <c r="AB2924">
        <v>31</v>
      </c>
      <c r="AC2924">
        <v>0.48539999999997002</v>
      </c>
      <c r="AD2924">
        <v>-8.9631000000000002E-2</v>
      </c>
      <c r="AE2924">
        <v>2.3999999999944001E-3</v>
      </c>
      <c r="AF2924">
        <v>1.4132616144292699E-3</v>
      </c>
      <c r="AG2924">
        <v>-8.9631000000000002E-2</v>
      </c>
      <c r="AH2924">
        <v>0.46939899840106603</v>
      </c>
      <c r="AI2924">
        <v>100.810357575501</v>
      </c>
      <c r="AJ2924">
        <v>89.827494985162801</v>
      </c>
      <c r="AK2924">
        <v>0.47788192387797501</v>
      </c>
      <c r="AL2924">
        <v>69.254782029702199</v>
      </c>
      <c r="AM2924">
        <v>95.394992861910794</v>
      </c>
      <c r="AN2924">
        <v>1.000000032872</v>
      </c>
    </row>
    <row r="2925" spans="1:40" x14ac:dyDescent="0.25">
      <c r="A2925" t="str">
        <f>"20190304164700112"</f>
        <v>20190304164700112</v>
      </c>
      <c r="B2925" t="str">
        <f>"1551689220101926"</f>
        <v>1551689220101926</v>
      </c>
      <c r="C2925" t="s">
        <v>40</v>
      </c>
      <c r="D2925">
        <v>4.7146030000000003</v>
      </c>
      <c r="E2925">
        <v>0.5763199</v>
      </c>
      <c r="F2925" t="s">
        <v>41</v>
      </c>
      <c r="G2925">
        <v>-311.00549999999998</v>
      </c>
      <c r="H2925">
        <v>1.0239199999999999</v>
      </c>
      <c r="I2925">
        <v>214.2508</v>
      </c>
      <c r="J2925">
        <v>-311.47800000000001</v>
      </c>
      <c r="K2925">
        <v>1.1109579999999999</v>
      </c>
      <c r="L2925">
        <v>214.24969999999999</v>
      </c>
      <c r="M2925">
        <v>0.99986549999999996</v>
      </c>
      <c r="N2925">
        <v>-1.435554E-2</v>
      </c>
      <c r="O2925">
        <v>7.9553569999999997E-3</v>
      </c>
      <c r="P2925">
        <v>0.9350929</v>
      </c>
      <c r="Q2925">
        <v>0.34132249999999997</v>
      </c>
      <c r="R2925">
        <v>9.5397549999999998E-2</v>
      </c>
      <c r="S2925">
        <v>3.3445740000000002</v>
      </c>
      <c r="T2925">
        <v>-0.3805424</v>
      </c>
      <c r="U2925">
        <v>1.6281130000000001E-2</v>
      </c>
      <c r="V2925">
        <v>-8.7934189999999995E-2</v>
      </c>
      <c r="W2925">
        <v>0.354726599999999</v>
      </c>
      <c r="X2925">
        <v>0.93082580000000004</v>
      </c>
      <c r="Y2925">
        <v>3.0271709999999999E-3</v>
      </c>
      <c r="Z2925">
        <v>-9.8180399999999997E-4</v>
      </c>
      <c r="AA2925">
        <v>0.99999490000000002</v>
      </c>
      <c r="AB2925">
        <v>31</v>
      </c>
      <c r="AC2925">
        <v>0.47250000000002501</v>
      </c>
      <c r="AD2925">
        <v>-8.7037999999999699E-2</v>
      </c>
      <c r="AE2925">
        <v>1.1000000000080899E-3</v>
      </c>
      <c r="AF2925">
        <v>2.57205229625539E-3</v>
      </c>
      <c r="AG2925">
        <v>-8.7037999999999699E-2</v>
      </c>
      <c r="AH2925">
        <v>0.45698722178967</v>
      </c>
      <c r="AI2925">
        <v>100.78326176889099</v>
      </c>
      <c r="AJ2925">
        <v>89.677526683060805</v>
      </c>
      <c r="AK2925">
        <v>0.46520914627300203</v>
      </c>
      <c r="AL2925">
        <v>69.223311309243201</v>
      </c>
      <c r="AM2925">
        <v>95.396659513744396</v>
      </c>
      <c r="AN2925">
        <v>1.0000000262320701</v>
      </c>
    </row>
    <row r="2926" spans="1:40" x14ac:dyDescent="0.25">
      <c r="A2926" t="str">
        <f>"20190304164700135"</f>
        <v>20190304164700135</v>
      </c>
      <c r="B2926" t="str">
        <f>"1551689220131713"</f>
        <v>1551689220131713</v>
      </c>
      <c r="C2926" t="s">
        <v>40</v>
      </c>
      <c r="D2926">
        <v>4.6377329999999999</v>
      </c>
      <c r="E2926">
        <v>0.58067389999999997</v>
      </c>
      <c r="F2926" t="s">
        <v>41</v>
      </c>
      <c r="G2926">
        <v>-310.72910000000002</v>
      </c>
      <c r="H2926">
        <v>1.0205679999999999</v>
      </c>
      <c r="I2926">
        <v>214.20259999999999</v>
      </c>
      <c r="J2926">
        <v>-311.16039999999998</v>
      </c>
      <c r="K2926">
        <v>1.110965</v>
      </c>
      <c r="L2926">
        <v>214.25219999999999</v>
      </c>
      <c r="M2926">
        <v>0.99986540000000002</v>
      </c>
      <c r="N2926">
        <v>-1.435211E-2</v>
      </c>
      <c r="O2926">
        <v>7.9648489999999995E-3</v>
      </c>
      <c r="P2926">
        <v>0.93505050000000001</v>
      </c>
      <c r="Q2926">
        <v>0.34167950000000002</v>
      </c>
      <c r="R2926">
        <v>9.4527940000000005E-2</v>
      </c>
      <c r="S2926">
        <v>3.3786930000000002</v>
      </c>
      <c r="T2926">
        <v>-0.4078773</v>
      </c>
      <c r="U2926">
        <v>-0.2114868</v>
      </c>
      <c r="V2926">
        <v>-8.7061079999999999E-2</v>
      </c>
      <c r="W2926">
        <v>0.35507830000000001</v>
      </c>
      <c r="X2926">
        <v>0.93077370000000004</v>
      </c>
      <c r="Y2926">
        <v>6.9809819999999995E-2</v>
      </c>
      <c r="Z2926">
        <v>-5.5412619999999999E-3</v>
      </c>
      <c r="AA2926">
        <v>0.99754489999999996</v>
      </c>
      <c r="AB2926">
        <v>31</v>
      </c>
      <c r="AC2926">
        <v>0.43129999999996399</v>
      </c>
      <c r="AD2926">
        <v>-9.0397000000000005E-2</v>
      </c>
      <c r="AE2926">
        <v>-4.9599999999998E-2</v>
      </c>
      <c r="AF2926">
        <v>5.0830253658641501E-2</v>
      </c>
      <c r="AG2926">
        <v>-9.0397000000000005E-2</v>
      </c>
      <c r="AH2926">
        <v>0.41298604762086299</v>
      </c>
      <c r="AI2926">
        <v>102.25687940409</v>
      </c>
      <c r="AJ2926">
        <v>82.983334032457506</v>
      </c>
      <c r="AK2926">
        <v>0.425808416809136</v>
      </c>
      <c r="AL2926">
        <v>69.201755754230106</v>
      </c>
      <c r="AM2926">
        <v>95.343684439274995</v>
      </c>
      <c r="AN2926">
        <v>0.99999995569667199</v>
      </c>
    </row>
    <row r="2927" spans="1:40" x14ac:dyDescent="0.25">
      <c r="A2927" t="str">
        <f>"20190304164700159"</f>
        <v>20190304164700159</v>
      </c>
      <c r="B2927" t="str">
        <f>"1551689220151233"</f>
        <v>1551689220151233</v>
      </c>
      <c r="C2927" t="s">
        <v>40</v>
      </c>
      <c r="D2927">
        <v>4.5928250000000004</v>
      </c>
      <c r="E2927">
        <v>0.5826962</v>
      </c>
      <c r="F2927" t="s">
        <v>41</v>
      </c>
      <c r="G2927">
        <v>-310.19290000000001</v>
      </c>
      <c r="H2927">
        <v>0.98054730000000001</v>
      </c>
      <c r="I2927">
        <v>214.18219999999999</v>
      </c>
      <c r="J2927">
        <v>-310.8374</v>
      </c>
      <c r="K2927">
        <v>1.110967</v>
      </c>
      <c r="L2927">
        <v>214.25479999999999</v>
      </c>
      <c r="M2927">
        <v>0.99986509999999995</v>
      </c>
      <c r="N2927">
        <v>-1.434858E-2</v>
      </c>
      <c r="O2927">
        <v>7.9845039999999999E-3</v>
      </c>
      <c r="P2927">
        <v>0.93500139999999998</v>
      </c>
      <c r="Q2927">
        <v>0.34195360000000002</v>
      </c>
      <c r="R2927">
        <v>9.4021499999999994E-2</v>
      </c>
      <c r="S2927">
        <v>3.4007260000000001</v>
      </c>
      <c r="T2927">
        <v>-0.45843840000000002</v>
      </c>
      <c r="U2927">
        <v>-0.24559020000000001</v>
      </c>
      <c r="V2927">
        <v>-8.6543889999999998E-2</v>
      </c>
      <c r="W2927">
        <v>0.35534660000000001</v>
      </c>
      <c r="X2927">
        <v>0.93071959999999998</v>
      </c>
      <c r="Y2927">
        <v>7.9145190000000004E-2</v>
      </c>
      <c r="Z2927">
        <v>-6.8314379999999996E-3</v>
      </c>
      <c r="AA2927">
        <v>0.9968397</v>
      </c>
      <c r="AB2927">
        <v>31</v>
      </c>
      <c r="AC2927">
        <v>0.64449999999999297</v>
      </c>
      <c r="AD2927">
        <v>-0.1304197</v>
      </c>
      <c r="AE2927">
        <v>-7.2599999999994197E-2</v>
      </c>
      <c r="AF2927">
        <v>7.4722764546743398E-2</v>
      </c>
      <c r="AG2927">
        <v>-0.1304197</v>
      </c>
      <c r="AH2927">
        <v>0.61887509801631602</v>
      </c>
      <c r="AI2927">
        <v>101.816817448655</v>
      </c>
      <c r="AJ2927">
        <v>83.1154528527466</v>
      </c>
      <c r="AK2927">
        <v>0.63686668670476299</v>
      </c>
      <c r="AL2927">
        <v>69.185312086873097</v>
      </c>
      <c r="AM2927">
        <v>95.312429208350807</v>
      </c>
      <c r="AN2927">
        <v>1.00000001242602</v>
      </c>
    </row>
    <row r="2928" spans="1:40" x14ac:dyDescent="0.25">
      <c r="A2928" t="str">
        <f>"20190304164700180"</f>
        <v>20190304164700180</v>
      </c>
      <c r="B2928" t="str">
        <f>"1551689220171731"</f>
        <v>1551689220171731</v>
      </c>
      <c r="C2928" t="s">
        <v>40</v>
      </c>
      <c r="D2928">
        <v>4.7458920000000004</v>
      </c>
      <c r="E2928">
        <v>0.58265699999999998</v>
      </c>
      <c r="F2928" t="s">
        <v>41</v>
      </c>
      <c r="G2928">
        <v>-309.91289999999998</v>
      </c>
      <c r="H2928">
        <v>0.9860101</v>
      </c>
      <c r="I2928">
        <v>214.18299999999999</v>
      </c>
      <c r="J2928">
        <v>-310.5308</v>
      </c>
      <c r="K2928">
        <v>1.110984</v>
      </c>
      <c r="L2928">
        <v>214.25720000000001</v>
      </c>
      <c r="M2928">
        <v>0.99986509999999995</v>
      </c>
      <c r="N2928">
        <v>-1.4345210000000001E-2</v>
      </c>
      <c r="O2928">
        <v>8.0095229999999993E-3</v>
      </c>
      <c r="P2928">
        <v>0.93501559999999995</v>
      </c>
      <c r="Q2928">
        <v>0.34206150000000002</v>
      </c>
      <c r="R2928">
        <v>9.3486890000000003E-2</v>
      </c>
      <c r="S2928">
        <v>3.4032589999999998</v>
      </c>
      <c r="T2928">
        <v>-0.46007989999999999</v>
      </c>
      <c r="U2928">
        <v>-0.26329039999999998</v>
      </c>
      <c r="V2928">
        <v>-8.5993040000000007E-2</v>
      </c>
      <c r="W2928">
        <v>0.35545009999999999</v>
      </c>
      <c r="X2928">
        <v>0.93073110000000003</v>
      </c>
      <c r="Y2928">
        <v>8.4216219999999994E-2</v>
      </c>
      <c r="Z2928">
        <v>-7.228506E-3</v>
      </c>
      <c r="AA2928">
        <v>0.99642129999999995</v>
      </c>
      <c r="AB2928">
        <v>31</v>
      </c>
      <c r="AC2928">
        <v>0.61790000000001999</v>
      </c>
      <c r="AD2928">
        <v>-0.124973899999999</v>
      </c>
      <c r="AE2928">
        <v>-7.4200000000018904E-2</v>
      </c>
      <c r="AF2928">
        <v>7.6079246421553601E-2</v>
      </c>
      <c r="AG2928">
        <v>-0.124973899999999</v>
      </c>
      <c r="AH2928">
        <v>0.59335809257864203</v>
      </c>
      <c r="AI2928">
        <v>101.80001418537999</v>
      </c>
      <c r="AJ2928">
        <v>82.693509336076403</v>
      </c>
      <c r="AK2928">
        <v>0.61113038988897095</v>
      </c>
      <c r="AL2928">
        <v>69.178967046743097</v>
      </c>
      <c r="AM2928">
        <v>95.278742485014504</v>
      </c>
      <c r="AN2928">
        <v>0.99999997851282996</v>
      </c>
    </row>
    <row r="2929" spans="1:40" x14ac:dyDescent="0.25">
      <c r="A2929" t="str">
        <f>"20190304164700202"</f>
        <v>20190304164700202</v>
      </c>
      <c r="B2929" t="str">
        <f>"1551689220191249"</f>
        <v>1551689220191249</v>
      </c>
      <c r="C2929" t="s">
        <v>40</v>
      </c>
      <c r="D2929">
        <v>4.7382070000000001</v>
      </c>
      <c r="E2929">
        <v>0.58200819999999998</v>
      </c>
      <c r="F2929" t="s">
        <v>41</v>
      </c>
      <c r="G2929">
        <v>-309.6352</v>
      </c>
      <c r="H2929">
        <v>0.98721729999999996</v>
      </c>
      <c r="I2929">
        <v>214.1876</v>
      </c>
      <c r="J2929">
        <v>-310.2217</v>
      </c>
      <c r="K2929">
        <v>1.110992</v>
      </c>
      <c r="L2929">
        <v>214.25980000000001</v>
      </c>
      <c r="M2929">
        <v>0.9998648</v>
      </c>
      <c r="N2929">
        <v>-1.434179E-2</v>
      </c>
      <c r="O2929">
        <v>8.0409119999999903E-3</v>
      </c>
      <c r="P2929">
        <v>0.93509929999999997</v>
      </c>
      <c r="Q2929">
        <v>0.34200419999999998</v>
      </c>
      <c r="R2929">
        <v>9.2858499999999997E-2</v>
      </c>
      <c r="S2929">
        <v>3.407257</v>
      </c>
      <c r="T2929">
        <v>-0.47089839999999999</v>
      </c>
      <c r="U2929">
        <v>-0.26445010000000002</v>
      </c>
      <c r="V2929">
        <v>-8.5340979999999997E-2</v>
      </c>
      <c r="W2929">
        <v>0.35538900000000001</v>
      </c>
      <c r="X2929">
        <v>0.93081440000000004</v>
      </c>
      <c r="Y2929">
        <v>8.4453050000000002E-2</v>
      </c>
      <c r="Z2929">
        <v>-7.3991999999999999E-3</v>
      </c>
      <c r="AA2929">
        <v>0.99639999999999995</v>
      </c>
      <c r="AB2929">
        <v>31</v>
      </c>
      <c r="AC2929">
        <v>0.58650000000000002</v>
      </c>
      <c r="AD2929">
        <v>-0.123774699999999</v>
      </c>
      <c r="AE2929">
        <v>-7.2200000000009298E-2</v>
      </c>
      <c r="AF2929">
        <v>7.3681528382029904E-2</v>
      </c>
      <c r="AG2929">
        <v>-0.123774699999999</v>
      </c>
      <c r="AH2929">
        <v>0.56127567043670301</v>
      </c>
      <c r="AI2929">
        <v>102.333507182601</v>
      </c>
      <c r="AJ2929">
        <v>82.521255063422203</v>
      </c>
      <c r="AK2929">
        <v>0.57946485847631202</v>
      </c>
      <c r="AL2929">
        <v>69.182711430050205</v>
      </c>
      <c r="AM2929">
        <v>95.238472670154707</v>
      </c>
      <c r="AN2929">
        <v>0.99999993571785795</v>
      </c>
    </row>
    <row r="2930" spans="1:40" x14ac:dyDescent="0.25">
      <c r="A2930" t="str">
        <f>"20190304164700228"</f>
        <v>20190304164700228</v>
      </c>
      <c r="B2930" t="str">
        <f>"1551689220222014"</f>
        <v>1551689220222014</v>
      </c>
      <c r="C2930" t="s">
        <v>40</v>
      </c>
      <c r="D2930">
        <v>4.7210089999999996</v>
      </c>
      <c r="E2930">
        <v>0.58164130000000003</v>
      </c>
      <c r="F2930" t="s">
        <v>41</v>
      </c>
      <c r="G2930">
        <v>-309.35789999999997</v>
      </c>
      <c r="H2930">
        <v>0.98843919999999996</v>
      </c>
      <c r="I2930">
        <v>214.1935</v>
      </c>
      <c r="J2930">
        <v>-309.87029999999999</v>
      </c>
      <c r="K2930">
        <v>1.1110100000000001</v>
      </c>
      <c r="L2930">
        <v>214.26259999999999</v>
      </c>
      <c r="M2930">
        <v>0.99986459999999999</v>
      </c>
      <c r="N2930">
        <v>-1.4337900000000001E-2</v>
      </c>
      <c r="O2930">
        <v>8.0833720000000001E-3</v>
      </c>
      <c r="P2930">
        <v>0.93519169999999996</v>
      </c>
      <c r="Q2930">
        <v>0.34204210000000002</v>
      </c>
      <c r="R2930">
        <v>9.1782530000000001E-2</v>
      </c>
      <c r="S2930">
        <v>3.4111940000000001</v>
      </c>
      <c r="T2930">
        <v>-0.48405280000000001</v>
      </c>
      <c r="U2930">
        <v>-0.26089479999999998</v>
      </c>
      <c r="V2930">
        <v>-8.4230579999999999E-2</v>
      </c>
      <c r="W2930">
        <v>0.35542289999999999</v>
      </c>
      <c r="X2930">
        <v>0.93090269999999997</v>
      </c>
      <c r="Y2930">
        <v>8.3337049999999996E-2</v>
      </c>
      <c r="Z2930">
        <v>-7.5010540000000001E-3</v>
      </c>
      <c r="AA2930">
        <v>0.99649319999999997</v>
      </c>
      <c r="AB2930">
        <v>31</v>
      </c>
      <c r="AC2930">
        <v>0.51240000000001296</v>
      </c>
      <c r="AD2930">
        <v>-0.12257079999999999</v>
      </c>
      <c r="AE2930">
        <v>-6.9099999999991696E-2</v>
      </c>
      <c r="AF2930">
        <v>6.9343075127642595E-2</v>
      </c>
      <c r="AG2930">
        <v>-0.12257079999999999</v>
      </c>
      <c r="AH2930">
        <v>0.48459109755852098</v>
      </c>
      <c r="AI2930">
        <v>104.057058256076</v>
      </c>
      <c r="AJ2930">
        <v>81.856483120214804</v>
      </c>
      <c r="AK2930">
        <v>0.50463907390705498</v>
      </c>
      <c r="AL2930">
        <v>69.180635546979303</v>
      </c>
      <c r="AM2930">
        <v>95.170197233070397</v>
      </c>
      <c r="AN2930">
        <v>1.0000000326594101</v>
      </c>
    </row>
    <row r="2931" spans="1:40" x14ac:dyDescent="0.25">
      <c r="A2931" t="str">
        <f>"20190304164700247"</f>
        <v>20190304164700247</v>
      </c>
      <c r="B2931" t="str">
        <f>"1551689220241534"</f>
        <v>1551689220241534</v>
      </c>
      <c r="C2931" t="s">
        <v>40</v>
      </c>
      <c r="D2931">
        <v>4.6814790000000004</v>
      </c>
      <c r="E2931">
        <v>0.58153169999999899</v>
      </c>
      <c r="F2931" t="s">
        <v>41</v>
      </c>
      <c r="G2931">
        <v>-309.07740000000001</v>
      </c>
      <c r="H2931">
        <v>0.99672229999999995</v>
      </c>
      <c r="I2931">
        <v>214.202</v>
      </c>
      <c r="J2931">
        <v>-309.59840000000003</v>
      </c>
      <c r="K2931">
        <v>1.1110199999999999</v>
      </c>
      <c r="L2931">
        <v>214.26480000000001</v>
      </c>
      <c r="M2931">
        <v>0.99986439999999999</v>
      </c>
      <c r="N2931">
        <v>-1.4334889999999999E-2</v>
      </c>
      <c r="O2931">
        <v>8.1202289999999996E-3</v>
      </c>
      <c r="P2931">
        <v>0.93518199999999996</v>
      </c>
      <c r="Q2931">
        <v>0.34239219999999998</v>
      </c>
      <c r="R2931">
        <v>9.0567159999999994E-2</v>
      </c>
      <c r="S2931">
        <v>3.4134220000000002</v>
      </c>
      <c r="T2931">
        <v>-0.49210310000000002</v>
      </c>
      <c r="U2931">
        <v>-0.26033020000000001</v>
      </c>
      <c r="V2931">
        <v>-8.2983899999999999E-2</v>
      </c>
      <c r="W2931">
        <v>0.35576960000000002</v>
      </c>
      <c r="X2931">
        <v>0.93088219999999999</v>
      </c>
      <c r="Y2931">
        <v>8.3132200000000003E-2</v>
      </c>
      <c r="Z2931">
        <v>-7.6005999999999999E-3</v>
      </c>
      <c r="AA2931">
        <v>0.9965096</v>
      </c>
      <c r="AB2931">
        <v>31</v>
      </c>
      <c r="AC2931">
        <v>0.52100000000001501</v>
      </c>
      <c r="AD2931">
        <v>-0.1142977</v>
      </c>
      <c r="AE2931">
        <v>-6.2800000000009903E-2</v>
      </c>
      <c r="AF2931">
        <v>6.3993231693778796E-2</v>
      </c>
      <c r="AG2931">
        <v>-0.1142977</v>
      </c>
      <c r="AH2931">
        <v>0.49690039002155301</v>
      </c>
      <c r="AI2931">
        <v>102.851357564758</v>
      </c>
      <c r="AJ2931">
        <v>82.661565560192003</v>
      </c>
      <c r="AK2931">
        <v>0.51387653724554805</v>
      </c>
      <c r="AL2931">
        <v>69.159381314723305</v>
      </c>
      <c r="AM2931">
        <v>95.094191391567193</v>
      </c>
      <c r="AN2931">
        <v>1.0000000031101</v>
      </c>
    </row>
    <row r="2932" spans="1:40" x14ac:dyDescent="0.25">
      <c r="A2932" t="str">
        <f>"20190304164700270"</f>
        <v>20190304164700270</v>
      </c>
      <c r="B2932" t="str">
        <f>"1551689220261053"</f>
        <v>1551689220261053</v>
      </c>
      <c r="C2932" t="s">
        <v>40</v>
      </c>
      <c r="D2932">
        <v>4.667287</v>
      </c>
      <c r="E2932">
        <v>0.58140209999999903</v>
      </c>
      <c r="F2932" t="s">
        <v>41</v>
      </c>
      <c r="G2932">
        <v>-308.80189999999999</v>
      </c>
      <c r="H2932">
        <v>0.99542710000000001</v>
      </c>
      <c r="I2932">
        <v>214.20330000000001</v>
      </c>
      <c r="J2932">
        <v>-309.2826</v>
      </c>
      <c r="K2932">
        <v>1.11102099999999</v>
      </c>
      <c r="L2932">
        <v>214.26740000000001</v>
      </c>
      <c r="M2932">
        <v>0.99986399999999998</v>
      </c>
      <c r="N2932">
        <v>-1.4331389999999999E-2</v>
      </c>
      <c r="O2932">
        <v>8.1663109999999903E-3</v>
      </c>
      <c r="P2932">
        <v>0.93518449999999997</v>
      </c>
      <c r="Q2932">
        <v>0.34264909999999998</v>
      </c>
      <c r="R2932">
        <v>8.9563100000000007E-2</v>
      </c>
      <c r="S2932">
        <v>3.414825</v>
      </c>
      <c r="T2932">
        <v>-0.49573729999999999</v>
      </c>
      <c r="U2932">
        <v>-0.262268099999999</v>
      </c>
      <c r="V2932">
        <v>-8.1938919999999998E-2</v>
      </c>
      <c r="W2932">
        <v>0.35602270000000003</v>
      </c>
      <c r="X2932">
        <v>0.93087799999999998</v>
      </c>
      <c r="Y2932">
        <v>8.3689009999999994E-2</v>
      </c>
      <c r="Z2932">
        <v>-7.699656E-3</v>
      </c>
      <c r="AA2932">
        <v>0.99646219999999996</v>
      </c>
      <c r="AB2932">
        <v>31</v>
      </c>
      <c r="AC2932">
        <v>0.48070000000001201</v>
      </c>
      <c r="AD2932">
        <v>-0.115593899999999</v>
      </c>
      <c r="AE2932">
        <v>-6.4099999999996202E-2</v>
      </c>
      <c r="AF2932">
        <v>6.4366778364234406E-2</v>
      </c>
      <c r="AG2932">
        <v>-0.115593899999999</v>
      </c>
      <c r="AH2932">
        <v>0.45434651636571699</v>
      </c>
      <c r="AI2932">
        <v>104.138797832099</v>
      </c>
      <c r="AJ2932">
        <v>81.936627504718004</v>
      </c>
      <c r="AK2932">
        <v>0.47321854233309901</v>
      </c>
      <c r="AL2932">
        <v>69.143863684759197</v>
      </c>
      <c r="AM2932">
        <v>95.030396268542205</v>
      </c>
      <c r="AN2932">
        <v>1.00000000020502</v>
      </c>
    </row>
    <row r="2933" spans="1:40" x14ac:dyDescent="0.25">
      <c r="A2933" t="str">
        <f>"20190304164700291"</f>
        <v>20190304164700291</v>
      </c>
      <c r="B2933" t="str">
        <f>"1551689220281549"</f>
        <v>1551689220281549</v>
      </c>
      <c r="C2933" t="s">
        <v>40</v>
      </c>
      <c r="D2933">
        <v>4.6553589999999998</v>
      </c>
      <c r="E2933">
        <v>0.58138919999999905</v>
      </c>
      <c r="F2933" t="s">
        <v>41</v>
      </c>
      <c r="G2933">
        <v>-308.52390000000003</v>
      </c>
      <c r="H2933">
        <v>0.99993589999999999</v>
      </c>
      <c r="I2933">
        <v>214.20910000000001</v>
      </c>
      <c r="J2933">
        <v>-308.9982</v>
      </c>
      <c r="K2933">
        <v>1.1110150000000001</v>
      </c>
      <c r="L2933">
        <v>214.2698</v>
      </c>
      <c r="M2933">
        <v>0.99986379999999997</v>
      </c>
      <c r="N2933">
        <v>-1.4328230000000001E-2</v>
      </c>
      <c r="O2933">
        <v>8.2087949999999996E-3</v>
      </c>
      <c r="P2933">
        <v>0.93539450000000002</v>
      </c>
      <c r="Q2933">
        <v>0.34213759999999999</v>
      </c>
      <c r="R2933">
        <v>8.9326039999999995E-2</v>
      </c>
      <c r="S2933">
        <v>3.416382</v>
      </c>
      <c r="T2933">
        <v>-0.50017690000000004</v>
      </c>
      <c r="U2933">
        <v>-0.26284790000000002</v>
      </c>
      <c r="V2933">
        <v>-8.1661659999999997E-2</v>
      </c>
      <c r="W2933">
        <v>0.35551110000000002</v>
      </c>
      <c r="X2933">
        <v>0.93109790000000003</v>
      </c>
      <c r="Y2933">
        <v>8.3845779999999995E-2</v>
      </c>
      <c r="Z2933">
        <v>-7.7783169999999999E-3</v>
      </c>
      <c r="AA2933">
        <v>0.99644840000000001</v>
      </c>
      <c r="AB2933">
        <v>31</v>
      </c>
      <c r="AC2933">
        <v>0.47429999999997102</v>
      </c>
      <c r="AD2933">
        <v>-0.111079099999999</v>
      </c>
      <c r="AE2933">
        <v>-6.0699999999996999E-2</v>
      </c>
      <c r="AF2933">
        <v>6.1284629653074803E-2</v>
      </c>
      <c r="AG2933">
        <v>-0.111079099999999</v>
      </c>
      <c r="AH2933">
        <v>0.449527453266024</v>
      </c>
      <c r="AI2933">
        <v>103.757495720615</v>
      </c>
      <c r="AJ2933">
        <v>82.236656962651594</v>
      </c>
      <c r="AK2933">
        <v>0.46708597016862102</v>
      </c>
      <c r="AL2933">
        <v>69.1752289808434</v>
      </c>
      <c r="AM2933">
        <v>95.012283601409095</v>
      </c>
      <c r="AN2933">
        <v>1.00000003416078</v>
      </c>
    </row>
    <row r="2934" spans="1:40" x14ac:dyDescent="0.25">
      <c r="A2934" t="str">
        <f>"20190304164700313"</f>
        <v>20190304164700313</v>
      </c>
      <c r="B2934" t="str">
        <f>"1551689220301069"</f>
        <v>1551689220301069</v>
      </c>
      <c r="C2934" t="s">
        <v>40</v>
      </c>
      <c r="D2934">
        <v>4.6459070000000002</v>
      </c>
      <c r="E2934">
        <v>0.58140519999999996</v>
      </c>
      <c r="F2934" t="s">
        <v>41</v>
      </c>
      <c r="G2934">
        <v>-308.2484</v>
      </c>
      <c r="H2934">
        <v>1.0002089999999999</v>
      </c>
      <c r="I2934">
        <v>214.21199999999999</v>
      </c>
      <c r="J2934">
        <v>-308.69349999999997</v>
      </c>
      <c r="K2934">
        <v>1.1110120000000001</v>
      </c>
      <c r="L2934">
        <v>214.2723</v>
      </c>
      <c r="M2934">
        <v>0.99986339999999996</v>
      </c>
      <c r="N2934">
        <v>-1.432484E-2</v>
      </c>
      <c r="O2934">
        <v>8.2546709999999999E-3</v>
      </c>
      <c r="P2934">
        <v>0.93579310000000004</v>
      </c>
      <c r="Q2934">
        <v>0.34103080000000002</v>
      </c>
      <c r="R2934">
        <v>8.9385359999999997E-2</v>
      </c>
      <c r="S2934">
        <v>3.4170229999999999</v>
      </c>
      <c r="T2934">
        <v>-0.50508729999999902</v>
      </c>
      <c r="U2934">
        <v>-0.26246639999999999</v>
      </c>
      <c r="V2934">
        <v>-8.1675209999999998E-2</v>
      </c>
      <c r="W2934">
        <v>0.35440650000000001</v>
      </c>
      <c r="X2934">
        <v>0.9315177</v>
      </c>
      <c r="Y2934">
        <v>8.3747890000000005E-2</v>
      </c>
      <c r="Z2934">
        <v>-7.8459369999999903E-3</v>
      </c>
      <c r="AA2934">
        <v>0.99645609999999996</v>
      </c>
      <c r="AB2934">
        <v>31</v>
      </c>
      <c r="AC2934">
        <v>0.44509999999996802</v>
      </c>
      <c r="AD2934">
        <v>-0.110803</v>
      </c>
      <c r="AE2934">
        <v>-6.0299999999983797E-2</v>
      </c>
      <c r="AF2934">
        <v>6.0302807615372399E-2</v>
      </c>
      <c r="AG2934">
        <v>-0.110803</v>
      </c>
      <c r="AH2934">
        <v>0.41908407348419502</v>
      </c>
      <c r="AI2934">
        <v>104.665302008257</v>
      </c>
      <c r="AJ2934">
        <v>81.811804069975906</v>
      </c>
      <c r="AK2934">
        <v>0.43765876440830298</v>
      </c>
      <c r="AL2934">
        <v>69.242925825835997</v>
      </c>
      <c r="AM2934">
        <v>95.010863328750901</v>
      </c>
      <c r="AN2934">
        <v>1.0000000162920399</v>
      </c>
    </row>
    <row r="2935" spans="1:40" x14ac:dyDescent="0.25">
      <c r="A2935" t="str">
        <f>"20190304164700336"</f>
        <v>20190304164700336</v>
      </c>
      <c r="B2935" t="str">
        <f>"1551689220331832"</f>
        <v>1551689220331832</v>
      </c>
      <c r="C2935" t="s">
        <v>40</v>
      </c>
      <c r="D2935">
        <v>4.6267199999999997</v>
      </c>
      <c r="E2935">
        <v>0.58121309999999904</v>
      </c>
      <c r="F2935" t="s">
        <v>41</v>
      </c>
      <c r="G2935">
        <v>-307.97179999999997</v>
      </c>
      <c r="H2935">
        <v>1.003096</v>
      </c>
      <c r="I2935">
        <v>214.21680000000001</v>
      </c>
      <c r="J2935">
        <v>-308.38200000000001</v>
      </c>
      <c r="K2935">
        <v>1.1110070000000001</v>
      </c>
      <c r="L2935">
        <v>214.2749</v>
      </c>
      <c r="M2935">
        <v>0.99986299999999995</v>
      </c>
      <c r="N2935">
        <v>-1.432144E-2</v>
      </c>
      <c r="O2935">
        <v>8.3017309999999997E-3</v>
      </c>
      <c r="P2935">
        <v>0.93562069999999997</v>
      </c>
      <c r="Q2935">
        <v>0.34136879999999997</v>
      </c>
      <c r="R2935">
        <v>8.9896370000000003E-2</v>
      </c>
      <c r="S2935">
        <v>3.4172060000000002</v>
      </c>
      <c r="T2935">
        <v>-0.51106600000000002</v>
      </c>
      <c r="U2935">
        <v>-0.26268010000000003</v>
      </c>
      <c r="V2935">
        <v>-8.2144259999999997E-2</v>
      </c>
      <c r="W2935">
        <v>0.35473949999999999</v>
      </c>
      <c r="X2935">
        <v>0.93134969999999995</v>
      </c>
      <c r="Y2935">
        <v>8.3826990000000004E-2</v>
      </c>
      <c r="Z2935">
        <v>-7.9444310000000001E-3</v>
      </c>
      <c r="AA2935">
        <v>0.99644860000000002</v>
      </c>
      <c r="AB2935">
        <v>31</v>
      </c>
      <c r="AC2935">
        <v>0.41020000000003098</v>
      </c>
      <c r="AD2935">
        <v>-0.10791100000000001</v>
      </c>
      <c r="AE2935">
        <v>-5.8099999999996002E-2</v>
      </c>
      <c r="AF2935">
        <v>5.7596142715401401E-2</v>
      </c>
      <c r="AG2935">
        <v>-0.10791100000000001</v>
      </c>
      <c r="AH2935">
        <v>0.38367340138904499</v>
      </c>
      <c r="AI2935">
        <v>105.543424667255</v>
      </c>
      <c r="AJ2935">
        <v>81.462642960940101</v>
      </c>
      <c r="AK2935">
        <v>0.40270010989585298</v>
      </c>
      <c r="AL2935">
        <v>69.222520822422098</v>
      </c>
      <c r="AM2935">
        <v>95.040396650584697</v>
      </c>
      <c r="AN2935">
        <v>1.00000002800064</v>
      </c>
    </row>
    <row r="2936" spans="1:40" x14ac:dyDescent="0.25">
      <c r="A2936" t="str">
        <f>"20190304164700359"</f>
        <v>20190304164700359</v>
      </c>
      <c r="B2936" t="str">
        <f>"1551689220351356"</f>
        <v>1551689220351356</v>
      </c>
      <c r="C2936" t="s">
        <v>40</v>
      </c>
      <c r="D2936">
        <v>4.6202509999999997</v>
      </c>
      <c r="E2936">
        <v>0.58125850000000001</v>
      </c>
      <c r="F2936" t="s">
        <v>41</v>
      </c>
      <c r="G2936">
        <v>-307.43950000000001</v>
      </c>
      <c r="H2936">
        <v>0.96857230000000005</v>
      </c>
      <c r="I2936">
        <v>214.2037</v>
      </c>
      <c r="J2936">
        <v>-308.06670000000003</v>
      </c>
      <c r="K2936">
        <v>1.111019</v>
      </c>
      <c r="L2936">
        <v>214.27760000000001</v>
      </c>
      <c r="M2936">
        <v>0.99986269999999999</v>
      </c>
      <c r="N2936">
        <v>-1.4317989999999999E-2</v>
      </c>
      <c r="O2936">
        <v>8.3482539999999994E-3</v>
      </c>
      <c r="P2936">
        <v>0.93518480000000004</v>
      </c>
      <c r="Q2936">
        <v>0.342445099999999</v>
      </c>
      <c r="R2936">
        <v>9.0337219999999996E-2</v>
      </c>
      <c r="S2936">
        <v>3.4197389999999999</v>
      </c>
      <c r="T2936">
        <v>-0.51681790000000005</v>
      </c>
      <c r="U2936">
        <v>-0.25802609999999998</v>
      </c>
      <c r="V2936">
        <v>-8.2545880000000002E-2</v>
      </c>
      <c r="W2936">
        <v>0.3558057</v>
      </c>
      <c r="X2936">
        <v>0.93090740000000005</v>
      </c>
      <c r="Y2936">
        <v>8.2462800000000003E-2</v>
      </c>
      <c r="Z2936">
        <v>-7.9163589999999995E-3</v>
      </c>
      <c r="AA2936">
        <v>0.99656270000000002</v>
      </c>
      <c r="AB2936">
        <v>31</v>
      </c>
      <c r="AC2936">
        <v>0.62720000000001597</v>
      </c>
      <c r="AD2936">
        <v>-0.14244670000000001</v>
      </c>
      <c r="AE2936">
        <v>-7.3900000000008903E-2</v>
      </c>
      <c r="AF2936">
        <v>7.5302943862740598E-2</v>
      </c>
      <c r="AG2936">
        <v>-0.14244670000000001</v>
      </c>
      <c r="AH2936">
        <v>0.59622800462881997</v>
      </c>
      <c r="AI2936">
        <v>103.334731578808</v>
      </c>
      <c r="AJ2936">
        <v>82.801718603319301</v>
      </c>
      <c r="AK2936">
        <v>0.61761592369283103</v>
      </c>
      <c r="AL2936">
        <v>69.157169207231604</v>
      </c>
      <c r="AM2936">
        <v>95.067306255834595</v>
      </c>
      <c r="AN2936">
        <v>1.0000000529161099</v>
      </c>
    </row>
    <row r="2937" spans="1:40" x14ac:dyDescent="0.25">
      <c r="A2937" t="str">
        <f>"20190304164700381"</f>
        <v>20190304164700381</v>
      </c>
      <c r="B2937" t="str">
        <f>"1551689220371848"</f>
        <v>1551689220371848</v>
      </c>
      <c r="C2937" t="s">
        <v>40</v>
      </c>
      <c r="D2937">
        <v>4.6164529999999999</v>
      </c>
      <c r="E2937">
        <v>0.58129730000000002</v>
      </c>
      <c r="F2937" t="s">
        <v>41</v>
      </c>
      <c r="G2937">
        <v>-307.16230000000002</v>
      </c>
      <c r="H2937">
        <v>0.97491260000000002</v>
      </c>
      <c r="I2937">
        <v>214.2097</v>
      </c>
      <c r="J2937">
        <v>-307.76159999999999</v>
      </c>
      <c r="K2937">
        <v>1.111022</v>
      </c>
      <c r="L2937">
        <v>214.28020000000001</v>
      </c>
      <c r="M2937">
        <v>0.99986240000000004</v>
      </c>
      <c r="N2937">
        <v>-1.431466E-2</v>
      </c>
      <c r="O2937">
        <v>8.393101E-3</v>
      </c>
      <c r="P2937">
        <v>0.93475680000000005</v>
      </c>
      <c r="Q2937">
        <v>0.34365699999999999</v>
      </c>
      <c r="R2937">
        <v>9.0166460000000004E-2</v>
      </c>
      <c r="S2937">
        <v>3.421173</v>
      </c>
      <c r="T2937">
        <v>-0.51494740000000006</v>
      </c>
      <c r="U2937">
        <v>-0.25585940000000001</v>
      </c>
      <c r="V2937">
        <v>-8.2336779999999998E-2</v>
      </c>
      <c r="W2937">
        <v>0.35700859999999901</v>
      </c>
      <c r="X2937">
        <v>0.93046519999999999</v>
      </c>
      <c r="Y2937">
        <v>8.1863920000000007E-2</v>
      </c>
      <c r="Z2937">
        <v>-7.8436670000000003E-3</v>
      </c>
      <c r="AA2937">
        <v>0.99661270000000002</v>
      </c>
      <c r="AB2937">
        <v>31</v>
      </c>
      <c r="AC2937">
        <v>0.59929999999997097</v>
      </c>
      <c r="AD2937">
        <v>-0.13610939999999899</v>
      </c>
      <c r="AE2937">
        <v>-7.0500000000009694E-2</v>
      </c>
      <c r="AF2937">
        <v>7.18714355717157E-2</v>
      </c>
      <c r="AG2937">
        <v>-0.13610939999999899</v>
      </c>
      <c r="AH2937">
        <v>0.56970253037172203</v>
      </c>
      <c r="AI2937">
        <v>103.334958269016</v>
      </c>
      <c r="AJ2937">
        <v>82.809773747109702</v>
      </c>
      <c r="AK2937">
        <v>0.59012900719371697</v>
      </c>
      <c r="AL2937">
        <v>69.083402564687901</v>
      </c>
      <c r="AM2937">
        <v>95.056926351067005</v>
      </c>
      <c r="AN2937">
        <v>0.99999998711288396</v>
      </c>
    </row>
    <row r="2938" spans="1:40" x14ac:dyDescent="0.25">
      <c r="A2938" t="str">
        <f>"20190304164700404"</f>
        <v>20190304164700404</v>
      </c>
      <c r="B2938" t="str">
        <f>"1551689220391368"</f>
        <v>1551689220391368</v>
      </c>
      <c r="C2938" t="s">
        <v>40</v>
      </c>
      <c r="D2938">
        <v>4.6693569999999998</v>
      </c>
      <c r="E2938">
        <v>0.58135389999999998</v>
      </c>
      <c r="F2938" t="s">
        <v>41</v>
      </c>
      <c r="G2938">
        <v>-306.8861</v>
      </c>
      <c r="H2938">
        <v>0.97962419999999995</v>
      </c>
      <c r="I2938">
        <v>214.215</v>
      </c>
      <c r="J2938">
        <v>-307.46140000000003</v>
      </c>
      <c r="K2938">
        <v>1.11103</v>
      </c>
      <c r="L2938">
        <v>214.28280000000001</v>
      </c>
      <c r="M2938">
        <v>0.99986209999999998</v>
      </c>
      <c r="N2938">
        <v>-1.431139E-2</v>
      </c>
      <c r="O2938">
        <v>8.4369340000000001E-3</v>
      </c>
      <c r="P2938">
        <v>0.93461170000000005</v>
      </c>
      <c r="Q2938">
        <v>0.34403460000000002</v>
      </c>
      <c r="R2938">
        <v>9.0227740000000001E-2</v>
      </c>
      <c r="S2938">
        <v>3.4228209999999999</v>
      </c>
      <c r="T2938">
        <v>-0.51365039999999995</v>
      </c>
      <c r="U2938">
        <v>-0.25497439999999999</v>
      </c>
      <c r="V2938">
        <v>-8.235837E-2</v>
      </c>
      <c r="W2938">
        <v>0.357381</v>
      </c>
      <c r="X2938">
        <v>0.93032029999999999</v>
      </c>
      <c r="Y2938">
        <v>8.1624409999999994E-2</v>
      </c>
      <c r="Z2938">
        <v>-7.8080759999999997E-3</v>
      </c>
      <c r="AA2938">
        <v>0.99663259999999998</v>
      </c>
      <c r="AB2938">
        <v>31</v>
      </c>
      <c r="AC2938">
        <v>0.57530000000002701</v>
      </c>
      <c r="AD2938">
        <v>-0.13140579999999899</v>
      </c>
      <c r="AE2938">
        <v>-6.7800000000005398E-2</v>
      </c>
      <c r="AF2938">
        <v>6.9096317311049996E-2</v>
      </c>
      <c r="AG2938">
        <v>-0.13140579999999899</v>
      </c>
      <c r="AH2938">
        <v>0.54658163317463004</v>
      </c>
      <c r="AI2938">
        <v>103.41528700202301</v>
      </c>
      <c r="AJ2938">
        <v>82.795150708206094</v>
      </c>
      <c r="AK2938">
        <v>0.56638614660268205</v>
      </c>
      <c r="AL2938">
        <v>69.0605582315833</v>
      </c>
      <c r="AM2938">
        <v>95.059029226392994</v>
      </c>
      <c r="AN2938">
        <v>0.99999997043107303</v>
      </c>
    </row>
    <row r="2939" spans="1:40" x14ac:dyDescent="0.25">
      <c r="A2939" t="str">
        <f>"20190304164700427"</f>
        <v>20190304164700427</v>
      </c>
      <c r="B2939" t="str">
        <f>"1551689220421625"</f>
        <v>1551689220421625</v>
      </c>
      <c r="C2939" t="s">
        <v>40</v>
      </c>
      <c r="D2939">
        <v>4.6486130000000001</v>
      </c>
      <c r="E2939">
        <v>0.58136219999999905</v>
      </c>
      <c r="F2939" t="s">
        <v>41</v>
      </c>
      <c r="G2939">
        <v>-306.61079999999998</v>
      </c>
      <c r="H2939">
        <v>0.98328839999999995</v>
      </c>
      <c r="I2939">
        <v>214.21940000000001</v>
      </c>
      <c r="J2939">
        <v>-307.14</v>
      </c>
      <c r="K2939">
        <v>1.11103</v>
      </c>
      <c r="L2939">
        <v>214.28550000000001</v>
      </c>
      <c r="M2939">
        <v>0.99986169999999996</v>
      </c>
      <c r="N2939">
        <v>-1.430792E-2</v>
      </c>
      <c r="O2939">
        <v>8.4839830000000005E-3</v>
      </c>
      <c r="P2939">
        <v>0.93475580000000003</v>
      </c>
      <c r="Q2939">
        <v>0.34346599999999999</v>
      </c>
      <c r="R2939">
        <v>9.0899519999999998E-2</v>
      </c>
      <c r="S2939">
        <v>3.4237669999999998</v>
      </c>
      <c r="T2939">
        <v>-0.51427749999999905</v>
      </c>
      <c r="U2939">
        <v>-0.25424190000000002</v>
      </c>
      <c r="V2939">
        <v>-8.2984559999999999E-2</v>
      </c>
      <c r="W2939">
        <v>0.3568113</v>
      </c>
      <c r="X2939">
        <v>0.93048330000000001</v>
      </c>
      <c r="Y2939">
        <v>8.1438750000000004E-2</v>
      </c>
      <c r="Z2939">
        <v>-7.8060450000000002E-3</v>
      </c>
      <c r="AA2939">
        <v>0.99664779999999997</v>
      </c>
      <c r="AB2939">
        <v>31</v>
      </c>
      <c r="AC2939">
        <v>0.529200000000003</v>
      </c>
      <c r="AD2939">
        <v>-0.12774160000000001</v>
      </c>
      <c r="AE2939">
        <v>-6.6100000000005807E-2</v>
      </c>
      <c r="AF2939">
        <v>6.6757761968886997E-2</v>
      </c>
      <c r="AG2939">
        <v>-0.12774160000000001</v>
      </c>
      <c r="AH2939">
        <v>0.49993756760874902</v>
      </c>
      <c r="AI2939">
        <v>104.212287279042</v>
      </c>
      <c r="AJ2939">
        <v>82.394161874198105</v>
      </c>
      <c r="AK2939">
        <v>0.52029999679051298</v>
      </c>
      <c r="AL2939">
        <v>69.095503365447101</v>
      </c>
      <c r="AM2939">
        <v>95.096404102679202</v>
      </c>
      <c r="AN2939">
        <v>0.99999995629248495</v>
      </c>
    </row>
    <row r="2940" spans="1:40" x14ac:dyDescent="0.25">
      <c r="A2940" t="str">
        <f>"20190304164700448"</f>
        <v>20190304164700448</v>
      </c>
      <c r="B2940" t="str">
        <f>"1551689220441144"</f>
        <v>1551689220441144</v>
      </c>
      <c r="C2940" t="s">
        <v>40</v>
      </c>
      <c r="D2940">
        <v>4.3459810000000001</v>
      </c>
      <c r="E2940">
        <v>0.58250179999999996</v>
      </c>
      <c r="F2940" t="s">
        <v>41</v>
      </c>
      <c r="G2940">
        <v>-306.3349</v>
      </c>
      <c r="H2940">
        <v>0.98902599999999996</v>
      </c>
      <c r="I2940">
        <v>214.22569999999999</v>
      </c>
      <c r="J2940">
        <v>-306.83600000000001</v>
      </c>
      <c r="K2940">
        <v>1.1110139999999999</v>
      </c>
      <c r="L2940">
        <v>214.28819999999999</v>
      </c>
      <c r="M2940">
        <v>0.99986140000000001</v>
      </c>
      <c r="N2940">
        <v>-1.430464E-2</v>
      </c>
      <c r="O2940">
        <v>8.5284660000000002E-3</v>
      </c>
      <c r="P2940">
        <v>0.93513040000000003</v>
      </c>
      <c r="Q2940">
        <v>0.34249230000000003</v>
      </c>
      <c r="R2940">
        <v>9.0719220000000003E-2</v>
      </c>
      <c r="S2940">
        <v>3.4248050000000001</v>
      </c>
      <c r="T2940">
        <v>-0.51901909999999996</v>
      </c>
      <c r="U2940">
        <v>-0.25410460000000001</v>
      </c>
      <c r="V2940">
        <v>-8.2759139999999995E-2</v>
      </c>
      <c r="W2940">
        <v>0.35584009999999999</v>
      </c>
      <c r="X2940">
        <v>0.93087529999999996</v>
      </c>
      <c r="Y2940">
        <v>8.1402600000000006E-2</v>
      </c>
      <c r="Z2940">
        <v>-7.8738019999999992E-3</v>
      </c>
      <c r="AA2940">
        <v>0.99665020000000004</v>
      </c>
      <c r="AB2940">
        <v>31</v>
      </c>
      <c r="AC2940">
        <v>0.50110000000000798</v>
      </c>
      <c r="AD2940">
        <v>-0.121987999999999</v>
      </c>
      <c r="AE2940">
        <v>-6.25E-2</v>
      </c>
      <c r="AF2940">
        <v>6.3090125818940204E-2</v>
      </c>
      <c r="AG2940">
        <v>-0.121987999999999</v>
      </c>
      <c r="AH2940">
        <v>0.47294951245529099</v>
      </c>
      <c r="AI2940">
        <v>104.341351180427</v>
      </c>
      <c r="AJ2940">
        <v>82.401763060382294</v>
      </c>
      <c r="AK2940">
        <v>0.49248622057022801</v>
      </c>
      <c r="AL2940">
        <v>69.155059882014996</v>
      </c>
      <c r="AM2940">
        <v>95.080503657344806</v>
      </c>
      <c r="AN2940">
        <v>1.0000000380858101</v>
      </c>
    </row>
    <row r="2941" spans="1:40" x14ac:dyDescent="0.25">
      <c r="A2941" t="str">
        <f>"20190304164700471"</f>
        <v>20190304164700471</v>
      </c>
      <c r="B2941" t="str">
        <f>"1551689220461640"</f>
        <v>1551689220461640</v>
      </c>
      <c r="C2941" t="s">
        <v>40</v>
      </c>
      <c r="D2941">
        <v>4.6885219999999999</v>
      </c>
      <c r="E2941">
        <v>0.5824937</v>
      </c>
      <c r="F2941" t="s">
        <v>41</v>
      </c>
      <c r="G2941">
        <v>-306.05869999999999</v>
      </c>
      <c r="H2941">
        <v>0.99571620000000005</v>
      </c>
      <c r="I2941">
        <v>214.22739999999999</v>
      </c>
      <c r="J2941">
        <v>-306.53100000000001</v>
      </c>
      <c r="K2941">
        <v>1.1110150000000001</v>
      </c>
      <c r="L2941">
        <v>214.29079999999999</v>
      </c>
      <c r="M2941">
        <v>0.999861</v>
      </c>
      <c r="N2941">
        <v>-1.4301319999999999E-2</v>
      </c>
      <c r="O2941">
        <v>8.5733059999999993E-3</v>
      </c>
      <c r="P2941">
        <v>0.93517340000000004</v>
      </c>
      <c r="Q2941">
        <v>0.34252139999999998</v>
      </c>
      <c r="R2941">
        <v>9.0165729999999999E-2</v>
      </c>
      <c r="S2941">
        <v>3.419708</v>
      </c>
      <c r="T2941">
        <v>-0.50742600000000004</v>
      </c>
      <c r="U2941">
        <v>-0.2659454</v>
      </c>
      <c r="V2941">
        <v>-8.2163449999999999E-2</v>
      </c>
      <c r="W2941">
        <v>0.35586630000000002</v>
      </c>
      <c r="X2941">
        <v>0.93091800000000002</v>
      </c>
      <c r="Y2941">
        <v>8.4987980000000005E-2</v>
      </c>
      <c r="Z2941">
        <v>-8.0156250000000002E-3</v>
      </c>
      <c r="AA2941">
        <v>0.99634979999999995</v>
      </c>
      <c r="AB2941">
        <v>31</v>
      </c>
      <c r="AC2941">
        <v>0.47230000000001798</v>
      </c>
      <c r="AD2941">
        <v>-0.11529879999999899</v>
      </c>
      <c r="AE2941">
        <v>-6.34000000000014E-2</v>
      </c>
      <c r="AF2941">
        <v>6.3717208724496904E-2</v>
      </c>
      <c r="AG2941">
        <v>-0.11529879999999899</v>
      </c>
      <c r="AH2941">
        <v>0.44565037030585197</v>
      </c>
      <c r="AI2941">
        <v>104.365562067662</v>
      </c>
      <c r="AJ2941">
        <v>81.863236369817102</v>
      </c>
      <c r="AK2941">
        <v>0.46471275915647497</v>
      </c>
      <c r="AL2941">
        <v>69.153452524480997</v>
      </c>
      <c r="AM2941">
        <v>95.043893985001205</v>
      </c>
      <c r="AN2941">
        <v>0.99999998935779599</v>
      </c>
    </row>
    <row r="2942" spans="1:40" x14ac:dyDescent="0.25">
      <c r="A2942" t="str">
        <f>"20190304164700491"</f>
        <v>20190304164700491</v>
      </c>
      <c r="B2942" t="str">
        <f>"1551689220481161"</f>
        <v>1551689220481161</v>
      </c>
      <c r="C2942" t="s">
        <v>40</v>
      </c>
      <c r="D2942">
        <v>4.6529639999999999</v>
      </c>
      <c r="E2942">
        <v>0.58242740000000004</v>
      </c>
      <c r="F2942" t="s">
        <v>41</v>
      </c>
      <c r="G2942">
        <v>-305.78410000000002</v>
      </c>
      <c r="H2942">
        <v>0.99983330000000004</v>
      </c>
      <c r="I2942">
        <v>214.23249999999999</v>
      </c>
      <c r="J2942">
        <v>-306.25139999999999</v>
      </c>
      <c r="K2942">
        <v>1.1110169999999999</v>
      </c>
      <c r="L2942">
        <v>214.29329999999999</v>
      </c>
      <c r="M2942">
        <v>0.99986070000000005</v>
      </c>
      <c r="N2942">
        <v>-1.42983E-2</v>
      </c>
      <c r="O2942">
        <v>8.6140950000000004E-3</v>
      </c>
      <c r="P2942">
        <v>0.93536140000000001</v>
      </c>
      <c r="Q2942">
        <v>0.34207659999999901</v>
      </c>
      <c r="R2942">
        <v>8.9904639999999994E-2</v>
      </c>
      <c r="S2942">
        <v>3.420166</v>
      </c>
      <c r="T2942">
        <v>-0.50922020000000001</v>
      </c>
      <c r="U2942">
        <v>-0.26632689999999998</v>
      </c>
      <c r="V2942">
        <v>-8.1862199999999996E-2</v>
      </c>
      <c r="W2942">
        <v>0.35542200000000002</v>
      </c>
      <c r="X2942">
        <v>0.93111429999999995</v>
      </c>
      <c r="Y2942">
        <v>8.5119689999999998E-2</v>
      </c>
      <c r="Z2942">
        <v>-8.0569830000000002E-3</v>
      </c>
      <c r="AA2942">
        <v>0.9963381</v>
      </c>
      <c r="AB2942">
        <v>31</v>
      </c>
      <c r="AC2942">
        <v>0.46729999999996602</v>
      </c>
      <c r="AD2942">
        <v>-0.111183699999999</v>
      </c>
      <c r="AE2942">
        <v>-6.0800000000000402E-2</v>
      </c>
      <c r="AF2942">
        <v>6.1405255732378698E-2</v>
      </c>
      <c r="AG2942">
        <v>-0.111183699999999</v>
      </c>
      <c r="AH2942">
        <v>0.442145796713378</v>
      </c>
      <c r="AI2942">
        <v>103.986261689556</v>
      </c>
      <c r="AJ2942">
        <v>82.093330918095305</v>
      </c>
      <c r="AK2942">
        <v>0.46002752757694398</v>
      </c>
      <c r="AL2942">
        <v>69.1806906305886</v>
      </c>
      <c r="AM2942">
        <v>95.024441500394005</v>
      </c>
      <c r="AN2942">
        <v>1.0000000287686599</v>
      </c>
    </row>
    <row r="2943" spans="1:40" x14ac:dyDescent="0.25">
      <c r="A2943" t="str">
        <f>"20190304164700515"</f>
        <v>20190304164700515</v>
      </c>
      <c r="B2943" t="str">
        <f>"1551689220511417"</f>
        <v>1551689220511417</v>
      </c>
      <c r="C2943" t="s">
        <v>40</v>
      </c>
      <c r="D2943">
        <v>4.6894460000000002</v>
      </c>
      <c r="E2943">
        <v>0.58237550000000005</v>
      </c>
      <c r="F2943" t="s">
        <v>41</v>
      </c>
      <c r="G2943">
        <v>-305.51209999999998</v>
      </c>
      <c r="H2943">
        <v>0.99961089999999997</v>
      </c>
      <c r="I2943">
        <v>214.23570000000001</v>
      </c>
      <c r="J2943">
        <v>-305.94490000000002</v>
      </c>
      <c r="K2943">
        <v>1.1110199999999999</v>
      </c>
      <c r="L2943">
        <v>214.29589999999999</v>
      </c>
      <c r="M2943">
        <v>0.99986039999999998</v>
      </c>
      <c r="N2943">
        <v>-1.4294980000000001E-2</v>
      </c>
      <c r="O2943">
        <v>8.6589349999999995E-3</v>
      </c>
      <c r="P2943">
        <v>0.93535579999999996</v>
      </c>
      <c r="Q2943">
        <v>0.34204069999999998</v>
      </c>
      <c r="R2943">
        <v>9.0099429999999994E-2</v>
      </c>
      <c r="S2943">
        <v>3.4214169999999999</v>
      </c>
      <c r="T2943">
        <v>-0.51570079999999996</v>
      </c>
      <c r="U2943">
        <v>-0.26495360000000001</v>
      </c>
      <c r="V2943">
        <v>-8.2014879999999998E-2</v>
      </c>
      <c r="W2943">
        <v>0.35538320000000001</v>
      </c>
      <c r="X2943">
        <v>0.93111560000000004</v>
      </c>
      <c r="Y2943">
        <v>8.4716860000000005E-2</v>
      </c>
      <c r="Z2943">
        <v>-8.1225669999999903E-3</v>
      </c>
      <c r="AA2943">
        <v>0.99637200000000004</v>
      </c>
      <c r="AB2943">
        <v>30</v>
      </c>
      <c r="AC2943">
        <v>0.43280000000004198</v>
      </c>
      <c r="AD2943">
        <v>-0.1114091</v>
      </c>
      <c r="AE2943">
        <v>-6.0199999999980401E-2</v>
      </c>
      <c r="AF2943">
        <v>6.0042658114069301E-2</v>
      </c>
      <c r="AG2943">
        <v>-0.1114091</v>
      </c>
      <c r="AH2943">
        <v>0.40587844783736199</v>
      </c>
      <c r="AI2943">
        <v>105.191451415183</v>
      </c>
      <c r="AJ2943">
        <v>81.585115561953501</v>
      </c>
      <c r="AK2943">
        <v>0.42515223482310399</v>
      </c>
      <c r="AL2943">
        <v>69.183067482752605</v>
      </c>
      <c r="AM2943">
        <v>95.033757419221203</v>
      </c>
      <c r="AN2943">
        <v>0.99999995997350599</v>
      </c>
    </row>
    <row r="2944" spans="1:40" x14ac:dyDescent="0.25">
      <c r="A2944" t="str">
        <f>"20190304164700537"</f>
        <v>20190304164700537</v>
      </c>
      <c r="B2944" t="str">
        <f>"1551689220531912"</f>
        <v>1551689220531912</v>
      </c>
      <c r="C2944" t="s">
        <v>40</v>
      </c>
      <c r="D2944">
        <v>4.7919830000000001</v>
      </c>
      <c r="E2944">
        <v>0.58236790000000005</v>
      </c>
      <c r="F2944" t="s">
        <v>41</v>
      </c>
      <c r="G2944">
        <v>-304.98540000000003</v>
      </c>
      <c r="H2944">
        <v>0.96529140000000002</v>
      </c>
      <c r="I2944">
        <v>214.22149999999999</v>
      </c>
      <c r="J2944">
        <v>-305.63420000000002</v>
      </c>
      <c r="K2944">
        <v>1.111022</v>
      </c>
      <c r="L2944">
        <v>214.2987</v>
      </c>
      <c r="M2944">
        <v>0.99985999999999997</v>
      </c>
      <c r="N2944">
        <v>-1.429162E-2</v>
      </c>
      <c r="O2944">
        <v>8.7044340000000005E-3</v>
      </c>
      <c r="P2944">
        <v>0.93518889999999999</v>
      </c>
      <c r="Q2944">
        <v>0.34239199999999997</v>
      </c>
      <c r="R2944">
        <v>9.0496430000000003E-2</v>
      </c>
      <c r="S2944">
        <v>3.4229430000000001</v>
      </c>
      <c r="T2944">
        <v>-0.51991489999999996</v>
      </c>
      <c r="U2944">
        <v>-0.26489259999999998</v>
      </c>
      <c r="V2944">
        <v>-8.237092E-2</v>
      </c>
      <c r="W2944">
        <v>0.35572859999999901</v>
      </c>
      <c r="X2944">
        <v>0.93095229999999995</v>
      </c>
      <c r="Y2944">
        <v>8.4693480000000002E-2</v>
      </c>
      <c r="Z2944">
        <v>-8.1851149999999998E-3</v>
      </c>
      <c r="AA2944">
        <v>0.99637339999999996</v>
      </c>
      <c r="AB2944">
        <v>30</v>
      </c>
      <c r="AC2944">
        <v>0.64879999999999405</v>
      </c>
      <c r="AD2944">
        <v>-0.14573059999999899</v>
      </c>
      <c r="AE2944">
        <v>-7.7200000000004806E-2</v>
      </c>
      <c r="AF2944">
        <v>7.8919038184275606E-2</v>
      </c>
      <c r="AG2944">
        <v>-0.14573059999999899</v>
      </c>
      <c r="AH2944">
        <v>0.61738957942175798</v>
      </c>
      <c r="AI2944">
        <v>103.17774098397901</v>
      </c>
      <c r="AJ2944">
        <v>82.715558078879397</v>
      </c>
      <c r="AK2944">
        <v>0.63924605211363394</v>
      </c>
      <c r="AL2944">
        <v>69.161894700280897</v>
      </c>
      <c r="AM2944">
        <v>95.056378979134905</v>
      </c>
      <c r="AN2944">
        <v>0.99999999509744797</v>
      </c>
    </row>
    <row r="2945" spans="1:40" x14ac:dyDescent="0.25">
      <c r="A2945" t="str">
        <f>"20190304164700561"</f>
        <v>20190304164700561</v>
      </c>
      <c r="B2945" t="str">
        <f>"1551689220551436"</f>
        <v>1551689220551436</v>
      </c>
      <c r="C2945" t="s">
        <v>40</v>
      </c>
      <c r="D2945">
        <v>4.1810349999999996</v>
      </c>
      <c r="E2945">
        <v>0.63028200000000001</v>
      </c>
      <c r="F2945" t="s">
        <v>41</v>
      </c>
      <c r="G2945">
        <v>-304.7115</v>
      </c>
      <c r="H2945">
        <v>0.97077999999999998</v>
      </c>
      <c r="I2945">
        <v>214.22720000000001</v>
      </c>
      <c r="J2945">
        <v>-305.32150000000001</v>
      </c>
      <c r="K2945">
        <v>1.1110230000000001</v>
      </c>
      <c r="L2945">
        <v>214.3015</v>
      </c>
      <c r="M2945">
        <v>0.99985970000000002</v>
      </c>
      <c r="N2945">
        <v>-1.4288220000000001E-2</v>
      </c>
      <c r="O2945">
        <v>8.7501119999999905E-3</v>
      </c>
      <c r="P2945">
        <v>0.93516350000000004</v>
      </c>
      <c r="Q2945">
        <v>0.34244390000000002</v>
      </c>
      <c r="R2945">
        <v>9.0561729999999993E-2</v>
      </c>
      <c r="S2945">
        <v>3.4241329999999999</v>
      </c>
      <c r="T2945">
        <v>-0.52053439999999995</v>
      </c>
      <c r="U2945">
        <v>-0.26504519999999998</v>
      </c>
      <c r="V2945">
        <v>-8.2393240000000006E-2</v>
      </c>
      <c r="W2945">
        <v>0.35577760000000003</v>
      </c>
      <c r="X2945">
        <v>0.93093159999999997</v>
      </c>
      <c r="Y2945">
        <v>8.4753490000000001E-2</v>
      </c>
      <c r="Z2945">
        <v>-8.2026300000000007E-3</v>
      </c>
      <c r="AA2945">
        <v>0.99636820000000004</v>
      </c>
      <c r="AB2945">
        <v>30</v>
      </c>
      <c r="AC2945">
        <v>0.61000000000001298</v>
      </c>
      <c r="AD2945">
        <v>-0.14024299999999901</v>
      </c>
      <c r="AE2945">
        <v>-7.4299999999993802E-2</v>
      </c>
      <c r="AF2945">
        <v>7.5692858301012494E-2</v>
      </c>
      <c r="AG2945">
        <v>-0.14024299999999901</v>
      </c>
      <c r="AH2945">
        <v>0.57916123520600804</v>
      </c>
      <c r="AI2945">
        <v>103.501504020848</v>
      </c>
      <c r="AJ2945">
        <v>82.553992814235102</v>
      </c>
      <c r="AK2945">
        <v>0.60068730984774998</v>
      </c>
      <c r="AL2945">
        <v>69.158890688011397</v>
      </c>
      <c r="AM2945">
        <v>95.057853877125098</v>
      </c>
      <c r="AN2945">
        <v>0.99999999526900796</v>
      </c>
    </row>
    <row r="2946" spans="1:40" x14ac:dyDescent="0.25">
      <c r="A2946" t="str">
        <f>"20190304164700581"</f>
        <v>20190304164700581</v>
      </c>
      <c r="B2946" t="str">
        <f>"1551689220571928"</f>
        <v>1551689220571928</v>
      </c>
      <c r="C2946" t="s">
        <v>40</v>
      </c>
      <c r="D2946">
        <v>4.7607809999999997</v>
      </c>
      <c r="E2946">
        <v>0.63028200000000001</v>
      </c>
      <c r="F2946" t="s">
        <v>43</v>
      </c>
      <c r="G2946">
        <v>-251.17949999999999</v>
      </c>
      <c r="H2946">
        <v>-0.05</v>
      </c>
      <c r="I2946">
        <v>203.14830000000001</v>
      </c>
      <c r="J2946">
        <v>-305.03870000000001</v>
      </c>
      <c r="K2946">
        <v>1.1110230000000001</v>
      </c>
      <c r="L2946">
        <v>214.304</v>
      </c>
      <c r="M2946">
        <v>0.99985930000000001</v>
      </c>
      <c r="N2946">
        <v>-1.428512E-2</v>
      </c>
      <c r="O2946">
        <v>8.7916139999999997E-3</v>
      </c>
      <c r="P2946">
        <v>0.93532850000000001</v>
      </c>
      <c r="Q2946">
        <v>0.34192250000000002</v>
      </c>
      <c r="R2946">
        <v>9.0828240000000005E-2</v>
      </c>
      <c r="S2946">
        <v>3.2997740000000002</v>
      </c>
      <c r="T2946">
        <v>-7.0760489999999995E-2</v>
      </c>
      <c r="U2946">
        <v>-0.67974849999999998</v>
      </c>
      <c r="V2946">
        <v>-8.2619869999999998E-2</v>
      </c>
      <c r="W2946">
        <v>0.35525580000000001</v>
      </c>
      <c r="X2946">
        <v>0.93111080000000002</v>
      </c>
      <c r="Y2946">
        <v>0.21028720000000001</v>
      </c>
      <c r="Z2946">
        <v>-3.811311E-3</v>
      </c>
      <c r="AA2946">
        <v>0.97763219999999995</v>
      </c>
      <c r="AB2946">
        <v>30</v>
      </c>
      <c r="AC2946">
        <v>53.859200000000001</v>
      </c>
      <c r="AD2946">
        <v>-1.1610229999999999</v>
      </c>
      <c r="AE2946">
        <v>-11.1556999999999</v>
      </c>
      <c r="AF2946">
        <v>11.623647221676601</v>
      </c>
      <c r="AG2946">
        <v>-1.1610229999999999</v>
      </c>
      <c r="AH2946">
        <v>53.735088576967499</v>
      </c>
      <c r="AI2946">
        <v>91.209792258972897</v>
      </c>
      <c r="AJ2946">
        <v>77.794183820060994</v>
      </c>
      <c r="AK2946">
        <v>54.990152695869703</v>
      </c>
      <c r="AL2946">
        <v>69.190877943215</v>
      </c>
      <c r="AM2946">
        <v>95.070722499231806</v>
      </c>
      <c r="AN2946">
        <v>1.0000000241145399</v>
      </c>
    </row>
    <row r="2947" spans="1:40" x14ac:dyDescent="0.25">
      <c r="A2947" t="str">
        <f>"20190304164700605"</f>
        <v>20190304164700605</v>
      </c>
      <c r="B2947" t="str">
        <f>"1551689220602184"</f>
        <v>1551689220602184</v>
      </c>
      <c r="C2947" t="s">
        <v>40</v>
      </c>
      <c r="D2947">
        <v>4.5141309999999999</v>
      </c>
      <c r="E2947">
        <v>0.5713686</v>
      </c>
      <c r="F2947" t="s">
        <v>49</v>
      </c>
      <c r="G2947">
        <v>-258.29199999999997</v>
      </c>
      <c r="H2947">
        <v>8.0000929999999998E-2</v>
      </c>
      <c r="I2947">
        <v>204.69030000000001</v>
      </c>
      <c r="J2947">
        <v>-304.72910000000002</v>
      </c>
      <c r="K2947">
        <v>1.1110230000000001</v>
      </c>
      <c r="L2947">
        <v>214.30680000000001</v>
      </c>
      <c r="M2947">
        <v>0.9998591</v>
      </c>
      <c r="N2947">
        <v>-1.4281739999999999E-2</v>
      </c>
      <c r="O2947">
        <v>8.8367559999999994E-3</v>
      </c>
      <c r="P2947">
        <v>0.93532749999999998</v>
      </c>
      <c r="Q2947">
        <v>0.34174680000000002</v>
      </c>
      <c r="R2947">
        <v>9.1499869999999997E-2</v>
      </c>
      <c r="S2947">
        <v>3.299957</v>
      </c>
      <c r="T2947">
        <v>-7.2782159999999999E-2</v>
      </c>
      <c r="U2947">
        <v>-0.67864990000000003</v>
      </c>
      <c r="V2947">
        <v>-8.3248829999999996E-2</v>
      </c>
      <c r="W2947">
        <v>0.35507650000000002</v>
      </c>
      <c r="X2947">
        <v>0.93112309999999998</v>
      </c>
      <c r="Y2947">
        <v>0.21000489999999999</v>
      </c>
      <c r="Z2947">
        <v>-3.8751749999999998E-3</v>
      </c>
      <c r="AA2947">
        <v>0.97769269999999997</v>
      </c>
      <c r="AB2947">
        <v>30</v>
      </c>
      <c r="AC2947">
        <v>46.437100000000001</v>
      </c>
      <c r="AD2947">
        <v>-1.0310220699999999</v>
      </c>
      <c r="AE2947">
        <v>-9.6165000000000003</v>
      </c>
      <c r="AF2947">
        <v>10.021782449898399</v>
      </c>
      <c r="AG2947">
        <v>-1.0310220699999999</v>
      </c>
      <c r="AH2947">
        <v>46.328400561783099</v>
      </c>
      <c r="AI2947">
        <v>91.2460747086091</v>
      </c>
      <c r="AJ2947">
        <v>77.793823611175597</v>
      </c>
      <c r="AK2947">
        <v>47.4111783084427</v>
      </c>
      <c r="AL2947">
        <v>69.201866124576995</v>
      </c>
      <c r="AM2947">
        <v>95.109053700277599</v>
      </c>
      <c r="AN2947">
        <v>0.99999995795111296</v>
      </c>
    </row>
    <row r="2948" spans="1:40" x14ac:dyDescent="0.25">
      <c r="A2948" t="str">
        <f>"20190304164700628"</f>
        <v>20190304164700628</v>
      </c>
      <c r="B2948" t="str">
        <f>"1551689220621706"</f>
        <v>1551689220621706</v>
      </c>
      <c r="C2948" t="s">
        <v>40</v>
      </c>
      <c r="D2948">
        <v>4.6912060000000002</v>
      </c>
      <c r="E2948">
        <v>0.55927930000000003</v>
      </c>
      <c r="F2948" t="s">
        <v>41</v>
      </c>
      <c r="G2948">
        <v>-303.88510000000002</v>
      </c>
      <c r="H2948">
        <v>1.0005280000000001</v>
      </c>
      <c r="I2948">
        <v>214.26159999999999</v>
      </c>
      <c r="J2948">
        <v>-304.41300000000001</v>
      </c>
      <c r="K2948">
        <v>1.1110199999999999</v>
      </c>
      <c r="L2948">
        <v>214.30959999999999</v>
      </c>
      <c r="M2948">
        <v>0.99985869999999999</v>
      </c>
      <c r="N2948">
        <v>-1.4278330000000001E-2</v>
      </c>
      <c r="O2948">
        <v>8.8829709999999999E-3</v>
      </c>
      <c r="P2948">
        <v>0.93533980000000005</v>
      </c>
      <c r="Q2948">
        <v>0.34160259999999998</v>
      </c>
      <c r="R2948">
        <v>9.1911580000000007E-2</v>
      </c>
      <c r="S2948">
        <v>3.3871769999999999</v>
      </c>
      <c r="T2948">
        <v>-0.44352140000000001</v>
      </c>
      <c r="U2948">
        <v>-0.18066409999999999</v>
      </c>
      <c r="V2948">
        <v>-8.3617460000000005E-2</v>
      </c>
      <c r="W2948">
        <v>0.35492940000000001</v>
      </c>
      <c r="X2948">
        <v>0.93114620000000003</v>
      </c>
      <c r="Y2948">
        <v>6.1489889999999998E-2</v>
      </c>
      <c r="Z2948">
        <v>-5.4784329999999996E-3</v>
      </c>
      <c r="AA2948">
        <v>0.99809270000000005</v>
      </c>
      <c r="AB2948">
        <v>30</v>
      </c>
      <c r="AC2948">
        <v>0.52789999999998805</v>
      </c>
      <c r="AD2948">
        <v>-0.11049200000000001</v>
      </c>
      <c r="AE2948">
        <v>-4.8000000000001798E-2</v>
      </c>
      <c r="AF2948">
        <v>5.0493977104042201E-2</v>
      </c>
      <c r="AG2948">
        <v>-0.11049200000000001</v>
      </c>
      <c r="AH2948">
        <v>0.50548958563467306</v>
      </c>
      <c r="AI2948">
        <v>102.270812104576</v>
      </c>
      <c r="AJ2948">
        <v>84.295577215141606</v>
      </c>
      <c r="AK2948">
        <v>0.51988252997470197</v>
      </c>
      <c r="AL2948">
        <v>69.210882514672804</v>
      </c>
      <c r="AM2948">
        <v>95.131429699577595</v>
      </c>
      <c r="AN2948">
        <v>1.0000000021878199</v>
      </c>
    </row>
    <row r="2949" spans="1:40" x14ac:dyDescent="0.25">
      <c r="A2949" t="str">
        <f>"20190304164700650"</f>
        <v>20190304164700650</v>
      </c>
      <c r="B2949" t="str">
        <f>"1551689220641224"</f>
        <v>1551689220641224</v>
      </c>
      <c r="C2949" t="s">
        <v>40</v>
      </c>
      <c r="D2949">
        <v>4.567437</v>
      </c>
      <c r="E2949">
        <v>0.55474290000000004</v>
      </c>
      <c r="F2949" t="s">
        <v>41</v>
      </c>
      <c r="G2949">
        <v>-303.60739999999998</v>
      </c>
      <c r="H2949">
        <v>1.016086</v>
      </c>
      <c r="I2949">
        <v>214.2886</v>
      </c>
      <c r="J2949">
        <v>-304.11360000000002</v>
      </c>
      <c r="K2949">
        <v>1.11102099999999</v>
      </c>
      <c r="L2949">
        <v>214.31229999999999</v>
      </c>
      <c r="M2949">
        <v>0.99985840000000004</v>
      </c>
      <c r="N2949">
        <v>-1.4275110000000001E-2</v>
      </c>
      <c r="O2949">
        <v>8.92679999999999E-3</v>
      </c>
      <c r="P2949">
        <v>0.93544510000000003</v>
      </c>
      <c r="Q2949">
        <v>0.34128890000000001</v>
      </c>
      <c r="R2949">
        <v>9.2002500000000001E-2</v>
      </c>
      <c r="S2949">
        <v>3.3606569999999998</v>
      </c>
      <c r="T2949">
        <v>-0.39605629999999997</v>
      </c>
      <c r="U2949">
        <v>-8.7738040000000003E-2</v>
      </c>
      <c r="V2949">
        <v>-8.3665879999999998E-2</v>
      </c>
      <c r="W2949">
        <v>0.3546147</v>
      </c>
      <c r="X2949">
        <v>0.93126180000000003</v>
      </c>
      <c r="Y2949">
        <v>3.4705130000000001E-2</v>
      </c>
      <c r="Z2949">
        <v>-3.2075609999999998E-3</v>
      </c>
      <c r="AA2949">
        <v>0.99939239999999996</v>
      </c>
      <c r="AB2949">
        <v>30</v>
      </c>
      <c r="AC2949">
        <v>0.50620000000003496</v>
      </c>
      <c r="AD2949">
        <v>-9.49349999999997E-2</v>
      </c>
      <c r="AE2949">
        <v>-2.3699999999990898E-2</v>
      </c>
      <c r="AF2949">
        <v>2.7261492477092201E-2</v>
      </c>
      <c r="AG2949">
        <v>-9.49349999999997E-2</v>
      </c>
      <c r="AH2949">
        <v>0.48881286934186002</v>
      </c>
      <c r="AI2949">
        <v>100.974257758031</v>
      </c>
      <c r="AJ2949">
        <v>86.807874474944697</v>
      </c>
      <c r="AK2949">
        <v>0.498692153970062</v>
      </c>
      <c r="AL2949">
        <v>69.230169054302806</v>
      </c>
      <c r="AM2949">
        <v>95.133751317804396</v>
      </c>
      <c r="AN2949">
        <v>1.00000005253575</v>
      </c>
    </row>
    <row r="2950" spans="1:40" x14ac:dyDescent="0.25">
      <c r="A2950" t="str">
        <f>"20190304164700672"</f>
        <v>20190304164700672</v>
      </c>
      <c r="B2950" t="str">
        <f>"1551689220661721"</f>
        <v>1551689220661721</v>
      </c>
      <c r="C2950" t="s">
        <v>40</v>
      </c>
      <c r="D2950">
        <v>4.5795919999999999</v>
      </c>
      <c r="E2950">
        <v>0.55292330000000001</v>
      </c>
      <c r="F2950" t="s">
        <v>41</v>
      </c>
      <c r="G2950">
        <v>-303.33390000000003</v>
      </c>
      <c r="H2950">
        <v>1.023879</v>
      </c>
      <c r="I2950">
        <v>214.29939999999999</v>
      </c>
      <c r="J2950">
        <v>-303.81509999999997</v>
      </c>
      <c r="K2950">
        <v>1.1110249999999999</v>
      </c>
      <c r="L2950">
        <v>214.315</v>
      </c>
      <c r="M2950">
        <v>0.99985800000000002</v>
      </c>
      <c r="N2950">
        <v>-1.427192E-2</v>
      </c>
      <c r="O2950">
        <v>8.9702740000000003E-3</v>
      </c>
      <c r="P2950">
        <v>0.93513259999999998</v>
      </c>
      <c r="Q2950">
        <v>0.34207480000000001</v>
      </c>
      <c r="R2950">
        <v>9.2259110000000005E-2</v>
      </c>
      <c r="S2950">
        <v>3.3489990000000001</v>
      </c>
      <c r="T2950">
        <v>-0.3743533</v>
      </c>
      <c r="U2950">
        <v>-5.4718019999999999E-2</v>
      </c>
      <c r="V2950">
        <v>-8.3884899999999998E-2</v>
      </c>
      <c r="W2950">
        <v>0.35539300000000001</v>
      </c>
      <c r="X2950">
        <v>0.93094529999999998</v>
      </c>
      <c r="Y2950">
        <v>2.508699E-2</v>
      </c>
      <c r="Z2950">
        <v>-2.4492020000000001E-3</v>
      </c>
      <c r="AA2950">
        <v>0.99968219999999997</v>
      </c>
      <c r="AB2950">
        <v>30</v>
      </c>
      <c r="AC2950">
        <v>0.48119999999994401</v>
      </c>
      <c r="AD2950">
        <v>-8.7145999999999904E-2</v>
      </c>
      <c r="AE2950">
        <v>-1.5600000000006199E-2</v>
      </c>
      <c r="AF2950">
        <v>1.9284484263939101E-2</v>
      </c>
      <c r="AG2950">
        <v>-8.7145999999999904E-2</v>
      </c>
      <c r="AH2950">
        <v>0.46578019442331697</v>
      </c>
      <c r="AI2950">
        <v>100.588472540597</v>
      </c>
      <c r="AJ2950">
        <v>87.629163111711307</v>
      </c>
      <c r="AK2950">
        <v>0.47425468491765999</v>
      </c>
      <c r="AL2950">
        <v>69.182467776779305</v>
      </c>
      <c r="AM2950">
        <v>95.148858822570006</v>
      </c>
      <c r="AN2950">
        <v>1.00000000624454</v>
      </c>
    </row>
    <row r="2951" spans="1:40" x14ac:dyDescent="0.25">
      <c r="A2951" t="str">
        <f>"20190304164700695"</f>
        <v>20190304164700695</v>
      </c>
      <c r="B2951" t="str">
        <f>"1551689220681241"</f>
        <v>1551689220681241</v>
      </c>
      <c r="C2951" t="s">
        <v>40</v>
      </c>
      <c r="D2951">
        <v>4.4613079999999998</v>
      </c>
      <c r="E2951">
        <v>0.55200059999999995</v>
      </c>
      <c r="F2951" t="s">
        <v>41</v>
      </c>
      <c r="G2951">
        <v>-303.06150000000002</v>
      </c>
      <c r="H2951">
        <v>1.029963</v>
      </c>
      <c r="I2951">
        <v>214.30590000000001</v>
      </c>
      <c r="J2951">
        <v>-303.5154</v>
      </c>
      <c r="K2951">
        <v>1.111029</v>
      </c>
      <c r="L2951">
        <v>214.31780000000001</v>
      </c>
      <c r="M2951">
        <v>0.99985760000000001</v>
      </c>
      <c r="N2951">
        <v>-1.426876E-2</v>
      </c>
      <c r="O2951">
        <v>9.0139239999999995E-3</v>
      </c>
      <c r="P2951">
        <v>0.93507119999999999</v>
      </c>
      <c r="Q2951">
        <v>0.34221550000000001</v>
      </c>
      <c r="R2951">
        <v>9.2362330000000006E-2</v>
      </c>
      <c r="S2951">
        <v>3.343658</v>
      </c>
      <c r="T2951">
        <v>-0.35973630000000001</v>
      </c>
      <c r="U2951">
        <v>-4.0481570000000001E-2</v>
      </c>
      <c r="V2951">
        <v>-8.3947720000000003E-2</v>
      </c>
      <c r="W2951">
        <v>0.35552979999999901</v>
      </c>
      <c r="X2951">
        <v>0.93088740000000003</v>
      </c>
      <c r="Y2951">
        <v>2.0943670000000001E-2</v>
      </c>
      <c r="Z2951">
        <v>-2.1119450000000001E-3</v>
      </c>
      <c r="AA2951">
        <v>0.99977839999999996</v>
      </c>
      <c r="AB2951">
        <v>30</v>
      </c>
      <c r="AC2951">
        <v>0.45389999999997599</v>
      </c>
      <c r="AD2951">
        <v>-8.1065999999999999E-2</v>
      </c>
      <c r="AE2951">
        <v>-1.18999999999971E-2</v>
      </c>
      <c r="AF2951">
        <v>1.5497364780792101E-2</v>
      </c>
      <c r="AG2951">
        <v>-8.1065999999999999E-2</v>
      </c>
      <c r="AH2951">
        <v>0.43975675764191702</v>
      </c>
      <c r="AI2951">
        <v>100.43846892266799</v>
      </c>
      <c r="AJ2951">
        <v>87.981688114129298</v>
      </c>
      <c r="AK2951">
        <v>0.44743476682403799</v>
      </c>
      <c r="AL2951">
        <v>69.174082021813604</v>
      </c>
      <c r="AM2951">
        <v>95.153012733638704</v>
      </c>
      <c r="AN2951">
        <v>1.00000000492999</v>
      </c>
    </row>
    <row r="2952" spans="1:40" x14ac:dyDescent="0.25">
      <c r="A2952" t="str">
        <f>"20190304164700717"</f>
        <v>20190304164700717</v>
      </c>
      <c r="B2952" t="str">
        <f>"1551689220711497"</f>
        <v>1551689220711497</v>
      </c>
      <c r="C2952" t="s">
        <v>40</v>
      </c>
      <c r="D2952">
        <v>4.478936</v>
      </c>
      <c r="E2952">
        <v>0.55150059999999901</v>
      </c>
      <c r="F2952" t="s">
        <v>41</v>
      </c>
      <c r="G2952">
        <v>-302.5351</v>
      </c>
      <c r="H2952">
        <v>1.0071559999999999</v>
      </c>
      <c r="I2952">
        <v>214.30789999999999</v>
      </c>
      <c r="J2952">
        <v>-303.21800000000002</v>
      </c>
      <c r="K2952">
        <v>1.1110310000000001</v>
      </c>
      <c r="L2952">
        <v>214.32050000000001</v>
      </c>
      <c r="M2952">
        <v>0.99985729999999995</v>
      </c>
      <c r="N2952">
        <v>-1.426557E-2</v>
      </c>
      <c r="O2952">
        <v>9.0573949999999993E-3</v>
      </c>
      <c r="P2952">
        <v>0.9351235</v>
      </c>
      <c r="Q2952">
        <v>0.34198050000000002</v>
      </c>
      <c r="R2952">
        <v>9.2701119999999998E-2</v>
      </c>
      <c r="S2952">
        <v>3.3412480000000002</v>
      </c>
      <c r="T2952">
        <v>-0.35417939999999998</v>
      </c>
      <c r="U2952">
        <v>-3.3233640000000002E-2</v>
      </c>
      <c r="V2952">
        <v>-8.4244799999999995E-2</v>
      </c>
      <c r="W2952">
        <v>0.35529319999999998</v>
      </c>
      <c r="X2952">
        <v>0.93095090000000003</v>
      </c>
      <c r="Y2952">
        <v>1.8845580000000001E-2</v>
      </c>
      <c r="Z2952">
        <v>-1.9593779999999999E-3</v>
      </c>
      <c r="AA2952">
        <v>0.9998205</v>
      </c>
      <c r="AB2952">
        <v>30</v>
      </c>
      <c r="AC2952">
        <v>0.68290000000001705</v>
      </c>
      <c r="AD2952">
        <v>-0.103874999999999</v>
      </c>
      <c r="AE2952">
        <v>-1.26000000000203E-2</v>
      </c>
      <c r="AF2952">
        <v>1.8360738445462502E-2</v>
      </c>
      <c r="AG2952">
        <v>-0.103874999999999</v>
      </c>
      <c r="AH2952">
        <v>0.66732321626439495</v>
      </c>
      <c r="AI2952">
        <v>98.844318639176606</v>
      </c>
      <c r="AJ2952">
        <v>88.423960898718903</v>
      </c>
      <c r="AK2952">
        <v>0.675608915946733</v>
      </c>
      <c r="AL2952">
        <v>69.188585248501496</v>
      </c>
      <c r="AM2952">
        <v>95.170799065332304</v>
      </c>
      <c r="AN2952">
        <v>1.00000001125204</v>
      </c>
    </row>
    <row r="2953" spans="1:40" x14ac:dyDescent="0.25">
      <c r="A2953" t="str">
        <f>"20190304164700738"</f>
        <v>20190304164700738</v>
      </c>
      <c r="B2953" t="str">
        <f>"1551689220731993"</f>
        <v>1551689220731993</v>
      </c>
      <c r="C2953" t="s">
        <v>40</v>
      </c>
      <c r="D2953">
        <v>4.4845420000000003</v>
      </c>
      <c r="E2953">
        <v>0.55137999999999998</v>
      </c>
      <c r="F2953" t="s">
        <v>41</v>
      </c>
      <c r="G2953">
        <v>-302.26420000000002</v>
      </c>
      <c r="H2953">
        <v>1.012278</v>
      </c>
      <c r="I2953">
        <v>214.31200000000001</v>
      </c>
      <c r="J2953">
        <v>-302.91329999999999</v>
      </c>
      <c r="K2953">
        <v>1.1110329999999999</v>
      </c>
      <c r="L2953">
        <v>214.32329999999999</v>
      </c>
      <c r="M2953">
        <v>0.999857</v>
      </c>
      <c r="N2953">
        <v>-1.42623E-2</v>
      </c>
      <c r="O2953">
        <v>9.1018820000000004E-3</v>
      </c>
      <c r="P2953">
        <v>0.93492260000000005</v>
      </c>
      <c r="Q2953">
        <v>0.34231879999999998</v>
      </c>
      <c r="R2953">
        <v>9.3477710000000006E-2</v>
      </c>
      <c r="S2953">
        <v>3.3374630000000001</v>
      </c>
      <c r="T2953">
        <v>-0.34566210000000003</v>
      </c>
      <c r="U2953">
        <v>-2.9510499999999999E-2</v>
      </c>
      <c r="V2953">
        <v>-8.4982169999999996E-2</v>
      </c>
      <c r="W2953">
        <v>0.35562519999999997</v>
      </c>
      <c r="X2953">
        <v>0.9307571</v>
      </c>
      <c r="Y2953">
        <v>1.7799349999999999E-2</v>
      </c>
      <c r="Z2953">
        <v>-1.857222E-3</v>
      </c>
      <c r="AA2953">
        <v>0.99983979999999995</v>
      </c>
      <c r="AB2953">
        <v>30</v>
      </c>
      <c r="AC2953">
        <v>0.64909999999997503</v>
      </c>
      <c r="AD2953">
        <v>-9.8754999999999898E-2</v>
      </c>
      <c r="AE2953">
        <v>-1.12999999999772E-2</v>
      </c>
      <c r="AF2953">
        <v>1.68189725494758E-2</v>
      </c>
      <c r="AG2953">
        <v>-9.8754999999999898E-2</v>
      </c>
      <c r="AH2953">
        <v>0.63429271131814102</v>
      </c>
      <c r="AI2953">
        <v>98.846448824911704</v>
      </c>
      <c r="AJ2953">
        <v>88.481094972790302</v>
      </c>
      <c r="AK2953">
        <v>0.64215470993673995</v>
      </c>
      <c r="AL2953">
        <v>69.168234038414596</v>
      </c>
      <c r="AM2953">
        <v>95.216889031834398</v>
      </c>
      <c r="AN2953">
        <v>1.00000001564667</v>
      </c>
    </row>
    <row r="2954" spans="1:40" x14ac:dyDescent="0.25">
      <c r="A2954" t="str">
        <f>"20190304164700761"</f>
        <v>20190304164700761</v>
      </c>
      <c r="B2954" t="str">
        <f>"1551689220751513"</f>
        <v>1551689220751513</v>
      </c>
      <c r="C2954" t="s">
        <v>40</v>
      </c>
      <c r="D2954">
        <v>5.1048739999999997</v>
      </c>
      <c r="E2954">
        <v>0.5513036</v>
      </c>
      <c r="F2954" t="s">
        <v>41</v>
      </c>
      <c r="G2954">
        <v>-301.99369999999999</v>
      </c>
      <c r="H2954">
        <v>1.0171030000000001</v>
      </c>
      <c r="I2954">
        <v>214.31559999999999</v>
      </c>
      <c r="J2954">
        <v>-302.62</v>
      </c>
      <c r="K2954">
        <v>1.111029</v>
      </c>
      <c r="L2954">
        <v>214.3261</v>
      </c>
      <c r="M2954">
        <v>0.99985650000000004</v>
      </c>
      <c r="N2954">
        <v>-1.425913E-2</v>
      </c>
      <c r="O2954">
        <v>9.1448789999999999E-3</v>
      </c>
      <c r="P2954">
        <v>0.93469679999999999</v>
      </c>
      <c r="Q2954">
        <v>0.3427442</v>
      </c>
      <c r="R2954">
        <v>9.4171649999999996E-2</v>
      </c>
      <c r="S2954">
        <v>3.336395</v>
      </c>
      <c r="T2954">
        <v>-0.3408235</v>
      </c>
      <c r="U2954">
        <v>-2.7832030000000001E-2</v>
      </c>
      <c r="V2954">
        <v>-8.5637690000000002E-2</v>
      </c>
      <c r="W2954">
        <v>0.35604459999999999</v>
      </c>
      <c r="X2954">
        <v>0.93053660000000005</v>
      </c>
      <c r="Y2954">
        <v>1.7348619999999999E-2</v>
      </c>
      <c r="Z2954">
        <v>-1.809483E-3</v>
      </c>
      <c r="AA2954">
        <v>0.99984790000000001</v>
      </c>
      <c r="AB2954">
        <v>30</v>
      </c>
      <c r="AC2954">
        <v>0.62630000000001396</v>
      </c>
      <c r="AD2954">
        <v>-9.3925999999999898E-2</v>
      </c>
      <c r="AE2954">
        <v>-1.05000000000075E-2</v>
      </c>
      <c r="AF2954">
        <v>1.5870734201020201E-2</v>
      </c>
      <c r="AG2954">
        <v>-9.3925999999999898E-2</v>
      </c>
      <c r="AH2954">
        <v>0.61240803719091097</v>
      </c>
      <c r="AI2954">
        <v>98.716717437382002</v>
      </c>
      <c r="AJ2954">
        <v>88.5154953140228</v>
      </c>
      <c r="AK2954">
        <v>0.61977219822778695</v>
      </c>
      <c r="AL2954">
        <v>69.142520206903299</v>
      </c>
      <c r="AM2954">
        <v>95.258144215211004</v>
      </c>
      <c r="AN2954">
        <v>0.99999996753862697</v>
      </c>
    </row>
    <row r="2955" spans="1:40" x14ac:dyDescent="0.25">
      <c r="A2955" t="str">
        <f>"20190304164700782"</f>
        <v>20190304164700782</v>
      </c>
      <c r="B2955" t="str">
        <f>"1551689220772010"</f>
        <v>1551689220772010</v>
      </c>
      <c r="C2955" t="s">
        <v>40</v>
      </c>
      <c r="D2955">
        <v>4.5107679999999997</v>
      </c>
      <c r="E2955">
        <v>0.55125239999999998</v>
      </c>
      <c r="F2955" t="s">
        <v>41</v>
      </c>
      <c r="G2955">
        <v>-301.72359999999998</v>
      </c>
      <c r="H2955">
        <v>1.0219119999999999</v>
      </c>
      <c r="I2955">
        <v>214.31870000000001</v>
      </c>
      <c r="J2955">
        <v>-302.3415</v>
      </c>
      <c r="K2955">
        <v>1.111032</v>
      </c>
      <c r="L2955">
        <v>214.3287</v>
      </c>
      <c r="M2955">
        <v>0.99985619999999997</v>
      </c>
      <c r="N2955">
        <v>-1.4256130000000001E-2</v>
      </c>
      <c r="O2955">
        <v>9.1856679999999993E-3</v>
      </c>
      <c r="P2955">
        <v>0.93465169999999997</v>
      </c>
      <c r="Q2955">
        <v>0.3425957</v>
      </c>
      <c r="R2955">
        <v>9.5153989999999994E-2</v>
      </c>
      <c r="S2955">
        <v>3.3338009999999998</v>
      </c>
      <c r="T2955">
        <v>-0.33160050000000002</v>
      </c>
      <c r="U2955">
        <v>-2.6092529999999999E-2</v>
      </c>
      <c r="V2955">
        <v>-8.6582320000000004E-2</v>
      </c>
      <c r="W2955">
        <v>0.35589310000000002</v>
      </c>
      <c r="X2955">
        <v>0.93050719999999998</v>
      </c>
      <c r="Y2955">
        <v>1.6883840000000001E-2</v>
      </c>
      <c r="Z2955">
        <v>-1.73902E-3</v>
      </c>
      <c r="AA2955">
        <v>0.99985590000000002</v>
      </c>
      <c r="AB2955">
        <v>30</v>
      </c>
      <c r="AC2955">
        <v>0.61790000000001999</v>
      </c>
      <c r="AD2955">
        <v>-8.9119999999999797E-2</v>
      </c>
      <c r="AE2955">
        <v>-9.9999999999908998E-3</v>
      </c>
      <c r="AF2955">
        <v>1.53566080019545E-2</v>
      </c>
      <c r="AG2955">
        <v>-8.9119999999999797E-2</v>
      </c>
      <c r="AH2955">
        <v>0.60519581598764804</v>
      </c>
      <c r="AI2955">
        <v>98.374405767574601</v>
      </c>
      <c r="AJ2955">
        <v>88.5464538332876</v>
      </c>
      <c r="AK2955">
        <v>0.61191517018152197</v>
      </c>
      <c r="AL2955">
        <v>69.151810161129504</v>
      </c>
      <c r="AM2955">
        <v>95.315980913066696</v>
      </c>
      <c r="AN2955">
        <v>1.0000000230080099</v>
      </c>
    </row>
    <row r="2956" spans="1:40" x14ac:dyDescent="0.25">
      <c r="A2956" t="str">
        <f>"20190304164700805"</f>
        <v>20190304164700805</v>
      </c>
      <c r="B2956" t="str">
        <f>"1551689220791529"</f>
        <v>1551689220791529</v>
      </c>
      <c r="C2956" t="s">
        <v>40</v>
      </c>
      <c r="D2956">
        <v>4.5350720000000004</v>
      </c>
      <c r="E2956">
        <v>0.55115809999999998</v>
      </c>
      <c r="F2956" t="s">
        <v>41</v>
      </c>
      <c r="G2956">
        <v>-301.45569999999998</v>
      </c>
      <c r="H2956">
        <v>1.022975</v>
      </c>
      <c r="I2956">
        <v>214.32259999999999</v>
      </c>
      <c r="J2956">
        <v>-302.04050000000001</v>
      </c>
      <c r="K2956">
        <v>1.111029</v>
      </c>
      <c r="L2956">
        <v>214.33150000000001</v>
      </c>
      <c r="M2956">
        <v>0.99985590000000002</v>
      </c>
      <c r="N2956">
        <v>-1.4252880000000001E-2</v>
      </c>
      <c r="O2956">
        <v>9.2296779999999998E-3</v>
      </c>
      <c r="P2956">
        <v>0.93459859999999995</v>
      </c>
      <c r="Q2956">
        <v>0.34260449999999998</v>
      </c>
      <c r="R2956">
        <v>9.5644670000000001E-2</v>
      </c>
      <c r="S2956">
        <v>3.3335270000000001</v>
      </c>
      <c r="T2956">
        <v>-0.33147199999999999</v>
      </c>
      <c r="U2956">
        <v>-2.1957399999999998E-2</v>
      </c>
      <c r="V2956">
        <v>-8.7032499999999999E-2</v>
      </c>
      <c r="W2956">
        <v>0.35589799999999999</v>
      </c>
      <c r="X2956">
        <v>0.93046329999999999</v>
      </c>
      <c r="Y2956">
        <v>1.5694880000000001E-2</v>
      </c>
      <c r="Z2956">
        <v>-1.6747719999999999E-3</v>
      </c>
      <c r="AA2956">
        <v>0.99987539999999997</v>
      </c>
      <c r="AB2956">
        <v>30</v>
      </c>
      <c r="AC2956">
        <v>0.58480000000002896</v>
      </c>
      <c r="AD2956">
        <v>-8.8053999999999993E-2</v>
      </c>
      <c r="AE2956">
        <v>-8.9000000000112305E-3</v>
      </c>
      <c r="AF2956">
        <v>1.39807900217789E-2</v>
      </c>
      <c r="AG2956">
        <v>-8.8053999999999993E-2</v>
      </c>
      <c r="AH2956">
        <v>0.57173377709182105</v>
      </c>
      <c r="AI2956">
        <v>98.752882042828205</v>
      </c>
      <c r="AJ2956">
        <v>88.599207030981404</v>
      </c>
      <c r="AK2956">
        <v>0.57864365655670502</v>
      </c>
      <c r="AL2956">
        <v>69.151509186684393</v>
      </c>
      <c r="AM2956">
        <v>95.343712131801993</v>
      </c>
      <c r="AN2956">
        <v>0.99999999755356905</v>
      </c>
    </row>
    <row r="2957" spans="1:40" x14ac:dyDescent="0.25">
      <c r="A2957" t="str">
        <f>"20190304164700829"</f>
        <v>20190304164700829</v>
      </c>
      <c r="B2957" t="str">
        <f>"1551689220821785"</f>
        <v>1551689220821785</v>
      </c>
      <c r="C2957" t="s">
        <v>40</v>
      </c>
      <c r="D2957">
        <v>4.5748569999999997</v>
      </c>
      <c r="E2957">
        <v>0.55118009999999995</v>
      </c>
      <c r="F2957" t="s">
        <v>41</v>
      </c>
      <c r="G2957">
        <v>-301.18680000000001</v>
      </c>
      <c r="H2957">
        <v>1.026537</v>
      </c>
      <c r="I2957">
        <v>214.32650000000001</v>
      </c>
      <c r="J2957">
        <v>-301.70659999999998</v>
      </c>
      <c r="K2957">
        <v>1.1110329999999999</v>
      </c>
      <c r="L2957">
        <v>214.33459999999999</v>
      </c>
      <c r="M2957">
        <v>0.99985539999999995</v>
      </c>
      <c r="N2957">
        <v>-1.424928E-2</v>
      </c>
      <c r="O2957">
        <v>9.278517E-3</v>
      </c>
      <c r="P2957">
        <v>0.93465799999999999</v>
      </c>
      <c r="Q2957">
        <v>0.3422655</v>
      </c>
      <c r="R2957">
        <v>9.6276039999999993E-2</v>
      </c>
      <c r="S2957">
        <v>3.3328549999999999</v>
      </c>
      <c r="T2957">
        <v>-0.32995429999999998</v>
      </c>
      <c r="U2957">
        <v>-1.8814089999999999E-2</v>
      </c>
      <c r="V2957">
        <v>-8.7617890000000004E-2</v>
      </c>
      <c r="W2957">
        <v>0.3555566</v>
      </c>
      <c r="X2957">
        <v>0.93053889999999995</v>
      </c>
      <c r="Y2957">
        <v>1.480792E-2</v>
      </c>
      <c r="Z2957">
        <v>-1.621389E-3</v>
      </c>
      <c r="AA2957">
        <v>0.99988900000000003</v>
      </c>
      <c r="AB2957">
        <v>30</v>
      </c>
      <c r="AC2957">
        <v>0.51979999999997495</v>
      </c>
      <c r="AD2957">
        <v>-8.4495999999999905E-2</v>
      </c>
      <c r="AE2957">
        <v>-8.0999999999846698E-3</v>
      </c>
      <c r="AF2957">
        <v>1.25905026240877E-2</v>
      </c>
      <c r="AG2957">
        <v>-8.4495999999999905E-2</v>
      </c>
      <c r="AH2957">
        <v>0.50632649640295802</v>
      </c>
      <c r="AI2957">
        <v>99.471365612571304</v>
      </c>
      <c r="AJ2957">
        <v>88.575555423532293</v>
      </c>
      <c r="AK2957">
        <v>0.513482829052755</v>
      </c>
      <c r="AL2957">
        <v>69.172439421904002</v>
      </c>
      <c r="AM2957">
        <v>95.379009882058298</v>
      </c>
      <c r="AN2957">
        <v>1.00000001743241</v>
      </c>
    </row>
    <row r="2958" spans="1:40" x14ac:dyDescent="0.25">
      <c r="A2958" t="str">
        <f>"20190304164700853"</f>
        <v>20190304164700853</v>
      </c>
      <c r="B2958" t="str">
        <f>"1551689220841305"</f>
        <v>1551689220841305</v>
      </c>
      <c r="C2958" t="s">
        <v>40</v>
      </c>
      <c r="D2958">
        <v>4.5349760000000003</v>
      </c>
      <c r="E2958">
        <v>0.55097850000000004</v>
      </c>
      <c r="F2958" t="s">
        <v>41</v>
      </c>
      <c r="G2958">
        <v>-300.9169</v>
      </c>
      <c r="H2958">
        <v>1.0327580000000001</v>
      </c>
      <c r="I2958">
        <v>214.3306</v>
      </c>
      <c r="J2958">
        <v>-301.3999</v>
      </c>
      <c r="K2958">
        <v>1.1110279999999999</v>
      </c>
      <c r="L2958">
        <v>214.33750000000001</v>
      </c>
      <c r="M2958">
        <v>0.99985520000000006</v>
      </c>
      <c r="N2958">
        <v>-1.424599E-2</v>
      </c>
      <c r="O2958">
        <v>9.3233589999999998E-3</v>
      </c>
      <c r="P2958">
        <v>0.93477699999999997</v>
      </c>
      <c r="Q2958">
        <v>0.34198319999999999</v>
      </c>
      <c r="R2958">
        <v>9.6123379999999994E-2</v>
      </c>
      <c r="S2958">
        <v>3.3324579999999999</v>
      </c>
      <c r="T2958">
        <v>-0.33033970000000001</v>
      </c>
      <c r="U2958">
        <v>-1.696777E-2</v>
      </c>
      <c r="V2958">
        <v>-8.7421650000000004E-2</v>
      </c>
      <c r="W2958">
        <v>0.35527309999999901</v>
      </c>
      <c r="X2958">
        <v>0.93066559999999998</v>
      </c>
      <c r="Y2958">
        <v>1.430184E-2</v>
      </c>
      <c r="Z2958">
        <v>-1.5986679999999999E-3</v>
      </c>
      <c r="AA2958">
        <v>0.99989649999999997</v>
      </c>
      <c r="AB2958">
        <v>30</v>
      </c>
      <c r="AC2958">
        <v>0.48300000000000398</v>
      </c>
      <c r="AD2958">
        <v>-7.8270000000000006E-2</v>
      </c>
      <c r="AE2958">
        <v>-6.90000000000168E-3</v>
      </c>
      <c r="AF2958">
        <v>1.1111606422584E-2</v>
      </c>
      <c r="AG2958">
        <v>-7.8270000000000006E-2</v>
      </c>
      <c r="AH2958">
        <v>0.470560227025552</v>
      </c>
      <c r="AI2958">
        <v>99.4411719984532</v>
      </c>
      <c r="AJ2958">
        <v>88.647293538990795</v>
      </c>
      <c r="AK2958">
        <v>0.47715467927667798</v>
      </c>
      <c r="AL2958">
        <v>69.189816804181405</v>
      </c>
      <c r="AM2958">
        <v>95.366306409151093</v>
      </c>
      <c r="AN2958">
        <v>0.99999998974784599</v>
      </c>
    </row>
    <row r="2959" spans="1:40" x14ac:dyDescent="0.25">
      <c r="A2959" t="str">
        <f>"20190304164700872"</f>
        <v>20190304164700872</v>
      </c>
      <c r="B2959" t="str">
        <f>"1551689220861801"</f>
        <v>1551689220861801</v>
      </c>
      <c r="C2959" t="s">
        <v>40</v>
      </c>
      <c r="D2959">
        <v>4.6608369999999999</v>
      </c>
      <c r="E2959">
        <v>0.55088040000000005</v>
      </c>
      <c r="F2959" t="s">
        <v>41</v>
      </c>
      <c r="G2959">
        <v>-300.64789999999999</v>
      </c>
      <c r="H2959">
        <v>1.0362119999999999</v>
      </c>
      <c r="I2959">
        <v>214.33349999999999</v>
      </c>
      <c r="J2959">
        <v>-301.13279999999997</v>
      </c>
      <c r="K2959">
        <v>1.11103</v>
      </c>
      <c r="L2959">
        <v>214.34</v>
      </c>
      <c r="M2959">
        <v>0.99985469999999999</v>
      </c>
      <c r="N2959">
        <v>-1.424312E-2</v>
      </c>
      <c r="O2959">
        <v>9.3633109999999992E-3</v>
      </c>
      <c r="P2959">
        <v>0.93486999999999998</v>
      </c>
      <c r="Q2959">
        <v>0.34178560000000002</v>
      </c>
      <c r="R2959">
        <v>9.5920649999999996E-2</v>
      </c>
      <c r="S2959">
        <v>3.3324280000000002</v>
      </c>
      <c r="T2959">
        <v>-0.33174160000000003</v>
      </c>
      <c r="U2959">
        <v>-1.670837E-2</v>
      </c>
      <c r="V2959">
        <v>-8.7180629999999995E-2</v>
      </c>
      <c r="W2959">
        <v>0.3550739</v>
      </c>
      <c r="X2959">
        <v>0.93076429999999999</v>
      </c>
      <c r="Y2959">
        <v>1.4263110000000001E-2</v>
      </c>
      <c r="Z2959">
        <v>-1.6067729999999999E-3</v>
      </c>
      <c r="AA2959">
        <v>0.99989700000000004</v>
      </c>
      <c r="AB2959">
        <v>30</v>
      </c>
      <c r="AC2959">
        <v>0.48489999999998101</v>
      </c>
      <c r="AD2959">
        <v>-7.4817999999999801E-2</v>
      </c>
      <c r="AE2959">
        <v>-6.5000000000168196E-3</v>
      </c>
      <c r="AF2959">
        <v>1.07837604803431E-2</v>
      </c>
      <c r="AG2959">
        <v>-7.4817999999999801E-2</v>
      </c>
      <c r="AH2959">
        <v>0.47354610313682899</v>
      </c>
      <c r="AI2959">
        <v>98.975952127068993</v>
      </c>
      <c r="AJ2959">
        <v>88.695465577849703</v>
      </c>
      <c r="AK2959">
        <v>0.47954137924706097</v>
      </c>
      <c r="AL2959">
        <v>69.2020276858469</v>
      </c>
      <c r="AM2959">
        <v>95.351033410054697</v>
      </c>
      <c r="AN2959">
        <v>1.00000005943144</v>
      </c>
    </row>
    <row r="2960" spans="1:40" x14ac:dyDescent="0.25">
      <c r="A2960" t="str">
        <f>"20190304164700894"</f>
        <v>20190304164700894</v>
      </c>
      <c r="B2960" t="str">
        <f>"1551689220881321"</f>
        <v>1551689220881321</v>
      </c>
      <c r="C2960" t="s">
        <v>40</v>
      </c>
      <c r="D2960">
        <v>4.6617389999999999</v>
      </c>
      <c r="E2960">
        <v>0.55063569999999995</v>
      </c>
      <c r="F2960" t="s">
        <v>41</v>
      </c>
      <c r="G2960">
        <v>-300.38189999999997</v>
      </c>
      <c r="H2960">
        <v>1.0360480000000001</v>
      </c>
      <c r="I2960">
        <v>214.33619999999999</v>
      </c>
      <c r="J2960">
        <v>-300.84989999999999</v>
      </c>
      <c r="K2960">
        <v>1.1110340000000001</v>
      </c>
      <c r="L2960">
        <v>214.34270000000001</v>
      </c>
      <c r="M2960">
        <v>0.99985440000000003</v>
      </c>
      <c r="N2960">
        <v>-1.4240060000000001E-2</v>
      </c>
      <c r="O2960">
        <v>9.4059580000000007E-3</v>
      </c>
      <c r="P2960">
        <v>0.93471119999999996</v>
      </c>
      <c r="Q2960">
        <v>0.34225620000000001</v>
      </c>
      <c r="R2960">
        <v>9.579029E-2</v>
      </c>
      <c r="S2960">
        <v>3.3323670000000001</v>
      </c>
      <c r="T2960">
        <v>-0.33287990000000001</v>
      </c>
      <c r="U2960">
        <v>-1.6235349999999999E-2</v>
      </c>
      <c r="V2960">
        <v>-8.7012350000000002E-2</v>
      </c>
      <c r="W2960">
        <v>0.35553970000000001</v>
      </c>
      <c r="X2960">
        <v>0.93060209999999999</v>
      </c>
      <c r="Y2960">
        <v>1.4163540000000001E-2</v>
      </c>
      <c r="Z2960">
        <v>-1.610378E-3</v>
      </c>
      <c r="AA2960">
        <v>0.99989839999999997</v>
      </c>
      <c r="AB2960">
        <v>30</v>
      </c>
      <c r="AC2960">
        <v>0.46800000000001701</v>
      </c>
      <c r="AD2960">
        <v>-7.4986000000000205E-2</v>
      </c>
      <c r="AE2960">
        <v>-6.5000000000168196E-3</v>
      </c>
      <c r="AF2960">
        <v>1.06293181110863E-2</v>
      </c>
      <c r="AG2960">
        <v>-7.4986000000000205E-2</v>
      </c>
      <c r="AH2960">
        <v>0.45620838341057601</v>
      </c>
      <c r="AI2960">
        <v>99.331635064183899</v>
      </c>
      <c r="AJ2960">
        <v>88.665292172424301</v>
      </c>
      <c r="AK2960">
        <v>0.46245212908321398</v>
      </c>
      <c r="AL2960">
        <v>69.173473899536603</v>
      </c>
      <c r="AM2960">
        <v>95.341689875001904</v>
      </c>
      <c r="AN2960">
        <v>0.99999994792650904</v>
      </c>
    </row>
    <row r="2961" spans="1:40" x14ac:dyDescent="0.25">
      <c r="A2961" t="str">
        <f>"20190304164700917"</f>
        <v>20190304164700917</v>
      </c>
      <c r="B2961" t="str">
        <f>"1551689220911577"</f>
        <v>1551689220911577</v>
      </c>
      <c r="C2961" t="s">
        <v>40</v>
      </c>
      <c r="D2961">
        <v>4.585178</v>
      </c>
      <c r="E2961">
        <v>0.55029899999999998</v>
      </c>
      <c r="F2961" t="s">
        <v>41</v>
      </c>
      <c r="G2961">
        <v>-300.1146</v>
      </c>
      <c r="H2961">
        <v>1.0376320000000001</v>
      </c>
      <c r="I2961">
        <v>214.33940000000001</v>
      </c>
      <c r="J2961">
        <v>-300.53930000000003</v>
      </c>
      <c r="K2961">
        <v>1.1110359999999999</v>
      </c>
      <c r="L2961">
        <v>214.34569999999999</v>
      </c>
      <c r="M2961">
        <v>0.99985400000000002</v>
      </c>
      <c r="N2961">
        <v>-1.423672E-2</v>
      </c>
      <c r="O2961">
        <v>9.4556550000000003E-3</v>
      </c>
      <c r="P2961">
        <v>0.93467500000000003</v>
      </c>
      <c r="Q2961">
        <v>0.34251710000000002</v>
      </c>
      <c r="R2961">
        <v>9.5207899999999998E-2</v>
      </c>
      <c r="S2961">
        <v>3.3328859999999998</v>
      </c>
      <c r="T2961">
        <v>-0.33288089999999998</v>
      </c>
      <c r="U2961">
        <v>-1.41448999999999E-2</v>
      </c>
      <c r="V2961">
        <v>-8.6385139999999999E-2</v>
      </c>
      <c r="W2961">
        <v>0.35579680000000002</v>
      </c>
      <c r="X2961">
        <v>0.93056229999999995</v>
      </c>
      <c r="Y2961">
        <v>1.358846E-2</v>
      </c>
      <c r="Z2961">
        <v>-1.581629E-3</v>
      </c>
      <c r="AA2961">
        <v>0.99990639999999997</v>
      </c>
      <c r="AB2961">
        <v>30</v>
      </c>
      <c r="AC2961">
        <v>0.424700000000029</v>
      </c>
      <c r="AD2961">
        <v>-7.3404000000000205E-2</v>
      </c>
      <c r="AE2961">
        <v>-6.2999999999817603E-3</v>
      </c>
      <c r="AF2961">
        <v>1.00167790594572E-2</v>
      </c>
      <c r="AG2961">
        <v>-7.3404000000000205E-2</v>
      </c>
      <c r="AH2961">
        <v>0.41230739467827299</v>
      </c>
      <c r="AI2961">
        <v>100.09181256718399</v>
      </c>
      <c r="AJ2961">
        <v>88.608304631602905</v>
      </c>
      <c r="AK2961">
        <v>0.41891033740540601</v>
      </c>
      <c r="AL2961">
        <v>69.157713140084894</v>
      </c>
      <c r="AM2961">
        <v>95.303631316061598</v>
      </c>
      <c r="AN2961">
        <v>0.99999997474217395</v>
      </c>
    </row>
    <row r="2962" spans="1:40" x14ac:dyDescent="0.25">
      <c r="A2962" t="str">
        <f>"20190304164700939"</f>
        <v>20190304164700939</v>
      </c>
      <c r="B2962" t="str">
        <f>"1551689220932073"</f>
        <v>1551689220932073</v>
      </c>
      <c r="C2962" t="s">
        <v>40</v>
      </c>
      <c r="D2962">
        <v>4.4829210000000002</v>
      </c>
      <c r="E2962">
        <v>0.55030559999999995</v>
      </c>
      <c r="F2962" t="s">
        <v>41</v>
      </c>
      <c r="G2962">
        <v>-299.59589999999997</v>
      </c>
      <c r="H2962">
        <v>1.0162469999999999</v>
      </c>
      <c r="I2962">
        <v>214.3416</v>
      </c>
      <c r="J2962">
        <v>-300.23689999999999</v>
      </c>
      <c r="K2962">
        <v>1.111035</v>
      </c>
      <c r="L2962">
        <v>214.3486</v>
      </c>
      <c r="M2962">
        <v>0.99985360000000001</v>
      </c>
      <c r="N2962">
        <v>-1.42335E-2</v>
      </c>
      <c r="O2962">
        <v>9.5065519999999997E-3</v>
      </c>
      <c r="P2962">
        <v>0.93458379999999996</v>
      </c>
      <c r="Q2962">
        <v>0.34282230000000002</v>
      </c>
      <c r="R2962">
        <v>9.5006599999999997E-2</v>
      </c>
      <c r="S2962">
        <v>3.3338320000000001</v>
      </c>
      <c r="T2962">
        <v>-0.33513569999999998</v>
      </c>
      <c r="U2962">
        <v>-1.33667E-2</v>
      </c>
      <c r="V2962">
        <v>-8.6138549999999994E-2</v>
      </c>
      <c r="W2962">
        <v>0.3560972</v>
      </c>
      <c r="X2962">
        <v>0.93047029999999997</v>
      </c>
      <c r="Y2962">
        <v>1.340416E-2</v>
      </c>
      <c r="Z2962">
        <v>-1.585922E-3</v>
      </c>
      <c r="AA2962">
        <v>0.99990889999999999</v>
      </c>
      <c r="AB2962">
        <v>30</v>
      </c>
      <c r="AC2962">
        <v>0.641000000000019</v>
      </c>
      <c r="AD2962">
        <v>-9.4788000000000094E-2</v>
      </c>
      <c r="AE2962">
        <v>-7.0000000000049996E-3</v>
      </c>
      <c r="AF2962">
        <v>1.28138326325532E-2</v>
      </c>
      <c r="AG2962">
        <v>-9.4788000000000094E-2</v>
      </c>
      <c r="AH2962">
        <v>0.62719127367190797</v>
      </c>
      <c r="AI2962">
        <v>98.592360392263998</v>
      </c>
      <c r="AJ2962">
        <v>88.829581284703806</v>
      </c>
      <c r="AK2962">
        <v>0.63444294701803206</v>
      </c>
      <c r="AL2962">
        <v>69.139296268030293</v>
      </c>
      <c r="AM2962">
        <v>95.289097785576004</v>
      </c>
      <c r="AN2962">
        <v>1.0000000224130099</v>
      </c>
    </row>
    <row r="2963" spans="1:40" x14ac:dyDescent="0.25">
      <c r="A2963" t="str">
        <f>"20190304164700961"</f>
        <v>20190304164700961</v>
      </c>
      <c r="B2963" t="str">
        <f>"1551689220951593"</f>
        <v>1551689220951593</v>
      </c>
      <c r="C2963" t="s">
        <v>40</v>
      </c>
      <c r="D2963">
        <v>4.5794230000000002</v>
      </c>
      <c r="E2963">
        <v>0.5500507</v>
      </c>
      <c r="F2963" t="s">
        <v>41</v>
      </c>
      <c r="G2963">
        <v>-299.32909999999998</v>
      </c>
      <c r="H2963">
        <v>1.0200739999999999</v>
      </c>
      <c r="I2963">
        <v>214.34469999999999</v>
      </c>
      <c r="J2963">
        <v>-299.95929999999998</v>
      </c>
      <c r="K2963">
        <v>1.1110359999999999</v>
      </c>
      <c r="L2963">
        <v>214.35130000000001</v>
      </c>
      <c r="M2963">
        <v>0.99985310000000005</v>
      </c>
      <c r="N2963">
        <v>-1.423052E-2</v>
      </c>
      <c r="O2963">
        <v>9.5547619999999996E-3</v>
      </c>
      <c r="P2963">
        <v>0.93474610000000002</v>
      </c>
      <c r="Q2963">
        <v>0.3423446</v>
      </c>
      <c r="R2963">
        <v>9.5130469999999995E-2</v>
      </c>
      <c r="S2963">
        <v>3.3339840000000001</v>
      </c>
      <c r="T2963">
        <v>-0.33420299999999997</v>
      </c>
      <c r="U2963">
        <v>-1.3809200000000001E-2</v>
      </c>
      <c r="V2963">
        <v>-8.6217479999999999E-2</v>
      </c>
      <c r="W2963">
        <v>0.3556185</v>
      </c>
      <c r="X2963">
        <v>0.93064599999999997</v>
      </c>
      <c r="Y2963">
        <v>1.358433E-2</v>
      </c>
      <c r="Z2963">
        <v>-1.5957809999999999E-3</v>
      </c>
      <c r="AA2963">
        <v>0.99990650000000003</v>
      </c>
      <c r="AB2963">
        <v>30</v>
      </c>
      <c r="AC2963">
        <v>0.63020000000000198</v>
      </c>
      <c r="AD2963">
        <v>-9.0962000000000195E-2</v>
      </c>
      <c r="AE2963">
        <v>-6.6000000000201401E-3</v>
      </c>
      <c r="AF2963">
        <v>1.2364158373819101E-2</v>
      </c>
      <c r="AG2963">
        <v>-9.0962000000000195E-2</v>
      </c>
      <c r="AH2963">
        <v>0.617250061630778</v>
      </c>
      <c r="AI2963">
        <v>98.381485015338896</v>
      </c>
      <c r="AJ2963">
        <v>88.852459626508505</v>
      </c>
      <c r="AK2963">
        <v>0.62403893823982803</v>
      </c>
      <c r="AL2963">
        <v>69.168643869545704</v>
      </c>
      <c r="AM2963">
        <v>95.292922958265294</v>
      </c>
      <c r="AN2963">
        <v>0.999999974357899</v>
      </c>
    </row>
    <row r="2964" spans="1:40" x14ac:dyDescent="0.25">
      <c r="A2964" t="str">
        <f>"20190304164700983"</f>
        <v>20190304164700983</v>
      </c>
      <c r="B2964" t="str">
        <f>"1551689220972089"</f>
        <v>1551689220972089</v>
      </c>
      <c r="C2964" t="s">
        <v>40</v>
      </c>
      <c r="D2964">
        <v>4.5021760000000004</v>
      </c>
      <c r="E2964">
        <v>0.52595190000000003</v>
      </c>
      <c r="F2964" t="s">
        <v>41</v>
      </c>
      <c r="G2964">
        <v>-299.06400000000002</v>
      </c>
      <c r="H2964">
        <v>1.0211680000000001</v>
      </c>
      <c r="I2964">
        <v>214.3476</v>
      </c>
      <c r="J2964">
        <v>-299.66669999999999</v>
      </c>
      <c r="K2964">
        <v>1.11104</v>
      </c>
      <c r="L2964">
        <v>214.35419999999999</v>
      </c>
      <c r="M2964">
        <v>0.99985279999999999</v>
      </c>
      <c r="N2964">
        <v>-1.4227409999999999E-2</v>
      </c>
      <c r="O2964">
        <v>9.6071360000000005E-3</v>
      </c>
      <c r="P2964">
        <v>0.93464789999999998</v>
      </c>
      <c r="Q2964">
        <v>0.34271099999999999</v>
      </c>
      <c r="R2964">
        <v>9.4779879999999997E-2</v>
      </c>
      <c r="S2964">
        <v>3.3333129999999902</v>
      </c>
      <c r="T2964">
        <v>-0.3348776</v>
      </c>
      <c r="U2964">
        <v>-1.248169E-2</v>
      </c>
      <c r="V2964">
        <v>-8.5820060000000004E-2</v>
      </c>
      <c r="W2964">
        <v>0.35598039999999997</v>
      </c>
      <c r="X2964">
        <v>0.93054440000000005</v>
      </c>
      <c r="Y2964">
        <v>1.32406E-2</v>
      </c>
      <c r="Z2964">
        <v>-1.58423299999999E-3</v>
      </c>
      <c r="AA2964">
        <v>0.99991110000000005</v>
      </c>
      <c r="AB2964">
        <v>30</v>
      </c>
      <c r="AC2964">
        <v>0.60269999999997004</v>
      </c>
      <c r="AD2964">
        <v>-8.9871999999999896E-2</v>
      </c>
      <c r="AE2964">
        <v>-6.5999999999917201E-3</v>
      </c>
      <c r="AF2964">
        <v>1.21210170866389E-2</v>
      </c>
      <c r="AG2964">
        <v>-8.9871999999999896E-2</v>
      </c>
      <c r="AH2964">
        <v>0.58950247019227398</v>
      </c>
      <c r="AI2964">
        <v>98.666420871401897</v>
      </c>
      <c r="AJ2964">
        <v>88.822082496828401</v>
      </c>
      <c r="AK2964">
        <v>0.59643696884248198</v>
      </c>
      <c r="AL2964">
        <v>69.146457295699605</v>
      </c>
      <c r="AM2964">
        <v>95.269234828216895</v>
      </c>
      <c r="AN2964">
        <v>1.0000000041269601</v>
      </c>
    </row>
    <row r="2965" spans="1:40" x14ac:dyDescent="0.25">
      <c r="A2965" t="str">
        <f>"20190304164701006"</f>
        <v>20190304164701006</v>
      </c>
      <c r="B2965" t="str">
        <f>"1551689221001369"</f>
        <v>1551689221001369</v>
      </c>
      <c r="C2965" t="s">
        <v>40</v>
      </c>
      <c r="D2965">
        <v>5.027272</v>
      </c>
      <c r="E2965">
        <v>0.52105100000000004</v>
      </c>
      <c r="F2965" t="s">
        <v>50</v>
      </c>
      <c r="G2965">
        <v>-286.3571</v>
      </c>
      <c r="H2965" s="1">
        <v>4.2192640000000003E-6</v>
      </c>
      <c r="I2965">
        <v>215.05709999999999</v>
      </c>
      <c r="J2965">
        <v>-299.36130000000003</v>
      </c>
      <c r="K2965">
        <v>1.1110390000000001</v>
      </c>
      <c r="L2965">
        <v>214.3571</v>
      </c>
      <c r="M2965">
        <v>0.99985219999999997</v>
      </c>
      <c r="N2965">
        <v>-1.422417E-2</v>
      </c>
      <c r="O2965">
        <v>9.6635550000000008E-3</v>
      </c>
      <c r="P2965">
        <v>0.93473729999999999</v>
      </c>
      <c r="Q2965">
        <v>0.34249200000000002</v>
      </c>
      <c r="R2965">
        <v>9.4686119999999999E-2</v>
      </c>
      <c r="S2965">
        <v>3.2929379999999999</v>
      </c>
      <c r="T2965">
        <v>-0.27488259999999998</v>
      </c>
      <c r="U2965">
        <v>0.17391970000000001</v>
      </c>
      <c r="V2965">
        <v>-8.5672929999999994E-2</v>
      </c>
      <c r="W2965">
        <v>0.3557594</v>
      </c>
      <c r="X2965">
        <v>0.93064250000000004</v>
      </c>
      <c r="Y2965">
        <v>-4.2937530000000002E-2</v>
      </c>
      <c r="Z2965">
        <v>1.4265279999999901E-3</v>
      </c>
      <c r="AA2965">
        <v>0.99907670000000004</v>
      </c>
      <c r="AB2965">
        <v>30</v>
      </c>
      <c r="AC2965">
        <v>13.004200000000001</v>
      </c>
      <c r="AD2965">
        <v>-1.1110347807359999</v>
      </c>
      <c r="AE2965">
        <v>0.69999999999998797</v>
      </c>
      <c r="AF2965">
        <v>-0.57013814879976499</v>
      </c>
      <c r="AG2965">
        <v>-1.1110347807359999</v>
      </c>
      <c r="AH2965">
        <v>12.9163484551609</v>
      </c>
      <c r="AI2965">
        <v>94.911591287965507</v>
      </c>
      <c r="AJ2965">
        <v>92.527441762037398</v>
      </c>
      <c r="AK2965">
        <v>12.9765755578218</v>
      </c>
      <c r="AL2965">
        <v>69.160007278185901</v>
      </c>
      <c r="AM2965">
        <v>95.259700587314995</v>
      </c>
      <c r="AN2965">
        <v>1.00000003221469</v>
      </c>
    </row>
    <row r="2966" spans="1:40" x14ac:dyDescent="0.25">
      <c r="A2966" t="str">
        <f>"20190304164701029"</f>
        <v>20190304164701029</v>
      </c>
      <c r="B2966" t="str">
        <f>"1551689221021866"</f>
        <v>1551689221021866</v>
      </c>
      <c r="C2966" t="s">
        <v>40</v>
      </c>
      <c r="D2966">
        <v>4.4875699999999998</v>
      </c>
      <c r="E2966">
        <v>0.52009719999999904</v>
      </c>
      <c r="F2966" t="s">
        <v>50</v>
      </c>
      <c r="G2966">
        <v>-284.36079999999998</v>
      </c>
      <c r="H2966" s="1">
        <v>5.072411E-6</v>
      </c>
      <c r="I2966">
        <v>215.32669999999999</v>
      </c>
      <c r="J2966">
        <v>-299.05520000000001</v>
      </c>
      <c r="K2966">
        <v>1.1110370000000001</v>
      </c>
      <c r="L2966">
        <v>214.36019999999999</v>
      </c>
      <c r="M2966">
        <v>0.99985179999999996</v>
      </c>
      <c r="N2966">
        <v>-1.4221009999999999E-2</v>
      </c>
      <c r="O2966">
        <v>9.7206219999999999E-3</v>
      </c>
      <c r="P2966">
        <v>0.93476499999999996</v>
      </c>
      <c r="Q2966">
        <v>0.34240999999999999</v>
      </c>
      <c r="R2966">
        <v>9.4710009999999997E-2</v>
      </c>
      <c r="S2966">
        <v>3.2769170000000001</v>
      </c>
      <c r="T2966">
        <v>-0.2427087</v>
      </c>
      <c r="U2966">
        <v>0.21179200000000001</v>
      </c>
      <c r="V2966">
        <v>-8.5643919999999998E-2</v>
      </c>
      <c r="W2966">
        <v>0.35567470000000001</v>
      </c>
      <c r="X2966">
        <v>0.93067750000000005</v>
      </c>
      <c r="Y2966">
        <v>-5.4632020000000003E-2</v>
      </c>
      <c r="Z2966">
        <v>1.827632E-3</v>
      </c>
      <c r="AA2966">
        <v>0.99850490000000003</v>
      </c>
      <c r="AB2966">
        <v>30</v>
      </c>
      <c r="AC2966">
        <v>14.6944</v>
      </c>
      <c r="AD2966">
        <v>-1.1110319275889999</v>
      </c>
      <c r="AE2966">
        <v>0.96649999999999603</v>
      </c>
      <c r="AF2966">
        <v>-0.81893968947927298</v>
      </c>
      <c r="AG2966">
        <v>-1.1110319275889999</v>
      </c>
      <c r="AH2966">
        <v>14.619883296613001</v>
      </c>
      <c r="AI2966">
        <v>94.339039733039897</v>
      </c>
      <c r="AJ2966">
        <v>93.206099740950506</v>
      </c>
      <c r="AK2966">
        <v>14.684891615729001</v>
      </c>
      <c r="AL2966">
        <v>69.165198962138902</v>
      </c>
      <c r="AM2966">
        <v>95.257732939415803</v>
      </c>
      <c r="AN2966">
        <v>0.99999999112965299</v>
      </c>
    </row>
    <row r="2967" spans="1:40" x14ac:dyDescent="0.25">
      <c r="A2967" t="str">
        <f>"20190304164701054"</f>
        <v>20190304164701054</v>
      </c>
      <c r="B2967" t="str">
        <f>"1551689221041385"</f>
        <v>1551689221041385</v>
      </c>
      <c r="C2967" t="s">
        <v>40</v>
      </c>
      <c r="D2967">
        <v>4.4985140000000001</v>
      </c>
      <c r="E2967">
        <v>0.51904719999999904</v>
      </c>
      <c r="F2967" t="s">
        <v>50</v>
      </c>
      <c r="G2967">
        <v>-283.89299999999997</v>
      </c>
      <c r="H2967" s="1">
        <v>5.2742280000000002E-6</v>
      </c>
      <c r="I2967">
        <v>215.37370000000001</v>
      </c>
      <c r="J2967">
        <v>-298.73070000000001</v>
      </c>
      <c r="K2967">
        <v>1.111038</v>
      </c>
      <c r="L2967">
        <v>214.36340000000001</v>
      </c>
      <c r="M2967">
        <v>0.99985100000000005</v>
      </c>
      <c r="N2967">
        <v>-1.421761E-2</v>
      </c>
      <c r="O2967">
        <v>9.7815000000000003E-3</v>
      </c>
      <c r="P2967">
        <v>0.93468419999999997</v>
      </c>
      <c r="Q2967">
        <v>0.3423969</v>
      </c>
      <c r="R2967">
        <v>9.555081E-2</v>
      </c>
      <c r="S2967">
        <v>3.2750849999999998</v>
      </c>
      <c r="T2967">
        <v>-0.2399869</v>
      </c>
      <c r="U2967">
        <v>0.2189178</v>
      </c>
      <c r="V2967">
        <v>-8.6428229999999995E-2</v>
      </c>
      <c r="W2967">
        <v>0.35565780000000002</v>
      </c>
      <c r="X2967">
        <v>0.93061150000000004</v>
      </c>
      <c r="Y2967">
        <v>-5.6766539999999997E-2</v>
      </c>
      <c r="Z2967">
        <v>1.903245E-3</v>
      </c>
      <c r="AA2967">
        <v>0.99838570000000004</v>
      </c>
      <c r="AB2967">
        <v>30</v>
      </c>
      <c r="AC2967">
        <v>14.8377</v>
      </c>
      <c r="AD2967">
        <v>-1.1110327257719901</v>
      </c>
      <c r="AE2967">
        <v>1.0103</v>
      </c>
      <c r="AF2967">
        <v>-0.86030067793782905</v>
      </c>
      <c r="AG2967">
        <v>-1.1110327257719901</v>
      </c>
      <c r="AH2967">
        <v>14.7644728113982</v>
      </c>
      <c r="AI2967">
        <v>94.296160985997503</v>
      </c>
      <c r="AJ2967">
        <v>93.334756824745696</v>
      </c>
      <c r="AK2967">
        <v>14.8311890410956</v>
      </c>
      <c r="AL2967">
        <v>69.166235999970894</v>
      </c>
      <c r="AM2967">
        <v>95.305982804416502</v>
      </c>
      <c r="AN2967">
        <v>1.0000000367870101</v>
      </c>
    </row>
    <row r="2968" spans="1:40" x14ac:dyDescent="0.25">
      <c r="A2968" t="str">
        <f>"20190304164701073"</f>
        <v>20190304164701073</v>
      </c>
      <c r="B2968" t="str">
        <f>"1551689221061881"</f>
        <v>1551689221061881</v>
      </c>
      <c r="C2968" t="s">
        <v>40</v>
      </c>
      <c r="D2968">
        <v>4.472626</v>
      </c>
      <c r="E2968">
        <v>0.51833530000000005</v>
      </c>
      <c r="F2968" t="s">
        <v>50</v>
      </c>
      <c r="G2968">
        <v>-283.47859999999997</v>
      </c>
      <c r="H2968" s="1">
        <v>5.4512030000000003E-6</v>
      </c>
      <c r="I2968">
        <v>215.4308</v>
      </c>
      <c r="J2968">
        <v>-298.4769</v>
      </c>
      <c r="K2968">
        <v>1.111038</v>
      </c>
      <c r="L2968">
        <v>214.36590000000001</v>
      </c>
      <c r="M2968">
        <v>0.99985069999999998</v>
      </c>
      <c r="N2968">
        <v>-1.4214930000000001E-2</v>
      </c>
      <c r="O2968">
        <v>9.8288430000000003E-3</v>
      </c>
      <c r="P2968">
        <v>0.9347413</v>
      </c>
      <c r="Q2968">
        <v>0.3421479</v>
      </c>
      <c r="R2968">
        <v>9.5884469999999999E-2</v>
      </c>
      <c r="S2968">
        <v>3.2735599999999998</v>
      </c>
      <c r="T2968">
        <v>-0.2384619</v>
      </c>
      <c r="U2968">
        <v>0.22909550000000001</v>
      </c>
      <c r="V2968">
        <v>-8.6717080000000002E-2</v>
      </c>
      <c r="W2968">
        <v>0.35540690000000003</v>
      </c>
      <c r="X2968">
        <v>0.93068050000000002</v>
      </c>
      <c r="Y2968">
        <v>-5.9831670000000003E-2</v>
      </c>
      <c r="Z2968">
        <v>2.0254700000000001E-3</v>
      </c>
      <c r="AA2968">
        <v>0.99820640000000005</v>
      </c>
      <c r="AB2968">
        <v>29</v>
      </c>
      <c r="AC2968">
        <v>14.9983</v>
      </c>
      <c r="AD2968">
        <v>-1.1110325487970001</v>
      </c>
      <c r="AE2968">
        <v>1.06489999999999</v>
      </c>
      <c r="AF2968">
        <v>-0.91243590570069499</v>
      </c>
      <c r="AG2968">
        <v>-1.1110325487970001</v>
      </c>
      <c r="AH2968">
        <v>14.926545541783399</v>
      </c>
      <c r="AI2968">
        <v>94.248964018193703</v>
      </c>
      <c r="AJ2968">
        <v>93.498046859410394</v>
      </c>
      <c r="AK2968">
        <v>14.9956225085</v>
      </c>
      <c r="AL2968">
        <v>69.181616797571195</v>
      </c>
      <c r="AM2968">
        <v>95.323221681576499</v>
      </c>
      <c r="AN2968">
        <v>1.0000000548057899</v>
      </c>
    </row>
    <row r="2969" spans="1:40" x14ac:dyDescent="0.25">
      <c r="A2969" t="str">
        <f>"20190304164701096"</f>
        <v>20190304164701096</v>
      </c>
      <c r="B2969" t="str">
        <f>"1551689221081401"</f>
        <v>1551689221081401</v>
      </c>
      <c r="C2969" t="s">
        <v>40</v>
      </c>
      <c r="D2969">
        <v>4.5006740000000001</v>
      </c>
      <c r="E2969">
        <v>0.51783420000000002</v>
      </c>
      <c r="F2969" t="s">
        <v>50</v>
      </c>
      <c r="G2969">
        <v>-282.97730000000001</v>
      </c>
      <c r="H2969" s="1">
        <v>5.6672879999999996E-6</v>
      </c>
      <c r="I2969">
        <v>215.483</v>
      </c>
      <c r="J2969">
        <v>-298.19409999999999</v>
      </c>
      <c r="K2969">
        <v>1.1110450000000001</v>
      </c>
      <c r="L2969">
        <v>214.36879999999999</v>
      </c>
      <c r="M2969">
        <v>0.99985029999999997</v>
      </c>
      <c r="N2969">
        <v>-1.421188E-2</v>
      </c>
      <c r="O2969">
        <v>9.8815499999999994E-3</v>
      </c>
      <c r="P2969">
        <v>0.93469429999999998</v>
      </c>
      <c r="Q2969">
        <v>0.3423834</v>
      </c>
      <c r="R2969">
        <v>9.5501879999999997E-2</v>
      </c>
      <c r="S2969">
        <v>3.2710880000000002</v>
      </c>
      <c r="T2969">
        <v>-0.23447660000000001</v>
      </c>
      <c r="U2969">
        <v>0.23574829999999999</v>
      </c>
      <c r="V2969">
        <v>-8.6285539999999994E-2</v>
      </c>
      <c r="W2969">
        <v>0.35563899999999998</v>
      </c>
      <c r="X2969">
        <v>0.93063189999999996</v>
      </c>
      <c r="Y2969">
        <v>-6.1850210000000003E-2</v>
      </c>
      <c r="Z2969">
        <v>2.0855280000000001E-3</v>
      </c>
      <c r="AA2969">
        <v>0.99808330000000001</v>
      </c>
      <c r="AB2969">
        <v>29</v>
      </c>
      <c r="AC2969">
        <v>15.2167999999999</v>
      </c>
      <c r="AD2969">
        <v>-1.1110393327120001</v>
      </c>
      <c r="AE2969">
        <v>1.1142000000000101</v>
      </c>
      <c r="AF2969">
        <v>-0.95868133373775599</v>
      </c>
      <c r="AG2969">
        <v>-1.1110393327120001</v>
      </c>
      <c r="AH2969">
        <v>15.146750675796399</v>
      </c>
      <c r="AI2969">
        <v>94.186879283966306</v>
      </c>
      <c r="AJ2969">
        <v>93.621583519984995</v>
      </c>
      <c r="AK2969">
        <v>15.217671777681</v>
      </c>
      <c r="AL2969">
        <v>69.167387993763299</v>
      </c>
      <c r="AM2969">
        <v>95.297157227930697</v>
      </c>
      <c r="AN2969">
        <v>1.00000001301585</v>
      </c>
    </row>
    <row r="2970" spans="1:40" x14ac:dyDescent="0.25">
      <c r="A2970" t="str">
        <f>"20190304164701118"</f>
        <v>20190304164701118</v>
      </c>
      <c r="B2970" t="str">
        <f>"1551689221111658"</f>
        <v>1551689221111658</v>
      </c>
      <c r="C2970" t="s">
        <v>40</v>
      </c>
      <c r="D2970">
        <v>4.9366849999999998</v>
      </c>
      <c r="E2970">
        <v>0.51729799999999904</v>
      </c>
      <c r="F2970" t="s">
        <v>50</v>
      </c>
      <c r="G2970">
        <v>-282.83999999999997</v>
      </c>
      <c r="H2970" s="1">
        <v>5.7266390000000004E-6</v>
      </c>
      <c r="I2970">
        <v>215.49600000000001</v>
      </c>
      <c r="J2970">
        <v>-297.88979999999998</v>
      </c>
      <c r="K2970">
        <v>1.11104</v>
      </c>
      <c r="L2970">
        <v>214.37180000000001</v>
      </c>
      <c r="M2970">
        <v>0.99984980000000001</v>
      </c>
      <c r="N2970">
        <v>-1.420861E-2</v>
      </c>
      <c r="O2970">
        <v>9.9380719999999992E-3</v>
      </c>
      <c r="P2970">
        <v>0.93481590000000003</v>
      </c>
      <c r="Q2970">
        <v>0.34201710000000002</v>
      </c>
      <c r="R2970">
        <v>9.5625119999999994E-2</v>
      </c>
      <c r="S2970">
        <v>3.2717900000000002</v>
      </c>
      <c r="T2970">
        <v>-0.2367495</v>
      </c>
      <c r="U2970">
        <v>0.2401886</v>
      </c>
      <c r="V2970">
        <v>-8.635437E-2</v>
      </c>
      <c r="W2970">
        <v>0.35527180000000003</v>
      </c>
      <c r="X2970">
        <v>0.93076570000000003</v>
      </c>
      <c r="Y2970">
        <v>-6.3119079999999994E-2</v>
      </c>
      <c r="Z2970">
        <v>2.1511189999999999E-3</v>
      </c>
      <c r="AA2970">
        <v>0.99800370000000005</v>
      </c>
      <c r="AB2970">
        <v>29</v>
      </c>
      <c r="AC2970">
        <v>15.049799999999999</v>
      </c>
      <c r="AD2970">
        <v>-1.1110342733609999</v>
      </c>
      <c r="AE2970">
        <v>1.1241999999999699</v>
      </c>
      <c r="AF2970">
        <v>-0.96931000690466196</v>
      </c>
      <c r="AG2970">
        <v>-1.1110342733609999</v>
      </c>
      <c r="AH2970">
        <v>14.979047889702301</v>
      </c>
      <c r="AI2970">
        <v>94.233184855055796</v>
      </c>
      <c r="AJ2970">
        <v>93.702508045649395</v>
      </c>
      <c r="AK2970">
        <v>15.0514396231079</v>
      </c>
      <c r="AL2970">
        <v>69.189895810764</v>
      </c>
      <c r="AM2970">
        <v>95.300600962679397</v>
      </c>
      <c r="AN2970">
        <v>0.99999995869491198</v>
      </c>
    </row>
    <row r="2971" spans="1:40" x14ac:dyDescent="0.25">
      <c r="A2971" t="str">
        <f>"20190304164701140"</f>
        <v>20190304164701140</v>
      </c>
      <c r="B2971" t="str">
        <f>"1551689221131177"</f>
        <v>1551689221131177</v>
      </c>
      <c r="C2971" t="s">
        <v>40</v>
      </c>
      <c r="D2971">
        <v>4.5188119999999996</v>
      </c>
      <c r="E2971">
        <v>0.51707689999999995</v>
      </c>
      <c r="F2971" t="s">
        <v>50</v>
      </c>
      <c r="G2971">
        <v>-282.60840000000002</v>
      </c>
      <c r="H2971" s="1">
        <v>5.8262969999999997E-6</v>
      </c>
      <c r="I2971">
        <v>215.5215</v>
      </c>
      <c r="J2971">
        <v>-297.59519999999998</v>
      </c>
      <c r="K2971">
        <v>1.111035</v>
      </c>
      <c r="L2971">
        <v>214.37479999999999</v>
      </c>
      <c r="M2971">
        <v>0.9998494</v>
      </c>
      <c r="N2971">
        <v>-1.4205479999999999E-2</v>
      </c>
      <c r="O2971">
        <v>9.9922729999999994E-3</v>
      </c>
      <c r="P2971">
        <v>0.93506160000000005</v>
      </c>
      <c r="Q2971">
        <v>0.34132459999999998</v>
      </c>
      <c r="R2971">
        <v>9.5697080000000004E-2</v>
      </c>
      <c r="S2971">
        <v>3.2710569999999999</v>
      </c>
      <c r="T2971">
        <v>-0.2378217</v>
      </c>
      <c r="U2971">
        <v>0.2460938</v>
      </c>
      <c r="V2971">
        <v>-8.6373279999999997E-2</v>
      </c>
      <c r="W2971">
        <v>0.35458000000000001</v>
      </c>
      <c r="X2971">
        <v>0.93102779999999996</v>
      </c>
      <c r="Y2971">
        <v>-6.4866080000000007E-2</v>
      </c>
      <c r="Z2971">
        <v>2.2309299999999999E-3</v>
      </c>
      <c r="AA2971">
        <v>0.99789150000000004</v>
      </c>
      <c r="AB2971">
        <v>29</v>
      </c>
      <c r="AC2971">
        <v>14.986799999999899</v>
      </c>
      <c r="AD2971">
        <v>-1.111029173703</v>
      </c>
      <c r="AE2971">
        <v>1.1467000000000001</v>
      </c>
      <c r="AF2971">
        <v>-0.99145829674264696</v>
      </c>
      <c r="AG2971">
        <v>-1.111029173703</v>
      </c>
      <c r="AH2971">
        <v>14.9160122346319</v>
      </c>
      <c r="AI2971">
        <v>94.250503229536406</v>
      </c>
      <c r="AJ2971">
        <v>93.802821818656994</v>
      </c>
      <c r="AK2971">
        <v>14.990156649037701</v>
      </c>
      <c r="AL2971">
        <v>69.232295162888306</v>
      </c>
      <c r="AM2971">
        <v>95.300271050242898</v>
      </c>
      <c r="AN2971">
        <v>1.0000000421353901</v>
      </c>
    </row>
    <row r="2972" spans="1:40" x14ac:dyDescent="0.25">
      <c r="A2972" t="str">
        <f>"20190304164701162"</f>
        <v>20190304164701162</v>
      </c>
      <c r="B2972" t="str">
        <f>"1551689221151673"</f>
        <v>1551689221151673</v>
      </c>
      <c r="C2972" t="s">
        <v>40</v>
      </c>
      <c r="D2972">
        <v>4.5275150000000002</v>
      </c>
      <c r="E2972">
        <v>0.51711739999999995</v>
      </c>
      <c r="F2972" t="s">
        <v>50</v>
      </c>
      <c r="G2972">
        <v>-282.46699999999998</v>
      </c>
      <c r="H2972" s="1">
        <v>5.8892399999999997E-6</v>
      </c>
      <c r="I2972">
        <v>215.51929999999999</v>
      </c>
      <c r="J2972">
        <v>-297.31369999999998</v>
      </c>
      <c r="K2972">
        <v>1.1110329999999999</v>
      </c>
      <c r="L2972">
        <v>214.3777</v>
      </c>
      <c r="M2972">
        <v>0.99984879999999998</v>
      </c>
      <c r="N2972">
        <v>-1.420248E-2</v>
      </c>
      <c r="O2972">
        <v>1.004444E-2</v>
      </c>
      <c r="P2972">
        <v>0.93508610000000003</v>
      </c>
      <c r="Q2972">
        <v>0.341180599999999</v>
      </c>
      <c r="R2972">
        <v>9.5968600000000001E-2</v>
      </c>
      <c r="S2972">
        <v>3.2707519999999999</v>
      </c>
      <c r="T2972">
        <v>-0.24020839999999999</v>
      </c>
      <c r="U2972">
        <v>0.2474365</v>
      </c>
      <c r="V2972">
        <v>-8.6595069999999996E-2</v>
      </c>
      <c r="W2972">
        <v>0.35443370000000002</v>
      </c>
      <c r="X2972">
        <v>0.93106290000000003</v>
      </c>
      <c r="Y2972">
        <v>-6.5223909999999996E-2</v>
      </c>
      <c r="Z2972">
        <v>2.259802E-3</v>
      </c>
      <c r="AA2972">
        <v>0.99786810000000004</v>
      </c>
      <c r="AB2972">
        <v>29</v>
      </c>
      <c r="AC2972">
        <v>14.846699999999901</v>
      </c>
      <c r="AD2972">
        <v>-1.11102711076</v>
      </c>
      <c r="AE2972">
        <v>1.14159999999998</v>
      </c>
      <c r="AF2972">
        <v>-0.98690637586830099</v>
      </c>
      <c r="AG2972">
        <v>-1.11102711076</v>
      </c>
      <c r="AH2972">
        <v>14.7751639106711</v>
      </c>
      <c r="AI2972">
        <v>94.290771443837201</v>
      </c>
      <c r="AJ2972">
        <v>93.821392502098902</v>
      </c>
      <c r="AK2972">
        <v>14.8497082133883</v>
      </c>
      <c r="AL2972">
        <v>69.241259682206504</v>
      </c>
      <c r="AM2972">
        <v>95.313604140889396</v>
      </c>
      <c r="AN2972">
        <v>1.0000000388001999</v>
      </c>
    </row>
    <row r="2973" spans="1:40" x14ac:dyDescent="0.25">
      <c r="A2973" t="str">
        <f>"20190304164701183"</f>
        <v>20190304164701183</v>
      </c>
      <c r="B2973" t="str">
        <f>"1551689221171193"</f>
        <v>1551689221171193</v>
      </c>
      <c r="C2973" t="s">
        <v>40</v>
      </c>
      <c r="D2973">
        <v>4.4770880000000002</v>
      </c>
      <c r="E2973">
        <v>0.51696520000000001</v>
      </c>
      <c r="F2973" t="s">
        <v>50</v>
      </c>
      <c r="G2973">
        <v>-282.32089999999999</v>
      </c>
      <c r="H2973" s="1">
        <v>5.9553390000000004E-6</v>
      </c>
      <c r="I2973">
        <v>215.50839999999999</v>
      </c>
      <c r="J2973">
        <v>-297.02789999999999</v>
      </c>
      <c r="K2973">
        <v>1.111032</v>
      </c>
      <c r="L2973">
        <v>214.38059999999999</v>
      </c>
      <c r="M2973">
        <v>0.99984839999999997</v>
      </c>
      <c r="N2973">
        <v>-1.4199410000000001E-2</v>
      </c>
      <c r="O2973">
        <v>1.0097149999999999E-2</v>
      </c>
      <c r="P2973">
        <v>0.93516120000000003</v>
      </c>
      <c r="Q2973">
        <v>0.34099829999999998</v>
      </c>
      <c r="R2973">
        <v>9.588671E-2</v>
      </c>
      <c r="S2973">
        <v>3.271423</v>
      </c>
      <c r="T2973">
        <v>-0.24242659999999999</v>
      </c>
      <c r="U2973">
        <v>0.24671940000000001</v>
      </c>
      <c r="V2973">
        <v>-8.6462999999999998E-2</v>
      </c>
      <c r="W2973">
        <v>0.35424990000000001</v>
      </c>
      <c r="X2973">
        <v>0.93114509999999995</v>
      </c>
      <c r="Y2973">
        <v>-6.4936339999999995E-2</v>
      </c>
      <c r="Z2973">
        <v>2.2587520000000002E-3</v>
      </c>
      <c r="AA2973">
        <v>0.99788679999999996</v>
      </c>
      <c r="AB2973">
        <v>29</v>
      </c>
      <c r="AC2973">
        <v>14.706999999999899</v>
      </c>
      <c r="AD2973">
        <v>-1.1110260446610001</v>
      </c>
      <c r="AE2973">
        <v>1.1277999999999999</v>
      </c>
      <c r="AF2973">
        <v>-0.97370441977051003</v>
      </c>
      <c r="AG2973">
        <v>-1.1110260446610001</v>
      </c>
      <c r="AH2973">
        <v>14.634608838900199</v>
      </c>
      <c r="AI2973">
        <v>94.331895646473797</v>
      </c>
      <c r="AJ2973">
        <v>93.806528035421195</v>
      </c>
      <c r="AK2973">
        <v>14.708985520307399</v>
      </c>
      <c r="AL2973">
        <v>69.252520932307107</v>
      </c>
      <c r="AM2973">
        <v>95.305080715238404</v>
      </c>
      <c r="AN2973">
        <v>1.0000000196365</v>
      </c>
    </row>
    <row r="2974" spans="1:40" x14ac:dyDescent="0.25">
      <c r="A2974" t="str">
        <f>"20190304164701208"</f>
        <v>20190304164701208</v>
      </c>
      <c r="B2974" t="str">
        <f>"1551689221201449"</f>
        <v>1551689221201449</v>
      </c>
      <c r="C2974" t="s">
        <v>40</v>
      </c>
      <c r="D2974">
        <v>5.0001239999999996</v>
      </c>
      <c r="E2974">
        <v>0.51671889999999998</v>
      </c>
      <c r="F2974" t="s">
        <v>50</v>
      </c>
      <c r="G2974">
        <v>-282.11619999999999</v>
      </c>
      <c r="H2974" s="1">
        <v>6.0459220000000002E-6</v>
      </c>
      <c r="I2974">
        <v>215.51009999999999</v>
      </c>
      <c r="J2974">
        <v>-296.72149999999999</v>
      </c>
      <c r="K2974">
        <v>1.111032</v>
      </c>
      <c r="L2974">
        <v>214.38380000000001</v>
      </c>
      <c r="M2974">
        <v>0.99984770000000001</v>
      </c>
      <c r="N2974">
        <v>-1.419611E-2</v>
      </c>
      <c r="O2974">
        <v>1.0153850000000001E-2</v>
      </c>
      <c r="P2974">
        <v>0.93523590000000001</v>
      </c>
      <c r="Q2974">
        <v>0.34072609999999998</v>
      </c>
      <c r="R2974">
        <v>9.61225E-2</v>
      </c>
      <c r="S2974">
        <v>3.271515</v>
      </c>
      <c r="T2974">
        <v>-0.24375089999999999</v>
      </c>
      <c r="U2974">
        <v>0.24780269999999999</v>
      </c>
      <c r="V2974">
        <v>-8.6644879999999994E-2</v>
      </c>
      <c r="W2974">
        <v>0.3539757</v>
      </c>
      <c r="X2974">
        <v>0.93123250000000002</v>
      </c>
      <c r="Y2974">
        <v>-6.5203609999999995E-2</v>
      </c>
      <c r="Z2974">
        <v>2.275984E-3</v>
      </c>
      <c r="AA2974">
        <v>0.99786940000000002</v>
      </c>
      <c r="AB2974">
        <v>29</v>
      </c>
      <c r="AC2974">
        <v>14.6053</v>
      </c>
      <c r="AD2974">
        <v>-1.1110259540780001</v>
      </c>
      <c r="AE2974">
        <v>1.1262999999999801</v>
      </c>
      <c r="AF2974">
        <v>-0.972333663476737</v>
      </c>
      <c r="AG2974">
        <v>-1.1110259540780001</v>
      </c>
      <c r="AH2974">
        <v>14.5323876066513</v>
      </c>
      <c r="AI2974">
        <v>94.362140903819295</v>
      </c>
      <c r="AJ2974">
        <v>93.8278434553674</v>
      </c>
      <c r="AK2974">
        <v>14.607193466703899</v>
      </c>
      <c r="AL2974">
        <v>69.269320630138793</v>
      </c>
      <c r="AM2974">
        <v>95.315680305651796</v>
      </c>
      <c r="AN2974">
        <v>1.0000000502384701</v>
      </c>
    </row>
    <row r="2975" spans="1:40" x14ac:dyDescent="0.25">
      <c r="A2975" t="str">
        <f>"20190304164701231"</f>
        <v>20190304164701231</v>
      </c>
      <c r="B2975" t="str">
        <f>"1551689221221945"</f>
        <v>1551689221221945</v>
      </c>
      <c r="C2975" t="s">
        <v>40</v>
      </c>
      <c r="D2975">
        <v>4.507917</v>
      </c>
      <c r="E2975">
        <v>0.51665119999999998</v>
      </c>
      <c r="F2975" t="s">
        <v>50</v>
      </c>
      <c r="G2975">
        <v>-281.73520000000002</v>
      </c>
      <c r="H2975" s="1">
        <v>6.2122889999999997E-6</v>
      </c>
      <c r="I2975">
        <v>215.5316</v>
      </c>
      <c r="J2975">
        <v>-296.41430000000003</v>
      </c>
      <c r="K2975">
        <v>1.1110370000000001</v>
      </c>
      <c r="L2975">
        <v>214.387</v>
      </c>
      <c r="M2975">
        <v>0.99984720000000005</v>
      </c>
      <c r="N2975">
        <v>-1.41928E-2</v>
      </c>
      <c r="O2975">
        <v>1.021037E-2</v>
      </c>
      <c r="P2975">
        <v>0.93525020000000003</v>
      </c>
      <c r="Q2975">
        <v>0.34068789999999999</v>
      </c>
      <c r="R2975">
        <v>9.6119549999999998E-2</v>
      </c>
      <c r="S2975">
        <v>3.2702939999999998</v>
      </c>
      <c r="T2975">
        <v>-0.24244750000000001</v>
      </c>
      <c r="U2975">
        <v>0.2504883</v>
      </c>
      <c r="V2975">
        <v>-8.6588579999999998E-2</v>
      </c>
      <c r="W2975">
        <v>0.353935099999999</v>
      </c>
      <c r="X2975">
        <v>0.93125309999999994</v>
      </c>
      <c r="Y2975">
        <v>-6.5989240000000005E-2</v>
      </c>
      <c r="Z2975">
        <v>2.298773E-3</v>
      </c>
      <c r="AA2975">
        <v>0.99781770000000003</v>
      </c>
      <c r="AB2975">
        <v>29</v>
      </c>
      <c r="AC2975">
        <v>14.6791</v>
      </c>
      <c r="AD2975">
        <v>-1.1110307877109999</v>
      </c>
      <c r="AE2975">
        <v>1.1445999999999901</v>
      </c>
      <c r="AF2975">
        <v>-0.98901469871243897</v>
      </c>
      <c r="AG2975">
        <v>-1.1110307877109999</v>
      </c>
      <c r="AH2975">
        <v>14.606850588676799</v>
      </c>
      <c r="AI2975">
        <v>94.339775504497197</v>
      </c>
      <c r="AJ2975">
        <v>93.873525608276196</v>
      </c>
      <c r="AK2975">
        <v>14.6823916173571</v>
      </c>
      <c r="AL2975">
        <v>69.271806478880194</v>
      </c>
      <c r="AM2975">
        <v>95.312129217993402</v>
      </c>
      <c r="AN2975">
        <v>0.99999998672901802</v>
      </c>
    </row>
    <row r="2976" spans="1:40" x14ac:dyDescent="0.25">
      <c r="A2976" t="str">
        <f>"20190304164701254"</f>
        <v>20190304164701254</v>
      </c>
      <c r="B2976" t="str">
        <f>"1551689221241465"</f>
        <v>1551689221241465</v>
      </c>
      <c r="C2976" t="s">
        <v>40</v>
      </c>
      <c r="D2976">
        <v>4.4707290000000004</v>
      </c>
      <c r="E2976">
        <v>0.51675230000000005</v>
      </c>
      <c r="F2976" t="s">
        <v>50</v>
      </c>
      <c r="G2976">
        <v>-281.32100000000003</v>
      </c>
      <c r="H2976" s="1">
        <v>6.39435399999999E-6</v>
      </c>
      <c r="I2976">
        <v>215.54509999999999</v>
      </c>
      <c r="J2976">
        <v>-296.1241</v>
      </c>
      <c r="K2976">
        <v>1.111035</v>
      </c>
      <c r="L2976">
        <v>214.39</v>
      </c>
      <c r="M2976">
        <v>0.99984660000000003</v>
      </c>
      <c r="N2976">
        <v>-1.418967E-2</v>
      </c>
      <c r="O2976">
        <v>1.026356E-2</v>
      </c>
      <c r="P2976">
        <v>0.93522570000000005</v>
      </c>
      <c r="Q2976">
        <v>0.3406034</v>
      </c>
      <c r="R2976">
        <v>9.6656080000000005E-2</v>
      </c>
      <c r="S2976">
        <v>3.2695620000000001</v>
      </c>
      <c r="T2976">
        <v>-0.24067620000000001</v>
      </c>
      <c r="U2976">
        <v>0.25088500000000002</v>
      </c>
      <c r="V2976">
        <v>-8.7075699999999895E-2</v>
      </c>
      <c r="W2976">
        <v>0.35384680000000002</v>
      </c>
      <c r="X2976">
        <v>0.93124130000000005</v>
      </c>
      <c r="Y2976">
        <v>-6.6075850000000005E-2</v>
      </c>
      <c r="Z2976">
        <v>2.2873680000000001E-3</v>
      </c>
      <c r="AA2976">
        <v>0.99781200000000003</v>
      </c>
      <c r="AB2976">
        <v>29</v>
      </c>
      <c r="AC2976">
        <v>14.803100000000001</v>
      </c>
      <c r="AD2976">
        <v>-1.1110286056459999</v>
      </c>
      <c r="AE2976">
        <v>1.1551</v>
      </c>
      <c r="AF2976">
        <v>-0.99750632041216603</v>
      </c>
      <c r="AG2976">
        <v>-1.1110286056459999</v>
      </c>
      <c r="AH2976">
        <v>14.731694329073401</v>
      </c>
      <c r="AI2976">
        <v>94.303127630159096</v>
      </c>
      <c r="AJ2976">
        <v>93.873674978214595</v>
      </c>
      <c r="AK2976">
        <v>14.8071679002799</v>
      </c>
      <c r="AL2976">
        <v>69.2772170568973</v>
      </c>
      <c r="AM2976">
        <v>95.341908478542294</v>
      </c>
      <c r="AN2976">
        <v>1.0000000471132</v>
      </c>
    </row>
    <row r="2977" spans="1:40" x14ac:dyDescent="0.25">
      <c r="A2977" t="str">
        <f>"20190304164701275"</f>
        <v>20190304164701275</v>
      </c>
      <c r="B2977" t="str">
        <f>"1551689221271723"</f>
        <v>1551689221271723</v>
      </c>
      <c r="C2977" t="s">
        <v>40</v>
      </c>
      <c r="D2977">
        <v>4.4531729999999996</v>
      </c>
      <c r="E2977">
        <v>0.50308079999999999</v>
      </c>
      <c r="F2977" t="s">
        <v>50</v>
      </c>
      <c r="G2977">
        <v>-281.08730000000003</v>
      </c>
      <c r="H2977" s="1">
        <v>6.49748299999999E-6</v>
      </c>
      <c r="I2977">
        <v>215.54949999999999</v>
      </c>
      <c r="J2977">
        <v>-295.85160000000002</v>
      </c>
      <c r="K2977">
        <v>1.111035</v>
      </c>
      <c r="L2977">
        <v>214.3929</v>
      </c>
      <c r="M2977">
        <v>0.99984620000000002</v>
      </c>
      <c r="N2977">
        <v>-1.4186819999999999E-2</v>
      </c>
      <c r="O2977">
        <v>1.0314240000000001E-2</v>
      </c>
      <c r="P2977">
        <v>0.93522819999999995</v>
      </c>
      <c r="Q2977">
        <v>0.34073930000000002</v>
      </c>
      <c r="R2977">
        <v>9.6151E-2</v>
      </c>
      <c r="S2977">
        <v>3.2696839999999998</v>
      </c>
      <c r="T2977">
        <v>-0.24158760000000001</v>
      </c>
      <c r="U2977">
        <v>0.25213619999999998</v>
      </c>
      <c r="V2977">
        <v>-8.6523050000000004E-2</v>
      </c>
      <c r="W2977">
        <v>0.35398010000000002</v>
      </c>
      <c r="X2977">
        <v>0.93124209999999996</v>
      </c>
      <c r="Y2977">
        <v>-6.6399769999999997E-2</v>
      </c>
      <c r="Z2977">
        <v>2.304703E-3</v>
      </c>
      <c r="AA2977">
        <v>0.99779050000000002</v>
      </c>
      <c r="AB2977">
        <v>29</v>
      </c>
      <c r="AC2977">
        <v>14.764299999999899</v>
      </c>
      <c r="AD2977">
        <v>-1.1110285025169999</v>
      </c>
      <c r="AE2977">
        <v>1.1565999999999901</v>
      </c>
      <c r="AF2977">
        <v>-0.99862019933954804</v>
      </c>
      <c r="AG2977">
        <v>-1.1110285025169999</v>
      </c>
      <c r="AH2977">
        <v>14.6927517424889</v>
      </c>
      <c r="AI2977">
        <v>94.314415405690795</v>
      </c>
      <c r="AJ2977">
        <v>93.888234351979406</v>
      </c>
      <c r="AK2977">
        <v>14.768499598887701</v>
      </c>
      <c r="AL2977">
        <v>69.269049967039294</v>
      </c>
      <c r="AM2977">
        <v>95.308194328336199</v>
      </c>
      <c r="AN2977">
        <v>0.99999999909486104</v>
      </c>
    </row>
    <row r="2978" spans="1:40" x14ac:dyDescent="0.25">
      <c r="A2978" t="str">
        <f>"20190304164701300"</f>
        <v>20190304164701300</v>
      </c>
      <c r="B2978" t="str">
        <f>"1551689221291241"</f>
        <v>1551689221291241</v>
      </c>
      <c r="C2978" t="s">
        <v>40</v>
      </c>
      <c r="D2978">
        <v>4.6508000000000003</v>
      </c>
      <c r="E2978">
        <v>0.50108640000000004</v>
      </c>
      <c r="F2978" t="s">
        <v>50</v>
      </c>
      <c r="G2978">
        <v>-283.36500000000001</v>
      </c>
      <c r="H2978" s="1">
        <v>5.46019E-6</v>
      </c>
      <c r="I2978">
        <v>215.77789999999999</v>
      </c>
      <c r="J2978">
        <v>-295.52300000000002</v>
      </c>
      <c r="K2978">
        <v>1.111048</v>
      </c>
      <c r="L2978">
        <v>214.3963</v>
      </c>
      <c r="M2978">
        <v>0.99984569999999995</v>
      </c>
      <c r="N2978">
        <v>-1.418349E-2</v>
      </c>
      <c r="O2978">
        <v>1.0374639999999999E-2</v>
      </c>
      <c r="P2978">
        <v>0.93507560000000001</v>
      </c>
      <c r="Q2978">
        <v>0.34119709999999998</v>
      </c>
      <c r="R2978">
        <v>9.6013539999999994E-2</v>
      </c>
      <c r="S2978">
        <v>3.2766419999999998</v>
      </c>
      <c r="T2978">
        <v>-0.29154940000000001</v>
      </c>
      <c r="U2978">
        <v>0.36346440000000002</v>
      </c>
      <c r="V2978">
        <v>-8.633093E-2</v>
      </c>
      <c r="W2978">
        <v>0.3544332</v>
      </c>
      <c r="X2978">
        <v>0.93108760000000002</v>
      </c>
      <c r="Y2978">
        <v>-9.9508869999999999E-2</v>
      </c>
      <c r="Z2978">
        <v>4.3425169999999997E-3</v>
      </c>
      <c r="AA2978">
        <v>0.9950272</v>
      </c>
      <c r="AB2978">
        <v>29</v>
      </c>
      <c r="AC2978">
        <v>12.1579999999999</v>
      </c>
      <c r="AD2978">
        <v>-1.1110425398099999</v>
      </c>
      <c r="AE2978">
        <v>1.3815999999999899</v>
      </c>
      <c r="AF2978">
        <v>-1.2451127391985199</v>
      </c>
      <c r="AG2978">
        <v>-1.1110425398099999</v>
      </c>
      <c r="AH2978">
        <v>12.072151632061299</v>
      </c>
      <c r="AI2978">
        <v>95.230726318359601</v>
      </c>
      <c r="AJ2978">
        <v>95.888622503967099</v>
      </c>
      <c r="AK2978">
        <v>12.186942450264601</v>
      </c>
      <c r="AL2978">
        <v>69.241289928195798</v>
      </c>
      <c r="AM2978">
        <v>95.297348731669004</v>
      </c>
      <c r="AN2978">
        <v>1.0000000208053299</v>
      </c>
    </row>
    <row r="2979" spans="1:40" x14ac:dyDescent="0.25">
      <c r="A2979" t="str">
        <f>"20190304164701319"</f>
        <v>20190304164701319</v>
      </c>
      <c r="B2979" t="str">
        <f>"1551689221311739"</f>
        <v>1551689221311739</v>
      </c>
      <c r="C2979" t="s">
        <v>40</v>
      </c>
      <c r="D2979">
        <v>4.4248079999999996</v>
      </c>
      <c r="E2979">
        <v>0.50040850000000003</v>
      </c>
      <c r="F2979" t="s">
        <v>50</v>
      </c>
      <c r="G2979">
        <v>-282.55770000000001</v>
      </c>
      <c r="H2979" s="1">
        <v>5.8043550000000001E-6</v>
      </c>
      <c r="I2979">
        <v>215.89410000000001</v>
      </c>
      <c r="J2979">
        <v>-295.2654</v>
      </c>
      <c r="K2979">
        <v>1.111056</v>
      </c>
      <c r="L2979">
        <v>214.399</v>
      </c>
      <c r="M2979">
        <v>0.99984510000000004</v>
      </c>
      <c r="N2979">
        <v>-1.418089E-2</v>
      </c>
      <c r="O2979">
        <v>1.042246E-2</v>
      </c>
      <c r="P2979">
        <v>0.93489469999999997</v>
      </c>
      <c r="Q2979">
        <v>0.34190340000000002</v>
      </c>
      <c r="R2979">
        <v>9.5258739999999995E-2</v>
      </c>
      <c r="S2979">
        <v>3.27182</v>
      </c>
      <c r="T2979">
        <v>-0.28037289999999998</v>
      </c>
      <c r="U2979">
        <v>0.37796020000000002</v>
      </c>
      <c r="V2979">
        <v>-8.5533139999999994E-2</v>
      </c>
      <c r="W2979">
        <v>0.35513400000000001</v>
      </c>
      <c r="X2979">
        <v>0.93089409999999895</v>
      </c>
      <c r="Y2979">
        <v>-0.1039829</v>
      </c>
      <c r="Z2979">
        <v>4.4325340000000001E-3</v>
      </c>
      <c r="AA2979">
        <v>0.99456920000000004</v>
      </c>
      <c r="AB2979">
        <v>29</v>
      </c>
      <c r="AC2979">
        <v>12.7076999999999</v>
      </c>
      <c r="AD2979">
        <v>-1.1110501956450001</v>
      </c>
      <c r="AE2979">
        <v>1.4951000000000001</v>
      </c>
      <c r="AF2979">
        <v>-1.3523633340826799</v>
      </c>
      <c r="AG2979">
        <v>-1.1110501956450001</v>
      </c>
      <c r="AH2979">
        <v>12.627385156267</v>
      </c>
      <c r="AI2979">
        <v>94.999908217963295</v>
      </c>
      <c r="AJ2979">
        <v>96.112943033354696</v>
      </c>
      <c r="AK2979">
        <v>12.7481047614665</v>
      </c>
      <c r="AL2979">
        <v>69.198341774824101</v>
      </c>
      <c r="AM2979">
        <v>95.249755162552503</v>
      </c>
      <c r="AN2979">
        <v>0.99999995070453296</v>
      </c>
    </row>
    <row r="2980" spans="1:40" x14ac:dyDescent="0.25">
      <c r="A2980" t="str">
        <f>"20190304164701341"</f>
        <v>20190304164701341</v>
      </c>
      <c r="B2980" t="str">
        <f>"1551689221331257"</f>
        <v>1551689221331257</v>
      </c>
      <c r="C2980" t="s">
        <v>40</v>
      </c>
      <c r="D2980">
        <v>4.4676439999999999</v>
      </c>
      <c r="E2980">
        <v>0.5003377</v>
      </c>
      <c r="F2980" t="s">
        <v>50</v>
      </c>
      <c r="G2980">
        <v>-281.87630000000001</v>
      </c>
      <c r="H2980" s="1">
        <v>6.0985759999999997E-6</v>
      </c>
      <c r="I2980">
        <v>215.96100000000001</v>
      </c>
      <c r="J2980">
        <v>-294.99020000000002</v>
      </c>
      <c r="K2980">
        <v>1.111062</v>
      </c>
      <c r="L2980">
        <v>214.40199999999999</v>
      </c>
      <c r="M2980">
        <v>0.99984470000000003</v>
      </c>
      <c r="N2980">
        <v>-1.4178140000000001E-2</v>
      </c>
      <c r="O2980">
        <v>1.047296E-2</v>
      </c>
      <c r="P2980">
        <v>0.9347299</v>
      </c>
      <c r="Q2980">
        <v>0.34243570000000001</v>
      </c>
      <c r="R2980">
        <v>9.4963130000000007E-2</v>
      </c>
      <c r="S2980">
        <v>3.2692869999999998</v>
      </c>
      <c r="T2980">
        <v>-0.27129029999999998</v>
      </c>
      <c r="U2980">
        <v>0.38139339999999999</v>
      </c>
      <c r="V2980">
        <v>-8.5192160000000003E-2</v>
      </c>
      <c r="W2980">
        <v>0.35566130000000001</v>
      </c>
      <c r="X2980">
        <v>0.93072410000000005</v>
      </c>
      <c r="Y2980">
        <v>-0.10507030000000001</v>
      </c>
      <c r="Z2980">
        <v>4.36952E-3</v>
      </c>
      <c r="AA2980">
        <v>0.99445519999999998</v>
      </c>
      <c r="AB2980">
        <v>29</v>
      </c>
      <c r="AC2980">
        <v>13.113899999999999</v>
      </c>
      <c r="AD2980">
        <v>-1.111055901424</v>
      </c>
      <c r="AE2980">
        <v>1.55899999999996</v>
      </c>
      <c r="AF2980">
        <v>-1.41156819332795</v>
      </c>
      <c r="AG2980">
        <v>-1.111055901424</v>
      </c>
      <c r="AH2980">
        <v>13.0372315381581</v>
      </c>
      <c r="AI2980">
        <v>94.842909982441498</v>
      </c>
      <c r="AJ2980">
        <v>96.179461371421596</v>
      </c>
      <c r="AK2980">
        <v>13.1604094222045</v>
      </c>
      <c r="AL2980">
        <v>69.166020794450304</v>
      </c>
      <c r="AM2980">
        <v>95.229892913033694</v>
      </c>
      <c r="AN2980">
        <v>1.0000000073819799</v>
      </c>
    </row>
    <row r="2981" spans="1:40" x14ac:dyDescent="0.25">
      <c r="A2981" t="str">
        <f>"20190304164701363"</f>
        <v>20190304164701363</v>
      </c>
      <c r="B2981" t="str">
        <f>"1551689221351754"</f>
        <v>1551689221351754</v>
      </c>
      <c r="C2981" t="s">
        <v>40</v>
      </c>
      <c r="D2981">
        <v>4.3953499999999996</v>
      </c>
      <c r="E2981">
        <v>0.50008490000000005</v>
      </c>
      <c r="F2981" t="s">
        <v>50</v>
      </c>
      <c r="G2981">
        <v>-281.54219999999998</v>
      </c>
      <c r="H2981" s="1">
        <v>6.2454439999999999E-6</v>
      </c>
      <c r="I2981">
        <v>215.9717</v>
      </c>
      <c r="J2981">
        <v>-294.69990000000001</v>
      </c>
      <c r="K2981">
        <v>1.111065</v>
      </c>
      <c r="L2981">
        <v>214.4051</v>
      </c>
      <c r="M2981">
        <v>0.99984419999999996</v>
      </c>
      <c r="N2981">
        <v>-1.4175190000000001E-2</v>
      </c>
      <c r="O2981">
        <v>1.052662E-2</v>
      </c>
      <c r="P2981">
        <v>0.93448249999999999</v>
      </c>
      <c r="Q2981">
        <v>0.34317160000000002</v>
      </c>
      <c r="R2981">
        <v>9.4742389999999996E-2</v>
      </c>
      <c r="S2981">
        <v>3.2696839999999998</v>
      </c>
      <c r="T2981">
        <v>-0.27013720000000002</v>
      </c>
      <c r="U2981">
        <v>0.38165280000000001</v>
      </c>
      <c r="V2981">
        <v>-8.4924120000000006E-2</v>
      </c>
      <c r="W2981">
        <v>0.35639130000000002</v>
      </c>
      <c r="X2981">
        <v>0.93046930000000005</v>
      </c>
      <c r="Y2981">
        <v>-0.1050841</v>
      </c>
      <c r="Z2981">
        <v>4.3511950000000004E-3</v>
      </c>
      <c r="AA2981">
        <v>0.99445380000000005</v>
      </c>
      <c r="AB2981">
        <v>29</v>
      </c>
      <c r="AC2981">
        <v>13.1577</v>
      </c>
      <c r="AD2981">
        <v>-1.111058754556</v>
      </c>
      <c r="AE2981">
        <v>1.56659999999999</v>
      </c>
      <c r="AF2981">
        <v>-1.4180234223349999</v>
      </c>
      <c r="AG2981">
        <v>-1.111058754556</v>
      </c>
      <c r="AH2981">
        <v>13.0814909953707</v>
      </c>
      <c r="AI2981">
        <v>94.826549126974996</v>
      </c>
      <c r="AJ2981">
        <v>96.186661385982603</v>
      </c>
      <c r="AK2981">
        <v>13.204947884953199</v>
      </c>
      <c r="AL2981">
        <v>69.121261756998194</v>
      </c>
      <c r="AM2981">
        <v>95.214948729887794</v>
      </c>
      <c r="AN2981">
        <v>0.99999999155797703</v>
      </c>
    </row>
    <row r="2982" spans="1:40" x14ac:dyDescent="0.25">
      <c r="A2982" t="str">
        <f>"20190304164701385"</f>
        <v>20190304164701385</v>
      </c>
      <c r="B2982" t="str">
        <f>"1551689221382009"</f>
        <v>1551689221382009</v>
      </c>
      <c r="C2982" t="s">
        <v>40</v>
      </c>
      <c r="D2982">
        <v>4.399597</v>
      </c>
      <c r="E2982">
        <v>0.49988579999999999</v>
      </c>
      <c r="F2982" t="s">
        <v>50</v>
      </c>
      <c r="G2982">
        <v>-281.37990000000002</v>
      </c>
      <c r="H2982" s="1">
        <v>6.3180149999999997E-6</v>
      </c>
      <c r="I2982">
        <v>215.9665</v>
      </c>
      <c r="J2982">
        <v>-294.41800000000001</v>
      </c>
      <c r="K2982">
        <v>1.1110679999999999</v>
      </c>
      <c r="L2982">
        <v>214.40809999999999</v>
      </c>
      <c r="M2982">
        <v>0.99984360000000005</v>
      </c>
      <c r="N2982">
        <v>-1.417232E-2</v>
      </c>
      <c r="O2982">
        <v>1.057861E-2</v>
      </c>
      <c r="P2982">
        <v>0.93435089999999998</v>
      </c>
      <c r="Q2982">
        <v>0.34350540000000002</v>
      </c>
      <c r="R2982">
        <v>9.4828079999999995E-2</v>
      </c>
      <c r="S2982">
        <v>3.2716669999999999</v>
      </c>
      <c r="T2982">
        <v>-0.27290009999999998</v>
      </c>
      <c r="U2982">
        <v>0.38351439999999998</v>
      </c>
      <c r="V2982">
        <v>-8.4961949999999994E-2</v>
      </c>
      <c r="W2982">
        <v>0.35672039999999999</v>
      </c>
      <c r="X2982">
        <v>0.93033980000000005</v>
      </c>
      <c r="Y2982">
        <v>-0.1055128</v>
      </c>
      <c r="Z2982">
        <v>4.4013109999999998E-3</v>
      </c>
      <c r="AA2982">
        <v>0.99440819999999996</v>
      </c>
      <c r="AB2982">
        <v>29</v>
      </c>
      <c r="AC2982">
        <v>13.038099999999901</v>
      </c>
      <c r="AD2982">
        <v>-1.1110616819850001</v>
      </c>
      <c r="AE2982">
        <v>1.5584</v>
      </c>
      <c r="AF2982">
        <v>-1.4102769737441401</v>
      </c>
      <c r="AG2982">
        <v>-1.1110616819850001</v>
      </c>
      <c r="AH2982">
        <v>12.9610620171555</v>
      </c>
      <c r="AI2982">
        <v>94.870980355827498</v>
      </c>
      <c r="AJ2982">
        <v>96.209852260262196</v>
      </c>
      <c r="AK2982">
        <v>13.0848182186991</v>
      </c>
      <c r="AL2982">
        <v>69.101080696319002</v>
      </c>
      <c r="AM2982">
        <v>95.2179811609616</v>
      </c>
      <c r="AN2982">
        <v>1.00000006009399</v>
      </c>
    </row>
    <row r="2983" spans="1:40" x14ac:dyDescent="0.25">
      <c r="A2983" t="str">
        <f>"20190304164701408"</f>
        <v>20190304164701408</v>
      </c>
      <c r="B2983" t="str">
        <f>"1551689221401546"</f>
        <v>1551689221401546</v>
      </c>
      <c r="C2983" t="s">
        <v>40</v>
      </c>
      <c r="D2983">
        <v>4.3917659999999996</v>
      </c>
      <c r="E2983">
        <v>0.49967640000000002</v>
      </c>
      <c r="F2983" t="s">
        <v>50</v>
      </c>
      <c r="G2983">
        <v>-281.25069999999999</v>
      </c>
      <c r="H2983" s="1">
        <v>6.3755399999999996E-6</v>
      </c>
      <c r="I2983">
        <v>215.9648</v>
      </c>
      <c r="J2983">
        <v>-294.11509999999998</v>
      </c>
      <c r="K2983">
        <v>1.1110629999999999</v>
      </c>
      <c r="L2983">
        <v>214.41139999999999</v>
      </c>
      <c r="M2983">
        <v>0.99984309999999998</v>
      </c>
      <c r="N2983">
        <v>-1.416925E-2</v>
      </c>
      <c r="O2983">
        <v>1.0634660000000001E-2</v>
      </c>
      <c r="P2983">
        <v>0.93472080000000002</v>
      </c>
      <c r="Q2983">
        <v>0.34241650000000001</v>
      </c>
      <c r="R2983">
        <v>9.5121339999999999E-2</v>
      </c>
      <c r="S2983">
        <v>3.2730410000000001</v>
      </c>
      <c r="T2983">
        <v>-0.2761788</v>
      </c>
      <c r="U2983">
        <v>0.3869629</v>
      </c>
      <c r="V2983">
        <v>-8.5198850000000007E-2</v>
      </c>
      <c r="W2983">
        <v>0.35563450000000002</v>
      </c>
      <c r="X2983">
        <v>0.9307337</v>
      </c>
      <c r="Y2983">
        <v>-0.1064302</v>
      </c>
      <c r="Z2983">
        <v>4.4825239999999999E-3</v>
      </c>
      <c r="AA2983">
        <v>0.99431009999999997</v>
      </c>
      <c r="AB2983">
        <v>29</v>
      </c>
      <c r="AC2983">
        <v>12.8643999999999</v>
      </c>
      <c r="AD2983">
        <v>-1.11105662446</v>
      </c>
      <c r="AE2983">
        <v>1.5534000000000101</v>
      </c>
      <c r="AF2983">
        <v>-1.4061518345230399</v>
      </c>
      <c r="AG2983">
        <v>-1.11105662446</v>
      </c>
      <c r="AH2983">
        <v>12.7861896143199</v>
      </c>
      <c r="AI2983">
        <v>94.936630723964697</v>
      </c>
      <c r="AJ2983">
        <v>96.275841737647099</v>
      </c>
      <c r="AK2983">
        <v>12.911171699649501</v>
      </c>
      <c r="AL2983">
        <v>69.167663161135593</v>
      </c>
      <c r="AM2983">
        <v>95.230247681766897</v>
      </c>
      <c r="AN2983">
        <v>0.99999998097363096</v>
      </c>
    </row>
    <row r="2984" spans="1:40" x14ac:dyDescent="0.25">
      <c r="A2984" t="str">
        <f>"20190304164701430"</f>
        <v>20190304164701430</v>
      </c>
      <c r="B2984" t="str">
        <f>"1551689221422025"</f>
        <v>1551689221422025</v>
      </c>
      <c r="C2984" t="s">
        <v>40</v>
      </c>
      <c r="D2984">
        <v>4.4229699999999896</v>
      </c>
      <c r="E2984">
        <v>0.49955729999999998</v>
      </c>
      <c r="F2984" t="s">
        <v>50</v>
      </c>
      <c r="G2984">
        <v>-281.21510000000001</v>
      </c>
      <c r="H2984" s="1">
        <v>6.3924949999999999E-6</v>
      </c>
      <c r="I2984">
        <v>215.95509999999999</v>
      </c>
      <c r="J2984">
        <v>-293.82650000000001</v>
      </c>
      <c r="K2984">
        <v>1.1110640000000001</v>
      </c>
      <c r="L2984">
        <v>214.4145</v>
      </c>
      <c r="M2984">
        <v>0.99984260000000003</v>
      </c>
      <c r="N2984">
        <v>-1.4166339999999999E-2</v>
      </c>
      <c r="O2984">
        <v>1.0687840000000001E-2</v>
      </c>
      <c r="P2984">
        <v>0.93495439999999996</v>
      </c>
      <c r="Q2984">
        <v>0.34180080000000002</v>
      </c>
      <c r="R2984">
        <v>9.5039589999999993E-2</v>
      </c>
      <c r="S2984">
        <v>3.2729189999999999</v>
      </c>
      <c r="T2984">
        <v>-0.28188980000000002</v>
      </c>
      <c r="U2984">
        <v>0.39166260000000003</v>
      </c>
      <c r="V2984">
        <v>-8.5064810000000005E-2</v>
      </c>
      <c r="W2984">
        <v>0.35501899999999997</v>
      </c>
      <c r="X2984">
        <v>0.9309809</v>
      </c>
      <c r="Y2984">
        <v>-0.1077683</v>
      </c>
      <c r="Z2984">
        <v>4.6189530000000003E-3</v>
      </c>
      <c r="AA2984">
        <v>0.99416530000000003</v>
      </c>
      <c r="AB2984">
        <v>29</v>
      </c>
      <c r="AC2984">
        <v>12.6114</v>
      </c>
      <c r="AD2984">
        <v>-1.111057607505</v>
      </c>
      <c r="AE2984">
        <v>1.54059999999998</v>
      </c>
      <c r="AF2984">
        <v>-1.3950414132732101</v>
      </c>
      <c r="AG2984">
        <v>-1.111057607505</v>
      </c>
      <c r="AH2984">
        <v>12.5313149620074</v>
      </c>
      <c r="AI2984">
        <v>95.035790605784001</v>
      </c>
      <c r="AJ2984">
        <v>96.352264312558603</v>
      </c>
      <c r="AK2984">
        <v>12.6575844547438</v>
      </c>
      <c r="AL2984">
        <v>69.205390588099405</v>
      </c>
      <c r="AM2984">
        <v>95.220685734917495</v>
      </c>
      <c r="AN2984">
        <v>0.99999997421307196</v>
      </c>
    </row>
    <row r="2985" spans="1:40" x14ac:dyDescent="0.25">
      <c r="A2985" t="str">
        <f>"20190304164701455"</f>
        <v>20190304164701455</v>
      </c>
      <c r="B2985" t="str">
        <f>"1551689221441545"</f>
        <v>1551689221441545</v>
      </c>
      <c r="C2985" t="s">
        <v>40</v>
      </c>
      <c r="D2985">
        <v>4.3938969999999999</v>
      </c>
      <c r="E2985">
        <v>0.4994362</v>
      </c>
      <c r="F2985" t="s">
        <v>50</v>
      </c>
      <c r="G2985">
        <v>-281.07220000000001</v>
      </c>
      <c r="H2985" s="1">
        <v>6.4567920000000004E-6</v>
      </c>
      <c r="I2985">
        <v>215.94730000000001</v>
      </c>
      <c r="J2985">
        <v>-293.52760000000001</v>
      </c>
      <c r="K2985">
        <v>1.1110469999999999</v>
      </c>
      <c r="L2985">
        <v>214.4178</v>
      </c>
      <c r="M2985">
        <v>0.99984200000000001</v>
      </c>
      <c r="N2985">
        <v>-1.416327E-2</v>
      </c>
      <c r="O2985">
        <v>1.074318E-2</v>
      </c>
      <c r="P2985">
        <v>0.93512360000000005</v>
      </c>
      <c r="Q2985">
        <v>0.341141799999999</v>
      </c>
      <c r="R2985">
        <v>9.5740240000000004E-2</v>
      </c>
      <c r="S2985">
        <v>3.27298</v>
      </c>
      <c r="T2985">
        <v>-0.28511550000000002</v>
      </c>
      <c r="U2985">
        <v>0.3933258</v>
      </c>
      <c r="V2985">
        <v>-8.571144E-2</v>
      </c>
      <c r="W2985">
        <v>0.354359599999999</v>
      </c>
      <c r="X2985">
        <v>0.93117280000000002</v>
      </c>
      <c r="Y2985">
        <v>-0.1081984</v>
      </c>
      <c r="Z2985">
        <v>4.6784929999999997E-3</v>
      </c>
      <c r="AA2985">
        <v>0.99411830000000001</v>
      </c>
      <c r="AB2985">
        <v>29</v>
      </c>
      <c r="AC2985">
        <v>12.4553999999999</v>
      </c>
      <c r="AD2985">
        <v>-1.1110405432079999</v>
      </c>
      <c r="AE2985">
        <v>1.5295000000000101</v>
      </c>
      <c r="AF2985">
        <v>-1.38473317273031</v>
      </c>
      <c r="AG2985">
        <v>-1.1110405432079999</v>
      </c>
      <c r="AH2985">
        <v>12.3741173173911</v>
      </c>
      <c r="AI2985">
        <v>95.099025912028594</v>
      </c>
      <c r="AJ2985">
        <v>96.385154229074004</v>
      </c>
      <c r="AK2985">
        <v>12.500827029955699</v>
      </c>
      <c r="AL2985">
        <v>69.245798715843705</v>
      </c>
      <c r="AM2985">
        <v>95.259071641113707</v>
      </c>
      <c r="AN2985">
        <v>0.99999998025943604</v>
      </c>
    </row>
    <row r="2986" spans="1:40" x14ac:dyDescent="0.25">
      <c r="A2986" t="str">
        <f>"20190304164701477"</f>
        <v>20190304164701477</v>
      </c>
      <c r="B2986" t="str">
        <f>"1551689221471802"</f>
        <v>1551689221471802</v>
      </c>
      <c r="C2986" t="s">
        <v>40</v>
      </c>
      <c r="D2986">
        <v>4.4117410000000001</v>
      </c>
      <c r="E2986">
        <v>0.4993339</v>
      </c>
      <c r="F2986" t="s">
        <v>50</v>
      </c>
      <c r="G2986">
        <v>-280.94209999999998</v>
      </c>
      <c r="H2986" s="1">
        <v>6.5149129999999998E-6</v>
      </c>
      <c r="I2986">
        <v>215.9436</v>
      </c>
      <c r="J2986">
        <v>-293.23970000000003</v>
      </c>
      <c r="K2986">
        <v>1.111032</v>
      </c>
      <c r="L2986">
        <v>214.42089999999999</v>
      </c>
      <c r="M2986">
        <v>0.99984150000000005</v>
      </c>
      <c r="N2986">
        <v>-1.4160310000000001E-2</v>
      </c>
      <c r="O2986">
        <v>1.079636E-2</v>
      </c>
      <c r="P2986">
        <v>0.93643969999999999</v>
      </c>
      <c r="Q2986">
        <v>0.33711239999999998</v>
      </c>
      <c r="R2986">
        <v>9.7139139999999999E-2</v>
      </c>
      <c r="S2986">
        <v>3.2729189999999999</v>
      </c>
      <c r="T2986">
        <v>-0.28893150000000001</v>
      </c>
      <c r="U2986">
        <v>0.39678960000000002</v>
      </c>
      <c r="V2986">
        <v>-8.7046200000000004E-2</v>
      </c>
      <c r="W2986">
        <v>0.35034700000000002</v>
      </c>
      <c r="X2986">
        <v>0.93256629999999996</v>
      </c>
      <c r="Y2986">
        <v>-0.10916969999999999</v>
      </c>
      <c r="Z2986">
        <v>4.7739239999999997E-3</v>
      </c>
      <c r="AA2986">
        <v>0.9940116</v>
      </c>
      <c r="AB2986">
        <v>29</v>
      </c>
      <c r="AC2986">
        <v>12.297599999999999</v>
      </c>
      <c r="AD2986">
        <v>-1.1110254850870001</v>
      </c>
      <c r="AE2986">
        <v>1.5227000000000099</v>
      </c>
      <c r="AF2986">
        <v>-1.37874494877626</v>
      </c>
      <c r="AG2986">
        <v>-1.1110254850870001</v>
      </c>
      <c r="AH2986">
        <v>12.2151275701533</v>
      </c>
      <c r="AI2986">
        <v>95.164416632859201</v>
      </c>
      <c r="AJ2986">
        <v>96.4398291963698</v>
      </c>
      <c r="AK2986">
        <v>12.342797771064999</v>
      </c>
      <c r="AL2986">
        <v>69.491458979436302</v>
      </c>
      <c r="AM2986">
        <v>95.332565667278402</v>
      </c>
      <c r="AN2986">
        <v>0.99999998261956402</v>
      </c>
    </row>
    <row r="2987" spans="1:40" x14ac:dyDescent="0.25">
      <c r="A2987" t="str">
        <f>"20190304164701498"</f>
        <v>20190304164701498</v>
      </c>
      <c r="B2987" t="str">
        <f>"1551689221491322"</f>
        <v>1551689221491322</v>
      </c>
      <c r="C2987" t="s">
        <v>40</v>
      </c>
      <c r="D2987">
        <v>4.4126110000000001</v>
      </c>
      <c r="E2987">
        <v>0.49932939999999998</v>
      </c>
      <c r="F2987" t="s">
        <v>50</v>
      </c>
      <c r="G2987">
        <v>-281.30689999999998</v>
      </c>
      <c r="H2987" s="1">
        <v>6.3616640000000003E-6</v>
      </c>
      <c r="I2987">
        <v>215.87219999999999</v>
      </c>
      <c r="J2987">
        <v>-292.97039999999998</v>
      </c>
      <c r="K2987">
        <v>1.1110450000000001</v>
      </c>
      <c r="L2987">
        <v>214.4239</v>
      </c>
      <c r="M2987">
        <v>0.99984099999999998</v>
      </c>
      <c r="N2987">
        <v>-1.415752E-2</v>
      </c>
      <c r="O2987">
        <v>1.0846140000000001E-2</v>
      </c>
      <c r="P2987">
        <v>0.93632210000000005</v>
      </c>
      <c r="Q2987">
        <v>0.33732479999999998</v>
      </c>
      <c r="R2987">
        <v>9.7535549999999999E-2</v>
      </c>
      <c r="S2987">
        <v>3.2720340000000001</v>
      </c>
      <c r="T2987">
        <v>-0.30464740000000001</v>
      </c>
      <c r="U2987">
        <v>0.39793400000000001</v>
      </c>
      <c r="V2987">
        <v>-8.7396879999999996E-2</v>
      </c>
      <c r="W2987">
        <v>0.35055500000000001</v>
      </c>
      <c r="X2987">
        <v>0.93245529999999999</v>
      </c>
      <c r="Y2987">
        <v>-0.109447</v>
      </c>
      <c r="Z2987">
        <v>4.9940449999999999E-3</v>
      </c>
      <c r="AA2987">
        <v>0.99398010000000003</v>
      </c>
      <c r="AB2987">
        <v>29</v>
      </c>
      <c r="AC2987">
        <v>11.663500000000001</v>
      </c>
      <c r="AD2987">
        <v>-1.111038638336</v>
      </c>
      <c r="AE2987">
        <v>1.4482999999999799</v>
      </c>
      <c r="AF2987">
        <v>-1.3099917538824799</v>
      </c>
      <c r="AG2987">
        <v>-1.111038638336</v>
      </c>
      <c r="AH2987">
        <v>11.5750860033873</v>
      </c>
      <c r="AI2987">
        <v>95.448189992258193</v>
      </c>
      <c r="AJ2987">
        <v>96.456884227053607</v>
      </c>
      <c r="AK2987">
        <v>11.7018417882369</v>
      </c>
      <c r="AL2987">
        <v>69.478733881675794</v>
      </c>
      <c r="AM2987">
        <v>95.354557829271698</v>
      </c>
      <c r="AN2987">
        <v>0.99999995457841095</v>
      </c>
    </row>
    <row r="2988" spans="1:40" x14ac:dyDescent="0.25">
      <c r="A2988" t="str">
        <f>"20190304164701519"</f>
        <v>20190304164701519</v>
      </c>
      <c r="B2988" t="str">
        <f>"1551689221511817"</f>
        <v>1551689221511817</v>
      </c>
      <c r="C2988" t="s">
        <v>40</v>
      </c>
      <c r="D2988">
        <v>4.9094170000000004</v>
      </c>
      <c r="E2988">
        <v>0.50150989999999995</v>
      </c>
      <c r="F2988" t="s">
        <v>50</v>
      </c>
      <c r="G2988">
        <v>-281.00560000000002</v>
      </c>
      <c r="H2988" s="1">
        <v>6.4956080000000003E-6</v>
      </c>
      <c r="I2988">
        <v>215.86940000000001</v>
      </c>
      <c r="J2988">
        <v>-292.69229999999999</v>
      </c>
      <c r="K2988">
        <v>1.111067</v>
      </c>
      <c r="L2988">
        <v>214.42699999999999</v>
      </c>
      <c r="M2988">
        <v>0.99984039999999996</v>
      </c>
      <c r="N2988">
        <v>-1.415461E-2</v>
      </c>
      <c r="O2988">
        <v>1.089766E-2</v>
      </c>
      <c r="P2988">
        <v>0.93500550000000004</v>
      </c>
      <c r="Q2988">
        <v>0.34097919999999998</v>
      </c>
      <c r="R2988">
        <v>9.7456860000000006E-2</v>
      </c>
      <c r="S2988">
        <v>3.2723080000000002</v>
      </c>
      <c r="T2988">
        <v>-0.30386299999999999</v>
      </c>
      <c r="U2988">
        <v>0.39532469999999997</v>
      </c>
      <c r="V2988">
        <v>-8.7284769999999998E-2</v>
      </c>
      <c r="W2988">
        <v>0.354188</v>
      </c>
      <c r="X2988">
        <v>0.93109200000000003</v>
      </c>
      <c r="Y2988">
        <v>-0.10861129999999999</v>
      </c>
      <c r="Z2988">
        <v>4.9347009999999997E-3</v>
      </c>
      <c r="AA2988">
        <v>0.99407199999999996</v>
      </c>
      <c r="AB2988">
        <v>29</v>
      </c>
      <c r="AC2988">
        <v>11.686699999999901</v>
      </c>
      <c r="AD2988">
        <v>-1.1110605043919899</v>
      </c>
      <c r="AE2988">
        <v>1.4423999999999899</v>
      </c>
      <c r="AF2988">
        <v>-1.3033405240023701</v>
      </c>
      <c r="AG2988">
        <v>-1.1110605043919899</v>
      </c>
      <c r="AH2988">
        <v>11.5984675906903</v>
      </c>
      <c r="AI2988">
        <v>95.437861604977201</v>
      </c>
      <c r="AJ2988">
        <v>96.411532347357706</v>
      </c>
      <c r="AK2988">
        <v>11.724231421215601</v>
      </c>
      <c r="AL2988">
        <v>69.256313910625806</v>
      </c>
      <c r="AM2988">
        <v>95.355513637813104</v>
      </c>
      <c r="AN2988">
        <v>1.00000004144097</v>
      </c>
    </row>
    <row r="2989" spans="1:40" x14ac:dyDescent="0.25">
      <c r="A2989" t="str">
        <f>"20190304164701542"</f>
        <v>20190304164701542</v>
      </c>
      <c r="B2989" t="str">
        <f>"1551689221531338"</f>
        <v>1551689221531338</v>
      </c>
      <c r="C2989" t="s">
        <v>40</v>
      </c>
      <c r="D2989">
        <v>4.5244059999999999</v>
      </c>
      <c r="E2989">
        <v>0.56954229999999995</v>
      </c>
      <c r="F2989" t="s">
        <v>50</v>
      </c>
      <c r="G2989">
        <v>-280.2901</v>
      </c>
      <c r="H2989" s="1">
        <v>6.8149389999999998E-6</v>
      </c>
      <c r="I2989">
        <v>215.85220000000001</v>
      </c>
      <c r="J2989">
        <v>-292.41030000000001</v>
      </c>
      <c r="K2989">
        <v>1.1110789999999999</v>
      </c>
      <c r="L2989">
        <v>214.43010000000001</v>
      </c>
      <c r="M2989">
        <v>0.9998399</v>
      </c>
      <c r="N2989">
        <v>-1.4150980000000001E-2</v>
      </c>
      <c r="O2989">
        <v>1.0949840000000001E-2</v>
      </c>
      <c r="P2989">
        <v>0.93460989999999999</v>
      </c>
      <c r="Q2989">
        <v>0.34215069999999997</v>
      </c>
      <c r="R2989">
        <v>9.7144480000000005E-2</v>
      </c>
      <c r="S2989">
        <v>3.2763369999999998</v>
      </c>
      <c r="T2989">
        <v>-0.29351319999999997</v>
      </c>
      <c r="U2989">
        <v>0.37649539999999998</v>
      </c>
      <c r="V2989">
        <v>-8.6927630000000006E-2</v>
      </c>
      <c r="W2989">
        <v>0.35535060000000002</v>
      </c>
      <c r="X2989">
        <v>0.93068229999999996</v>
      </c>
      <c r="Y2989">
        <v>-0.1028352</v>
      </c>
      <c r="Z2989">
        <v>4.492383E-3</v>
      </c>
      <c r="AA2989">
        <v>0.99468829999999997</v>
      </c>
      <c r="AB2989">
        <v>29</v>
      </c>
      <c r="AC2989">
        <v>12.120200000000001</v>
      </c>
      <c r="AD2989">
        <v>-1.1110721850609999</v>
      </c>
      <c r="AE2989">
        <v>1.4220999999999999</v>
      </c>
      <c r="AF2989">
        <v>-1.27868754061135</v>
      </c>
      <c r="AG2989">
        <v>-1.1110721850609999</v>
      </c>
      <c r="AH2989">
        <v>12.035280453131399</v>
      </c>
      <c r="AI2989">
        <v>95.245123280054997</v>
      </c>
      <c r="AJ2989">
        <v>96.064635251814494</v>
      </c>
      <c r="AK2989">
        <v>12.153908787400701</v>
      </c>
      <c r="AL2989">
        <v>69.185066688631906</v>
      </c>
      <c r="AM2989">
        <v>95.336061742849594</v>
      </c>
      <c r="AN2989">
        <v>1.00000000265553</v>
      </c>
    </row>
    <row r="2990" spans="1:40" x14ac:dyDescent="0.25">
      <c r="A2990" t="str">
        <f>"20190304164701563"</f>
        <v>20190304164701563</v>
      </c>
      <c r="B2990" t="str">
        <f>"1551689221551834"</f>
        <v>1551689221551834</v>
      </c>
      <c r="C2990" t="s">
        <v>40</v>
      </c>
      <c r="D2990">
        <v>4.6044809999999998</v>
      </c>
      <c r="E2990">
        <v>0.57182409999999995</v>
      </c>
      <c r="F2990" t="s">
        <v>41</v>
      </c>
      <c r="G2990">
        <v>-291.52760000000001</v>
      </c>
      <c r="H2990">
        <v>1.020572</v>
      </c>
      <c r="I2990">
        <v>214.3877</v>
      </c>
      <c r="J2990">
        <v>-292.13220000000001</v>
      </c>
      <c r="K2990">
        <v>1.111089</v>
      </c>
      <c r="L2990">
        <v>214.4332</v>
      </c>
      <c r="M2990">
        <v>0.99983949999999999</v>
      </c>
      <c r="N2990">
        <v>-1.41455E-2</v>
      </c>
      <c r="O2990">
        <v>1.100131E-2</v>
      </c>
      <c r="P2990">
        <v>0.9337723</v>
      </c>
      <c r="Q2990">
        <v>0.34448679999999998</v>
      </c>
      <c r="R2990">
        <v>9.6945180000000006E-2</v>
      </c>
      <c r="S2990">
        <v>3.3524479999999999</v>
      </c>
      <c r="T2990">
        <v>-0.34376810000000002</v>
      </c>
      <c r="U2990">
        <v>-0.1606445</v>
      </c>
      <c r="V2990">
        <v>-8.6689260000000004E-2</v>
      </c>
      <c r="W2990">
        <v>0.35766999999999999</v>
      </c>
      <c r="X2990">
        <v>0.92981559999999996</v>
      </c>
      <c r="Y2990">
        <v>5.8459410000000003E-2</v>
      </c>
      <c r="Z2990">
        <v>-4.3720900000000004E-3</v>
      </c>
      <c r="AA2990">
        <v>0.99828019999999995</v>
      </c>
      <c r="AB2990">
        <v>29</v>
      </c>
      <c r="AC2990">
        <v>0.60460000000000402</v>
      </c>
      <c r="AD2990">
        <v>-9.0516999999999903E-2</v>
      </c>
      <c r="AE2990">
        <v>-4.5500000000004003E-2</v>
      </c>
      <c r="AF2990">
        <v>5.10123394418028E-2</v>
      </c>
      <c r="AG2990">
        <v>-9.0516999999999903E-2</v>
      </c>
      <c r="AH2990">
        <v>0.59089296576349704</v>
      </c>
      <c r="AI2990">
        <v>98.677470956896599</v>
      </c>
      <c r="AJ2990">
        <v>85.065835941085695</v>
      </c>
      <c r="AK2990">
        <v>0.599958401102199</v>
      </c>
      <c r="AL2990">
        <v>69.042827456231606</v>
      </c>
      <c r="AM2990">
        <v>95.326445267898194</v>
      </c>
      <c r="AN2990">
        <v>0.99999995335135194</v>
      </c>
    </row>
    <row r="2991" spans="1:40" x14ac:dyDescent="0.25">
      <c r="A2991" t="str">
        <f>"20190304164701586"</f>
        <v>20190304164701586</v>
      </c>
      <c r="B2991" t="str">
        <f>"1551689221582090"</f>
        <v>1551689221582090</v>
      </c>
      <c r="C2991" t="s">
        <v>40</v>
      </c>
      <c r="D2991">
        <v>4.3762819999999998</v>
      </c>
      <c r="E2991">
        <v>0.57321290000000003</v>
      </c>
      <c r="F2991" t="s">
        <v>41</v>
      </c>
      <c r="G2991">
        <v>-291.27319999999997</v>
      </c>
      <c r="H2991">
        <v>1.018923</v>
      </c>
      <c r="I2991">
        <v>214.3879</v>
      </c>
      <c r="J2991">
        <v>-291.8297</v>
      </c>
      <c r="K2991">
        <v>1.111092</v>
      </c>
      <c r="L2991">
        <v>214.4366</v>
      </c>
      <c r="M2991">
        <v>0.99983889999999997</v>
      </c>
      <c r="N2991">
        <v>-1.4138420000000001E-2</v>
      </c>
      <c r="O2991">
        <v>1.105738E-2</v>
      </c>
      <c r="P2991">
        <v>0.93272319999999997</v>
      </c>
      <c r="Q2991">
        <v>0.3472905</v>
      </c>
      <c r="R2991">
        <v>9.7039139999999996E-2</v>
      </c>
      <c r="S2991">
        <v>3.3643489999999998</v>
      </c>
      <c r="T2991">
        <v>-0.36113119999999999</v>
      </c>
      <c r="U2991">
        <v>-0.17630000000000001</v>
      </c>
      <c r="V2991">
        <v>-8.6742719999999995E-2</v>
      </c>
      <c r="W2991">
        <v>0.36045139999999998</v>
      </c>
      <c r="X2991">
        <v>0.92873600000000001</v>
      </c>
      <c r="Y2991">
        <v>6.2914650000000003E-2</v>
      </c>
      <c r="Z2991">
        <v>-4.8381429999999996E-3</v>
      </c>
      <c r="AA2991">
        <v>0.99800719999999998</v>
      </c>
      <c r="AB2991">
        <v>29</v>
      </c>
      <c r="AC2991">
        <v>0.55650000000002797</v>
      </c>
      <c r="AD2991">
        <v>-9.2168999999999904E-2</v>
      </c>
      <c r="AE2991">
        <v>-4.86999999999966E-2</v>
      </c>
      <c r="AF2991">
        <v>5.33974629999006E-2</v>
      </c>
      <c r="AG2991">
        <v>-9.2168999999999904E-2</v>
      </c>
      <c r="AH2991">
        <v>0.54119481028951699</v>
      </c>
      <c r="AI2991">
        <v>99.619283696728402</v>
      </c>
      <c r="AJ2991">
        <v>84.365099352996793</v>
      </c>
      <c r="AK2991">
        <v>0.55157795124545395</v>
      </c>
      <c r="AL2991">
        <v>68.872080137653001</v>
      </c>
      <c r="AM2991">
        <v>95.335870829892798</v>
      </c>
      <c r="AN2991">
        <v>1.00000003446547</v>
      </c>
    </row>
    <row r="2992" spans="1:40" x14ac:dyDescent="0.25">
      <c r="A2992" t="str">
        <f>"20190304164701609"</f>
        <v>20190304164701609</v>
      </c>
      <c r="B2992" t="str">
        <f>"1551689221601613"</f>
        <v>1551689221601613</v>
      </c>
      <c r="C2992" t="s">
        <v>40</v>
      </c>
      <c r="D2992">
        <v>4.3937160000000004</v>
      </c>
      <c r="E2992">
        <v>0.57354209999999906</v>
      </c>
      <c r="F2992" t="s">
        <v>41</v>
      </c>
      <c r="G2992">
        <v>-291.00940000000003</v>
      </c>
      <c r="H2992">
        <v>1.0366489999999999</v>
      </c>
      <c r="I2992">
        <v>214.39009999999999</v>
      </c>
      <c r="J2992">
        <v>-291.54559999999998</v>
      </c>
      <c r="K2992">
        <v>1.111089</v>
      </c>
      <c r="L2992">
        <v>214.43979999999999</v>
      </c>
      <c r="M2992">
        <v>0.99983849999999996</v>
      </c>
      <c r="N2992">
        <v>-1.413183E-2</v>
      </c>
      <c r="O2992">
        <v>1.1109880000000001E-2</v>
      </c>
      <c r="P2992">
        <v>0.93236719999999895</v>
      </c>
      <c r="Q2992">
        <v>0.34817189999999998</v>
      </c>
      <c r="R2992">
        <v>9.7305000000000003E-2</v>
      </c>
      <c r="S2992">
        <v>3.3493650000000001</v>
      </c>
      <c r="T2992">
        <v>-0.30412509999999998</v>
      </c>
      <c r="U2992">
        <v>-0.18952939999999999</v>
      </c>
      <c r="V2992">
        <v>-8.6963699999999894E-2</v>
      </c>
      <c r="W2992">
        <v>0.36132170000000002</v>
      </c>
      <c r="X2992">
        <v>0.92837700000000001</v>
      </c>
      <c r="Y2992">
        <v>6.7234589999999997E-2</v>
      </c>
      <c r="Z2992">
        <v>-4.3697689999999999E-3</v>
      </c>
      <c r="AA2992">
        <v>0.99772760000000005</v>
      </c>
      <c r="AB2992">
        <v>29</v>
      </c>
      <c r="AC2992">
        <v>0.53619999999995105</v>
      </c>
      <c r="AD2992">
        <v>-7.4440000000000006E-2</v>
      </c>
      <c r="AE2992">
        <v>-4.9700000000001403E-2</v>
      </c>
      <c r="AF2992">
        <v>5.4611067044186098E-2</v>
      </c>
      <c r="AG2992">
        <v>-7.4440000000000006E-2</v>
      </c>
      <c r="AH2992">
        <v>0.52557140373914901</v>
      </c>
      <c r="AI2992">
        <v>98.018934261822295</v>
      </c>
      <c r="AJ2992">
        <v>84.067799445827006</v>
      </c>
      <c r="AK2992">
        <v>0.53361876154427301</v>
      </c>
      <c r="AL2992">
        <v>68.818610652791193</v>
      </c>
      <c r="AM2992">
        <v>95.351441963651396</v>
      </c>
      <c r="AN2992">
        <v>0.99999995506878903</v>
      </c>
    </row>
    <row r="2993" spans="1:40" x14ac:dyDescent="0.25">
      <c r="A2993" t="str">
        <f>"20190304164701632"</f>
        <v>20190304164701632</v>
      </c>
      <c r="B2993" t="str">
        <f>"1551689221622106"</f>
        <v>1551689221622106</v>
      </c>
      <c r="C2993" t="s">
        <v>40</v>
      </c>
      <c r="D2993">
        <v>4.3773179999999998</v>
      </c>
      <c r="E2993">
        <v>0.57363120000000001</v>
      </c>
      <c r="F2993" t="s">
        <v>41</v>
      </c>
      <c r="G2993">
        <v>-290.75220000000002</v>
      </c>
      <c r="H2993">
        <v>1.0417379999999901</v>
      </c>
      <c r="I2993">
        <v>214.39449999999999</v>
      </c>
      <c r="J2993">
        <v>-291.25700000000001</v>
      </c>
      <c r="K2993">
        <v>1.1110880000000001</v>
      </c>
      <c r="L2993">
        <v>214.44309999999999</v>
      </c>
      <c r="M2993">
        <v>0.999838</v>
      </c>
      <c r="N2993">
        <v>-1.412543E-2</v>
      </c>
      <c r="O2993">
        <v>1.1163380000000001E-2</v>
      </c>
      <c r="P2993">
        <v>0.93167750000000005</v>
      </c>
      <c r="Q2993">
        <v>0.34989510000000001</v>
      </c>
      <c r="R2993">
        <v>9.7727880000000003E-2</v>
      </c>
      <c r="S2993">
        <v>3.3467709999999999</v>
      </c>
      <c r="T2993">
        <v>-0.2926549</v>
      </c>
      <c r="U2993">
        <v>-0.19050600000000001</v>
      </c>
      <c r="V2993">
        <v>-8.7344210000000005E-2</v>
      </c>
      <c r="W2993">
        <v>0.3630294</v>
      </c>
      <c r="X2993">
        <v>0.92767489999999997</v>
      </c>
      <c r="Y2993">
        <v>6.7644200000000002E-2</v>
      </c>
      <c r="Z2993">
        <v>-4.2450320000000001E-3</v>
      </c>
      <c r="AA2993">
        <v>0.99770049999999999</v>
      </c>
      <c r="AB2993">
        <v>29</v>
      </c>
      <c r="AC2993">
        <v>0.50479999999998804</v>
      </c>
      <c r="AD2993">
        <v>-6.9349999999999995E-2</v>
      </c>
      <c r="AE2993">
        <v>-4.8599999999993301E-2</v>
      </c>
      <c r="AF2993">
        <v>5.3237257269829898E-2</v>
      </c>
      <c r="AG2993">
        <v>-6.9349999999999995E-2</v>
      </c>
      <c r="AH2993">
        <v>0.494969885924954</v>
      </c>
      <c r="AI2993">
        <v>97.930612048967603</v>
      </c>
      <c r="AJ2993">
        <v>83.861063161997706</v>
      </c>
      <c r="AK2993">
        <v>0.50263188919345003</v>
      </c>
      <c r="AL2993">
        <v>68.7136420242757</v>
      </c>
      <c r="AM2993">
        <v>95.3787643378393</v>
      </c>
      <c r="AN2993">
        <v>1.0000000381874401</v>
      </c>
    </row>
    <row r="2994" spans="1:40" x14ac:dyDescent="0.25">
      <c r="A2994" t="str">
        <f>"20190304164701655"</f>
        <v>20190304164701655</v>
      </c>
      <c r="B2994" t="str">
        <f>"1551689221651818"</f>
        <v>1551689221651818</v>
      </c>
      <c r="C2994" t="s">
        <v>40</v>
      </c>
      <c r="D2994">
        <v>4.5638719999999999</v>
      </c>
      <c r="E2994">
        <v>0.57281150000000003</v>
      </c>
      <c r="F2994" t="s">
        <v>41</v>
      </c>
      <c r="G2994">
        <v>-290.49430000000001</v>
      </c>
      <c r="H2994">
        <v>1.04627</v>
      </c>
      <c r="I2994">
        <v>214.40020000000001</v>
      </c>
      <c r="J2994">
        <v>-290.96730000000002</v>
      </c>
      <c r="K2994">
        <v>1.111089</v>
      </c>
      <c r="L2994">
        <v>214.44640000000001</v>
      </c>
      <c r="M2994">
        <v>0.99983739999999999</v>
      </c>
      <c r="N2994">
        <v>-1.411928E-2</v>
      </c>
      <c r="O2994">
        <v>1.121689E-2</v>
      </c>
      <c r="P2994">
        <v>0.93161879999999997</v>
      </c>
      <c r="Q2994">
        <v>0.3499256</v>
      </c>
      <c r="R2994">
        <v>9.8176659999999999E-2</v>
      </c>
      <c r="S2994">
        <v>3.346527</v>
      </c>
      <c r="T2994">
        <v>-0.28444370000000002</v>
      </c>
      <c r="U2994">
        <v>-0.18786620000000001</v>
      </c>
      <c r="V2994">
        <v>-8.7743639999999998E-2</v>
      </c>
      <c r="W2994">
        <v>0.36305340000000003</v>
      </c>
      <c r="X2994">
        <v>0.9276278</v>
      </c>
      <c r="Y2994">
        <v>6.6937360000000001E-2</v>
      </c>
      <c r="Z2994">
        <v>-4.1043119999999997E-3</v>
      </c>
      <c r="AA2994">
        <v>0.99774870000000004</v>
      </c>
      <c r="AB2994">
        <v>28</v>
      </c>
      <c r="AC2994">
        <v>0.47300000000001302</v>
      </c>
      <c r="AD2994">
        <v>-6.4818999999999904E-2</v>
      </c>
      <c r="AE2994">
        <v>-4.6199999999998902E-2</v>
      </c>
      <c r="AF2994">
        <v>5.0562646469559699E-2</v>
      </c>
      <c r="AG2994">
        <v>-6.4818999999999904E-2</v>
      </c>
      <c r="AH2994">
        <v>0.46382393066670402</v>
      </c>
      <c r="AI2994">
        <v>97.909254760100694</v>
      </c>
      <c r="AJ2994">
        <v>83.778605736346805</v>
      </c>
      <c r="AK2994">
        <v>0.47105278115951799</v>
      </c>
      <c r="AL2994">
        <v>68.712165975577406</v>
      </c>
      <c r="AM2994">
        <v>95.403489207281396</v>
      </c>
      <c r="AN2994">
        <v>1.00000002647242</v>
      </c>
    </row>
    <row r="2995" spans="1:40" x14ac:dyDescent="0.25">
      <c r="A2995" t="str">
        <f>"20190304164701680"</f>
        <v>20190304164701680</v>
      </c>
      <c r="B2995" t="str">
        <f>"1551689221671338"</f>
        <v>1551689221671338</v>
      </c>
      <c r="C2995" t="s">
        <v>40</v>
      </c>
      <c r="D2995">
        <v>4.4534949999999904</v>
      </c>
      <c r="E2995">
        <v>0.5727158</v>
      </c>
      <c r="F2995" t="s">
        <v>41</v>
      </c>
      <c r="G2995">
        <v>-289.99919999999997</v>
      </c>
      <c r="H2995">
        <v>1.023056</v>
      </c>
      <c r="I2995">
        <v>214.39500000000001</v>
      </c>
      <c r="J2995">
        <v>-290.65280000000001</v>
      </c>
      <c r="K2995">
        <v>1.111075</v>
      </c>
      <c r="L2995">
        <v>214.45</v>
      </c>
      <c r="M2995">
        <v>0.99983670000000002</v>
      </c>
      <c r="N2995">
        <v>-1.4115249999999999E-2</v>
      </c>
      <c r="O2995">
        <v>1.127509E-2</v>
      </c>
      <c r="P2995">
        <v>0.93288919999999997</v>
      </c>
      <c r="Q2995">
        <v>0.34628249999999999</v>
      </c>
      <c r="R2995">
        <v>9.9026100000000006E-2</v>
      </c>
      <c r="S2995">
        <v>3.3534549999999999</v>
      </c>
      <c r="T2995">
        <v>-0.30501129999999999</v>
      </c>
      <c r="U2995">
        <v>-0.177536</v>
      </c>
      <c r="V2995">
        <v>-8.8524069999999996E-2</v>
      </c>
      <c r="W2995">
        <v>0.3594251</v>
      </c>
      <c r="X2995">
        <v>0.92896559999999995</v>
      </c>
      <c r="Y2995">
        <v>6.378752E-2</v>
      </c>
      <c r="Z2995">
        <v>-4.2084749999999997E-3</v>
      </c>
      <c r="AA2995">
        <v>0.99795460000000002</v>
      </c>
      <c r="AB2995">
        <v>28</v>
      </c>
      <c r="AC2995">
        <v>0.65360000000003904</v>
      </c>
      <c r="AD2995">
        <v>-8.8019E-2</v>
      </c>
      <c r="AE2995">
        <v>-5.49999999999784E-2</v>
      </c>
      <c r="AF2995">
        <v>6.1263408494452699E-2</v>
      </c>
      <c r="AG2995">
        <v>-8.8019E-2</v>
      </c>
      <c r="AH2995">
        <v>0.64138816598527304</v>
      </c>
      <c r="AI2995">
        <v>97.779038347651706</v>
      </c>
      <c r="AJ2995">
        <v>84.5438377116688</v>
      </c>
      <c r="AK2995">
        <v>0.65029172611014396</v>
      </c>
      <c r="AL2995">
        <v>68.935106343294393</v>
      </c>
      <c r="AM2995">
        <v>95.443458783278203</v>
      </c>
      <c r="AN2995">
        <v>0.999999999731367</v>
      </c>
    </row>
    <row r="2996" spans="1:40" x14ac:dyDescent="0.25">
      <c r="A2996" t="str">
        <f>"20190304164701702"</f>
        <v>20190304164701702</v>
      </c>
      <c r="B2996" t="str">
        <f>"1551689221691836"</f>
        <v>1551689221691836</v>
      </c>
      <c r="C2996" t="s">
        <v>40</v>
      </c>
      <c r="D2996">
        <v>4.4975509999999996</v>
      </c>
      <c r="E2996">
        <v>0.57228650000000003</v>
      </c>
      <c r="F2996" t="s">
        <v>41</v>
      </c>
      <c r="G2996">
        <v>-289.7457</v>
      </c>
      <c r="H2996">
        <v>1.0233270000000001</v>
      </c>
      <c r="I2996">
        <v>214.4024</v>
      </c>
      <c r="J2996">
        <v>-290.36739999999998</v>
      </c>
      <c r="K2996">
        <v>1.111076</v>
      </c>
      <c r="L2996">
        <v>214.45330000000001</v>
      </c>
      <c r="M2996">
        <v>0.99983630000000001</v>
      </c>
      <c r="N2996">
        <v>-1.411309E-2</v>
      </c>
      <c r="O2996">
        <v>1.132791E-2</v>
      </c>
      <c r="P2996">
        <v>0.93320099999999995</v>
      </c>
      <c r="Q2996">
        <v>0.3454296</v>
      </c>
      <c r="R2996">
        <v>9.9069089999999999E-2</v>
      </c>
      <c r="S2996">
        <v>3.3549500000000001</v>
      </c>
      <c r="T2996">
        <v>-0.32470329999999997</v>
      </c>
      <c r="U2996">
        <v>-0.1749725</v>
      </c>
      <c r="V2996">
        <v>-8.8513910000000001E-2</v>
      </c>
      <c r="W2996">
        <v>0.35857470000000002</v>
      </c>
      <c r="X2996">
        <v>0.92929519999999999</v>
      </c>
      <c r="Y2996">
        <v>6.3017729999999994E-2</v>
      </c>
      <c r="Z2996">
        <v>-4.4202499999999997E-3</v>
      </c>
      <c r="AA2996">
        <v>0.99800259999999996</v>
      </c>
      <c r="AB2996">
        <v>28</v>
      </c>
      <c r="AC2996">
        <v>0.62169999999997505</v>
      </c>
      <c r="AD2996">
        <v>-8.7748999999999799E-2</v>
      </c>
      <c r="AE2996">
        <v>-5.0900000000012803E-2</v>
      </c>
      <c r="AF2996">
        <v>5.6815677484096001E-2</v>
      </c>
      <c r="AG2996">
        <v>-8.7748999999999799E-2</v>
      </c>
      <c r="AH2996">
        <v>0.60903140439714099</v>
      </c>
      <c r="AI2996">
        <v>98.163765459409802</v>
      </c>
      <c r="AJ2996">
        <v>84.670382920262398</v>
      </c>
      <c r="AK2996">
        <v>0.61793782838642497</v>
      </c>
      <c r="AL2996">
        <v>68.987311815297602</v>
      </c>
      <c r="AM2996">
        <v>95.440918919003096</v>
      </c>
      <c r="AN2996">
        <v>1.0000000482433</v>
      </c>
    </row>
    <row r="2997" spans="1:40" x14ac:dyDescent="0.25">
      <c r="A2997" t="str">
        <f>"20190304164701722"</f>
        <v>20190304164701722</v>
      </c>
      <c r="B2997" t="str">
        <f>"1551689221711355"</f>
        <v>1551689221711355</v>
      </c>
      <c r="C2997" t="s">
        <v>40</v>
      </c>
      <c r="D2997">
        <v>4.5018710000000004</v>
      </c>
      <c r="E2997">
        <v>0.57231160000000003</v>
      </c>
      <c r="F2997" t="s">
        <v>41</v>
      </c>
      <c r="G2997">
        <v>-289.49259999999998</v>
      </c>
      <c r="H2997">
        <v>1.0232680000000001</v>
      </c>
      <c r="I2997">
        <v>214.4084</v>
      </c>
      <c r="J2997">
        <v>-290.12349999999998</v>
      </c>
      <c r="K2997">
        <v>1.111081</v>
      </c>
      <c r="L2997">
        <v>214.45609999999999</v>
      </c>
      <c r="M2997">
        <v>0.99983580000000005</v>
      </c>
      <c r="N2997">
        <v>-1.4111490000000001E-2</v>
      </c>
      <c r="O2997">
        <v>1.137286E-2</v>
      </c>
      <c r="P2997">
        <v>0.93293320000000002</v>
      </c>
      <c r="Q2997">
        <v>0.3464487</v>
      </c>
      <c r="R2997">
        <v>9.8026680000000005E-2</v>
      </c>
      <c r="S2997">
        <v>3.3577270000000001</v>
      </c>
      <c r="T2997">
        <v>-0.3370744</v>
      </c>
      <c r="U2997">
        <v>-0.1717224</v>
      </c>
      <c r="V2997">
        <v>-8.7432419999999997E-2</v>
      </c>
      <c r="W2997">
        <v>0.35958839999999997</v>
      </c>
      <c r="X2997">
        <v>0.92900579999999999</v>
      </c>
      <c r="Y2997">
        <v>6.203438E-2</v>
      </c>
      <c r="Z2997">
        <v>-4.5213019999999996E-3</v>
      </c>
      <c r="AA2997">
        <v>0.9980637</v>
      </c>
      <c r="AB2997">
        <v>28</v>
      </c>
      <c r="AC2997">
        <v>0.63089999999999602</v>
      </c>
      <c r="AD2997">
        <v>-8.7812999999999905E-2</v>
      </c>
      <c r="AE2997">
        <v>-4.7699999999991798E-2</v>
      </c>
      <c r="AF2997">
        <v>5.38357350250495E-2</v>
      </c>
      <c r="AG2997">
        <v>-8.7812999999999905E-2</v>
      </c>
      <c r="AH2997">
        <v>0.61840440418130205</v>
      </c>
      <c r="AI2997">
        <v>98.051877222100003</v>
      </c>
      <c r="AJ2997">
        <v>85.024609654976999</v>
      </c>
      <c r="AK2997">
        <v>0.62692377243610697</v>
      </c>
      <c r="AL2997">
        <v>68.925079825729298</v>
      </c>
      <c r="AM2997">
        <v>95.376496353889394</v>
      </c>
      <c r="AN2997">
        <v>1.0000000109576199</v>
      </c>
    </row>
    <row r="2998" spans="1:40" x14ac:dyDescent="0.25">
      <c r="A2998" t="str">
        <f>"20190304164701742"</f>
        <v>20190304164701742</v>
      </c>
      <c r="B2998" t="str">
        <f>"1551689221731851"</f>
        <v>1551689221731851</v>
      </c>
      <c r="C2998" t="s">
        <v>40</v>
      </c>
      <c r="D2998">
        <v>4.5199939999999996</v>
      </c>
      <c r="E2998">
        <v>0.57221619999999995</v>
      </c>
      <c r="F2998" t="s">
        <v>41</v>
      </c>
      <c r="G2998">
        <v>-289.24009999999998</v>
      </c>
      <c r="H2998">
        <v>1.022376</v>
      </c>
      <c r="I2998">
        <v>214.40989999999999</v>
      </c>
      <c r="J2998">
        <v>-289.85700000000003</v>
      </c>
      <c r="K2998">
        <v>1.1110819999999999</v>
      </c>
      <c r="L2998">
        <v>214.45920000000001</v>
      </c>
      <c r="M2998">
        <v>0.99983520000000004</v>
      </c>
      <c r="N2998">
        <v>-1.4109740000000001E-2</v>
      </c>
      <c r="O2998">
        <v>1.1422460000000001E-2</v>
      </c>
      <c r="P2998">
        <v>0.93322899999999998</v>
      </c>
      <c r="Q2998">
        <v>0.34596539999999998</v>
      </c>
      <c r="R2998">
        <v>9.6911159999999996E-2</v>
      </c>
      <c r="S2998">
        <v>3.3593440000000001</v>
      </c>
      <c r="T2998">
        <v>-0.3375089</v>
      </c>
      <c r="U2998">
        <v>-0.17448429999999901</v>
      </c>
      <c r="V2998">
        <v>-8.6267579999999996E-2</v>
      </c>
      <c r="W2998">
        <v>0.35910789999999998</v>
      </c>
      <c r="X2998">
        <v>0.92930049999999997</v>
      </c>
      <c r="Y2998">
        <v>6.2872129999999998E-2</v>
      </c>
      <c r="Z2998">
        <v>-4.5767550000000001E-3</v>
      </c>
      <c r="AA2998">
        <v>0.99801110000000004</v>
      </c>
      <c r="AB2998">
        <v>28</v>
      </c>
      <c r="AC2998">
        <v>0.61690000000004297</v>
      </c>
      <c r="AD2998">
        <v>-8.8705999999999896E-2</v>
      </c>
      <c r="AE2998">
        <v>-4.9300000000016497E-2</v>
      </c>
      <c r="AF2998">
        <v>5.5209702574076799E-2</v>
      </c>
      <c r="AG2998">
        <v>-8.8705999999999896E-2</v>
      </c>
      <c r="AH2998">
        <v>0.60388949636899902</v>
      </c>
      <c r="AI2998">
        <v>98.322261843531905</v>
      </c>
      <c r="AJ2998">
        <v>84.776339512426105</v>
      </c>
      <c r="AK2998">
        <v>0.61286163978431596</v>
      </c>
      <c r="AL2998">
        <v>68.954580764348904</v>
      </c>
      <c r="AM2998">
        <v>95.303605294283798</v>
      </c>
      <c r="AN2998">
        <v>0.99999999925085803</v>
      </c>
    </row>
    <row r="2999" spans="1:40" x14ac:dyDescent="0.25">
      <c r="A2999" t="str">
        <f>"20190304164701765"</f>
        <v>20190304164701765</v>
      </c>
      <c r="B2999" t="str">
        <f>"1551689221751371"</f>
        <v>1551689221751371</v>
      </c>
      <c r="C2999" t="s">
        <v>40</v>
      </c>
      <c r="D2999">
        <v>4.525404</v>
      </c>
      <c r="E2999">
        <v>0.57230249999999905</v>
      </c>
      <c r="F2999" t="s">
        <v>41</v>
      </c>
      <c r="G2999">
        <v>-288.98779999999999</v>
      </c>
      <c r="H2999">
        <v>1.022014</v>
      </c>
      <c r="I2999">
        <v>214.41329999999999</v>
      </c>
      <c r="J2999">
        <v>-289.5779</v>
      </c>
      <c r="K2999">
        <v>1.1110850000000001</v>
      </c>
      <c r="L2999">
        <v>214.4624</v>
      </c>
      <c r="M2999">
        <v>0.99983480000000002</v>
      </c>
      <c r="N2999">
        <v>-1.4107949999999999E-2</v>
      </c>
      <c r="O2999">
        <v>1.1474079999999999E-2</v>
      </c>
      <c r="P2999">
        <v>0.93329700000000004</v>
      </c>
      <c r="Q2999">
        <v>0.34607569999999999</v>
      </c>
      <c r="R2999">
        <v>9.5857570000000003E-2</v>
      </c>
      <c r="S2999">
        <v>3.360687</v>
      </c>
      <c r="T2999">
        <v>-0.34450700000000001</v>
      </c>
      <c r="U2999">
        <v>-0.17637630000000001</v>
      </c>
      <c r="V2999">
        <v>-8.5164729999999994E-2</v>
      </c>
      <c r="W2999">
        <v>0.35921730000000002</v>
      </c>
      <c r="X2999">
        <v>0.92935990000000002</v>
      </c>
      <c r="Y2999">
        <v>6.3443910000000006E-2</v>
      </c>
      <c r="Z2999">
        <v>-4.7013380000000002E-3</v>
      </c>
      <c r="AA2999">
        <v>0.99797429999999998</v>
      </c>
      <c r="AB2999">
        <v>28</v>
      </c>
      <c r="AC2999">
        <v>0.59010000000000595</v>
      </c>
      <c r="AD2999">
        <v>-8.9071000000000095E-2</v>
      </c>
      <c r="AE2999">
        <v>-4.91000000000099E-2</v>
      </c>
      <c r="AF2999">
        <v>5.4632138680622701E-2</v>
      </c>
      <c r="AG2999">
        <v>-8.9071000000000095E-2</v>
      </c>
      <c r="AH2999">
        <v>0.57645433868656504</v>
      </c>
      <c r="AI2999">
        <v>98.745033997134698</v>
      </c>
      <c r="AJ2999">
        <v>84.5860941729876</v>
      </c>
      <c r="AK2999">
        <v>0.58584803337417102</v>
      </c>
      <c r="AL2999">
        <v>68.947863634591101</v>
      </c>
      <c r="AM2999">
        <v>95.235850172974096</v>
      </c>
      <c r="AN2999">
        <v>0.99999996179163497</v>
      </c>
    </row>
    <row r="3000" spans="1:40" x14ac:dyDescent="0.25">
      <c r="A3000" t="str">
        <f>"20190304164701789"</f>
        <v>20190304164701789</v>
      </c>
      <c r="B3000" t="str">
        <f>"1551689221781626"</f>
        <v>1551689221781626</v>
      </c>
      <c r="C3000" t="s">
        <v>40</v>
      </c>
      <c r="D3000">
        <v>4.6117900000000001</v>
      </c>
      <c r="E3000">
        <v>0.57215879999999997</v>
      </c>
      <c r="F3000" t="s">
        <v>41</v>
      </c>
      <c r="G3000">
        <v>-288.73439999999999</v>
      </c>
      <c r="H3000">
        <v>1.0243040000000001</v>
      </c>
      <c r="I3000">
        <v>214.41669999999999</v>
      </c>
      <c r="J3000">
        <v>-289.27030000000002</v>
      </c>
      <c r="K3000">
        <v>1.1110899999999999</v>
      </c>
      <c r="L3000">
        <v>214.46600000000001</v>
      </c>
      <c r="M3000">
        <v>0.99983409999999995</v>
      </c>
      <c r="N3000">
        <v>-1.410603E-2</v>
      </c>
      <c r="O3000">
        <v>1.153143E-2</v>
      </c>
      <c r="P3000">
        <v>0.93288979999999999</v>
      </c>
      <c r="Q3000">
        <v>0.34735690000000002</v>
      </c>
      <c r="R3000">
        <v>9.5183799999999999E-2</v>
      </c>
      <c r="S3000">
        <v>3.3613279999999999</v>
      </c>
      <c r="T3000">
        <v>-0.34585339999999998</v>
      </c>
      <c r="U3000">
        <v>-0.18173220000000001</v>
      </c>
      <c r="V3000">
        <v>-8.4441749999999996E-2</v>
      </c>
      <c r="W3000">
        <v>0.36049110000000001</v>
      </c>
      <c r="X3000">
        <v>0.9289326</v>
      </c>
      <c r="Y3000">
        <v>6.5063830000000003E-2</v>
      </c>
      <c r="Z3000">
        <v>-4.817076E-3</v>
      </c>
      <c r="AA3000">
        <v>0.99786949999999996</v>
      </c>
      <c r="AB3000">
        <v>28</v>
      </c>
      <c r="AC3000">
        <v>0.53590000000002602</v>
      </c>
      <c r="AD3000">
        <v>-8.6785999999999794E-2</v>
      </c>
      <c r="AE3000">
        <v>-4.9299999999988103E-2</v>
      </c>
      <c r="AF3000">
        <v>5.4070867682546798E-2</v>
      </c>
      <c r="AG3000">
        <v>-8.6785999999999794E-2</v>
      </c>
      <c r="AH3000">
        <v>0.52172780558974197</v>
      </c>
      <c r="AI3000">
        <v>99.394886888916503</v>
      </c>
      <c r="AJ3000">
        <v>84.083099306502803</v>
      </c>
      <c r="AK3000">
        <v>0.53165343190224101</v>
      </c>
      <c r="AL3000">
        <v>68.869640982224396</v>
      </c>
      <c r="AM3000">
        <v>95.194020990850404</v>
      </c>
      <c r="AN3000">
        <v>1.0000000088325101</v>
      </c>
    </row>
    <row r="3001" spans="1:40" x14ac:dyDescent="0.25">
      <c r="A3001" t="str">
        <f>"20190304164701809"</f>
        <v>20190304164701809</v>
      </c>
      <c r="B3001" t="str">
        <f>"1551689221802122"</f>
        <v>1551689221802122</v>
      </c>
      <c r="C3001" t="s">
        <v>40</v>
      </c>
      <c r="D3001">
        <v>4.5995929999999996</v>
      </c>
      <c r="E3001">
        <v>0.57184749999999995</v>
      </c>
      <c r="F3001" t="s">
        <v>41</v>
      </c>
      <c r="G3001">
        <v>-288.4796</v>
      </c>
      <c r="H3001">
        <v>1.030232</v>
      </c>
      <c r="I3001">
        <v>214.4228</v>
      </c>
      <c r="J3001">
        <v>-289.00540000000001</v>
      </c>
      <c r="K3001">
        <v>1.1110949999999999</v>
      </c>
      <c r="L3001">
        <v>214.4691</v>
      </c>
      <c r="M3001">
        <v>0.99983350000000004</v>
      </c>
      <c r="N3001">
        <v>-1.410437E-2</v>
      </c>
      <c r="O3001">
        <v>1.1580729999999999E-2</v>
      </c>
      <c r="P3001">
        <v>0.93282209999999999</v>
      </c>
      <c r="Q3001">
        <v>0.34770600000000002</v>
      </c>
      <c r="R3001">
        <v>9.4569739999999999E-2</v>
      </c>
      <c r="S3001">
        <v>3.362549</v>
      </c>
      <c r="T3001">
        <v>-0.34395300000000001</v>
      </c>
      <c r="U3001">
        <v>-0.18305969999999999</v>
      </c>
      <c r="V3001">
        <v>-8.3782549999999997E-2</v>
      </c>
      <c r="W3001">
        <v>0.36083749999999998</v>
      </c>
      <c r="X3001">
        <v>0.92885779999999996</v>
      </c>
      <c r="Y3001">
        <v>6.5488469999999993E-2</v>
      </c>
      <c r="Z3001">
        <v>-4.8196439999999997E-3</v>
      </c>
      <c r="AA3001">
        <v>0.99784170000000005</v>
      </c>
      <c r="AB3001">
        <v>28</v>
      </c>
      <c r="AC3001">
        <v>0.52580000000000304</v>
      </c>
      <c r="AD3001">
        <v>-8.0863000000000101E-2</v>
      </c>
      <c r="AE3001">
        <v>-4.6300000000002201E-2</v>
      </c>
      <c r="AF3001">
        <v>5.1185352715596898E-2</v>
      </c>
      <c r="AG3001">
        <v>-8.0863000000000101E-2</v>
      </c>
      <c r="AH3001">
        <v>0.51318430748422905</v>
      </c>
      <c r="AI3001">
        <v>98.911032061537099</v>
      </c>
      <c r="AJ3001">
        <v>84.304117971200299</v>
      </c>
      <c r="AK3001">
        <v>0.52203151106967505</v>
      </c>
      <c r="AL3001">
        <v>68.848361658732799</v>
      </c>
      <c r="AM3001">
        <v>95.154105521234996</v>
      </c>
      <c r="AN3001">
        <v>1.0000000148557899</v>
      </c>
    </row>
    <row r="3002" spans="1:40" x14ac:dyDescent="0.25">
      <c r="A3002" t="str">
        <f>"20190304164701832"</f>
        <v>20190304164701832</v>
      </c>
      <c r="B3002" t="str">
        <f>"1551689221821642"</f>
        <v>1551689221821642</v>
      </c>
      <c r="C3002" t="s">
        <v>40</v>
      </c>
      <c r="D3002">
        <v>4.6137810000000004</v>
      </c>
      <c r="E3002">
        <v>0.57150459999999903</v>
      </c>
      <c r="F3002" t="s">
        <v>41</v>
      </c>
      <c r="G3002">
        <v>-288.22730000000001</v>
      </c>
      <c r="H3002">
        <v>1.031488</v>
      </c>
      <c r="I3002">
        <v>214.4265</v>
      </c>
      <c r="J3002">
        <v>-288.7242</v>
      </c>
      <c r="K3002">
        <v>1.1110949999999999</v>
      </c>
      <c r="L3002">
        <v>214.47239999999999</v>
      </c>
      <c r="M3002">
        <v>0.99983299999999997</v>
      </c>
      <c r="N3002">
        <v>-1.410252E-2</v>
      </c>
      <c r="O3002">
        <v>1.163283E-2</v>
      </c>
      <c r="P3002">
        <v>0.93275589999999997</v>
      </c>
      <c r="Q3002">
        <v>0.34790860000000001</v>
      </c>
      <c r="R3002">
        <v>9.4479359999999998E-2</v>
      </c>
      <c r="S3002">
        <v>3.362854</v>
      </c>
      <c r="T3002">
        <v>-0.34418149999999997</v>
      </c>
      <c r="U3002">
        <v>-0.1826324</v>
      </c>
      <c r="V3002">
        <v>-8.3644049999999998E-2</v>
      </c>
      <c r="W3002">
        <v>0.36103760000000001</v>
      </c>
      <c r="X3002">
        <v>0.92879250000000002</v>
      </c>
      <c r="Y3002">
        <v>6.5408949999999993E-2</v>
      </c>
      <c r="Z3002">
        <v>-4.8221619999999996E-3</v>
      </c>
      <c r="AA3002">
        <v>0.99784689999999998</v>
      </c>
      <c r="AB3002">
        <v>28</v>
      </c>
      <c r="AC3002">
        <v>0.49689999999998202</v>
      </c>
      <c r="AD3002">
        <v>-7.9607000000000205E-2</v>
      </c>
      <c r="AE3002">
        <v>-4.5899999999988901E-2</v>
      </c>
      <c r="AF3002">
        <v>5.0395299832558499E-2</v>
      </c>
      <c r="AG3002">
        <v>-7.9607000000000205E-2</v>
      </c>
      <c r="AH3002">
        <v>0.484014576332427</v>
      </c>
      <c r="AI3002">
        <v>99.290609449345695</v>
      </c>
      <c r="AJ3002">
        <v>84.055816941404203</v>
      </c>
      <c r="AK3002">
        <v>0.49309945325103699</v>
      </c>
      <c r="AL3002">
        <v>68.836067552365904</v>
      </c>
      <c r="AM3002">
        <v>95.145990931851401</v>
      </c>
      <c r="AN3002">
        <v>0.99999999188520605</v>
      </c>
    </row>
    <row r="3003" spans="1:40" x14ac:dyDescent="0.25">
      <c r="A3003" t="str">
        <f>"20190304164701856"</f>
        <v>20190304164701856</v>
      </c>
      <c r="B3003" t="str">
        <f>"1551689221851428"</f>
        <v>1551689221851428</v>
      </c>
      <c r="C3003" t="s">
        <v>40</v>
      </c>
      <c r="D3003">
        <v>4.6057699999999997</v>
      </c>
      <c r="E3003">
        <v>0.57102640000000005</v>
      </c>
      <c r="F3003" t="s">
        <v>41</v>
      </c>
      <c r="G3003">
        <v>-287.97460000000001</v>
      </c>
      <c r="H3003">
        <v>1.0342169999999999</v>
      </c>
      <c r="I3003">
        <v>214.4324</v>
      </c>
      <c r="J3003">
        <v>-288.4427</v>
      </c>
      <c r="K3003">
        <v>1.1110949999999999</v>
      </c>
      <c r="L3003">
        <v>214.47579999999999</v>
      </c>
      <c r="M3003">
        <v>0.99983230000000001</v>
      </c>
      <c r="N3003">
        <v>-1.4100639999999999E-2</v>
      </c>
      <c r="O3003">
        <v>1.168517E-2</v>
      </c>
      <c r="P3003">
        <v>0.93268410000000002</v>
      </c>
      <c r="Q3003">
        <v>0.34806530000000002</v>
      </c>
      <c r="R3003">
        <v>9.4610940000000004E-2</v>
      </c>
      <c r="S3003">
        <v>3.3630979999999999</v>
      </c>
      <c r="T3003">
        <v>-0.3450298</v>
      </c>
      <c r="U3003">
        <v>-0.1788025</v>
      </c>
      <c r="V3003">
        <v>-8.3727699999999905E-2</v>
      </c>
      <c r="W3003">
        <v>0.36119190000000001</v>
      </c>
      <c r="X3003">
        <v>0.92872489999999996</v>
      </c>
      <c r="Y3003">
        <v>6.4328350000000006E-2</v>
      </c>
      <c r="Z3003">
        <v>-4.7747320000000003E-3</v>
      </c>
      <c r="AA3003">
        <v>0.99791739999999995</v>
      </c>
      <c r="AB3003">
        <v>28</v>
      </c>
      <c r="AC3003">
        <v>0.46809999999999202</v>
      </c>
      <c r="AD3003">
        <v>-7.6878000000000196E-2</v>
      </c>
      <c r="AE3003">
        <v>-4.3399999999991203E-2</v>
      </c>
      <c r="AF3003">
        <v>4.7594587793058599E-2</v>
      </c>
      <c r="AG3003">
        <v>-7.6878000000000196E-2</v>
      </c>
      <c r="AH3003">
        <v>0.45538256708299701</v>
      </c>
      <c r="AI3003">
        <v>99.531404410416002</v>
      </c>
      <c r="AJ3003">
        <v>84.033359160922302</v>
      </c>
      <c r="AK3003">
        <v>0.46427228441324397</v>
      </c>
      <c r="AL3003">
        <v>68.826585669683297</v>
      </c>
      <c r="AM3003">
        <v>95.151482537894594</v>
      </c>
      <c r="AN3003">
        <v>0.999999928126452</v>
      </c>
    </row>
    <row r="3004" spans="1:40" x14ac:dyDescent="0.25">
      <c r="A3004" t="str">
        <f>"20190304164701879"</f>
        <v>20190304164701879</v>
      </c>
      <c r="B3004" t="str">
        <f>"1551689221871925"</f>
        <v>1551689221871925</v>
      </c>
      <c r="C3004" t="s">
        <v>40</v>
      </c>
      <c r="D3004">
        <v>4.6055229999999998</v>
      </c>
      <c r="E3004">
        <v>0.57075629999999999</v>
      </c>
      <c r="F3004" t="s">
        <v>41</v>
      </c>
      <c r="G3004">
        <v>-287.4837</v>
      </c>
      <c r="H3004">
        <v>1.0122150000000001</v>
      </c>
      <c r="I3004">
        <v>214.42609999999999</v>
      </c>
      <c r="J3004">
        <v>-288.12779999999998</v>
      </c>
      <c r="K3004">
        <v>1.111097</v>
      </c>
      <c r="L3004">
        <v>214.4795</v>
      </c>
      <c r="M3004">
        <v>0.99983169999999999</v>
      </c>
      <c r="N3004">
        <v>-1.4098350000000001E-2</v>
      </c>
      <c r="O3004">
        <v>1.174366E-2</v>
      </c>
      <c r="P3004">
        <v>0.93317309999999998</v>
      </c>
      <c r="Q3004">
        <v>0.34656150000000002</v>
      </c>
      <c r="R3004">
        <v>9.5304669999999994E-2</v>
      </c>
      <c r="S3004">
        <v>3.3635250000000001</v>
      </c>
      <c r="T3004">
        <v>-0.34684480000000001</v>
      </c>
      <c r="U3004">
        <v>-0.17359920000000001</v>
      </c>
      <c r="V3004">
        <v>-8.436109E-2</v>
      </c>
      <c r="W3004">
        <v>0.35969299999999998</v>
      </c>
      <c r="X3004">
        <v>0.9292492</v>
      </c>
      <c r="Y3004">
        <v>6.2844839999999999E-2</v>
      </c>
      <c r="Z3004">
        <v>-4.7162039999999999E-3</v>
      </c>
      <c r="AA3004">
        <v>0.99801220000000002</v>
      </c>
      <c r="AB3004">
        <v>28</v>
      </c>
      <c r="AC3004">
        <v>0.64409999999998002</v>
      </c>
      <c r="AD3004">
        <v>-9.8882000000000095E-2</v>
      </c>
      <c r="AE3004">
        <v>-5.3400000000010502E-2</v>
      </c>
      <c r="AF3004">
        <v>5.9566855101443203E-2</v>
      </c>
      <c r="AG3004">
        <v>-9.8882000000000095E-2</v>
      </c>
      <c r="AH3004">
        <v>0.62871189637147595</v>
      </c>
      <c r="AI3004">
        <v>98.898888471079104</v>
      </c>
      <c r="AJ3004">
        <v>84.587708555359697</v>
      </c>
      <c r="AK3004">
        <v>0.63922179936990098</v>
      </c>
      <c r="AL3004">
        <v>68.918655850027505</v>
      </c>
      <c r="AM3004">
        <v>95.187328382228799</v>
      </c>
      <c r="AN3004">
        <v>0.99999996172781302</v>
      </c>
    </row>
    <row r="3005" spans="1:40" x14ac:dyDescent="0.25">
      <c r="A3005" t="str">
        <f>"20190304164701900"</f>
        <v>20190304164701900</v>
      </c>
      <c r="B3005" t="str">
        <f>"1551689221891445"</f>
        <v>1551689221891445</v>
      </c>
      <c r="C3005" t="s">
        <v>40</v>
      </c>
      <c r="D3005">
        <v>4.4168129999999897</v>
      </c>
      <c r="E3005">
        <v>0.57077060000000002</v>
      </c>
      <c r="F3005" t="s">
        <v>41</v>
      </c>
      <c r="G3005">
        <v>-287.23099999999999</v>
      </c>
      <c r="H3005">
        <v>1.0168250000000001</v>
      </c>
      <c r="I3005">
        <v>214.43440000000001</v>
      </c>
      <c r="J3005">
        <v>-287.87729999999999</v>
      </c>
      <c r="K3005">
        <v>1.111103</v>
      </c>
      <c r="L3005">
        <v>214.48249999999999</v>
      </c>
      <c r="M3005">
        <v>0.99983120000000003</v>
      </c>
      <c r="N3005">
        <v>-1.409636E-2</v>
      </c>
      <c r="O3005">
        <v>1.17901E-2</v>
      </c>
      <c r="P3005">
        <v>0.93327959999999999</v>
      </c>
      <c r="Q3005">
        <v>0.3461765</v>
      </c>
      <c r="R3005">
        <v>9.5661239999999995E-2</v>
      </c>
      <c r="S3005">
        <v>3.3633730000000002</v>
      </c>
      <c r="T3005">
        <v>-0.3537612</v>
      </c>
      <c r="U3005">
        <v>-0.168045</v>
      </c>
      <c r="V3005">
        <v>-8.4672310000000001E-2</v>
      </c>
      <c r="W3005">
        <v>0.35930759999999901</v>
      </c>
      <c r="X3005">
        <v>0.92937000000000003</v>
      </c>
      <c r="Y3005">
        <v>6.1242909999999998E-2</v>
      </c>
      <c r="Z3005">
        <v>-4.7135049999999998E-3</v>
      </c>
      <c r="AA3005">
        <v>0.99811179999999999</v>
      </c>
      <c r="AB3005">
        <v>28</v>
      </c>
      <c r="AC3005">
        <v>0.64629999999999599</v>
      </c>
      <c r="AD3005">
        <v>-9.4278000000000001E-2</v>
      </c>
      <c r="AE3005">
        <v>-4.8099999999976703E-2</v>
      </c>
      <c r="AF3005">
        <v>5.4562706803144199E-2</v>
      </c>
      <c r="AG3005">
        <v>-9.4278000000000001E-2</v>
      </c>
      <c r="AH3005">
        <v>0.63230712368661901</v>
      </c>
      <c r="AI3005">
        <v>98.449472614834207</v>
      </c>
      <c r="AJ3005">
        <v>85.068080526300704</v>
      </c>
      <c r="AK3005">
        <v>0.64162117243941597</v>
      </c>
      <c r="AL3005">
        <v>68.942319966609205</v>
      </c>
      <c r="AM3005">
        <v>95.205687187171705</v>
      </c>
      <c r="AN3005">
        <v>0.99999997419924702</v>
      </c>
    </row>
    <row r="3006" spans="1:40" x14ac:dyDescent="0.25">
      <c r="A3006" t="str">
        <f>"20190304164701920"</f>
        <v>20190304164701920</v>
      </c>
      <c r="B3006" t="str">
        <f>"1551689221911941"</f>
        <v>1551689221911941</v>
      </c>
      <c r="C3006" t="s">
        <v>40</v>
      </c>
      <c r="D3006">
        <v>4.6077669999999999</v>
      </c>
      <c r="E3006">
        <v>0.57060979999999994</v>
      </c>
      <c r="F3006" t="s">
        <v>41</v>
      </c>
      <c r="G3006">
        <v>-286.98039999999997</v>
      </c>
      <c r="H3006">
        <v>1.017852</v>
      </c>
      <c r="I3006">
        <v>214.4376</v>
      </c>
      <c r="J3006">
        <v>-287.61529999999999</v>
      </c>
      <c r="K3006">
        <v>1.1111169999999999</v>
      </c>
      <c r="L3006">
        <v>214.48570000000001</v>
      </c>
      <c r="M3006">
        <v>0.99983069999999996</v>
      </c>
      <c r="N3006">
        <v>-1.409432E-2</v>
      </c>
      <c r="O3006">
        <v>1.183887E-2</v>
      </c>
      <c r="P3006">
        <v>0.93248160000000002</v>
      </c>
      <c r="Q3006">
        <v>0.34831309999999999</v>
      </c>
      <c r="R3006">
        <v>9.5689360000000001E-2</v>
      </c>
      <c r="S3006">
        <v>3.3613590000000002</v>
      </c>
      <c r="T3006">
        <v>-0.34943030000000003</v>
      </c>
      <c r="U3006">
        <v>-0.16842650000000001</v>
      </c>
      <c r="V3006">
        <v>-8.4664740000000002E-2</v>
      </c>
      <c r="W3006">
        <v>0.36143110000000001</v>
      </c>
      <c r="X3006">
        <v>0.92854700000000001</v>
      </c>
      <c r="Y3006">
        <v>6.1442589999999998E-2</v>
      </c>
      <c r="Z3006">
        <v>-4.6780210000000001E-3</v>
      </c>
      <c r="AA3006">
        <v>0.99809970000000003</v>
      </c>
      <c r="AB3006">
        <v>28</v>
      </c>
      <c r="AC3006">
        <v>0.63490000000001601</v>
      </c>
      <c r="AD3006">
        <v>-9.3264999999999904E-2</v>
      </c>
      <c r="AE3006">
        <v>-4.8100000000005097E-2</v>
      </c>
      <c r="AF3006">
        <v>5.4445706027008899E-2</v>
      </c>
      <c r="AG3006">
        <v>-9.3264999999999904E-2</v>
      </c>
      <c r="AH3006">
        <v>0.62096284331194396</v>
      </c>
      <c r="AI3006">
        <v>98.509479870777</v>
      </c>
      <c r="AJ3006">
        <v>84.9891496244785</v>
      </c>
      <c r="AK3006">
        <v>0.63028370429817804</v>
      </c>
      <c r="AL3006">
        <v>68.811890181633103</v>
      </c>
      <c r="AM3006">
        <v>95.209812512350894</v>
      </c>
      <c r="AN3006">
        <v>1.00000004472773</v>
      </c>
    </row>
    <row r="3007" spans="1:40" x14ac:dyDescent="0.25">
      <c r="A3007" t="str">
        <f>"20190304164701943"</f>
        <v>20190304164701943</v>
      </c>
      <c r="B3007" t="str">
        <f>"1551689221931967"</f>
        <v>1551689221931967</v>
      </c>
      <c r="C3007" t="s">
        <v>40</v>
      </c>
      <c r="D3007">
        <v>4.4911250000000003</v>
      </c>
      <c r="E3007">
        <v>0.57064930000000003</v>
      </c>
      <c r="F3007" t="s">
        <v>41</v>
      </c>
      <c r="G3007">
        <v>-286.72910000000002</v>
      </c>
      <c r="H3007">
        <v>1.0208759999999999</v>
      </c>
      <c r="I3007">
        <v>214.44110000000001</v>
      </c>
      <c r="J3007">
        <v>-287.3304</v>
      </c>
      <c r="K3007">
        <v>1.1111089999999999</v>
      </c>
      <c r="L3007">
        <v>214.48910000000001</v>
      </c>
      <c r="M3007">
        <v>0.99983</v>
      </c>
      <c r="N3007">
        <v>-1.409209E-2</v>
      </c>
      <c r="O3007">
        <v>1.1891809999999999E-2</v>
      </c>
      <c r="P3007">
        <v>0.93215859999999995</v>
      </c>
      <c r="Q3007">
        <v>0.34910350000000001</v>
      </c>
      <c r="R3007">
        <v>9.5953179999999999E-2</v>
      </c>
      <c r="S3007">
        <v>3.3624269999999998</v>
      </c>
      <c r="T3007">
        <v>-0.34261390000000003</v>
      </c>
      <c r="U3007">
        <v>-0.16777039999999999</v>
      </c>
      <c r="V3007">
        <v>-8.4882769999999996E-2</v>
      </c>
      <c r="W3007">
        <v>0.3622148</v>
      </c>
      <c r="X3007">
        <v>0.92822159999999998</v>
      </c>
      <c r="Y3007">
        <v>6.1301920000000003E-2</v>
      </c>
      <c r="Z3007">
        <v>-4.587486E-3</v>
      </c>
      <c r="AA3007">
        <v>0.99810869999999996</v>
      </c>
      <c r="AB3007">
        <v>28</v>
      </c>
      <c r="AC3007">
        <v>0.60129999999997996</v>
      </c>
      <c r="AD3007">
        <v>-9.0232999999999994E-2</v>
      </c>
      <c r="AE3007">
        <v>-4.8000000000001798E-2</v>
      </c>
      <c r="AF3007">
        <v>5.3940859810455898E-2</v>
      </c>
      <c r="AG3007">
        <v>-9.0232999999999994E-2</v>
      </c>
      <c r="AH3007">
        <v>0.58753960486293999</v>
      </c>
      <c r="AI3007">
        <v>98.695132638949303</v>
      </c>
      <c r="AJ3007">
        <v>84.754491411592099</v>
      </c>
      <c r="AK3007">
        <v>0.59687050348345305</v>
      </c>
      <c r="AL3007">
        <v>68.763722906766205</v>
      </c>
      <c r="AM3007">
        <v>95.224975704162304</v>
      </c>
      <c r="AN3007">
        <v>0.99999999234423598</v>
      </c>
    </row>
    <row r="3008" spans="1:40" x14ac:dyDescent="0.25">
      <c r="A3008" t="str">
        <f>"20190304164701967"</f>
        <v>20190304164701967</v>
      </c>
      <c r="B3008" t="str">
        <f>"1551689221961249"</f>
        <v>1551689221961249</v>
      </c>
      <c r="C3008" t="s">
        <v>40</v>
      </c>
      <c r="D3008">
        <v>4.621696</v>
      </c>
      <c r="E3008">
        <v>0.57059749999999998</v>
      </c>
      <c r="F3008" t="s">
        <v>41</v>
      </c>
      <c r="G3008">
        <v>-286.47750000000002</v>
      </c>
      <c r="H3008">
        <v>1.025091</v>
      </c>
      <c r="I3008">
        <v>214.44649999999999</v>
      </c>
      <c r="J3008">
        <v>-287.04539999999997</v>
      </c>
      <c r="K3008">
        <v>1.1111009999999999</v>
      </c>
      <c r="L3008">
        <v>214.49250000000001</v>
      </c>
      <c r="M3008">
        <v>0.99982939999999998</v>
      </c>
      <c r="N3008">
        <v>-1.408979E-2</v>
      </c>
      <c r="O3008">
        <v>1.194481E-2</v>
      </c>
      <c r="P3008">
        <v>0.93300479999999997</v>
      </c>
      <c r="Q3008">
        <v>0.34675299999999998</v>
      </c>
      <c r="R3008">
        <v>9.6252229999999994E-2</v>
      </c>
      <c r="S3008">
        <v>3.3626399999999999</v>
      </c>
      <c r="T3008">
        <v>-0.33925559999999899</v>
      </c>
      <c r="U3008">
        <v>-0.16723629999999901</v>
      </c>
      <c r="V3008">
        <v>-8.5121680000000005E-2</v>
      </c>
      <c r="W3008">
        <v>0.35987449999999999</v>
      </c>
      <c r="X3008">
        <v>0.92910959999999998</v>
      </c>
      <c r="Y3008">
        <v>6.1201600000000002E-2</v>
      </c>
      <c r="Z3008">
        <v>-4.5438459999999998E-3</v>
      </c>
      <c r="AA3008">
        <v>0.99811510000000003</v>
      </c>
      <c r="AB3008">
        <v>28</v>
      </c>
      <c r="AC3008">
        <v>0.567899999999951</v>
      </c>
      <c r="AD3008">
        <v>-8.60100000000001E-2</v>
      </c>
      <c r="AE3008">
        <v>-4.6000000000020601E-2</v>
      </c>
      <c r="AF3008">
        <v>5.16048558848494E-2</v>
      </c>
      <c r="AG3008">
        <v>-8.60100000000001E-2</v>
      </c>
      <c r="AH3008">
        <v>0.55466991507952401</v>
      </c>
      <c r="AI3008">
        <v>98.777069997146299</v>
      </c>
      <c r="AJ3008">
        <v>84.684670428807095</v>
      </c>
      <c r="AK3008">
        <v>0.56366612098406499</v>
      </c>
      <c r="AL3008">
        <v>68.907511213386897</v>
      </c>
      <c r="AM3008">
        <v>95.234620183122601</v>
      </c>
      <c r="AN3008">
        <v>1.0000000024842099</v>
      </c>
    </row>
    <row r="3009" spans="1:40" x14ac:dyDescent="0.25">
      <c r="A3009" t="str">
        <f>"20190304164701990"</f>
        <v>20190304164701990</v>
      </c>
      <c r="B3009" t="str">
        <f>"1551689221981744"</f>
        <v>1551689221981744</v>
      </c>
      <c r="C3009" t="s">
        <v>40</v>
      </c>
      <c r="D3009">
        <v>4.584015</v>
      </c>
      <c r="E3009">
        <v>0.57048169999999898</v>
      </c>
      <c r="F3009" t="s">
        <v>41</v>
      </c>
      <c r="G3009">
        <v>-286.2276</v>
      </c>
      <c r="H3009">
        <v>1.0265219999999999</v>
      </c>
      <c r="I3009">
        <v>214.45179999999999</v>
      </c>
      <c r="J3009">
        <v>-286.74799999999999</v>
      </c>
      <c r="K3009">
        <v>1.1111089999999999</v>
      </c>
      <c r="L3009">
        <v>214.49610000000001</v>
      </c>
      <c r="M3009">
        <v>0.99982879999999996</v>
      </c>
      <c r="N3009">
        <v>-1.4087229999999999E-2</v>
      </c>
      <c r="O3009">
        <v>1.200025E-2</v>
      </c>
      <c r="P3009">
        <v>0.93297949999999996</v>
      </c>
      <c r="Q3009">
        <v>0.34702260000000001</v>
      </c>
      <c r="R3009">
        <v>9.5523789999999997E-2</v>
      </c>
      <c r="S3009">
        <v>3.361847</v>
      </c>
      <c r="T3009">
        <v>-0.3477925</v>
      </c>
      <c r="U3009">
        <v>-0.16658020000000001</v>
      </c>
      <c r="V3009">
        <v>-8.4341890000000003E-2</v>
      </c>
      <c r="W3009">
        <v>0.3601414</v>
      </c>
      <c r="X3009">
        <v>0.92907729999999999</v>
      </c>
      <c r="Y3009">
        <v>6.1055289999999998E-2</v>
      </c>
      <c r="Z3009">
        <v>-4.6483979999999998E-3</v>
      </c>
      <c r="AA3009">
        <v>0.9981236</v>
      </c>
      <c r="AB3009">
        <v>28</v>
      </c>
      <c r="AC3009">
        <v>0.52039999999999498</v>
      </c>
      <c r="AD3009">
        <v>-8.4587000000000107E-2</v>
      </c>
      <c r="AE3009">
        <v>-4.43000000000211E-2</v>
      </c>
      <c r="AF3009">
        <v>4.9250522131443902E-2</v>
      </c>
      <c r="AG3009">
        <v>-8.4587000000000107E-2</v>
      </c>
      <c r="AH3009">
        <v>0.50654424499087403</v>
      </c>
      <c r="AI3009">
        <v>99.436562723457499</v>
      </c>
      <c r="AJ3009">
        <v>84.446674324975504</v>
      </c>
      <c r="AK3009">
        <v>0.51591437916828198</v>
      </c>
      <c r="AL3009">
        <v>68.891119996434995</v>
      </c>
      <c r="AM3009">
        <v>95.187108540947605</v>
      </c>
      <c r="AN3009">
        <v>1.0000000058890099</v>
      </c>
    </row>
    <row r="3010" spans="1:40" x14ac:dyDescent="0.25">
      <c r="A3010" t="str">
        <f>"20190304164702011"</f>
        <v>20190304164702011</v>
      </c>
      <c r="B3010" t="str">
        <f>"1551689222001263"</f>
        <v>1551689222001263</v>
      </c>
      <c r="C3010" t="s">
        <v>40</v>
      </c>
      <c r="D3010">
        <v>4.4673129999999999</v>
      </c>
      <c r="E3010">
        <v>0.57057290000000005</v>
      </c>
      <c r="F3010" t="s">
        <v>41</v>
      </c>
      <c r="G3010">
        <v>-285.97629999999998</v>
      </c>
      <c r="H3010">
        <v>1.0312859999999999</v>
      </c>
      <c r="I3010">
        <v>214.45740000000001</v>
      </c>
      <c r="J3010">
        <v>-286.49220000000003</v>
      </c>
      <c r="K3010">
        <v>1.1111120000000001</v>
      </c>
      <c r="L3010">
        <v>214.49930000000001</v>
      </c>
      <c r="M3010">
        <v>0.9998283</v>
      </c>
      <c r="N3010">
        <v>-1.408497E-2</v>
      </c>
      <c r="O3010">
        <v>1.2047530000000001E-2</v>
      </c>
      <c r="P3010">
        <v>0.93222309999999997</v>
      </c>
      <c r="Q3010">
        <v>0.3492403</v>
      </c>
      <c r="R3010">
        <v>9.4822000000000004E-2</v>
      </c>
      <c r="S3010">
        <v>3.3621219999999998</v>
      </c>
      <c r="T3010">
        <v>-0.34793109999999999</v>
      </c>
      <c r="U3010">
        <v>-0.1681213</v>
      </c>
      <c r="V3010">
        <v>-8.3605159999999998E-2</v>
      </c>
      <c r="W3010">
        <v>0.36234640000000001</v>
      </c>
      <c r="X3010">
        <v>0.92828619999999995</v>
      </c>
      <c r="Y3010">
        <v>6.1551399999999999E-2</v>
      </c>
      <c r="Z3010">
        <v>-4.6830029999999998E-3</v>
      </c>
      <c r="AA3010">
        <v>0.99809289999999995</v>
      </c>
      <c r="AB3010">
        <v>28</v>
      </c>
      <c r="AC3010">
        <v>0.51590000000004399</v>
      </c>
      <c r="AD3010">
        <v>-7.9825999999999897E-2</v>
      </c>
      <c r="AE3010">
        <v>-4.1899999999998203E-2</v>
      </c>
      <c r="AF3010">
        <v>4.6995118506282997E-2</v>
      </c>
      <c r="AG3010">
        <v>-7.9825999999999897E-2</v>
      </c>
      <c r="AH3010">
        <v>0.503384725929926</v>
      </c>
      <c r="AI3010">
        <v>98.9724696415078</v>
      </c>
      <c r="AJ3010">
        <v>84.6664256706609</v>
      </c>
      <c r="AK3010">
        <v>0.51183680381442498</v>
      </c>
      <c r="AL3010">
        <v>68.755633475433399</v>
      </c>
      <c r="AM3010">
        <v>95.1464014943069</v>
      </c>
      <c r="AN3010">
        <v>1.0000000027410101</v>
      </c>
    </row>
    <row r="3011" spans="1:40" x14ac:dyDescent="0.25">
      <c r="A3011" t="str">
        <f>"20190304164702033"</f>
        <v>20190304164702033</v>
      </c>
      <c r="B3011" t="str">
        <f>"1551689222021759"</f>
        <v>1551689222021759</v>
      </c>
      <c r="C3011" t="s">
        <v>40</v>
      </c>
      <c r="D3011">
        <v>4.4429069999999999</v>
      </c>
      <c r="E3011">
        <v>0.57066859999999997</v>
      </c>
      <c r="F3011" t="s">
        <v>41</v>
      </c>
      <c r="G3011">
        <v>-285.72649999999999</v>
      </c>
      <c r="H3011">
        <v>1.0337149999999999</v>
      </c>
      <c r="I3011">
        <v>214.46029999999999</v>
      </c>
      <c r="J3011">
        <v>-286.22859999999997</v>
      </c>
      <c r="K3011">
        <v>1.1111059999999999</v>
      </c>
      <c r="L3011">
        <v>214.5025</v>
      </c>
      <c r="M3011">
        <v>0.99982769999999999</v>
      </c>
      <c r="N3011">
        <v>-1.4082570000000001E-2</v>
      </c>
      <c r="O3011">
        <v>1.209648E-2</v>
      </c>
      <c r="P3011">
        <v>0.93272690000000003</v>
      </c>
      <c r="Q3011">
        <v>0.3479373</v>
      </c>
      <c r="R3011">
        <v>9.4659400000000005E-2</v>
      </c>
      <c r="S3011">
        <v>3.362854</v>
      </c>
      <c r="T3011">
        <v>-0.3399857</v>
      </c>
      <c r="U3011">
        <v>-0.17056270000000001</v>
      </c>
      <c r="V3011">
        <v>-8.3390800000000001E-2</v>
      </c>
      <c r="W3011">
        <v>0.36104829999999999</v>
      </c>
      <c r="X3011">
        <v>0.9288111</v>
      </c>
      <c r="Y3011">
        <v>6.2325980000000003E-2</v>
      </c>
      <c r="Z3011">
        <v>-4.6302799999999996E-3</v>
      </c>
      <c r="AA3011">
        <v>0.99804510000000002</v>
      </c>
      <c r="AB3011">
        <v>28</v>
      </c>
      <c r="AC3011">
        <v>0.502099999999984</v>
      </c>
      <c r="AD3011">
        <v>-7.7390999999999904E-2</v>
      </c>
      <c r="AE3011">
        <v>-4.2200000000008203E-2</v>
      </c>
      <c r="AF3011">
        <v>4.71586444137388E-2</v>
      </c>
      <c r="AG3011">
        <v>-7.7390999999999904E-2</v>
      </c>
      <c r="AH3011">
        <v>0.48999337797970699</v>
      </c>
      <c r="AI3011">
        <v>98.934707619483802</v>
      </c>
      <c r="AJ3011">
        <v>84.502589610208005</v>
      </c>
      <c r="AK3011">
        <v>0.498303938463169</v>
      </c>
      <c r="AL3011">
        <v>68.835409880543693</v>
      </c>
      <c r="AM3011">
        <v>95.130391442636594</v>
      </c>
      <c r="AN3011">
        <v>0.99999997997036905</v>
      </c>
    </row>
    <row r="3012" spans="1:40" x14ac:dyDescent="0.25">
      <c r="A3012" t="str">
        <f>"20190304164702056"</f>
        <v>20190304164702056</v>
      </c>
      <c r="B3012" t="str">
        <f>"1551689222051543"</f>
        <v>1551689222051543</v>
      </c>
      <c r="C3012" t="s">
        <v>40</v>
      </c>
      <c r="D3012">
        <v>4.4045040000000002</v>
      </c>
      <c r="E3012">
        <v>0.57044329999999999</v>
      </c>
      <c r="F3012" t="s">
        <v>41</v>
      </c>
      <c r="G3012">
        <v>-285.4778</v>
      </c>
      <c r="H3012">
        <v>1.0343979999999999</v>
      </c>
      <c r="I3012">
        <v>214.46350000000001</v>
      </c>
      <c r="J3012">
        <v>-285.93650000000002</v>
      </c>
      <c r="K3012">
        <v>1.1110949999999999</v>
      </c>
      <c r="L3012">
        <v>214.5061</v>
      </c>
      <c r="M3012">
        <v>0.99982709999999997</v>
      </c>
      <c r="N3012">
        <v>-1.407985E-2</v>
      </c>
      <c r="O3012">
        <v>1.21508E-2</v>
      </c>
      <c r="P3012">
        <v>0.93348430000000004</v>
      </c>
      <c r="Q3012">
        <v>0.34589599999999998</v>
      </c>
      <c r="R3012">
        <v>9.4675419999999996E-2</v>
      </c>
      <c r="S3012">
        <v>3.362244</v>
      </c>
      <c r="T3012">
        <v>-0.34362019999999999</v>
      </c>
      <c r="U3012">
        <v>-0.17413329999999999</v>
      </c>
      <c r="V3012">
        <v>-8.3346160000000002E-2</v>
      </c>
      <c r="W3012">
        <v>0.35901529999999998</v>
      </c>
      <c r="X3012">
        <v>0.92960290000000001</v>
      </c>
      <c r="Y3012">
        <v>6.3431150000000006E-2</v>
      </c>
      <c r="Z3012">
        <v>-4.7461919999999998E-3</v>
      </c>
      <c r="AA3012">
        <v>0.9979749</v>
      </c>
      <c r="AB3012">
        <v>28</v>
      </c>
      <c r="AC3012">
        <v>0.45870000000002098</v>
      </c>
      <c r="AD3012">
        <v>-7.6697000000000196E-2</v>
      </c>
      <c r="AE3012">
        <v>-4.2599999999992998E-2</v>
      </c>
      <c r="AF3012">
        <v>4.6871764276016303E-2</v>
      </c>
      <c r="AG3012">
        <v>-7.6697000000000196E-2</v>
      </c>
      <c r="AH3012">
        <v>0.44579178124981</v>
      </c>
      <c r="AI3012">
        <v>99.709484888098004</v>
      </c>
      <c r="AJ3012">
        <v>83.997818599916897</v>
      </c>
      <c r="AK3012">
        <v>0.454763349804297</v>
      </c>
      <c r="AL3012">
        <v>68.960266778452606</v>
      </c>
      <c r="AM3012">
        <v>95.123315443377393</v>
      </c>
      <c r="AN3012">
        <v>1.0000000598546199</v>
      </c>
    </row>
    <row r="3013" spans="1:40" x14ac:dyDescent="0.25">
      <c r="A3013" t="str">
        <f>"20190304164702079"</f>
        <v>20190304164702079</v>
      </c>
      <c r="B3013" t="str">
        <f>"1551689222072039"</f>
        <v>1551689222072039</v>
      </c>
      <c r="C3013" t="s">
        <v>40</v>
      </c>
      <c r="D3013">
        <v>4.3498530000000004</v>
      </c>
      <c r="E3013">
        <v>0.57015879999999997</v>
      </c>
      <c r="F3013" t="s">
        <v>41</v>
      </c>
      <c r="G3013">
        <v>-284.99270000000001</v>
      </c>
      <c r="H3013">
        <v>1.0128239999999999</v>
      </c>
      <c r="I3013">
        <v>214.45760000000001</v>
      </c>
      <c r="J3013">
        <v>-285.64069999999998</v>
      </c>
      <c r="K3013">
        <v>1.1110949999999999</v>
      </c>
      <c r="L3013">
        <v>214.50980000000001</v>
      </c>
      <c r="M3013">
        <v>0.9998264</v>
      </c>
      <c r="N3013">
        <v>-1.407708E-2</v>
      </c>
      <c r="O3013">
        <v>1.2206059999999999E-2</v>
      </c>
      <c r="P3013">
        <v>0.93368410000000002</v>
      </c>
      <c r="Q3013">
        <v>0.34547280000000002</v>
      </c>
      <c r="R3013">
        <v>9.4247999999999998E-2</v>
      </c>
      <c r="S3013">
        <v>3.360992</v>
      </c>
      <c r="T3013">
        <v>-0.34990270000000001</v>
      </c>
      <c r="U3013">
        <v>-0.17285159999999999</v>
      </c>
      <c r="V3013">
        <v>-8.2865010000000003E-2</v>
      </c>
      <c r="W3013">
        <v>0.35859249999999998</v>
      </c>
      <c r="X3013">
        <v>0.929809</v>
      </c>
      <c r="Y3013">
        <v>6.3112370000000001E-2</v>
      </c>
      <c r="Z3013">
        <v>-4.8153559999999998E-3</v>
      </c>
      <c r="AA3013">
        <v>0.99799479999999996</v>
      </c>
      <c r="AB3013">
        <v>28</v>
      </c>
      <c r="AC3013">
        <v>0.64799999999996705</v>
      </c>
      <c r="AD3013">
        <v>-9.8271000000000205E-2</v>
      </c>
      <c r="AE3013">
        <v>-5.2199999999999101E-2</v>
      </c>
      <c r="AF3013">
        <v>5.8763654995399497E-2</v>
      </c>
      <c r="AG3013">
        <v>-9.8271000000000205E-2</v>
      </c>
      <c r="AH3013">
        <v>0.63285361168788701</v>
      </c>
      <c r="AI3013">
        <v>98.789315024626504</v>
      </c>
      <c r="AJ3013">
        <v>84.695009169344402</v>
      </c>
      <c r="AK3013">
        <v>0.64312833121844504</v>
      </c>
      <c r="AL3013">
        <v>68.986217874938205</v>
      </c>
      <c r="AM3013">
        <v>95.092771883386206</v>
      </c>
      <c r="AN3013">
        <v>0.99999998370977405</v>
      </c>
    </row>
    <row r="3014" spans="1:40" x14ac:dyDescent="0.25">
      <c r="A3014" t="str">
        <f>"20190304164702102"</f>
        <v>20190304164702102</v>
      </c>
      <c r="B3014" t="str">
        <f>"1551689222091559"</f>
        <v>1551689222091559</v>
      </c>
      <c r="C3014" t="s">
        <v>40</v>
      </c>
      <c r="D3014">
        <v>4.3929710000000002</v>
      </c>
      <c r="E3014">
        <v>0.55018120000000004</v>
      </c>
      <c r="F3014" t="s">
        <v>41</v>
      </c>
      <c r="G3014">
        <v>-284.74290000000002</v>
      </c>
      <c r="H3014">
        <v>1.0176989999999999</v>
      </c>
      <c r="I3014">
        <v>214.4633</v>
      </c>
      <c r="J3014">
        <v>-285.36500000000001</v>
      </c>
      <c r="K3014">
        <v>1.111103</v>
      </c>
      <c r="L3014">
        <v>214.51320000000001</v>
      </c>
      <c r="M3014">
        <v>0.99982579999999999</v>
      </c>
      <c r="N3014">
        <v>-1.4074440000000001E-2</v>
      </c>
      <c r="O3014">
        <v>1.22574E-2</v>
      </c>
      <c r="P3014">
        <v>0.93321730000000003</v>
      </c>
      <c r="Q3014">
        <v>0.34675929999999999</v>
      </c>
      <c r="R3014">
        <v>9.414554E-2</v>
      </c>
      <c r="S3014">
        <v>3.3598629999999998</v>
      </c>
      <c r="T3014">
        <v>-0.34964190000000001</v>
      </c>
      <c r="U3014">
        <v>-0.17286679999999999</v>
      </c>
      <c r="V3014">
        <v>-8.2719860000000006E-2</v>
      </c>
      <c r="W3014">
        <v>0.35986960000000001</v>
      </c>
      <c r="X3014">
        <v>0.92932840000000005</v>
      </c>
      <c r="Y3014">
        <v>6.3185030000000003E-2</v>
      </c>
      <c r="Z3014">
        <v>-4.8223370000000003E-3</v>
      </c>
      <c r="AA3014">
        <v>0.99799020000000005</v>
      </c>
      <c r="AB3014">
        <v>28</v>
      </c>
      <c r="AC3014">
        <v>0.622099999999989</v>
      </c>
      <c r="AD3014">
        <v>-9.3404000000000195E-2</v>
      </c>
      <c r="AE3014">
        <v>-4.9900000000008E-2</v>
      </c>
      <c r="AF3014">
        <v>5.6262128952215197E-2</v>
      </c>
      <c r="AG3014">
        <v>-9.3404000000000195E-2</v>
      </c>
      <c r="AH3014">
        <v>0.60782694106909096</v>
      </c>
      <c r="AI3014">
        <v>98.699615424643795</v>
      </c>
      <c r="AJ3014">
        <v>84.711614515264003</v>
      </c>
      <c r="AK3014">
        <v>0.61753001923764295</v>
      </c>
      <c r="AL3014">
        <v>68.907811839407898</v>
      </c>
      <c r="AM3014">
        <v>95.086513287017894</v>
      </c>
      <c r="AN3014">
        <v>0.99999998964456904</v>
      </c>
    </row>
    <row r="3015" spans="1:40" x14ac:dyDescent="0.25">
      <c r="A3015" t="str">
        <f>"20190304164702121"</f>
        <v>20190304164702121</v>
      </c>
      <c r="B3015" t="str">
        <f>"1551689222112056"</f>
        <v>1551689222112056</v>
      </c>
      <c r="C3015" t="s">
        <v>40</v>
      </c>
      <c r="D3015">
        <v>4.3587020000000001</v>
      </c>
      <c r="E3015">
        <v>0.54921030000000004</v>
      </c>
      <c r="F3015" t="s">
        <v>49</v>
      </c>
      <c r="G3015">
        <v>-269.95519999999999</v>
      </c>
      <c r="H3015" s="1">
        <v>3.770041E-6</v>
      </c>
      <c r="I3015">
        <v>214.40620000000001</v>
      </c>
      <c r="J3015">
        <v>-285.11829999999998</v>
      </c>
      <c r="K3015">
        <v>1.111105</v>
      </c>
      <c r="L3015">
        <v>214.5163</v>
      </c>
      <c r="M3015">
        <v>0.99982539999999998</v>
      </c>
      <c r="N3015">
        <v>-1.4072039999999999E-2</v>
      </c>
      <c r="O3015">
        <v>1.2302469999999999E-2</v>
      </c>
      <c r="P3015">
        <v>0.93322119999999997</v>
      </c>
      <c r="Q3015">
        <v>0.34673559999999998</v>
      </c>
      <c r="R3015">
        <v>9.4196249999999995E-2</v>
      </c>
      <c r="S3015">
        <v>3.3055729999999999</v>
      </c>
      <c r="T3015">
        <v>-0.2383422</v>
      </c>
      <c r="U3015">
        <v>-2.2949219999999999E-2</v>
      </c>
      <c r="V3015">
        <v>-8.2728289999999996E-2</v>
      </c>
      <c r="W3015">
        <v>0.35984389999999999</v>
      </c>
      <c r="X3015">
        <v>0.92933759999999999</v>
      </c>
      <c r="Y3015">
        <v>1.9165109999999999E-2</v>
      </c>
      <c r="Z3015">
        <v>-1.538022E-3</v>
      </c>
      <c r="AA3015">
        <v>0.99981520000000002</v>
      </c>
      <c r="AB3015">
        <v>28</v>
      </c>
      <c r="AC3015">
        <v>15.163099999999901</v>
      </c>
      <c r="AD3015">
        <v>-1.111101229959</v>
      </c>
      <c r="AE3015">
        <v>-0.110099999999988</v>
      </c>
      <c r="AF3015">
        <v>0.29506942039754902</v>
      </c>
      <c r="AG3015">
        <v>-1.111101229959</v>
      </c>
      <c r="AH3015">
        <v>15.079632285892499</v>
      </c>
      <c r="AI3015">
        <v>94.213263164005397</v>
      </c>
      <c r="AJ3015">
        <v>88.879012769001903</v>
      </c>
      <c r="AK3015">
        <v>15.1233898906231</v>
      </c>
      <c r="AL3015">
        <v>68.909390046393199</v>
      </c>
      <c r="AM3015">
        <v>95.086978840108202</v>
      </c>
      <c r="AN3015">
        <v>0.99999998855364702</v>
      </c>
    </row>
    <row r="3016" spans="1:40" x14ac:dyDescent="0.25">
      <c r="A3016" t="str">
        <f>"20190304164702144"</f>
        <v>20190304164702144</v>
      </c>
      <c r="B3016" t="str">
        <f>"1551689222141842"</f>
        <v>1551689222141842</v>
      </c>
      <c r="C3016" t="s">
        <v>40</v>
      </c>
      <c r="D3016">
        <v>4.3008889999999997</v>
      </c>
      <c r="E3016">
        <v>0.54988789999999999</v>
      </c>
      <c r="F3016" t="s">
        <v>41</v>
      </c>
      <c r="G3016">
        <v>-284.23309999999998</v>
      </c>
      <c r="H3016">
        <v>1.043525</v>
      </c>
      <c r="I3016">
        <v>214.51249999999999</v>
      </c>
      <c r="J3016">
        <v>-284.84230000000002</v>
      </c>
      <c r="K3016">
        <v>1.1111009999999999</v>
      </c>
      <c r="L3016">
        <v>214.5197</v>
      </c>
      <c r="M3016">
        <v>0.99982490000000002</v>
      </c>
      <c r="N3016">
        <v>-1.406934E-2</v>
      </c>
      <c r="O3016">
        <v>1.2351040000000001E-2</v>
      </c>
      <c r="P3016">
        <v>0.93323210000000001</v>
      </c>
      <c r="Q3016">
        <v>0.34674880000000002</v>
      </c>
      <c r="R3016">
        <v>9.4039890000000001E-2</v>
      </c>
      <c r="S3016">
        <v>3.3099669999999999</v>
      </c>
      <c r="T3016">
        <v>-0.2527586</v>
      </c>
      <c r="U3016">
        <v>-1.3549800000000001E-2</v>
      </c>
      <c r="V3016">
        <v>-8.2525370000000001E-2</v>
      </c>
      <c r="W3016">
        <v>0.35985539999999999</v>
      </c>
      <c r="X3016">
        <v>0.92935120000000004</v>
      </c>
      <c r="Y3016">
        <v>1.6365069999999999E-2</v>
      </c>
      <c r="Z3016">
        <v>-1.507457E-3</v>
      </c>
      <c r="AA3016">
        <v>0.99986489999999995</v>
      </c>
      <c r="AB3016">
        <v>28</v>
      </c>
      <c r="AC3016">
        <v>0.60920000000004304</v>
      </c>
      <c r="AD3016">
        <v>-6.7575999999999997E-2</v>
      </c>
      <c r="AE3016">
        <v>-7.2000000000116398E-3</v>
      </c>
      <c r="AF3016">
        <v>1.4545497280700899E-2</v>
      </c>
      <c r="AG3016">
        <v>-6.7575999999999997E-2</v>
      </c>
      <c r="AH3016">
        <v>0.60166244450006501</v>
      </c>
      <c r="AI3016">
        <v>96.406489533234605</v>
      </c>
      <c r="AJ3016">
        <v>88.615114988825496</v>
      </c>
      <c r="AK3016">
        <v>0.60562016511088601</v>
      </c>
      <c r="AL3016">
        <v>68.908684072972093</v>
      </c>
      <c r="AM3016">
        <v>95.074492605439403</v>
      </c>
      <c r="AN3016">
        <v>0.99999999927211802</v>
      </c>
    </row>
    <row r="3017" spans="1:40" x14ac:dyDescent="0.25">
      <c r="A3017" t="str">
        <f>"20190304164702168"</f>
        <v>20190304164702168</v>
      </c>
      <c r="B3017" t="str">
        <f>"1551689222161363"</f>
        <v>1551689222161363</v>
      </c>
      <c r="C3017" t="s">
        <v>40</v>
      </c>
      <c r="D3017">
        <v>4.3172990000000002</v>
      </c>
      <c r="E3017">
        <v>0.54954499999999995</v>
      </c>
      <c r="F3017" t="s">
        <v>41</v>
      </c>
      <c r="G3017">
        <v>-283.97559999999999</v>
      </c>
      <c r="H3017">
        <v>1.045822</v>
      </c>
      <c r="I3017">
        <v>214.51439999999999</v>
      </c>
      <c r="J3017">
        <v>-284.54930000000002</v>
      </c>
      <c r="K3017">
        <v>1.1111120000000001</v>
      </c>
      <c r="L3017">
        <v>214.52340000000001</v>
      </c>
      <c r="M3017">
        <v>0.9998243</v>
      </c>
      <c r="N3017">
        <v>-1.406642E-2</v>
      </c>
      <c r="O3017">
        <v>1.2398930000000001E-2</v>
      </c>
      <c r="P3017">
        <v>0.93236010000000002</v>
      </c>
      <c r="Q3017">
        <v>0.34920590000000001</v>
      </c>
      <c r="R3017">
        <v>9.3596830000000006E-2</v>
      </c>
      <c r="S3017">
        <v>3.3092350000000001</v>
      </c>
      <c r="T3017">
        <v>-0.24932560000000001</v>
      </c>
      <c r="U3017">
        <v>-1.9729610000000002E-2</v>
      </c>
      <c r="V3017">
        <v>-8.2046399999999894E-2</v>
      </c>
      <c r="W3017">
        <v>0.36229739999999999</v>
      </c>
      <c r="X3017">
        <v>0.92844439999999995</v>
      </c>
      <c r="Y3017">
        <v>1.827662E-2</v>
      </c>
      <c r="Z3017">
        <v>-1.574897E-3</v>
      </c>
      <c r="AA3017">
        <v>0.99983169999999999</v>
      </c>
      <c r="AB3017">
        <v>28</v>
      </c>
      <c r="AC3017">
        <v>0.57370000000002996</v>
      </c>
      <c r="AD3017">
        <v>-6.5290000000000001E-2</v>
      </c>
      <c r="AE3017">
        <v>-9.0000000000145502E-3</v>
      </c>
      <c r="AF3017">
        <v>1.5907302765383199E-2</v>
      </c>
      <c r="AG3017">
        <v>-6.5290000000000001E-2</v>
      </c>
      <c r="AH3017">
        <v>0.56621272964781899</v>
      </c>
      <c r="AI3017">
        <v>96.575155062382095</v>
      </c>
      <c r="AJ3017">
        <v>88.390743289062101</v>
      </c>
      <c r="AK3017">
        <v>0.57018653228264204</v>
      </c>
      <c r="AL3017">
        <v>68.758645816305005</v>
      </c>
      <c r="AM3017">
        <v>95.050095249325196</v>
      </c>
      <c r="AN3017">
        <v>1.00000001084553</v>
      </c>
    </row>
    <row r="3018" spans="1:40" x14ac:dyDescent="0.25">
      <c r="A3018" t="str">
        <f>"20190304164702189"</f>
        <v>20190304164702189</v>
      </c>
      <c r="B3018" t="str">
        <f>"1551689222181858"</f>
        <v>1551689222181858</v>
      </c>
      <c r="C3018" t="s">
        <v>40</v>
      </c>
      <c r="D3018">
        <v>4.2880320000000003</v>
      </c>
      <c r="E3018">
        <v>0.54969480000000004</v>
      </c>
      <c r="F3018" t="s">
        <v>49</v>
      </c>
      <c r="G3018">
        <v>-269.47570000000002</v>
      </c>
      <c r="H3018" s="1">
        <v>3.5133060000000001E-6</v>
      </c>
      <c r="I3018">
        <v>214.44300000000001</v>
      </c>
      <c r="J3018">
        <v>-284.2824</v>
      </c>
      <c r="K3018">
        <v>1.1111070000000001</v>
      </c>
      <c r="L3018">
        <v>214.52670000000001</v>
      </c>
      <c r="M3018">
        <v>0.99982380000000004</v>
      </c>
      <c r="N3018">
        <v>-1.406371E-2</v>
      </c>
      <c r="O3018">
        <v>1.2438050000000001E-2</v>
      </c>
      <c r="P3018">
        <v>0.93226039999999999</v>
      </c>
      <c r="Q3018">
        <v>0.34928599999999999</v>
      </c>
      <c r="R3018">
        <v>9.4286969999999998E-2</v>
      </c>
      <c r="S3018">
        <v>3.310791</v>
      </c>
      <c r="T3018">
        <v>-0.24404670000000001</v>
      </c>
      <c r="U3018">
        <v>-1.7654420000000001E-2</v>
      </c>
      <c r="V3018">
        <v>-8.2697619999999999E-2</v>
      </c>
      <c r="W3018">
        <v>0.36237439999999999</v>
      </c>
      <c r="X3018">
        <v>0.92835659999999998</v>
      </c>
      <c r="Y3018">
        <v>1.7691720000000001E-2</v>
      </c>
      <c r="Z3018">
        <v>-1.5166139999999999E-3</v>
      </c>
      <c r="AA3018">
        <v>0.99984229999999996</v>
      </c>
      <c r="AB3018">
        <v>28</v>
      </c>
      <c r="AC3018">
        <v>14.8066999999999</v>
      </c>
      <c r="AD3018">
        <v>-1.1111034866939999</v>
      </c>
      <c r="AE3018">
        <v>-8.3700000000021604E-2</v>
      </c>
      <c r="AF3018">
        <v>0.26637825125494402</v>
      </c>
      <c r="AG3018">
        <v>-1.1111034866939999</v>
      </c>
      <c r="AH3018">
        <v>14.7216171239931</v>
      </c>
      <c r="AI3018">
        <v>94.315471015817806</v>
      </c>
      <c r="AJ3018">
        <v>88.963382616968701</v>
      </c>
      <c r="AK3018">
        <v>14.7658903922632</v>
      </c>
      <c r="AL3018">
        <v>68.753913030962295</v>
      </c>
      <c r="AM3018">
        <v>95.090448066721194</v>
      </c>
      <c r="AN3018">
        <v>1.00000003944629</v>
      </c>
    </row>
    <row r="3019" spans="1:40" x14ac:dyDescent="0.25">
      <c r="A3019" t="str">
        <f>"20190304164702211"</f>
        <v>20190304164702211</v>
      </c>
      <c r="B3019" t="str">
        <f>"1551689222201378"</f>
        <v>1551689222201378</v>
      </c>
      <c r="C3019" t="s">
        <v>40</v>
      </c>
      <c r="D3019">
        <v>4.308325</v>
      </c>
      <c r="E3019">
        <v>0.54971029999999999</v>
      </c>
      <c r="F3019" t="s">
        <v>49</v>
      </c>
      <c r="G3019">
        <v>-269.31540000000001</v>
      </c>
      <c r="H3019" s="1">
        <v>3.4275459999999998E-6</v>
      </c>
      <c r="I3019">
        <v>214.45310000000001</v>
      </c>
      <c r="J3019">
        <v>-284.01960000000003</v>
      </c>
      <c r="K3019">
        <v>1.1110960000000001</v>
      </c>
      <c r="L3019">
        <v>214.53</v>
      </c>
      <c r="M3019">
        <v>0.99982340000000003</v>
      </c>
      <c r="N3019">
        <v>-1.406102E-2</v>
      </c>
      <c r="O3019">
        <v>1.247083E-2</v>
      </c>
      <c r="P3019">
        <v>0.93296279999999998</v>
      </c>
      <c r="Q3019">
        <v>0.34722389999999997</v>
      </c>
      <c r="R3019">
        <v>9.4952960000000003E-2</v>
      </c>
      <c r="S3019">
        <v>3.3117369999999999</v>
      </c>
      <c r="T3019">
        <v>-0.2458526</v>
      </c>
      <c r="U3019">
        <v>-1.6296390000000001E-2</v>
      </c>
      <c r="V3019">
        <v>-8.3320240000000004E-2</v>
      </c>
      <c r="W3019">
        <v>0.36032160000000002</v>
      </c>
      <c r="X3019">
        <v>0.92909960000000003</v>
      </c>
      <c r="Y3019">
        <v>1.731303E-2</v>
      </c>
      <c r="Z3019">
        <v>-1.5130079999999999E-3</v>
      </c>
      <c r="AA3019">
        <v>0.99984899999999999</v>
      </c>
      <c r="AB3019">
        <v>28</v>
      </c>
      <c r="AC3019">
        <v>14.7042</v>
      </c>
      <c r="AD3019">
        <v>-1.1110925724539999</v>
      </c>
      <c r="AE3019">
        <v>-7.6899999999994806E-2</v>
      </c>
      <c r="AF3019">
        <v>0.25880803083396497</v>
      </c>
      <c r="AG3019">
        <v>-1.1110925724539999</v>
      </c>
      <c r="AH3019">
        <v>14.618630659954601</v>
      </c>
      <c r="AI3019">
        <v>94.345744635629401</v>
      </c>
      <c r="AJ3019">
        <v>88.985742286126694</v>
      </c>
      <c r="AK3019">
        <v>14.663078485555101</v>
      </c>
      <c r="AL3019">
        <v>68.880051939018003</v>
      </c>
      <c r="AM3019">
        <v>95.124490318397804</v>
      </c>
      <c r="AN3019">
        <v>0.99999999227018799</v>
      </c>
    </row>
    <row r="3020" spans="1:40" x14ac:dyDescent="0.25">
      <c r="A3020" t="str">
        <f>"20190304164702233"</f>
        <v>20190304164702233</v>
      </c>
      <c r="B3020" t="str">
        <f>"1551689222221874"</f>
        <v>1551689222221874</v>
      </c>
      <c r="C3020" t="s">
        <v>40</v>
      </c>
      <c r="D3020">
        <v>4.2436199999999999</v>
      </c>
      <c r="E3020">
        <v>0.55000289999999996</v>
      </c>
      <c r="F3020" t="s">
        <v>49</v>
      </c>
      <c r="G3020">
        <v>-269.37509999999997</v>
      </c>
      <c r="H3020" s="1">
        <v>3.4589349999999999E-6</v>
      </c>
      <c r="I3020">
        <v>214.46109999999999</v>
      </c>
      <c r="J3020">
        <v>-283.74639999999999</v>
      </c>
      <c r="K3020">
        <v>1.111094</v>
      </c>
      <c r="L3020">
        <v>214.5335</v>
      </c>
      <c r="M3020">
        <v>0.99982309999999996</v>
      </c>
      <c r="N3020">
        <v>-1.405824E-2</v>
      </c>
      <c r="O3020">
        <v>1.249721E-2</v>
      </c>
      <c r="P3020">
        <v>0.93244769999999999</v>
      </c>
      <c r="Q3020">
        <v>0.34855459999999999</v>
      </c>
      <c r="R3020">
        <v>9.5137719999999995E-2</v>
      </c>
      <c r="S3020">
        <v>3.3106080000000002</v>
      </c>
      <c r="T3020">
        <v>-0.25117909999999999</v>
      </c>
      <c r="U3020">
        <v>-1.557922E-2</v>
      </c>
      <c r="V3020">
        <v>-8.3481739999999999E-2</v>
      </c>
      <c r="W3020">
        <v>0.3616432</v>
      </c>
      <c r="X3020">
        <v>0.92857149999999999</v>
      </c>
      <c r="Y3020">
        <v>1.7121549999999999E-2</v>
      </c>
      <c r="Z3020">
        <v>-1.5404450000000001E-3</v>
      </c>
      <c r="AA3020">
        <v>0.99985219999999997</v>
      </c>
      <c r="AB3020">
        <v>28</v>
      </c>
      <c r="AC3020">
        <v>14.3713</v>
      </c>
      <c r="AD3020">
        <v>-1.111090541065</v>
      </c>
      <c r="AE3020">
        <v>-7.2400000000015993E-2</v>
      </c>
      <c r="AF3020">
        <v>0.25051586870963899</v>
      </c>
      <c r="AG3020">
        <v>-1.111090541065</v>
      </c>
      <c r="AH3020">
        <v>14.2838952884522</v>
      </c>
      <c r="AI3020">
        <v>94.447185753652604</v>
      </c>
      <c r="AJ3020">
        <v>88.995229923036405</v>
      </c>
      <c r="AK3020">
        <v>14.3292339293622</v>
      </c>
      <c r="AL3020">
        <v>68.798855493506295</v>
      </c>
      <c r="AM3020">
        <v>95.137274516151905</v>
      </c>
      <c r="AN3020">
        <v>1.00000001781595</v>
      </c>
    </row>
    <row r="3021" spans="1:40" x14ac:dyDescent="0.25">
      <c r="A3021" t="str">
        <f>"20190304164702258"</f>
        <v>20190304164702258</v>
      </c>
      <c r="B3021" t="str">
        <f>"1551689222252131"</f>
        <v>1551689222252131</v>
      </c>
      <c r="C3021" t="s">
        <v>40</v>
      </c>
      <c r="D3021">
        <v>4.2902360000000002</v>
      </c>
      <c r="E3021">
        <v>0.55021339999999996</v>
      </c>
      <c r="F3021" t="s">
        <v>49</v>
      </c>
      <c r="G3021">
        <v>-268.84059999999999</v>
      </c>
      <c r="H3021" s="1">
        <v>3.1747330000000001E-6</v>
      </c>
      <c r="I3021">
        <v>214.45660000000001</v>
      </c>
      <c r="J3021">
        <v>-283.44720000000001</v>
      </c>
      <c r="K3021">
        <v>1.111089</v>
      </c>
      <c r="L3021">
        <v>214.53729999999999</v>
      </c>
      <c r="M3021">
        <v>0.99982289999999996</v>
      </c>
      <c r="N3021">
        <v>-1.405521E-2</v>
      </c>
      <c r="O3021">
        <v>1.251474E-2</v>
      </c>
      <c r="P3021">
        <v>0.93233679999999997</v>
      </c>
      <c r="Q3021">
        <v>0.34863149999999998</v>
      </c>
      <c r="R3021">
        <v>9.5938350000000006E-2</v>
      </c>
      <c r="S3021">
        <v>3.31134</v>
      </c>
      <c r="T3021">
        <v>-0.2468311</v>
      </c>
      <c r="U3021">
        <v>-1.7089839999999999E-2</v>
      </c>
      <c r="V3021">
        <v>-8.4260650000000006E-2</v>
      </c>
      <c r="W3021">
        <v>0.36171700000000001</v>
      </c>
      <c r="X3021">
        <v>0.92847239999999998</v>
      </c>
      <c r="Y3021">
        <v>1.7595449999999999E-2</v>
      </c>
      <c r="Z3021">
        <v>-1.534589E-3</v>
      </c>
      <c r="AA3021">
        <v>0.99984399999999996</v>
      </c>
      <c r="AB3021">
        <v>27</v>
      </c>
      <c r="AC3021">
        <v>14.6066</v>
      </c>
      <c r="AD3021">
        <v>-1.1110858252669999</v>
      </c>
      <c r="AE3021">
        <v>-8.06999999999789E-2</v>
      </c>
      <c r="AF3021">
        <v>0.26199362528224701</v>
      </c>
      <c r="AG3021">
        <v>-1.1110858252669999</v>
      </c>
      <c r="AH3021">
        <v>14.520429633802699</v>
      </c>
      <c r="AI3021">
        <v>94.374968116681103</v>
      </c>
      <c r="AJ3021">
        <v>88.966318441746594</v>
      </c>
      <c r="AK3021">
        <v>14.5652335759167</v>
      </c>
      <c r="AL3021">
        <v>68.7943201035865</v>
      </c>
      <c r="AM3021">
        <v>95.185497183244806</v>
      </c>
      <c r="AN3021">
        <v>1.0000000213945901</v>
      </c>
    </row>
    <row r="3022" spans="1:40" x14ac:dyDescent="0.25">
      <c r="A3022" t="str">
        <f>"20190304164702282"</f>
        <v>20190304164702282</v>
      </c>
      <c r="B3022" t="str">
        <f>"1551689222271650"</f>
        <v>1551689222271650</v>
      </c>
      <c r="C3022" t="s">
        <v>40</v>
      </c>
      <c r="D3022">
        <v>4.2690390000000003</v>
      </c>
      <c r="E3022">
        <v>0.5501509</v>
      </c>
      <c r="F3022" t="s">
        <v>41</v>
      </c>
      <c r="G3022">
        <v>-282.51519999999999</v>
      </c>
      <c r="H3022">
        <v>1.0418989999999999</v>
      </c>
      <c r="I3022">
        <v>214.5325</v>
      </c>
      <c r="J3022">
        <v>-283.15170000000001</v>
      </c>
      <c r="K3022">
        <v>1.1110799999999901</v>
      </c>
      <c r="L3022">
        <v>214.541</v>
      </c>
      <c r="M3022">
        <v>0.99982300000000002</v>
      </c>
      <c r="N3022">
        <v>-1.4052179999999999E-2</v>
      </c>
      <c r="O3022">
        <v>1.2522989999999999E-2</v>
      </c>
      <c r="P3022">
        <v>0.9325772</v>
      </c>
      <c r="Q3022">
        <v>0.34795859999999901</v>
      </c>
      <c r="R3022">
        <v>9.6046699999999999E-2</v>
      </c>
      <c r="S3022">
        <v>3.311401</v>
      </c>
      <c r="T3022">
        <v>-0.24596270000000001</v>
      </c>
      <c r="U3022">
        <v>-1.6479489999999999E-2</v>
      </c>
      <c r="V3022">
        <v>-8.435231E-2</v>
      </c>
      <c r="W3022">
        <v>0.3610469</v>
      </c>
      <c r="X3022">
        <v>0.92872480000000002</v>
      </c>
      <c r="Y3022">
        <v>1.7420439999999999E-2</v>
      </c>
      <c r="Z3022">
        <v>-1.5217760000000001E-3</v>
      </c>
      <c r="AA3022">
        <v>0.99984709999999999</v>
      </c>
      <c r="AB3022">
        <v>27</v>
      </c>
      <c r="AC3022">
        <v>0.63650000000001195</v>
      </c>
      <c r="AD3022">
        <v>-6.9180999999999895E-2</v>
      </c>
      <c r="AE3022">
        <v>-8.4999999999979502E-3</v>
      </c>
      <c r="AF3022">
        <v>1.6278728585430498E-2</v>
      </c>
      <c r="AG3022">
        <v>-6.9180999999999895E-2</v>
      </c>
      <c r="AH3022">
        <v>0.62891528626915705</v>
      </c>
      <c r="AI3022">
        <v>96.275242169231205</v>
      </c>
      <c r="AJ3022">
        <v>88.517297555031007</v>
      </c>
      <c r="AK3022">
        <v>0.63291819776995994</v>
      </c>
      <c r="AL3022">
        <v>68.835495568301596</v>
      </c>
      <c r="AM3022">
        <v>95.189704157639</v>
      </c>
      <c r="AN3022">
        <v>0.99999996516849199</v>
      </c>
    </row>
    <row r="3023" spans="1:40" x14ac:dyDescent="0.25">
      <c r="A3023" t="str">
        <f>"20190304164702300"</f>
        <v>20190304164702300</v>
      </c>
      <c r="B3023" t="str">
        <f>"1551689222292147"</f>
        <v>1551689222292147</v>
      </c>
      <c r="C3023" t="s">
        <v>40</v>
      </c>
      <c r="D3023">
        <v>4.1874909999999996</v>
      </c>
      <c r="E3023">
        <v>0.55033369999999904</v>
      </c>
      <c r="F3023" t="s">
        <v>41</v>
      </c>
      <c r="G3023">
        <v>-282.2681</v>
      </c>
      <c r="H3023">
        <v>1.044743</v>
      </c>
      <c r="I3023">
        <v>214.5367</v>
      </c>
      <c r="J3023">
        <v>-282.92399999999998</v>
      </c>
      <c r="K3023">
        <v>1.1110739999999999</v>
      </c>
      <c r="L3023">
        <v>214.5438</v>
      </c>
      <c r="M3023">
        <v>0.99982289999999996</v>
      </c>
      <c r="N3023">
        <v>-1.404764E-2</v>
      </c>
      <c r="O3023">
        <v>1.252546E-2</v>
      </c>
      <c r="P3023">
        <v>0.93265589999999998</v>
      </c>
      <c r="Q3023">
        <v>0.34774949999999999</v>
      </c>
      <c r="R3023">
        <v>9.6038949999999998E-2</v>
      </c>
      <c r="S3023">
        <v>3.3112490000000001</v>
      </c>
      <c r="T3023">
        <v>-0.24873970000000001</v>
      </c>
      <c r="U3023">
        <v>-1.4953610000000001E-2</v>
      </c>
      <c r="V3023">
        <v>-8.4337579999999995E-2</v>
      </c>
      <c r="W3023">
        <v>0.36083530000000003</v>
      </c>
      <c r="X3023">
        <v>0.92880839999999998</v>
      </c>
      <c r="Y3023">
        <v>1.6962089999999999E-2</v>
      </c>
      <c r="Z3023">
        <v>-1.5193429999999901E-3</v>
      </c>
      <c r="AA3023">
        <v>0.99985500000000005</v>
      </c>
      <c r="AB3023">
        <v>27</v>
      </c>
      <c r="AC3023">
        <v>0.65590000000003101</v>
      </c>
      <c r="AD3023">
        <v>-6.6330999999999904E-2</v>
      </c>
      <c r="AE3023">
        <v>-7.1000000000083201E-3</v>
      </c>
      <c r="AF3023">
        <v>1.5160669215816699E-2</v>
      </c>
      <c r="AG3023">
        <v>-6.6330999999999904E-2</v>
      </c>
      <c r="AH3023">
        <v>0.649121661415892</v>
      </c>
      <c r="AI3023">
        <v>95.832982118115694</v>
      </c>
      <c r="AJ3023">
        <v>88.662062107096105</v>
      </c>
      <c r="AK3023">
        <v>0.65267800542947596</v>
      </c>
      <c r="AL3023">
        <v>68.8484963198743</v>
      </c>
      <c r="AM3023">
        <v>95.188338370549602</v>
      </c>
      <c r="AN3023">
        <v>0.99999999251845295</v>
      </c>
    </row>
    <row r="3024" spans="1:40" x14ac:dyDescent="0.25">
      <c r="A3024" t="str">
        <f>"20190304164702335"</f>
        <v>20190304164702335</v>
      </c>
      <c r="B3024" t="str">
        <f>"1551689222321426"</f>
        <v>1551689222321426</v>
      </c>
      <c r="C3024" t="s">
        <v>40</v>
      </c>
      <c r="D3024">
        <v>4.1217370000000004</v>
      </c>
      <c r="E3024">
        <v>0.56699940000000004</v>
      </c>
      <c r="F3024" t="s">
        <v>41</v>
      </c>
      <c r="G3024">
        <v>-282.02519999999998</v>
      </c>
      <c r="H3024">
        <v>1.043337</v>
      </c>
      <c r="I3024">
        <v>214.53899999999999</v>
      </c>
      <c r="J3024">
        <v>-282.5147</v>
      </c>
      <c r="K3024">
        <v>1.1110679999999999</v>
      </c>
      <c r="L3024">
        <v>214.5489</v>
      </c>
      <c r="M3024">
        <v>0.99982329999999997</v>
      </c>
      <c r="N3024">
        <v>-1.402196E-2</v>
      </c>
      <c r="O3024">
        <v>1.252325E-2</v>
      </c>
      <c r="P3024">
        <v>0.93246379999999995</v>
      </c>
      <c r="Q3024">
        <v>0.34843190000000002</v>
      </c>
      <c r="R3024">
        <v>9.542863E-2</v>
      </c>
      <c r="S3024">
        <v>3.3114620000000001</v>
      </c>
      <c r="T3024">
        <v>-0.24963199999999999</v>
      </c>
      <c r="U3024">
        <v>-1.7501829999999999E-2</v>
      </c>
      <c r="V3024">
        <v>-8.3727910000000003E-2</v>
      </c>
      <c r="W3024">
        <v>0.36149160000000002</v>
      </c>
      <c r="X3024">
        <v>0.9286084</v>
      </c>
      <c r="Y3024">
        <v>1.772582E-2</v>
      </c>
      <c r="Z3024">
        <v>-1.5589569999999999E-3</v>
      </c>
      <c r="AA3024">
        <v>0.99984170000000006</v>
      </c>
      <c r="AB3024">
        <v>27</v>
      </c>
      <c r="AC3024">
        <v>0.48950000000001997</v>
      </c>
      <c r="AD3024">
        <v>-6.7730999999999694E-2</v>
      </c>
      <c r="AE3024">
        <v>-9.8999999999875802E-3</v>
      </c>
      <c r="AF3024">
        <v>1.5728939586829499E-2</v>
      </c>
      <c r="AG3024">
        <v>-6.7730999999999694E-2</v>
      </c>
      <c r="AH3024">
        <v>0.48014862638161898</v>
      </c>
      <c r="AI3024">
        <v>98.025063563503195</v>
      </c>
      <c r="AJ3024">
        <v>88.123748258112897</v>
      </c>
      <c r="AK3024">
        <v>0.48515728513306</v>
      </c>
      <c r="AL3024">
        <v>68.808172539200498</v>
      </c>
      <c r="AM3024">
        <v>95.152138199720397</v>
      </c>
      <c r="AN3024">
        <v>1.0000000501670401</v>
      </c>
    </row>
    <row r="3025" spans="1:40" x14ac:dyDescent="0.25">
      <c r="A3025" t="str">
        <f>"20190304164702357"</f>
        <v>20190304164702357</v>
      </c>
      <c r="B3025" t="str">
        <f>"1551689222351683"</f>
        <v>1551689222351683</v>
      </c>
      <c r="C3025" t="s">
        <v>40</v>
      </c>
      <c r="D3025">
        <v>4.1745830000000002</v>
      </c>
      <c r="E3025">
        <v>0.56691720000000001</v>
      </c>
      <c r="F3025" t="s">
        <v>41</v>
      </c>
      <c r="G3025">
        <v>-281.54520000000002</v>
      </c>
      <c r="H3025">
        <v>1.0338099999999999</v>
      </c>
      <c r="I3025">
        <v>214.50530000000001</v>
      </c>
      <c r="J3025">
        <v>-282.2371</v>
      </c>
      <c r="K3025">
        <v>1.1110690000000001</v>
      </c>
      <c r="L3025">
        <v>214.55240000000001</v>
      </c>
      <c r="M3025">
        <v>0.99982369999999998</v>
      </c>
      <c r="N3025">
        <v>-1.39886E-2</v>
      </c>
      <c r="O3025">
        <v>1.251941E-2</v>
      </c>
      <c r="P3025">
        <v>0.93191489999999999</v>
      </c>
      <c r="Q3025">
        <v>0.35013850000000002</v>
      </c>
      <c r="R3025">
        <v>9.4538730000000001E-2</v>
      </c>
      <c r="S3025">
        <v>3.3318479999999999</v>
      </c>
      <c r="T3025">
        <v>-0.26556619999999997</v>
      </c>
      <c r="U3025">
        <v>-0.1497192</v>
      </c>
      <c r="V3025">
        <v>-8.2847509999999999E-2</v>
      </c>
      <c r="W3025">
        <v>0.36315999999999998</v>
      </c>
      <c r="X3025">
        <v>0.92803619999999998</v>
      </c>
      <c r="Y3025">
        <v>5.7155230000000001E-2</v>
      </c>
      <c r="Z3025">
        <v>-3.4947899999999998E-3</v>
      </c>
      <c r="AA3025">
        <v>0.9983592</v>
      </c>
      <c r="AB3025">
        <v>27</v>
      </c>
      <c r="AC3025">
        <v>0.69189999999997498</v>
      </c>
      <c r="AD3025">
        <v>-7.7258999999999897E-2</v>
      </c>
      <c r="AE3025">
        <v>-4.7100000000000301E-2</v>
      </c>
      <c r="AF3025">
        <v>5.50757953291632E-2</v>
      </c>
      <c r="AG3025">
        <v>-7.7258999999999897E-2</v>
      </c>
      <c r="AH3025">
        <v>0.68278209528210698</v>
      </c>
      <c r="AI3025">
        <v>96.435018553957605</v>
      </c>
      <c r="AJ3025">
        <v>85.388289918152196</v>
      </c>
      <c r="AK3025">
        <v>0.68934293784005896</v>
      </c>
      <c r="AL3025">
        <v>68.705611188849701</v>
      </c>
      <c r="AM3025">
        <v>95.101377264370001</v>
      </c>
      <c r="AN3025">
        <v>1.00000004201181</v>
      </c>
    </row>
    <row r="3026" spans="1:40" x14ac:dyDescent="0.25">
      <c r="A3026" t="str">
        <f>"20190304164702379"</f>
        <v>20190304164702379</v>
      </c>
      <c r="B3026" t="str">
        <f>"1551689222371202"</f>
        <v>1551689222371202</v>
      </c>
      <c r="C3026" t="s">
        <v>40</v>
      </c>
      <c r="D3026">
        <v>4.0549269999999904</v>
      </c>
      <c r="E3026">
        <v>0.56727059999999996</v>
      </c>
      <c r="F3026" t="s">
        <v>41</v>
      </c>
      <c r="G3026">
        <v>-281.30059999999997</v>
      </c>
      <c r="H3026">
        <v>1.0360510000000001</v>
      </c>
      <c r="I3026">
        <v>214.50989999999999</v>
      </c>
      <c r="J3026">
        <v>-281.95639999999997</v>
      </c>
      <c r="K3026">
        <v>1.1110709999999999</v>
      </c>
      <c r="L3026">
        <v>214.55600000000001</v>
      </c>
      <c r="M3026">
        <v>0.9998245</v>
      </c>
      <c r="N3026">
        <v>-1.3946109999999999E-2</v>
      </c>
      <c r="O3026">
        <v>1.2515719999999999E-2</v>
      </c>
      <c r="P3026">
        <v>0.93208590000000002</v>
      </c>
      <c r="Q3026">
        <v>0.349937</v>
      </c>
      <c r="R3026">
        <v>9.3595250000000005E-2</v>
      </c>
      <c r="S3026">
        <v>3.3348390000000001</v>
      </c>
      <c r="T3026">
        <v>-0.26728940000000001</v>
      </c>
      <c r="U3026">
        <v>-0.15014649999999999</v>
      </c>
      <c r="V3026">
        <v>-8.1905099999999995E-2</v>
      </c>
      <c r="W3026">
        <v>0.36292099999999999</v>
      </c>
      <c r="X3026">
        <v>0.92821330000000002</v>
      </c>
      <c r="Y3026">
        <v>5.7236219999999997E-2</v>
      </c>
      <c r="Z3026">
        <v>-3.5158709999999998E-3</v>
      </c>
      <c r="AA3026">
        <v>0.99835450000000003</v>
      </c>
      <c r="AB3026">
        <v>27</v>
      </c>
      <c r="AC3026">
        <v>0.65579999999999905</v>
      </c>
      <c r="AD3026">
        <v>-7.5019999999999795E-2</v>
      </c>
      <c r="AE3026">
        <v>-4.6099999999995499E-2</v>
      </c>
      <c r="AF3026">
        <v>5.3606937317716402E-2</v>
      </c>
      <c r="AG3026">
        <v>-7.5019999999999795E-2</v>
      </c>
      <c r="AH3026">
        <v>0.64674975778091404</v>
      </c>
      <c r="AI3026">
        <v>96.594065763798994</v>
      </c>
      <c r="AJ3026">
        <v>85.261774360684299</v>
      </c>
      <c r="AK3026">
        <v>0.65328933354085605</v>
      </c>
      <c r="AL3026">
        <v>68.720306938104301</v>
      </c>
      <c r="AM3026">
        <v>95.042691565771406</v>
      </c>
      <c r="AN3026">
        <v>1.00000001397195</v>
      </c>
    </row>
    <row r="3027" spans="1:40" x14ac:dyDescent="0.25">
      <c r="A3027" t="str">
        <f>"20190304164702401"</f>
        <v>20190304164702401</v>
      </c>
      <c r="B3027" t="str">
        <f>"1551689222391698"</f>
        <v>1551689222391698</v>
      </c>
      <c r="C3027" t="s">
        <v>40</v>
      </c>
      <c r="D3027">
        <v>4.0050129999999999</v>
      </c>
      <c r="E3027">
        <v>0.56762950000000001</v>
      </c>
      <c r="F3027" t="s">
        <v>41</v>
      </c>
      <c r="G3027">
        <v>-281.0557</v>
      </c>
      <c r="H3027">
        <v>1.0393749999999999</v>
      </c>
      <c r="I3027">
        <v>214.5138</v>
      </c>
      <c r="J3027">
        <v>-281.69970000000001</v>
      </c>
      <c r="K3027">
        <v>1.1110640000000001</v>
      </c>
      <c r="L3027">
        <v>214.5592</v>
      </c>
      <c r="M3027">
        <v>0.99982539999999998</v>
      </c>
      <c r="N3027">
        <v>-1.388123E-2</v>
      </c>
      <c r="O3027">
        <v>1.251331E-2</v>
      </c>
      <c r="P3027">
        <v>0.93167529999999998</v>
      </c>
      <c r="Q3027">
        <v>0.35122799999999998</v>
      </c>
      <c r="R3027">
        <v>9.2847789999999999E-2</v>
      </c>
      <c r="S3027">
        <v>3.3338009999999998</v>
      </c>
      <c r="T3027">
        <v>-0.26542949999999998</v>
      </c>
      <c r="U3027">
        <v>-0.15544129999999901</v>
      </c>
      <c r="V3027">
        <v>-8.1165459999999995E-2</v>
      </c>
      <c r="W3027">
        <v>0.36414570000000002</v>
      </c>
      <c r="X3027">
        <v>0.92779849999999997</v>
      </c>
      <c r="Y3027">
        <v>5.8827249999999998E-2</v>
      </c>
      <c r="Z3027">
        <v>-3.5670200000000002E-3</v>
      </c>
      <c r="AA3027">
        <v>0.99826179999999998</v>
      </c>
      <c r="AB3027">
        <v>27</v>
      </c>
      <c r="AC3027">
        <v>0.64400000000000501</v>
      </c>
      <c r="AD3027">
        <v>-7.16890000000001E-2</v>
      </c>
      <c r="AE3027">
        <v>-4.5400000000000697E-2</v>
      </c>
      <c r="AF3027">
        <v>5.2804684905394299E-2</v>
      </c>
      <c r="AG3027">
        <v>-7.16890000000001E-2</v>
      </c>
      <c r="AH3027">
        <v>0.63554483118957095</v>
      </c>
      <c r="AI3027">
        <v>96.413804578865197</v>
      </c>
      <c r="AJ3027">
        <v>85.250449295699397</v>
      </c>
      <c r="AK3027">
        <v>0.64175141598654695</v>
      </c>
      <c r="AL3027">
        <v>68.644982687402006</v>
      </c>
      <c r="AM3027">
        <v>94.999608337512797</v>
      </c>
      <c r="AN3027">
        <v>0.99999998966387504</v>
      </c>
    </row>
    <row r="3028" spans="1:40" x14ac:dyDescent="0.25">
      <c r="A3028" t="str">
        <f>"20190304164702423"</f>
        <v>20190304164702423</v>
      </c>
      <c r="B3028" t="str">
        <f>"1551689222412194"</f>
        <v>1551689222412194</v>
      </c>
      <c r="C3028" t="s">
        <v>40</v>
      </c>
      <c r="D3028">
        <v>4.087745</v>
      </c>
      <c r="E3028">
        <v>0.5675694</v>
      </c>
      <c r="F3028" t="s">
        <v>41</v>
      </c>
      <c r="G3028">
        <v>-280.81060000000002</v>
      </c>
      <c r="H3028">
        <v>1.043069</v>
      </c>
      <c r="I3028">
        <v>214.51560000000001</v>
      </c>
      <c r="J3028">
        <v>-281.42680000000001</v>
      </c>
      <c r="K3028">
        <v>1.1110409999999999</v>
      </c>
      <c r="L3028">
        <v>214.5626</v>
      </c>
      <c r="M3028">
        <v>0.99982680000000002</v>
      </c>
      <c r="N3028">
        <v>-1.3775269999999999E-2</v>
      </c>
      <c r="O3028">
        <v>1.2513399999999999E-2</v>
      </c>
      <c r="P3028">
        <v>0.93142469999999999</v>
      </c>
      <c r="Q3028">
        <v>0.35189880000000001</v>
      </c>
      <c r="R3028">
        <v>9.2818230000000002E-2</v>
      </c>
      <c r="S3028">
        <v>3.3323059999999902</v>
      </c>
      <c r="T3028">
        <v>-0.25501509999999999</v>
      </c>
      <c r="U3028">
        <v>-0.16227720000000001</v>
      </c>
      <c r="V3028">
        <v>-8.1138509999999997E-2</v>
      </c>
      <c r="W3028">
        <v>0.36471439999999999</v>
      </c>
      <c r="X3028">
        <v>0.9275774</v>
      </c>
      <c r="Y3028">
        <v>6.0902129999999999E-2</v>
      </c>
      <c r="Z3028">
        <v>-3.5297039999999998E-3</v>
      </c>
      <c r="AA3028">
        <v>0.99813750000000001</v>
      </c>
      <c r="AB3028">
        <v>27</v>
      </c>
      <c r="AC3028">
        <v>0.61619999999999198</v>
      </c>
      <c r="AD3028">
        <v>-6.7971999999999894E-2</v>
      </c>
      <c r="AE3028">
        <v>-4.6999999999997003E-2</v>
      </c>
      <c r="AF3028">
        <v>5.4053888655371501E-2</v>
      </c>
      <c r="AG3028">
        <v>-6.7971999999999894E-2</v>
      </c>
      <c r="AH3028">
        <v>0.60820575978423597</v>
      </c>
      <c r="AI3028">
        <v>96.351983373242504</v>
      </c>
      <c r="AJ3028">
        <v>84.921218899898605</v>
      </c>
      <c r="AK3028">
        <v>0.61437469177814197</v>
      </c>
      <c r="AL3028">
        <v>68.609991249747594</v>
      </c>
      <c r="AM3028">
        <v>94.999141979257601</v>
      </c>
      <c r="AN3028">
        <v>0.99999994218156796</v>
      </c>
    </row>
    <row r="3029" spans="1:40" x14ac:dyDescent="0.25">
      <c r="A3029" t="str">
        <f>"20190304164702447"</f>
        <v>20190304164702447</v>
      </c>
      <c r="B3029" t="str">
        <f>"1551689222441474"</f>
        <v>1551689222441474</v>
      </c>
      <c r="C3029" t="s">
        <v>40</v>
      </c>
      <c r="D3029">
        <v>4.0594150000000004</v>
      </c>
      <c r="E3029">
        <v>0.56759759999999904</v>
      </c>
      <c r="F3029" t="s">
        <v>41</v>
      </c>
      <c r="G3029">
        <v>-280.56509999999997</v>
      </c>
      <c r="H3029">
        <v>1.0458499999999999</v>
      </c>
      <c r="I3029">
        <v>214.5205</v>
      </c>
      <c r="J3029">
        <v>-281.14589999999998</v>
      </c>
      <c r="K3029">
        <v>1.1110120000000001</v>
      </c>
      <c r="L3029">
        <v>214.56610000000001</v>
      </c>
      <c r="M3029">
        <v>0.99982879999999996</v>
      </c>
      <c r="N3029">
        <v>-1.36369E-2</v>
      </c>
      <c r="O3029">
        <v>1.251537E-2</v>
      </c>
      <c r="P3029">
        <v>0.93163530000000006</v>
      </c>
      <c r="Q3029">
        <v>0.35143809999999998</v>
      </c>
      <c r="R3029">
        <v>9.2450859999999996E-2</v>
      </c>
      <c r="S3029">
        <v>3.3323059999999902</v>
      </c>
      <c r="T3029">
        <v>-0.25212400000000001</v>
      </c>
      <c r="U3029">
        <v>-0.16212460000000001</v>
      </c>
      <c r="V3029">
        <v>-8.0766519999999994E-2</v>
      </c>
      <c r="W3029">
        <v>0.36412840000000002</v>
      </c>
      <c r="X3029">
        <v>0.9278402</v>
      </c>
      <c r="Y3029">
        <v>6.0863859999999999E-2</v>
      </c>
      <c r="Z3029">
        <v>-3.488512E-3</v>
      </c>
      <c r="AA3029">
        <v>0.99814000000000003</v>
      </c>
      <c r="AB3029">
        <v>27</v>
      </c>
      <c r="AC3029">
        <v>0.58080000000000997</v>
      </c>
      <c r="AD3029">
        <v>-6.5162000000000095E-2</v>
      </c>
      <c r="AE3029">
        <v>-4.5600000000007399E-2</v>
      </c>
      <c r="AF3029">
        <v>5.2212833249866399E-2</v>
      </c>
      <c r="AG3029">
        <v>-6.5162000000000095E-2</v>
      </c>
      <c r="AH3029">
        <v>0.573015173810972</v>
      </c>
      <c r="AI3029">
        <v>96.461138227179106</v>
      </c>
      <c r="AJ3029">
        <v>84.793616851348901</v>
      </c>
      <c r="AK3029">
        <v>0.57906705623580101</v>
      </c>
      <c r="AL3029">
        <v>68.646048986865196</v>
      </c>
      <c r="AM3029">
        <v>94.974935700631804</v>
      </c>
      <c r="AN3029">
        <v>1.0000000795877499</v>
      </c>
    </row>
    <row r="3030" spans="1:40" x14ac:dyDescent="0.25">
      <c r="A3030" t="str">
        <f>"20190304164702470"</f>
        <v>20190304164702470</v>
      </c>
      <c r="B3030" t="str">
        <f>"1551689222461971"</f>
        <v>1551689222461971</v>
      </c>
      <c r="C3030" t="s">
        <v>40</v>
      </c>
      <c r="D3030">
        <v>4.0534990000000004</v>
      </c>
      <c r="E3030">
        <v>0.56761010000000001</v>
      </c>
      <c r="F3030" t="s">
        <v>41</v>
      </c>
      <c r="G3030">
        <v>-280.31970000000001</v>
      </c>
      <c r="H3030">
        <v>1.0483009999999999</v>
      </c>
      <c r="I3030">
        <v>214.52500000000001</v>
      </c>
      <c r="J3030">
        <v>-280.86040000000003</v>
      </c>
      <c r="K3030">
        <v>1.110984</v>
      </c>
      <c r="L3030">
        <v>214.56960000000001</v>
      </c>
      <c r="M3030">
        <v>0.99983100000000003</v>
      </c>
      <c r="N3030">
        <v>-1.347431E-2</v>
      </c>
      <c r="O3030">
        <v>1.251586E-2</v>
      </c>
      <c r="P3030">
        <v>0.9311545</v>
      </c>
      <c r="Q3030">
        <v>0.35268909999999998</v>
      </c>
      <c r="R3030">
        <v>9.2530089999999995E-2</v>
      </c>
      <c r="S3030">
        <v>3.3319700000000001</v>
      </c>
      <c r="T3030">
        <v>-0.25302839999999999</v>
      </c>
      <c r="U3030">
        <v>-0.164932299999999</v>
      </c>
      <c r="V3030">
        <v>-8.0852770000000004E-2</v>
      </c>
      <c r="W3030">
        <v>0.36522189999999999</v>
      </c>
      <c r="X3030">
        <v>0.92740270000000002</v>
      </c>
      <c r="Y3030">
        <v>6.1704009999999997E-2</v>
      </c>
      <c r="Z3030">
        <v>-3.5350009999999999E-3</v>
      </c>
      <c r="AA3030">
        <v>0.99808819999999998</v>
      </c>
      <c r="AB3030">
        <v>27</v>
      </c>
      <c r="AC3030">
        <v>0.54070000000001495</v>
      </c>
      <c r="AD3030">
        <v>-6.2683000000000003E-2</v>
      </c>
      <c r="AE3030">
        <v>-4.4600000000002603E-2</v>
      </c>
      <c r="AF3030">
        <v>5.0687823978416799E-2</v>
      </c>
      <c r="AG3030">
        <v>-6.2683000000000003E-2</v>
      </c>
      <c r="AH3030">
        <v>0.53298468224546702</v>
      </c>
      <c r="AI3030">
        <v>96.677745547814894</v>
      </c>
      <c r="AJ3030">
        <v>84.567404744049995</v>
      </c>
      <c r="AK3030">
        <v>0.53904645949766505</v>
      </c>
      <c r="AL3030">
        <v>68.578760270891294</v>
      </c>
      <c r="AM3030">
        <v>94.982559278259302</v>
      </c>
      <c r="AN3030">
        <v>0.99999998731178597</v>
      </c>
    </row>
    <row r="3031" spans="1:40" x14ac:dyDescent="0.25">
      <c r="A3031" t="str">
        <f>"20190304164702492"</f>
        <v>20190304164702492</v>
      </c>
      <c r="B3031" t="str">
        <f>"1551689222481491"</f>
        <v>1551689222481491</v>
      </c>
      <c r="C3031" t="s">
        <v>40</v>
      </c>
      <c r="D3031">
        <v>4.0558420000000002</v>
      </c>
      <c r="E3031">
        <v>0.56776549999999903</v>
      </c>
      <c r="F3031" t="s">
        <v>41</v>
      </c>
      <c r="G3031">
        <v>-280.0711</v>
      </c>
      <c r="H3031">
        <v>1.0521910000000001</v>
      </c>
      <c r="I3031">
        <v>214.53059999999999</v>
      </c>
      <c r="J3031">
        <v>-280.59500000000003</v>
      </c>
      <c r="K3031">
        <v>1.1109610000000001</v>
      </c>
      <c r="L3031">
        <v>214.57300000000001</v>
      </c>
      <c r="M3031">
        <v>0.99983319999999998</v>
      </c>
      <c r="N3031">
        <v>-1.3308169999999999E-2</v>
      </c>
      <c r="O3031">
        <v>1.251528E-2</v>
      </c>
      <c r="P3031">
        <v>0.93087390000000003</v>
      </c>
      <c r="Q3031">
        <v>0.35329969999999999</v>
      </c>
      <c r="R3031">
        <v>9.302241E-2</v>
      </c>
      <c r="S3031">
        <v>3.3321529999999999</v>
      </c>
      <c r="T3031">
        <v>-0.24829709999999999</v>
      </c>
      <c r="U3031">
        <v>-0.16448969999999999</v>
      </c>
      <c r="V3031">
        <v>-8.1349749999999998E-2</v>
      </c>
      <c r="W3031">
        <v>0.36567460000000002</v>
      </c>
      <c r="X3031">
        <v>0.92718080000000003</v>
      </c>
      <c r="Y3031">
        <v>6.1577409999999999E-2</v>
      </c>
      <c r="Z3031">
        <v>-3.4648650000000001E-3</v>
      </c>
      <c r="AA3031">
        <v>0.99809630000000005</v>
      </c>
      <c r="AB3031">
        <v>27</v>
      </c>
      <c r="AC3031">
        <v>0.52390000000002601</v>
      </c>
      <c r="AD3031">
        <v>-5.8770000000000197E-2</v>
      </c>
      <c r="AE3031">
        <v>-4.23999999999864E-2</v>
      </c>
      <c r="AF3031">
        <v>4.8349548279777103E-2</v>
      </c>
      <c r="AG3031">
        <v>-5.8770000000000197E-2</v>
      </c>
      <c r="AH3031">
        <v>0.516866405984032</v>
      </c>
      <c r="AI3031">
        <v>96.458965947444995</v>
      </c>
      <c r="AJ3031">
        <v>84.655897564656698</v>
      </c>
      <c r="AK3031">
        <v>0.52243896615174901</v>
      </c>
      <c r="AL3031">
        <v>68.550894588580405</v>
      </c>
      <c r="AM3031">
        <v>95.014223768183101</v>
      </c>
      <c r="AN3031">
        <v>0.99999996539943004</v>
      </c>
    </row>
    <row r="3032" spans="1:40" x14ac:dyDescent="0.25">
      <c r="A3032" t="str">
        <f>"20190304164702512"</f>
        <v>20190304164702512</v>
      </c>
      <c r="B3032" t="str">
        <f>"1551689222501986"</f>
        <v>1551689222501986</v>
      </c>
      <c r="C3032" t="s">
        <v>40</v>
      </c>
      <c r="D3032">
        <v>4.0008520000000001</v>
      </c>
      <c r="E3032">
        <v>0.56764989999999904</v>
      </c>
      <c r="F3032" t="s">
        <v>49</v>
      </c>
      <c r="G3032">
        <v>-265.49650000000003</v>
      </c>
      <c r="H3032" s="1">
        <v>1.422694E-6</v>
      </c>
      <c r="I3032">
        <v>213.82689999999999</v>
      </c>
      <c r="J3032">
        <v>-280.34660000000002</v>
      </c>
      <c r="K3032">
        <v>1.110924</v>
      </c>
      <c r="L3032">
        <v>214.5761</v>
      </c>
      <c r="M3032">
        <v>0.99983529999999998</v>
      </c>
      <c r="N3032">
        <v>-1.3145560000000001E-2</v>
      </c>
      <c r="O3032">
        <v>1.251507E-2</v>
      </c>
      <c r="P3032">
        <v>0.93101460000000003</v>
      </c>
      <c r="Q3032">
        <v>0.35265459999999998</v>
      </c>
      <c r="R3032">
        <v>9.4054830000000006E-2</v>
      </c>
      <c r="S3032">
        <v>3.3323059999999902</v>
      </c>
      <c r="T3032">
        <v>-0.2451941</v>
      </c>
      <c r="U3032">
        <v>-0.16467290000000001</v>
      </c>
      <c r="V3032">
        <v>-8.2380880000000004E-2</v>
      </c>
      <c r="W3032">
        <v>0.3648805</v>
      </c>
      <c r="X3032">
        <v>0.92740259999999997</v>
      </c>
      <c r="Y3032">
        <v>6.163503E-2</v>
      </c>
      <c r="Z3032">
        <v>-3.4240540000000002E-3</v>
      </c>
      <c r="AA3032">
        <v>0.99809289999999995</v>
      </c>
      <c r="AB3032">
        <v>27</v>
      </c>
      <c r="AC3032">
        <v>14.8500999999999</v>
      </c>
      <c r="AD3032">
        <v>-1.1109225773060001</v>
      </c>
      <c r="AE3032">
        <v>-0.74920000000000098</v>
      </c>
      <c r="AF3032">
        <v>0.92981699290618802</v>
      </c>
      <c r="AG3032">
        <v>-1.1109225773060001</v>
      </c>
      <c r="AH3032">
        <v>14.757182253877801</v>
      </c>
      <c r="AI3032">
        <v>94.296625098456005</v>
      </c>
      <c r="AJ3032">
        <v>86.394687257576606</v>
      </c>
      <c r="AK3032">
        <v>14.828119796091199</v>
      </c>
      <c r="AL3032">
        <v>68.599771019698593</v>
      </c>
      <c r="AM3032">
        <v>95.076242250768203</v>
      </c>
      <c r="AN3032">
        <v>0.99999998557829195</v>
      </c>
    </row>
    <row r="3033" spans="1:40" x14ac:dyDescent="0.25">
      <c r="A3033" t="str">
        <f>"20190304164702536"</f>
        <v>20190304164702536</v>
      </c>
      <c r="B3033" t="str">
        <f>"1551689222531266"</f>
        <v>1551689222531266</v>
      </c>
      <c r="C3033" t="s">
        <v>40</v>
      </c>
      <c r="D3033">
        <v>4.0599910000000001</v>
      </c>
      <c r="E3033">
        <v>0.52813549999999998</v>
      </c>
      <c r="F3033" t="s">
        <v>49</v>
      </c>
      <c r="G3033">
        <v>-265.46710000000002</v>
      </c>
      <c r="H3033" s="1">
        <v>1.4055820000000001E-6</v>
      </c>
      <c r="I3033">
        <v>213.86060000000001</v>
      </c>
      <c r="J3033">
        <v>-280.06959999999998</v>
      </c>
      <c r="K3033">
        <v>1.1108899999999999</v>
      </c>
      <c r="L3033">
        <v>214.5796</v>
      </c>
      <c r="M3033">
        <v>0.9998378</v>
      </c>
      <c r="N3033">
        <v>-1.296404E-2</v>
      </c>
      <c r="O3033">
        <v>1.250799E-2</v>
      </c>
      <c r="P3033">
        <v>0.93145440000000002</v>
      </c>
      <c r="Q3033">
        <v>0.35116979999999998</v>
      </c>
      <c r="R3033">
        <v>9.5251520000000006E-2</v>
      </c>
      <c r="S3033">
        <v>3.3326720000000001</v>
      </c>
      <c r="T3033">
        <v>-0.24882280000000001</v>
      </c>
      <c r="U3033">
        <v>-0.16026309999999999</v>
      </c>
      <c r="V3033">
        <v>-8.3575930000000007E-2</v>
      </c>
      <c r="W3033">
        <v>0.36323420000000001</v>
      </c>
      <c r="X3033">
        <v>0.92794180000000004</v>
      </c>
      <c r="Y3033">
        <v>6.0303389999999998E-2</v>
      </c>
      <c r="Z3033">
        <v>-3.4087340000000001E-3</v>
      </c>
      <c r="AA3033">
        <v>0.99817429999999996</v>
      </c>
      <c r="AB3033">
        <v>27</v>
      </c>
      <c r="AC3033">
        <v>14.6024999999999</v>
      </c>
      <c r="AD3033">
        <v>-1.110888594418</v>
      </c>
      <c r="AE3033">
        <v>-0.71899999999999398</v>
      </c>
      <c r="AF3033">
        <v>0.896431508895151</v>
      </c>
      <c r="AG3033">
        <v>-1.110888594418</v>
      </c>
      <c r="AH3033">
        <v>14.508598900761999</v>
      </c>
      <c r="AI3033">
        <v>94.370155980417593</v>
      </c>
      <c r="AJ3033">
        <v>86.464404779714002</v>
      </c>
      <c r="AK3033">
        <v>14.5786523719629</v>
      </c>
      <c r="AL3033">
        <v>68.701047359459196</v>
      </c>
      <c r="AM3033">
        <v>95.146511008424895</v>
      </c>
      <c r="AN3033">
        <v>1.0000000021561199</v>
      </c>
    </row>
    <row r="3034" spans="1:40" x14ac:dyDescent="0.25">
      <c r="A3034" t="str">
        <f>"20190304164702558"</f>
        <v>20190304164702558</v>
      </c>
      <c r="B3034" t="str">
        <f>"1551689222551765"</f>
        <v>1551689222551765</v>
      </c>
      <c r="C3034" t="s">
        <v>40</v>
      </c>
      <c r="D3034">
        <v>4.0651830000000002</v>
      </c>
      <c r="E3034">
        <v>0.51841280000000001</v>
      </c>
      <c r="F3034" t="s">
        <v>49</v>
      </c>
      <c r="G3034">
        <v>-260.32319999999999</v>
      </c>
      <c r="H3034" s="1">
        <v>-1.4030759999999999E-6</v>
      </c>
      <c r="I3034">
        <v>215.49209999999999</v>
      </c>
      <c r="J3034">
        <v>-279.78789999999998</v>
      </c>
      <c r="K3034">
        <v>1.1108559999999901</v>
      </c>
      <c r="L3034">
        <v>214.5831</v>
      </c>
      <c r="M3034">
        <v>0.99984039999999996</v>
      </c>
      <c r="N3034">
        <v>-1.278896E-2</v>
      </c>
      <c r="O3034">
        <v>1.248119E-2</v>
      </c>
      <c r="P3034">
        <v>0.93152579999999996</v>
      </c>
      <c r="Q3034">
        <v>0.3506301</v>
      </c>
      <c r="R3034">
        <v>9.6532699999999999E-2</v>
      </c>
      <c r="S3034">
        <v>3.2747190000000002</v>
      </c>
      <c r="T3034">
        <v>-0.1842287</v>
      </c>
      <c r="U3034">
        <v>0.15133669999999999</v>
      </c>
      <c r="V3034">
        <v>-8.4871879999999997E-2</v>
      </c>
      <c r="W3034">
        <v>0.3625353</v>
      </c>
      <c r="X3034">
        <v>0.92809750000000002</v>
      </c>
      <c r="Y3034">
        <v>-3.3638439999999999E-2</v>
      </c>
      <c r="Z3034">
        <v>6.1868229999999995E-4</v>
      </c>
      <c r="AA3034">
        <v>0.99943389999999999</v>
      </c>
      <c r="AB3034">
        <v>27</v>
      </c>
      <c r="AC3034">
        <v>19.464700000000001</v>
      </c>
      <c r="AD3034">
        <v>-1.1108574030759999</v>
      </c>
      <c r="AE3034">
        <v>0.90899999999999104</v>
      </c>
      <c r="AF3034">
        <v>-0.66380937509975002</v>
      </c>
      <c r="AG3034">
        <v>-1.1108574030759999</v>
      </c>
      <c r="AH3034">
        <v>19.411443924943701</v>
      </c>
      <c r="AI3034">
        <v>93.273380163009193</v>
      </c>
      <c r="AJ3034">
        <v>91.958569409555594</v>
      </c>
      <c r="AK3034">
        <v>19.454531665081799</v>
      </c>
      <c r="AL3034">
        <v>68.744021201510805</v>
      </c>
      <c r="AM3034">
        <v>95.225003776668601</v>
      </c>
      <c r="AN3034">
        <v>1.0000000246335301</v>
      </c>
    </row>
    <row r="3035" spans="1:40" x14ac:dyDescent="0.25">
      <c r="A3035" t="str">
        <f>"20190304164702581"</f>
        <v>20190304164702581</v>
      </c>
      <c r="B3035" t="str">
        <f>"1551689222571283"</f>
        <v>1551689222571283</v>
      </c>
      <c r="C3035" t="s">
        <v>40</v>
      </c>
      <c r="D3035">
        <v>4.0374280000000002</v>
      </c>
      <c r="E3035">
        <v>0.51463950000000003</v>
      </c>
      <c r="F3035" t="s">
        <v>49</v>
      </c>
      <c r="G3035">
        <v>-260.5412</v>
      </c>
      <c r="H3035" s="1">
        <v>-1.3072660000000001E-6</v>
      </c>
      <c r="I3035">
        <v>215.95419999999999</v>
      </c>
      <c r="J3035">
        <v>-279.51670000000001</v>
      </c>
      <c r="K3035">
        <v>1.1108199999999999</v>
      </c>
      <c r="L3035">
        <v>214.5864</v>
      </c>
      <c r="M3035">
        <v>0.99984289999999998</v>
      </c>
      <c r="N3035">
        <v>-1.263425E-2</v>
      </c>
      <c r="O3035">
        <v>1.2436060000000001E-2</v>
      </c>
      <c r="P3035">
        <v>0.93156760000000005</v>
      </c>
      <c r="Q3035">
        <v>0.35042640000000003</v>
      </c>
      <c r="R3035">
        <v>9.6868339999999997E-2</v>
      </c>
      <c r="S3035">
        <v>3.267395</v>
      </c>
      <c r="T3035">
        <v>-0.18858359999999999</v>
      </c>
      <c r="U3035">
        <v>0.2327728</v>
      </c>
      <c r="V3035">
        <v>-8.523501E-2</v>
      </c>
      <c r="W3035">
        <v>0.36219170000000001</v>
      </c>
      <c r="X3035">
        <v>0.92819830000000003</v>
      </c>
      <c r="Y3035">
        <v>-5.8544199999999998E-2</v>
      </c>
      <c r="Z3035">
        <v>1.4973160000000001E-3</v>
      </c>
      <c r="AA3035">
        <v>0.9982837</v>
      </c>
      <c r="AB3035">
        <v>27</v>
      </c>
      <c r="AC3035">
        <v>18.9755</v>
      </c>
      <c r="AD3035">
        <v>-1.110821307266</v>
      </c>
      <c r="AE3035">
        <v>1.3677999999999799</v>
      </c>
      <c r="AF3035">
        <v>-1.1278498746325301</v>
      </c>
      <c r="AG3035">
        <v>-1.110821307266</v>
      </c>
      <c r="AH3035">
        <v>18.926519667386799</v>
      </c>
      <c r="AI3035">
        <v>93.352973855584494</v>
      </c>
      <c r="AJ3035">
        <v>93.410278796103796</v>
      </c>
      <c r="AK3035">
        <v>18.9926068783715</v>
      </c>
      <c r="AL3035">
        <v>68.765142119321297</v>
      </c>
      <c r="AM3035">
        <v>95.246668120882603</v>
      </c>
      <c r="AN3035">
        <v>0.99999995930073904</v>
      </c>
    </row>
    <row r="3036" spans="1:40" x14ac:dyDescent="0.25">
      <c r="A3036" t="str">
        <f>"20190304164702602"</f>
        <v>20190304164702602</v>
      </c>
      <c r="B3036" t="str">
        <f>"1551689222591778"</f>
        <v>1551689222591778</v>
      </c>
      <c r="C3036" t="s">
        <v>40</v>
      </c>
      <c r="D3036">
        <v>4.0334180000000002</v>
      </c>
      <c r="E3036">
        <v>0.51275870000000001</v>
      </c>
      <c r="F3036" t="s">
        <v>49</v>
      </c>
      <c r="G3036">
        <v>-260.64909999999998</v>
      </c>
      <c r="H3036" s="1">
        <v>-1.257146E-6</v>
      </c>
      <c r="I3036">
        <v>216.1207</v>
      </c>
      <c r="J3036">
        <v>-279.25720000000001</v>
      </c>
      <c r="K3036">
        <v>1.1107880000000001</v>
      </c>
      <c r="L3036">
        <v>214.58959999999999</v>
      </c>
      <c r="M3036">
        <v>0.9998456</v>
      </c>
      <c r="N3036">
        <v>-1.249956E-2</v>
      </c>
      <c r="O3036">
        <v>1.236689E-2</v>
      </c>
      <c r="P3036">
        <v>0.93183870000000002</v>
      </c>
      <c r="Q3036">
        <v>0.34960740000000001</v>
      </c>
      <c r="R3036">
        <v>9.7220260000000003E-2</v>
      </c>
      <c r="S3036">
        <v>3.2650760000000001</v>
      </c>
      <c r="T3036">
        <v>-0.19222990000000001</v>
      </c>
      <c r="U3036">
        <v>0.26550289999999999</v>
      </c>
      <c r="V3036">
        <v>-8.5631299999999994E-2</v>
      </c>
      <c r="W3036">
        <v>0.36125550000000001</v>
      </c>
      <c r="X3036">
        <v>0.92852659999999998</v>
      </c>
      <c r="Y3036">
        <v>-6.8585149999999998E-2</v>
      </c>
      <c r="Z3036">
        <v>1.871796E-3</v>
      </c>
      <c r="AA3036">
        <v>0.99764350000000002</v>
      </c>
      <c r="AB3036">
        <v>27</v>
      </c>
      <c r="AC3036">
        <v>18.6081</v>
      </c>
      <c r="AD3036">
        <v>-1.1107892571460001</v>
      </c>
      <c r="AE3036">
        <v>1.5310999999999999</v>
      </c>
      <c r="AF3036">
        <v>-1.29625268627929</v>
      </c>
      <c r="AG3036">
        <v>-1.1107892571460001</v>
      </c>
      <c r="AH3036">
        <v>18.5599223049072</v>
      </c>
      <c r="AI3036">
        <v>93.416695677503697</v>
      </c>
      <c r="AJ3036">
        <v>93.995135350420298</v>
      </c>
      <c r="AK3036">
        <v>18.638262788271501</v>
      </c>
      <c r="AL3036">
        <v>68.822678310742404</v>
      </c>
      <c r="AM3036">
        <v>95.269071640504805</v>
      </c>
      <c r="AN3036">
        <v>0.99999995136374797</v>
      </c>
    </row>
    <row r="3037" spans="1:40" x14ac:dyDescent="0.25">
      <c r="A3037" t="str">
        <f>"20190304164702624"</f>
        <v>20190304164702624</v>
      </c>
      <c r="B3037" t="str">
        <f>"1551689222622034"</f>
        <v>1551689222622034</v>
      </c>
      <c r="C3037" t="s">
        <v>40</v>
      </c>
      <c r="D3037">
        <v>4.0506970000000004</v>
      </c>
      <c r="E3037">
        <v>0.51152410000000004</v>
      </c>
      <c r="F3037" t="s">
        <v>49</v>
      </c>
      <c r="G3037">
        <v>-260.73779999999999</v>
      </c>
      <c r="H3037" s="1">
        <v>-1.2130530000000001E-6</v>
      </c>
      <c r="I3037">
        <v>216.1925</v>
      </c>
      <c r="J3037">
        <v>-278.9828</v>
      </c>
      <c r="K3037">
        <v>1.1107670000000001</v>
      </c>
      <c r="L3037">
        <v>214.59289999999999</v>
      </c>
      <c r="M3037">
        <v>0.99984850000000003</v>
      </c>
      <c r="N3037">
        <v>-1.237129E-2</v>
      </c>
      <c r="O3037">
        <v>1.226113E-2</v>
      </c>
      <c r="P3037">
        <v>0.93172160000000004</v>
      </c>
      <c r="Q3037">
        <v>0.3497787</v>
      </c>
      <c r="R3037">
        <v>9.7723420000000005E-2</v>
      </c>
      <c r="S3037">
        <v>3.263458</v>
      </c>
      <c r="T3037">
        <v>-0.19574169999999999</v>
      </c>
      <c r="U3037">
        <v>0.28245540000000002</v>
      </c>
      <c r="V3037">
        <v>-8.6213280000000003E-2</v>
      </c>
      <c r="W3037">
        <v>0.3613111</v>
      </c>
      <c r="X3037">
        <v>0.92845120000000003</v>
      </c>
      <c r="Y3037">
        <v>-7.3860380000000003E-2</v>
      </c>
      <c r="Z3037">
        <v>2.0852370000000002E-3</v>
      </c>
      <c r="AA3037">
        <v>0.9972664</v>
      </c>
      <c r="AB3037">
        <v>27</v>
      </c>
      <c r="AC3037">
        <v>18.245000000000001</v>
      </c>
      <c r="AD3037">
        <v>-1.1107682130529899</v>
      </c>
      <c r="AE3037">
        <v>1.5995999999999999</v>
      </c>
      <c r="AF3037">
        <v>-1.37071659653397</v>
      </c>
      <c r="AG3037">
        <v>-1.1107682130529899</v>
      </c>
      <c r="AH3037">
        <v>18.1963132849977</v>
      </c>
      <c r="AI3037">
        <v>93.483360408052903</v>
      </c>
      <c r="AJ3037">
        <v>94.307918132196306</v>
      </c>
      <c r="AK3037">
        <v>18.281643448468301</v>
      </c>
      <c r="AL3037">
        <v>68.819263780587207</v>
      </c>
      <c r="AM3037">
        <v>95.305106809246496</v>
      </c>
      <c r="AN3037">
        <v>1.0000000357065</v>
      </c>
    </row>
    <row r="3038" spans="1:40" x14ac:dyDescent="0.25">
      <c r="A3038" t="str">
        <f>"20190304164702648"</f>
        <v>20190304164702648</v>
      </c>
      <c r="B3038" t="str">
        <f>"1551689222641554"</f>
        <v>1551689222641554</v>
      </c>
      <c r="C3038" t="s">
        <v>40</v>
      </c>
      <c r="D3038">
        <v>4.037299</v>
      </c>
      <c r="E3038">
        <v>0.51103100000000001</v>
      </c>
      <c r="F3038" t="s">
        <v>49</v>
      </c>
      <c r="G3038">
        <v>-260.33300000000003</v>
      </c>
      <c r="H3038" s="1">
        <v>-1.4321579999999999E-6</v>
      </c>
      <c r="I3038">
        <v>216.27629999999999</v>
      </c>
      <c r="J3038">
        <v>-278.69409999999999</v>
      </c>
      <c r="K3038">
        <v>1.1107450000000001</v>
      </c>
      <c r="L3038">
        <v>214.59630000000001</v>
      </c>
      <c r="M3038">
        <v>0.99985170000000001</v>
      </c>
      <c r="N3038">
        <v>-1.225119E-2</v>
      </c>
      <c r="O3038">
        <v>1.211459E-2</v>
      </c>
      <c r="P3038">
        <v>0.93073760000000005</v>
      </c>
      <c r="Q3038">
        <v>0.35244180000000003</v>
      </c>
      <c r="R3038">
        <v>9.753262E-2</v>
      </c>
      <c r="S3038">
        <v>3.2619020000000001</v>
      </c>
      <c r="T3038">
        <v>-0.19427620000000001</v>
      </c>
      <c r="U3038">
        <v>0.29443360000000002</v>
      </c>
      <c r="V3038">
        <v>-8.6148740000000001E-2</v>
      </c>
      <c r="W3038">
        <v>0.3638556</v>
      </c>
      <c r="X3038">
        <v>0.92746289999999998</v>
      </c>
      <c r="Y3038">
        <v>-7.7674469999999995E-2</v>
      </c>
      <c r="Z3038">
        <v>2.2123960000000002E-3</v>
      </c>
      <c r="AA3038">
        <v>0.99697630000000004</v>
      </c>
      <c r="AB3038">
        <v>27</v>
      </c>
      <c r="AC3038">
        <v>18.3611</v>
      </c>
      <c r="AD3038">
        <v>-1.1107464321580001</v>
      </c>
      <c r="AE3038">
        <v>1.67999999999997</v>
      </c>
      <c r="AF3038">
        <v>-1.45215267056286</v>
      </c>
      <c r="AG3038">
        <v>-1.1107464321580001</v>
      </c>
      <c r="AH3038">
        <v>18.3136424159085</v>
      </c>
      <c r="AI3038">
        <v>93.459978768642799</v>
      </c>
      <c r="AJ3038">
        <v>94.533696542687593</v>
      </c>
      <c r="AK3038">
        <v>18.404673416090201</v>
      </c>
      <c r="AL3038">
        <v>68.662827926904896</v>
      </c>
      <c r="AM3038">
        <v>95.306774649853494</v>
      </c>
      <c r="AN3038">
        <v>0.99999996696567806</v>
      </c>
    </row>
    <row r="3039" spans="1:40" x14ac:dyDescent="0.25">
      <c r="A3039" t="str">
        <f>"20190304164702673"</f>
        <v>20190304164702673</v>
      </c>
      <c r="B3039" t="str">
        <f>"1551689222662052"</f>
        <v>1551689222662052</v>
      </c>
      <c r="C3039" t="s">
        <v>40</v>
      </c>
      <c r="D3039">
        <v>4.0492889999999999</v>
      </c>
      <c r="E3039">
        <v>0.51066160000000005</v>
      </c>
      <c r="F3039" t="s">
        <v>49</v>
      </c>
      <c r="G3039">
        <v>-259.14010000000002</v>
      </c>
      <c r="H3039" s="1">
        <v>3.249937E-6</v>
      </c>
      <c r="I3039">
        <v>216.3818</v>
      </c>
      <c r="J3039">
        <v>-278.38709999999998</v>
      </c>
      <c r="K3039">
        <v>1.1107180000000001</v>
      </c>
      <c r="L3039">
        <v>214.59979999999999</v>
      </c>
      <c r="M3039">
        <v>0.99985520000000006</v>
      </c>
      <c r="N3039">
        <v>-1.213903E-2</v>
      </c>
      <c r="O3039">
        <v>1.1927439999999999E-2</v>
      </c>
      <c r="P3039">
        <v>0.93027070000000001</v>
      </c>
      <c r="Q3039">
        <v>0.35383870000000001</v>
      </c>
      <c r="R3039">
        <v>9.6926449999999997E-2</v>
      </c>
      <c r="S3039">
        <v>3.2622070000000001</v>
      </c>
      <c r="T3039">
        <v>-0.18530550000000001</v>
      </c>
      <c r="U3039">
        <v>0.29788209999999998</v>
      </c>
      <c r="V3039">
        <v>-8.5701959999999994E-2</v>
      </c>
      <c r="W3039">
        <v>0.3651469</v>
      </c>
      <c r="X3039">
        <v>0.92699670000000001</v>
      </c>
      <c r="Y3039">
        <v>-7.8907850000000002E-2</v>
      </c>
      <c r="Z3039">
        <v>2.184049E-3</v>
      </c>
      <c r="AA3039">
        <v>0.99687950000000003</v>
      </c>
      <c r="AB3039">
        <v>27</v>
      </c>
      <c r="AC3039">
        <v>19.2469999999999</v>
      </c>
      <c r="AD3039">
        <v>-1.1107147500629999</v>
      </c>
      <c r="AE3039">
        <v>1.78200000000001</v>
      </c>
      <c r="AF3039">
        <v>-1.54718014139854</v>
      </c>
      <c r="AG3039">
        <v>-1.1107147500629999</v>
      </c>
      <c r="AH3039">
        <v>19.203477791268501</v>
      </c>
      <c r="AI3039">
        <v>93.299588828831503</v>
      </c>
      <c r="AJ3039">
        <v>94.606240071843899</v>
      </c>
      <c r="AK3039">
        <v>19.297694497677401</v>
      </c>
      <c r="AL3039">
        <v>68.583376163427999</v>
      </c>
      <c r="AM3039">
        <v>95.282048931460295</v>
      </c>
      <c r="AN3039">
        <v>0.99999998316917005</v>
      </c>
    </row>
    <row r="3040" spans="1:40" x14ac:dyDescent="0.25">
      <c r="A3040" t="str">
        <f>"20190304164702698"</f>
        <v>20190304164702698</v>
      </c>
      <c r="B3040" t="str">
        <f>"1551689222691331"</f>
        <v>1551689222691331</v>
      </c>
      <c r="C3040" t="s">
        <v>40</v>
      </c>
      <c r="D3040">
        <v>4.0739679999999998</v>
      </c>
      <c r="E3040">
        <v>0.51024539999999996</v>
      </c>
      <c r="F3040" t="s">
        <v>49</v>
      </c>
      <c r="G3040">
        <v>-258.46940000000001</v>
      </c>
      <c r="H3040" s="1">
        <v>2.8908879999999998E-6</v>
      </c>
      <c r="I3040">
        <v>216.43119999999999</v>
      </c>
      <c r="J3040">
        <v>-278.10489999999999</v>
      </c>
      <c r="K3040">
        <v>1.1106990000000001</v>
      </c>
      <c r="L3040">
        <v>214.60300000000001</v>
      </c>
      <c r="M3040">
        <v>0.99985880000000005</v>
      </c>
      <c r="N3040">
        <v>-1.2043720000000001E-2</v>
      </c>
      <c r="O3040">
        <v>1.1734609999999999E-2</v>
      </c>
      <c r="P3040">
        <v>0.93059369999999997</v>
      </c>
      <c r="Q3040">
        <v>0.35313939999999999</v>
      </c>
      <c r="R3040">
        <v>9.6376080000000003E-2</v>
      </c>
      <c r="S3040">
        <v>3.2628170000000001</v>
      </c>
      <c r="T3040">
        <v>-0.18195239999999999</v>
      </c>
      <c r="U3040">
        <v>0.30001830000000002</v>
      </c>
      <c r="V3040">
        <v>-8.5315829999999995E-2</v>
      </c>
      <c r="W3040">
        <v>0.36436550000000001</v>
      </c>
      <c r="X3040">
        <v>0.92733969999999999</v>
      </c>
      <c r="Y3040">
        <v>-7.9733509999999994E-2</v>
      </c>
      <c r="Z3040">
        <v>2.1869849999999998E-3</v>
      </c>
      <c r="AA3040">
        <v>0.99681379999999997</v>
      </c>
      <c r="AB3040">
        <v>27</v>
      </c>
      <c r="AC3040">
        <v>19.635499999999901</v>
      </c>
      <c r="AD3040">
        <v>-1.11069610911199</v>
      </c>
      <c r="AE3040">
        <v>1.8282</v>
      </c>
      <c r="AF3040">
        <v>-1.59259051512823</v>
      </c>
      <c r="AG3040">
        <v>-1.11069610911199</v>
      </c>
      <c r="AH3040">
        <v>19.593448645699301</v>
      </c>
      <c r="AI3040">
        <v>93.233818082093904</v>
      </c>
      <c r="AJ3040">
        <v>94.646887725421607</v>
      </c>
      <c r="AK3040">
        <v>19.689418991614001</v>
      </c>
      <c r="AL3040">
        <v>68.631459477435399</v>
      </c>
      <c r="AM3040">
        <v>95.256450328998795</v>
      </c>
      <c r="AN3040">
        <v>0.99999996381746303</v>
      </c>
    </row>
    <row r="3041" spans="1:40" x14ac:dyDescent="0.25">
      <c r="A3041" t="str">
        <f>"20190304164702715"</f>
        <v>20190304164702715</v>
      </c>
      <c r="B3041" t="str">
        <f>"1551689222711827"</f>
        <v>1551689222711827</v>
      </c>
      <c r="C3041" t="s">
        <v>40</v>
      </c>
      <c r="D3041">
        <v>4.0972330000000001</v>
      </c>
      <c r="E3041">
        <v>0.51009919999999997</v>
      </c>
      <c r="F3041" t="s">
        <v>49</v>
      </c>
      <c r="G3041">
        <v>-258.65960000000001</v>
      </c>
      <c r="H3041" s="1">
        <v>2.9935159999999998E-6</v>
      </c>
      <c r="I3041">
        <v>216.39859999999999</v>
      </c>
      <c r="J3041">
        <v>-277.87619999999998</v>
      </c>
      <c r="K3041">
        <v>1.1106819999999999</v>
      </c>
      <c r="L3041">
        <v>214.60550000000001</v>
      </c>
      <c r="M3041">
        <v>0.99986169999999996</v>
      </c>
      <c r="N3041">
        <v>-1.196287E-2</v>
      </c>
      <c r="O3041">
        <v>1.157064E-2</v>
      </c>
      <c r="P3041">
        <v>0.930952</v>
      </c>
      <c r="Q3041">
        <v>0.3523617</v>
      </c>
      <c r="R3041">
        <v>9.5759529999999995E-2</v>
      </c>
      <c r="S3041">
        <v>3.2632750000000001</v>
      </c>
      <c r="T3041">
        <v>-0.18639459999999999</v>
      </c>
      <c r="U3041">
        <v>0.3013458</v>
      </c>
      <c r="V3041">
        <v>-8.4842760000000003E-2</v>
      </c>
      <c r="W3041">
        <v>0.36351810000000001</v>
      </c>
      <c r="X3041">
        <v>0.92771570000000003</v>
      </c>
      <c r="Y3041">
        <v>-8.0279329999999996E-2</v>
      </c>
      <c r="Z3041">
        <v>2.2469009999999999E-3</v>
      </c>
      <c r="AA3041">
        <v>0.99676980000000004</v>
      </c>
      <c r="AB3041">
        <v>27</v>
      </c>
      <c r="AC3041">
        <v>19.2165999999999</v>
      </c>
      <c r="AD3041">
        <v>-1.110679006484</v>
      </c>
      <c r="AE3041">
        <v>1.7930999999999799</v>
      </c>
      <c r="AF3041">
        <v>-1.56543138603328</v>
      </c>
      <c r="AG3041">
        <v>-1.110679006484</v>
      </c>
      <c r="AH3041">
        <v>19.172567235102399</v>
      </c>
      <c r="AI3041">
        <v>93.304503181509503</v>
      </c>
      <c r="AJ3041">
        <v>94.667819784636905</v>
      </c>
      <c r="AK3041">
        <v>19.2684072425394</v>
      </c>
      <c r="AL3041">
        <v>68.683588907589296</v>
      </c>
      <c r="AM3041">
        <v>95.225358678820498</v>
      </c>
      <c r="AN3041">
        <v>1.0000000614892499</v>
      </c>
    </row>
    <row r="3042" spans="1:40" x14ac:dyDescent="0.25">
      <c r="A3042" t="str">
        <f>"20190304164702739"</f>
        <v>20190304164702739</v>
      </c>
      <c r="B3042" t="str">
        <f>"1551689222731347"</f>
        <v>1551689222731347</v>
      </c>
      <c r="C3042" t="s">
        <v>40</v>
      </c>
      <c r="D3042">
        <v>4.1037699999999999</v>
      </c>
      <c r="E3042">
        <v>0.50989980000000001</v>
      </c>
      <c r="F3042" t="s">
        <v>49</v>
      </c>
      <c r="G3042">
        <v>-258.70740000000001</v>
      </c>
      <c r="H3042" s="1">
        <v>3.020464E-6</v>
      </c>
      <c r="I3042">
        <v>216.36429999999999</v>
      </c>
      <c r="J3042">
        <v>-277.59249999999997</v>
      </c>
      <c r="K3042">
        <v>1.1106609999999999</v>
      </c>
      <c r="L3042">
        <v>214.60849999999999</v>
      </c>
      <c r="M3042">
        <v>0.99986509999999995</v>
      </c>
      <c r="N3042">
        <v>-1.1861719999999999E-2</v>
      </c>
      <c r="O3042">
        <v>1.136274E-2</v>
      </c>
      <c r="P3042">
        <v>0.93144610000000005</v>
      </c>
      <c r="Q3042">
        <v>0.35125260000000003</v>
      </c>
      <c r="R3042">
        <v>9.5025319999999996E-2</v>
      </c>
      <c r="S3042">
        <v>3.2632750000000001</v>
      </c>
      <c r="T3042">
        <v>-0.1890812</v>
      </c>
      <c r="U3042">
        <v>0.2994232</v>
      </c>
      <c r="V3042">
        <v>-8.4294759999999996E-2</v>
      </c>
      <c r="W3042">
        <v>0.362321</v>
      </c>
      <c r="X3042">
        <v>0.92823370000000005</v>
      </c>
      <c r="Y3042">
        <v>-7.9901349999999996E-2</v>
      </c>
      <c r="Z3042">
        <v>2.2614979999999998E-3</v>
      </c>
      <c r="AA3042">
        <v>0.99680020000000003</v>
      </c>
      <c r="AB3042">
        <v>27</v>
      </c>
      <c r="AC3042">
        <v>18.885099999999898</v>
      </c>
      <c r="AD3042">
        <v>-1.1106579795360001</v>
      </c>
      <c r="AE3042">
        <v>1.75579999999999</v>
      </c>
      <c r="AF3042">
        <v>-1.53581853267196</v>
      </c>
      <c r="AG3042">
        <v>-1.1106579795360001</v>
      </c>
      <c r="AH3042">
        <v>18.839230534935499</v>
      </c>
      <c r="AI3042">
        <v>93.362810289588396</v>
      </c>
      <c r="AJ3042">
        <v>94.660580817548905</v>
      </c>
      <c r="AK3042">
        <v>18.934331434229499</v>
      </c>
      <c r="AL3042">
        <v>68.757193885733301</v>
      </c>
      <c r="AM3042">
        <v>95.188911633312102</v>
      </c>
      <c r="AN3042">
        <v>0.999999957710073</v>
      </c>
    </row>
    <row r="3043" spans="1:40" x14ac:dyDescent="0.25">
      <c r="A3043" t="str">
        <f>"20190304164702759"</f>
        <v>20190304164702759</v>
      </c>
      <c r="B3043" t="str">
        <f>"1551689222751842"</f>
        <v>1551689222751842</v>
      </c>
      <c r="C3043" t="s">
        <v>40</v>
      </c>
      <c r="D3043">
        <v>4.1098679999999996</v>
      </c>
      <c r="E3043">
        <v>0.50978859999999904</v>
      </c>
      <c r="F3043" t="s">
        <v>49</v>
      </c>
      <c r="G3043">
        <v>-258.82830000000001</v>
      </c>
      <c r="H3043" s="1">
        <v>3.086946E-6</v>
      </c>
      <c r="I3043">
        <v>216.31530000000001</v>
      </c>
      <c r="J3043">
        <v>-277.33620000000002</v>
      </c>
      <c r="K3043">
        <v>1.110646</v>
      </c>
      <c r="L3043">
        <v>214.6113</v>
      </c>
      <c r="M3043">
        <v>0.99986839999999999</v>
      </c>
      <c r="N3043">
        <v>-1.176493E-2</v>
      </c>
      <c r="O3043">
        <v>1.1174740000000001E-2</v>
      </c>
      <c r="P3043">
        <v>0.93167040000000001</v>
      </c>
      <c r="Q3043">
        <v>0.35082410000000003</v>
      </c>
      <c r="R3043">
        <v>9.4407210000000005E-2</v>
      </c>
      <c r="S3043">
        <v>3.2633670000000001</v>
      </c>
      <c r="T3043">
        <v>-0.1931602</v>
      </c>
      <c r="U3043">
        <v>0.29682920000000002</v>
      </c>
      <c r="V3043">
        <v>-8.3849380000000001E-2</v>
      </c>
      <c r="W3043">
        <v>0.36180499999999999</v>
      </c>
      <c r="X3043">
        <v>0.9284753</v>
      </c>
      <c r="Y3043">
        <v>-7.9296060000000002E-2</v>
      </c>
      <c r="Z3043">
        <v>2.2795580000000001E-3</v>
      </c>
      <c r="AA3043">
        <v>0.99684850000000003</v>
      </c>
      <c r="AB3043">
        <v>27</v>
      </c>
      <c r="AC3043">
        <v>18.507899999999999</v>
      </c>
      <c r="AD3043">
        <v>-1.1106429130540001</v>
      </c>
      <c r="AE3043">
        <v>1.704</v>
      </c>
      <c r="AF3043">
        <v>-1.49173159936586</v>
      </c>
      <c r="AG3043">
        <v>-1.1106429130540001</v>
      </c>
      <c r="AH3043">
        <v>18.4598702972376</v>
      </c>
      <c r="AI3043">
        <v>93.431904710397802</v>
      </c>
      <c r="AJ3043">
        <v>94.620000291693501</v>
      </c>
      <c r="AK3043">
        <v>18.553317822850399</v>
      </c>
      <c r="AL3043">
        <v>68.788910844965201</v>
      </c>
      <c r="AM3043">
        <v>95.160308105226306</v>
      </c>
      <c r="AN3043">
        <v>0.99999997963073695</v>
      </c>
    </row>
    <row r="3044" spans="1:40" x14ac:dyDescent="0.25">
      <c r="A3044" t="str">
        <f>"20190304164702791"</f>
        <v>20190304164702791</v>
      </c>
      <c r="B3044" t="str">
        <f>"1551689222782099"</f>
        <v>1551689222782099</v>
      </c>
      <c r="C3044" t="s">
        <v>40</v>
      </c>
      <c r="D3044">
        <v>4.1397409999999999</v>
      </c>
      <c r="E3044">
        <v>0.50963939999999996</v>
      </c>
      <c r="F3044" t="s">
        <v>49</v>
      </c>
      <c r="G3044">
        <v>-258.68189999999998</v>
      </c>
      <c r="H3044" s="1">
        <v>3.009655E-6</v>
      </c>
      <c r="I3044">
        <v>216.3005</v>
      </c>
      <c r="J3044">
        <v>-276.93799999999999</v>
      </c>
      <c r="K3044">
        <v>1.1106180000000001</v>
      </c>
      <c r="L3044">
        <v>214.61539999999999</v>
      </c>
      <c r="M3044">
        <v>0.99987360000000003</v>
      </c>
      <c r="N3044">
        <v>-1.1585399999999999E-2</v>
      </c>
      <c r="O3044">
        <v>1.0888979999999999E-2</v>
      </c>
      <c r="P3044">
        <v>0.93101659999999997</v>
      </c>
      <c r="Q3044">
        <v>0.3525026</v>
      </c>
      <c r="R3044">
        <v>9.4605030000000007E-2</v>
      </c>
      <c r="S3044">
        <v>3.263245</v>
      </c>
      <c r="T3044">
        <v>-0.19428719999999999</v>
      </c>
      <c r="U3044">
        <v>0.29550169999999998</v>
      </c>
      <c r="V3044">
        <v>-8.4320590000000001E-2</v>
      </c>
      <c r="W3044">
        <v>0.3633093</v>
      </c>
      <c r="X3044">
        <v>0.92784509999999998</v>
      </c>
      <c r="Y3044">
        <v>-7.918095E-2</v>
      </c>
      <c r="Z3044">
        <v>2.289864E-3</v>
      </c>
      <c r="AA3044">
        <v>0.99685760000000001</v>
      </c>
      <c r="AB3044">
        <v>27</v>
      </c>
      <c r="AC3044">
        <v>18.2561</v>
      </c>
      <c r="AD3044">
        <v>-1.110614990345</v>
      </c>
      <c r="AE3044">
        <v>1.6851</v>
      </c>
      <c r="AF3044">
        <v>-1.4807625288997199</v>
      </c>
      <c r="AG3044">
        <v>-1.110614990345</v>
      </c>
      <c r="AH3044">
        <v>18.2065557787089</v>
      </c>
      <c r="AI3044">
        <v>93.479304406887096</v>
      </c>
      <c r="AJ3044">
        <v>94.6497049891411</v>
      </c>
      <c r="AK3044">
        <v>18.3004042755074</v>
      </c>
      <c r="AL3044">
        <v>68.696430434433793</v>
      </c>
      <c r="AM3044">
        <v>95.192654960764003</v>
      </c>
      <c r="AN3044">
        <v>1.0000000694792199</v>
      </c>
    </row>
    <row r="3045" spans="1:40" x14ac:dyDescent="0.25">
      <c r="A3045" t="str">
        <f>"20190304164702815"</f>
        <v>20190304164702815</v>
      </c>
      <c r="B3045" t="str">
        <f>"1551689222811378"</f>
        <v>1551689222811378</v>
      </c>
      <c r="C3045" t="s">
        <v>40</v>
      </c>
      <c r="D3045">
        <v>4.1529949999999998</v>
      </c>
      <c r="E3045">
        <v>0.50956080000000004</v>
      </c>
      <c r="F3045" t="s">
        <v>49</v>
      </c>
      <c r="G3045">
        <v>-257.64929999999998</v>
      </c>
      <c r="H3045" s="1">
        <v>2.456772E-6</v>
      </c>
      <c r="I3045">
        <v>216.3777</v>
      </c>
      <c r="J3045">
        <v>-276.65499999999997</v>
      </c>
      <c r="K3045">
        <v>1.110595</v>
      </c>
      <c r="L3045">
        <v>214.6183</v>
      </c>
      <c r="M3045">
        <v>0.99987749999999997</v>
      </c>
      <c r="N3045">
        <v>-1.143835E-2</v>
      </c>
      <c r="O3045">
        <v>1.0690679999999999E-2</v>
      </c>
      <c r="P3045">
        <v>0.93108310000000005</v>
      </c>
      <c r="Q3045">
        <v>0.3521707</v>
      </c>
      <c r="R3045">
        <v>9.5184530000000003E-2</v>
      </c>
      <c r="S3045">
        <v>3.2631230000000002</v>
      </c>
      <c r="T3045">
        <v>-0.18788489999999999</v>
      </c>
      <c r="U3045">
        <v>0.29812620000000001</v>
      </c>
      <c r="V3045">
        <v>-8.5084919999999994E-2</v>
      </c>
      <c r="W3045">
        <v>0.36284139999999998</v>
      </c>
      <c r="X3045">
        <v>0.92795830000000001</v>
      </c>
      <c r="Y3045">
        <v>-8.0184290000000005E-2</v>
      </c>
      <c r="Z3045">
        <v>2.2700390000000002E-3</v>
      </c>
      <c r="AA3045">
        <v>0.99677749999999998</v>
      </c>
      <c r="AB3045">
        <v>27</v>
      </c>
      <c r="AC3045">
        <v>19.005699999999901</v>
      </c>
      <c r="AD3045">
        <v>-1.1105925432279999</v>
      </c>
      <c r="AE3045">
        <v>1.7593999999999901</v>
      </c>
      <c r="AF3045">
        <v>-1.55085174029053</v>
      </c>
      <c r="AG3045">
        <v>-1.1105925432279999</v>
      </c>
      <c r="AH3045">
        <v>18.959235727929499</v>
      </c>
      <c r="AI3045">
        <v>93.341301972045201</v>
      </c>
      <c r="AJ3045">
        <v>94.676341789417407</v>
      </c>
      <c r="AK3045">
        <v>19.054951490482299</v>
      </c>
      <c r="AL3045">
        <v>68.725200231018704</v>
      </c>
      <c r="AM3045">
        <v>95.238827754338104</v>
      </c>
      <c r="AN3045">
        <v>0.99999996585212703</v>
      </c>
    </row>
    <row r="3046" spans="1:40" x14ac:dyDescent="0.25">
      <c r="A3046" t="str">
        <f>"20190304164702837"</f>
        <v>20190304164702837</v>
      </c>
      <c r="B3046" t="str">
        <f>"1551689222831875"</f>
        <v>1551689222831875</v>
      </c>
      <c r="C3046" t="s">
        <v>40</v>
      </c>
      <c r="D3046">
        <v>4.1655189999999997</v>
      </c>
      <c r="E3046">
        <v>0.50932440000000001</v>
      </c>
      <c r="F3046" t="s">
        <v>49</v>
      </c>
      <c r="G3046">
        <v>-257.49439999999998</v>
      </c>
      <c r="H3046" s="1">
        <v>2.3737350000000002E-6</v>
      </c>
      <c r="I3046">
        <v>216.392</v>
      </c>
      <c r="J3046">
        <v>-276.38459999999998</v>
      </c>
      <c r="K3046">
        <v>1.1105719999999999</v>
      </c>
      <c r="L3046">
        <v>214.62100000000001</v>
      </c>
      <c r="M3046">
        <v>0.99988129999999997</v>
      </c>
      <c r="N3046">
        <v>-1.1287760000000001E-2</v>
      </c>
      <c r="O3046">
        <v>1.0504309999999999E-2</v>
      </c>
      <c r="P3046">
        <v>0.93103279999999999</v>
      </c>
      <c r="Q3046">
        <v>0.35228599999999999</v>
      </c>
      <c r="R3046">
        <v>9.5250409999999994E-2</v>
      </c>
      <c r="S3046">
        <v>3.2627259999999998</v>
      </c>
      <c r="T3046">
        <v>-0.1891149</v>
      </c>
      <c r="U3046">
        <v>0.30203249999999998</v>
      </c>
      <c r="V3046">
        <v>-8.5325639999999994E-2</v>
      </c>
      <c r="W3046">
        <v>0.36281649999999999</v>
      </c>
      <c r="X3046">
        <v>0.92794600000000005</v>
      </c>
      <c r="Y3046">
        <v>-8.156012E-2</v>
      </c>
      <c r="Z3046">
        <v>2.3297579999999999E-3</v>
      </c>
      <c r="AA3046">
        <v>0.99666569999999999</v>
      </c>
      <c r="AB3046">
        <v>27</v>
      </c>
      <c r="AC3046">
        <v>18.8902</v>
      </c>
      <c r="AD3046">
        <v>-1.110569626265</v>
      </c>
      <c r="AE3046">
        <v>1.7710000000000099</v>
      </c>
      <c r="AF3046">
        <v>-1.5670919209446701</v>
      </c>
      <c r="AG3046">
        <v>-1.110569626265</v>
      </c>
      <c r="AH3046">
        <v>18.843200628096401</v>
      </c>
      <c r="AI3046">
        <v>93.361386003325194</v>
      </c>
      <c r="AJ3046">
        <v>94.754054649202402</v>
      </c>
      <c r="AK3046">
        <v>18.940838204635099</v>
      </c>
      <c r="AL3046">
        <v>68.726732615547505</v>
      </c>
      <c r="AM3046">
        <v>95.253635735148194</v>
      </c>
      <c r="AN3046">
        <v>1.00000002821482</v>
      </c>
    </row>
    <row r="3047" spans="1:40" x14ac:dyDescent="0.25">
      <c r="A3047" t="str">
        <f>"20190304164702861"</f>
        <v>20190304164702861</v>
      </c>
      <c r="B3047" t="str">
        <f>"1551689222851395"</f>
        <v>1551689222851395</v>
      </c>
      <c r="C3047" t="s">
        <v>40</v>
      </c>
      <c r="D3047">
        <v>4.1544629999999998</v>
      </c>
      <c r="E3047">
        <v>0.50914599999999999</v>
      </c>
      <c r="F3047" t="s">
        <v>49</v>
      </c>
      <c r="G3047">
        <v>-257.2303</v>
      </c>
      <c r="H3047" s="1">
        <v>2.2322719999999999E-6</v>
      </c>
      <c r="I3047">
        <v>216.41380000000001</v>
      </c>
      <c r="J3047">
        <v>-276.09519999999998</v>
      </c>
      <c r="K3047">
        <v>1.1105430000000001</v>
      </c>
      <c r="L3047">
        <v>214.62379999999999</v>
      </c>
      <c r="M3047">
        <v>0.99988509999999997</v>
      </c>
      <c r="N3047">
        <v>-1.112844E-2</v>
      </c>
      <c r="O3047">
        <v>1.0306650000000001E-2</v>
      </c>
      <c r="P3047">
        <v>0.93122850000000001</v>
      </c>
      <c r="Q3047">
        <v>0.35179470000000002</v>
      </c>
      <c r="R3047">
        <v>9.5154450000000002E-2</v>
      </c>
      <c r="S3047">
        <v>3.2625730000000002</v>
      </c>
      <c r="T3047">
        <v>-0.18916520000000001</v>
      </c>
      <c r="U3047">
        <v>0.30537409999999998</v>
      </c>
      <c r="V3047">
        <v>-8.5412520000000006E-2</v>
      </c>
      <c r="W3047">
        <v>0.36217880000000002</v>
      </c>
      <c r="X3047">
        <v>0.92818710000000004</v>
      </c>
      <c r="Y3047">
        <v>-8.2771209999999998E-2</v>
      </c>
      <c r="Z3047">
        <v>2.373043E-3</v>
      </c>
      <c r="AA3047">
        <v>0.99656579999999995</v>
      </c>
      <c r="AB3047">
        <v>27</v>
      </c>
      <c r="AC3047">
        <v>18.864899999999899</v>
      </c>
      <c r="AD3047">
        <v>-1.1105407677279999</v>
      </c>
      <c r="AE3047">
        <v>1.79000000000002</v>
      </c>
      <c r="AF3047">
        <v>-1.58999807988499</v>
      </c>
      <c r="AG3047">
        <v>-1.1105407677279999</v>
      </c>
      <c r="AH3047">
        <v>18.817717874623</v>
      </c>
      <c r="AI3047">
        <v>93.365468492235493</v>
      </c>
      <c r="AJ3047">
        <v>94.829719788158101</v>
      </c>
      <c r="AK3047">
        <v>18.917396773862102</v>
      </c>
      <c r="AL3047">
        <v>68.765936805181596</v>
      </c>
      <c r="AM3047">
        <v>95.257596720199899</v>
      </c>
      <c r="AN3047">
        <v>1.0000000371742901</v>
      </c>
    </row>
    <row r="3048" spans="1:40" x14ac:dyDescent="0.25">
      <c r="A3048" t="str">
        <f>"20190304164702883"</f>
        <v>20190304164702883</v>
      </c>
      <c r="B3048" t="str">
        <f>"1551689222871892"</f>
        <v>1551689222871892</v>
      </c>
      <c r="C3048" t="s">
        <v>40</v>
      </c>
      <c r="D3048">
        <v>4.3137910000000002</v>
      </c>
      <c r="E3048">
        <v>0.50901109999999905</v>
      </c>
      <c r="F3048" t="s">
        <v>49</v>
      </c>
      <c r="G3048">
        <v>-257.2133</v>
      </c>
      <c r="H3048" s="1">
        <v>2.2237649999999999E-6</v>
      </c>
      <c r="I3048">
        <v>216.40020000000001</v>
      </c>
      <c r="J3048">
        <v>-275.81259999999997</v>
      </c>
      <c r="K3048">
        <v>1.110528</v>
      </c>
      <c r="L3048">
        <v>214.62649999999999</v>
      </c>
      <c r="M3048">
        <v>0.99988880000000002</v>
      </c>
      <c r="N3048">
        <v>-1.097704E-2</v>
      </c>
      <c r="O3048">
        <v>1.0114359999999999E-2</v>
      </c>
      <c r="P3048">
        <v>0.93134779999999995</v>
      </c>
      <c r="Q3048">
        <v>0.35144209999999998</v>
      </c>
      <c r="R3048">
        <v>9.5288070000000002E-2</v>
      </c>
      <c r="S3048">
        <v>3.2626949999999999</v>
      </c>
      <c r="T3048">
        <v>-0.19189539999999999</v>
      </c>
      <c r="U3048">
        <v>0.30696109999999999</v>
      </c>
      <c r="V3048">
        <v>-8.5724839999999997E-2</v>
      </c>
      <c r="W3048">
        <v>0.36168729999999999</v>
      </c>
      <c r="X3048">
        <v>0.92834989999999995</v>
      </c>
      <c r="Y3048">
        <v>-8.3434809999999998E-2</v>
      </c>
      <c r="Z3048">
        <v>2.423269E-3</v>
      </c>
      <c r="AA3048">
        <v>0.99651029999999996</v>
      </c>
      <c r="AB3048">
        <v>28</v>
      </c>
      <c r="AC3048">
        <v>18.5992999999999</v>
      </c>
      <c r="AD3048">
        <v>-1.110525776235</v>
      </c>
      <c r="AE3048">
        <v>1.77370000000001</v>
      </c>
      <c r="AF3048">
        <v>-1.5798963207154499</v>
      </c>
      <c r="AG3048">
        <v>-1.110525776235</v>
      </c>
      <c r="AH3048">
        <v>18.5507513205797</v>
      </c>
      <c r="AI3048">
        <v>93.413549141974102</v>
      </c>
      <c r="AJ3048">
        <v>94.867914963842793</v>
      </c>
      <c r="AK3048">
        <v>18.650997679531301</v>
      </c>
      <c r="AL3048">
        <v>68.796144761357297</v>
      </c>
      <c r="AM3048">
        <v>95.275793229304995</v>
      </c>
      <c r="AN3048">
        <v>0.999999994002162</v>
      </c>
    </row>
    <row r="3049" spans="1:40" x14ac:dyDescent="0.25">
      <c r="A3049" t="str">
        <f>"20190304164702904"</f>
        <v>20190304164702904</v>
      </c>
      <c r="B3049" t="str">
        <f>"1551689222891411"</f>
        <v>1551689222891411</v>
      </c>
      <c r="C3049" t="s">
        <v>40</v>
      </c>
      <c r="D3049">
        <v>4.1910669999999897</v>
      </c>
      <c r="E3049">
        <v>0.50892139999999997</v>
      </c>
      <c r="F3049" t="s">
        <v>49</v>
      </c>
      <c r="G3049">
        <v>-257.11160000000001</v>
      </c>
      <c r="H3049" s="1">
        <v>2.1696220000000001E-6</v>
      </c>
      <c r="I3049">
        <v>216.4015</v>
      </c>
      <c r="J3049">
        <v>-275.56189999999998</v>
      </c>
      <c r="K3049">
        <v>1.110519</v>
      </c>
      <c r="L3049">
        <v>214.62880000000001</v>
      </c>
      <c r="M3049">
        <v>0.99989170000000005</v>
      </c>
      <c r="N3049">
        <v>-1.084653E-2</v>
      </c>
      <c r="O3049">
        <v>9.9446389999999999E-3</v>
      </c>
      <c r="P3049">
        <v>0.93078780000000005</v>
      </c>
      <c r="Q3049">
        <v>0.352937099999999</v>
      </c>
      <c r="R3049">
        <v>9.5233860000000004E-2</v>
      </c>
      <c r="S3049">
        <v>3.2625730000000002</v>
      </c>
      <c r="T3049">
        <v>-0.19374259999999999</v>
      </c>
      <c r="U3049">
        <v>0.30967709999999998</v>
      </c>
      <c r="V3049">
        <v>-8.5833899999999894E-2</v>
      </c>
      <c r="W3049">
        <v>0.36305470000000001</v>
      </c>
      <c r="X3049">
        <v>0.92780600000000002</v>
      </c>
      <c r="Y3049">
        <v>-8.4425009999999995E-2</v>
      </c>
      <c r="Z3049">
        <v>2.47722E-3</v>
      </c>
      <c r="AA3049">
        <v>0.99642679999999995</v>
      </c>
      <c r="AB3049">
        <v>28</v>
      </c>
      <c r="AC3049">
        <v>18.450299999999899</v>
      </c>
      <c r="AD3049">
        <v>-1.110516830378</v>
      </c>
      <c r="AE3049">
        <v>1.77269999999998</v>
      </c>
      <c r="AF3049">
        <v>-1.58343597128465</v>
      </c>
      <c r="AG3049">
        <v>-1.110516830378</v>
      </c>
      <c r="AH3049">
        <v>18.400964327000299</v>
      </c>
      <c r="AI3049">
        <v>93.440983475088899</v>
      </c>
      <c r="AJ3049">
        <v>94.918288601664599</v>
      </c>
      <c r="AK3049">
        <v>18.502324320723901</v>
      </c>
      <c r="AL3049">
        <v>68.712087088987303</v>
      </c>
      <c r="AM3049">
        <v>95.285546362798598</v>
      </c>
      <c r="AN3049">
        <v>1.0000000736086401</v>
      </c>
    </row>
    <row r="3050" spans="1:40" x14ac:dyDescent="0.25">
      <c r="A3050" t="str">
        <f>"20190304164702926"</f>
        <v>20190304164702926</v>
      </c>
      <c r="B3050" t="str">
        <f>"1551689222921667"</f>
        <v>1551689222921667</v>
      </c>
      <c r="C3050" t="s">
        <v>40</v>
      </c>
      <c r="D3050">
        <v>4.2141400000000004</v>
      </c>
      <c r="E3050">
        <v>0.50873139999999994</v>
      </c>
      <c r="F3050" t="s">
        <v>49</v>
      </c>
      <c r="G3050">
        <v>-256.33429999999998</v>
      </c>
      <c r="H3050" s="1">
        <v>1.753521E-6</v>
      </c>
      <c r="I3050">
        <v>216.4573</v>
      </c>
      <c r="J3050">
        <v>-275.28300000000002</v>
      </c>
      <c r="K3050">
        <v>1.1105039999999999</v>
      </c>
      <c r="L3050">
        <v>214.63140000000001</v>
      </c>
      <c r="M3050">
        <v>0.99989519999999998</v>
      </c>
      <c r="N3050">
        <v>-1.070771E-2</v>
      </c>
      <c r="O3050">
        <v>9.7577459999999994E-3</v>
      </c>
      <c r="P3050">
        <v>0.93062250000000002</v>
      </c>
      <c r="Q3050">
        <v>0.35346339999999998</v>
      </c>
      <c r="R3050">
        <v>9.4897480000000006E-2</v>
      </c>
      <c r="S3050">
        <v>3.2627869999999999</v>
      </c>
      <c r="T3050">
        <v>-0.18844630000000001</v>
      </c>
      <c r="U3050">
        <v>0.3102722</v>
      </c>
      <c r="V3050">
        <v>-8.5674150000000004E-2</v>
      </c>
      <c r="W3050">
        <v>0.3634501</v>
      </c>
      <c r="X3050">
        <v>0.92766590000000004</v>
      </c>
      <c r="Y3050">
        <v>-8.4792670000000001E-2</v>
      </c>
      <c r="Z3050">
        <v>2.438997E-3</v>
      </c>
      <c r="AA3050">
        <v>0.99639560000000005</v>
      </c>
      <c r="AB3050">
        <v>28</v>
      </c>
      <c r="AC3050">
        <v>18.948699999999999</v>
      </c>
      <c r="AD3050">
        <v>-1.110502246479</v>
      </c>
      <c r="AE3050">
        <v>1.8258999999999801</v>
      </c>
      <c r="AF3050">
        <v>-1.6353407685191901</v>
      </c>
      <c r="AG3050">
        <v>-1.110502246479</v>
      </c>
      <c r="AH3050">
        <v>18.901293757917799</v>
      </c>
      <c r="AI3050">
        <v>93.349930752161399</v>
      </c>
      <c r="AJ3050">
        <v>94.944919144918501</v>
      </c>
      <c r="AK3050">
        <v>19.0043800317642</v>
      </c>
      <c r="AL3050">
        <v>68.687770343910202</v>
      </c>
      <c r="AM3050">
        <v>95.276556985781497</v>
      </c>
      <c r="AN3050">
        <v>1.00000002859552</v>
      </c>
    </row>
    <row r="3051" spans="1:40" x14ac:dyDescent="0.25">
      <c r="A3051" t="str">
        <f>"20190304164702948"</f>
        <v>20190304164702948</v>
      </c>
      <c r="B3051" t="str">
        <f>"1551689222942162"</f>
        <v>1551689222942162</v>
      </c>
      <c r="C3051" t="s">
        <v>40</v>
      </c>
      <c r="D3051">
        <v>4.2607609999999996</v>
      </c>
      <c r="E3051">
        <v>0.50857649999999999</v>
      </c>
      <c r="F3051" t="s">
        <v>49</v>
      </c>
      <c r="G3051">
        <v>-255.99680000000001</v>
      </c>
      <c r="H3051" s="1">
        <v>1.5735109999999999E-6</v>
      </c>
      <c r="I3051">
        <v>216.46700000000001</v>
      </c>
      <c r="J3051">
        <v>-275.00380000000001</v>
      </c>
      <c r="K3051">
        <v>1.1104940000000001</v>
      </c>
      <c r="L3051">
        <v>214.63390000000001</v>
      </c>
      <c r="M3051">
        <v>0.99989830000000002</v>
      </c>
      <c r="N3051">
        <v>-1.057664E-2</v>
      </c>
      <c r="O3051">
        <v>9.5748110000000008E-3</v>
      </c>
      <c r="P3051">
        <v>0.93035009999999996</v>
      </c>
      <c r="Q3051">
        <v>0.35428090000000001</v>
      </c>
      <c r="R3051">
        <v>9.4518409999999997E-2</v>
      </c>
      <c r="S3051">
        <v>3.2633359999999998</v>
      </c>
      <c r="T3051">
        <v>-0.1879035</v>
      </c>
      <c r="U3051">
        <v>0.3105927</v>
      </c>
      <c r="V3051">
        <v>-8.5469749999999997E-2</v>
      </c>
      <c r="W3051">
        <v>0.36414210000000002</v>
      </c>
      <c r="X3051">
        <v>0.9274133</v>
      </c>
      <c r="Y3051">
        <v>-8.5056629999999994E-2</v>
      </c>
      <c r="Z3051">
        <v>2.4439639999999999E-3</v>
      </c>
      <c r="AA3051">
        <v>0.99637310000000001</v>
      </c>
      <c r="AB3051">
        <v>28</v>
      </c>
      <c r="AC3051">
        <v>19.007000000000001</v>
      </c>
      <c r="AD3051">
        <v>-1.1104924264889999</v>
      </c>
      <c r="AE3051">
        <v>1.8331</v>
      </c>
      <c r="AF3051">
        <v>-1.64545232059555</v>
      </c>
      <c r="AG3051">
        <v>-1.1104924264889999</v>
      </c>
      <c r="AH3051">
        <v>18.959558551918899</v>
      </c>
      <c r="AI3051">
        <v>93.339553279005699</v>
      </c>
      <c r="AJ3051">
        <v>94.960127931389707</v>
      </c>
      <c r="AK3051">
        <v>19.063199292151499</v>
      </c>
      <c r="AL3051">
        <v>68.645204122447893</v>
      </c>
      <c r="AM3051">
        <v>95.265464777529402</v>
      </c>
      <c r="AN3051">
        <v>0.99999998808718105</v>
      </c>
    </row>
    <row r="3052" spans="1:40" x14ac:dyDescent="0.25">
      <c r="A3052" t="str">
        <f>"20190304164702971"</f>
        <v>20190304164702971</v>
      </c>
      <c r="B3052" t="str">
        <f>"1551689222961683"</f>
        <v>1551689222961683</v>
      </c>
      <c r="C3052" t="s">
        <v>40</v>
      </c>
      <c r="D3052">
        <v>4.2289110000000001</v>
      </c>
      <c r="E3052">
        <v>0.50846089999999999</v>
      </c>
      <c r="F3052" t="s">
        <v>49</v>
      </c>
      <c r="G3052">
        <v>-255.48580000000001</v>
      </c>
      <c r="H3052" s="1">
        <v>1.3009750000000001E-6</v>
      </c>
      <c r="I3052">
        <v>216.48150000000001</v>
      </c>
      <c r="J3052">
        <v>-274.72469999999998</v>
      </c>
      <c r="K3052">
        <v>1.1104860000000001</v>
      </c>
      <c r="L3052">
        <v>214.63640000000001</v>
      </c>
      <c r="M3052">
        <v>0.99990120000000005</v>
      </c>
      <c r="N3052">
        <v>-1.04531E-2</v>
      </c>
      <c r="O3052">
        <v>9.3975039999999992E-3</v>
      </c>
      <c r="P3052">
        <v>0.93025040000000003</v>
      </c>
      <c r="Q3052">
        <v>0.35467520000000002</v>
      </c>
      <c r="R3052">
        <v>9.4020870000000006E-2</v>
      </c>
      <c r="S3052">
        <v>3.263916</v>
      </c>
      <c r="T3052">
        <v>-0.18570410000000001</v>
      </c>
      <c r="U3052">
        <v>0.30896000000000001</v>
      </c>
      <c r="V3052">
        <v>-8.5141869999999995E-2</v>
      </c>
      <c r="W3052">
        <v>0.36441970000000001</v>
      </c>
      <c r="X3052">
        <v>0.9273344</v>
      </c>
      <c r="Y3052">
        <v>-8.4726750000000003E-2</v>
      </c>
      <c r="Z3052">
        <v>2.4122229999999998E-3</v>
      </c>
      <c r="AA3052">
        <v>0.99640130000000005</v>
      </c>
      <c r="AB3052">
        <v>28</v>
      </c>
      <c r="AC3052">
        <v>19.238899999999902</v>
      </c>
      <c r="AD3052">
        <v>-1.1104846990249999</v>
      </c>
      <c r="AE3052">
        <v>1.8451</v>
      </c>
      <c r="AF3052">
        <v>-1.65873497190414</v>
      </c>
      <c r="AG3052">
        <v>-1.1104846990249999</v>
      </c>
      <c r="AH3052">
        <v>19.192031492033401</v>
      </c>
      <c r="AI3052">
        <v>93.299269928155795</v>
      </c>
      <c r="AJ3052">
        <v>94.939702551554305</v>
      </c>
      <c r="AK3052">
        <v>19.295560390022001</v>
      </c>
      <c r="AL3052">
        <v>68.628124966523401</v>
      </c>
      <c r="AM3052">
        <v>95.245822034040998</v>
      </c>
      <c r="AN3052">
        <v>0.99999997259927298</v>
      </c>
    </row>
    <row r="3053" spans="1:40" x14ac:dyDescent="0.25">
      <c r="A3053" t="str">
        <f>"20190304164702992"</f>
        <v>20190304164702992</v>
      </c>
      <c r="B3053" t="str">
        <f>"1551689222982179"</f>
        <v>1551689222982179</v>
      </c>
      <c r="C3053" t="s">
        <v>40</v>
      </c>
      <c r="D3053">
        <v>4.2374939999999999</v>
      </c>
      <c r="E3053">
        <v>0.50842019999999999</v>
      </c>
      <c r="F3053" t="s">
        <v>49</v>
      </c>
      <c r="G3053">
        <v>-255.1833</v>
      </c>
      <c r="H3053" s="1">
        <v>1.140609E-6</v>
      </c>
      <c r="I3053">
        <v>216.46719999999999</v>
      </c>
      <c r="J3053">
        <v>-274.45979999999997</v>
      </c>
      <c r="K3053">
        <v>1.1104639999999999</v>
      </c>
      <c r="L3053">
        <v>214.6387</v>
      </c>
      <c r="M3053">
        <v>0.99990389999999996</v>
      </c>
      <c r="N3053">
        <v>-1.0343160000000001E-2</v>
      </c>
      <c r="O3053">
        <v>9.2355590000000008E-3</v>
      </c>
      <c r="P3053">
        <v>0.93070339999999996</v>
      </c>
      <c r="Q3053">
        <v>0.35369810000000002</v>
      </c>
      <c r="R3053">
        <v>9.3215450000000005E-2</v>
      </c>
      <c r="S3053">
        <v>3.2647710000000001</v>
      </c>
      <c r="T3053">
        <v>-0.1855282</v>
      </c>
      <c r="U3053">
        <v>0.30587769999999997</v>
      </c>
      <c r="V3053">
        <v>-8.4487060000000003E-2</v>
      </c>
      <c r="W3053">
        <v>0.3633439</v>
      </c>
      <c r="X3053">
        <v>0.92781630000000004</v>
      </c>
      <c r="Y3053">
        <v>-8.3933149999999998E-2</v>
      </c>
      <c r="Z3053">
        <v>2.3852330000000001E-3</v>
      </c>
      <c r="AA3053">
        <v>0.99646849999999998</v>
      </c>
      <c r="AB3053">
        <v>28</v>
      </c>
      <c r="AC3053">
        <v>19.276499999999899</v>
      </c>
      <c r="AD3053">
        <v>-1.110462859391</v>
      </c>
      <c r="AE3053">
        <v>1.82849999999999</v>
      </c>
      <c r="AF3053">
        <v>-1.64497295281259</v>
      </c>
      <c r="AG3053">
        <v>-1.110462859391</v>
      </c>
      <c r="AH3053">
        <v>19.2293210235682</v>
      </c>
      <c r="AI3053">
        <v>93.293069171564198</v>
      </c>
      <c r="AJ3053">
        <v>94.889465727794999</v>
      </c>
      <c r="AK3053">
        <v>19.331473063504902</v>
      </c>
      <c r="AL3053">
        <v>68.694300359224698</v>
      </c>
      <c r="AM3053">
        <v>95.203010969903801</v>
      </c>
      <c r="AN3053">
        <v>0.99999996976017103</v>
      </c>
    </row>
    <row r="3054" spans="1:40" x14ac:dyDescent="0.25">
      <c r="A3054" t="str">
        <f>"20190304164703016"</f>
        <v>20190304164703016</v>
      </c>
      <c r="B3054" t="str">
        <f>"1551689223011460"</f>
        <v>1551689223011460</v>
      </c>
      <c r="C3054" t="s">
        <v>40</v>
      </c>
      <c r="D3054">
        <v>4.3971499999999999</v>
      </c>
      <c r="E3054">
        <v>0.55588590000000004</v>
      </c>
      <c r="F3054" t="s">
        <v>49</v>
      </c>
      <c r="G3054">
        <v>-255.3553</v>
      </c>
      <c r="H3054" s="1">
        <v>1.234415E-6</v>
      </c>
      <c r="I3054">
        <v>216.4153</v>
      </c>
      <c r="J3054">
        <v>-274.17349999999999</v>
      </c>
      <c r="K3054">
        <v>1.110455</v>
      </c>
      <c r="L3054">
        <v>214.6412</v>
      </c>
      <c r="M3054">
        <v>0.99990639999999997</v>
      </c>
      <c r="N3054">
        <v>-1.023608E-2</v>
      </c>
      <c r="O3054">
        <v>9.0685980000000006E-3</v>
      </c>
      <c r="P3054">
        <v>0.93092240000000004</v>
      </c>
      <c r="Q3054">
        <v>0.3534465</v>
      </c>
      <c r="R3054">
        <v>9.1972319999999996E-2</v>
      </c>
      <c r="S3054">
        <v>3.2650760000000001</v>
      </c>
      <c r="T3054">
        <v>-0.1897848</v>
      </c>
      <c r="U3054">
        <v>0.30363459999999998</v>
      </c>
      <c r="V3054">
        <v>-8.3402450000000003E-2</v>
      </c>
      <c r="W3054">
        <v>0.36299330000000002</v>
      </c>
      <c r="X3054">
        <v>0.92805170000000003</v>
      </c>
      <c r="Y3054">
        <v>-8.3407209999999996E-2</v>
      </c>
      <c r="Z3054">
        <v>2.412132E-3</v>
      </c>
      <c r="AA3054">
        <v>0.99651270000000003</v>
      </c>
      <c r="AB3054">
        <v>28</v>
      </c>
      <c r="AC3054">
        <v>18.818199999999901</v>
      </c>
      <c r="AD3054">
        <v>-1.110453765585</v>
      </c>
      <c r="AE3054">
        <v>1.7741</v>
      </c>
      <c r="AF3054">
        <v>-1.59784849553929</v>
      </c>
      <c r="AG3054">
        <v>-1.110453765585</v>
      </c>
      <c r="AH3054">
        <v>18.768736149113899</v>
      </c>
      <c r="AI3054">
        <v>93.373786461583805</v>
      </c>
      <c r="AJ3054">
        <v>94.866057851378102</v>
      </c>
      <c r="AK3054">
        <v>18.8693318380714</v>
      </c>
      <c r="AL3054">
        <v>68.715861670099898</v>
      </c>
      <c r="AM3054">
        <v>95.135280557214003</v>
      </c>
      <c r="AN3054">
        <v>1.00000003119189</v>
      </c>
    </row>
    <row r="3055" spans="1:40" x14ac:dyDescent="0.25">
      <c r="A3055" t="str">
        <f>"20190304164703038"</f>
        <v>20190304164703038</v>
      </c>
      <c r="B3055" t="str">
        <f>"1551689223031958"</f>
        <v>1551689223031958</v>
      </c>
      <c r="C3055" t="s">
        <v>40</v>
      </c>
      <c r="D3055">
        <v>4.3150490000000001</v>
      </c>
      <c r="E3055">
        <v>0.56603809999999999</v>
      </c>
      <c r="F3055" t="s">
        <v>41</v>
      </c>
      <c r="G3055">
        <v>-273.21690000000001</v>
      </c>
      <c r="H3055">
        <v>1.031134</v>
      </c>
      <c r="I3055">
        <v>214.62100000000001</v>
      </c>
      <c r="J3055">
        <v>-273.88650000000001</v>
      </c>
      <c r="K3055">
        <v>1.1104480000000001</v>
      </c>
      <c r="L3055">
        <v>214.64359999999999</v>
      </c>
      <c r="M3055">
        <v>0.99990889999999999</v>
      </c>
      <c r="N3055">
        <v>-1.0141829999999999E-2</v>
      </c>
      <c r="O3055">
        <v>8.9095449999999996E-3</v>
      </c>
      <c r="P3055">
        <v>0.93097700000000005</v>
      </c>
      <c r="Q3055">
        <v>0.35342839999999998</v>
      </c>
      <c r="R3055">
        <v>9.1489119999999993E-2</v>
      </c>
      <c r="S3055">
        <v>3.3345030000000002</v>
      </c>
      <c r="T3055">
        <v>-0.27660570000000001</v>
      </c>
      <c r="U3055">
        <v>-6.9870000000000002E-2</v>
      </c>
      <c r="V3055">
        <v>-8.3071160000000005E-2</v>
      </c>
      <c r="W3055">
        <v>0.36288720000000002</v>
      </c>
      <c r="X3055">
        <v>0.92812289999999997</v>
      </c>
      <c r="Y3055">
        <v>2.9718140000000001E-2</v>
      </c>
      <c r="Z3055">
        <v>-2.028878E-3</v>
      </c>
      <c r="AA3055">
        <v>0.99955620000000001</v>
      </c>
      <c r="AB3055">
        <v>28</v>
      </c>
      <c r="AC3055">
        <v>0.66960000000000197</v>
      </c>
      <c r="AD3055">
        <v>-7.9313999999999801E-2</v>
      </c>
      <c r="AE3055">
        <v>-2.2600000000011201E-2</v>
      </c>
      <c r="AF3055">
        <v>2.81704491189529E-2</v>
      </c>
      <c r="AG3055">
        <v>-7.9313999999999801E-2</v>
      </c>
      <c r="AH3055">
        <v>0.66012085953893596</v>
      </c>
      <c r="AI3055">
        <v>96.845115696528794</v>
      </c>
      <c r="AJ3055">
        <v>87.556403359862699</v>
      </c>
      <c r="AK3055">
        <v>0.66546512605694597</v>
      </c>
      <c r="AL3055">
        <v>68.722385521555495</v>
      </c>
      <c r="AM3055">
        <v>95.114600381139297</v>
      </c>
      <c r="AN3055">
        <v>1.0000000275259899</v>
      </c>
    </row>
    <row r="3056" spans="1:40" x14ac:dyDescent="0.25">
      <c r="A3056" t="str">
        <f>"20190304164703061"</f>
        <v>20190304164703061</v>
      </c>
      <c r="B3056" t="str">
        <f>"1551689223051475"</f>
        <v>1551689223051475</v>
      </c>
      <c r="C3056" t="s">
        <v>40</v>
      </c>
      <c r="D3056">
        <v>4.2913399999999999</v>
      </c>
      <c r="E3056">
        <v>0.57091389999999997</v>
      </c>
      <c r="F3056" t="s">
        <v>41</v>
      </c>
      <c r="G3056">
        <v>-272.97070000000002</v>
      </c>
      <c r="H3056">
        <v>1.0241960000000001</v>
      </c>
      <c r="I3056">
        <v>214.60290000000001</v>
      </c>
      <c r="J3056">
        <v>-273.61070000000001</v>
      </c>
      <c r="K3056">
        <v>1.1104449999999999</v>
      </c>
      <c r="L3056">
        <v>214.64590000000001</v>
      </c>
      <c r="M3056">
        <v>0.99991110000000005</v>
      </c>
      <c r="N3056">
        <v>-1.0061850000000001E-2</v>
      </c>
      <c r="O3056">
        <v>8.7630329999999999E-3</v>
      </c>
      <c r="P3056">
        <v>0.93092799999999998</v>
      </c>
      <c r="Q3056">
        <v>0.353659</v>
      </c>
      <c r="R3056">
        <v>9.1096899999999995E-2</v>
      </c>
      <c r="S3056">
        <v>3.3571170000000001</v>
      </c>
      <c r="T3056">
        <v>-0.3162334</v>
      </c>
      <c r="U3056">
        <v>-0.14855960000000001</v>
      </c>
      <c r="V3056">
        <v>-8.2819719999999999E-2</v>
      </c>
      <c r="W3056">
        <v>0.36304229999999998</v>
      </c>
      <c r="X3056">
        <v>0.92808469999999998</v>
      </c>
      <c r="Y3056">
        <v>5.2673440000000002E-2</v>
      </c>
      <c r="Z3056">
        <v>-3.4752759999999998E-3</v>
      </c>
      <c r="AA3056">
        <v>0.99860570000000004</v>
      </c>
      <c r="AB3056">
        <v>28</v>
      </c>
      <c r="AC3056">
        <v>0.63999999999998602</v>
      </c>
      <c r="AD3056">
        <v>-8.6249000000000201E-2</v>
      </c>
      <c r="AE3056">
        <v>-4.3000000000006297E-2</v>
      </c>
      <c r="AF3056">
        <v>4.7743778180154899E-2</v>
      </c>
      <c r="AG3056">
        <v>-8.6249000000000201E-2</v>
      </c>
      <c r="AH3056">
        <v>0.62824017693930601</v>
      </c>
      <c r="AI3056">
        <v>97.794880514942307</v>
      </c>
      <c r="AJ3056">
        <v>85.654100094503306</v>
      </c>
      <c r="AK3056">
        <v>0.63592773038816797</v>
      </c>
      <c r="AL3056">
        <v>68.712848250382294</v>
      </c>
      <c r="AM3056">
        <v>95.099410011218097</v>
      </c>
      <c r="AN3056">
        <v>1.0000000139921199</v>
      </c>
    </row>
    <row r="3057" spans="1:40" x14ac:dyDescent="0.25">
      <c r="A3057" t="str">
        <f>"20190304164703083"</f>
        <v>20190304164703083</v>
      </c>
      <c r="B3057" t="str">
        <f>"1551689223071971"</f>
        <v>1551689223071971</v>
      </c>
      <c r="C3057" t="s">
        <v>40</v>
      </c>
      <c r="D3057">
        <v>4.349221</v>
      </c>
      <c r="E3057">
        <v>0.57305740000000005</v>
      </c>
      <c r="F3057" t="s">
        <v>41</v>
      </c>
      <c r="G3057">
        <v>-272.72160000000002</v>
      </c>
      <c r="H3057">
        <v>1.02221299999999</v>
      </c>
      <c r="I3057">
        <v>214.59630000000001</v>
      </c>
      <c r="J3057">
        <v>-273.33170000000001</v>
      </c>
      <c r="K3057">
        <v>1.1104369999999999</v>
      </c>
      <c r="L3057">
        <v>214.6482</v>
      </c>
      <c r="M3057">
        <v>0.99991300000000005</v>
      </c>
      <c r="N3057">
        <v>-9.990601E-3</v>
      </c>
      <c r="O3057">
        <v>8.6209349999999997E-3</v>
      </c>
      <c r="P3057">
        <v>0.93089719999999998</v>
      </c>
      <c r="Q3057">
        <v>0.3538019</v>
      </c>
      <c r="R3057">
        <v>9.0856820000000005E-2</v>
      </c>
      <c r="S3057">
        <v>3.3678889999999999</v>
      </c>
      <c r="T3057">
        <v>-0.33427639999999997</v>
      </c>
      <c r="U3057">
        <v>-0.18724060000000001</v>
      </c>
      <c r="V3057">
        <v>-8.2715319999999995E-2</v>
      </c>
      <c r="W3057">
        <v>0.36311779999999999</v>
      </c>
      <c r="X3057">
        <v>0.92806449999999996</v>
      </c>
      <c r="Y3057">
        <v>6.3738030000000001E-2</v>
      </c>
      <c r="Z3057">
        <v>-4.2395430000000001E-3</v>
      </c>
      <c r="AA3057">
        <v>0.9979576</v>
      </c>
      <c r="AB3057">
        <v>28</v>
      </c>
      <c r="AC3057">
        <v>0.61009999999998799</v>
      </c>
      <c r="AD3057">
        <v>-8.8224000000000302E-2</v>
      </c>
      <c r="AE3057">
        <v>-5.1899999999989101E-2</v>
      </c>
      <c r="AF3057">
        <v>5.5995466119678997E-2</v>
      </c>
      <c r="AG3057">
        <v>-8.8224000000000302E-2</v>
      </c>
      <c r="AH3057">
        <v>0.59723100156484998</v>
      </c>
      <c r="AI3057">
        <v>98.366888681413599</v>
      </c>
      <c r="AJ3057">
        <v>84.643693778525503</v>
      </c>
      <c r="AK3057">
        <v>0.60630341878643101</v>
      </c>
      <c r="AL3057">
        <v>68.708206141999398</v>
      </c>
      <c r="AM3057">
        <v>95.093125950178006</v>
      </c>
      <c r="AN3057">
        <v>1.0000000384998899</v>
      </c>
    </row>
    <row r="3058" spans="1:40" x14ac:dyDescent="0.25">
      <c r="A3058" t="str">
        <f>"20190304164703108"</f>
        <v>20190304164703108</v>
      </c>
      <c r="B3058" t="str">
        <f>"1551689223102227"</f>
        <v>1551689223102227</v>
      </c>
      <c r="C3058" t="s">
        <v>40</v>
      </c>
      <c r="D3058">
        <v>4.3498250000000001</v>
      </c>
      <c r="E3058">
        <v>0.57453019999999999</v>
      </c>
      <c r="F3058" t="s">
        <v>41</v>
      </c>
      <c r="G3058">
        <v>-272.47089999999997</v>
      </c>
      <c r="H3058">
        <v>1.0226550000000001</v>
      </c>
      <c r="I3058">
        <v>214.5959</v>
      </c>
      <c r="J3058">
        <v>-273.02820000000003</v>
      </c>
      <c r="K3058">
        <v>1.110433</v>
      </c>
      <c r="L3058">
        <v>214.6506</v>
      </c>
      <c r="M3058">
        <v>0.99991490000000005</v>
      </c>
      <c r="N3058">
        <v>-9.923365E-3</v>
      </c>
      <c r="O3058">
        <v>8.4729160000000005E-3</v>
      </c>
      <c r="P3058">
        <v>0.93106040000000001</v>
      </c>
      <c r="Q3058">
        <v>0.35358709999999999</v>
      </c>
      <c r="R3058">
        <v>9.0017379999999994E-2</v>
      </c>
      <c r="S3058">
        <v>3.3734440000000001</v>
      </c>
      <c r="T3058">
        <v>-0.34413899999999997</v>
      </c>
      <c r="U3058">
        <v>-0.20420840000000001</v>
      </c>
      <c r="V3058">
        <v>-8.2015829999999998E-2</v>
      </c>
      <c r="W3058">
        <v>0.36284100000000002</v>
      </c>
      <c r="X3058">
        <v>0.92823480000000003</v>
      </c>
      <c r="Y3058">
        <v>6.8454730000000005E-2</v>
      </c>
      <c r="Z3058">
        <v>-4.5979899999999997E-3</v>
      </c>
      <c r="AA3058">
        <v>0.99764359999999996</v>
      </c>
      <c r="AB3058">
        <v>28</v>
      </c>
      <c r="AC3058">
        <v>0.55730000000005397</v>
      </c>
      <c r="AD3058">
        <v>-8.7778000000000106E-2</v>
      </c>
      <c r="AE3058">
        <v>-5.46999999999968E-2</v>
      </c>
      <c r="AF3058">
        <v>5.7995203033863602E-2</v>
      </c>
      <c r="AG3058">
        <v>-8.7778000000000106E-2</v>
      </c>
      <c r="AH3058">
        <v>0.54346287360651901</v>
      </c>
      <c r="AI3058">
        <v>99.124028179609695</v>
      </c>
      <c r="AJ3058">
        <v>83.908779325187595</v>
      </c>
      <c r="AK3058">
        <v>0.55355245085501503</v>
      </c>
      <c r="AL3058">
        <v>68.725225939540394</v>
      </c>
      <c r="AM3058">
        <v>95.049357360197604</v>
      </c>
      <c r="AN3058">
        <v>1.00000001579131</v>
      </c>
    </row>
    <row r="3059" spans="1:40" x14ac:dyDescent="0.25">
      <c r="A3059" t="str">
        <f>"20190304164703128"</f>
        <v>20190304164703128</v>
      </c>
      <c r="B3059" t="str">
        <f>"1551689223121747"</f>
        <v>1551689223121747</v>
      </c>
      <c r="C3059" t="s">
        <v>40</v>
      </c>
      <c r="D3059">
        <v>4.3757519999999896</v>
      </c>
      <c r="E3059">
        <v>0.5750963</v>
      </c>
      <c r="F3059" t="s">
        <v>41</v>
      </c>
      <c r="G3059">
        <v>-272.21820000000002</v>
      </c>
      <c r="H3059">
        <v>1.0267189999999999</v>
      </c>
      <c r="I3059">
        <v>214.5985</v>
      </c>
      <c r="J3059">
        <v>-272.76510000000002</v>
      </c>
      <c r="K3059">
        <v>1.110428</v>
      </c>
      <c r="L3059">
        <v>214.65270000000001</v>
      </c>
      <c r="M3059">
        <v>0.99991649999999999</v>
      </c>
      <c r="N3059">
        <v>-9.8699129999999993E-3</v>
      </c>
      <c r="O3059">
        <v>8.350873E-3</v>
      </c>
      <c r="P3059">
        <v>0.93112249999999996</v>
      </c>
      <c r="Q3059">
        <v>0.35369709999999899</v>
      </c>
      <c r="R3059">
        <v>8.8933719999999994E-2</v>
      </c>
      <c r="S3059">
        <v>3.37561</v>
      </c>
      <c r="T3059">
        <v>-0.34897590000000001</v>
      </c>
      <c r="U3059">
        <v>-0.21672060000000001</v>
      </c>
      <c r="V3059">
        <v>-8.1048419999999996E-2</v>
      </c>
      <c r="W3059">
        <v>0.36290050000000001</v>
      </c>
      <c r="X3059">
        <v>0.92829640000000002</v>
      </c>
      <c r="Y3059">
        <v>7.1946899999999994E-2</v>
      </c>
      <c r="Z3059">
        <v>-4.8398479999999999E-3</v>
      </c>
      <c r="AA3059">
        <v>0.99739670000000002</v>
      </c>
      <c r="AB3059">
        <v>28</v>
      </c>
      <c r="AC3059">
        <v>0.54689999999999295</v>
      </c>
      <c r="AD3059">
        <v>-8.3708999999999797E-2</v>
      </c>
      <c r="AE3059">
        <v>-5.4200000000008602E-2</v>
      </c>
      <c r="AF3059">
        <v>5.7432991883889603E-2</v>
      </c>
      <c r="AG3059">
        <v>-8.3708999999999797E-2</v>
      </c>
      <c r="AH3059">
        <v>0.534038710185606</v>
      </c>
      <c r="AI3059">
        <v>98.858195942570205</v>
      </c>
      <c r="AJ3059">
        <v>83.861739156923804</v>
      </c>
      <c r="AK3059">
        <v>0.54360195843506798</v>
      </c>
      <c r="AL3059">
        <v>68.721565179262299</v>
      </c>
      <c r="AM3059">
        <v>94.989771185999501</v>
      </c>
      <c r="AN3059">
        <v>0.99999991276884903</v>
      </c>
    </row>
    <row r="3060" spans="1:40" x14ac:dyDescent="0.25">
      <c r="A3060" t="str">
        <f>"20190304164703150"</f>
        <v>20190304164703150</v>
      </c>
      <c r="B3060" t="str">
        <f>"1551689223141267"</f>
        <v>1551689223141267</v>
      </c>
      <c r="C3060" t="s">
        <v>40</v>
      </c>
      <c r="D3060">
        <v>4.3659800000000004</v>
      </c>
      <c r="E3060">
        <v>0.57548630000000001</v>
      </c>
      <c r="F3060" t="s">
        <v>41</v>
      </c>
      <c r="G3060">
        <v>-271.96690000000001</v>
      </c>
      <c r="H3060">
        <v>1.0272049999999999</v>
      </c>
      <c r="I3060">
        <v>214.59979999999999</v>
      </c>
      <c r="J3060">
        <v>-272.48820000000001</v>
      </c>
      <c r="K3060">
        <v>1.1104339999999999</v>
      </c>
      <c r="L3060">
        <v>214.6549</v>
      </c>
      <c r="M3060">
        <v>0.99991799999999997</v>
      </c>
      <c r="N3060">
        <v>-9.8161010000000007E-3</v>
      </c>
      <c r="O3060">
        <v>8.2289609999999999E-3</v>
      </c>
      <c r="P3060">
        <v>0.93120069999999999</v>
      </c>
      <c r="Q3060">
        <v>0.35359940000000001</v>
      </c>
      <c r="R3060">
        <v>8.8505009999999995E-2</v>
      </c>
      <c r="S3060">
        <v>3.377014</v>
      </c>
      <c r="T3060">
        <v>-0.35224490000000003</v>
      </c>
      <c r="U3060">
        <v>-0.22285460000000001</v>
      </c>
      <c r="V3060">
        <v>-8.0736909999999995E-2</v>
      </c>
      <c r="W3060">
        <v>0.36275299999999999</v>
      </c>
      <c r="X3060">
        <v>0.92838129999999996</v>
      </c>
      <c r="Y3060">
        <v>7.3585880000000006E-2</v>
      </c>
      <c r="Z3060">
        <v>-4.9605220000000002E-3</v>
      </c>
      <c r="AA3060">
        <v>0.99727650000000001</v>
      </c>
      <c r="AB3060">
        <v>28</v>
      </c>
      <c r="AC3060">
        <v>0.52129999999999599</v>
      </c>
      <c r="AD3060">
        <v>-8.3228999999999997E-2</v>
      </c>
      <c r="AE3060">
        <v>-5.5100000000010099E-2</v>
      </c>
      <c r="AF3060">
        <v>5.7927818313232703E-2</v>
      </c>
      <c r="AG3060">
        <v>-8.3228999999999997E-2</v>
      </c>
      <c r="AH3060">
        <v>0.50802237232970104</v>
      </c>
      <c r="AI3060">
        <v>99.245215476721299</v>
      </c>
      <c r="AJ3060">
        <v>83.494880758126897</v>
      </c>
      <c r="AK3060">
        <v>0.51804384888060195</v>
      </c>
      <c r="AL3060">
        <v>68.730636542451094</v>
      </c>
      <c r="AM3060">
        <v>94.970236953900695</v>
      </c>
      <c r="AN3060">
        <v>1.00000001291751</v>
      </c>
    </row>
    <row r="3061" spans="1:40" x14ac:dyDescent="0.25">
      <c r="A3061" t="str">
        <f>"20190304164703171"</f>
        <v>20190304164703171</v>
      </c>
      <c r="B3061" t="str">
        <f>"1551689223161763"</f>
        <v>1551689223161763</v>
      </c>
      <c r="C3061" t="s">
        <v>40</v>
      </c>
      <c r="D3061">
        <v>4.3808170000000004</v>
      </c>
      <c r="E3061">
        <v>0.57579959999999997</v>
      </c>
      <c r="F3061" t="s">
        <v>41</v>
      </c>
      <c r="G3061">
        <v>-271.71420000000001</v>
      </c>
      <c r="H3061">
        <v>1.029307</v>
      </c>
      <c r="I3061">
        <v>214.60310000000001</v>
      </c>
      <c r="J3061">
        <v>-272.22089999999997</v>
      </c>
      <c r="K3061">
        <v>1.1104339999999999</v>
      </c>
      <c r="L3061">
        <v>214.65690000000001</v>
      </c>
      <c r="M3061">
        <v>0.99991940000000001</v>
      </c>
      <c r="N3061">
        <v>-9.7687030000000001E-3</v>
      </c>
      <c r="O3061">
        <v>8.1200270000000001E-3</v>
      </c>
      <c r="P3061">
        <v>0.93127450000000001</v>
      </c>
      <c r="Q3061">
        <v>0.35356480000000001</v>
      </c>
      <c r="R3061">
        <v>8.7864410000000004E-2</v>
      </c>
      <c r="S3061">
        <v>3.3775330000000001</v>
      </c>
      <c r="T3061">
        <v>-0.35406520000000002</v>
      </c>
      <c r="U3061">
        <v>-0.22547909999999999</v>
      </c>
      <c r="V3061">
        <v>-8.0203029999999995E-2</v>
      </c>
      <c r="W3061">
        <v>0.36267339999999998</v>
      </c>
      <c r="X3061">
        <v>0.92845860000000002</v>
      </c>
      <c r="Y3061">
        <v>7.4230920000000006E-2</v>
      </c>
      <c r="Z3061">
        <v>-5.0089189999999997E-3</v>
      </c>
      <c r="AA3061">
        <v>0.99722849999999996</v>
      </c>
      <c r="AB3061">
        <v>28</v>
      </c>
      <c r="AC3061">
        <v>0.50669999999996596</v>
      </c>
      <c r="AD3061">
        <v>-8.1126999999999894E-2</v>
      </c>
      <c r="AE3061">
        <v>-5.37999999999954E-2</v>
      </c>
      <c r="AF3061">
        <v>5.6481101939945703E-2</v>
      </c>
      <c r="AG3061">
        <v>-8.1126999999999894E-2</v>
      </c>
      <c r="AH3061">
        <v>0.49373084585027499</v>
      </c>
      <c r="AI3061">
        <v>99.271720024335806</v>
      </c>
      <c r="AJ3061">
        <v>83.473930178592994</v>
      </c>
      <c r="AK3061">
        <v>0.503529396509656</v>
      </c>
      <c r="AL3061">
        <v>68.735529084461206</v>
      </c>
      <c r="AM3061">
        <v>94.937124782879295</v>
      </c>
      <c r="AN3061">
        <v>0.99999994650134905</v>
      </c>
    </row>
    <row r="3062" spans="1:40" x14ac:dyDescent="0.25">
      <c r="A3062" t="str">
        <f>"20190304164703193"</f>
        <v>20190304164703193</v>
      </c>
      <c r="B3062" t="str">
        <f>"1551689223181283"</f>
        <v>1551689223181283</v>
      </c>
      <c r="C3062" t="s">
        <v>40</v>
      </c>
      <c r="D3062">
        <v>4.4024000000000001</v>
      </c>
      <c r="E3062">
        <v>0.57598760000000004</v>
      </c>
      <c r="F3062" t="s">
        <v>41</v>
      </c>
      <c r="G3062">
        <v>-271.46159999999998</v>
      </c>
      <c r="H3062">
        <v>1.030681</v>
      </c>
      <c r="I3062">
        <v>214.60499999999999</v>
      </c>
      <c r="J3062">
        <v>-271.94</v>
      </c>
      <c r="K3062">
        <v>1.1104240000000001</v>
      </c>
      <c r="L3062">
        <v>214.6591</v>
      </c>
      <c r="M3062">
        <v>0.99992060000000005</v>
      </c>
      <c r="N3062">
        <v>-9.7249539999999992E-3</v>
      </c>
      <c r="O3062">
        <v>8.0170620000000001E-3</v>
      </c>
      <c r="P3062">
        <v>0.93128040000000001</v>
      </c>
      <c r="Q3062">
        <v>0.35369430000000002</v>
      </c>
      <c r="R3062">
        <v>8.7276880000000001E-2</v>
      </c>
      <c r="S3062">
        <v>3.377869</v>
      </c>
      <c r="T3062">
        <v>-0.35497199999999901</v>
      </c>
      <c r="U3062">
        <v>-0.2297516</v>
      </c>
      <c r="V3062">
        <v>-7.9719330000000005E-2</v>
      </c>
      <c r="W3062">
        <v>0.36276009999999997</v>
      </c>
      <c r="X3062">
        <v>0.92846640000000003</v>
      </c>
      <c r="Y3062">
        <v>7.5368779999999996E-2</v>
      </c>
      <c r="Z3062">
        <v>-5.0743630000000001E-3</v>
      </c>
      <c r="AA3062">
        <v>0.9971428</v>
      </c>
      <c r="AB3062">
        <v>28</v>
      </c>
      <c r="AC3062">
        <v>0.47840000000002098</v>
      </c>
      <c r="AD3062">
        <v>-7.9743000000000105E-2</v>
      </c>
      <c r="AE3062">
        <v>-5.4100000000005297E-2</v>
      </c>
      <c r="AF3062">
        <v>5.6386904435170998E-2</v>
      </c>
      <c r="AG3062">
        <v>-7.9743000000000105E-2</v>
      </c>
      <c r="AH3062">
        <v>0.46518903171435499</v>
      </c>
      <c r="AI3062">
        <v>99.657792470405496</v>
      </c>
      <c r="AJ3062">
        <v>83.088729773360697</v>
      </c>
      <c r="AK3062">
        <v>0.47533068938174</v>
      </c>
      <c r="AL3062">
        <v>68.730198800974193</v>
      </c>
      <c r="AM3062">
        <v>94.907454083850098</v>
      </c>
      <c r="AN3062">
        <v>0.99999995882830806</v>
      </c>
    </row>
    <row r="3063" spans="1:40" x14ac:dyDescent="0.25">
      <c r="A3063" t="str">
        <f>"20190304164703217"</f>
        <v>20190304164703217</v>
      </c>
      <c r="B3063" t="str">
        <f>"1551689223211539"</f>
        <v>1551689223211539</v>
      </c>
      <c r="C3063" t="s">
        <v>40</v>
      </c>
      <c r="D3063">
        <v>4.4237520000000004</v>
      </c>
      <c r="E3063">
        <v>0.57622289999999998</v>
      </c>
      <c r="F3063" t="s">
        <v>41</v>
      </c>
      <c r="G3063">
        <v>-271.2079</v>
      </c>
      <c r="H3063">
        <v>1.0333680000000001</v>
      </c>
      <c r="I3063">
        <v>214.6086</v>
      </c>
      <c r="J3063">
        <v>-271.65019999999998</v>
      </c>
      <c r="K3063">
        <v>1.1104369999999999</v>
      </c>
      <c r="L3063">
        <v>214.66130000000001</v>
      </c>
      <c r="M3063">
        <v>0.99992170000000002</v>
      </c>
      <c r="N3063">
        <v>-9.6807720000000007E-3</v>
      </c>
      <c r="O3063">
        <v>7.9279629999999997E-3</v>
      </c>
      <c r="P3063">
        <v>0.93130210000000002</v>
      </c>
      <c r="Q3063">
        <v>0.35388360000000002</v>
      </c>
      <c r="R3063">
        <v>8.6270349999999996E-2</v>
      </c>
      <c r="S3063">
        <v>3.3782350000000001</v>
      </c>
      <c r="T3063">
        <v>-0.35570259999999998</v>
      </c>
      <c r="U3063">
        <v>-0.23243710000000001</v>
      </c>
      <c r="V3063">
        <v>-7.8806000000000001E-2</v>
      </c>
      <c r="W3063">
        <v>0.36290630000000001</v>
      </c>
      <c r="X3063">
        <v>0.92848730000000002</v>
      </c>
      <c r="Y3063">
        <v>7.6056189999999996E-2</v>
      </c>
      <c r="Z3063">
        <v>-5.1131120000000004E-3</v>
      </c>
      <c r="AA3063">
        <v>0.99709040000000004</v>
      </c>
      <c r="AB3063">
        <v>28</v>
      </c>
      <c r="AC3063">
        <v>0.44229999999998798</v>
      </c>
      <c r="AD3063">
        <v>-7.7068999999999999E-2</v>
      </c>
      <c r="AE3063">
        <v>-5.27000000000157E-2</v>
      </c>
      <c r="AF3063">
        <v>5.4571361634602598E-2</v>
      </c>
      <c r="AG3063">
        <v>-7.7068999999999999E-2</v>
      </c>
      <c r="AH3063">
        <v>0.42902470764982698</v>
      </c>
      <c r="AI3063">
        <v>100.10414936738201</v>
      </c>
      <c r="AJ3063">
        <v>82.750982348313798</v>
      </c>
      <c r="AK3063">
        <v>0.439294734825805</v>
      </c>
      <c r="AL3063">
        <v>68.721210882383701</v>
      </c>
      <c r="AM3063">
        <v>94.851391482090904</v>
      </c>
      <c r="AN3063">
        <v>1.00000001723849</v>
      </c>
    </row>
    <row r="3064" spans="1:40" x14ac:dyDescent="0.25">
      <c r="A3064" t="str">
        <f>"20190304164703238"</f>
        <v>20190304164703238</v>
      </c>
      <c r="B3064" t="str">
        <f>"1551689223232035"</f>
        <v>1551689223232035</v>
      </c>
      <c r="C3064" t="s">
        <v>40</v>
      </c>
      <c r="D3064">
        <v>4.4336060000000002</v>
      </c>
      <c r="E3064">
        <v>0.57634490000000005</v>
      </c>
      <c r="F3064" t="s">
        <v>41</v>
      </c>
      <c r="G3064">
        <v>-270.71249999999998</v>
      </c>
      <c r="H3064">
        <v>1.011943</v>
      </c>
      <c r="I3064">
        <v>214.59540000000001</v>
      </c>
      <c r="J3064">
        <v>-271.36309999999997</v>
      </c>
      <c r="K3064">
        <v>1.1104430000000001</v>
      </c>
      <c r="L3064">
        <v>214.6635</v>
      </c>
      <c r="M3064">
        <v>0.9999228</v>
      </c>
      <c r="N3064">
        <v>-9.6379780000000002E-3</v>
      </c>
      <c r="O3064">
        <v>7.8571089999999993E-3</v>
      </c>
      <c r="P3064">
        <v>0.93163229999999997</v>
      </c>
      <c r="Q3064">
        <v>0.353199599999999</v>
      </c>
      <c r="R3064">
        <v>8.5506040000000005E-2</v>
      </c>
      <c r="S3064">
        <v>3.3781129999999999</v>
      </c>
      <c r="T3064">
        <v>-0.35490070000000001</v>
      </c>
      <c r="U3064">
        <v>-0.2370758</v>
      </c>
      <c r="V3064">
        <v>-7.8117190000000003E-2</v>
      </c>
      <c r="W3064">
        <v>0.36218280000000003</v>
      </c>
      <c r="X3064">
        <v>0.92882790000000004</v>
      </c>
      <c r="Y3064">
        <v>7.7345419999999998E-2</v>
      </c>
      <c r="Z3064">
        <v>-5.1679289999999999E-3</v>
      </c>
      <c r="AA3064">
        <v>0.99699099999999996</v>
      </c>
      <c r="AB3064">
        <v>28</v>
      </c>
      <c r="AC3064">
        <v>0.65059999999999696</v>
      </c>
      <c r="AD3064">
        <v>-9.8500000000000004E-2</v>
      </c>
      <c r="AE3064">
        <v>-6.8099999999986893E-2</v>
      </c>
      <c r="AF3064">
        <v>7.1586869574708403E-2</v>
      </c>
      <c r="AG3064">
        <v>-9.8500000000000004E-2</v>
      </c>
      <c r="AH3064">
        <v>0.63563301656895299</v>
      </c>
      <c r="AI3064">
        <v>98.754219351009894</v>
      </c>
      <c r="AJ3064">
        <v>83.574256523854501</v>
      </c>
      <c r="AK3064">
        <v>0.64719105498148899</v>
      </c>
      <c r="AL3064">
        <v>68.765689475896295</v>
      </c>
      <c r="AM3064">
        <v>94.807432014737103</v>
      </c>
      <c r="AN3064">
        <v>0.99999997190387202</v>
      </c>
    </row>
    <row r="3065" spans="1:40" x14ac:dyDescent="0.25">
      <c r="A3065" t="str">
        <f>"20190304164703261"</f>
        <v>20190304164703261</v>
      </c>
      <c r="B3065" t="str">
        <f>"1551689223251555"</f>
        <v>1551689223251555</v>
      </c>
      <c r="C3065" t="s">
        <v>40</v>
      </c>
      <c r="D3065">
        <v>4.4163920000000001</v>
      </c>
      <c r="E3065">
        <v>0.57642599999999999</v>
      </c>
      <c r="F3065" t="s">
        <v>41</v>
      </c>
      <c r="G3065">
        <v>-270.45780000000002</v>
      </c>
      <c r="H3065">
        <v>1.014497</v>
      </c>
      <c r="I3065">
        <v>214.59909999999999</v>
      </c>
      <c r="J3065">
        <v>-271.09160000000003</v>
      </c>
      <c r="K3065">
        <v>1.110441</v>
      </c>
      <c r="L3065">
        <v>214.66560000000001</v>
      </c>
      <c r="M3065">
        <v>0.99992360000000002</v>
      </c>
      <c r="N3065">
        <v>-9.5999039999999994E-3</v>
      </c>
      <c r="O3065">
        <v>7.8040380000000001E-3</v>
      </c>
      <c r="P3065">
        <v>0.93206889999999998</v>
      </c>
      <c r="Q3065">
        <v>0.35247699999999998</v>
      </c>
      <c r="R3065">
        <v>8.371265E-2</v>
      </c>
      <c r="S3065">
        <v>3.3778990000000002</v>
      </c>
      <c r="T3065">
        <v>-0.35807050000000001</v>
      </c>
      <c r="U3065">
        <v>-0.23966979999999999</v>
      </c>
      <c r="V3065">
        <v>-7.6380589999999998E-2</v>
      </c>
      <c r="W3065">
        <v>0.36142619999999998</v>
      </c>
      <c r="X3065">
        <v>0.92926699999999995</v>
      </c>
      <c r="Y3065">
        <v>7.8046149999999995E-2</v>
      </c>
      <c r="Z3065">
        <v>-5.2454800000000003E-3</v>
      </c>
      <c r="AA3065">
        <v>0.99693600000000004</v>
      </c>
      <c r="AB3065">
        <v>28</v>
      </c>
      <c r="AC3065">
        <v>0.63380000000000702</v>
      </c>
      <c r="AD3065">
        <v>-9.5944000000000002E-2</v>
      </c>
      <c r="AE3065">
        <v>-6.6500000000019099E-2</v>
      </c>
      <c r="AF3065">
        <v>6.9860928534434194E-2</v>
      </c>
      <c r="AG3065">
        <v>-9.5944000000000002E-2</v>
      </c>
      <c r="AH3065">
        <v>0.61922627848434997</v>
      </c>
      <c r="AI3065">
        <v>98.752813401745698</v>
      </c>
      <c r="AJ3065">
        <v>83.563124876675005</v>
      </c>
      <c r="AK3065">
        <v>0.63049741033351603</v>
      </c>
      <c r="AL3065">
        <v>68.812190845986095</v>
      </c>
      <c r="AM3065">
        <v>94.698832425653507</v>
      </c>
      <c r="AN3065">
        <v>1.0000000249320899</v>
      </c>
    </row>
    <row r="3066" spans="1:40" x14ac:dyDescent="0.25">
      <c r="A3066" t="str">
        <f>"20190304164703283"</f>
        <v>20190304164703283</v>
      </c>
      <c r="B3066" t="str">
        <f>"1551689223272051"</f>
        <v>1551689223272051</v>
      </c>
      <c r="C3066" t="s">
        <v>40</v>
      </c>
      <c r="D3066">
        <v>4.420026</v>
      </c>
      <c r="E3066">
        <v>0.5765496</v>
      </c>
      <c r="F3066" t="s">
        <v>41</v>
      </c>
      <c r="G3066">
        <v>-270.20359999999999</v>
      </c>
      <c r="H3066">
        <v>1.015136</v>
      </c>
      <c r="I3066">
        <v>214.6009</v>
      </c>
      <c r="J3066">
        <v>-270.79820000000001</v>
      </c>
      <c r="K3066">
        <v>1.1104430000000001</v>
      </c>
      <c r="L3066">
        <v>214.6678</v>
      </c>
      <c r="M3066">
        <v>0.99992429999999999</v>
      </c>
      <c r="N3066">
        <v>-9.5585510000000002E-3</v>
      </c>
      <c r="O3066">
        <v>7.7646349999999998E-3</v>
      </c>
      <c r="P3066">
        <v>0.93253090000000005</v>
      </c>
      <c r="Q3066">
        <v>0.35152149999999999</v>
      </c>
      <c r="R3066">
        <v>8.2577680000000001E-2</v>
      </c>
      <c r="S3066">
        <v>3.3778079999999999</v>
      </c>
      <c r="T3066">
        <v>-0.36258960000000001</v>
      </c>
      <c r="U3066">
        <v>-0.24542240000000001</v>
      </c>
      <c r="V3066">
        <v>-7.5290460000000003E-2</v>
      </c>
      <c r="W3066">
        <v>0.36043409999999998</v>
      </c>
      <c r="X3066">
        <v>0.92974109999999999</v>
      </c>
      <c r="Y3066">
        <v>7.9675469999999998E-2</v>
      </c>
      <c r="Z3066">
        <v>-5.3971849999999997E-3</v>
      </c>
      <c r="AA3066">
        <v>0.99680630000000003</v>
      </c>
      <c r="AB3066">
        <v>28</v>
      </c>
      <c r="AC3066">
        <v>0.59460000000001401</v>
      </c>
      <c r="AD3066">
        <v>-9.5307000000000003E-2</v>
      </c>
      <c r="AE3066">
        <v>-6.6900000000003901E-2</v>
      </c>
      <c r="AF3066">
        <v>6.9745535729923494E-2</v>
      </c>
      <c r="AG3066">
        <v>-9.5307000000000003E-2</v>
      </c>
      <c r="AH3066">
        <v>0.57936359832240003</v>
      </c>
      <c r="AI3066">
        <v>99.275861783403499</v>
      </c>
      <c r="AJ3066">
        <v>83.135594048854799</v>
      </c>
      <c r="AK3066">
        <v>0.59127831269575004</v>
      </c>
      <c r="AL3066">
        <v>68.873140989970096</v>
      </c>
      <c r="AM3066">
        <v>94.629711261141495</v>
      </c>
      <c r="AN3066">
        <v>0.99999995341951398</v>
      </c>
    </row>
    <row r="3067" spans="1:40" x14ac:dyDescent="0.25">
      <c r="A3067" t="str">
        <f>"20190304164703310"</f>
        <v>20190304164703310</v>
      </c>
      <c r="B3067" t="str">
        <f>"1551689223301331"</f>
        <v>1551689223301331</v>
      </c>
      <c r="C3067" t="s">
        <v>40</v>
      </c>
      <c r="D3067">
        <v>4.4164450000000004</v>
      </c>
      <c r="E3067">
        <v>0.5767177</v>
      </c>
      <c r="F3067" t="s">
        <v>41</v>
      </c>
      <c r="G3067">
        <v>-269.9477</v>
      </c>
      <c r="H3067">
        <v>1.0182180000000001</v>
      </c>
      <c r="I3067">
        <v>214.6045</v>
      </c>
      <c r="J3067">
        <v>-270.4597</v>
      </c>
      <c r="K3067">
        <v>1.1104419999999999</v>
      </c>
      <c r="L3067">
        <v>214.6704</v>
      </c>
      <c r="M3067">
        <v>0.99992479999999995</v>
      </c>
      <c r="N3067">
        <v>-9.5124879999999995E-3</v>
      </c>
      <c r="O3067">
        <v>7.7404650000000002E-3</v>
      </c>
      <c r="P3067">
        <v>0.93310680000000001</v>
      </c>
      <c r="Q3067">
        <v>0.3502055</v>
      </c>
      <c r="R3067">
        <v>8.1656640000000003E-2</v>
      </c>
      <c r="S3067">
        <v>3.377319</v>
      </c>
      <c r="T3067">
        <v>-0.3663459</v>
      </c>
      <c r="U3067">
        <v>-0.25009160000000002</v>
      </c>
      <c r="V3067">
        <v>-7.4399320000000005E-2</v>
      </c>
      <c r="W3067">
        <v>0.35907850000000002</v>
      </c>
      <c r="X3067">
        <v>0.93033730000000003</v>
      </c>
      <c r="Y3067">
        <v>8.1013429999999997E-2</v>
      </c>
      <c r="Z3067">
        <v>-5.5249069999999999E-3</v>
      </c>
      <c r="AA3067">
        <v>0.99669770000000002</v>
      </c>
      <c r="AB3067">
        <v>28</v>
      </c>
      <c r="AC3067">
        <v>0.51200000000000001</v>
      </c>
      <c r="AD3067">
        <v>-9.2223999999999806E-2</v>
      </c>
      <c r="AE3067">
        <v>-6.5899999999999098E-2</v>
      </c>
      <c r="AF3067">
        <v>6.7700572913643703E-2</v>
      </c>
      <c r="AG3067">
        <v>-9.2223999999999806E-2</v>
      </c>
      <c r="AH3067">
        <v>0.49565507698268801</v>
      </c>
      <c r="AI3067">
        <v>100.44537856989299</v>
      </c>
      <c r="AJ3067">
        <v>82.222209720407093</v>
      </c>
      <c r="AK3067">
        <v>0.50868712298184904</v>
      </c>
      <c r="AL3067">
        <v>68.956386978955905</v>
      </c>
      <c r="AM3067">
        <v>94.572228374447505</v>
      </c>
      <c r="AN3067">
        <v>1.0000000598749901</v>
      </c>
    </row>
    <row r="3068" spans="1:40" x14ac:dyDescent="0.25">
      <c r="A3068" t="str">
        <f>"20190304164703329"</f>
        <v>20190304164703329</v>
      </c>
      <c r="B3068" t="str">
        <f>"1551689223321830"</f>
        <v>1551689223321830</v>
      </c>
      <c r="C3068" t="s">
        <v>40</v>
      </c>
      <c r="D3068">
        <v>4.3255629999999998</v>
      </c>
      <c r="E3068">
        <v>0.57680390000000004</v>
      </c>
      <c r="F3068" t="s">
        <v>41</v>
      </c>
      <c r="G3068">
        <v>-269.68900000000002</v>
      </c>
      <c r="H3068">
        <v>1.0263059999999999</v>
      </c>
      <c r="I3068">
        <v>214.61179999999999</v>
      </c>
      <c r="J3068">
        <v>-270.2199</v>
      </c>
      <c r="K3068">
        <v>1.1104400000000001</v>
      </c>
      <c r="L3068">
        <v>214.6722</v>
      </c>
      <c r="M3068">
        <v>0.99992519999999996</v>
      </c>
      <c r="N3068">
        <v>-9.4799689999999995E-3</v>
      </c>
      <c r="O3068">
        <v>7.7336810000000001E-3</v>
      </c>
      <c r="P3068">
        <v>0.93359000000000003</v>
      </c>
      <c r="Q3068">
        <v>0.34908309999999998</v>
      </c>
      <c r="R3068">
        <v>8.0935119999999999E-2</v>
      </c>
      <c r="S3068">
        <v>3.3757929999999998</v>
      </c>
      <c r="T3068">
        <v>-0.3685176</v>
      </c>
      <c r="U3068">
        <v>-0.25624079999999999</v>
      </c>
      <c r="V3068">
        <v>-7.3687520000000006E-2</v>
      </c>
      <c r="W3068">
        <v>0.35792869999999999</v>
      </c>
      <c r="X3068">
        <v>0.93083689999999997</v>
      </c>
      <c r="Y3068">
        <v>8.2826880000000005E-2</v>
      </c>
      <c r="Z3068">
        <v>-5.6631019999999997E-3</v>
      </c>
      <c r="AA3068">
        <v>0.99654790000000004</v>
      </c>
      <c r="AB3068">
        <v>28</v>
      </c>
      <c r="AC3068">
        <v>0.53089999999997395</v>
      </c>
      <c r="AD3068">
        <v>-8.4133999999999903E-2</v>
      </c>
      <c r="AE3068">
        <v>-6.0400000000015497E-2</v>
      </c>
      <c r="AF3068">
        <v>6.2943615971886899E-2</v>
      </c>
      <c r="AG3068">
        <v>-8.4133999999999903E-2</v>
      </c>
      <c r="AH3068">
        <v>0.51758441668925603</v>
      </c>
      <c r="AI3068">
        <v>99.166374281828197</v>
      </c>
      <c r="AJ3068">
        <v>83.066288167391704</v>
      </c>
      <c r="AK3068">
        <v>0.52814208045484701</v>
      </c>
      <c r="AL3068">
        <v>69.026956758118899</v>
      </c>
      <c r="AM3068">
        <v>94.526246836050404</v>
      </c>
      <c r="AN3068">
        <v>1.0000000696445199</v>
      </c>
    </row>
    <row r="3069" spans="1:40" x14ac:dyDescent="0.25">
      <c r="A3069" t="str">
        <f>"20190304164703351"</f>
        <v>20190304164703351</v>
      </c>
      <c r="B3069" t="str">
        <f>"1551689223341347"</f>
        <v>1551689223341347</v>
      </c>
      <c r="C3069" t="s">
        <v>40</v>
      </c>
      <c r="D3069">
        <v>4.5642639999999997</v>
      </c>
      <c r="E3069">
        <v>0.57696930000000002</v>
      </c>
      <c r="F3069" t="s">
        <v>41</v>
      </c>
      <c r="G3069">
        <v>-269.43470000000002</v>
      </c>
      <c r="H3069">
        <v>1.0245169999999999</v>
      </c>
      <c r="I3069">
        <v>214.61160000000001</v>
      </c>
      <c r="J3069">
        <v>-269.94510000000002</v>
      </c>
      <c r="K3069">
        <v>1.110428</v>
      </c>
      <c r="L3069">
        <v>214.67429999999999</v>
      </c>
      <c r="M3069">
        <v>0.99992559999999997</v>
      </c>
      <c r="N3069">
        <v>-9.4423110000000001E-3</v>
      </c>
      <c r="O3069">
        <v>7.732091E-3</v>
      </c>
      <c r="P3069">
        <v>0.93401440000000002</v>
      </c>
      <c r="Q3069">
        <v>0.34799390000000002</v>
      </c>
      <c r="R3069">
        <v>8.0729419999999996E-2</v>
      </c>
      <c r="S3069">
        <v>3.3740230000000002</v>
      </c>
      <c r="T3069">
        <v>-0.36928270000000002</v>
      </c>
      <c r="U3069">
        <v>-0.25953670000000001</v>
      </c>
      <c r="V3069">
        <v>-7.3486480000000007E-2</v>
      </c>
      <c r="W3069">
        <v>0.35680729999999999</v>
      </c>
      <c r="X3069">
        <v>0.93128319999999998</v>
      </c>
      <c r="Y3069">
        <v>8.3823410000000001E-2</v>
      </c>
      <c r="Z3069">
        <v>-5.7343239999999998E-3</v>
      </c>
      <c r="AA3069">
        <v>0.99646409999999996</v>
      </c>
      <c r="AB3069">
        <v>28</v>
      </c>
      <c r="AC3069">
        <v>0.51040000000000396</v>
      </c>
      <c r="AD3069">
        <v>-8.5911000000000001E-2</v>
      </c>
      <c r="AE3069">
        <v>-6.2699999999978204E-2</v>
      </c>
      <c r="AF3069">
        <v>6.4835163247151995E-2</v>
      </c>
      <c r="AG3069">
        <v>-8.5911000000000001E-2</v>
      </c>
      <c r="AH3069">
        <v>0.49605466625056199</v>
      </c>
      <c r="AI3069">
        <v>99.744242655834697</v>
      </c>
      <c r="AJ3069">
        <v>82.5535579693247</v>
      </c>
      <c r="AK3069">
        <v>0.50759681857084205</v>
      </c>
      <c r="AL3069">
        <v>69.095750864511302</v>
      </c>
      <c r="AM3069">
        <v>94.511794790978001</v>
      </c>
      <c r="AN3069">
        <v>1.0000000553391499</v>
      </c>
    </row>
    <row r="3070" spans="1:40" x14ac:dyDescent="0.25">
      <c r="A3070" t="str">
        <f>"20190304164703372"</f>
        <v>20190304164703372</v>
      </c>
      <c r="B3070" t="str">
        <f>"1551689223361843"</f>
        <v>1551689223361843</v>
      </c>
      <c r="C3070" t="s">
        <v>40</v>
      </c>
      <c r="D3070">
        <v>4.4132660000000001</v>
      </c>
      <c r="E3070">
        <v>0.57681759999999904</v>
      </c>
      <c r="F3070" t="s">
        <v>41</v>
      </c>
      <c r="G3070">
        <v>-269.17840000000001</v>
      </c>
      <c r="H3070">
        <v>1.0257609999999999</v>
      </c>
      <c r="I3070">
        <v>214.6148</v>
      </c>
      <c r="J3070">
        <v>-269.66390000000001</v>
      </c>
      <c r="K3070">
        <v>1.1104160000000001</v>
      </c>
      <c r="L3070">
        <v>214.6765</v>
      </c>
      <c r="M3070">
        <v>0.99992590000000003</v>
      </c>
      <c r="N3070">
        <v>-9.4058760000000005E-3</v>
      </c>
      <c r="O3070">
        <v>7.7349949999999997E-3</v>
      </c>
      <c r="P3070">
        <v>0.9342201</v>
      </c>
      <c r="Q3070">
        <v>0.34724450000000001</v>
      </c>
      <c r="R3070">
        <v>8.1573779999999999E-2</v>
      </c>
      <c r="S3070">
        <v>3.3734130000000002</v>
      </c>
      <c r="T3070">
        <v>-0.3725791</v>
      </c>
      <c r="U3070">
        <v>-0.26235960000000003</v>
      </c>
      <c r="V3070">
        <v>-7.4329909999999999E-2</v>
      </c>
      <c r="W3070">
        <v>0.35602539999999999</v>
      </c>
      <c r="X3070">
        <v>0.93151550000000005</v>
      </c>
      <c r="Y3070">
        <v>8.4653409999999998E-2</v>
      </c>
      <c r="Z3070">
        <v>-5.8317550000000001E-3</v>
      </c>
      <c r="AA3070">
        <v>0.99639339999999998</v>
      </c>
      <c r="AB3070">
        <v>29</v>
      </c>
      <c r="AC3070">
        <v>0.48550000000000099</v>
      </c>
      <c r="AD3070">
        <v>-8.4654999999999897E-2</v>
      </c>
      <c r="AE3070">
        <v>-6.1700000000001802E-2</v>
      </c>
      <c r="AF3070">
        <v>6.3552148925134999E-2</v>
      </c>
      <c r="AG3070">
        <v>-8.4654999999999897E-2</v>
      </c>
      <c r="AH3070">
        <v>0.47091810625781</v>
      </c>
      <c r="AI3070">
        <v>100.10131981859899</v>
      </c>
      <c r="AJ3070">
        <v>82.314156592325702</v>
      </c>
      <c r="AK3070">
        <v>0.48266883829334301</v>
      </c>
      <c r="AL3070">
        <v>69.143699746737099</v>
      </c>
      <c r="AM3070">
        <v>94.562227556480707</v>
      </c>
      <c r="AN3070">
        <v>1.0000000738529999</v>
      </c>
    </row>
    <row r="3071" spans="1:40" x14ac:dyDescent="0.25">
      <c r="A3071" t="str">
        <f>"20190304164703396"</f>
        <v>20190304164703396</v>
      </c>
      <c r="B3071" t="str">
        <f>"1551689223392099"</f>
        <v>1551689223392099</v>
      </c>
      <c r="C3071" t="s">
        <v>40</v>
      </c>
      <c r="D3071">
        <v>4.4509600000000002</v>
      </c>
      <c r="E3071">
        <v>0.55906109999999998</v>
      </c>
      <c r="F3071" t="s">
        <v>41</v>
      </c>
      <c r="G3071">
        <v>-268.92129999999997</v>
      </c>
      <c r="H3071">
        <v>1.027833</v>
      </c>
      <c r="I3071">
        <v>214.61940000000001</v>
      </c>
      <c r="J3071">
        <v>-269.37740000000002</v>
      </c>
      <c r="K3071">
        <v>1.1104149999999999</v>
      </c>
      <c r="L3071">
        <v>214.67869999999999</v>
      </c>
      <c r="M3071">
        <v>0.99992630000000005</v>
      </c>
      <c r="N3071">
        <v>-9.3727629999999992E-3</v>
      </c>
      <c r="O3071">
        <v>7.7400639999999996E-3</v>
      </c>
      <c r="P3071">
        <v>0.93408170000000001</v>
      </c>
      <c r="Q3071">
        <v>0.34744849999999999</v>
      </c>
      <c r="R3071">
        <v>8.2288340000000001E-2</v>
      </c>
      <c r="S3071">
        <v>3.3733520000000001</v>
      </c>
      <c r="T3071">
        <v>-0.37533509999999998</v>
      </c>
      <c r="U3071">
        <v>-0.25869750000000002</v>
      </c>
      <c r="V3071">
        <v>-7.5042460000000005E-2</v>
      </c>
      <c r="W3071">
        <v>0.35619650000000003</v>
      </c>
      <c r="X3071">
        <v>0.93139280000000002</v>
      </c>
      <c r="Y3071">
        <v>8.3583149999999995E-2</v>
      </c>
      <c r="Z3071">
        <v>-5.8076009999999999E-3</v>
      </c>
      <c r="AA3071">
        <v>0.99648389999999998</v>
      </c>
      <c r="AB3071">
        <v>29</v>
      </c>
      <c r="AC3071">
        <v>0.45610000000004902</v>
      </c>
      <c r="AD3071">
        <v>-8.2581999999999905E-2</v>
      </c>
      <c r="AE3071">
        <v>-5.9299999999979001E-2</v>
      </c>
      <c r="AF3071">
        <v>6.08663984250533E-2</v>
      </c>
      <c r="AG3071">
        <v>-8.2581999999999905E-2</v>
      </c>
      <c r="AH3071">
        <v>0.44139747343450703</v>
      </c>
      <c r="AI3071">
        <v>100.49996104165299</v>
      </c>
      <c r="AJ3071">
        <v>82.148726310424806</v>
      </c>
      <c r="AK3071">
        <v>0.453162481606326</v>
      </c>
      <c r="AL3071">
        <v>69.133205600269903</v>
      </c>
      <c r="AM3071">
        <v>94.606379379977</v>
      </c>
      <c r="AN3071">
        <v>0.99999993265346798</v>
      </c>
    </row>
    <row r="3072" spans="1:40" x14ac:dyDescent="0.25">
      <c r="A3072" t="str">
        <f>"20190304164703418"</f>
        <v>20190304164703418</v>
      </c>
      <c r="B3072" t="str">
        <f>"1551689223411622"</f>
        <v>1551689223411622</v>
      </c>
      <c r="C3072" t="s">
        <v>40</v>
      </c>
      <c r="D3072">
        <v>4.4365240000000004</v>
      </c>
      <c r="E3072">
        <v>0.55881999999999998</v>
      </c>
      <c r="F3072" t="s">
        <v>41</v>
      </c>
      <c r="G3072">
        <v>-268.41890000000001</v>
      </c>
      <c r="H3072">
        <v>1.0053669999999999</v>
      </c>
      <c r="I3072">
        <v>214.64529999999999</v>
      </c>
      <c r="J3072">
        <v>-269.08139999999997</v>
      </c>
      <c r="K3072">
        <v>1.1104149999999999</v>
      </c>
      <c r="L3072">
        <v>214.68100000000001</v>
      </c>
      <c r="M3072">
        <v>0.99992639999999999</v>
      </c>
      <c r="N3072">
        <v>-9.3428869999999994E-3</v>
      </c>
      <c r="O3072">
        <v>7.7458759999999996E-3</v>
      </c>
      <c r="P3072">
        <v>0.93400419999999995</v>
      </c>
      <c r="Q3072">
        <v>0.34755960000000002</v>
      </c>
      <c r="R3072">
        <v>8.2696710000000007E-2</v>
      </c>
      <c r="S3072">
        <v>3.3589169999999999</v>
      </c>
      <c r="T3072">
        <v>-0.36820900000000001</v>
      </c>
      <c r="U3072">
        <v>-0.1165924</v>
      </c>
      <c r="V3072">
        <v>-7.5446739999999998E-2</v>
      </c>
      <c r="W3072">
        <v>0.35627890000000001</v>
      </c>
      <c r="X3072">
        <v>0.93132870000000001</v>
      </c>
      <c r="Y3072">
        <v>4.2118490000000001E-2</v>
      </c>
      <c r="Z3072">
        <v>-3.272615E-3</v>
      </c>
      <c r="AA3072">
        <v>0.99910719999999997</v>
      </c>
      <c r="AB3072">
        <v>29</v>
      </c>
      <c r="AC3072">
        <v>0.66249999999996501</v>
      </c>
      <c r="AD3072">
        <v>-0.105048</v>
      </c>
      <c r="AE3072">
        <v>-3.5699999999991398E-2</v>
      </c>
      <c r="AF3072">
        <v>3.9832224168072201E-2</v>
      </c>
      <c r="AG3072">
        <v>-0.105048</v>
      </c>
      <c r="AH3072">
        <v>0.64600851533323</v>
      </c>
      <c r="AI3072">
        <v>99.218868298955101</v>
      </c>
      <c r="AJ3072">
        <v>86.471667699011107</v>
      </c>
      <c r="AK3072">
        <v>0.65570472796009305</v>
      </c>
      <c r="AL3072">
        <v>69.1281545594384</v>
      </c>
      <c r="AM3072">
        <v>94.6314052562374</v>
      </c>
      <c r="AN3072">
        <v>1.0000000063027601</v>
      </c>
    </row>
    <row r="3073" spans="1:40" x14ac:dyDescent="0.25">
      <c r="A3073" t="str">
        <f>"20190304164703439"</f>
        <v>20190304164703439</v>
      </c>
      <c r="B3073" t="str">
        <f>"1551689223432115"</f>
        <v>1551689223432115</v>
      </c>
      <c r="C3073" t="s">
        <v>40</v>
      </c>
      <c r="D3073">
        <v>4.3920729999999999</v>
      </c>
      <c r="E3073">
        <v>0.55851269999999997</v>
      </c>
      <c r="F3073" t="s">
        <v>41</v>
      </c>
      <c r="G3073">
        <v>-268.16050000000001</v>
      </c>
      <c r="H3073">
        <v>1.0072719999999999</v>
      </c>
      <c r="I3073">
        <v>214.65020000000001</v>
      </c>
      <c r="J3073">
        <v>-268.79989999999998</v>
      </c>
      <c r="K3073">
        <v>1.1104099999999999</v>
      </c>
      <c r="L3073">
        <v>214.6832</v>
      </c>
      <c r="M3073">
        <v>0.99992669999999995</v>
      </c>
      <c r="N3073">
        <v>-9.3178549999999999E-3</v>
      </c>
      <c r="O3073">
        <v>7.750051E-3</v>
      </c>
      <c r="P3073">
        <v>0.93413740000000001</v>
      </c>
      <c r="Q3073">
        <v>0.34721170000000001</v>
      </c>
      <c r="R3073">
        <v>8.2654599999999995E-2</v>
      </c>
      <c r="S3073">
        <v>3.3620610000000002</v>
      </c>
      <c r="T3073">
        <v>-0.37664940000000002</v>
      </c>
      <c r="U3073">
        <v>-0.11198429999999999</v>
      </c>
      <c r="V3073">
        <v>-7.5400369999999994E-2</v>
      </c>
      <c r="W3073">
        <v>0.35590959999999899</v>
      </c>
      <c r="X3073">
        <v>0.93147369999999996</v>
      </c>
      <c r="Y3073">
        <v>4.0718369999999997E-2</v>
      </c>
      <c r="Z3073">
        <v>-3.2568129999999999E-3</v>
      </c>
      <c r="AA3073">
        <v>0.99916539999999998</v>
      </c>
      <c r="AB3073">
        <v>29</v>
      </c>
      <c r="AC3073">
        <v>0.639399999999966</v>
      </c>
      <c r="AD3073">
        <v>-0.10313799999999999</v>
      </c>
      <c r="AE3073">
        <v>-3.2999999999986998E-2</v>
      </c>
      <c r="AF3073">
        <v>3.6994597184715101E-2</v>
      </c>
      <c r="AG3073">
        <v>-0.10313799999999999</v>
      </c>
      <c r="AH3073">
        <v>0.62295925891145698</v>
      </c>
      <c r="AI3073">
        <v>99.384456760420704</v>
      </c>
      <c r="AJ3073">
        <v>86.601466620539298</v>
      </c>
      <c r="AK3073">
        <v>0.63252216208475298</v>
      </c>
      <c r="AL3073">
        <v>69.150799274041603</v>
      </c>
      <c r="AM3073">
        <v>94.627853752471495</v>
      </c>
      <c r="AN3073">
        <v>1.00000005647999</v>
      </c>
    </row>
    <row r="3074" spans="1:40" x14ac:dyDescent="0.25">
      <c r="A3074" t="str">
        <f>"20190304164703461"</f>
        <v>20190304164703461</v>
      </c>
      <c r="B3074" t="str">
        <f>"1551689223451636"</f>
        <v>1551689223451636</v>
      </c>
      <c r="C3074" t="s">
        <v>40</v>
      </c>
      <c r="D3074">
        <v>4.4015370000000003</v>
      </c>
      <c r="E3074">
        <v>0.559137199999999</v>
      </c>
      <c r="F3074" t="s">
        <v>41</v>
      </c>
      <c r="G3074">
        <v>-267.90199999999999</v>
      </c>
      <c r="H3074">
        <v>1.008832</v>
      </c>
      <c r="I3074">
        <v>214.65389999999999</v>
      </c>
      <c r="J3074">
        <v>-268.5188</v>
      </c>
      <c r="K3074">
        <v>1.1104039999999999</v>
      </c>
      <c r="L3074">
        <v>214.68539999999999</v>
      </c>
      <c r="M3074">
        <v>0.9999268</v>
      </c>
      <c r="N3074">
        <v>-9.2944929999999992E-3</v>
      </c>
      <c r="O3074">
        <v>7.7530230000000004E-3</v>
      </c>
      <c r="P3074">
        <v>0.93420669999999995</v>
      </c>
      <c r="Q3074">
        <v>0.3470664</v>
      </c>
      <c r="R3074">
        <v>8.2479849999999993E-2</v>
      </c>
      <c r="S3074">
        <v>3.3625790000000002</v>
      </c>
      <c r="T3074">
        <v>-0.38055899999999998</v>
      </c>
      <c r="U3074">
        <v>-0.1086884</v>
      </c>
      <c r="V3074">
        <v>-7.5222049999999999E-2</v>
      </c>
      <c r="W3074">
        <v>0.35574240000000001</v>
      </c>
      <c r="X3074">
        <v>0.93155189999999999</v>
      </c>
      <c r="Y3074">
        <v>3.9738320000000001E-2</v>
      </c>
      <c r="Z3074">
        <v>-3.228931E-3</v>
      </c>
      <c r="AA3074">
        <v>0.99920489999999995</v>
      </c>
      <c r="AB3074">
        <v>29</v>
      </c>
      <c r="AC3074">
        <v>0.61680000000001201</v>
      </c>
      <c r="AD3074">
        <v>-0.101572</v>
      </c>
      <c r="AE3074">
        <v>-3.1499999999993998E-2</v>
      </c>
      <c r="AF3074">
        <v>3.5325846245447698E-2</v>
      </c>
      <c r="AG3074">
        <v>-0.101572</v>
      </c>
      <c r="AH3074">
        <v>0.60030056574630997</v>
      </c>
      <c r="AI3074">
        <v>99.587319197156802</v>
      </c>
      <c r="AJ3074">
        <v>86.632203123619604</v>
      </c>
      <c r="AK3074">
        <v>0.60985699621492995</v>
      </c>
      <c r="AL3074">
        <v>69.161048286554504</v>
      </c>
      <c r="AM3074">
        <v>94.616570466760507</v>
      </c>
      <c r="AN3074">
        <v>0.99999997717878597</v>
      </c>
    </row>
    <row r="3075" spans="1:40" x14ac:dyDescent="0.25">
      <c r="A3075" t="str">
        <f>"20190304164703484"</f>
        <v>20190304164703484</v>
      </c>
      <c r="B3075" t="str">
        <f>"1551689223481893"</f>
        <v>1551689223481893</v>
      </c>
      <c r="C3075" t="s">
        <v>40</v>
      </c>
      <c r="D3075">
        <v>4.1499519999999999</v>
      </c>
      <c r="E3075">
        <v>0.55896239999999997</v>
      </c>
      <c r="F3075" t="s">
        <v>41</v>
      </c>
      <c r="G3075">
        <v>-267.64100000000002</v>
      </c>
      <c r="H3075">
        <v>1.014432</v>
      </c>
      <c r="I3075">
        <v>214.65530000000001</v>
      </c>
      <c r="J3075">
        <v>-268.22269999999997</v>
      </c>
      <c r="K3075">
        <v>1.1104019999999999</v>
      </c>
      <c r="L3075">
        <v>214.68770000000001</v>
      </c>
      <c r="M3075">
        <v>0.99992720000000002</v>
      </c>
      <c r="N3075">
        <v>-9.2682210000000001E-3</v>
      </c>
      <c r="O3075">
        <v>7.7548159999999899E-3</v>
      </c>
      <c r="P3075">
        <v>0.93418299999999999</v>
      </c>
      <c r="Q3075">
        <v>0.34720250000000002</v>
      </c>
      <c r="R3075">
        <v>8.2174319999999995E-2</v>
      </c>
      <c r="S3075">
        <v>3.3578800000000002</v>
      </c>
      <c r="T3075">
        <v>-0.36716880000000002</v>
      </c>
      <c r="U3075">
        <v>-0.1152802</v>
      </c>
      <c r="V3075">
        <v>-7.491478E-2</v>
      </c>
      <c r="W3075">
        <v>0.35585430000000001</v>
      </c>
      <c r="X3075">
        <v>0.93153390000000003</v>
      </c>
      <c r="Y3075">
        <v>4.1752089999999999E-2</v>
      </c>
      <c r="Z3075">
        <v>-3.242974E-3</v>
      </c>
      <c r="AA3075">
        <v>0.99912270000000003</v>
      </c>
      <c r="AB3075">
        <v>29</v>
      </c>
      <c r="AC3075">
        <v>0.58170000000001199</v>
      </c>
      <c r="AD3075">
        <v>-9.5970000000000097E-2</v>
      </c>
      <c r="AE3075">
        <v>-3.2399999999995502E-2</v>
      </c>
      <c r="AF3075">
        <v>3.5935100918068799E-2</v>
      </c>
      <c r="AG3075">
        <v>-9.5970000000000097E-2</v>
      </c>
      <c r="AH3075">
        <v>0.56607098279921597</v>
      </c>
      <c r="AI3075">
        <v>99.603293160671697</v>
      </c>
      <c r="AJ3075">
        <v>86.367645438650101</v>
      </c>
      <c r="AK3075">
        <v>0.57527204863895598</v>
      </c>
      <c r="AL3075">
        <v>69.154187527399799</v>
      </c>
      <c r="AM3075">
        <v>94.597881997456398</v>
      </c>
      <c r="AN3075">
        <v>0.99999995697007305</v>
      </c>
    </row>
    <row r="3076" spans="1:40" x14ac:dyDescent="0.25">
      <c r="A3076" t="str">
        <f>"20190304164703511"</f>
        <v>20190304164703511</v>
      </c>
      <c r="B3076" t="str">
        <f>"1551689223501411"</f>
        <v>1551689223501411</v>
      </c>
      <c r="C3076" t="s">
        <v>40</v>
      </c>
      <c r="D3076">
        <v>4.3099470000000002</v>
      </c>
      <c r="E3076">
        <v>0.53461930000000002</v>
      </c>
      <c r="F3076" t="s">
        <v>41</v>
      </c>
      <c r="G3076">
        <v>-267.3793</v>
      </c>
      <c r="H3076">
        <v>1.020594</v>
      </c>
      <c r="I3076">
        <v>214.65819999999999</v>
      </c>
      <c r="J3076">
        <v>-267.8897</v>
      </c>
      <c r="K3076">
        <v>1.110401</v>
      </c>
      <c r="L3076">
        <v>214.69030000000001</v>
      </c>
      <c r="M3076">
        <v>0.99992729999999996</v>
      </c>
      <c r="N3076">
        <v>-9.2392470000000008E-3</v>
      </c>
      <c r="O3076">
        <v>7.7557839999999999E-3</v>
      </c>
      <c r="P3076">
        <v>0.93409739999999997</v>
      </c>
      <c r="Q3076">
        <v>0.347462099999999</v>
      </c>
      <c r="R3076">
        <v>8.2052299999999995E-2</v>
      </c>
      <c r="S3076">
        <v>3.3543699999999999</v>
      </c>
      <c r="T3076">
        <v>-0.3573267</v>
      </c>
      <c r="U3076">
        <v>-0.1160583</v>
      </c>
      <c r="V3076">
        <v>-7.479268E-2</v>
      </c>
      <c r="W3076">
        <v>0.35608600000000001</v>
      </c>
      <c r="X3076">
        <v>0.93145520000000004</v>
      </c>
      <c r="Y3076">
        <v>4.2034040000000002E-2</v>
      </c>
      <c r="Z3076">
        <v>-3.1789000000000001E-3</v>
      </c>
      <c r="AA3076">
        <v>0.99911110000000003</v>
      </c>
      <c r="AB3076">
        <v>29</v>
      </c>
      <c r="AC3076">
        <v>0.51040000000000396</v>
      </c>
      <c r="AD3076">
        <v>-8.9806999999999901E-2</v>
      </c>
      <c r="AE3076">
        <v>-3.2100000000013999E-2</v>
      </c>
      <c r="AF3076">
        <v>3.4979074544352402E-2</v>
      </c>
      <c r="AG3076">
        <v>-8.9806999999999901E-2</v>
      </c>
      <c r="AH3076">
        <v>0.49487478298645299</v>
      </c>
      <c r="AI3076">
        <v>100.260712968089</v>
      </c>
      <c r="AJ3076">
        <v>85.956905119983702</v>
      </c>
      <c r="AK3076">
        <v>0.50417247419991995</v>
      </c>
      <c r="AL3076">
        <v>69.139982221619604</v>
      </c>
      <c r="AM3076">
        <v>94.590806376995403</v>
      </c>
      <c r="AN3076">
        <v>0.99999998699231096</v>
      </c>
    </row>
    <row r="3077" spans="1:40" x14ac:dyDescent="0.25">
      <c r="A3077" t="str">
        <f>"20190304164703529"</f>
        <v>20190304164703529</v>
      </c>
      <c r="B3077" t="str">
        <f>"1551689223521907"</f>
        <v>1551689223521907</v>
      </c>
      <c r="C3077" t="s">
        <v>40</v>
      </c>
      <c r="D3077">
        <v>4.2819599999999998</v>
      </c>
      <c r="E3077">
        <v>0.52842210000000001</v>
      </c>
      <c r="F3077" t="s">
        <v>49</v>
      </c>
      <c r="G3077">
        <v>-254.79400000000001</v>
      </c>
      <c r="H3077" s="1">
        <v>9.989526000000001E-7</v>
      </c>
      <c r="I3077">
        <v>214.96780000000001</v>
      </c>
      <c r="J3077">
        <v>-267.63580000000002</v>
      </c>
      <c r="K3077">
        <v>1.1104050000000001</v>
      </c>
      <c r="L3077">
        <v>214.69229999999999</v>
      </c>
      <c r="M3077">
        <v>0.99992749999999997</v>
      </c>
      <c r="N3077">
        <v>-9.2196889999999997E-3</v>
      </c>
      <c r="O3077">
        <v>7.7562309999999997E-3</v>
      </c>
      <c r="P3077">
        <v>0.93399540000000003</v>
      </c>
      <c r="Q3077">
        <v>0.34788580000000002</v>
      </c>
      <c r="R3077">
        <v>8.1416130000000003E-2</v>
      </c>
      <c r="S3077">
        <v>3.3098749999999999</v>
      </c>
      <c r="T3077">
        <v>-0.2806478</v>
      </c>
      <c r="U3077">
        <v>7.0144650000000003E-2</v>
      </c>
      <c r="V3077">
        <v>-7.4156399999999997E-2</v>
      </c>
      <c r="W3077">
        <v>0.35649009999999998</v>
      </c>
      <c r="X3077">
        <v>0.9313515</v>
      </c>
      <c r="Y3077">
        <v>-1.3401110000000001E-2</v>
      </c>
      <c r="Z3077" s="1">
        <v>4.397609E-5</v>
      </c>
      <c r="AA3077">
        <v>0.99991019999999997</v>
      </c>
      <c r="AB3077">
        <v>29</v>
      </c>
      <c r="AC3077">
        <v>12.841799999999999</v>
      </c>
      <c r="AD3077">
        <v>-1.1104040010473999</v>
      </c>
      <c r="AE3077">
        <v>0.27550000000002201</v>
      </c>
      <c r="AF3077">
        <v>-0.17457884573066201</v>
      </c>
      <c r="AG3077">
        <v>-1.1104040010473999</v>
      </c>
      <c r="AH3077">
        <v>12.7482793453699</v>
      </c>
      <c r="AI3077">
        <v>94.977564044058695</v>
      </c>
      <c r="AJ3077">
        <v>90.784576927920796</v>
      </c>
      <c r="AK3077">
        <v>12.7977381238445</v>
      </c>
      <c r="AL3077">
        <v>69.115202942777699</v>
      </c>
      <c r="AM3077">
        <v>94.552420764462497</v>
      </c>
      <c r="AN3077">
        <v>0.99999998980561</v>
      </c>
    </row>
    <row r="3078" spans="1:40" x14ac:dyDescent="0.25">
      <c r="A3078" t="str">
        <f>"20190304164703551"</f>
        <v>20190304164703551</v>
      </c>
      <c r="B3078" t="str">
        <f>"1551689223541427"</f>
        <v>1551689223541427</v>
      </c>
      <c r="C3078" t="s">
        <v>40</v>
      </c>
      <c r="D3078">
        <v>4.2429819999999996</v>
      </c>
      <c r="E3078">
        <v>0.52628369999999902</v>
      </c>
      <c r="F3078" t="s">
        <v>49</v>
      </c>
      <c r="G3078">
        <v>-255.7319</v>
      </c>
      <c r="H3078" s="1">
        <v>1.4915719999999999E-6</v>
      </c>
      <c r="I3078">
        <v>215.1164</v>
      </c>
      <c r="J3078">
        <v>-267.35899999999998</v>
      </c>
      <c r="K3078">
        <v>1.1104050000000001</v>
      </c>
      <c r="L3078">
        <v>214.6944</v>
      </c>
      <c r="M3078">
        <v>0.99992769999999997</v>
      </c>
      <c r="N3078">
        <v>-9.2008990000000002E-3</v>
      </c>
      <c r="O3078">
        <v>7.7564959999999999E-3</v>
      </c>
      <c r="P3078">
        <v>0.93376789999999998</v>
      </c>
      <c r="Q3078">
        <v>0.348439</v>
      </c>
      <c r="R3078">
        <v>8.1658320000000006E-2</v>
      </c>
      <c r="S3078">
        <v>3.3169559999999998</v>
      </c>
      <c r="T3078">
        <v>-0.30940790000000001</v>
      </c>
      <c r="U3078">
        <v>0.1181793</v>
      </c>
      <c r="V3078">
        <v>-7.4400399999999894E-2</v>
      </c>
      <c r="W3078">
        <v>0.35702430000000002</v>
      </c>
      <c r="X3078">
        <v>0.93112740000000005</v>
      </c>
      <c r="Y3078">
        <v>-2.7748370000000001E-2</v>
      </c>
      <c r="Z3078">
        <v>7.684883E-4</v>
      </c>
      <c r="AA3078">
        <v>0.99961469999999997</v>
      </c>
      <c r="AB3078">
        <v>29</v>
      </c>
      <c r="AC3078">
        <v>11.6271</v>
      </c>
      <c r="AD3078">
        <v>-1.110403508428</v>
      </c>
      <c r="AE3078">
        <v>0.42199999999999599</v>
      </c>
      <c r="AF3078">
        <v>-0.328803037921098</v>
      </c>
      <c r="AG3078">
        <v>-1.110403508428</v>
      </c>
      <c r="AH3078">
        <v>11.5250476244988</v>
      </c>
      <c r="AI3078">
        <v>95.501064074344399</v>
      </c>
      <c r="AJ3078">
        <v>91.634172653010793</v>
      </c>
      <c r="AK3078">
        <v>11.5830837921618</v>
      </c>
      <c r="AL3078">
        <v>69.082439897594199</v>
      </c>
      <c r="AM3078">
        <v>94.5684311141964</v>
      </c>
      <c r="AN3078">
        <v>1.0000000026707001</v>
      </c>
    </row>
    <row r="3079" spans="1:40" x14ac:dyDescent="0.25">
      <c r="A3079" t="str">
        <f>"20190304164703573"</f>
        <v>20190304164703573</v>
      </c>
      <c r="B3079" t="str">
        <f>"1551689223561923"</f>
        <v>1551689223561923</v>
      </c>
      <c r="C3079" t="s">
        <v>40</v>
      </c>
      <c r="D3079">
        <v>4.8796369999999998</v>
      </c>
      <c r="E3079">
        <v>0.52499370000000001</v>
      </c>
      <c r="F3079" t="s">
        <v>49</v>
      </c>
      <c r="G3079">
        <v>-255.798</v>
      </c>
      <c r="H3079" s="1">
        <v>1.5248800000000001E-6</v>
      </c>
      <c r="I3079">
        <v>215.1592</v>
      </c>
      <c r="J3079">
        <v>-267.06889999999999</v>
      </c>
      <c r="K3079">
        <v>1.110395</v>
      </c>
      <c r="L3079">
        <v>214.69669999999999</v>
      </c>
      <c r="M3079">
        <v>0.99992780000000003</v>
      </c>
      <c r="N3079">
        <v>-9.1836839999999993E-3</v>
      </c>
      <c r="O3079">
        <v>7.7568719999999997E-3</v>
      </c>
      <c r="P3079">
        <v>0.93386590000000003</v>
      </c>
      <c r="Q3079">
        <v>0.34807259999999901</v>
      </c>
      <c r="R3079">
        <v>8.209777E-2</v>
      </c>
      <c r="S3079">
        <v>3.3201290000000001</v>
      </c>
      <c r="T3079">
        <v>-0.31888879999999997</v>
      </c>
      <c r="U3079">
        <v>0.13346859999999999</v>
      </c>
      <c r="V3079">
        <v>-7.4838310000000005E-2</v>
      </c>
      <c r="W3079">
        <v>0.35664249999999997</v>
      </c>
      <c r="X3079">
        <v>0.93123869999999997</v>
      </c>
      <c r="Y3079">
        <v>-3.2281820000000003E-2</v>
      </c>
      <c r="Z3079">
        <v>1.0228590000000001E-3</v>
      </c>
      <c r="AA3079">
        <v>0.99947830000000004</v>
      </c>
      <c r="AB3079">
        <v>29</v>
      </c>
      <c r="AC3079">
        <v>11.2708999999999</v>
      </c>
      <c r="AD3079">
        <v>-1.11039347512</v>
      </c>
      <c r="AE3079">
        <v>0.46250000000000502</v>
      </c>
      <c r="AF3079">
        <v>-0.37145621107348697</v>
      </c>
      <c r="AG3079">
        <v>-1.11039347512</v>
      </c>
      <c r="AH3079">
        <v>11.1659549332912</v>
      </c>
      <c r="AI3079">
        <v>95.675962771692397</v>
      </c>
      <c r="AJ3079">
        <v>91.905347761877906</v>
      </c>
      <c r="AK3079">
        <v>11.227176980818699</v>
      </c>
      <c r="AL3079">
        <v>69.105858732927103</v>
      </c>
      <c r="AM3079">
        <v>94.594658557607602</v>
      </c>
      <c r="AN3079">
        <v>1.0000000809137899</v>
      </c>
    </row>
    <row r="3080" spans="1:40" x14ac:dyDescent="0.25">
      <c r="A3080" t="str">
        <f>"20190304164703597"</f>
        <v>20190304164703597</v>
      </c>
      <c r="B3080" t="str">
        <f>"1551689223592179"</f>
        <v>1551689223592179</v>
      </c>
      <c r="C3080" t="s">
        <v>40</v>
      </c>
      <c r="D3080">
        <v>4.1992379999999896</v>
      </c>
      <c r="E3080">
        <v>0.52453300000000003</v>
      </c>
      <c r="F3080" t="s">
        <v>49</v>
      </c>
      <c r="G3080">
        <v>-255.74189999999999</v>
      </c>
      <c r="H3080" s="1">
        <v>1.4941649999999999E-6</v>
      </c>
      <c r="I3080">
        <v>215.17949999999999</v>
      </c>
      <c r="J3080">
        <v>-266.77179999999998</v>
      </c>
      <c r="K3080">
        <v>1.1103889999999901</v>
      </c>
      <c r="L3080">
        <v>214.69900000000001</v>
      </c>
      <c r="M3080">
        <v>0.99992800000000004</v>
      </c>
      <c r="N3080">
        <v>-9.1687330000000001E-3</v>
      </c>
      <c r="O3080">
        <v>7.7571180000000003E-3</v>
      </c>
      <c r="P3080">
        <v>0.93405859999999996</v>
      </c>
      <c r="Q3080">
        <v>0.34755180000000002</v>
      </c>
      <c r="R3080">
        <v>8.2113340000000007E-2</v>
      </c>
      <c r="S3080">
        <v>3.3213499999999998</v>
      </c>
      <c r="T3080">
        <v>-0.32559589999999999</v>
      </c>
      <c r="U3080">
        <v>0.141586299999999</v>
      </c>
      <c r="V3080">
        <v>-7.4852360000000007E-2</v>
      </c>
      <c r="W3080">
        <v>0.35610960000000003</v>
      </c>
      <c r="X3080">
        <v>0.93144139999999997</v>
      </c>
      <c r="Y3080">
        <v>-3.4687679999999999E-2</v>
      </c>
      <c r="Z3080">
        <v>1.1676189999999999E-3</v>
      </c>
      <c r="AA3080">
        <v>0.99939750000000005</v>
      </c>
      <c r="AB3080">
        <v>29</v>
      </c>
      <c r="AC3080">
        <v>11.0298999999999</v>
      </c>
      <c r="AD3080">
        <v>-1.1103875058349999</v>
      </c>
      <c r="AE3080">
        <v>0.480499999999977</v>
      </c>
      <c r="AF3080">
        <v>-0.39096693755691703</v>
      </c>
      <c r="AG3080">
        <v>-1.1103875058349999</v>
      </c>
      <c r="AH3080">
        <v>10.922807129188699</v>
      </c>
      <c r="AI3080">
        <v>95.800927254963099</v>
      </c>
      <c r="AJ3080">
        <v>92.049948885516599</v>
      </c>
      <c r="AK3080">
        <v>10.986060765389601</v>
      </c>
      <c r="AL3080">
        <v>69.138535520853296</v>
      </c>
      <c r="AM3080">
        <v>94.594521662631806</v>
      </c>
      <c r="AN3080">
        <v>1.0000000023218401</v>
      </c>
    </row>
    <row r="3081" spans="1:40" x14ac:dyDescent="0.25">
      <c r="A3081" t="str">
        <f>"20190304164703619"</f>
        <v>20190304164703619</v>
      </c>
      <c r="B3081" t="str">
        <f>"1551689223611699"</f>
        <v>1551689223611699</v>
      </c>
      <c r="C3081" t="s">
        <v>40</v>
      </c>
      <c r="D3081">
        <v>4.1707669999999997</v>
      </c>
      <c r="E3081">
        <v>0.52451400000000004</v>
      </c>
      <c r="F3081" t="s">
        <v>41</v>
      </c>
      <c r="G3081">
        <v>-265.81900000000002</v>
      </c>
      <c r="H3081">
        <v>1.015212</v>
      </c>
      <c r="I3081">
        <v>214.74010000000001</v>
      </c>
      <c r="J3081">
        <v>-266.46929999999998</v>
      </c>
      <c r="K3081">
        <v>1.110379</v>
      </c>
      <c r="L3081">
        <v>214.70140000000001</v>
      </c>
      <c r="M3081">
        <v>0.99992809999999999</v>
      </c>
      <c r="N3081">
        <v>-9.1560800000000005E-3</v>
      </c>
      <c r="O3081">
        <v>7.7575319999999897E-3</v>
      </c>
      <c r="P3081">
        <v>0.9341159</v>
      </c>
      <c r="Q3081">
        <v>0.34722599999999998</v>
      </c>
      <c r="R3081">
        <v>8.2837750000000002E-2</v>
      </c>
      <c r="S3081">
        <v>3.3227229999999999</v>
      </c>
      <c r="T3081">
        <v>-0.33202290000000001</v>
      </c>
      <c r="U3081">
        <v>0.14355470000000001</v>
      </c>
      <c r="V3081">
        <v>-7.5575580000000003E-2</v>
      </c>
      <c r="W3081">
        <v>0.3557728</v>
      </c>
      <c r="X3081">
        <v>0.93151170000000005</v>
      </c>
      <c r="Y3081">
        <v>-3.5252169999999999E-2</v>
      </c>
      <c r="Z3081">
        <v>1.2159899999999999E-3</v>
      </c>
      <c r="AA3081">
        <v>0.99937770000000004</v>
      </c>
      <c r="AB3081">
        <v>29</v>
      </c>
      <c r="AC3081">
        <v>0.65029999999995802</v>
      </c>
      <c r="AD3081">
        <v>-9.5167000000000002E-2</v>
      </c>
      <c r="AE3081">
        <v>3.8700000000005702E-2</v>
      </c>
      <c r="AF3081">
        <v>-3.2950708267198897E-2</v>
      </c>
      <c r="AG3081">
        <v>-9.5167000000000002E-2</v>
      </c>
      <c r="AH3081">
        <v>0.63698687558085398</v>
      </c>
      <c r="AI3081">
        <v>98.486063013712297</v>
      </c>
      <c r="AJ3081">
        <v>92.961215238901005</v>
      </c>
      <c r="AK3081">
        <v>0.64489905157828298</v>
      </c>
      <c r="AL3081">
        <v>69.159185072974793</v>
      </c>
      <c r="AM3081">
        <v>94.638372356202495</v>
      </c>
      <c r="AN3081">
        <v>1.00000000037453</v>
      </c>
    </row>
    <row r="3082" spans="1:40" x14ac:dyDescent="0.25">
      <c r="A3082" t="str">
        <f>"20190304164703640"</f>
        <v>20190304164703640</v>
      </c>
      <c r="B3082" t="str">
        <f>"1551689223632195"</f>
        <v>1551689223632195</v>
      </c>
      <c r="C3082" t="s">
        <v>40</v>
      </c>
      <c r="D3082">
        <v>4.1941899999999999</v>
      </c>
      <c r="E3082">
        <v>0.52456289999999905</v>
      </c>
      <c r="F3082" t="s">
        <v>41</v>
      </c>
      <c r="G3082">
        <v>-265.55540000000002</v>
      </c>
      <c r="H3082">
        <v>1.01796</v>
      </c>
      <c r="I3082">
        <v>214.74109999999999</v>
      </c>
      <c r="J3082">
        <v>-266.19029999999998</v>
      </c>
      <c r="K3082">
        <v>1.110355</v>
      </c>
      <c r="L3082">
        <v>214.70349999999999</v>
      </c>
      <c r="M3082">
        <v>0.99992809999999999</v>
      </c>
      <c r="N3082">
        <v>-9.1463840000000005E-3</v>
      </c>
      <c r="O3082">
        <v>7.757875E-3</v>
      </c>
      <c r="P3082">
        <v>0.93426489999999995</v>
      </c>
      <c r="Q3082">
        <v>0.34654800000000002</v>
      </c>
      <c r="R3082">
        <v>8.3987060000000002E-2</v>
      </c>
      <c r="S3082">
        <v>3.3237000000000001</v>
      </c>
      <c r="T3082">
        <v>-0.33622109999999999</v>
      </c>
      <c r="U3082">
        <v>0.14489749999999901</v>
      </c>
      <c r="V3082">
        <v>-7.6723340000000001E-2</v>
      </c>
      <c r="W3082">
        <v>0.35508729999999999</v>
      </c>
      <c r="X3082">
        <v>0.93167940000000005</v>
      </c>
      <c r="Y3082">
        <v>-3.5636370000000001E-2</v>
      </c>
      <c r="Z3082">
        <v>1.2489269999999999E-3</v>
      </c>
      <c r="AA3082">
        <v>0.99936400000000003</v>
      </c>
      <c r="AB3082">
        <v>29</v>
      </c>
      <c r="AC3082">
        <v>0.63489999999995905</v>
      </c>
      <c r="AD3082">
        <v>-9.2395000000000005E-2</v>
      </c>
      <c r="AE3082">
        <v>3.7599999999997601E-2</v>
      </c>
      <c r="AF3082">
        <v>-3.19979023724987E-2</v>
      </c>
      <c r="AG3082">
        <v>-9.2395000000000005E-2</v>
      </c>
      <c r="AH3082">
        <v>0.62204493431931496</v>
      </c>
      <c r="AI3082">
        <v>98.437621771386802</v>
      </c>
      <c r="AJ3082">
        <v>92.944691250644198</v>
      </c>
      <c r="AK3082">
        <v>0.629682937750072</v>
      </c>
      <c r="AL3082">
        <v>69.201204739787201</v>
      </c>
      <c r="AM3082">
        <v>94.707656850428805</v>
      </c>
      <c r="AN3082">
        <v>0.99999998295320203</v>
      </c>
    </row>
    <row r="3083" spans="1:40" x14ac:dyDescent="0.25">
      <c r="A3083" t="str">
        <f>"20190304164703663"</f>
        <v>20190304164703663</v>
      </c>
      <c r="B3083" t="str">
        <f>"1551689223652222"</f>
        <v>1551689223652222</v>
      </c>
      <c r="C3083" t="s">
        <v>40</v>
      </c>
      <c r="D3083">
        <v>4.1551179999999999</v>
      </c>
      <c r="E3083">
        <v>0.52453190000000005</v>
      </c>
      <c r="F3083" t="s">
        <v>41</v>
      </c>
      <c r="G3083">
        <v>-265.29270000000002</v>
      </c>
      <c r="H3083">
        <v>1.018683</v>
      </c>
      <c r="I3083">
        <v>214.74270000000001</v>
      </c>
      <c r="J3083">
        <v>-265.89589999999998</v>
      </c>
      <c r="K3083">
        <v>1.1103419999999999</v>
      </c>
      <c r="L3083">
        <v>214.70590000000001</v>
      </c>
      <c r="M3083">
        <v>0.99992829999999999</v>
      </c>
      <c r="N3083">
        <v>-9.1380630000000001E-3</v>
      </c>
      <c r="O3083">
        <v>7.757913E-3</v>
      </c>
      <c r="P3083">
        <v>0.93492629999999999</v>
      </c>
      <c r="Q3083">
        <v>0.3444449</v>
      </c>
      <c r="R3083">
        <v>8.5268650000000001E-2</v>
      </c>
      <c r="S3083">
        <v>3.323944</v>
      </c>
      <c r="T3083">
        <v>-0.33961019999999997</v>
      </c>
      <c r="U3083">
        <v>0.145874</v>
      </c>
      <c r="V3083">
        <v>-7.7999860000000004E-2</v>
      </c>
      <c r="W3083">
        <v>0.35298279999999999</v>
      </c>
      <c r="X3083">
        <v>0.93237289999999995</v>
      </c>
      <c r="Y3083">
        <v>-3.5921509999999997E-2</v>
      </c>
      <c r="Z3083">
        <v>1.2746389999999999E-3</v>
      </c>
      <c r="AA3083">
        <v>0.99935379999999996</v>
      </c>
      <c r="AB3083">
        <v>29</v>
      </c>
      <c r="AC3083">
        <v>0.60319999999995799</v>
      </c>
      <c r="AD3083">
        <v>-9.1658999999999893E-2</v>
      </c>
      <c r="AE3083">
        <v>3.67999999999995E-2</v>
      </c>
      <c r="AF3083">
        <v>-3.13968535200441E-2</v>
      </c>
      <c r="AG3083">
        <v>-9.1658999999999893E-2</v>
      </c>
      <c r="AH3083">
        <v>0.58989702169000902</v>
      </c>
      <c r="AI3083">
        <v>98.819782356971103</v>
      </c>
      <c r="AJ3083">
        <v>93.046652802952295</v>
      </c>
      <c r="AK3083">
        <v>0.59780066150072297</v>
      </c>
      <c r="AL3083">
        <v>69.330135247871794</v>
      </c>
      <c r="AM3083">
        <v>94.782078802960598</v>
      </c>
      <c r="AN3083">
        <v>1.0000000299551299</v>
      </c>
    </row>
    <row r="3084" spans="1:40" x14ac:dyDescent="0.25">
      <c r="A3084" t="str">
        <f>"20190304164703688"</f>
        <v>20190304164703688</v>
      </c>
      <c r="B3084" t="str">
        <f>"1551689223681502"</f>
        <v>1551689223681502</v>
      </c>
      <c r="C3084" t="s">
        <v>40</v>
      </c>
      <c r="D3084">
        <v>4.1870000000000003</v>
      </c>
      <c r="E3084">
        <v>0.52451179999999997</v>
      </c>
      <c r="F3084" t="s">
        <v>41</v>
      </c>
      <c r="G3084">
        <v>-265.02940000000001</v>
      </c>
      <c r="H3084">
        <v>1.0195780000000001</v>
      </c>
      <c r="I3084">
        <v>214.74459999999999</v>
      </c>
      <c r="J3084">
        <v>-265.5788</v>
      </c>
      <c r="K3084">
        <v>1.1103479999999999</v>
      </c>
      <c r="L3084">
        <v>214.70830000000001</v>
      </c>
      <c r="M3084">
        <v>0.99992820000000004</v>
      </c>
      <c r="N3084">
        <v>-9.1310420000000007E-3</v>
      </c>
      <c r="O3084">
        <v>7.758661E-3</v>
      </c>
      <c r="P3084">
        <v>0.93485450000000003</v>
      </c>
      <c r="Q3084">
        <v>0.34441660000000002</v>
      </c>
      <c r="R3084">
        <v>8.6164939999999995E-2</v>
      </c>
      <c r="S3084">
        <v>3.3235169999999998</v>
      </c>
      <c r="T3084">
        <v>-0.3482132</v>
      </c>
      <c r="U3084">
        <v>0.14880370000000001</v>
      </c>
      <c r="V3084">
        <v>-7.8895899999999894E-2</v>
      </c>
      <c r="W3084">
        <v>0.35294750000000003</v>
      </c>
      <c r="X3084">
        <v>0.9323108</v>
      </c>
      <c r="Y3084">
        <v>-3.67923E-2</v>
      </c>
      <c r="Z3084">
        <v>1.3501629999999999E-3</v>
      </c>
      <c r="AA3084">
        <v>0.99932200000000004</v>
      </c>
      <c r="AB3084">
        <v>29</v>
      </c>
      <c r="AC3084">
        <v>0.54939999999999101</v>
      </c>
      <c r="AD3084">
        <v>-9.0769999999999795E-2</v>
      </c>
      <c r="AE3084">
        <v>3.6299999999982901E-2</v>
      </c>
      <c r="AF3084">
        <v>-3.11884843451102E-2</v>
      </c>
      <c r="AG3084">
        <v>-9.0769999999999795E-2</v>
      </c>
      <c r="AH3084">
        <v>0.53512164203185197</v>
      </c>
      <c r="AI3084">
        <v>99.611155471972396</v>
      </c>
      <c r="AJ3084">
        <v>93.335595326783803</v>
      </c>
      <c r="AK3084">
        <v>0.54366081910195696</v>
      </c>
      <c r="AL3084">
        <v>69.332295502644499</v>
      </c>
      <c r="AM3084">
        <v>94.837075444528594</v>
      </c>
      <c r="AN3084">
        <v>0.99999996429484905</v>
      </c>
    </row>
    <row r="3085" spans="1:40" x14ac:dyDescent="0.25">
      <c r="A3085" t="str">
        <f>"20190304164703712"</f>
        <v>20190304164703712</v>
      </c>
      <c r="B3085" t="str">
        <f>"1551689223701997"</f>
        <v>1551689223701997</v>
      </c>
      <c r="C3085" t="s">
        <v>40</v>
      </c>
      <c r="D3085">
        <v>4.1500069999999996</v>
      </c>
      <c r="E3085">
        <v>0.52437559999999905</v>
      </c>
      <c r="F3085" t="s">
        <v>41</v>
      </c>
      <c r="G3085">
        <v>-264.76249999999999</v>
      </c>
      <c r="H3085">
        <v>1.024627</v>
      </c>
      <c r="I3085">
        <v>214.74539999999999</v>
      </c>
      <c r="J3085">
        <v>-265.2552</v>
      </c>
      <c r="K3085">
        <v>1.1103590000000001</v>
      </c>
      <c r="L3085">
        <v>214.71090000000001</v>
      </c>
      <c r="M3085">
        <v>0.99992840000000005</v>
      </c>
      <c r="N3085">
        <v>-9.1256689999999994E-3</v>
      </c>
      <c r="O3085">
        <v>7.7589829999999997E-3</v>
      </c>
      <c r="P3085">
        <v>0.93450920000000004</v>
      </c>
      <c r="Q3085">
        <v>0.34510940000000001</v>
      </c>
      <c r="R3085">
        <v>8.7133929999999998E-2</v>
      </c>
      <c r="S3085">
        <v>3.323639</v>
      </c>
      <c r="T3085">
        <v>-0.34912609999999999</v>
      </c>
      <c r="U3085">
        <v>0.15188599999999999</v>
      </c>
      <c r="V3085">
        <v>-7.9867389999999996E-2</v>
      </c>
      <c r="W3085">
        <v>0.3536318</v>
      </c>
      <c r="X3085">
        <v>0.93196869999999998</v>
      </c>
      <c r="Y3085">
        <v>-3.7708850000000002E-2</v>
      </c>
      <c r="Z3085">
        <v>1.4050079999999999E-3</v>
      </c>
      <c r="AA3085">
        <v>0.99928779999999995</v>
      </c>
      <c r="AB3085">
        <v>29</v>
      </c>
      <c r="AC3085">
        <v>0.49270000000001302</v>
      </c>
      <c r="AD3085">
        <v>-8.57320000000001E-2</v>
      </c>
      <c r="AE3085">
        <v>3.4499999999979901E-2</v>
      </c>
      <c r="AF3085">
        <v>-2.97787241428892E-2</v>
      </c>
      <c r="AG3085">
        <v>-8.57320000000001E-2</v>
      </c>
      <c r="AH3085">
        <v>0.47853469782726199</v>
      </c>
      <c r="AI3085">
        <v>100.137882448356</v>
      </c>
      <c r="AJ3085">
        <v>93.560865995384503</v>
      </c>
      <c r="AK3085">
        <v>0.48706488814141302</v>
      </c>
      <c r="AL3085">
        <v>69.290385155467305</v>
      </c>
      <c r="AM3085">
        <v>94.898137858534596</v>
      </c>
      <c r="AN3085">
        <v>0.99999995386816998</v>
      </c>
    </row>
    <row r="3086" spans="1:40" x14ac:dyDescent="0.25">
      <c r="A3086" t="str">
        <f>"20190304164703737"</f>
        <v>20190304164703737</v>
      </c>
      <c r="B3086" t="str">
        <f>"1551689223732255"</f>
        <v>1551689223732255</v>
      </c>
      <c r="C3086" t="s">
        <v>40</v>
      </c>
      <c r="D3086">
        <v>4.1707260000000002</v>
      </c>
      <c r="E3086">
        <v>0.52429029999999999</v>
      </c>
      <c r="F3086" t="s">
        <v>49</v>
      </c>
      <c r="G3086">
        <v>-254.6079</v>
      </c>
      <c r="H3086" s="1">
        <v>8.8922219999999995E-7</v>
      </c>
      <c r="I3086">
        <v>215.21279999999999</v>
      </c>
      <c r="J3086">
        <v>-264.94049999999999</v>
      </c>
      <c r="K3086">
        <v>1.110374</v>
      </c>
      <c r="L3086">
        <v>214.7133</v>
      </c>
      <c r="M3086">
        <v>0.99992840000000005</v>
      </c>
      <c r="N3086">
        <v>-9.1220869999999992E-3</v>
      </c>
      <c r="O3086">
        <v>7.7525869999999896E-3</v>
      </c>
      <c r="P3086">
        <v>0.93384149999999999</v>
      </c>
      <c r="Q3086">
        <v>0.34646709999999997</v>
      </c>
      <c r="R3086">
        <v>8.8885350000000002E-2</v>
      </c>
      <c r="S3086">
        <v>3.323639</v>
      </c>
      <c r="T3086">
        <v>-0.34660590000000002</v>
      </c>
      <c r="U3086">
        <v>0.15669249999999901</v>
      </c>
      <c r="V3086">
        <v>-8.1626870000000004E-2</v>
      </c>
      <c r="W3086">
        <v>0.35498069999999998</v>
      </c>
      <c r="X3086">
        <v>0.93130329999999995</v>
      </c>
      <c r="Y3086">
        <v>-3.9151270000000002E-2</v>
      </c>
      <c r="Z3086">
        <v>1.4787089999999999E-3</v>
      </c>
      <c r="AA3086">
        <v>0.99923220000000001</v>
      </c>
      <c r="AB3086">
        <v>29</v>
      </c>
      <c r="AC3086">
        <v>10.3325999999999</v>
      </c>
      <c r="AD3086">
        <v>-1.1103731107778001</v>
      </c>
      <c r="AE3086">
        <v>0.49949999999998301</v>
      </c>
      <c r="AF3086">
        <v>-0.41460050495893103</v>
      </c>
      <c r="AG3086">
        <v>-1.1103731107778001</v>
      </c>
      <c r="AH3086">
        <v>10.2184315010941</v>
      </c>
      <c r="AI3086">
        <v>96.196582817235793</v>
      </c>
      <c r="AJ3086">
        <v>92.323432577244603</v>
      </c>
      <c r="AK3086">
        <v>10.2869414485746</v>
      </c>
      <c r="AL3086">
        <v>69.207739335700893</v>
      </c>
      <c r="AM3086">
        <v>95.009059734698994</v>
      </c>
      <c r="AN3086">
        <v>1.00000003993468</v>
      </c>
    </row>
    <row r="3087" spans="1:40" x14ac:dyDescent="0.25">
      <c r="A3087" t="str">
        <f>"20190304164703753"</f>
        <v>20190304164703753</v>
      </c>
      <c r="B3087" t="str">
        <f>"1551689223742015"</f>
        <v>1551689223742015</v>
      </c>
      <c r="C3087" t="s">
        <v>40</v>
      </c>
      <c r="D3087">
        <v>4.1306510000000003</v>
      </c>
      <c r="E3087">
        <v>0.52426589999999995</v>
      </c>
      <c r="F3087" t="s">
        <v>41</v>
      </c>
      <c r="G3087">
        <v>-263.97809999999998</v>
      </c>
      <c r="H3087">
        <v>1.0117240000000001</v>
      </c>
      <c r="I3087">
        <v>214.7604</v>
      </c>
      <c r="J3087">
        <v>-264.69709999999998</v>
      </c>
      <c r="K3087">
        <v>1.1103670000000001</v>
      </c>
      <c r="L3087">
        <v>214.71520000000001</v>
      </c>
      <c r="M3087">
        <v>0.9999287</v>
      </c>
      <c r="N3087">
        <v>-9.1202130000000003E-3</v>
      </c>
      <c r="O3087">
        <v>7.7335519999999899E-3</v>
      </c>
      <c r="P3087">
        <v>0.93268050000000002</v>
      </c>
      <c r="Q3087">
        <v>0.3489487</v>
      </c>
      <c r="R3087">
        <v>9.1335239999999998E-2</v>
      </c>
      <c r="S3087">
        <v>3.3234859999999999</v>
      </c>
      <c r="T3087">
        <v>-0.34076250000000002</v>
      </c>
      <c r="U3087">
        <v>0.16291810000000001</v>
      </c>
      <c r="V3087">
        <v>-8.4096519999999994E-2</v>
      </c>
      <c r="W3087">
        <v>0.35745179999999999</v>
      </c>
      <c r="X3087">
        <v>0.93013760000000001</v>
      </c>
      <c r="Y3087">
        <v>-4.1035130000000003E-2</v>
      </c>
      <c r="Z3087">
        <v>1.5647040000000001E-3</v>
      </c>
      <c r="AA3087">
        <v>0.9991565</v>
      </c>
      <c r="AB3087">
        <v>30</v>
      </c>
      <c r="AC3087">
        <v>0.71899999999999398</v>
      </c>
      <c r="AD3087">
        <v>-9.8642999999999995E-2</v>
      </c>
      <c r="AE3087">
        <v>4.5199999999994099E-2</v>
      </c>
      <c r="AF3087">
        <v>-3.8908525582363303E-2</v>
      </c>
      <c r="AG3087">
        <v>-9.8642999999999995E-2</v>
      </c>
      <c r="AH3087">
        <v>0.70609008203332102</v>
      </c>
      <c r="AI3087">
        <v>97.941034531956703</v>
      </c>
      <c r="AJ3087">
        <v>93.154047995863806</v>
      </c>
      <c r="AK3087">
        <v>0.71400806631144997</v>
      </c>
      <c r="AL3087">
        <v>69.056215092233302</v>
      </c>
      <c r="AM3087">
        <v>95.166236054916595</v>
      </c>
      <c r="AN3087">
        <v>0.99999998446655403</v>
      </c>
    </row>
    <row r="3088" spans="1:40" x14ac:dyDescent="0.25">
      <c r="A3088" t="str">
        <f>"20190304164703775"</f>
        <v>20190304164703775</v>
      </c>
      <c r="B3088" t="str">
        <f>"1551689223772270"</f>
        <v>1551689223772270</v>
      </c>
      <c r="C3088" t="s">
        <v>40</v>
      </c>
      <c r="D3088">
        <v>4.1840619999999999</v>
      </c>
      <c r="E3088">
        <v>0.52427290000000004</v>
      </c>
      <c r="F3088" t="s">
        <v>49</v>
      </c>
      <c r="G3088">
        <v>-253.5624</v>
      </c>
      <c r="H3088" s="1">
        <v>3.295687E-7</v>
      </c>
      <c r="I3088">
        <v>215.28880000000001</v>
      </c>
      <c r="J3088">
        <v>-264.42529999999999</v>
      </c>
      <c r="K3088">
        <v>1.110363</v>
      </c>
      <c r="L3088">
        <v>214.71729999999999</v>
      </c>
      <c r="M3088">
        <v>0.99992899999999996</v>
      </c>
      <c r="N3088">
        <v>-9.1189970000000002E-3</v>
      </c>
      <c r="O3088">
        <v>7.6968139999999997E-3</v>
      </c>
      <c r="P3088">
        <v>0.93194569999999999</v>
      </c>
      <c r="Q3088">
        <v>0.34999839999999999</v>
      </c>
      <c r="R3088">
        <v>9.475596E-2</v>
      </c>
      <c r="S3088">
        <v>3.3237610000000002</v>
      </c>
      <c r="T3088">
        <v>-0.33145059999999998</v>
      </c>
      <c r="U3088">
        <v>0.17121889999999901</v>
      </c>
      <c r="V3088">
        <v>-8.7545319999999996E-2</v>
      </c>
      <c r="W3088">
        <v>0.35849720000000002</v>
      </c>
      <c r="X3088">
        <v>0.92941680000000004</v>
      </c>
      <c r="Y3088">
        <v>-4.3553069999999999E-2</v>
      </c>
      <c r="Z3088">
        <v>1.668941E-3</v>
      </c>
      <c r="AA3088">
        <v>0.99904970000000004</v>
      </c>
      <c r="AB3088">
        <v>30</v>
      </c>
      <c r="AC3088">
        <v>10.8628999999999</v>
      </c>
      <c r="AD3088">
        <v>-1.1103626704313001</v>
      </c>
      <c r="AE3088">
        <v>0.571500000000014</v>
      </c>
      <c r="AF3088">
        <v>-0.48283905399522498</v>
      </c>
      <c r="AG3088">
        <v>-1.1103626704313001</v>
      </c>
      <c r="AH3088">
        <v>10.7549185980054</v>
      </c>
      <c r="AI3088">
        <v>95.888575416866203</v>
      </c>
      <c r="AJ3088">
        <v>92.570551865442297</v>
      </c>
      <c r="AK3088">
        <v>10.8228606598105</v>
      </c>
      <c r="AL3088">
        <v>68.992067568426194</v>
      </c>
      <c r="AM3088">
        <v>95.381031539985997</v>
      </c>
      <c r="AN3088">
        <v>1.0000000067919901</v>
      </c>
    </row>
    <row r="3089" spans="1:40" x14ac:dyDescent="0.25">
      <c r="A3089" t="str">
        <f>"20190304164703799"</f>
        <v>20190304164703799</v>
      </c>
      <c r="B3089" t="str">
        <f>"1551689223791790"</f>
        <v>1551689223791790</v>
      </c>
      <c r="C3089" t="s">
        <v>40</v>
      </c>
      <c r="D3089">
        <v>4.1723039999999996</v>
      </c>
      <c r="E3089">
        <v>0.52430059999999901</v>
      </c>
      <c r="F3089" t="s">
        <v>41</v>
      </c>
      <c r="G3089">
        <v>-263.44470000000001</v>
      </c>
      <c r="H3089">
        <v>1.0134700000000001</v>
      </c>
      <c r="I3089">
        <v>214.7713</v>
      </c>
      <c r="J3089">
        <v>-264.09519999999998</v>
      </c>
      <c r="K3089">
        <v>1.1103369999999999</v>
      </c>
      <c r="L3089">
        <v>214.71979999999999</v>
      </c>
      <c r="M3089">
        <v>0.99992939999999997</v>
      </c>
      <c r="N3089">
        <v>-9.1186310000000003E-3</v>
      </c>
      <c r="O3089">
        <v>7.610866E-3</v>
      </c>
      <c r="P3089">
        <v>0.93152950000000001</v>
      </c>
      <c r="Q3089">
        <v>0.35026790000000002</v>
      </c>
      <c r="R3089">
        <v>9.7801719999999995E-2</v>
      </c>
      <c r="S3089">
        <v>3.3238219999999998</v>
      </c>
      <c r="T3089">
        <v>-0.32845800000000003</v>
      </c>
      <c r="U3089">
        <v>0.18296809999999999</v>
      </c>
      <c r="V3089">
        <v>-9.0651140000000005E-2</v>
      </c>
      <c r="W3089">
        <v>0.3587687</v>
      </c>
      <c r="X3089">
        <v>0.92901420000000001</v>
      </c>
      <c r="Y3089">
        <v>-4.7143299999999999E-2</v>
      </c>
      <c r="Z3089">
        <v>1.8571449999999999E-3</v>
      </c>
      <c r="AA3089">
        <v>0.99888639999999995</v>
      </c>
      <c r="AB3089">
        <v>30</v>
      </c>
      <c r="AC3089">
        <v>0.650499999999965</v>
      </c>
      <c r="AD3089">
        <v>-9.6866999999999995E-2</v>
      </c>
      <c r="AE3089">
        <v>5.1500000000004299E-2</v>
      </c>
      <c r="AF3089">
        <v>-4.5543805707792602E-2</v>
      </c>
      <c r="AG3089">
        <v>-9.6866999999999995E-2</v>
      </c>
      <c r="AH3089">
        <v>0.63683939430315895</v>
      </c>
      <c r="AI3089">
        <v>98.6270301599845</v>
      </c>
      <c r="AJ3089">
        <v>94.090564767662201</v>
      </c>
      <c r="AK3089">
        <v>0.64577230357438198</v>
      </c>
      <c r="AL3089">
        <v>68.975403004490204</v>
      </c>
      <c r="AM3089">
        <v>95.573151348202103</v>
      </c>
      <c r="AN3089">
        <v>0.99999999654231397</v>
      </c>
    </row>
    <row r="3090" spans="1:40" x14ac:dyDescent="0.25">
      <c r="A3090" t="str">
        <f>"20190304164703820"</f>
        <v>20190304164703820</v>
      </c>
      <c r="B3090" t="str">
        <f>"1551689223811310"</f>
        <v>1551689223811310</v>
      </c>
      <c r="C3090" t="s">
        <v>40</v>
      </c>
      <c r="D3090">
        <v>4.1756320000000002</v>
      </c>
      <c r="E3090">
        <v>0.52427579999999996</v>
      </c>
      <c r="F3090" t="s">
        <v>49</v>
      </c>
      <c r="G3090">
        <v>-252.8219</v>
      </c>
      <c r="H3090" s="1">
        <v>-6.8176169999999996E-8</v>
      </c>
      <c r="I3090">
        <v>215.37219999999999</v>
      </c>
      <c r="J3090">
        <v>-263.82069999999999</v>
      </c>
      <c r="K3090">
        <v>1.1103179999999999</v>
      </c>
      <c r="L3090">
        <v>214.7218</v>
      </c>
      <c r="M3090">
        <v>0.99993030000000005</v>
      </c>
      <c r="N3090">
        <v>-9.1190720000000006E-3</v>
      </c>
      <c r="O3090">
        <v>7.5089519999999898E-3</v>
      </c>
      <c r="P3090">
        <v>0.9310446</v>
      </c>
      <c r="Q3090">
        <v>0.35063509999999998</v>
      </c>
      <c r="R3090">
        <v>0.1010506</v>
      </c>
      <c r="S3090">
        <v>3.3233950000000001</v>
      </c>
      <c r="T3090">
        <v>-0.32732810000000001</v>
      </c>
      <c r="U3090">
        <v>0.19232179999999999</v>
      </c>
      <c r="V3090">
        <v>-9.3976359999999995E-2</v>
      </c>
      <c r="W3090">
        <v>0.35913859999999997</v>
      </c>
      <c r="X3090">
        <v>0.92854080000000006</v>
      </c>
      <c r="Y3090">
        <v>-5.0040080000000001E-2</v>
      </c>
      <c r="Z3090">
        <v>2.0163870000000001E-3</v>
      </c>
      <c r="AA3090">
        <v>0.9987452</v>
      </c>
      <c r="AB3090">
        <v>30</v>
      </c>
      <c r="AC3090">
        <v>10.9987999999999</v>
      </c>
      <c r="AD3090">
        <v>-1.11031806817617</v>
      </c>
      <c r="AE3090">
        <v>0.65039999999998999</v>
      </c>
      <c r="AF3090">
        <v>-0.56208073389256996</v>
      </c>
      <c r="AG3090">
        <v>-1.11031806817617</v>
      </c>
      <c r="AH3090">
        <v>10.892755868555801</v>
      </c>
      <c r="AI3090">
        <v>95.812479161850206</v>
      </c>
      <c r="AJ3090">
        <v>92.953918717699693</v>
      </c>
      <c r="AK3090">
        <v>10.9636157984439</v>
      </c>
      <c r="AL3090">
        <v>68.952697256991101</v>
      </c>
      <c r="AM3090">
        <v>95.779149744497204</v>
      </c>
      <c r="AN3090">
        <v>1.00000005375672</v>
      </c>
    </row>
    <row r="3091" spans="1:40" x14ac:dyDescent="0.25">
      <c r="A3091" t="str">
        <f>"20190304164703842"</f>
        <v>20190304164703842</v>
      </c>
      <c r="B3091" t="str">
        <f>"1551689223831806"</f>
        <v>1551689223831806</v>
      </c>
      <c r="C3091" t="s">
        <v>40</v>
      </c>
      <c r="D3091">
        <v>4.240723</v>
      </c>
      <c r="E3091">
        <v>0.52438209999999996</v>
      </c>
      <c r="F3091" t="s">
        <v>49</v>
      </c>
      <c r="G3091">
        <v>-252.51820000000001</v>
      </c>
      <c r="H3091" s="1">
        <v>-2.3168830000000001E-7</v>
      </c>
      <c r="I3091">
        <v>215.41569999999999</v>
      </c>
      <c r="J3091">
        <v>-263.53309999999999</v>
      </c>
      <c r="K3091">
        <v>1.110301</v>
      </c>
      <c r="L3091">
        <v>214.72380000000001</v>
      </c>
      <c r="M3091">
        <v>0.99993140000000003</v>
      </c>
      <c r="N3091">
        <v>-9.1201719999999993E-3</v>
      </c>
      <c r="O3091">
        <v>7.3702430000000003E-3</v>
      </c>
      <c r="P3091">
        <v>0.93067149999999998</v>
      </c>
      <c r="Q3091">
        <v>0.35118709999999997</v>
      </c>
      <c r="R3091">
        <v>0.1025592</v>
      </c>
      <c r="S3091">
        <v>3.3229679999999999</v>
      </c>
      <c r="T3091">
        <v>-0.32643539999999999</v>
      </c>
      <c r="U3091">
        <v>0.2039948</v>
      </c>
      <c r="V3091">
        <v>-9.5593380000000006E-2</v>
      </c>
      <c r="W3091">
        <v>0.35969479999999998</v>
      </c>
      <c r="X3091">
        <v>0.92816030000000005</v>
      </c>
      <c r="Y3091">
        <v>-5.3663299999999997E-2</v>
      </c>
      <c r="Z3091">
        <v>2.2180870000000001E-3</v>
      </c>
      <c r="AA3091">
        <v>0.99855660000000002</v>
      </c>
      <c r="AB3091">
        <v>30</v>
      </c>
      <c r="AC3091">
        <v>11.0148999999999</v>
      </c>
      <c r="AD3091">
        <v>-1.1103012316883001</v>
      </c>
      <c r="AE3091">
        <v>0.69189999999997498</v>
      </c>
      <c r="AF3091">
        <v>-0.60457661722613398</v>
      </c>
      <c r="AG3091">
        <v>-1.1103012316883001</v>
      </c>
      <c r="AH3091">
        <v>10.9092908909188</v>
      </c>
      <c r="AI3091">
        <v>95.802468209705097</v>
      </c>
      <c r="AJ3091">
        <v>93.172001936575299</v>
      </c>
      <c r="AK3091">
        <v>10.982299825349401</v>
      </c>
      <c r="AL3091">
        <v>68.918546009964899</v>
      </c>
      <c r="AM3091">
        <v>95.8802920128024</v>
      </c>
      <c r="AN3091">
        <v>0.99999999297147701</v>
      </c>
    </row>
    <row r="3092" spans="1:40" x14ac:dyDescent="0.25">
      <c r="A3092" t="str">
        <f>"20190304164703864"</f>
        <v>20190304164703864</v>
      </c>
      <c r="B3092" t="str">
        <f>"1551689223851833"</f>
        <v>1551689223851833</v>
      </c>
      <c r="C3092" t="s">
        <v>40</v>
      </c>
      <c r="D3092">
        <v>4.1525429999999997</v>
      </c>
      <c r="E3092">
        <v>0.54872509999999997</v>
      </c>
      <c r="F3092" t="s">
        <v>49</v>
      </c>
      <c r="G3092">
        <v>-252.19370000000001</v>
      </c>
      <c r="H3092" s="1">
        <v>-4.0540719999999998E-7</v>
      </c>
      <c r="I3092">
        <v>215.44</v>
      </c>
      <c r="J3092">
        <v>-263.23610000000002</v>
      </c>
      <c r="K3092">
        <v>1.1102810000000001</v>
      </c>
      <c r="L3092">
        <v>214.7259</v>
      </c>
      <c r="M3092">
        <v>0.9999325</v>
      </c>
      <c r="N3092">
        <v>-9.1218859999999992E-3</v>
      </c>
      <c r="O3092">
        <v>7.1968070000000004E-3</v>
      </c>
      <c r="P3092">
        <v>0.93012570000000006</v>
      </c>
      <c r="Q3092">
        <v>0.35218860000000002</v>
      </c>
      <c r="R3092">
        <v>0.10406509999999999</v>
      </c>
      <c r="S3092">
        <v>3.3231510000000002</v>
      </c>
      <c r="T3092">
        <v>-0.32538929999999999</v>
      </c>
      <c r="U3092">
        <v>0.2098846</v>
      </c>
      <c r="V3092">
        <v>-9.7242999999999996E-2</v>
      </c>
      <c r="W3092">
        <v>0.36069909999999999</v>
      </c>
      <c r="X3092">
        <v>0.92759899999999995</v>
      </c>
      <c r="Y3092">
        <v>-5.558689E-2</v>
      </c>
      <c r="Z3092">
        <v>2.3298759999999998E-3</v>
      </c>
      <c r="AA3092">
        <v>0.99845110000000004</v>
      </c>
      <c r="AB3092">
        <v>30</v>
      </c>
      <c r="AC3092">
        <v>11.042400000000001</v>
      </c>
      <c r="AD3092">
        <v>-1.1102814054072001</v>
      </c>
      <c r="AE3092">
        <v>0.71410000000000196</v>
      </c>
      <c r="AF3092">
        <v>-0.62828286555315405</v>
      </c>
      <c r="AG3092">
        <v>-1.1102814054072001</v>
      </c>
      <c r="AH3092">
        <v>10.9371424902741</v>
      </c>
      <c r="AI3092">
        <v>95.787034712286498</v>
      </c>
      <c r="AJ3092">
        <v>93.287736084368504</v>
      </c>
      <c r="AK3092">
        <v>11.011291931962401</v>
      </c>
      <c r="AL3092">
        <v>68.856863058331697</v>
      </c>
      <c r="AM3092">
        <v>95.984629588431204</v>
      </c>
      <c r="AN3092">
        <v>0.99999997329540402</v>
      </c>
    </row>
    <row r="3093" spans="1:40" x14ac:dyDescent="0.25">
      <c r="A3093" t="str">
        <f>"20190304164703887"</f>
        <v>20190304164703887</v>
      </c>
      <c r="B3093" t="str">
        <f>"1551689223882089"</f>
        <v>1551689223882089</v>
      </c>
      <c r="C3093" t="s">
        <v>40</v>
      </c>
      <c r="D3093">
        <v>4.1208210000000003</v>
      </c>
      <c r="E3093">
        <v>0.55389949999999999</v>
      </c>
      <c r="F3093" t="s">
        <v>41</v>
      </c>
      <c r="G3093">
        <v>-262.37419999999997</v>
      </c>
      <c r="H3093">
        <v>1.0309489999999999</v>
      </c>
      <c r="I3093">
        <v>214.7313</v>
      </c>
      <c r="J3093">
        <v>-262.92250000000001</v>
      </c>
      <c r="K3093">
        <v>1.1102590000000001</v>
      </c>
      <c r="L3093">
        <v>214.72790000000001</v>
      </c>
      <c r="M3093">
        <v>0.99993399999999999</v>
      </c>
      <c r="N3093">
        <v>-9.1242389999999993E-3</v>
      </c>
      <c r="O3093">
        <v>6.9878980000000002E-3</v>
      </c>
      <c r="P3093">
        <v>0.92923250000000002</v>
      </c>
      <c r="Q3093">
        <v>0.35434199999999999</v>
      </c>
      <c r="R3093">
        <v>0.1047313</v>
      </c>
      <c r="S3093">
        <v>3.3394170000000001</v>
      </c>
      <c r="T3093">
        <v>-0.30744149999999998</v>
      </c>
      <c r="U3093">
        <v>2.131653E-2</v>
      </c>
      <c r="V3093">
        <v>-9.8091849999999994E-2</v>
      </c>
      <c r="W3093">
        <v>0.36285119999999998</v>
      </c>
      <c r="X3093">
        <v>0.92666979999999999</v>
      </c>
      <c r="Y3093">
        <v>5.7835150000000001E-4</v>
      </c>
      <c r="Z3093">
        <v>-6.0753700000000001E-4</v>
      </c>
      <c r="AA3093">
        <v>0.99999959999999999</v>
      </c>
      <c r="AB3093">
        <v>30</v>
      </c>
      <c r="AC3093">
        <v>0.54830000000003998</v>
      </c>
      <c r="AD3093">
        <v>-7.93100000000002E-2</v>
      </c>
      <c r="AE3093">
        <v>3.3999999999991802E-3</v>
      </c>
      <c r="AF3093">
        <v>4.2285976320376401E-4</v>
      </c>
      <c r="AG3093">
        <v>-7.93100000000002E-2</v>
      </c>
      <c r="AH3093">
        <v>0.53707372774400897</v>
      </c>
      <c r="AI3093">
        <v>98.400190778918699</v>
      </c>
      <c r="AJ3093">
        <v>89.954888735941495</v>
      </c>
      <c r="AK3093">
        <v>0.54289818929816402</v>
      </c>
      <c r="AL3093">
        <v>68.724597565570406</v>
      </c>
      <c r="AM3093">
        <v>96.042494529529606</v>
      </c>
      <c r="AN3093">
        <v>0.99999996130494995</v>
      </c>
    </row>
    <row r="3094" spans="1:40" x14ac:dyDescent="0.25">
      <c r="A3094" t="str">
        <f>"20190304164703911"</f>
        <v>20190304164703911</v>
      </c>
      <c r="B3094" t="str">
        <f>"1551689223901609"</f>
        <v>1551689223901609</v>
      </c>
      <c r="C3094" t="s">
        <v>40</v>
      </c>
      <c r="D3094">
        <v>4.1333880000000001</v>
      </c>
      <c r="E3094">
        <v>0.5552937</v>
      </c>
      <c r="F3094" t="s">
        <v>41</v>
      </c>
      <c r="G3094">
        <v>-262.1003</v>
      </c>
      <c r="H3094">
        <v>1.04097</v>
      </c>
      <c r="I3094">
        <v>214.72309999999999</v>
      </c>
      <c r="J3094">
        <v>-262.60289999999998</v>
      </c>
      <c r="K3094">
        <v>1.1102430000000001</v>
      </c>
      <c r="L3094">
        <v>214.72989999999999</v>
      </c>
      <c r="M3094">
        <v>0.99993549999999998</v>
      </c>
      <c r="N3094">
        <v>-9.1272539999999996E-3</v>
      </c>
      <c r="O3094">
        <v>6.7568890000000003E-3</v>
      </c>
      <c r="P3094">
        <v>0.92829930000000005</v>
      </c>
      <c r="Q3094">
        <v>0.35677520000000001</v>
      </c>
      <c r="R3094">
        <v>0.1047468</v>
      </c>
      <c r="S3094">
        <v>3.3379210000000001</v>
      </c>
      <c r="T3094">
        <v>-0.28152840000000001</v>
      </c>
      <c r="U3094">
        <v>-1.850891E-2</v>
      </c>
      <c r="V3094">
        <v>-9.8316299999999995E-2</v>
      </c>
      <c r="W3094">
        <v>0.36528139999999998</v>
      </c>
      <c r="X3094">
        <v>0.92569080000000004</v>
      </c>
      <c r="Y3094">
        <v>1.223466E-2</v>
      </c>
      <c r="Z3094">
        <v>-1.07828E-3</v>
      </c>
      <c r="AA3094">
        <v>0.99992460000000005</v>
      </c>
      <c r="AB3094">
        <v>30</v>
      </c>
      <c r="AC3094">
        <v>0.50259999999997196</v>
      </c>
      <c r="AD3094">
        <v>-6.9272999999999904E-2</v>
      </c>
      <c r="AE3094">
        <v>-6.7999999999983603E-3</v>
      </c>
      <c r="AF3094">
        <v>1.0005951295690501E-2</v>
      </c>
      <c r="AG3094">
        <v>-6.9272999999999904E-2</v>
      </c>
      <c r="AH3094">
        <v>0.49317548010587797</v>
      </c>
      <c r="AI3094">
        <v>97.994013403734201</v>
      </c>
      <c r="AJ3094">
        <v>88.837695387857906</v>
      </c>
      <c r="AK3094">
        <v>0.49811737750051899</v>
      </c>
      <c r="AL3094">
        <v>68.575099035547595</v>
      </c>
      <c r="AM3094">
        <v>96.062575406369007</v>
      </c>
      <c r="AN3094">
        <v>1.0000000266181399</v>
      </c>
    </row>
    <row r="3095" spans="1:40" x14ac:dyDescent="0.25">
      <c r="A3095" t="str">
        <f>"20190304164703937"</f>
        <v>20190304164703937</v>
      </c>
      <c r="B3095" t="str">
        <f>"1551689223931866"</f>
        <v>1551689223931866</v>
      </c>
      <c r="C3095" t="s">
        <v>40</v>
      </c>
      <c r="D3095">
        <v>4.1484360000000002</v>
      </c>
      <c r="E3095">
        <v>0.55650559999999905</v>
      </c>
      <c r="F3095" t="s">
        <v>41</v>
      </c>
      <c r="G3095">
        <v>-261.82499999999999</v>
      </c>
      <c r="H3095">
        <v>1.047069</v>
      </c>
      <c r="I3095">
        <v>214.72309999999999</v>
      </c>
      <c r="J3095">
        <v>-262.25850000000003</v>
      </c>
      <c r="K3095">
        <v>1.1102350000000001</v>
      </c>
      <c r="L3095">
        <v>214.732</v>
      </c>
      <c r="M3095">
        <v>0.99993719999999997</v>
      </c>
      <c r="N3095">
        <v>-9.1308689999999998E-3</v>
      </c>
      <c r="O3095">
        <v>6.4973820000000003E-3</v>
      </c>
      <c r="P3095">
        <v>0.92833180000000004</v>
      </c>
      <c r="Q3095">
        <v>0.35670499999999999</v>
      </c>
      <c r="R3095">
        <v>0.10469829999999999</v>
      </c>
      <c r="S3095">
        <v>3.3392029999999999</v>
      </c>
      <c r="T3095">
        <v>-0.27118639999999999</v>
      </c>
      <c r="U3095">
        <v>-2.912903E-2</v>
      </c>
      <c r="V3095">
        <v>-9.8501270000000002E-2</v>
      </c>
      <c r="W3095">
        <v>0.36521700000000001</v>
      </c>
      <c r="X3095">
        <v>0.92569650000000003</v>
      </c>
      <c r="Y3095">
        <v>1.5147890000000001E-2</v>
      </c>
      <c r="Z3095">
        <v>-1.1509199999999999E-3</v>
      </c>
      <c r="AA3095">
        <v>0.99988460000000001</v>
      </c>
      <c r="AB3095">
        <v>30</v>
      </c>
      <c r="AC3095">
        <v>0.43350000000003702</v>
      </c>
      <c r="AD3095">
        <v>-6.3166E-2</v>
      </c>
      <c r="AE3095">
        <v>-8.9000000000112305E-3</v>
      </c>
      <c r="AF3095">
        <v>1.1473052749433299E-2</v>
      </c>
      <c r="AG3095">
        <v>-6.3166E-2</v>
      </c>
      <c r="AH3095">
        <v>0.42442546390022801</v>
      </c>
      <c r="AI3095">
        <v>98.461983081720106</v>
      </c>
      <c r="AJ3095">
        <v>88.451559789742802</v>
      </c>
      <c r="AK3095">
        <v>0.42925347861411101</v>
      </c>
      <c r="AL3095">
        <v>68.579061771807204</v>
      </c>
      <c r="AM3095">
        <v>96.073859091332295</v>
      </c>
      <c r="AN3095">
        <v>0.99999998369643095</v>
      </c>
    </row>
    <row r="3096" spans="1:40" x14ac:dyDescent="0.25">
      <c r="A3096" t="str">
        <f>"20190304164703953"</f>
        <v>20190304164703953</v>
      </c>
      <c r="B3096" t="str">
        <f>"1551689223941625"</f>
        <v>1551689223941625</v>
      </c>
      <c r="C3096" t="s">
        <v>40</v>
      </c>
      <c r="D3096">
        <v>4.1334569999999999</v>
      </c>
      <c r="E3096">
        <v>0.55667540000000004</v>
      </c>
      <c r="F3096" t="s">
        <v>41</v>
      </c>
      <c r="G3096">
        <v>-261.30099999999999</v>
      </c>
      <c r="H3096">
        <v>1.031955</v>
      </c>
      <c r="I3096">
        <v>214.72069999999999</v>
      </c>
      <c r="J3096">
        <v>-262.0403</v>
      </c>
      <c r="K3096">
        <v>1.110225</v>
      </c>
      <c r="L3096">
        <v>214.73320000000001</v>
      </c>
      <c r="M3096">
        <v>0.9999382</v>
      </c>
      <c r="N3096">
        <v>-9.1333669999999999E-3</v>
      </c>
      <c r="O3096">
        <v>6.3308039999999998E-3</v>
      </c>
      <c r="P3096">
        <v>0.92864119999999994</v>
      </c>
      <c r="Q3096">
        <v>0.35603030000000002</v>
      </c>
      <c r="R3096">
        <v>0.1042491</v>
      </c>
      <c r="S3096">
        <v>3.3409420000000001</v>
      </c>
      <c r="T3096">
        <v>-0.27314729999999998</v>
      </c>
      <c r="U3096">
        <v>-3.9276119999999998E-2</v>
      </c>
      <c r="V3096">
        <v>-9.8202289999999998E-2</v>
      </c>
      <c r="W3096">
        <v>0.36454750000000002</v>
      </c>
      <c r="X3096">
        <v>0.92599209999999998</v>
      </c>
      <c r="Y3096">
        <v>1.8002130000000002E-2</v>
      </c>
      <c r="Z3096">
        <v>-1.276E-3</v>
      </c>
      <c r="AA3096">
        <v>0.99983719999999998</v>
      </c>
      <c r="AB3096">
        <v>30</v>
      </c>
      <c r="AC3096">
        <v>0.73930000000001395</v>
      </c>
      <c r="AD3096">
        <v>-7.8270000000000006E-2</v>
      </c>
      <c r="AE3096">
        <v>-1.2500000000016999E-2</v>
      </c>
      <c r="AF3096">
        <v>1.69899303558546E-2</v>
      </c>
      <c r="AG3096">
        <v>-7.8270000000000006E-2</v>
      </c>
      <c r="AH3096">
        <v>0.73101477443325003</v>
      </c>
      <c r="AI3096">
        <v>96.109758281063904</v>
      </c>
      <c r="AJ3096">
        <v>88.668595878130603</v>
      </c>
      <c r="AK3096">
        <v>0.73538931939020802</v>
      </c>
      <c r="AL3096">
        <v>68.6202615743656</v>
      </c>
      <c r="AM3096">
        <v>96.053641620812996</v>
      </c>
      <c r="AN3096">
        <v>0.99999996938995095</v>
      </c>
    </row>
    <row r="3097" spans="1:40" x14ac:dyDescent="0.25">
      <c r="A3097" t="str">
        <f>"20190304164703976"</f>
        <v>20190304164703976</v>
      </c>
      <c r="B3097" t="str">
        <f>"1551689223971882"</f>
        <v>1551689223971882</v>
      </c>
      <c r="C3097" t="s">
        <v>40</v>
      </c>
      <c r="D3097">
        <v>4.1681790000000003</v>
      </c>
      <c r="E3097">
        <v>0.55711519999999903</v>
      </c>
      <c r="F3097" t="s">
        <v>41</v>
      </c>
      <c r="G3097">
        <v>-261.28559999999999</v>
      </c>
      <c r="H3097">
        <v>1.0478940000000001</v>
      </c>
      <c r="I3097">
        <v>214.72329999999999</v>
      </c>
      <c r="J3097">
        <v>-261.73450000000003</v>
      </c>
      <c r="K3097">
        <v>1.1102209999999999</v>
      </c>
      <c r="L3097">
        <v>214.73490000000001</v>
      </c>
      <c r="M3097">
        <v>0.99993969999999999</v>
      </c>
      <c r="N3097">
        <v>-9.1371419999999991E-3</v>
      </c>
      <c r="O3097">
        <v>6.098834E-3</v>
      </c>
      <c r="P3097">
        <v>0.92904169999999997</v>
      </c>
      <c r="Q3097">
        <v>0.35528219999999999</v>
      </c>
      <c r="R3097">
        <v>0.1032298</v>
      </c>
      <c r="S3097">
        <v>3.3412480000000002</v>
      </c>
      <c r="T3097">
        <v>-0.27602919999999997</v>
      </c>
      <c r="U3097">
        <v>-4.3655399999999997E-2</v>
      </c>
      <c r="V3097">
        <v>-9.7393590000000002E-2</v>
      </c>
      <c r="W3097">
        <v>0.36380679999999999</v>
      </c>
      <c r="X3097">
        <v>0.92636879999999999</v>
      </c>
      <c r="Y3097">
        <v>1.9074190000000001E-2</v>
      </c>
      <c r="Z3097">
        <v>-1.321149E-3</v>
      </c>
      <c r="AA3097">
        <v>0.99981719999999996</v>
      </c>
      <c r="AB3097">
        <v>30</v>
      </c>
      <c r="AC3097">
        <v>0.44890000000003699</v>
      </c>
      <c r="AD3097">
        <v>-6.2326999999999799E-2</v>
      </c>
      <c r="AE3097">
        <v>-1.1600000000015501E-2</v>
      </c>
      <c r="AF3097">
        <v>1.4066674069841099E-2</v>
      </c>
      <c r="AG3097">
        <v>-6.2326999999999799E-2</v>
      </c>
      <c r="AH3097">
        <v>0.44033790251598998</v>
      </c>
      <c r="AI3097">
        <v>98.052278361861397</v>
      </c>
      <c r="AJ3097">
        <v>88.170298174437704</v>
      </c>
      <c r="AK3097">
        <v>0.44494942930693598</v>
      </c>
      <c r="AL3097">
        <v>68.665831016031404</v>
      </c>
      <c r="AM3097">
        <v>96.001731569635496</v>
      </c>
      <c r="AN3097">
        <v>1.00000002635638</v>
      </c>
    </row>
    <row r="3098" spans="1:40" x14ac:dyDescent="0.25">
      <c r="A3098" t="str">
        <f>"20190304164703999"</f>
        <v>20190304164703999</v>
      </c>
      <c r="B3098" t="str">
        <f>"1551689223991401"</f>
        <v>1551689223991401</v>
      </c>
      <c r="C3098" t="s">
        <v>40</v>
      </c>
      <c r="D3098">
        <v>4.1745739999999998</v>
      </c>
      <c r="E3098">
        <v>0.55740959999999995</v>
      </c>
      <c r="F3098" t="s">
        <v>41</v>
      </c>
      <c r="G3098">
        <v>-260.76369999999997</v>
      </c>
      <c r="H3098">
        <v>1.0282720000000001</v>
      </c>
      <c r="I3098">
        <v>214.72</v>
      </c>
      <c r="J3098">
        <v>-261.41469999999998</v>
      </c>
      <c r="K3098">
        <v>1.1102069999999999</v>
      </c>
      <c r="L3098">
        <v>214.73660000000001</v>
      </c>
      <c r="M3098">
        <v>0.99994110000000003</v>
      </c>
      <c r="N3098">
        <v>-9.1413599999999994E-3</v>
      </c>
      <c r="O3098">
        <v>5.8593040000000001E-3</v>
      </c>
      <c r="P3098">
        <v>0.93001679999999998</v>
      </c>
      <c r="Q3098">
        <v>0.35297909999999999</v>
      </c>
      <c r="R3098">
        <v>0.10234500000000001</v>
      </c>
      <c r="S3098">
        <v>3.342743</v>
      </c>
      <c r="T3098">
        <v>-0.28224870000000002</v>
      </c>
      <c r="U3098">
        <v>-5.0903320000000002E-2</v>
      </c>
      <c r="V3098">
        <v>-9.6725370000000005E-2</v>
      </c>
      <c r="W3098">
        <v>0.36151640000000002</v>
      </c>
      <c r="X3098">
        <v>0.92733489999999996</v>
      </c>
      <c r="Y3098">
        <v>2.0985500000000001E-2</v>
      </c>
      <c r="Z3098">
        <v>-1.4208179999999999E-3</v>
      </c>
      <c r="AA3098">
        <v>0.99977870000000002</v>
      </c>
      <c r="AB3098">
        <v>30</v>
      </c>
      <c r="AC3098">
        <v>0.65100000000001002</v>
      </c>
      <c r="AD3098">
        <v>-8.1934999999999994E-2</v>
      </c>
      <c r="AE3098">
        <v>-1.6600000000010998E-2</v>
      </c>
      <c r="AF3098">
        <v>2.0096149023093701E-2</v>
      </c>
      <c r="AG3098">
        <v>-8.1934999999999994E-2</v>
      </c>
      <c r="AH3098">
        <v>0.64074819097792801</v>
      </c>
      <c r="AI3098">
        <v>97.283547347090803</v>
      </c>
      <c r="AJ3098">
        <v>88.2035888349087</v>
      </c>
      <c r="AK3098">
        <v>0.64627814729576505</v>
      </c>
      <c r="AL3098">
        <v>68.806646549223601</v>
      </c>
      <c r="AM3098">
        <v>95.954685642625904</v>
      </c>
      <c r="AN3098">
        <v>0.99999996071430197</v>
      </c>
    </row>
    <row r="3099" spans="1:40" x14ac:dyDescent="0.25">
      <c r="A3099" t="str">
        <f>"20190304164704020"</f>
        <v>20190304164704020</v>
      </c>
      <c r="B3099" t="str">
        <f>"1551689224011897"</f>
        <v>1551689224011897</v>
      </c>
      <c r="C3099" t="s">
        <v>40</v>
      </c>
      <c r="D3099">
        <v>4.183503</v>
      </c>
      <c r="E3099">
        <v>0.55754409999999999</v>
      </c>
      <c r="F3099" t="s">
        <v>41</v>
      </c>
      <c r="G3099">
        <v>-260.49310000000003</v>
      </c>
      <c r="H3099">
        <v>1.029183</v>
      </c>
      <c r="I3099">
        <v>214.72130000000001</v>
      </c>
      <c r="J3099">
        <v>-261.13029999999998</v>
      </c>
      <c r="K3099">
        <v>1.1101859999999999</v>
      </c>
      <c r="L3099">
        <v>214.7381</v>
      </c>
      <c r="M3099">
        <v>0.99994229999999995</v>
      </c>
      <c r="N3099">
        <v>-9.1439669999999994E-3</v>
      </c>
      <c r="O3099">
        <v>5.6499519999999998E-3</v>
      </c>
      <c r="P3099">
        <v>0.93188820000000006</v>
      </c>
      <c r="Q3099">
        <v>0.34832170000000001</v>
      </c>
      <c r="R3099">
        <v>0.1012767</v>
      </c>
      <c r="S3099">
        <v>3.3434140000000001</v>
      </c>
      <c r="T3099">
        <v>-0.29401250000000001</v>
      </c>
      <c r="U3099">
        <v>-5.5099490000000001E-2</v>
      </c>
      <c r="V3099">
        <v>-9.5842369999999996E-2</v>
      </c>
      <c r="W3099">
        <v>0.35687809999999998</v>
      </c>
      <c r="X3099">
        <v>0.92922130000000003</v>
      </c>
      <c r="Y3099">
        <v>2.201562E-2</v>
      </c>
      <c r="Z3099">
        <v>-1.5112379999999901E-3</v>
      </c>
      <c r="AA3099">
        <v>0.99975650000000005</v>
      </c>
      <c r="AB3099">
        <v>30</v>
      </c>
      <c r="AC3099">
        <v>0.63719999999995003</v>
      </c>
      <c r="AD3099">
        <v>-8.1003000000000103E-2</v>
      </c>
      <c r="AE3099">
        <v>-1.6799999999989199E-2</v>
      </c>
      <c r="AF3099">
        <v>2.0075824596930799E-2</v>
      </c>
      <c r="AG3099">
        <v>-8.1003000000000103E-2</v>
      </c>
      <c r="AH3099">
        <v>0.62696989297515804</v>
      </c>
      <c r="AI3099">
        <v>97.357967167269294</v>
      </c>
      <c r="AJ3099">
        <v>88.165993054142405</v>
      </c>
      <c r="AK3099">
        <v>0.63249962169121399</v>
      </c>
      <c r="AL3099">
        <v>69.091406816164906</v>
      </c>
      <c r="AM3099">
        <v>95.888816295472296</v>
      </c>
      <c r="AN3099">
        <v>0.99999998126025802</v>
      </c>
    </row>
    <row r="3100" spans="1:40" x14ac:dyDescent="0.25">
      <c r="A3100" t="str">
        <f>"20190304164704043"</f>
        <v>20190304164704043</v>
      </c>
      <c r="B3100" t="str">
        <f>"1551689224031417"</f>
        <v>1551689224031417</v>
      </c>
      <c r="C3100" t="s">
        <v>40</v>
      </c>
      <c r="D3100">
        <v>4.2174300000000002</v>
      </c>
      <c r="E3100">
        <v>0.55775030000000003</v>
      </c>
      <c r="F3100" t="s">
        <v>41</v>
      </c>
      <c r="G3100">
        <v>-260.22449999999998</v>
      </c>
      <c r="H3100">
        <v>1.0250429999999999</v>
      </c>
      <c r="I3100">
        <v>214.7225</v>
      </c>
      <c r="J3100">
        <v>-260.83249999999998</v>
      </c>
      <c r="K3100">
        <v>1.1101760000000001</v>
      </c>
      <c r="L3100">
        <v>214.7396</v>
      </c>
      <c r="M3100">
        <v>0.99994349999999999</v>
      </c>
      <c r="N3100">
        <v>-9.1421160000000005E-3</v>
      </c>
      <c r="O3100">
        <v>5.4400589999999997E-3</v>
      </c>
      <c r="P3100">
        <v>0.93248589999999998</v>
      </c>
      <c r="Q3100">
        <v>0.34708460000000002</v>
      </c>
      <c r="R3100">
        <v>0.10001160000000001</v>
      </c>
      <c r="S3100">
        <v>3.3429869999999999</v>
      </c>
      <c r="T3100">
        <v>-0.31422939999999999</v>
      </c>
      <c r="U3100">
        <v>-5.758667E-2</v>
      </c>
      <c r="V3100">
        <v>-9.4772090000000003E-2</v>
      </c>
      <c r="W3100">
        <v>0.35564390000000001</v>
      </c>
      <c r="X3100">
        <v>0.92980410000000002</v>
      </c>
      <c r="Y3100">
        <v>2.2534240000000001E-2</v>
      </c>
      <c r="Z3100">
        <v>-1.6204850000000001E-3</v>
      </c>
      <c r="AA3100">
        <v>0.99974479999999999</v>
      </c>
      <c r="AB3100">
        <v>30</v>
      </c>
      <c r="AC3100">
        <v>0.60800000000000398</v>
      </c>
      <c r="AD3100">
        <v>-8.5133000000000097E-2</v>
      </c>
      <c r="AE3100">
        <v>-1.7099999999999199E-2</v>
      </c>
      <c r="AF3100">
        <v>2.0015330603852001E-2</v>
      </c>
      <c r="AG3100">
        <v>-8.5133000000000097E-2</v>
      </c>
      <c r="AH3100">
        <v>0.59621777474563997</v>
      </c>
      <c r="AI3100">
        <v>98.121729973005003</v>
      </c>
      <c r="AJ3100">
        <v>88.077273934673002</v>
      </c>
      <c r="AK3100">
        <v>0.60259760709019095</v>
      </c>
      <c r="AL3100">
        <v>69.167087289641501</v>
      </c>
      <c r="AM3100">
        <v>95.819884759453899</v>
      </c>
      <c r="AN3100">
        <v>0.99999999851349397</v>
      </c>
    </row>
    <row r="3101" spans="1:40" x14ac:dyDescent="0.25">
      <c r="A3101" t="str">
        <f>"20190304164704065"</f>
        <v>20190304164704065</v>
      </c>
      <c r="B3101" t="str">
        <f>"1551689224061673"</f>
        <v>1551689224061673</v>
      </c>
      <c r="C3101" t="s">
        <v>40</v>
      </c>
      <c r="D3101">
        <v>4.251957</v>
      </c>
      <c r="E3101">
        <v>0.55769880000000005</v>
      </c>
      <c r="F3101" t="s">
        <v>41</v>
      </c>
      <c r="G3101">
        <v>-259.95299999999997</v>
      </c>
      <c r="H3101">
        <v>1.0259830000000001</v>
      </c>
      <c r="I3101">
        <v>214.72309999999999</v>
      </c>
      <c r="J3101">
        <v>-260.52699999999999</v>
      </c>
      <c r="K3101">
        <v>1.110179</v>
      </c>
      <c r="L3101">
        <v>214.74100000000001</v>
      </c>
      <c r="M3101">
        <v>0.99994459999999996</v>
      </c>
      <c r="N3101">
        <v>-9.1374260000000006E-3</v>
      </c>
      <c r="O3101">
        <v>5.2400789999999999E-3</v>
      </c>
      <c r="P3101">
        <v>0.93248699999999995</v>
      </c>
      <c r="Q3101">
        <v>0.34756490000000001</v>
      </c>
      <c r="R3101">
        <v>9.8318790000000003E-2</v>
      </c>
      <c r="S3101">
        <v>3.343048</v>
      </c>
      <c r="T3101">
        <v>-0.32008789999999998</v>
      </c>
      <c r="U3101">
        <v>-6.2332150000000003E-2</v>
      </c>
      <c r="V3101">
        <v>-9.3272259999999996E-2</v>
      </c>
      <c r="W3101">
        <v>0.35611720000000002</v>
      </c>
      <c r="X3101">
        <v>0.92977460000000001</v>
      </c>
      <c r="Y3101">
        <v>2.3742639999999999E-2</v>
      </c>
      <c r="Z3101">
        <v>-1.695474E-3</v>
      </c>
      <c r="AA3101">
        <v>0.99971659999999996</v>
      </c>
      <c r="AB3101">
        <v>30</v>
      </c>
      <c r="AC3101">
        <v>0.57400000000001195</v>
      </c>
      <c r="AD3101">
        <v>-8.4195999999999896E-2</v>
      </c>
      <c r="AE3101">
        <v>-1.78999999999973E-2</v>
      </c>
      <c r="AF3101">
        <v>2.04677314837939E-2</v>
      </c>
      <c r="AG3101">
        <v>-8.4195999999999896E-2</v>
      </c>
      <c r="AH3101">
        <v>0.56182196685500496</v>
      </c>
      <c r="AI3101">
        <v>98.517488759820694</v>
      </c>
      <c r="AJ3101">
        <v>87.913580642129304</v>
      </c>
      <c r="AK3101">
        <v>0.56846443766423804</v>
      </c>
      <c r="AL3101">
        <v>69.138069269938498</v>
      </c>
      <c r="AM3101">
        <v>95.728579254423195</v>
      </c>
      <c r="AN3101">
        <v>0.99999999071325296</v>
      </c>
    </row>
    <row r="3102" spans="1:40" x14ac:dyDescent="0.25">
      <c r="A3102" t="str">
        <f>"20190304164704089"</f>
        <v>20190304164704089</v>
      </c>
      <c r="B3102" t="str">
        <f>"1551689224082169"</f>
        <v>1551689224082169</v>
      </c>
      <c r="C3102" t="s">
        <v>40</v>
      </c>
      <c r="D3102">
        <v>4.1801450000000004</v>
      </c>
      <c r="E3102">
        <v>0.55763109999999905</v>
      </c>
      <c r="F3102" t="s">
        <v>41</v>
      </c>
      <c r="G3102">
        <v>-259.67970000000003</v>
      </c>
      <c r="H3102">
        <v>1.0297000000000001</v>
      </c>
      <c r="I3102">
        <v>214.72380000000001</v>
      </c>
      <c r="J3102">
        <v>-260.21319999999997</v>
      </c>
      <c r="K3102">
        <v>1.110188</v>
      </c>
      <c r="L3102">
        <v>214.7424</v>
      </c>
      <c r="M3102">
        <v>0.99994559999999999</v>
      </c>
      <c r="N3102">
        <v>-9.1324470000000001E-3</v>
      </c>
      <c r="O3102">
        <v>5.0557939999999997E-3</v>
      </c>
      <c r="P3102">
        <v>0.93265299999999995</v>
      </c>
      <c r="Q3102">
        <v>0.34764590000000001</v>
      </c>
      <c r="R3102">
        <v>9.6441550000000001E-2</v>
      </c>
      <c r="S3102">
        <v>3.3426819999999999</v>
      </c>
      <c r="T3102">
        <v>-0.31743710000000003</v>
      </c>
      <c r="U3102">
        <v>-6.7932129999999993E-2</v>
      </c>
      <c r="V3102">
        <v>-9.1577969999999995E-2</v>
      </c>
      <c r="W3102">
        <v>0.35619119999999999</v>
      </c>
      <c r="X3102">
        <v>0.92991469999999998</v>
      </c>
      <c r="Y3102">
        <v>2.5230140000000002E-2</v>
      </c>
      <c r="Z3102">
        <v>-1.743606E-3</v>
      </c>
      <c r="AA3102">
        <v>0.99968020000000002</v>
      </c>
      <c r="AB3102">
        <v>30</v>
      </c>
      <c r="AC3102">
        <v>0.53349999999994602</v>
      </c>
      <c r="AD3102">
        <v>-8.0487999999999796E-2</v>
      </c>
      <c r="AE3102">
        <v>-1.8599999999992099E-2</v>
      </c>
      <c r="AF3102">
        <v>2.08237445123606E-2</v>
      </c>
      <c r="AG3102">
        <v>-8.0487999999999796E-2</v>
      </c>
      <c r="AH3102">
        <v>0.52154266138831396</v>
      </c>
      <c r="AI3102">
        <v>98.766185454088301</v>
      </c>
      <c r="AJ3102">
        <v>87.7135537411896</v>
      </c>
      <c r="AK3102">
        <v>0.52812753585428696</v>
      </c>
      <c r="AL3102">
        <v>69.133532543233798</v>
      </c>
      <c r="AM3102">
        <v>95.624351102473199</v>
      </c>
      <c r="AN3102">
        <v>1.0000000224114201</v>
      </c>
    </row>
    <row r="3103" spans="1:40" x14ac:dyDescent="0.25">
      <c r="A3103" t="str">
        <f>"20190304164704110"</f>
        <v>20190304164704110</v>
      </c>
      <c r="B3103" t="str">
        <f>"1551689224101689"</f>
        <v>1551689224101689</v>
      </c>
      <c r="C3103" t="s">
        <v>40</v>
      </c>
      <c r="D3103">
        <v>4.3026809999999998</v>
      </c>
      <c r="E3103">
        <v>0.55759369999999997</v>
      </c>
      <c r="F3103" t="s">
        <v>41</v>
      </c>
      <c r="G3103">
        <v>-259.40550000000002</v>
      </c>
      <c r="H3103">
        <v>1.034443</v>
      </c>
      <c r="I3103">
        <v>214.72479999999999</v>
      </c>
      <c r="J3103">
        <v>-259.91199999999998</v>
      </c>
      <c r="K3103">
        <v>1.110215</v>
      </c>
      <c r="L3103">
        <v>214.74379999999999</v>
      </c>
      <c r="M3103">
        <v>0.99994640000000001</v>
      </c>
      <c r="N3103">
        <v>-9.1282459999999996E-3</v>
      </c>
      <c r="O3103">
        <v>4.9047049999999997E-3</v>
      </c>
      <c r="P3103">
        <v>0.93225820000000004</v>
      </c>
      <c r="Q3103">
        <v>0.34935169999999999</v>
      </c>
      <c r="R3103">
        <v>9.4066739999999996E-2</v>
      </c>
      <c r="S3103">
        <v>3.340973</v>
      </c>
      <c r="T3103">
        <v>-0.31343159999999998</v>
      </c>
      <c r="U3103">
        <v>-7.2204589999999999E-2</v>
      </c>
      <c r="V3103">
        <v>-8.9362559999999994E-2</v>
      </c>
      <c r="W3103">
        <v>0.35788379999999997</v>
      </c>
      <c r="X3103">
        <v>0.92948030000000004</v>
      </c>
      <c r="Y3103">
        <v>2.636573E-2</v>
      </c>
      <c r="Z3103">
        <v>-1.768932E-3</v>
      </c>
      <c r="AA3103">
        <v>0.99965079999999995</v>
      </c>
      <c r="AB3103">
        <v>30</v>
      </c>
      <c r="AC3103">
        <v>0.50650000000001605</v>
      </c>
      <c r="AD3103">
        <v>-7.5771999999999895E-2</v>
      </c>
      <c r="AE3103">
        <v>-1.9000000000005401E-2</v>
      </c>
      <c r="AF3103">
        <v>2.10144665164094E-2</v>
      </c>
      <c r="AG3103">
        <v>-7.5771999999999895E-2</v>
      </c>
      <c r="AH3103">
        <v>0.49533082517038701</v>
      </c>
      <c r="AI3103">
        <v>98.689560016365306</v>
      </c>
      <c r="AJ3103">
        <v>87.570676852756705</v>
      </c>
      <c r="AK3103">
        <v>0.50153327920582302</v>
      </c>
      <c r="AL3103">
        <v>69.029711515130501</v>
      </c>
      <c r="AM3103">
        <v>95.491680440771006</v>
      </c>
      <c r="AN3103">
        <v>1.00000005476014</v>
      </c>
    </row>
    <row r="3104" spans="1:40" x14ac:dyDescent="0.25">
      <c r="A3104" t="str">
        <f>"20190304164704134"</f>
        <v>20190304164704134</v>
      </c>
      <c r="B3104" t="str">
        <f>"1551689224131945"</f>
        <v>1551689224131945</v>
      </c>
      <c r="C3104" t="s">
        <v>40</v>
      </c>
      <c r="D3104">
        <v>4.2650370000000004</v>
      </c>
      <c r="E3104">
        <v>0.55771660000000001</v>
      </c>
      <c r="F3104" t="s">
        <v>41</v>
      </c>
      <c r="G3104">
        <v>-259.13130000000001</v>
      </c>
      <c r="H3104">
        <v>1.0381389999999999</v>
      </c>
      <c r="I3104">
        <v>214.72540000000001</v>
      </c>
      <c r="J3104">
        <v>-259.58909999999997</v>
      </c>
      <c r="K3104">
        <v>1.110242</v>
      </c>
      <c r="L3104">
        <v>214.74520000000001</v>
      </c>
      <c r="M3104">
        <v>0.99994700000000003</v>
      </c>
      <c r="N3104">
        <v>-9.1243959999999999E-3</v>
      </c>
      <c r="O3104">
        <v>4.7787259999999996E-3</v>
      </c>
      <c r="P3104">
        <v>0.93208659999999999</v>
      </c>
      <c r="Q3104">
        <v>0.35047899999999998</v>
      </c>
      <c r="R3104">
        <v>9.1539159999999994E-2</v>
      </c>
      <c r="S3104">
        <v>3.3415530000000002</v>
      </c>
      <c r="T3104">
        <v>-0.3086179</v>
      </c>
      <c r="U3104">
        <v>-7.8323359999999995E-2</v>
      </c>
      <c r="V3104">
        <v>-8.6976010000000006E-2</v>
      </c>
      <c r="W3104">
        <v>0.35899930000000002</v>
      </c>
      <c r="X3104">
        <v>0.92927649999999995</v>
      </c>
      <c r="Y3104">
        <v>2.806239E-2</v>
      </c>
      <c r="Z3104">
        <v>-1.8181510000000001E-3</v>
      </c>
      <c r="AA3104">
        <v>0.99960450000000001</v>
      </c>
      <c r="AB3104">
        <v>30</v>
      </c>
      <c r="AC3104">
        <v>0.45779999999996301</v>
      </c>
      <c r="AD3104">
        <v>-7.2103E-2</v>
      </c>
      <c r="AE3104">
        <v>-1.9800000000003599E-2</v>
      </c>
      <c r="AF3104">
        <v>2.1456316028348001E-2</v>
      </c>
      <c r="AG3104">
        <v>-7.2103E-2</v>
      </c>
      <c r="AH3104">
        <v>0.44664148906630702</v>
      </c>
      <c r="AI3104">
        <v>99.159970903893196</v>
      </c>
      <c r="AJ3104">
        <v>87.249668918230498</v>
      </c>
      <c r="AK3104">
        <v>0.45293248488254501</v>
      </c>
      <c r="AL3104">
        <v>68.961249182638795</v>
      </c>
      <c r="AM3104">
        <v>95.347044424940805</v>
      </c>
      <c r="AN3104">
        <v>1.0000000685841199</v>
      </c>
    </row>
    <row r="3105" spans="1:40" x14ac:dyDescent="0.25">
      <c r="A3105" t="str">
        <f>"20190304164704156"</f>
        <v>20190304164704156</v>
      </c>
      <c r="B3105" t="str">
        <f>"1551689224151465"</f>
        <v>1551689224151465</v>
      </c>
      <c r="C3105" t="s">
        <v>40</v>
      </c>
      <c r="D3105">
        <v>4.362482</v>
      </c>
      <c r="E3105">
        <v>0.55750540000000004</v>
      </c>
      <c r="F3105" t="s">
        <v>41</v>
      </c>
      <c r="G3105">
        <v>-258.85489999999999</v>
      </c>
      <c r="H3105">
        <v>1.0432060000000001</v>
      </c>
      <c r="I3105">
        <v>214.726</v>
      </c>
      <c r="J3105">
        <v>-259.30599999999998</v>
      </c>
      <c r="K3105">
        <v>1.110263</v>
      </c>
      <c r="L3105">
        <v>214.7465</v>
      </c>
      <c r="M3105">
        <v>0.99994749999999999</v>
      </c>
      <c r="N3105">
        <v>-9.1216760000000004E-3</v>
      </c>
      <c r="O3105">
        <v>4.7066820000000002E-3</v>
      </c>
      <c r="P3105">
        <v>0.93295039999999996</v>
      </c>
      <c r="Q3105">
        <v>0.34868449999999901</v>
      </c>
      <c r="R3105">
        <v>8.9571490000000004E-2</v>
      </c>
      <c r="S3105">
        <v>3.3418879999999902</v>
      </c>
      <c r="T3105">
        <v>-0.30533850000000001</v>
      </c>
      <c r="U3105">
        <v>-8.64563E-2</v>
      </c>
      <c r="V3105">
        <v>-8.509506E-2</v>
      </c>
      <c r="W3105">
        <v>0.35720410000000002</v>
      </c>
      <c r="X3105">
        <v>0.93014189999999997</v>
      </c>
      <c r="Y3105">
        <v>3.0411690000000002E-2</v>
      </c>
      <c r="Z3105">
        <v>-1.911472E-3</v>
      </c>
      <c r="AA3105">
        <v>0.99953559999999997</v>
      </c>
      <c r="AB3105">
        <v>30</v>
      </c>
      <c r="AC3105">
        <v>0.451099999999996</v>
      </c>
      <c r="AD3105">
        <v>-6.7057000000000103E-2</v>
      </c>
      <c r="AE3105">
        <v>-2.0499999999998401E-2</v>
      </c>
      <c r="AF3105">
        <v>2.2134927248782198E-2</v>
      </c>
      <c r="AG3105">
        <v>-6.7057000000000103E-2</v>
      </c>
      <c r="AH3105">
        <v>0.44126770739423798</v>
      </c>
      <c r="AI3105">
        <v>98.630123910265496</v>
      </c>
      <c r="AJ3105">
        <v>87.128328760313906</v>
      </c>
      <c r="AK3105">
        <v>0.44688229528845202</v>
      </c>
      <c r="AL3105">
        <v>69.071409633388299</v>
      </c>
      <c r="AM3105">
        <v>95.227216711810598</v>
      </c>
      <c r="AN3105">
        <v>0.99999994621441002</v>
      </c>
    </row>
    <row r="3106" spans="1:40" x14ac:dyDescent="0.25">
      <c r="A3106" t="str">
        <f>"20190304164704177"</f>
        <v>20190304164704177</v>
      </c>
      <c r="B3106" t="str">
        <f>"1551689224171962"</f>
        <v>1551689224171962</v>
      </c>
      <c r="C3106" t="s">
        <v>40</v>
      </c>
      <c r="D3106">
        <v>4.3647349999999996</v>
      </c>
      <c r="E3106">
        <v>0.5573188</v>
      </c>
      <c r="F3106" t="s">
        <v>41</v>
      </c>
      <c r="G3106">
        <v>-258.32159999999999</v>
      </c>
      <c r="H3106">
        <v>1.017703</v>
      </c>
      <c r="I3106">
        <v>214.71979999999999</v>
      </c>
      <c r="J3106">
        <v>-258.99310000000003</v>
      </c>
      <c r="K3106">
        <v>1.110274</v>
      </c>
      <c r="L3106">
        <v>214.74780000000001</v>
      </c>
      <c r="M3106">
        <v>0.99994760000000005</v>
      </c>
      <c r="N3106">
        <v>-9.1195310000000002E-3</v>
      </c>
      <c r="O3106">
        <v>4.6606260000000002E-3</v>
      </c>
      <c r="P3106">
        <v>0.93402320000000005</v>
      </c>
      <c r="Q3106">
        <v>0.34653089999999998</v>
      </c>
      <c r="R3106">
        <v>8.6702440000000006E-2</v>
      </c>
      <c r="S3106">
        <v>3.3417050000000001</v>
      </c>
      <c r="T3106">
        <v>-0.31439980000000001</v>
      </c>
      <c r="U3106">
        <v>-8.9523320000000003E-2</v>
      </c>
      <c r="V3106">
        <v>-8.2287920000000001E-2</v>
      </c>
      <c r="W3106">
        <v>0.35505199999999998</v>
      </c>
      <c r="X3106">
        <v>0.93121790000000004</v>
      </c>
      <c r="Y3106">
        <v>3.127075E-2</v>
      </c>
      <c r="Z3106">
        <v>-2.0055310000000001E-3</v>
      </c>
      <c r="AA3106">
        <v>0.99950890000000003</v>
      </c>
      <c r="AB3106">
        <v>31</v>
      </c>
      <c r="AC3106">
        <v>0.67150000000003696</v>
      </c>
      <c r="AD3106">
        <v>-9.2570999999999903E-2</v>
      </c>
      <c r="AE3106">
        <v>-2.8000000000019998E-2</v>
      </c>
      <c r="AF3106">
        <v>3.0549857277812498E-2</v>
      </c>
      <c r="AG3106">
        <v>-9.2570999999999903E-2</v>
      </c>
      <c r="AH3106">
        <v>0.65886254219585705</v>
      </c>
      <c r="AI3106">
        <v>97.989302275884498</v>
      </c>
      <c r="AJ3106">
        <v>87.345235187921901</v>
      </c>
      <c r="AK3106">
        <v>0.66603493401583902</v>
      </c>
      <c r="AL3106">
        <v>69.203368646004805</v>
      </c>
      <c r="AM3106">
        <v>95.049877083210106</v>
      </c>
      <c r="AN3106">
        <v>1.00000000088116</v>
      </c>
    </row>
    <row r="3107" spans="1:40" x14ac:dyDescent="0.25">
      <c r="A3107" t="str">
        <f>"20190304164704199"</f>
        <v>20190304164704199</v>
      </c>
      <c r="B3107" t="str">
        <f>"1551689224191481"</f>
        <v>1551689224191481</v>
      </c>
      <c r="C3107" t="s">
        <v>40</v>
      </c>
      <c r="D3107">
        <v>4.3885509999999996</v>
      </c>
      <c r="E3107">
        <v>0.55711940000000004</v>
      </c>
      <c r="F3107" t="s">
        <v>41</v>
      </c>
      <c r="G3107">
        <v>-258.0471</v>
      </c>
      <c r="H3107">
        <v>1.0186299999999999</v>
      </c>
      <c r="I3107">
        <v>214.72059999999999</v>
      </c>
      <c r="J3107">
        <v>-258.69229999999999</v>
      </c>
      <c r="K3107">
        <v>1.1102890000000001</v>
      </c>
      <c r="L3107">
        <v>214.7492</v>
      </c>
      <c r="M3107">
        <v>0.99994769999999999</v>
      </c>
      <c r="N3107">
        <v>-9.1183219999999999E-3</v>
      </c>
      <c r="O3107">
        <v>4.639458E-3</v>
      </c>
      <c r="P3107">
        <v>0.93465299999999996</v>
      </c>
      <c r="Q3107">
        <v>0.34550029999999998</v>
      </c>
      <c r="R3107">
        <v>8.3984639999999999E-2</v>
      </c>
      <c r="S3107">
        <v>3.340897</v>
      </c>
      <c r="T3107">
        <v>-0.32371220000000001</v>
      </c>
      <c r="U3107">
        <v>-9.5657350000000002E-2</v>
      </c>
      <c r="V3107">
        <v>-7.9603759999999996E-2</v>
      </c>
      <c r="W3107">
        <v>0.35402159999999999</v>
      </c>
      <c r="X3107">
        <v>0.93184330000000004</v>
      </c>
      <c r="Y3107">
        <v>3.3070740000000001E-2</v>
      </c>
      <c r="Z3107">
        <v>-2.1554949999999999E-3</v>
      </c>
      <c r="AA3107">
        <v>0.99945070000000003</v>
      </c>
      <c r="AB3107">
        <v>31</v>
      </c>
      <c r="AC3107">
        <v>0.64519999999998801</v>
      </c>
      <c r="AD3107">
        <v>-9.1658999999999893E-2</v>
      </c>
      <c r="AE3107">
        <v>-2.8600000000011502E-2</v>
      </c>
      <c r="AF3107">
        <v>3.0969399958441401E-2</v>
      </c>
      <c r="AG3107">
        <v>-9.1658999999999893E-2</v>
      </c>
      <c r="AH3107">
        <v>0.63232390555193996</v>
      </c>
      <c r="AI3107">
        <v>98.238166339640699</v>
      </c>
      <c r="AJ3107">
        <v>87.196058639114398</v>
      </c>
      <c r="AK3107">
        <v>0.639682731943926</v>
      </c>
      <c r="AL3107">
        <v>69.266507444258096</v>
      </c>
      <c r="AM3107">
        <v>94.882701939867601</v>
      </c>
      <c r="AN3107">
        <v>0.99999999381379301</v>
      </c>
    </row>
    <row r="3108" spans="1:40" x14ac:dyDescent="0.25">
      <c r="A3108" t="str">
        <f>"20190304164704221"</f>
        <v>20190304164704221</v>
      </c>
      <c r="B3108" t="str">
        <f>"1551689224211977"</f>
        <v>1551689224211977</v>
      </c>
      <c r="C3108" t="s">
        <v>40</v>
      </c>
      <c r="D3108">
        <v>4.3938550000000003</v>
      </c>
      <c r="E3108">
        <v>0.55699929999999997</v>
      </c>
      <c r="F3108" t="s">
        <v>41</v>
      </c>
      <c r="G3108">
        <v>-257.7722</v>
      </c>
      <c r="H3108">
        <v>1.0194030000000001</v>
      </c>
      <c r="I3108">
        <v>214.72149999999999</v>
      </c>
      <c r="J3108">
        <v>-258.39179999999999</v>
      </c>
      <c r="K3108">
        <v>1.1102879999999999</v>
      </c>
      <c r="L3108">
        <v>214.75059999999999</v>
      </c>
      <c r="M3108">
        <v>0.99994769999999999</v>
      </c>
      <c r="N3108">
        <v>-9.1180129999999995E-3</v>
      </c>
      <c r="O3108">
        <v>4.6410089999999998E-3</v>
      </c>
      <c r="P3108">
        <v>0.93577999999999995</v>
      </c>
      <c r="Q3108">
        <v>0.34306029999999998</v>
      </c>
      <c r="R3108">
        <v>8.1396319999999994E-2</v>
      </c>
      <c r="S3108">
        <v>3.3407439999999999</v>
      </c>
      <c r="T3108">
        <v>-0.33016430000000002</v>
      </c>
      <c r="U3108">
        <v>-9.9578860000000005E-2</v>
      </c>
      <c r="V3108">
        <v>-7.7023090000000002E-2</v>
      </c>
      <c r="W3108">
        <v>0.35158859999999997</v>
      </c>
      <c r="X3108">
        <v>0.9329807</v>
      </c>
      <c r="Y3108">
        <v>3.4232279999999997E-2</v>
      </c>
      <c r="Z3108">
        <v>-2.2588619999999999E-3</v>
      </c>
      <c r="AA3108">
        <v>0.9994113</v>
      </c>
      <c r="AB3108">
        <v>31</v>
      </c>
      <c r="AC3108">
        <v>0.61959999999999105</v>
      </c>
      <c r="AD3108">
        <v>-9.0884999999999799E-2</v>
      </c>
      <c r="AE3108">
        <v>-2.9099999999999598E-2</v>
      </c>
      <c r="AF3108">
        <v>3.1303334899246298E-2</v>
      </c>
      <c r="AG3108">
        <v>-9.0884999999999799E-2</v>
      </c>
      <c r="AH3108">
        <v>0.60643884543166904</v>
      </c>
      <c r="AI3108">
        <v>98.512130882319596</v>
      </c>
      <c r="AJ3108">
        <v>87.045112478293305</v>
      </c>
      <c r="AK3108">
        <v>0.61400981689978695</v>
      </c>
      <c r="AL3108">
        <v>69.415489123301001</v>
      </c>
      <c r="AM3108">
        <v>94.719404148158603</v>
      </c>
      <c r="AN3108">
        <v>1.00000004330779</v>
      </c>
    </row>
    <row r="3109" spans="1:40" x14ac:dyDescent="0.25">
      <c r="A3109" t="str">
        <f>"20190304164704244"</f>
        <v>20190304164704244</v>
      </c>
      <c r="B3109" t="str">
        <f>"1551689224231498"</f>
        <v>1551689224231498</v>
      </c>
      <c r="C3109" t="s">
        <v>40</v>
      </c>
      <c r="D3109">
        <v>4.360887</v>
      </c>
      <c r="E3109">
        <v>0.55685929999999995</v>
      </c>
      <c r="F3109" t="s">
        <v>41</v>
      </c>
      <c r="G3109">
        <v>-257.4973</v>
      </c>
      <c r="H3109">
        <v>1.019398</v>
      </c>
      <c r="I3109">
        <v>214.72200000000001</v>
      </c>
      <c r="J3109">
        <v>-258.08980000000003</v>
      </c>
      <c r="K3109">
        <v>1.1102959999999999</v>
      </c>
      <c r="L3109">
        <v>214.75200000000001</v>
      </c>
      <c r="M3109">
        <v>0.99994749999999999</v>
      </c>
      <c r="N3109">
        <v>-9.1183210000000004E-3</v>
      </c>
      <c r="O3109">
        <v>4.6751999999999896E-3</v>
      </c>
      <c r="P3109">
        <v>0.93678079999999997</v>
      </c>
      <c r="Q3109">
        <v>0.34092709999999998</v>
      </c>
      <c r="R3109">
        <v>7.8806219999999996E-2</v>
      </c>
      <c r="S3109">
        <v>3.3395229999999998</v>
      </c>
      <c r="T3109">
        <v>-0.33932449999999997</v>
      </c>
      <c r="U3109">
        <v>-0.10624690000000001</v>
      </c>
      <c r="V3109">
        <v>-7.4412740000000005E-2</v>
      </c>
      <c r="W3109">
        <v>0.34946110000000002</v>
      </c>
      <c r="X3109">
        <v>0.93399129999999997</v>
      </c>
      <c r="Y3109">
        <v>3.6248389999999998E-2</v>
      </c>
      <c r="Z3109">
        <v>-2.433344E-3</v>
      </c>
      <c r="AA3109">
        <v>0.99933989999999995</v>
      </c>
      <c r="AB3109">
        <v>31</v>
      </c>
      <c r="AC3109">
        <v>0.592500000000029</v>
      </c>
      <c r="AD3109">
        <v>-9.0897999999999896E-2</v>
      </c>
      <c r="AE3109">
        <v>-3.0000000000001099E-2</v>
      </c>
      <c r="AF3109">
        <v>3.2018191349677198E-2</v>
      </c>
      <c r="AG3109">
        <v>-9.0897999999999896E-2</v>
      </c>
      <c r="AH3109">
        <v>0.57876627437730099</v>
      </c>
      <c r="AI3109">
        <v>98.912256088749899</v>
      </c>
      <c r="AJ3109">
        <v>86.833541860397801</v>
      </c>
      <c r="AK3109">
        <v>0.58673504355704398</v>
      </c>
      <c r="AL3109">
        <v>69.545643559104406</v>
      </c>
      <c r="AM3109">
        <v>94.555234171347806</v>
      </c>
      <c r="AN3109">
        <v>1.0000000323816001</v>
      </c>
    </row>
    <row r="3110" spans="1:40" x14ac:dyDescent="0.25">
      <c r="A3110" t="str">
        <f>"20190304164704266"</f>
        <v>20190304164704266</v>
      </c>
      <c r="B3110" t="str">
        <f>"1551689224261754"</f>
        <v>1551689224261754</v>
      </c>
      <c r="C3110" t="s">
        <v>40</v>
      </c>
      <c r="D3110">
        <v>4.3668849999999999</v>
      </c>
      <c r="E3110">
        <v>0.5567318</v>
      </c>
      <c r="F3110" t="s">
        <v>41</v>
      </c>
      <c r="G3110">
        <v>-257.22160000000002</v>
      </c>
      <c r="H3110">
        <v>1.0200020000000001</v>
      </c>
      <c r="I3110">
        <v>214.72239999999999</v>
      </c>
      <c r="J3110">
        <v>-257.77460000000002</v>
      </c>
      <c r="K3110">
        <v>1.110317</v>
      </c>
      <c r="L3110">
        <v>214.7535</v>
      </c>
      <c r="M3110">
        <v>0.99994709999999998</v>
      </c>
      <c r="N3110">
        <v>-9.1192930000000005E-3</v>
      </c>
      <c r="O3110">
        <v>4.7520519999999997E-3</v>
      </c>
      <c r="P3110">
        <v>0.93722280000000002</v>
      </c>
      <c r="Q3110">
        <v>0.34025369999999999</v>
      </c>
      <c r="R3110">
        <v>7.6425699999999999E-2</v>
      </c>
      <c r="S3110">
        <v>3.338333</v>
      </c>
      <c r="T3110">
        <v>-0.34726170000000001</v>
      </c>
      <c r="U3110">
        <v>-0.1128845</v>
      </c>
      <c r="V3110">
        <v>-7.1983179999999994E-2</v>
      </c>
      <c r="W3110">
        <v>0.34878730000000002</v>
      </c>
      <c r="X3110">
        <v>0.93443339999999997</v>
      </c>
      <c r="Y3110">
        <v>3.8298520000000003E-2</v>
      </c>
      <c r="Z3110">
        <v>-2.610865E-3</v>
      </c>
      <c r="AA3110">
        <v>0.99926289999999995</v>
      </c>
      <c r="AB3110">
        <v>31</v>
      </c>
      <c r="AC3110">
        <v>0.55299999999999705</v>
      </c>
      <c r="AD3110">
        <v>-9.0314999999999895E-2</v>
      </c>
      <c r="AE3110">
        <v>-3.11000000000092E-2</v>
      </c>
      <c r="AF3110">
        <v>3.2854093298014503E-2</v>
      </c>
      <c r="AG3110">
        <v>-9.0314999999999895E-2</v>
      </c>
      <c r="AH3110">
        <v>0.53852718999034499</v>
      </c>
      <c r="AI3110">
        <v>99.502985952445897</v>
      </c>
      <c r="AJ3110">
        <v>86.508865739565707</v>
      </c>
      <c r="AK3110">
        <v>0.54703539650586697</v>
      </c>
      <c r="AL3110">
        <v>69.586840441068702</v>
      </c>
      <c r="AM3110">
        <v>94.405025624306901</v>
      </c>
      <c r="AN3110">
        <v>0.99999996893987997</v>
      </c>
    </row>
    <row r="3111" spans="1:40" x14ac:dyDescent="0.25">
      <c r="A3111" t="str">
        <f>"20190304164704290"</f>
        <v>20190304164704290</v>
      </c>
      <c r="B3111" t="str">
        <f>"1551689224281273"</f>
        <v>1551689224281273</v>
      </c>
      <c r="C3111" t="s">
        <v>40</v>
      </c>
      <c r="D3111">
        <v>4.3981170000000001</v>
      </c>
      <c r="E3111">
        <v>0.55657290000000004</v>
      </c>
      <c r="F3111" t="s">
        <v>41</v>
      </c>
      <c r="G3111">
        <v>-256.94409999999999</v>
      </c>
      <c r="H3111">
        <v>1.023407</v>
      </c>
      <c r="I3111">
        <v>214.72380000000001</v>
      </c>
      <c r="J3111">
        <v>-257.45769999999999</v>
      </c>
      <c r="K3111">
        <v>1.110357</v>
      </c>
      <c r="L3111">
        <v>214.7551</v>
      </c>
      <c r="M3111">
        <v>0.99994660000000002</v>
      </c>
      <c r="N3111">
        <v>-9.1210149999999997E-3</v>
      </c>
      <c r="O3111">
        <v>4.874532E-3</v>
      </c>
      <c r="P3111">
        <v>0.93744850000000002</v>
      </c>
      <c r="Q3111">
        <v>0.33983829999999998</v>
      </c>
      <c r="R3111">
        <v>7.5500650000000002E-2</v>
      </c>
      <c r="S3111">
        <v>3.3374630000000001</v>
      </c>
      <c r="T3111">
        <v>-0.34931839999999997</v>
      </c>
      <c r="U3111">
        <v>-0.1190491</v>
      </c>
      <c r="V3111">
        <v>-7.0974540000000003E-2</v>
      </c>
      <c r="W3111">
        <v>0.34836889999999998</v>
      </c>
      <c r="X3111">
        <v>0.93466660000000001</v>
      </c>
      <c r="Y3111">
        <v>4.0258000000000002E-2</v>
      </c>
      <c r="Z3111">
        <v>-2.7489400000000001E-3</v>
      </c>
      <c r="AA3111">
        <v>0.99918560000000001</v>
      </c>
      <c r="AB3111">
        <v>31</v>
      </c>
      <c r="AC3111">
        <v>0.51359999999999595</v>
      </c>
      <c r="AD3111">
        <v>-8.695E-2</v>
      </c>
      <c r="AE3111">
        <v>-3.12999999999874E-2</v>
      </c>
      <c r="AF3111">
        <v>3.2864842575798602E-2</v>
      </c>
      <c r="AG3111">
        <v>-8.695E-2</v>
      </c>
      <c r="AH3111">
        <v>0.499187128177635</v>
      </c>
      <c r="AI3111">
        <v>99.859904015644602</v>
      </c>
      <c r="AJ3111">
        <v>86.233269864771202</v>
      </c>
      <c r="AK3111">
        <v>0.507767849824865</v>
      </c>
      <c r="AL3111">
        <v>69.612417080987697</v>
      </c>
      <c r="AM3111">
        <v>94.342460001799395</v>
      </c>
      <c r="AN3111">
        <v>0.99999996448549</v>
      </c>
    </row>
    <row r="3112" spans="1:40" x14ac:dyDescent="0.25">
      <c r="A3112" t="str">
        <f>"20190304164704313"</f>
        <v>20190304164704313</v>
      </c>
      <c r="B3112" t="str">
        <f>"1551689224301769"</f>
        <v>1551689224301769</v>
      </c>
      <c r="C3112" t="s">
        <v>40</v>
      </c>
      <c r="D3112">
        <v>4.3871969999999996</v>
      </c>
      <c r="E3112">
        <v>0.55636569999999996</v>
      </c>
      <c r="F3112" t="s">
        <v>41</v>
      </c>
      <c r="G3112">
        <v>-256.66590000000002</v>
      </c>
      <c r="H3112">
        <v>1.0274669999999999</v>
      </c>
      <c r="I3112">
        <v>214.726</v>
      </c>
      <c r="J3112">
        <v>-257.12830000000002</v>
      </c>
      <c r="K3112">
        <v>1.1104080000000001</v>
      </c>
      <c r="L3112">
        <v>214.7568</v>
      </c>
      <c r="M3112">
        <v>0.9999458</v>
      </c>
      <c r="N3112">
        <v>-9.1234829999999999E-3</v>
      </c>
      <c r="O3112">
        <v>5.0500500000000004E-3</v>
      </c>
      <c r="P3112">
        <v>0.93766360000000004</v>
      </c>
      <c r="Q3112">
        <v>0.33938960000000001</v>
      </c>
      <c r="R3112">
        <v>7.4846739999999995E-2</v>
      </c>
      <c r="S3112">
        <v>3.3366549999999999</v>
      </c>
      <c r="T3112">
        <v>-0.34958610000000001</v>
      </c>
      <c r="U3112">
        <v>-0.1210022</v>
      </c>
      <c r="V3112">
        <v>-7.0191530000000002E-2</v>
      </c>
      <c r="W3112">
        <v>0.34791749999999999</v>
      </c>
      <c r="X3112">
        <v>0.93489390000000006</v>
      </c>
      <c r="Y3112">
        <v>4.1020279999999999E-2</v>
      </c>
      <c r="Z3112">
        <v>-2.8116080000000002E-3</v>
      </c>
      <c r="AA3112">
        <v>0.99915430000000005</v>
      </c>
      <c r="AB3112">
        <v>31</v>
      </c>
      <c r="AC3112">
        <v>0.46240000000000198</v>
      </c>
      <c r="AD3112">
        <v>-8.2941000000000098E-2</v>
      </c>
      <c r="AE3112">
        <v>-3.07999999999992E-2</v>
      </c>
      <c r="AF3112">
        <v>3.2106423111664902E-2</v>
      </c>
      <c r="AG3112">
        <v>-8.2941000000000098E-2</v>
      </c>
      <c r="AH3112">
        <v>0.44789180929500599</v>
      </c>
      <c r="AI3112">
        <v>100.464981284679</v>
      </c>
      <c r="AJ3112">
        <v>85.899855037909603</v>
      </c>
      <c r="AK3112">
        <v>0.45663673168020502</v>
      </c>
      <c r="AL3112">
        <v>69.640007544977095</v>
      </c>
      <c r="AM3112">
        <v>94.293692797893002</v>
      </c>
      <c r="AN3112">
        <v>1.0000000209736</v>
      </c>
    </row>
    <row r="3113" spans="1:40" x14ac:dyDescent="0.25">
      <c r="A3113" t="str">
        <f>"20190304164704335"</f>
        <v>20190304164704335</v>
      </c>
      <c r="B3113" t="str">
        <f>"1551689224332026"</f>
        <v>1551689224332026</v>
      </c>
      <c r="C3113" t="s">
        <v>40</v>
      </c>
      <c r="D3113">
        <v>4.3524560000000001</v>
      </c>
      <c r="E3113">
        <v>0.53769789999999995</v>
      </c>
      <c r="F3113" t="s">
        <v>41</v>
      </c>
      <c r="G3113">
        <v>-256.38679999999999</v>
      </c>
      <c r="H3113">
        <v>1.032368</v>
      </c>
      <c r="I3113">
        <v>214.72970000000001</v>
      </c>
      <c r="J3113">
        <v>-256.82729999999998</v>
      </c>
      <c r="K3113">
        <v>1.1104560000000001</v>
      </c>
      <c r="L3113">
        <v>214.7585</v>
      </c>
      <c r="M3113">
        <v>0.99994459999999996</v>
      </c>
      <c r="N3113">
        <v>-9.1262500000000007E-3</v>
      </c>
      <c r="O3113">
        <v>5.2506890000000002E-3</v>
      </c>
      <c r="P3113">
        <v>0.93685280000000004</v>
      </c>
      <c r="Q3113">
        <v>0.34181699999999998</v>
      </c>
      <c r="R3113">
        <v>7.3946509999999993E-2</v>
      </c>
      <c r="S3113">
        <v>3.3362880000000001</v>
      </c>
      <c r="T3113">
        <v>-0.35115770000000002</v>
      </c>
      <c r="U3113">
        <v>-0.12219240000000001</v>
      </c>
      <c r="V3113">
        <v>-6.9138939999999996E-2</v>
      </c>
      <c r="W3113">
        <v>0.35033389999999998</v>
      </c>
      <c r="X3113">
        <v>0.93406960000000006</v>
      </c>
      <c r="Y3113">
        <v>4.1574050000000001E-2</v>
      </c>
      <c r="Z3113">
        <v>-2.8746879999999998E-3</v>
      </c>
      <c r="AA3113">
        <v>0.99913129999999994</v>
      </c>
      <c r="AB3113">
        <v>31</v>
      </c>
      <c r="AC3113">
        <v>0.44049999999998501</v>
      </c>
      <c r="AD3113">
        <v>-7.8087999999999894E-2</v>
      </c>
      <c r="AE3113">
        <v>-2.8799999999989698E-2</v>
      </c>
      <c r="AF3113">
        <v>3.01686111388417E-2</v>
      </c>
      <c r="AG3113">
        <v>-7.8087999999999894E-2</v>
      </c>
      <c r="AH3113">
        <v>0.42698186204044503</v>
      </c>
      <c r="AI3113">
        <v>100.33871206949</v>
      </c>
      <c r="AJ3113">
        <v>85.958455297787793</v>
      </c>
      <c r="AK3113">
        <v>0.435110780553151</v>
      </c>
      <c r="AL3113">
        <v>69.492261273985704</v>
      </c>
      <c r="AM3113">
        <v>94.233259073209595</v>
      </c>
      <c r="AN3113">
        <v>1.00000002607884</v>
      </c>
    </row>
    <row r="3114" spans="1:40" x14ac:dyDescent="0.25">
      <c r="A3114" t="str">
        <f>"20190304164704356"</f>
        <v>20190304164704356</v>
      </c>
      <c r="B3114" t="str">
        <f>"1551689224351545"</f>
        <v>1551689224351545</v>
      </c>
      <c r="C3114" t="s">
        <v>40</v>
      </c>
      <c r="D3114">
        <v>4.3601599999999996</v>
      </c>
      <c r="E3114">
        <v>0.53749749999999996</v>
      </c>
      <c r="F3114" t="s">
        <v>41</v>
      </c>
      <c r="G3114">
        <v>-255.84209999999999</v>
      </c>
      <c r="H3114">
        <v>1.0112019999999999</v>
      </c>
      <c r="I3114">
        <v>214.7654</v>
      </c>
      <c r="J3114">
        <v>-256.53469999999999</v>
      </c>
      <c r="K3114">
        <v>1.1105</v>
      </c>
      <c r="L3114">
        <v>214.7603</v>
      </c>
      <c r="M3114">
        <v>0.99994340000000004</v>
      </c>
      <c r="N3114">
        <v>-9.1293020000000006E-3</v>
      </c>
      <c r="O3114">
        <v>5.4742259999999996E-3</v>
      </c>
      <c r="P3114">
        <v>0.93617169999999905</v>
      </c>
      <c r="Q3114">
        <v>0.34406110000000001</v>
      </c>
      <c r="R3114">
        <v>7.2140800000000005E-2</v>
      </c>
      <c r="S3114">
        <v>3.322479</v>
      </c>
      <c r="T3114">
        <v>-0.33481420000000001</v>
      </c>
      <c r="U3114">
        <v>2.39563E-2</v>
      </c>
      <c r="V3114">
        <v>-6.7149970000000003E-2</v>
      </c>
      <c r="W3114">
        <v>0.35257100000000002</v>
      </c>
      <c r="X3114">
        <v>0.93337270000000006</v>
      </c>
      <c r="Y3114">
        <v>-1.7490239999999901E-3</v>
      </c>
      <c r="Z3114">
        <v>-4.0447470000000001E-4</v>
      </c>
      <c r="AA3114">
        <v>0.99999839999999995</v>
      </c>
      <c r="AB3114">
        <v>31</v>
      </c>
      <c r="AC3114">
        <v>0.692599999999998</v>
      </c>
      <c r="AD3114">
        <v>-9.9298000000000095E-2</v>
      </c>
      <c r="AE3114">
        <v>5.0999999999987696E-3</v>
      </c>
      <c r="AF3114">
        <v>-1.2819675331341E-3</v>
      </c>
      <c r="AG3114">
        <v>-9.9298000000000095E-2</v>
      </c>
      <c r="AH3114">
        <v>0.67866831691994201</v>
      </c>
      <c r="AI3114">
        <v>98.3240392517625</v>
      </c>
      <c r="AJ3114">
        <v>90.108228482057299</v>
      </c>
      <c r="AK3114">
        <v>0.68589534233416605</v>
      </c>
      <c r="AL3114">
        <v>69.355350452433498</v>
      </c>
      <c r="AM3114">
        <v>94.114961306208698</v>
      </c>
      <c r="AN3114">
        <v>1.0000000128086399</v>
      </c>
    </row>
    <row r="3115" spans="1:40" x14ac:dyDescent="0.25">
      <c r="A3115" t="str">
        <f>"20190304164704378"</f>
        <v>20190304164704378</v>
      </c>
      <c r="B3115" t="str">
        <f>"1551689224372041"</f>
        <v>1551689224372041</v>
      </c>
      <c r="C3115" t="s">
        <v>40</v>
      </c>
      <c r="D3115">
        <v>4.9960550000000001</v>
      </c>
      <c r="E3115">
        <v>0.53694730000000002</v>
      </c>
      <c r="F3115" t="s">
        <v>41</v>
      </c>
      <c r="G3115">
        <v>-255.56100000000001</v>
      </c>
      <c r="H3115">
        <v>1.0177080000000001</v>
      </c>
      <c r="I3115">
        <v>214.76609999999999</v>
      </c>
      <c r="J3115">
        <v>-256.21530000000001</v>
      </c>
      <c r="K3115">
        <v>1.110514</v>
      </c>
      <c r="L3115">
        <v>214.76230000000001</v>
      </c>
      <c r="M3115">
        <v>0.999942</v>
      </c>
      <c r="N3115">
        <v>-9.1329900000000006E-3</v>
      </c>
      <c r="O3115">
        <v>5.7400539999999996E-3</v>
      </c>
      <c r="P3115">
        <v>0.93652619999999998</v>
      </c>
      <c r="Q3115">
        <v>0.34332069999999998</v>
      </c>
      <c r="R3115">
        <v>7.1064559999999999E-2</v>
      </c>
      <c r="S3115">
        <v>3.3192439999999999</v>
      </c>
      <c r="T3115">
        <v>-0.31648890000000002</v>
      </c>
      <c r="U3115">
        <v>2.0950320000000001E-2</v>
      </c>
      <c r="V3115">
        <v>-6.5838179999999996E-2</v>
      </c>
      <c r="W3115">
        <v>0.35183510000000001</v>
      </c>
      <c r="X3115">
        <v>0.93374380000000001</v>
      </c>
      <c r="Y3115">
        <v>-5.8971649999999996E-4</v>
      </c>
      <c r="Z3115">
        <v>-4.6299569999999998E-4</v>
      </c>
      <c r="AA3115">
        <v>0.99999970000000005</v>
      </c>
      <c r="AB3115">
        <v>31</v>
      </c>
      <c r="AC3115">
        <v>0.65430000000003397</v>
      </c>
      <c r="AD3115">
        <v>-9.2805999999999902E-2</v>
      </c>
      <c r="AE3115">
        <v>3.7999999999840301E-3</v>
      </c>
      <c r="AF3115" s="1">
        <v>-4.3195100877097598E-5</v>
      </c>
      <c r="AG3115">
        <v>-9.2805999999999902E-2</v>
      </c>
      <c r="AH3115">
        <v>0.64140723747529904</v>
      </c>
      <c r="AI3115">
        <v>98.233059346247998</v>
      </c>
      <c r="AJ3115">
        <v>90.003858542323101</v>
      </c>
      <c r="AK3115">
        <v>0.64808656812767795</v>
      </c>
      <c r="AL3115">
        <v>69.400401767356897</v>
      </c>
      <c r="AM3115">
        <v>94.0332444476565</v>
      </c>
      <c r="AN3115">
        <v>1.0000000437880801</v>
      </c>
    </row>
    <row r="3116" spans="1:40" x14ac:dyDescent="0.25">
      <c r="A3116" t="str">
        <f>"20190304164704400"</f>
        <v>20190304164704400</v>
      </c>
      <c r="B3116" t="str">
        <f>"1551689224391562"</f>
        <v>1551689224391562</v>
      </c>
      <c r="C3116" t="s">
        <v>40</v>
      </c>
      <c r="D3116">
        <v>4.9222739999999998</v>
      </c>
      <c r="E3116">
        <v>0.53658139999999999</v>
      </c>
      <c r="F3116" t="s">
        <v>41</v>
      </c>
      <c r="G3116">
        <v>-255.27959999999999</v>
      </c>
      <c r="H3116">
        <v>1.024054</v>
      </c>
      <c r="I3116">
        <v>214.76840000000001</v>
      </c>
      <c r="J3116">
        <v>-255.9187</v>
      </c>
      <c r="K3116">
        <v>1.1105149999999999</v>
      </c>
      <c r="L3116">
        <v>214.76419999999999</v>
      </c>
      <c r="M3116">
        <v>0.99994039999999995</v>
      </c>
      <c r="N3116">
        <v>-9.136712E-3</v>
      </c>
      <c r="O3116">
        <v>5.9986450000000004E-3</v>
      </c>
      <c r="P3116">
        <v>0.93754550000000003</v>
      </c>
      <c r="Q3116">
        <v>0.34075809999999901</v>
      </c>
      <c r="R3116">
        <v>6.994852E-2</v>
      </c>
      <c r="S3116">
        <v>3.313904</v>
      </c>
      <c r="T3116">
        <v>-0.30627549999999998</v>
      </c>
      <c r="U3116">
        <v>2.2460939999999999E-2</v>
      </c>
      <c r="V3116">
        <v>-6.4481250000000004E-2</v>
      </c>
      <c r="W3116">
        <v>0.34928419999999999</v>
      </c>
      <c r="X3116">
        <v>0.93479559999999995</v>
      </c>
      <c r="Y3116">
        <v>-7.9578429999999903E-4</v>
      </c>
      <c r="Z3116">
        <v>-4.581694E-4</v>
      </c>
      <c r="AA3116">
        <v>0.99999959999999999</v>
      </c>
      <c r="AB3116">
        <v>31</v>
      </c>
      <c r="AC3116">
        <v>0.63910000000001299</v>
      </c>
      <c r="AD3116">
        <v>-8.6460999999999899E-2</v>
      </c>
      <c r="AE3116">
        <v>4.20000000002573E-3</v>
      </c>
      <c r="AF3116">
        <v>-3.5945241066732199E-4</v>
      </c>
      <c r="AG3116">
        <v>-8.6460999999999899E-2</v>
      </c>
      <c r="AH3116">
        <v>0.62762724362928701</v>
      </c>
      <c r="AI3116">
        <v>97.843611974714307</v>
      </c>
      <c r="AJ3116">
        <v>90.032814228547807</v>
      </c>
      <c r="AK3116">
        <v>0.63355472587041095</v>
      </c>
      <c r="AL3116">
        <v>69.556461198082602</v>
      </c>
      <c r="AM3116">
        <v>93.945954119393306</v>
      </c>
      <c r="AN3116">
        <v>1.00000004887528</v>
      </c>
    </row>
    <row r="3117" spans="1:40" x14ac:dyDescent="0.25">
      <c r="A3117" t="str">
        <f>"20190304164704421"</f>
        <v>20190304164704421</v>
      </c>
      <c r="B3117" t="str">
        <f>"1551689224412058"</f>
        <v>1551689224412058</v>
      </c>
      <c r="C3117" t="s">
        <v>40</v>
      </c>
      <c r="D3117">
        <v>4.9404839999999997</v>
      </c>
      <c r="E3117">
        <v>0.53643540000000001</v>
      </c>
      <c r="F3117" t="s">
        <v>41</v>
      </c>
      <c r="G3117">
        <v>-255.00049999999999</v>
      </c>
      <c r="H3117">
        <v>1.0247729999999999</v>
      </c>
      <c r="I3117">
        <v>214.7696</v>
      </c>
      <c r="J3117">
        <v>-255.61089999999999</v>
      </c>
      <c r="K3117">
        <v>1.1105149999999999</v>
      </c>
      <c r="L3117">
        <v>214.7663</v>
      </c>
      <c r="M3117">
        <v>0.99993860000000001</v>
      </c>
      <c r="N3117">
        <v>-9.1408140000000006E-3</v>
      </c>
      <c r="O3117">
        <v>6.2717939999999998E-3</v>
      </c>
      <c r="P3117">
        <v>0.93819090000000005</v>
      </c>
      <c r="Q3117">
        <v>0.33930290000000002</v>
      </c>
      <c r="R3117">
        <v>6.8346110000000002E-2</v>
      </c>
      <c r="S3117">
        <v>3.3107600000000001</v>
      </c>
      <c r="T3117">
        <v>-0.3094383</v>
      </c>
      <c r="U3117">
        <v>2.105713E-2</v>
      </c>
      <c r="V3117">
        <v>-6.262305E-2</v>
      </c>
      <c r="W3117">
        <v>0.3478388</v>
      </c>
      <c r="X3117">
        <v>0.93546059999999998</v>
      </c>
      <c r="Y3117">
        <v>-1.097477E-4</v>
      </c>
      <c r="Z3117">
        <v>-5.2206500000000005E-4</v>
      </c>
      <c r="AA3117">
        <v>0.99999990000000005</v>
      </c>
      <c r="AB3117">
        <v>31</v>
      </c>
      <c r="AC3117">
        <v>0.61039999999999806</v>
      </c>
      <c r="AD3117">
        <v>-8.5741999999999902E-2</v>
      </c>
      <c r="AE3117">
        <v>3.2999999999958601E-3</v>
      </c>
      <c r="AF3117">
        <v>5.1830121767916797E-4</v>
      </c>
      <c r="AG3117">
        <v>-8.5741999999999902E-2</v>
      </c>
      <c r="AH3117">
        <v>0.59859785567713097</v>
      </c>
      <c r="AI3117">
        <v>98.151487059532101</v>
      </c>
      <c r="AJ3117">
        <v>89.950389957821201</v>
      </c>
      <c r="AK3117">
        <v>0.60470765831218998</v>
      </c>
      <c r="AL3117">
        <v>69.644816805188796</v>
      </c>
      <c r="AM3117">
        <v>93.829868383969597</v>
      </c>
      <c r="AN3117">
        <v>1.0000000056645499</v>
      </c>
    </row>
    <row r="3118" spans="1:40" x14ac:dyDescent="0.25">
      <c r="A3118" t="str">
        <f>"20190304164704445"</f>
        <v>20190304164704445</v>
      </c>
      <c r="B3118" t="str">
        <f>"1551689224441338"</f>
        <v>1551689224441338</v>
      </c>
      <c r="C3118" t="s">
        <v>40</v>
      </c>
      <c r="D3118">
        <v>4.3535760000000003</v>
      </c>
      <c r="E3118">
        <v>0.53607109999999902</v>
      </c>
      <c r="F3118" t="s">
        <v>41</v>
      </c>
      <c r="G3118">
        <v>-254.7208</v>
      </c>
      <c r="H3118">
        <v>1.025717</v>
      </c>
      <c r="I3118">
        <v>214.7705</v>
      </c>
      <c r="J3118">
        <v>-255.3004</v>
      </c>
      <c r="K3118">
        <v>1.110506</v>
      </c>
      <c r="L3118">
        <v>214.76849999999999</v>
      </c>
      <c r="M3118">
        <v>0.99993670000000001</v>
      </c>
      <c r="N3118">
        <v>-9.1451710000000005E-3</v>
      </c>
      <c r="O3118">
        <v>6.5470700000000003E-3</v>
      </c>
      <c r="P3118">
        <v>0.93859930000000003</v>
      </c>
      <c r="Q3118">
        <v>0.33853240000000001</v>
      </c>
      <c r="R3118">
        <v>6.6535979999999995E-2</v>
      </c>
      <c r="S3118">
        <v>3.310562</v>
      </c>
      <c r="T3118">
        <v>-0.31544850000000002</v>
      </c>
      <c r="U3118">
        <v>1.6052250000000001E-2</v>
      </c>
      <c r="V3118">
        <v>-6.0554900000000002E-2</v>
      </c>
      <c r="W3118">
        <v>0.34707690000000002</v>
      </c>
      <c r="X3118">
        <v>0.93587960000000003</v>
      </c>
      <c r="Y3118">
        <v>1.6661229999999901E-3</v>
      </c>
      <c r="Z3118">
        <v>-6.4950489999999995E-4</v>
      </c>
      <c r="AA3118">
        <v>0.99999839999999995</v>
      </c>
      <c r="AB3118">
        <v>31</v>
      </c>
      <c r="AC3118">
        <v>0.579599999999999</v>
      </c>
      <c r="AD3118">
        <v>-8.4789000000000003E-2</v>
      </c>
      <c r="AE3118">
        <v>2.0000000000095402E-3</v>
      </c>
      <c r="AF3118">
        <v>1.7572774915114099E-3</v>
      </c>
      <c r="AG3118">
        <v>-8.4789000000000003E-2</v>
      </c>
      <c r="AH3118">
        <v>0.56745699865242805</v>
      </c>
      <c r="AI3118">
        <v>98.498180450072496</v>
      </c>
      <c r="AJ3118">
        <v>89.822569354002695</v>
      </c>
      <c r="AK3118">
        <v>0.57375927693136597</v>
      </c>
      <c r="AL3118">
        <v>69.691369770142401</v>
      </c>
      <c r="AM3118">
        <v>93.702089988642498</v>
      </c>
      <c r="AN3118">
        <v>0.99999994806188797</v>
      </c>
    </row>
    <row r="3119" spans="1:40" x14ac:dyDescent="0.25">
      <c r="A3119" t="str">
        <f>"20190304164704467"</f>
        <v>20190304164704467</v>
      </c>
      <c r="B3119" t="str">
        <f>"1551689224461833"</f>
        <v>1551689224461833</v>
      </c>
      <c r="C3119" t="s">
        <v>40</v>
      </c>
      <c r="D3119">
        <v>4.3244999999999996</v>
      </c>
      <c r="E3119">
        <v>0.53578300000000001</v>
      </c>
      <c r="F3119" t="s">
        <v>41</v>
      </c>
      <c r="G3119">
        <v>-254.4392</v>
      </c>
      <c r="H3119">
        <v>1.0296989999999999</v>
      </c>
      <c r="I3119">
        <v>214.7713</v>
      </c>
      <c r="J3119">
        <v>-254.9725</v>
      </c>
      <c r="K3119">
        <v>1.1105050000000001</v>
      </c>
      <c r="L3119">
        <v>214.77090000000001</v>
      </c>
      <c r="M3119">
        <v>0.99993489999999996</v>
      </c>
      <c r="N3119">
        <v>-9.1500409999999994E-3</v>
      </c>
      <c r="O3119">
        <v>6.8340800000000002E-3</v>
      </c>
      <c r="P3119">
        <v>0.93886939999999997</v>
      </c>
      <c r="Q3119">
        <v>0.33806140000000001</v>
      </c>
      <c r="R3119">
        <v>6.5108630000000001E-2</v>
      </c>
      <c r="S3119">
        <v>3.3074490000000001</v>
      </c>
      <c r="T3119">
        <v>-0.31062099999999998</v>
      </c>
      <c r="U3119">
        <v>1.210022E-2</v>
      </c>
      <c r="V3119">
        <v>-5.8859939999999999E-2</v>
      </c>
      <c r="W3119">
        <v>0.34661310000000001</v>
      </c>
      <c r="X3119">
        <v>0.93615959999999998</v>
      </c>
      <c r="Y3119">
        <v>3.1363070000000001E-3</v>
      </c>
      <c r="Z3119">
        <v>-7.3933369999999905E-4</v>
      </c>
      <c r="AA3119">
        <v>0.99999479999999996</v>
      </c>
      <c r="AB3119">
        <v>31</v>
      </c>
      <c r="AC3119">
        <v>0.533299999999997</v>
      </c>
      <c r="AD3119">
        <v>-8.0805999999999906E-2</v>
      </c>
      <c r="AE3119">
        <v>3.9999999998485599E-4</v>
      </c>
      <c r="AF3119">
        <v>3.1719530284735598E-3</v>
      </c>
      <c r="AG3119">
        <v>-8.0805999999999906E-2</v>
      </c>
      <c r="AH3119">
        <v>0.52132151068491495</v>
      </c>
      <c r="AI3119">
        <v>98.810697583989196</v>
      </c>
      <c r="AJ3119">
        <v>89.651391176127106</v>
      </c>
      <c r="AK3119">
        <v>0.52755643150739495</v>
      </c>
      <c r="AL3119">
        <v>69.719702734627404</v>
      </c>
      <c r="AM3119">
        <v>93.5976694446192</v>
      </c>
      <c r="AN3119">
        <v>0.999999965150286</v>
      </c>
    </row>
    <row r="3120" spans="1:40" x14ac:dyDescent="0.25">
      <c r="A3120" t="str">
        <f>"20190304164704490"</f>
        <v>20190304164704490</v>
      </c>
      <c r="B3120" t="str">
        <f>"1551689224481353"</f>
        <v>1551689224481353</v>
      </c>
      <c r="C3120" t="s">
        <v>40</v>
      </c>
      <c r="D3120">
        <v>4.3531459999999997</v>
      </c>
      <c r="E3120">
        <v>0.53552259999999996</v>
      </c>
      <c r="F3120" t="s">
        <v>41</v>
      </c>
      <c r="G3120">
        <v>-254.15690000000001</v>
      </c>
      <c r="H3120">
        <v>1.0344370000000001</v>
      </c>
      <c r="I3120">
        <v>214.77250000000001</v>
      </c>
      <c r="J3120">
        <v>-254.66419999999999</v>
      </c>
      <c r="K3120">
        <v>1.1105039999999999</v>
      </c>
      <c r="L3120">
        <v>214.77330000000001</v>
      </c>
      <c r="M3120">
        <v>0.99993299999999996</v>
      </c>
      <c r="N3120">
        <v>-9.1548189999999998E-3</v>
      </c>
      <c r="O3120">
        <v>7.1006999999999997E-3</v>
      </c>
      <c r="P3120">
        <v>0.93861919999999999</v>
      </c>
      <c r="Q3120">
        <v>0.33881209999999901</v>
      </c>
      <c r="R3120">
        <v>6.4811969999999997E-2</v>
      </c>
      <c r="S3120">
        <v>3.3059080000000001</v>
      </c>
      <c r="T3120">
        <v>-0.3084093</v>
      </c>
      <c r="U3120">
        <v>7.0037839999999999E-3</v>
      </c>
      <c r="V3120">
        <v>-5.83172E-2</v>
      </c>
      <c r="W3120">
        <v>0.34736620000000001</v>
      </c>
      <c r="X3120">
        <v>0.93591440000000004</v>
      </c>
      <c r="Y3120">
        <v>4.9338619999999998E-3</v>
      </c>
      <c r="Z3120">
        <v>-8.4838559999999999E-4</v>
      </c>
      <c r="AA3120">
        <v>0.99998750000000003</v>
      </c>
      <c r="AB3120">
        <v>31</v>
      </c>
      <c r="AC3120">
        <v>0.50729999999998598</v>
      </c>
      <c r="AD3120">
        <v>-7.6067000000000107E-2</v>
      </c>
      <c r="AE3120">
        <v>-7.9999999999813499E-4</v>
      </c>
      <c r="AF3120">
        <v>4.3055129547491999E-3</v>
      </c>
      <c r="AG3120">
        <v>-7.6067000000000107E-2</v>
      </c>
      <c r="AH3120">
        <v>0.49612691459782099</v>
      </c>
      <c r="AI3120">
        <v>98.716480075144204</v>
      </c>
      <c r="AJ3120">
        <v>89.502785434294196</v>
      </c>
      <c r="AK3120">
        <v>0.50194286658857601</v>
      </c>
      <c r="AL3120">
        <v>69.673694825551905</v>
      </c>
      <c r="AM3120">
        <v>93.5655131987658</v>
      </c>
      <c r="AN3120">
        <v>0.99999996842281902</v>
      </c>
    </row>
    <row r="3121" spans="1:40" x14ac:dyDescent="0.25">
      <c r="A3121" t="str">
        <f>"20190304164704512"</f>
        <v>20190304164704512</v>
      </c>
      <c r="B3121" t="str">
        <f>"1551689224501849"</f>
        <v>1551689224501849</v>
      </c>
      <c r="C3121" t="s">
        <v>40</v>
      </c>
      <c r="D3121">
        <v>4.3389069999999998</v>
      </c>
      <c r="E3121">
        <v>0.53529209999999905</v>
      </c>
      <c r="F3121" t="s">
        <v>41</v>
      </c>
      <c r="G3121">
        <v>-253.8733</v>
      </c>
      <c r="H3121">
        <v>1.0382830000000001</v>
      </c>
      <c r="I3121">
        <v>214.7741</v>
      </c>
      <c r="J3121">
        <v>-254.34989999999999</v>
      </c>
      <c r="K3121">
        <v>1.110503</v>
      </c>
      <c r="L3121">
        <v>214.7758</v>
      </c>
      <c r="M3121">
        <v>0.99993089999999996</v>
      </c>
      <c r="N3121">
        <v>-9.1598559999999992E-3</v>
      </c>
      <c r="O3121">
        <v>7.3701159999999899E-3</v>
      </c>
      <c r="P3121">
        <v>0.93865229999999999</v>
      </c>
      <c r="Q3121">
        <v>0.33860610000000002</v>
      </c>
      <c r="R3121">
        <v>6.5406229999999996E-2</v>
      </c>
      <c r="S3121">
        <v>3.3049010000000001</v>
      </c>
      <c r="T3121">
        <v>-0.30208970000000002</v>
      </c>
      <c r="U3121">
        <v>5.0506589999999999E-3</v>
      </c>
      <c r="V3121">
        <v>-5.8660579999999997E-2</v>
      </c>
      <c r="W3121">
        <v>0.347165</v>
      </c>
      <c r="X3121">
        <v>0.93596760000000001</v>
      </c>
      <c r="Y3121">
        <v>5.7907810000000001E-3</v>
      </c>
      <c r="Z3121">
        <v>-8.9557470000000002E-4</v>
      </c>
      <c r="AA3121">
        <v>0.99998279999999995</v>
      </c>
      <c r="AB3121">
        <v>31</v>
      </c>
      <c r="AC3121">
        <v>0.47659999999998998</v>
      </c>
      <c r="AD3121">
        <v>-7.2219999999999895E-2</v>
      </c>
      <c r="AE3121">
        <v>-1.6999999999995901E-3</v>
      </c>
      <c r="AF3121">
        <v>5.0956933693247003E-3</v>
      </c>
      <c r="AG3121">
        <v>-7.2219999999999895E-2</v>
      </c>
      <c r="AH3121">
        <v>0.46587725689221299</v>
      </c>
      <c r="AI3121">
        <v>98.811298112097305</v>
      </c>
      <c r="AJ3121">
        <v>89.373332616729698</v>
      </c>
      <c r="AK3121">
        <v>0.471469312872352</v>
      </c>
      <c r="AL3121">
        <v>69.685987895802995</v>
      </c>
      <c r="AM3121">
        <v>93.5862494922265</v>
      </c>
      <c r="AN3121">
        <v>0.99999997456034795</v>
      </c>
    </row>
    <row r="3122" spans="1:40" x14ac:dyDescent="0.25">
      <c r="A3122" t="str">
        <f>"20190304164704537"</f>
        <v>20190304164704537</v>
      </c>
      <c r="B3122" t="str">
        <f>"1551689224532105"</f>
        <v>1551689224532105</v>
      </c>
      <c r="C3122" t="s">
        <v>40</v>
      </c>
      <c r="D3122">
        <v>4.3398409999999998</v>
      </c>
      <c r="E3122">
        <v>0.53493480000000004</v>
      </c>
      <c r="F3122" t="s">
        <v>41</v>
      </c>
      <c r="G3122">
        <v>-253.589</v>
      </c>
      <c r="H3122">
        <v>1.0419389999999999</v>
      </c>
      <c r="I3122">
        <v>214.77699999999999</v>
      </c>
      <c r="J3122">
        <v>-254.00299999999999</v>
      </c>
      <c r="K3122">
        <v>1.1105039999999999</v>
      </c>
      <c r="L3122">
        <v>214.77860000000001</v>
      </c>
      <c r="M3122">
        <v>0.9999285</v>
      </c>
      <c r="N3122">
        <v>-9.1655810000000008E-3</v>
      </c>
      <c r="O3122">
        <v>7.6662249999999996E-3</v>
      </c>
      <c r="P3122">
        <v>0.93883229999999995</v>
      </c>
      <c r="Q3122">
        <v>0.33790500000000001</v>
      </c>
      <c r="R3122">
        <v>6.6441089999999994E-2</v>
      </c>
      <c r="S3122">
        <v>3.3030849999999998</v>
      </c>
      <c r="T3122">
        <v>-0.29776279999999999</v>
      </c>
      <c r="U3122">
        <v>5.8746340000000001E-3</v>
      </c>
      <c r="V3122">
        <v>-5.941772E-2</v>
      </c>
      <c r="W3122">
        <v>0.34647</v>
      </c>
      <c r="X3122">
        <v>0.93617740000000005</v>
      </c>
      <c r="Y3122">
        <v>5.8368910000000003E-3</v>
      </c>
      <c r="Z3122">
        <v>-9.089069E-4</v>
      </c>
      <c r="AA3122">
        <v>0.9999825</v>
      </c>
      <c r="AB3122">
        <v>31</v>
      </c>
      <c r="AC3122">
        <v>0.41399999999995801</v>
      </c>
      <c r="AD3122">
        <v>-6.8565000000000195E-2</v>
      </c>
      <c r="AE3122">
        <v>-1.59999999999627E-3</v>
      </c>
      <c r="AF3122">
        <v>4.6464596265595702E-3</v>
      </c>
      <c r="AG3122">
        <v>-6.8565000000000195E-2</v>
      </c>
      <c r="AH3122">
        <v>0.40292407235824901</v>
      </c>
      <c r="AI3122">
        <v>99.6568003075364</v>
      </c>
      <c r="AJ3122">
        <v>89.339302999219001</v>
      </c>
      <c r="AK3122">
        <v>0.40874265363161799</v>
      </c>
      <c r="AL3122">
        <v>69.728444651399897</v>
      </c>
      <c r="AM3122">
        <v>93.631602697912697</v>
      </c>
      <c r="AN3122">
        <v>1.00000002531037</v>
      </c>
    </row>
    <row r="3123" spans="1:40" x14ac:dyDescent="0.25">
      <c r="A3123" t="str">
        <f>"20190304164704558"</f>
        <v>20190304164704558</v>
      </c>
      <c r="B3123" t="str">
        <f>"1551689224551626"</f>
        <v>1551689224551626</v>
      </c>
      <c r="C3123" t="s">
        <v>40</v>
      </c>
      <c r="D3123">
        <v>4.3079010000000002</v>
      </c>
      <c r="E3123">
        <v>0.53471059999999904</v>
      </c>
      <c r="F3123" t="s">
        <v>41</v>
      </c>
      <c r="G3123">
        <v>-253.0377</v>
      </c>
      <c r="H3123">
        <v>1.0229950000000001</v>
      </c>
      <c r="I3123">
        <v>214.78129999999999</v>
      </c>
      <c r="J3123">
        <v>-253.70670000000001</v>
      </c>
      <c r="K3123">
        <v>1.1104989999999999</v>
      </c>
      <c r="L3123">
        <v>214.78120000000001</v>
      </c>
      <c r="M3123">
        <v>0.9999266</v>
      </c>
      <c r="N3123">
        <v>-9.1705729999999996E-3</v>
      </c>
      <c r="O3123">
        <v>7.9185790000000002E-3</v>
      </c>
      <c r="P3123">
        <v>0.9389402</v>
      </c>
      <c r="Q3123">
        <v>0.33749269999999998</v>
      </c>
      <c r="R3123">
        <v>6.7008360000000003E-2</v>
      </c>
      <c r="S3123">
        <v>3.3025669999999998</v>
      </c>
      <c r="T3123">
        <v>-0.29956820000000001</v>
      </c>
      <c r="U3123">
        <v>9.8876950000000002E-3</v>
      </c>
      <c r="V3123">
        <v>-5.9747769999999999E-2</v>
      </c>
      <c r="W3123">
        <v>0.34606340000000002</v>
      </c>
      <c r="X3123">
        <v>0.93630679999999999</v>
      </c>
      <c r="Y3123">
        <v>4.8767200000000002E-3</v>
      </c>
      <c r="Z3123">
        <v>-8.8744550000000001E-4</v>
      </c>
      <c r="AA3123">
        <v>0.99998770000000003</v>
      </c>
      <c r="AB3123">
        <v>31</v>
      </c>
      <c r="AC3123">
        <v>0.66900000000001103</v>
      </c>
      <c r="AD3123">
        <v>-8.7503999999999804E-2</v>
      </c>
      <c r="AE3123" s="1">
        <v>9.9999999974897906E-5</v>
      </c>
      <c r="AF3123">
        <v>5.11032689389235E-3</v>
      </c>
      <c r="AG3123">
        <v>-8.7503999999999804E-2</v>
      </c>
      <c r="AH3123">
        <v>0.65772730455404904</v>
      </c>
      <c r="AI3123">
        <v>97.577899996196294</v>
      </c>
      <c r="AJ3123">
        <v>89.554839415614794</v>
      </c>
      <c r="AK3123">
        <v>0.66354221614973197</v>
      </c>
      <c r="AL3123">
        <v>69.753277848413703</v>
      </c>
      <c r="AM3123">
        <v>93.651217561456903</v>
      </c>
      <c r="AN3123">
        <v>1.0000000482828799</v>
      </c>
    </row>
    <row r="3124" spans="1:40" x14ac:dyDescent="0.25">
      <c r="A3124" t="str">
        <f>"20190304164704579"</f>
        <v>20190304164704579</v>
      </c>
      <c r="B3124" t="str">
        <f>"1551689224572122"</f>
        <v>1551689224572122</v>
      </c>
      <c r="C3124" t="s">
        <v>40</v>
      </c>
      <c r="D3124">
        <v>4.2990159999999999</v>
      </c>
      <c r="E3124">
        <v>0.53454939999999995</v>
      </c>
      <c r="F3124" t="s">
        <v>41</v>
      </c>
      <c r="G3124">
        <v>-252.75530000000001</v>
      </c>
      <c r="H3124">
        <v>1.0232289999999999</v>
      </c>
      <c r="I3124">
        <v>214.78460000000001</v>
      </c>
      <c r="J3124">
        <v>-253.40209999999999</v>
      </c>
      <c r="K3124">
        <v>1.110506</v>
      </c>
      <c r="L3124">
        <v>214.78380000000001</v>
      </c>
      <c r="M3124">
        <v>0.99992449999999999</v>
      </c>
      <c r="N3124">
        <v>-9.1758029999999997E-3</v>
      </c>
      <c r="O3124">
        <v>8.1781400000000004E-3</v>
      </c>
      <c r="P3124">
        <v>0.93912390000000001</v>
      </c>
      <c r="Q3124">
        <v>0.33718140000000002</v>
      </c>
      <c r="R3124">
        <v>6.5993220000000005E-2</v>
      </c>
      <c r="S3124">
        <v>3.3031619999999999</v>
      </c>
      <c r="T3124">
        <v>-0.30317349999999998</v>
      </c>
      <c r="U3124">
        <v>1.272583E-2</v>
      </c>
      <c r="V3124">
        <v>-5.848809E-2</v>
      </c>
      <c r="W3124">
        <v>0.34575909999999999</v>
      </c>
      <c r="X3124">
        <v>0.93649870000000002</v>
      </c>
      <c r="Y3124">
        <v>4.278329E-3</v>
      </c>
      <c r="Z3124">
        <v>-8.8972559999999897E-4</v>
      </c>
      <c r="AA3124">
        <v>0.9999905</v>
      </c>
      <c r="AB3124">
        <v>32</v>
      </c>
      <c r="AC3124">
        <v>0.64679999999998405</v>
      </c>
      <c r="AD3124">
        <v>-8.7276999999999799E-2</v>
      </c>
      <c r="AE3124">
        <v>7.9999999999813499E-4</v>
      </c>
      <c r="AF3124">
        <v>4.4095811415922597E-3</v>
      </c>
      <c r="AG3124">
        <v>-8.7276999999999799E-2</v>
      </c>
      <c r="AH3124">
        <v>0.63521893285546305</v>
      </c>
      <c r="AI3124">
        <v>97.823082755826803</v>
      </c>
      <c r="AJ3124">
        <v>89.602268890989805</v>
      </c>
      <c r="AK3124">
        <v>0.64120184949271397</v>
      </c>
      <c r="AL3124">
        <v>69.771859351865004</v>
      </c>
      <c r="AM3124">
        <v>93.5737090284901</v>
      </c>
      <c r="AN3124">
        <v>1.0000000135031699</v>
      </c>
    </row>
    <row r="3125" spans="1:40" x14ac:dyDescent="0.25">
      <c r="A3125" t="str">
        <f>"20190304164704601"</f>
        <v>20190304164704601</v>
      </c>
      <c r="B3125" t="str">
        <f>"1551689224591641"</f>
        <v>1551689224591641</v>
      </c>
      <c r="C3125" t="s">
        <v>40</v>
      </c>
      <c r="D3125">
        <v>4.4351839999999996</v>
      </c>
      <c r="E3125">
        <v>0.53440159999999903</v>
      </c>
      <c r="F3125" t="s">
        <v>41</v>
      </c>
      <c r="G3125">
        <v>-252.47219999999999</v>
      </c>
      <c r="H3125">
        <v>1.024275</v>
      </c>
      <c r="I3125">
        <v>214.78739999999999</v>
      </c>
      <c r="J3125">
        <v>-253.09379999999999</v>
      </c>
      <c r="K3125">
        <v>1.1105100000000001</v>
      </c>
      <c r="L3125">
        <v>214.78659999999999</v>
      </c>
      <c r="M3125">
        <v>0.99992230000000004</v>
      </c>
      <c r="N3125">
        <v>-9.1811810000000001E-3</v>
      </c>
      <c r="O3125">
        <v>8.4403740000000005E-3</v>
      </c>
      <c r="P3125">
        <v>0.93917269999999997</v>
      </c>
      <c r="Q3125">
        <v>0.33747959999999999</v>
      </c>
      <c r="R3125">
        <v>6.373492E-2</v>
      </c>
      <c r="S3125">
        <v>3.3035429999999999</v>
      </c>
      <c r="T3125">
        <v>-0.30648360000000002</v>
      </c>
      <c r="U3125">
        <v>1.3534549999999999E-2</v>
      </c>
      <c r="V3125">
        <v>-5.5983579999999998E-2</v>
      </c>
      <c r="W3125">
        <v>0.34606419999999999</v>
      </c>
      <c r="X3125">
        <v>0.93653909999999996</v>
      </c>
      <c r="Y3125">
        <v>4.2941630000000001E-3</v>
      </c>
      <c r="Z3125">
        <v>-9.2253829999999998E-4</v>
      </c>
      <c r="AA3125">
        <v>0.9999903</v>
      </c>
      <c r="AB3125">
        <v>32</v>
      </c>
      <c r="AC3125">
        <v>0.62160000000000004</v>
      </c>
      <c r="AD3125">
        <v>-8.6235000000000006E-2</v>
      </c>
      <c r="AE3125">
        <v>7.9999999999813499E-4</v>
      </c>
      <c r="AF3125">
        <v>4.3628181924404404E-3</v>
      </c>
      <c r="AG3125">
        <v>-8.6235000000000006E-2</v>
      </c>
      <c r="AH3125">
        <v>0.60984738025742402</v>
      </c>
      <c r="AI3125">
        <v>98.0483017732696</v>
      </c>
      <c r="AJ3125">
        <v>89.590115801086199</v>
      </c>
      <c r="AK3125">
        <v>0.61592965232599695</v>
      </c>
      <c r="AL3125">
        <v>69.753228792448098</v>
      </c>
      <c r="AM3125">
        <v>93.420904078270596</v>
      </c>
      <c r="AN3125">
        <v>1.0000000387900301</v>
      </c>
    </row>
    <row r="3126" spans="1:40" x14ac:dyDescent="0.25">
      <c r="A3126" t="str">
        <f>"20190304164704623"</f>
        <v>20190304164704623</v>
      </c>
      <c r="B3126" t="str">
        <f>"1551689224612138"</f>
        <v>1551689224612138</v>
      </c>
      <c r="C3126" t="s">
        <v>40</v>
      </c>
      <c r="D3126">
        <v>4.289568</v>
      </c>
      <c r="E3126">
        <v>0.53423989999999999</v>
      </c>
      <c r="F3126" t="s">
        <v>41</v>
      </c>
      <c r="G3126">
        <v>-252.18780000000001</v>
      </c>
      <c r="H3126">
        <v>1.0268090000000001</v>
      </c>
      <c r="I3126">
        <v>214.7894</v>
      </c>
      <c r="J3126">
        <v>-252.77279999999999</v>
      </c>
      <c r="K3126">
        <v>1.1105149999999999</v>
      </c>
      <c r="L3126">
        <v>214.7895</v>
      </c>
      <c r="M3126">
        <v>0.99992000000000003</v>
      </c>
      <c r="N3126">
        <v>-9.1867960000000005E-3</v>
      </c>
      <c r="O3126">
        <v>8.7063920000000003E-3</v>
      </c>
      <c r="P3126">
        <v>0.93903479999999995</v>
      </c>
      <c r="Q3126">
        <v>0.33822540000000001</v>
      </c>
      <c r="R3126">
        <v>6.1784249999999999E-2</v>
      </c>
      <c r="S3126">
        <v>3.3032840000000001</v>
      </c>
      <c r="T3126">
        <v>-0.30539729999999998</v>
      </c>
      <c r="U3126">
        <v>1.1611939999999999E-2</v>
      </c>
      <c r="V3126">
        <v>-5.378198E-2</v>
      </c>
      <c r="W3126">
        <v>0.34681529999999999</v>
      </c>
      <c r="X3126">
        <v>0.93639019999999995</v>
      </c>
      <c r="Y3126">
        <v>5.1373779999999997E-3</v>
      </c>
      <c r="Z3126">
        <v>-9.8399969999999996E-4</v>
      </c>
      <c r="AA3126">
        <v>0.99998629999999999</v>
      </c>
      <c r="AB3126">
        <v>32</v>
      </c>
      <c r="AC3126">
        <v>0.58499999999997898</v>
      </c>
      <c r="AD3126">
        <v>-8.3705999999999794E-2</v>
      </c>
      <c r="AE3126">
        <v>-1.0000000000331901E-4</v>
      </c>
      <c r="AF3126">
        <v>5.0892528889527203E-3</v>
      </c>
      <c r="AG3126">
        <v>-8.3705999999999794E-2</v>
      </c>
      <c r="AH3126">
        <v>0.57324046410803298</v>
      </c>
      <c r="AI3126">
        <v>98.307434056065702</v>
      </c>
      <c r="AJ3126">
        <v>89.4913390296839</v>
      </c>
      <c r="AK3126">
        <v>0.57934206184408898</v>
      </c>
      <c r="AL3126">
        <v>69.707351701594504</v>
      </c>
      <c r="AM3126">
        <v>93.287196654445907</v>
      </c>
      <c r="AN3126">
        <v>0.999999980171424</v>
      </c>
    </row>
    <row r="3127" spans="1:40" x14ac:dyDescent="0.25">
      <c r="A3127" t="str">
        <f>"20190304164704646"</f>
        <v>20190304164704646</v>
      </c>
      <c r="B3127" t="str">
        <f>"1551689224641418"</f>
        <v>1551689224641418</v>
      </c>
      <c r="C3127" t="s">
        <v>40</v>
      </c>
      <c r="D3127">
        <v>4.2878100000000003</v>
      </c>
      <c r="E3127">
        <v>0.53400300000000001</v>
      </c>
      <c r="F3127" t="s">
        <v>41</v>
      </c>
      <c r="G3127">
        <v>-251.90219999999999</v>
      </c>
      <c r="H3127">
        <v>1.031018</v>
      </c>
      <c r="I3127">
        <v>214.79140000000001</v>
      </c>
      <c r="J3127">
        <v>-252.45910000000001</v>
      </c>
      <c r="K3127">
        <v>1.110503</v>
      </c>
      <c r="L3127">
        <v>214.79249999999999</v>
      </c>
      <c r="M3127">
        <v>0.99991779999999997</v>
      </c>
      <c r="N3127">
        <v>-9.1923379999999996E-3</v>
      </c>
      <c r="O3127">
        <v>8.9501130000000009E-3</v>
      </c>
      <c r="P3127">
        <v>0.93889230000000001</v>
      </c>
      <c r="Q3127">
        <v>0.3388024</v>
      </c>
      <c r="R3127">
        <v>6.078041E-2</v>
      </c>
      <c r="S3127">
        <v>3.302902</v>
      </c>
      <c r="T3127">
        <v>-0.30164159999999901</v>
      </c>
      <c r="U3127">
        <v>7.5836180000000003E-3</v>
      </c>
      <c r="V3127">
        <v>-5.2543739999999999E-2</v>
      </c>
      <c r="W3127">
        <v>0.34739799999999998</v>
      </c>
      <c r="X3127">
        <v>0.93624450000000004</v>
      </c>
      <c r="Y3127">
        <v>6.594178E-3</v>
      </c>
      <c r="Z3127">
        <v>-1.0644129999999999E-3</v>
      </c>
      <c r="AA3127">
        <v>0.99997769999999997</v>
      </c>
      <c r="AB3127">
        <v>32</v>
      </c>
      <c r="AC3127">
        <v>0.55690000000001205</v>
      </c>
      <c r="AD3127">
        <v>-7.9485E-2</v>
      </c>
      <c r="AE3127">
        <v>-1.09999999997967E-3</v>
      </c>
      <c r="AF3127">
        <v>5.9630109209629599E-3</v>
      </c>
      <c r="AG3127">
        <v>-7.9485E-2</v>
      </c>
      <c r="AH3127">
        <v>0.54575031919723804</v>
      </c>
      <c r="AI3127">
        <v>98.286008186668695</v>
      </c>
      <c r="AJ3127">
        <v>89.373996217779506</v>
      </c>
      <c r="AK3127">
        <v>0.55154041885262595</v>
      </c>
      <c r="AL3127">
        <v>69.671752261445803</v>
      </c>
      <c r="AM3127">
        <v>93.212173511752496</v>
      </c>
      <c r="AN3127">
        <v>0.99999998939871804</v>
      </c>
    </row>
    <row r="3128" spans="1:40" x14ac:dyDescent="0.25">
      <c r="A3128" t="str">
        <f>"20190304164704670"</f>
        <v>20190304164704670</v>
      </c>
      <c r="B3128" t="str">
        <f>"1551689224661914"</f>
        <v>1551689224661914</v>
      </c>
      <c r="C3128" t="s">
        <v>40</v>
      </c>
      <c r="D3128">
        <v>4.2661369999999996</v>
      </c>
      <c r="E3128">
        <v>0.53388199999999997</v>
      </c>
      <c r="F3128" t="s">
        <v>41</v>
      </c>
      <c r="G3128">
        <v>-251.61670000000001</v>
      </c>
      <c r="H3128">
        <v>1.034127</v>
      </c>
      <c r="I3128">
        <v>214.7937</v>
      </c>
      <c r="J3128">
        <v>-252.11410000000001</v>
      </c>
      <c r="K3128">
        <v>1.110492</v>
      </c>
      <c r="L3128">
        <v>214.79589999999999</v>
      </c>
      <c r="M3128">
        <v>0.99991549999999996</v>
      </c>
      <c r="N3128">
        <v>-9.1985369999999997E-3</v>
      </c>
      <c r="O3128">
        <v>9.1905719999999993E-3</v>
      </c>
      <c r="P3128">
        <v>0.93881020000000004</v>
      </c>
      <c r="Q3128">
        <v>0.33935659999999901</v>
      </c>
      <c r="R3128">
        <v>5.8929799999999997E-2</v>
      </c>
      <c r="S3128">
        <v>3.3030089999999999</v>
      </c>
      <c r="T3128">
        <v>-0.29958010000000002</v>
      </c>
      <c r="U3128">
        <v>5.2032470000000003E-3</v>
      </c>
      <c r="V3128">
        <v>-5.0453339999999999E-2</v>
      </c>
      <c r="W3128">
        <v>0.3479604</v>
      </c>
      <c r="X3128">
        <v>0.93615060000000005</v>
      </c>
      <c r="Y3128">
        <v>7.5511010000000002E-3</v>
      </c>
      <c r="Z3128">
        <v>-1.1240180000000001E-3</v>
      </c>
      <c r="AA3128">
        <v>0.9999709</v>
      </c>
      <c r="AB3128">
        <v>32</v>
      </c>
      <c r="AC3128">
        <v>0.49739999999999901</v>
      </c>
      <c r="AD3128">
        <v>-7.6365000000000002E-2</v>
      </c>
      <c r="AE3128">
        <v>-2.1999999999877599E-3</v>
      </c>
      <c r="AF3128">
        <v>6.6155588245227701E-3</v>
      </c>
      <c r="AG3128">
        <v>-7.6365000000000002E-2</v>
      </c>
      <c r="AH3128">
        <v>0.48590573344786803</v>
      </c>
      <c r="AI3128">
        <v>98.930740617768507</v>
      </c>
      <c r="AJ3128">
        <v>89.219971785187695</v>
      </c>
      <c r="AK3128">
        <v>0.49191438344601301</v>
      </c>
      <c r="AL3128">
        <v>69.637384498664602</v>
      </c>
      <c r="AM3128">
        <v>93.084941099732603</v>
      </c>
      <c r="AN3128">
        <v>0.99999996268283697</v>
      </c>
    </row>
    <row r="3129" spans="1:40" x14ac:dyDescent="0.25">
      <c r="A3129" t="str">
        <f>"20190304164704694"</f>
        <v>20190304164704694</v>
      </c>
      <c r="B3129" t="str">
        <f>"1551689224681434"</f>
        <v>1551689224681434</v>
      </c>
      <c r="C3129" t="s">
        <v>40</v>
      </c>
      <c r="D3129">
        <v>4.2797780000000003</v>
      </c>
      <c r="E3129">
        <v>0.5337693</v>
      </c>
      <c r="F3129" t="s">
        <v>41</v>
      </c>
      <c r="G3129">
        <v>-251.328</v>
      </c>
      <c r="H3129">
        <v>1.03993</v>
      </c>
      <c r="I3129">
        <v>214.79570000000001</v>
      </c>
      <c r="J3129">
        <v>-251.78569999999999</v>
      </c>
      <c r="K3129">
        <v>1.110465</v>
      </c>
      <c r="L3129">
        <v>214.79900000000001</v>
      </c>
      <c r="M3129">
        <v>0.99991350000000001</v>
      </c>
      <c r="N3129">
        <v>-9.2044859999999996E-3</v>
      </c>
      <c r="O3129">
        <v>9.386742E-3</v>
      </c>
      <c r="P3129">
        <v>0.93876749999999998</v>
      </c>
      <c r="Q3129">
        <v>0.33983390000000002</v>
      </c>
      <c r="R3129">
        <v>5.6821700000000003E-2</v>
      </c>
      <c r="S3129">
        <v>3.3027190000000002</v>
      </c>
      <c r="T3129">
        <v>-0.29648330000000001</v>
      </c>
      <c r="U3129">
        <v>-3.0517579999999998E-4</v>
      </c>
      <c r="V3129">
        <v>-4.8140969999999998E-2</v>
      </c>
      <c r="W3129">
        <v>0.3484468</v>
      </c>
      <c r="X3129">
        <v>0.93609149999999997</v>
      </c>
      <c r="Y3129">
        <v>9.4074120000000004E-3</v>
      </c>
      <c r="Z3129">
        <v>-1.219489E-3</v>
      </c>
      <c r="AA3129">
        <v>0.99995500000000004</v>
      </c>
      <c r="AB3129">
        <v>32</v>
      </c>
      <c r="AC3129">
        <v>0.45769999999998801</v>
      </c>
      <c r="AD3129">
        <v>-7.0535E-2</v>
      </c>
      <c r="AE3129">
        <v>-3.2999999999958601E-3</v>
      </c>
      <c r="AF3129">
        <v>7.4201362221210697E-3</v>
      </c>
      <c r="AG3129">
        <v>-7.0535E-2</v>
      </c>
      <c r="AH3129">
        <v>0.44703277311668999</v>
      </c>
      <c r="AI3129">
        <v>98.965268840338595</v>
      </c>
      <c r="AJ3129">
        <v>89.049055289456604</v>
      </c>
      <c r="AK3129">
        <v>0.45262406573993902</v>
      </c>
      <c r="AL3129">
        <v>69.607656374801294</v>
      </c>
      <c r="AM3129">
        <v>92.943992716717204</v>
      </c>
      <c r="AN3129">
        <v>1.00000001089751</v>
      </c>
    </row>
    <row r="3130" spans="1:40" x14ac:dyDescent="0.25">
      <c r="A3130" t="str">
        <f>"20190304164704717"</f>
        <v>20190304164704717</v>
      </c>
      <c r="B3130" t="str">
        <f>"1551689224711691"</f>
        <v>1551689224711691</v>
      </c>
      <c r="C3130" t="s">
        <v>40</v>
      </c>
      <c r="D3130">
        <v>4.2656609999999997</v>
      </c>
      <c r="E3130">
        <v>0.5335491</v>
      </c>
      <c r="F3130" t="s">
        <v>41</v>
      </c>
      <c r="G3130">
        <v>-251.03960000000001</v>
      </c>
      <c r="H3130">
        <v>1.044117</v>
      </c>
      <c r="I3130">
        <v>214.79750000000001</v>
      </c>
      <c r="J3130">
        <v>-251.45400000000001</v>
      </c>
      <c r="K3130">
        <v>1.1104270000000001</v>
      </c>
      <c r="L3130">
        <v>214.8023</v>
      </c>
      <c r="M3130">
        <v>0.99991200000000002</v>
      </c>
      <c r="N3130">
        <v>-9.2105160000000002E-3</v>
      </c>
      <c r="O3130">
        <v>9.5451359999999992E-3</v>
      </c>
      <c r="P3130">
        <v>0.93909279999999995</v>
      </c>
      <c r="Q3130">
        <v>0.33931840000000002</v>
      </c>
      <c r="R3130">
        <v>5.4476190000000001E-2</v>
      </c>
      <c r="S3130">
        <v>3.3024439999999999</v>
      </c>
      <c r="T3130">
        <v>-0.293906</v>
      </c>
      <c r="U3130">
        <v>-5.5999760000000004E-3</v>
      </c>
      <c r="V3130">
        <v>-4.561991E-2</v>
      </c>
      <c r="W3130">
        <v>0.34794340000000001</v>
      </c>
      <c r="X3130">
        <v>0.93640489999999998</v>
      </c>
      <c r="Y3130">
        <v>1.1162129999999999E-2</v>
      </c>
      <c r="Z3130">
        <v>-1.3072699999999999E-3</v>
      </c>
      <c r="AA3130">
        <v>0.99993679999999996</v>
      </c>
      <c r="AB3130">
        <v>32</v>
      </c>
      <c r="AC3130">
        <v>0.41439999999999999</v>
      </c>
      <c r="AD3130">
        <v>-6.6309999999999994E-2</v>
      </c>
      <c r="AE3130">
        <v>-4.7999999999888097E-3</v>
      </c>
      <c r="AF3130">
        <v>8.5368987197079697E-3</v>
      </c>
      <c r="AG3130">
        <v>-6.6309999999999994E-2</v>
      </c>
      <c r="AH3130">
        <v>0.40399260650442498</v>
      </c>
      <c r="AI3130">
        <v>99.319180186607596</v>
      </c>
      <c r="AJ3130">
        <v>88.7894444738657</v>
      </c>
      <c r="AK3130">
        <v>0.40948738790100703</v>
      </c>
      <c r="AL3130">
        <v>69.638423418364198</v>
      </c>
      <c r="AM3130">
        <v>92.789138873281999</v>
      </c>
      <c r="AN3130">
        <v>0.99999996126798796</v>
      </c>
    </row>
    <row r="3131" spans="1:40" x14ac:dyDescent="0.25">
      <c r="A3131" t="str">
        <f>"20190304164704742"</f>
        <v>20190304164704742</v>
      </c>
      <c r="B3131" t="str">
        <f>"1551689224732186"</f>
        <v>1551689224732186</v>
      </c>
      <c r="C3131" t="s">
        <v>40</v>
      </c>
      <c r="D3131">
        <v>4.2664059999999999</v>
      </c>
      <c r="E3131">
        <v>0.53337040000000002</v>
      </c>
      <c r="F3131" t="s">
        <v>41</v>
      </c>
      <c r="G3131">
        <v>-250.4819</v>
      </c>
      <c r="H3131">
        <v>1.023028</v>
      </c>
      <c r="I3131">
        <v>214.79910000000001</v>
      </c>
      <c r="J3131">
        <v>-251.077</v>
      </c>
      <c r="K3131">
        <v>1.1103909999999999</v>
      </c>
      <c r="L3131">
        <v>214.80600000000001</v>
      </c>
      <c r="M3131">
        <v>0.99991079999999999</v>
      </c>
      <c r="N3131">
        <v>-9.2175299999999998E-3</v>
      </c>
      <c r="O3131">
        <v>9.6804920000000006E-3</v>
      </c>
      <c r="P3131">
        <v>0.93955029999999995</v>
      </c>
      <c r="Q3131">
        <v>0.33840759999999998</v>
      </c>
      <c r="R3131">
        <v>5.2207320000000002E-2</v>
      </c>
      <c r="S3131">
        <v>3.3024749999999998</v>
      </c>
      <c r="T3131">
        <v>-0.29700680000000002</v>
      </c>
      <c r="U3131">
        <v>-1.010132E-2</v>
      </c>
      <c r="V3131">
        <v>-4.3193519999999999E-2</v>
      </c>
      <c r="W3131">
        <v>0.34704740000000001</v>
      </c>
      <c r="X3131">
        <v>0.93685240000000003</v>
      </c>
      <c r="Y3131">
        <v>1.2651620000000001E-2</v>
      </c>
      <c r="Z3131">
        <v>-1.4059789999999999E-3</v>
      </c>
      <c r="AA3131">
        <v>0.999919</v>
      </c>
      <c r="AB3131">
        <v>32</v>
      </c>
      <c r="AC3131">
        <v>0.59510000000000196</v>
      </c>
      <c r="AD3131">
        <v>-8.7362999999999802E-2</v>
      </c>
      <c r="AE3131">
        <v>-6.89999999997326E-3</v>
      </c>
      <c r="AF3131">
        <v>1.2393715551563E-2</v>
      </c>
      <c r="AG3131">
        <v>-8.7362999999999802E-2</v>
      </c>
      <c r="AH3131">
        <v>0.58245430534096498</v>
      </c>
      <c r="AI3131">
        <v>98.528368471629705</v>
      </c>
      <c r="AJ3131">
        <v>88.781019482620493</v>
      </c>
      <c r="AK3131">
        <v>0.58910008976777395</v>
      </c>
      <c r="AL3131">
        <v>69.693173093392105</v>
      </c>
      <c r="AM3131">
        <v>92.639748902632505</v>
      </c>
      <c r="AN3131">
        <v>0.999999998701255</v>
      </c>
    </row>
    <row r="3132" spans="1:40" x14ac:dyDescent="0.25">
      <c r="A3132" t="str">
        <f>"20190304164704763"</f>
        <v>20190304164704763</v>
      </c>
      <c r="B3132" t="str">
        <f>"1551689224751705"</f>
        <v>1551689224751705</v>
      </c>
      <c r="C3132" t="s">
        <v>40</v>
      </c>
      <c r="D3132">
        <v>4.2859850000000002</v>
      </c>
      <c r="E3132">
        <v>0.53318540000000003</v>
      </c>
      <c r="F3132" t="s">
        <v>41</v>
      </c>
      <c r="G3132">
        <v>-250.1925</v>
      </c>
      <c r="H3132">
        <v>1.029625</v>
      </c>
      <c r="I3132">
        <v>214.80199999999999</v>
      </c>
      <c r="J3132">
        <v>-250.78389999999999</v>
      </c>
      <c r="K3132">
        <v>1.110371</v>
      </c>
      <c r="L3132">
        <v>214.80889999999999</v>
      </c>
      <c r="M3132">
        <v>0.99990979999999996</v>
      </c>
      <c r="N3132">
        <v>-9.2230760000000002E-3</v>
      </c>
      <c r="O3132">
        <v>9.7601200000000006E-3</v>
      </c>
      <c r="P3132">
        <v>0.93998680000000001</v>
      </c>
      <c r="Q3132">
        <v>0.33752569999999998</v>
      </c>
      <c r="R3132">
        <v>5.001295E-2</v>
      </c>
      <c r="S3132">
        <v>3.3024900000000001</v>
      </c>
      <c r="T3132">
        <v>-0.30160949999999997</v>
      </c>
      <c r="U3132">
        <v>-1.498413E-2</v>
      </c>
      <c r="V3132">
        <v>-4.090365E-2</v>
      </c>
      <c r="W3132">
        <v>0.34617700000000001</v>
      </c>
      <c r="X3132">
        <v>0.93727709999999997</v>
      </c>
      <c r="Y3132">
        <v>1.419948E-2</v>
      </c>
      <c r="Z3132">
        <v>-1.5123459999999999E-3</v>
      </c>
      <c r="AA3132">
        <v>0.99989799999999995</v>
      </c>
      <c r="AB3132">
        <v>32</v>
      </c>
      <c r="AC3132">
        <v>0.59139999999999204</v>
      </c>
      <c r="AD3132">
        <v>-8.0745999999999901E-2</v>
      </c>
      <c r="AE3132">
        <v>-6.89999999997326E-3</v>
      </c>
      <c r="AF3132">
        <v>1.2440180712076501E-2</v>
      </c>
      <c r="AG3132">
        <v>-8.0745999999999901E-2</v>
      </c>
      <c r="AH3132">
        <v>0.58048488116484898</v>
      </c>
      <c r="AI3132">
        <v>97.9172879421007</v>
      </c>
      <c r="AJ3132">
        <v>88.772300906439099</v>
      </c>
      <c r="AK3132">
        <v>0.58620591251975396</v>
      </c>
      <c r="AL3132">
        <v>69.746339067836701</v>
      </c>
      <c r="AM3132">
        <v>92.498855872557897</v>
      </c>
      <c r="AN3132">
        <v>0.99999999304836595</v>
      </c>
    </row>
    <row r="3133" spans="1:40" x14ac:dyDescent="0.25">
      <c r="A3133" t="str">
        <f>"20190304164704783"</f>
        <v>20190304164704783</v>
      </c>
      <c r="B3133" t="str">
        <f>"1551689224772202"</f>
        <v>1551689224772202</v>
      </c>
      <c r="C3133" t="s">
        <v>40</v>
      </c>
      <c r="D3133">
        <v>4.2777390000000004</v>
      </c>
      <c r="E3133">
        <v>0.53298489999999998</v>
      </c>
      <c r="F3133" t="s">
        <v>41</v>
      </c>
      <c r="G3133">
        <v>-249.90600000000001</v>
      </c>
      <c r="H3133">
        <v>1.029304</v>
      </c>
      <c r="I3133">
        <v>214.8038</v>
      </c>
      <c r="J3133">
        <v>-250.49619999999999</v>
      </c>
      <c r="K3133">
        <v>1.1103479999999999</v>
      </c>
      <c r="L3133">
        <v>214.81180000000001</v>
      </c>
      <c r="M3133">
        <v>0.9999093</v>
      </c>
      <c r="N3133">
        <v>-9.2283439999999994E-3</v>
      </c>
      <c r="O3133">
        <v>9.8164729999999992E-3</v>
      </c>
      <c r="P3133">
        <v>0.94056240000000002</v>
      </c>
      <c r="Q3133">
        <v>0.33617659999999899</v>
      </c>
      <c r="R3133">
        <v>4.8245320000000001E-2</v>
      </c>
      <c r="S3133">
        <v>3.3020939999999999</v>
      </c>
      <c r="T3133">
        <v>-0.30516090000000001</v>
      </c>
      <c r="U3133">
        <v>-1.8478390000000001E-2</v>
      </c>
      <c r="V3133">
        <v>-3.9062600000000003E-2</v>
      </c>
      <c r="W3133">
        <v>0.34483989999999998</v>
      </c>
      <c r="X3133">
        <v>0.93784829999999997</v>
      </c>
      <c r="Y3133">
        <v>1.530669E-2</v>
      </c>
      <c r="Z3133">
        <v>-1.5913889999999999E-3</v>
      </c>
      <c r="AA3133">
        <v>0.99988160000000004</v>
      </c>
      <c r="AB3133">
        <v>32</v>
      </c>
      <c r="AC3133">
        <v>0.59020000000000905</v>
      </c>
      <c r="AD3133">
        <v>-8.1043999999999894E-2</v>
      </c>
      <c r="AE3133">
        <v>-8.0000000000097701E-3</v>
      </c>
      <c r="AF3133">
        <v>1.35383152904444E-2</v>
      </c>
      <c r="AG3133">
        <v>-8.1043999999999894E-2</v>
      </c>
      <c r="AH3133">
        <v>0.579174277948452</v>
      </c>
      <c r="AI3133">
        <v>97.963543229326305</v>
      </c>
      <c r="AJ3133">
        <v>88.660943475948798</v>
      </c>
      <c r="AK3133">
        <v>0.58497372603734399</v>
      </c>
      <c r="AL3133">
        <v>69.827975730192307</v>
      </c>
      <c r="AM3133">
        <v>92.385065055829799</v>
      </c>
      <c r="AN3133">
        <v>0.99999993858182801</v>
      </c>
    </row>
    <row r="3134" spans="1:40" x14ac:dyDescent="0.25">
      <c r="A3134" t="str">
        <f>"20190304164704802"</f>
        <v>20190304164704802</v>
      </c>
      <c r="B3134" t="str">
        <f>"1551689224791722"</f>
        <v>1551689224791722</v>
      </c>
      <c r="C3134" t="s">
        <v>40</v>
      </c>
      <c r="D3134">
        <v>4.3137349999999897</v>
      </c>
      <c r="E3134">
        <v>0.53280950000000005</v>
      </c>
      <c r="F3134" t="s">
        <v>41</v>
      </c>
      <c r="G3134">
        <v>-249.6198</v>
      </c>
      <c r="H3134">
        <v>1.02772</v>
      </c>
      <c r="I3134">
        <v>214.80619999999999</v>
      </c>
      <c r="J3134">
        <v>-250.232</v>
      </c>
      <c r="K3134">
        <v>1.110331</v>
      </c>
      <c r="L3134">
        <v>214.81450000000001</v>
      </c>
      <c r="M3134">
        <v>0.99990889999999999</v>
      </c>
      <c r="N3134">
        <v>-9.2330610000000007E-3</v>
      </c>
      <c r="O3134">
        <v>9.8518189999999995E-3</v>
      </c>
      <c r="P3134">
        <v>0.94097940000000002</v>
      </c>
      <c r="Q3134">
        <v>0.33519670000000001</v>
      </c>
      <c r="R3134">
        <v>4.6914890000000001E-2</v>
      </c>
      <c r="S3134">
        <v>3.3019560000000001</v>
      </c>
      <c r="T3134">
        <v>-0.31136550000000002</v>
      </c>
      <c r="U3134">
        <v>-2.081299E-2</v>
      </c>
      <c r="V3134">
        <v>-3.768291E-2</v>
      </c>
      <c r="W3134">
        <v>0.34386990000000001</v>
      </c>
      <c r="X3134">
        <v>0.93826089999999995</v>
      </c>
      <c r="Y3134">
        <v>1.6041119999999999E-2</v>
      </c>
      <c r="Z3134">
        <v>-1.665021E-3</v>
      </c>
      <c r="AA3134">
        <v>0.99986989999999998</v>
      </c>
      <c r="AB3134">
        <v>32</v>
      </c>
      <c r="AC3134">
        <v>0.61220000000000097</v>
      </c>
      <c r="AD3134">
        <v>-8.2610999999999907E-2</v>
      </c>
      <c r="AE3134">
        <v>-8.3000000000197308E-3</v>
      </c>
      <c r="AF3134">
        <v>1.4074893098105499E-2</v>
      </c>
      <c r="AG3134">
        <v>-8.2610999999999907E-2</v>
      </c>
      <c r="AH3134">
        <v>0.60114421436711996</v>
      </c>
      <c r="AI3134">
        <v>97.822625378477795</v>
      </c>
      <c r="AJ3134">
        <v>88.658750028880306</v>
      </c>
      <c r="AK3134">
        <v>0.60695720310725798</v>
      </c>
      <c r="AL3134">
        <v>69.8871747512555</v>
      </c>
      <c r="AM3134">
        <v>92.299906075911807</v>
      </c>
      <c r="AN3134">
        <v>1.0000000131504401</v>
      </c>
    </row>
    <row r="3135" spans="1:40" x14ac:dyDescent="0.25">
      <c r="A3135" t="str">
        <f>"20190304164704825"</f>
        <v>20190304164704825</v>
      </c>
      <c r="B3135" t="str">
        <f>"1551689224812218"</f>
        <v>1551689224812218</v>
      </c>
      <c r="C3135" t="s">
        <v>40</v>
      </c>
      <c r="D3135">
        <v>4.3164280000000002</v>
      </c>
      <c r="E3135">
        <v>0.53260549999999995</v>
      </c>
      <c r="F3135" t="s">
        <v>41</v>
      </c>
      <c r="G3135">
        <v>-249.3339</v>
      </c>
      <c r="H3135">
        <v>1.0244169999999999</v>
      </c>
      <c r="I3135">
        <v>214.8083</v>
      </c>
      <c r="J3135">
        <v>-249.9032</v>
      </c>
      <c r="K3135">
        <v>1.110314</v>
      </c>
      <c r="L3135">
        <v>214.8177</v>
      </c>
      <c r="M3135">
        <v>0.99990860000000004</v>
      </c>
      <c r="N3135">
        <v>-9.2388290000000005E-3</v>
      </c>
      <c r="O3135">
        <v>9.8789729999999992E-3</v>
      </c>
      <c r="P3135">
        <v>0.94100839999999997</v>
      </c>
      <c r="Q3135">
        <v>0.33524229999999999</v>
      </c>
      <c r="R3135">
        <v>4.6000230000000003E-2</v>
      </c>
      <c r="S3135">
        <v>3.3018339999999902</v>
      </c>
      <c r="T3135">
        <v>-0.31605080000000002</v>
      </c>
      <c r="U3135">
        <v>-2.1499629999999999E-2</v>
      </c>
      <c r="V3135">
        <v>-3.672918E-2</v>
      </c>
      <c r="W3135">
        <v>0.34392230000000001</v>
      </c>
      <c r="X3135">
        <v>0.93827950000000004</v>
      </c>
      <c r="Y3135">
        <v>1.6271710000000002E-2</v>
      </c>
      <c r="Z3135">
        <v>-1.7046940000000001E-3</v>
      </c>
      <c r="AA3135">
        <v>0.99986609999999998</v>
      </c>
      <c r="AB3135">
        <v>32</v>
      </c>
      <c r="AC3135">
        <v>0.56929999999999803</v>
      </c>
      <c r="AD3135">
        <v>-8.5897000000000098E-2</v>
      </c>
      <c r="AE3135">
        <v>-9.3999999999994002E-3</v>
      </c>
      <c r="AF3135">
        <v>1.46895589215012E-2</v>
      </c>
      <c r="AG3135">
        <v>-8.5897000000000098E-2</v>
      </c>
      <c r="AH3135">
        <v>0.55651359735363604</v>
      </c>
      <c r="AI3135">
        <v>98.771265498486002</v>
      </c>
      <c r="AJ3135">
        <v>88.487989607804707</v>
      </c>
      <c r="AK3135">
        <v>0.56329518175623805</v>
      </c>
      <c r="AL3135">
        <v>69.883977178021595</v>
      </c>
      <c r="AM3135">
        <v>92.241712709109294</v>
      </c>
      <c r="AN3135">
        <v>1.0000000006105001</v>
      </c>
    </row>
    <row r="3136" spans="1:40" x14ac:dyDescent="0.25">
      <c r="A3136" t="str">
        <f>"20190304164704847"</f>
        <v>20190304164704847</v>
      </c>
      <c r="B3136" t="str">
        <f>"1551689224841498"</f>
        <v>1551689224841498</v>
      </c>
      <c r="C3136" t="s">
        <v>40</v>
      </c>
      <c r="D3136">
        <v>4.2901860000000003</v>
      </c>
      <c r="E3136">
        <v>0.53232829999999998</v>
      </c>
      <c r="F3136" t="s">
        <v>41</v>
      </c>
      <c r="G3136">
        <v>-249.04429999999999</v>
      </c>
      <c r="H3136">
        <v>1.0279100000000001</v>
      </c>
      <c r="I3136">
        <v>214.81180000000001</v>
      </c>
      <c r="J3136">
        <v>-249.57830000000001</v>
      </c>
      <c r="K3136">
        <v>1.1102970000000001</v>
      </c>
      <c r="L3136">
        <v>214.82089999999999</v>
      </c>
      <c r="M3136">
        <v>0.99990840000000003</v>
      </c>
      <c r="N3136">
        <v>-9.2445329999999992E-3</v>
      </c>
      <c r="O3136">
        <v>9.8930379999999998E-3</v>
      </c>
      <c r="P3136">
        <v>0.94081349999999997</v>
      </c>
      <c r="Q3136">
        <v>0.33587089999999997</v>
      </c>
      <c r="R3136">
        <v>4.5397560000000003E-2</v>
      </c>
      <c r="S3136">
        <v>3.3020480000000001</v>
      </c>
      <c r="T3136">
        <v>-0.31685659999999999</v>
      </c>
      <c r="U3136">
        <v>-2.2125240000000001E-2</v>
      </c>
      <c r="V3136">
        <v>-3.6103709999999997E-2</v>
      </c>
      <c r="W3136">
        <v>0.34455619999999998</v>
      </c>
      <c r="X3136">
        <v>0.93807119999999999</v>
      </c>
      <c r="Y3136">
        <v>1.6473129999999999E-2</v>
      </c>
      <c r="Z3136">
        <v>-1.720732E-3</v>
      </c>
      <c r="AA3136">
        <v>0.99986280000000005</v>
      </c>
      <c r="AB3136">
        <v>32</v>
      </c>
      <c r="AC3136">
        <v>0.53400000000002001</v>
      </c>
      <c r="AD3136">
        <v>-8.2386999999999697E-2</v>
      </c>
      <c r="AE3136">
        <v>-9.0999999999894499E-3</v>
      </c>
      <c r="AF3136">
        <v>1.40483637453927E-2</v>
      </c>
      <c r="AG3136">
        <v>-8.2386999999999697E-2</v>
      </c>
      <c r="AH3136">
        <v>0.52147468594009605</v>
      </c>
      <c r="AI3136">
        <v>98.974664680957204</v>
      </c>
      <c r="AJ3136">
        <v>88.456842992750495</v>
      </c>
      <c r="AK3136">
        <v>0.528129550744175</v>
      </c>
      <c r="AL3136">
        <v>69.845293379861502</v>
      </c>
      <c r="AM3136">
        <v>92.204064829465096</v>
      </c>
      <c r="AN3136">
        <v>1.00000001455182</v>
      </c>
    </row>
    <row r="3137" spans="1:40" x14ac:dyDescent="0.25">
      <c r="A3137" t="str">
        <f>"20190304164704869"</f>
        <v>20190304164704869</v>
      </c>
      <c r="B3137" t="str">
        <f>"1551689224861994"</f>
        <v>1551689224861994</v>
      </c>
      <c r="C3137" t="s">
        <v>40</v>
      </c>
      <c r="D3137">
        <v>4.3431889999999997</v>
      </c>
      <c r="E3137">
        <v>0.53216209999999997</v>
      </c>
      <c r="F3137" t="s">
        <v>41</v>
      </c>
      <c r="G3137">
        <v>-248.7542</v>
      </c>
      <c r="H3137">
        <v>1.031533</v>
      </c>
      <c r="I3137">
        <v>214.81540000000001</v>
      </c>
      <c r="J3137">
        <v>-249.262</v>
      </c>
      <c r="K3137">
        <v>1.1102939999999999</v>
      </c>
      <c r="L3137">
        <v>214.82409999999999</v>
      </c>
      <c r="M3137">
        <v>0.99990829999999997</v>
      </c>
      <c r="N3137">
        <v>-9.2501059999999993E-3</v>
      </c>
      <c r="O3137">
        <v>9.8994519999999996E-3</v>
      </c>
      <c r="P3137">
        <v>0.94067040000000002</v>
      </c>
      <c r="Q3137">
        <v>0.3364432</v>
      </c>
      <c r="R3137">
        <v>4.4106199999999998E-2</v>
      </c>
      <c r="S3137">
        <v>3.302521</v>
      </c>
      <c r="T3137">
        <v>-0.31577709999999998</v>
      </c>
      <c r="U3137">
        <v>-2.1697999999999999E-2</v>
      </c>
      <c r="V3137">
        <v>-3.4799080000000003E-2</v>
      </c>
      <c r="W3137">
        <v>0.34513310000000003</v>
      </c>
      <c r="X3137">
        <v>0.93790839999999998</v>
      </c>
      <c r="Y3137">
        <v>1.6350679999999999E-2</v>
      </c>
      <c r="Z3137">
        <v>-1.7087329999999901E-3</v>
      </c>
      <c r="AA3137">
        <v>0.99986489999999995</v>
      </c>
      <c r="AB3137">
        <v>32</v>
      </c>
      <c r="AC3137">
        <v>0.50780000000000303</v>
      </c>
      <c r="AD3137">
        <v>-7.8760999999999998E-2</v>
      </c>
      <c r="AE3137">
        <v>-8.6999999999761695E-3</v>
      </c>
      <c r="AF3137">
        <v>1.34043592628992E-2</v>
      </c>
      <c r="AG3137">
        <v>-7.8760999999999998E-2</v>
      </c>
      <c r="AH3137">
        <v>0.49576596563525199</v>
      </c>
      <c r="AI3137">
        <v>99.023743285004599</v>
      </c>
      <c r="AJ3137">
        <v>88.451232638582198</v>
      </c>
      <c r="AK3137">
        <v>0.50216218958669401</v>
      </c>
      <c r="AL3137">
        <v>69.810079099504406</v>
      </c>
      <c r="AM3137">
        <v>92.124862351629204</v>
      </c>
      <c r="AN3137">
        <v>0.99999999973750797</v>
      </c>
    </row>
    <row r="3138" spans="1:40" x14ac:dyDescent="0.25">
      <c r="A3138" t="str">
        <f>"20190304164704891"</f>
        <v>20190304164704891</v>
      </c>
      <c r="B3138" t="str">
        <f>"1551689224881514"</f>
        <v>1551689224881514</v>
      </c>
      <c r="C3138" t="s">
        <v>40</v>
      </c>
      <c r="D3138">
        <v>4.2955860000000001</v>
      </c>
      <c r="E3138">
        <v>0.53199510000000005</v>
      </c>
      <c r="F3138" t="s">
        <v>41</v>
      </c>
      <c r="G3138">
        <v>-248.464</v>
      </c>
      <c r="H3138">
        <v>1.0347150000000001</v>
      </c>
      <c r="I3138">
        <v>214.81809999999999</v>
      </c>
      <c r="J3138">
        <v>-248.94200000000001</v>
      </c>
      <c r="K3138">
        <v>1.1102890000000001</v>
      </c>
      <c r="L3138">
        <v>214.82730000000001</v>
      </c>
      <c r="M3138">
        <v>0.99990820000000002</v>
      </c>
      <c r="N3138">
        <v>-9.2557669999999998E-3</v>
      </c>
      <c r="O3138">
        <v>9.9015430000000005E-3</v>
      </c>
      <c r="P3138">
        <v>0.94062979999999996</v>
      </c>
      <c r="Q3138">
        <v>0.33676640000000002</v>
      </c>
      <c r="R3138">
        <v>4.2471009999999997E-2</v>
      </c>
      <c r="S3138">
        <v>3.3022459999999998</v>
      </c>
      <c r="T3138">
        <v>-0.31287540000000003</v>
      </c>
      <c r="U3138">
        <v>-2.42157E-2</v>
      </c>
      <c r="V3138">
        <v>-3.3156100000000001E-2</v>
      </c>
      <c r="W3138">
        <v>0.34546159999999998</v>
      </c>
      <c r="X3138">
        <v>0.93784699999999999</v>
      </c>
      <c r="Y3138">
        <v>1.7113980000000001E-2</v>
      </c>
      <c r="Z3138">
        <v>-1.7328790000000001E-3</v>
      </c>
      <c r="AA3138">
        <v>0.99985210000000002</v>
      </c>
      <c r="AB3138">
        <v>32</v>
      </c>
      <c r="AC3138">
        <v>0.47799999999998</v>
      </c>
      <c r="AD3138">
        <v>-7.5573999999999794E-2</v>
      </c>
      <c r="AE3138">
        <v>-9.2000000000211895E-3</v>
      </c>
      <c r="AF3138">
        <v>1.3593028975467001E-2</v>
      </c>
      <c r="AG3138">
        <v>-7.5573999999999794E-2</v>
      </c>
      <c r="AH3138">
        <v>0.46623526985296698</v>
      </c>
      <c r="AI3138">
        <v>99.203384693405496</v>
      </c>
      <c r="AJ3138">
        <v>88.330022017513201</v>
      </c>
      <c r="AK3138">
        <v>0.47251616561510001</v>
      </c>
      <c r="AL3138">
        <v>69.7900243294267</v>
      </c>
      <c r="AM3138">
        <v>92.024758548468</v>
      </c>
      <c r="AN3138">
        <v>1.00000001972538</v>
      </c>
    </row>
    <row r="3139" spans="1:40" x14ac:dyDescent="0.25">
      <c r="A3139" t="str">
        <f>"20190304164704914"</f>
        <v>20190304164704914</v>
      </c>
      <c r="B3139" t="str">
        <f>"1551689224902010"</f>
        <v>1551689224902010</v>
      </c>
      <c r="C3139" t="s">
        <v>40</v>
      </c>
      <c r="D3139">
        <v>4.3041879999999999</v>
      </c>
      <c r="E3139">
        <v>0.53186639999999996</v>
      </c>
      <c r="F3139" t="s">
        <v>41</v>
      </c>
      <c r="G3139">
        <v>-248.17330000000001</v>
      </c>
      <c r="H3139">
        <v>1.0378609999999999</v>
      </c>
      <c r="I3139">
        <v>214.82050000000001</v>
      </c>
      <c r="J3139">
        <v>-248.61189999999999</v>
      </c>
      <c r="K3139">
        <v>1.1102890000000001</v>
      </c>
      <c r="L3139">
        <v>214.8305</v>
      </c>
      <c r="M3139">
        <v>0.99990809999999997</v>
      </c>
      <c r="N3139">
        <v>-9.2659439999999999E-3</v>
      </c>
      <c r="O3139">
        <v>9.9008989999999995E-3</v>
      </c>
      <c r="P3139">
        <v>0.94057250000000003</v>
      </c>
      <c r="Q3139">
        <v>0.33719969999999999</v>
      </c>
      <c r="R3139">
        <v>4.0247970000000001E-2</v>
      </c>
      <c r="S3139">
        <v>3.3020480000000001</v>
      </c>
      <c r="T3139">
        <v>-0.31131110000000001</v>
      </c>
      <c r="U3139">
        <v>-2.793884E-2</v>
      </c>
      <c r="V3139">
        <v>-3.092984E-2</v>
      </c>
      <c r="W3139">
        <v>0.34590409999999999</v>
      </c>
      <c r="X3139">
        <v>0.93775989999999998</v>
      </c>
      <c r="Y3139">
        <v>1.8236769999999999E-2</v>
      </c>
      <c r="Z3139">
        <v>-1.7822440000000001E-3</v>
      </c>
      <c r="AA3139">
        <v>0.9998321</v>
      </c>
      <c r="AB3139">
        <v>32</v>
      </c>
      <c r="AC3139">
        <v>0.43859999999997901</v>
      </c>
      <c r="AD3139">
        <v>-7.2427999999999701E-2</v>
      </c>
      <c r="AE3139">
        <v>-9.9999999999908998E-3</v>
      </c>
      <c r="AF3139">
        <v>1.39617008130756E-2</v>
      </c>
      <c r="AG3139">
        <v>-7.2427999999999701E-2</v>
      </c>
      <c r="AH3139">
        <v>0.42684570427037299</v>
      </c>
      <c r="AI3139">
        <v>99.625280629813602</v>
      </c>
      <c r="AJ3139">
        <v>88.126579641543003</v>
      </c>
      <c r="AK3139">
        <v>0.433172020711939</v>
      </c>
      <c r="AL3139">
        <v>69.763004118988405</v>
      </c>
      <c r="AM3139">
        <v>91.8890838654996</v>
      </c>
      <c r="AN3139">
        <v>0.99999996572362204</v>
      </c>
    </row>
    <row r="3140" spans="1:40" x14ac:dyDescent="0.25">
      <c r="A3140" t="str">
        <f>"20190304164704941"</f>
        <v>20190304164704941</v>
      </c>
      <c r="B3140" t="str">
        <f>"1551689224932267"</f>
        <v>1551689224932267</v>
      </c>
      <c r="C3140" t="s">
        <v>40</v>
      </c>
      <c r="D3140">
        <v>4.1595979999999999</v>
      </c>
      <c r="E3140">
        <v>0.55778280000000002</v>
      </c>
      <c r="F3140" t="s">
        <v>41</v>
      </c>
      <c r="G3140">
        <v>-247.88059999999999</v>
      </c>
      <c r="H3140">
        <v>1.0416620000000001</v>
      </c>
      <c r="I3140">
        <v>214.8228</v>
      </c>
      <c r="J3140">
        <v>-248.23410000000001</v>
      </c>
      <c r="K3140">
        <v>1.1102879999999999</v>
      </c>
      <c r="L3140">
        <v>214.83430000000001</v>
      </c>
      <c r="M3140">
        <v>0.99990800000000002</v>
      </c>
      <c r="N3140">
        <v>-9.2897429999999996E-3</v>
      </c>
      <c r="O3140">
        <v>9.8988989999999992E-3</v>
      </c>
      <c r="P3140">
        <v>0.94074789999999997</v>
      </c>
      <c r="Q3140">
        <v>0.337009</v>
      </c>
      <c r="R3140">
        <v>3.7663179999999997E-2</v>
      </c>
      <c r="S3140">
        <v>3.302155</v>
      </c>
      <c r="T3140">
        <v>-0.3100213</v>
      </c>
      <c r="U3140">
        <v>-3.4088130000000001E-2</v>
      </c>
      <c r="V3140">
        <v>-2.834209E-2</v>
      </c>
      <c r="W3140">
        <v>0.34573720000000002</v>
      </c>
      <c r="X3140">
        <v>0.9379033</v>
      </c>
      <c r="Y3140">
        <v>2.0088290000000002E-2</v>
      </c>
      <c r="Z3140">
        <v>-1.869948E-3</v>
      </c>
      <c r="AA3140">
        <v>0.99979649999999998</v>
      </c>
      <c r="AB3140">
        <v>32</v>
      </c>
      <c r="AC3140">
        <v>0.35350000000002502</v>
      </c>
      <c r="AD3140">
        <v>-6.8625999999999798E-2</v>
      </c>
      <c r="AE3140">
        <v>-1.15000000000122E-2</v>
      </c>
      <c r="AF3140">
        <v>1.44546621167912E-2</v>
      </c>
      <c r="AG3140">
        <v>-6.8625999999999798E-2</v>
      </c>
      <c r="AH3140">
        <v>0.34054796783305702</v>
      </c>
      <c r="AI3140">
        <v>101.38346795042099</v>
      </c>
      <c r="AJ3140">
        <v>87.569522090136601</v>
      </c>
      <c r="AK3140">
        <v>0.34769438236493799</v>
      </c>
      <c r="AL3140">
        <v>69.773197220459807</v>
      </c>
      <c r="AM3140">
        <v>91.730869399127698</v>
      </c>
      <c r="AN3140">
        <v>1.0000000428401401</v>
      </c>
    </row>
    <row r="3141" spans="1:40" x14ac:dyDescent="0.25">
      <c r="A3141" t="str">
        <f>"20190304164704963"</f>
        <v>20190304164704963</v>
      </c>
      <c r="B3141" t="str">
        <f>"1551689224951787"</f>
        <v>1551689224951787</v>
      </c>
      <c r="C3141" t="s">
        <v>40</v>
      </c>
      <c r="D3141">
        <v>4.1942659999999998</v>
      </c>
      <c r="E3141">
        <v>0.5633051</v>
      </c>
      <c r="F3141" t="s">
        <v>41</v>
      </c>
      <c r="G3141">
        <v>-247.3098</v>
      </c>
      <c r="H3141">
        <v>1.0246029999999999</v>
      </c>
      <c r="I3141">
        <v>214.76400000000001</v>
      </c>
      <c r="J3141">
        <v>-247.8946</v>
      </c>
      <c r="K3141">
        <v>1.110285</v>
      </c>
      <c r="L3141">
        <v>214.83760000000001</v>
      </c>
      <c r="M3141">
        <v>0.99990760000000001</v>
      </c>
      <c r="N3141">
        <v>-9.3148559999999998E-3</v>
      </c>
      <c r="O3141">
        <v>9.8974449999999995E-3</v>
      </c>
      <c r="P3141">
        <v>0.9409556</v>
      </c>
      <c r="Q3141">
        <v>0.33676440000000002</v>
      </c>
      <c r="R3141">
        <v>3.4527120000000001E-2</v>
      </c>
      <c r="S3141">
        <v>3.308929</v>
      </c>
      <c r="T3141">
        <v>-0.30690519999999999</v>
      </c>
      <c r="U3141">
        <v>-0.25073240000000002</v>
      </c>
      <c r="V3141">
        <v>-2.5203679999999999E-2</v>
      </c>
      <c r="W3141">
        <v>0.34551799999999999</v>
      </c>
      <c r="X3141">
        <v>0.93807359999999995</v>
      </c>
      <c r="Y3141">
        <v>8.4990040000000003E-2</v>
      </c>
      <c r="Z3141">
        <v>-5.1476630000000002E-3</v>
      </c>
      <c r="AA3141">
        <v>0.99636849999999999</v>
      </c>
      <c r="AB3141">
        <v>32</v>
      </c>
      <c r="AC3141">
        <v>0.58480000000000099</v>
      </c>
      <c r="AD3141">
        <v>-8.56819999999998E-2</v>
      </c>
      <c r="AE3141">
        <v>-7.3599999999999E-2</v>
      </c>
      <c r="AF3141">
        <v>7.7741835998526507E-2</v>
      </c>
      <c r="AG3141">
        <v>-8.56819999999998E-2</v>
      </c>
      <c r="AH3141">
        <v>0.571956323011094</v>
      </c>
      <c r="AI3141">
        <v>98.443342633936695</v>
      </c>
      <c r="AJ3141">
        <v>82.259639183236303</v>
      </c>
      <c r="AK3141">
        <v>0.58354025878322502</v>
      </c>
      <c r="AL3141">
        <v>69.786580312063293</v>
      </c>
      <c r="AM3141">
        <v>91.539023346282505</v>
      </c>
      <c r="AN3141">
        <v>0.99999999641325099</v>
      </c>
    </row>
    <row r="3142" spans="1:40" x14ac:dyDescent="0.25">
      <c r="A3142" t="str">
        <f>"20190304164704981"</f>
        <v>20190304164704981</v>
      </c>
      <c r="B3142" t="str">
        <f>"1551689224972282"</f>
        <v>1551689224972282</v>
      </c>
      <c r="C3142" t="s">
        <v>40</v>
      </c>
      <c r="D3142">
        <v>4.1776869999999997</v>
      </c>
      <c r="E3142">
        <v>0.56585600000000003</v>
      </c>
      <c r="F3142" t="s">
        <v>41</v>
      </c>
      <c r="G3142">
        <v>-247.0121</v>
      </c>
      <c r="H3142">
        <v>1.038567</v>
      </c>
      <c r="I3142">
        <v>214.75460000000001</v>
      </c>
      <c r="J3142">
        <v>-247.6413</v>
      </c>
      <c r="K3142">
        <v>1.110276</v>
      </c>
      <c r="L3142">
        <v>214.84010000000001</v>
      </c>
      <c r="M3142">
        <v>0.99990760000000001</v>
      </c>
      <c r="N3142">
        <v>-9.3336170000000006E-3</v>
      </c>
      <c r="O3142">
        <v>9.8965089999999995E-3</v>
      </c>
      <c r="P3142">
        <v>0.94101170000000001</v>
      </c>
      <c r="Q3142">
        <v>0.33687470000000003</v>
      </c>
      <c r="R3142">
        <v>3.182695E-2</v>
      </c>
      <c r="S3142">
        <v>3.2955019999999902</v>
      </c>
      <c r="T3142">
        <v>-0.26795839999999999</v>
      </c>
      <c r="U3142">
        <v>-0.30917359999999999</v>
      </c>
      <c r="V3142">
        <v>-2.2502930000000001E-2</v>
      </c>
      <c r="W3142">
        <v>0.34564640000000002</v>
      </c>
      <c r="X3142">
        <v>0.93809500000000001</v>
      </c>
      <c r="Y3142">
        <v>0.1028548</v>
      </c>
      <c r="Z3142">
        <v>-5.357199E-3</v>
      </c>
      <c r="AA3142">
        <v>0.99468199999999996</v>
      </c>
      <c r="AB3142">
        <v>32</v>
      </c>
      <c r="AC3142">
        <v>0.62919999999999698</v>
      </c>
      <c r="AD3142">
        <v>-7.1708999999999995E-2</v>
      </c>
      <c r="AE3142">
        <v>-8.5499999999996107E-2</v>
      </c>
      <c r="AF3142">
        <v>9.0567923566341094E-2</v>
      </c>
      <c r="AG3142">
        <v>-7.1708999999999995E-2</v>
      </c>
      <c r="AH3142">
        <v>0.620410692010952</v>
      </c>
      <c r="AI3142">
        <v>96.524619418576805</v>
      </c>
      <c r="AJ3142">
        <v>81.694593293046296</v>
      </c>
      <c r="AK3142">
        <v>0.63107381202330604</v>
      </c>
      <c r="AL3142">
        <v>69.778741059516193</v>
      </c>
      <c r="AM3142">
        <v>91.374141958493993</v>
      </c>
      <c r="AN3142">
        <v>1.0000000223582699</v>
      </c>
    </row>
    <row r="3143" spans="1:40" x14ac:dyDescent="0.25">
      <c r="A3143" t="str">
        <f>"20190304164705003"</f>
        <v>20190304164705003</v>
      </c>
      <c r="B3143" t="str">
        <f>"1551689224991802"</f>
        <v>1551689224991802</v>
      </c>
      <c r="C3143" t="s">
        <v>40</v>
      </c>
      <c r="D3143">
        <v>4.130541</v>
      </c>
      <c r="E3143">
        <v>0.56698230000000005</v>
      </c>
      <c r="F3143" t="s">
        <v>41</v>
      </c>
      <c r="G3143">
        <v>-246.7192</v>
      </c>
      <c r="H3143">
        <v>1.0416749999999999</v>
      </c>
      <c r="I3143">
        <v>214.7439</v>
      </c>
      <c r="J3143">
        <v>-247.3236</v>
      </c>
      <c r="K3143">
        <v>1.1102749999999999</v>
      </c>
      <c r="L3143">
        <v>214.8433</v>
      </c>
      <c r="M3143">
        <v>0.9999074</v>
      </c>
      <c r="N3143">
        <v>-9.3582979999999993E-3</v>
      </c>
      <c r="O3143">
        <v>9.8962000000000008E-3</v>
      </c>
      <c r="P3143">
        <v>0.94136560000000002</v>
      </c>
      <c r="Q3143">
        <v>0.33605839999999998</v>
      </c>
      <c r="R3143">
        <v>2.9929649999999999E-2</v>
      </c>
      <c r="S3143">
        <v>3.2872309999999998</v>
      </c>
      <c r="T3143">
        <v>-0.24466309999999999</v>
      </c>
      <c r="U3143">
        <v>-0.34268189999999998</v>
      </c>
      <c r="V3143">
        <v>-2.0601459999999999E-2</v>
      </c>
      <c r="W3143">
        <v>0.34485650000000001</v>
      </c>
      <c r="X3143">
        <v>0.93842930000000002</v>
      </c>
      <c r="Y3143">
        <v>0.1131529</v>
      </c>
      <c r="Z3143">
        <v>-5.3668819999999999E-3</v>
      </c>
      <c r="AA3143">
        <v>0.99356310000000003</v>
      </c>
      <c r="AB3143">
        <v>33</v>
      </c>
      <c r="AC3143">
        <v>0.60439999999999805</v>
      </c>
      <c r="AD3143">
        <v>-6.8599999999999994E-2</v>
      </c>
      <c r="AE3143">
        <v>-9.9400000000002806E-2</v>
      </c>
      <c r="AF3143">
        <v>0.104071268027092</v>
      </c>
      <c r="AG3143">
        <v>-6.8599999999999994E-2</v>
      </c>
      <c r="AH3143">
        <v>0.59591202280914501</v>
      </c>
      <c r="AI3143">
        <v>96.469776488988302</v>
      </c>
      <c r="AJ3143">
        <v>80.093658030820194</v>
      </c>
      <c r="AK3143">
        <v>0.60880861340593195</v>
      </c>
      <c r="AL3143">
        <v>69.826963514094601</v>
      </c>
      <c r="AM3143">
        <v>91.257619664131994</v>
      </c>
      <c r="AN3143">
        <v>0.99999998842243498</v>
      </c>
    </row>
    <row r="3144" spans="1:40" x14ac:dyDescent="0.25">
      <c r="A3144" t="str">
        <f>"20190304164705025"</f>
        <v>20190304164705025</v>
      </c>
      <c r="B3144" t="str">
        <f>"1551689225022059"</f>
        <v>1551689225022059</v>
      </c>
      <c r="C3144" t="s">
        <v>40</v>
      </c>
      <c r="D3144">
        <v>4.0916459999999999</v>
      </c>
      <c r="E3144">
        <v>0.56803990000000004</v>
      </c>
      <c r="F3144" t="s">
        <v>41</v>
      </c>
      <c r="G3144">
        <v>-246.4247</v>
      </c>
      <c r="H3144">
        <v>1.0456829999999999</v>
      </c>
      <c r="I3144">
        <v>214.74440000000001</v>
      </c>
      <c r="J3144">
        <v>-246.98580000000001</v>
      </c>
      <c r="K3144">
        <v>1.1102810000000001</v>
      </c>
      <c r="L3144">
        <v>214.8466</v>
      </c>
      <c r="M3144">
        <v>0.99990710000000005</v>
      </c>
      <c r="N3144">
        <v>-9.3885010000000005E-3</v>
      </c>
      <c r="O3144">
        <v>9.8929880000000001E-3</v>
      </c>
      <c r="P3144">
        <v>0.94150630000000002</v>
      </c>
      <c r="Q3144">
        <v>0.33582009999999901</v>
      </c>
      <c r="R3144">
        <v>2.8131659999999999E-2</v>
      </c>
      <c r="S3144">
        <v>3.2825929999999999</v>
      </c>
      <c r="T3144">
        <v>-0.23609939999999999</v>
      </c>
      <c r="U3144">
        <v>-0.3600159</v>
      </c>
      <c r="V3144">
        <v>-1.8803199999999999E-2</v>
      </c>
      <c r="W3144">
        <v>0.3446475</v>
      </c>
      <c r="X3144">
        <v>0.93854389999999999</v>
      </c>
      <c r="Y3144">
        <v>0.118488</v>
      </c>
      <c r="Z3144">
        <v>-5.4177399999999999E-3</v>
      </c>
      <c r="AA3144">
        <v>0.99294070000000001</v>
      </c>
      <c r="AB3144">
        <v>33</v>
      </c>
      <c r="AC3144">
        <v>0.56110000000001004</v>
      </c>
      <c r="AD3144">
        <v>-6.4597999999999905E-2</v>
      </c>
      <c r="AE3144">
        <v>-0.102199999999982</v>
      </c>
      <c r="AF3144">
        <v>0.106381459673753</v>
      </c>
      <c r="AG3144">
        <v>-6.4597999999999905E-2</v>
      </c>
      <c r="AH3144">
        <v>0.55296756428775495</v>
      </c>
      <c r="AI3144">
        <v>96.544191637565604</v>
      </c>
      <c r="AJ3144">
        <v>79.110321987584399</v>
      </c>
      <c r="AK3144">
        <v>0.56680070899801405</v>
      </c>
      <c r="AL3144">
        <v>69.8397218284709</v>
      </c>
      <c r="AM3144">
        <v>91.147735225871202</v>
      </c>
      <c r="AN3144">
        <v>1.00000005590684</v>
      </c>
    </row>
    <row r="3145" spans="1:40" x14ac:dyDescent="0.25">
      <c r="A3145" t="str">
        <f>"20190304164705048"</f>
        <v>20190304164705048</v>
      </c>
      <c r="B3145" t="str">
        <f>"1551689225041578"</f>
        <v>1551689225041578</v>
      </c>
      <c r="C3145" t="s">
        <v>40</v>
      </c>
      <c r="D3145">
        <v>4.0904150000000001</v>
      </c>
      <c r="E3145">
        <v>0.56828219999999996</v>
      </c>
      <c r="F3145" t="s">
        <v>41</v>
      </c>
      <c r="G3145">
        <v>-246.1283</v>
      </c>
      <c r="H3145">
        <v>1.051091</v>
      </c>
      <c r="I3145">
        <v>214.74809999999999</v>
      </c>
      <c r="J3145">
        <v>-246.65799999999999</v>
      </c>
      <c r="K3145">
        <v>1.1102780000000001</v>
      </c>
      <c r="L3145">
        <v>214.84979999999999</v>
      </c>
      <c r="M3145">
        <v>0.99990679999999998</v>
      </c>
      <c r="N3145">
        <v>-9.4220499999999995E-3</v>
      </c>
      <c r="O3145">
        <v>9.8788020000000008E-3</v>
      </c>
      <c r="P3145">
        <v>0.94149439999999995</v>
      </c>
      <c r="Q3145">
        <v>0.33600750000000001</v>
      </c>
      <c r="R3145">
        <v>2.6211410000000001E-2</v>
      </c>
      <c r="S3145">
        <v>3.2783809999999902</v>
      </c>
      <c r="T3145">
        <v>-0.22638929999999999</v>
      </c>
      <c r="U3145">
        <v>-0.37590030000000002</v>
      </c>
      <c r="V3145">
        <v>-1.689075E-2</v>
      </c>
      <c r="W3145">
        <v>0.34486630000000001</v>
      </c>
      <c r="X3145">
        <v>0.9384998</v>
      </c>
      <c r="Y3145">
        <v>0.1233759</v>
      </c>
      <c r="Z3145">
        <v>-5.4114480000000001E-3</v>
      </c>
      <c r="AA3145">
        <v>0.99234529999999999</v>
      </c>
      <c r="AB3145">
        <v>33</v>
      </c>
      <c r="AC3145">
        <v>0.52969999999999096</v>
      </c>
      <c r="AD3145">
        <v>-5.9187000000000101E-2</v>
      </c>
      <c r="AE3145">
        <v>-0.101699999999993</v>
      </c>
      <c r="AF3145">
        <v>0.10565584211252201</v>
      </c>
      <c r="AG3145">
        <v>-5.9187000000000101E-2</v>
      </c>
      <c r="AH3145">
        <v>0.522379330290212</v>
      </c>
      <c r="AI3145">
        <v>96.336956949691398</v>
      </c>
      <c r="AJ3145">
        <v>78.565677027932495</v>
      </c>
      <c r="AK3145">
        <v>0.536233552340728</v>
      </c>
      <c r="AL3145">
        <v>69.826364897983197</v>
      </c>
      <c r="AM3145">
        <v>91.031075570704303</v>
      </c>
      <c r="AN3145">
        <v>0.99999996845564498</v>
      </c>
    </row>
    <row r="3146" spans="1:40" x14ac:dyDescent="0.25">
      <c r="A3146" t="str">
        <f>"20190304164705070"</f>
        <v>20190304164705070</v>
      </c>
      <c r="B3146" t="str">
        <f>"1551689225062074"</f>
        <v>1551689225062074</v>
      </c>
      <c r="C3146" t="s">
        <v>40</v>
      </c>
      <c r="D3146">
        <v>4.0674169999999998</v>
      </c>
      <c r="E3146">
        <v>0.56841419999999998</v>
      </c>
      <c r="F3146" t="s">
        <v>49</v>
      </c>
      <c r="G3146">
        <v>-230.27350000000001</v>
      </c>
      <c r="H3146" s="1">
        <v>-1.3176159999999999E-6</v>
      </c>
      <c r="I3146">
        <v>212.93119999999999</v>
      </c>
      <c r="J3146">
        <v>-246.3382</v>
      </c>
      <c r="K3146">
        <v>1.1102669999999999</v>
      </c>
      <c r="L3146">
        <v>214.85300000000001</v>
      </c>
      <c r="M3146">
        <v>0.99990690000000004</v>
      </c>
      <c r="N3146">
        <v>-9.4613409999999998E-3</v>
      </c>
      <c r="O3146">
        <v>9.8464580000000006E-3</v>
      </c>
      <c r="P3146">
        <v>0.94175739999999997</v>
      </c>
      <c r="Q3146">
        <v>0.33537349999999999</v>
      </c>
      <c r="R3146">
        <v>2.4860529999999999E-2</v>
      </c>
      <c r="S3146">
        <v>3.2763520000000002</v>
      </c>
      <c r="T3146">
        <v>-0.22201789999999999</v>
      </c>
      <c r="U3146">
        <v>-0.38365169999999998</v>
      </c>
      <c r="V3146">
        <v>-1.555718E-2</v>
      </c>
      <c r="W3146">
        <v>0.34427190000000002</v>
      </c>
      <c r="X3146">
        <v>0.93874109999999999</v>
      </c>
      <c r="Y3146">
        <v>0.12573579999999901</v>
      </c>
      <c r="Z3146">
        <v>-5.4100179999999999E-3</v>
      </c>
      <c r="AA3146">
        <v>0.99204899999999996</v>
      </c>
      <c r="AB3146">
        <v>33</v>
      </c>
      <c r="AC3146">
        <v>16.064699999999899</v>
      </c>
      <c r="AD3146">
        <v>-1.110268317616</v>
      </c>
      <c r="AE3146">
        <v>-1.92179999999999</v>
      </c>
      <c r="AF3146">
        <v>2.0701457208431702</v>
      </c>
      <c r="AG3146">
        <v>-1.110268317616</v>
      </c>
      <c r="AH3146">
        <v>15.9697937548534</v>
      </c>
      <c r="AI3146">
        <v>93.944082497088004</v>
      </c>
      <c r="AJ3146">
        <v>82.614001762108799</v>
      </c>
      <c r="AK3146">
        <v>16.141639062226002</v>
      </c>
      <c r="AL3146">
        <v>69.862644028020995</v>
      </c>
      <c r="AM3146">
        <v>90.949440869564995</v>
      </c>
      <c r="AN3146">
        <v>1.0000000099041799</v>
      </c>
    </row>
    <row r="3147" spans="1:40" x14ac:dyDescent="0.25">
      <c r="A3147" t="str">
        <f>"20190304164705093"</f>
        <v>20190304164705093</v>
      </c>
      <c r="B3147" t="str">
        <f>"1551689225081594"</f>
        <v>1551689225081594</v>
      </c>
      <c r="C3147" t="s">
        <v>40</v>
      </c>
      <c r="D3147">
        <v>4.0651669999999998</v>
      </c>
      <c r="E3147">
        <v>0.56839379999999995</v>
      </c>
      <c r="F3147" t="s">
        <v>49</v>
      </c>
      <c r="G3147">
        <v>-229.97800000000001</v>
      </c>
      <c r="H3147" s="1">
        <v>-1.473908E-6</v>
      </c>
      <c r="I3147">
        <v>212.91040000000001</v>
      </c>
      <c r="J3147">
        <v>-246.01240000000001</v>
      </c>
      <c r="K3147">
        <v>1.1102559999999999</v>
      </c>
      <c r="L3147">
        <v>214.8561</v>
      </c>
      <c r="M3147">
        <v>0.99990699999999999</v>
      </c>
      <c r="N3147">
        <v>-9.5094570000000007E-3</v>
      </c>
      <c r="O3147">
        <v>9.7896189999999994E-3</v>
      </c>
      <c r="P3147">
        <v>0.94191270000000005</v>
      </c>
      <c r="Q3147">
        <v>0.33500010000000002</v>
      </c>
      <c r="R3147">
        <v>2.3998499999999999E-2</v>
      </c>
      <c r="S3147">
        <v>3.2749329999999999</v>
      </c>
      <c r="T3147">
        <v>-0.22225010000000001</v>
      </c>
      <c r="U3147">
        <v>-0.38885500000000001</v>
      </c>
      <c r="V3147">
        <v>-1.473139E-2</v>
      </c>
      <c r="W3147">
        <v>0.34394599999999997</v>
      </c>
      <c r="X3147">
        <v>0.93887390000000004</v>
      </c>
      <c r="Y3147">
        <v>0.12727849999999999</v>
      </c>
      <c r="Z3147">
        <v>-5.4756020000000004E-3</v>
      </c>
      <c r="AA3147">
        <v>0.99185190000000001</v>
      </c>
      <c r="AB3147">
        <v>33</v>
      </c>
      <c r="AC3147">
        <v>16.034400000000002</v>
      </c>
      <c r="AD3147">
        <v>-1.110257473908</v>
      </c>
      <c r="AE3147">
        <v>-1.94569999999998</v>
      </c>
      <c r="AF3147">
        <v>2.0926966895081902</v>
      </c>
      <c r="AG3147">
        <v>-1.110257473908</v>
      </c>
      <c r="AH3147">
        <v>15.939271390668599</v>
      </c>
      <c r="AI3147">
        <v>93.950732481037903</v>
      </c>
      <c r="AJ3147">
        <v>82.520311562307995</v>
      </c>
      <c r="AK3147">
        <v>16.114354580870799</v>
      </c>
      <c r="AL3147">
        <v>69.882531712807804</v>
      </c>
      <c r="AM3147">
        <v>90.898924997193902</v>
      </c>
      <c r="AN3147">
        <v>1.0000000324342699</v>
      </c>
    </row>
    <row r="3148" spans="1:40" x14ac:dyDescent="0.25">
      <c r="A3148" t="str">
        <f>"20190304164705115"</f>
        <v>20190304164705115</v>
      </c>
      <c r="B3148" t="str">
        <f>"1551689225111851"</f>
        <v>1551689225111851</v>
      </c>
      <c r="C3148" t="s">
        <v>40</v>
      </c>
      <c r="D3148">
        <v>4.0693099999999998</v>
      </c>
      <c r="E3148">
        <v>0.56823849999999998</v>
      </c>
      <c r="F3148" t="s">
        <v>49</v>
      </c>
      <c r="G3148">
        <v>-229.64830000000001</v>
      </c>
      <c r="H3148" s="1">
        <v>3.672493E-6</v>
      </c>
      <c r="I3148">
        <v>212.90129999999999</v>
      </c>
      <c r="J3148">
        <v>-245.68600000000001</v>
      </c>
      <c r="K3148">
        <v>1.1102369999999999</v>
      </c>
      <c r="L3148">
        <v>214.85919999999999</v>
      </c>
      <c r="M3148">
        <v>0.99990730000000005</v>
      </c>
      <c r="N3148">
        <v>-9.5662339999999998E-3</v>
      </c>
      <c r="O3148">
        <v>9.7038379999999994E-3</v>
      </c>
      <c r="P3148">
        <v>0.94190770000000001</v>
      </c>
      <c r="Q3148">
        <v>0.3350359</v>
      </c>
      <c r="R3148">
        <v>2.3687380000000001E-2</v>
      </c>
      <c r="S3148">
        <v>3.2739720000000001</v>
      </c>
      <c r="T3148">
        <v>-0.22212760000000001</v>
      </c>
      <c r="U3148">
        <v>-0.391098</v>
      </c>
      <c r="V3148">
        <v>-1.448196E-2</v>
      </c>
      <c r="W3148">
        <v>0.34403549999999999</v>
      </c>
      <c r="X3148">
        <v>0.93884500000000004</v>
      </c>
      <c r="Y3148">
        <v>0.12789600000000001</v>
      </c>
      <c r="Z3148">
        <v>-5.496066E-3</v>
      </c>
      <c r="AA3148">
        <v>0.9917724</v>
      </c>
      <c r="AB3148">
        <v>33</v>
      </c>
      <c r="AC3148">
        <v>16.037699999999901</v>
      </c>
      <c r="AD3148">
        <v>-1.110233327507</v>
      </c>
      <c r="AE3148">
        <v>-1.95789999999999</v>
      </c>
      <c r="AF3148">
        <v>2.1035095258801402</v>
      </c>
      <c r="AG3148">
        <v>-1.110233327507</v>
      </c>
      <c r="AH3148">
        <v>15.942664677190701</v>
      </c>
      <c r="AI3148">
        <v>93.9494773866044</v>
      </c>
      <c r="AJ3148">
        <v>82.483687243180398</v>
      </c>
      <c r="AK3148">
        <v>16.119116829911</v>
      </c>
      <c r="AL3148">
        <v>69.877070683401897</v>
      </c>
      <c r="AM3148">
        <v>90.8837341477102</v>
      </c>
      <c r="AN3148">
        <v>1.00000004322534</v>
      </c>
    </row>
    <row r="3149" spans="1:40" x14ac:dyDescent="0.25">
      <c r="A3149" t="str">
        <f>"20190304164705141"</f>
        <v>20190304164705141</v>
      </c>
      <c r="B3149" t="str">
        <f>"1551689225132347"</f>
        <v>1551689225132347</v>
      </c>
      <c r="C3149" t="s">
        <v>40</v>
      </c>
      <c r="D3149">
        <v>4.0581899999999997</v>
      </c>
      <c r="E3149">
        <v>0.56821160000000004</v>
      </c>
      <c r="F3149" t="s">
        <v>41</v>
      </c>
      <c r="G3149">
        <v>-244.6688</v>
      </c>
      <c r="H3149">
        <v>1.041658</v>
      </c>
      <c r="I3149">
        <v>214.73750000000001</v>
      </c>
      <c r="J3149">
        <v>-245.30109999999999</v>
      </c>
      <c r="K3149">
        <v>1.110223</v>
      </c>
      <c r="L3149">
        <v>214.86279999999999</v>
      </c>
      <c r="M3149">
        <v>0.99990780000000001</v>
      </c>
      <c r="N3149">
        <v>-9.6487269999999993E-3</v>
      </c>
      <c r="O3149">
        <v>9.5660829999999995E-3</v>
      </c>
      <c r="P3149">
        <v>0.94209240000000005</v>
      </c>
      <c r="Q3149">
        <v>0.33450020000000003</v>
      </c>
      <c r="R3149">
        <v>2.391679E-2</v>
      </c>
      <c r="S3149">
        <v>3.2734070000000002</v>
      </c>
      <c r="T3149">
        <v>-0.2208995</v>
      </c>
      <c r="U3149">
        <v>-0.3904572</v>
      </c>
      <c r="V3149">
        <v>-1.4817220000000001E-2</v>
      </c>
      <c r="W3149">
        <v>0.3435801</v>
      </c>
      <c r="X3149">
        <v>0.93900640000000002</v>
      </c>
      <c r="Y3149">
        <v>0.12759229999999999</v>
      </c>
      <c r="Z3149">
        <v>-5.454413E-3</v>
      </c>
      <c r="AA3149">
        <v>0.99181169999999996</v>
      </c>
      <c r="AB3149">
        <v>33</v>
      </c>
      <c r="AC3149">
        <v>0.63229999999998598</v>
      </c>
      <c r="AD3149">
        <v>-6.8564999999999904E-2</v>
      </c>
      <c r="AE3149">
        <v>-0.12529999999998101</v>
      </c>
      <c r="AF3149">
        <v>0.129873741796692</v>
      </c>
      <c r="AG3149">
        <v>-6.8564999999999904E-2</v>
      </c>
      <c r="AH3149">
        <v>0.624012076028444</v>
      </c>
      <c r="AI3149">
        <v>96.139841432392103</v>
      </c>
      <c r="AJ3149">
        <v>78.243043519466596</v>
      </c>
      <c r="AK3149">
        <v>0.64106116639724997</v>
      </c>
      <c r="AL3149">
        <v>69.904854602919102</v>
      </c>
      <c r="AM3149">
        <v>90.904034005627295</v>
      </c>
      <c r="AN3149">
        <v>0.999999927182746</v>
      </c>
    </row>
    <row r="3150" spans="1:40" x14ac:dyDescent="0.25">
      <c r="A3150" t="str">
        <f>"20190304164705165"</f>
        <v>20190304164705165</v>
      </c>
      <c r="B3150" t="str">
        <f>"1551689225161626"</f>
        <v>1551689225161626</v>
      </c>
      <c r="C3150" t="s">
        <v>40</v>
      </c>
      <c r="D3150">
        <v>4.0513250000000003</v>
      </c>
      <c r="E3150">
        <v>0.56818570000000002</v>
      </c>
      <c r="F3150" t="s">
        <v>41</v>
      </c>
      <c r="G3150">
        <v>-244.37360000000001</v>
      </c>
      <c r="H3150">
        <v>1.045547</v>
      </c>
      <c r="I3150">
        <v>214.75280000000001</v>
      </c>
      <c r="J3150">
        <v>-244.9547</v>
      </c>
      <c r="K3150">
        <v>1.110217</v>
      </c>
      <c r="L3150">
        <v>214.86600000000001</v>
      </c>
      <c r="M3150">
        <v>0.99990829999999997</v>
      </c>
      <c r="N3150">
        <v>-9.7309839999999998E-3</v>
      </c>
      <c r="O3150">
        <v>9.4180949999999996E-3</v>
      </c>
      <c r="P3150">
        <v>0.94210700000000003</v>
      </c>
      <c r="Q3150">
        <v>0.33443489999999998</v>
      </c>
      <c r="R3150">
        <v>2.4245989999999999E-2</v>
      </c>
      <c r="S3150">
        <v>3.2753909999999999</v>
      </c>
      <c r="T3150">
        <v>-0.2285259</v>
      </c>
      <c r="U3150">
        <v>-0.38781739999999998</v>
      </c>
      <c r="V3150">
        <v>-1.526982E-2</v>
      </c>
      <c r="W3150">
        <v>0.34359309999999998</v>
      </c>
      <c r="X3150">
        <v>0.93899449999999995</v>
      </c>
      <c r="Y3150">
        <v>0.12656689999999901</v>
      </c>
      <c r="Z3150">
        <v>-5.5763710000000001E-3</v>
      </c>
      <c r="AA3150">
        <v>0.9919424</v>
      </c>
      <c r="AB3150">
        <v>33</v>
      </c>
      <c r="AC3150">
        <v>0.58109999999999196</v>
      </c>
      <c r="AD3150">
        <v>-6.4670000000000005E-2</v>
      </c>
      <c r="AE3150">
        <v>-0.113199999999977</v>
      </c>
      <c r="AF3150">
        <v>0.11726879337234999</v>
      </c>
      <c r="AG3150">
        <v>-6.4670000000000005E-2</v>
      </c>
      <c r="AH3150">
        <v>0.573168759590582</v>
      </c>
      <c r="AI3150">
        <v>96.307811681453103</v>
      </c>
      <c r="AJ3150">
        <v>78.4370167813439</v>
      </c>
      <c r="AK3150">
        <v>0.58860564537694704</v>
      </c>
      <c r="AL3150">
        <v>69.904063594541796</v>
      </c>
      <c r="AM3150">
        <v>90.931655223093301</v>
      </c>
      <c r="AN3150">
        <v>1.0000000284003401</v>
      </c>
    </row>
    <row r="3151" spans="1:40" x14ac:dyDescent="0.25">
      <c r="A3151" t="str">
        <f>"20190304164705184"</f>
        <v>20190304164705184</v>
      </c>
      <c r="B3151" t="str">
        <f>"1551689225172363"</f>
        <v>1551689225172363</v>
      </c>
      <c r="C3151" t="s">
        <v>40</v>
      </c>
      <c r="D3151">
        <v>4.0175530000000004</v>
      </c>
      <c r="E3151">
        <v>0.56822640000000002</v>
      </c>
      <c r="F3151" t="s">
        <v>41</v>
      </c>
      <c r="G3151">
        <v>-244.07910000000001</v>
      </c>
      <c r="H3151">
        <v>1.0474190000000001</v>
      </c>
      <c r="I3151">
        <v>214.76300000000001</v>
      </c>
      <c r="J3151">
        <v>-244.6721</v>
      </c>
      <c r="K3151">
        <v>1.1102190000000001</v>
      </c>
      <c r="L3151">
        <v>214.86850000000001</v>
      </c>
      <c r="M3151">
        <v>0.99990889999999999</v>
      </c>
      <c r="N3151">
        <v>-9.8096150000000007E-3</v>
      </c>
      <c r="O3151">
        <v>9.2838609999999992E-3</v>
      </c>
      <c r="P3151">
        <v>0.94211339999999999</v>
      </c>
      <c r="Q3151">
        <v>0.3344317</v>
      </c>
      <c r="R3151">
        <v>2.4040450000000001E-2</v>
      </c>
      <c r="S3151">
        <v>3.2777859999999999</v>
      </c>
      <c r="T3151">
        <v>-0.23528489999999999</v>
      </c>
      <c r="U3151">
        <v>-0.38442989999999999</v>
      </c>
      <c r="V3151">
        <v>-1.518074E-2</v>
      </c>
      <c r="W3151">
        <v>0.34366429999999998</v>
      </c>
      <c r="X3151">
        <v>0.93896990000000002</v>
      </c>
      <c r="Y3151">
        <v>0.1253213</v>
      </c>
      <c r="Z3151">
        <v>-5.6672210000000001E-3</v>
      </c>
      <c r="AA3151">
        <v>0.99209999999999998</v>
      </c>
      <c r="AB3151">
        <v>33</v>
      </c>
      <c r="AC3151">
        <v>0.59299999999998898</v>
      </c>
      <c r="AD3151">
        <v>-6.2799999999999898E-2</v>
      </c>
      <c r="AE3151">
        <v>-0.10550000000000601</v>
      </c>
      <c r="AF3151">
        <v>0.109807311299067</v>
      </c>
      <c r="AG3151">
        <v>-6.2799999999999898E-2</v>
      </c>
      <c r="AH3151">
        <v>0.58562847237111604</v>
      </c>
      <c r="AI3151">
        <v>96.016672799897805</v>
      </c>
      <c r="AJ3151">
        <v>79.380158274092494</v>
      </c>
      <c r="AK3151">
        <v>0.59913453686668505</v>
      </c>
      <c r="AL3151">
        <v>69.899719844304599</v>
      </c>
      <c r="AM3151">
        <v>90.926245409873005</v>
      </c>
      <c r="AN3151">
        <v>1.0000000395337201</v>
      </c>
    </row>
    <row r="3152" spans="1:40" x14ac:dyDescent="0.25">
      <c r="A3152" t="str">
        <f>"20190304164705203"</f>
        <v>20190304164705203</v>
      </c>
      <c r="B3152" t="str">
        <f>"1551689225191882"</f>
        <v>1551689225191882</v>
      </c>
      <c r="C3152" t="s">
        <v>40</v>
      </c>
      <c r="D3152">
        <v>4.0730779999999998</v>
      </c>
      <c r="E3152">
        <v>0.56820789999999999</v>
      </c>
      <c r="F3152" t="s">
        <v>41</v>
      </c>
      <c r="G3152">
        <v>-243.786</v>
      </c>
      <c r="H3152">
        <v>1.04604599999999</v>
      </c>
      <c r="I3152">
        <v>214.7646</v>
      </c>
      <c r="J3152">
        <v>-244.37880000000001</v>
      </c>
      <c r="K3152">
        <v>1.1102320000000001</v>
      </c>
      <c r="L3152">
        <v>214.87110000000001</v>
      </c>
      <c r="M3152">
        <v>0.99990919999999905</v>
      </c>
      <c r="N3152">
        <v>-9.9130869999999992E-3</v>
      </c>
      <c r="O3152">
        <v>9.1355210000000006E-3</v>
      </c>
      <c r="P3152">
        <v>0.9421794</v>
      </c>
      <c r="Q3152">
        <v>0.33422960000000002</v>
      </c>
      <c r="R3152">
        <v>2.4264040000000001E-2</v>
      </c>
      <c r="S3152">
        <v>3.2784119999999999</v>
      </c>
      <c r="T3152">
        <v>-0.23735300000000001</v>
      </c>
      <c r="U3152">
        <v>-0.384552</v>
      </c>
      <c r="V3152">
        <v>-1.553598E-2</v>
      </c>
      <c r="W3152">
        <v>0.34356039999999999</v>
      </c>
      <c r="X3152">
        <v>0.93900209999999995</v>
      </c>
      <c r="Y3152">
        <v>0.12518270000000001</v>
      </c>
      <c r="Z3152">
        <v>-5.7019610000000002E-3</v>
      </c>
      <c r="AA3152">
        <v>0.99211729999999998</v>
      </c>
      <c r="AB3152">
        <v>33</v>
      </c>
      <c r="AC3152">
        <v>0.59280000000003896</v>
      </c>
      <c r="AD3152">
        <v>-6.4185999999999993E-2</v>
      </c>
      <c r="AE3152">
        <v>-0.106500000000011</v>
      </c>
      <c r="AF3152">
        <v>0.110654639653695</v>
      </c>
      <c r="AG3152">
        <v>-6.4185999999999993E-2</v>
      </c>
      <c r="AH3152">
        <v>0.58515658450682995</v>
      </c>
      <c r="AI3152">
        <v>96.151599590991196</v>
      </c>
      <c r="AJ3152">
        <v>79.291666043138406</v>
      </c>
      <c r="AK3152">
        <v>0.59897622679417595</v>
      </c>
      <c r="AL3152">
        <v>69.906058636367007</v>
      </c>
      <c r="AM3152">
        <v>90.947883794901102</v>
      </c>
      <c r="AN3152">
        <v>1.00000002946356</v>
      </c>
    </row>
    <row r="3153" spans="1:40" x14ac:dyDescent="0.25">
      <c r="A3153" t="str">
        <f>"20190304164705227"</f>
        <v>20190304164705227</v>
      </c>
      <c r="B3153" t="str">
        <f>"1551689225222139"</f>
        <v>1551689225222139</v>
      </c>
      <c r="C3153" t="s">
        <v>40</v>
      </c>
      <c r="D3153">
        <v>4.0709689999999998</v>
      </c>
      <c r="E3153">
        <v>0.56823179999999995</v>
      </c>
      <c r="F3153" t="s">
        <v>41</v>
      </c>
      <c r="G3153">
        <v>-243.49260000000001</v>
      </c>
      <c r="H3153">
        <v>1.0450330000000001</v>
      </c>
      <c r="I3153">
        <v>214.7672</v>
      </c>
      <c r="J3153">
        <v>-244.03829999999999</v>
      </c>
      <c r="K3153">
        <v>1.1102529999999999</v>
      </c>
      <c r="L3153">
        <v>214.874</v>
      </c>
      <c r="M3153">
        <v>0.99990919999999905</v>
      </c>
      <c r="N3153">
        <v>-1.0073759999999999E-2</v>
      </c>
      <c r="O3153">
        <v>8.9563669999999998E-3</v>
      </c>
      <c r="P3153">
        <v>0.94222030000000001</v>
      </c>
      <c r="Q3153">
        <v>0.334119</v>
      </c>
      <c r="R3153">
        <v>2.419514E-2</v>
      </c>
      <c r="S3153">
        <v>3.2796630000000002</v>
      </c>
      <c r="T3153">
        <v>-0.24154729999999999</v>
      </c>
      <c r="U3153">
        <v>-0.38327030000000001</v>
      </c>
      <c r="V3153">
        <v>-1.5628860000000001E-2</v>
      </c>
      <c r="W3153">
        <v>0.3436012</v>
      </c>
      <c r="X3153">
        <v>0.93898559999999998</v>
      </c>
      <c r="Y3153">
        <v>0.1245675</v>
      </c>
      <c r="Z3153">
        <v>-5.7628480000000001E-3</v>
      </c>
      <c r="AA3153">
        <v>0.99219440000000003</v>
      </c>
      <c r="AB3153">
        <v>33</v>
      </c>
      <c r="AC3153">
        <v>0.54569999999998198</v>
      </c>
      <c r="AD3153">
        <v>-6.522E-2</v>
      </c>
      <c r="AE3153">
        <v>-0.106800000000021</v>
      </c>
      <c r="AF3153">
        <v>0.110167853847701</v>
      </c>
      <c r="AG3153">
        <v>-6.522E-2</v>
      </c>
      <c r="AH3153">
        <v>0.53732938327091295</v>
      </c>
      <c r="AI3153">
        <v>96.780895195704204</v>
      </c>
      <c r="AJ3153">
        <v>78.413305033330502</v>
      </c>
      <c r="AK3153">
        <v>0.55237077271313795</v>
      </c>
      <c r="AL3153">
        <v>69.9035688466397</v>
      </c>
      <c r="AM3153">
        <v>90.953566314518298</v>
      </c>
      <c r="AN3153">
        <v>1.00000000145684</v>
      </c>
    </row>
    <row r="3154" spans="1:40" x14ac:dyDescent="0.25">
      <c r="A3154" t="str">
        <f>"20190304164705249"</f>
        <v>20190304164705249</v>
      </c>
      <c r="B3154" t="str">
        <f>"1551689225241658"</f>
        <v>1551689225241658</v>
      </c>
      <c r="C3154" t="s">
        <v>40</v>
      </c>
      <c r="D3154">
        <v>4.0499130000000001</v>
      </c>
      <c r="E3154">
        <v>0.56827649999999996</v>
      </c>
      <c r="F3154" t="s">
        <v>41</v>
      </c>
      <c r="G3154">
        <v>-243.19720000000001</v>
      </c>
      <c r="H3154">
        <v>1.0472459999999999</v>
      </c>
      <c r="I3154">
        <v>214.77529999999999</v>
      </c>
      <c r="J3154">
        <v>-243.70509999999999</v>
      </c>
      <c r="K3154">
        <v>1.110287</v>
      </c>
      <c r="L3154">
        <v>214.87690000000001</v>
      </c>
      <c r="M3154">
        <v>0.99990869999999998</v>
      </c>
      <c r="N3154">
        <v>-1.02779E-2</v>
      </c>
      <c r="O3154">
        <v>8.7766040000000003E-3</v>
      </c>
      <c r="P3154">
        <v>0.94199049999999995</v>
      </c>
      <c r="Q3154">
        <v>0.33473180000000002</v>
      </c>
      <c r="R3154">
        <v>2.4673319999999999E-2</v>
      </c>
      <c r="S3154">
        <v>3.2810060000000001</v>
      </c>
      <c r="T3154">
        <v>-0.24585129999999999</v>
      </c>
      <c r="U3154">
        <v>-0.38446039999999998</v>
      </c>
      <c r="V3154">
        <v>-1.62712E-2</v>
      </c>
      <c r="W3154">
        <v>0.34440399999999999</v>
      </c>
      <c r="X3154">
        <v>0.93868050000000003</v>
      </c>
      <c r="Y3154">
        <v>0.1246834</v>
      </c>
      <c r="Z3154">
        <v>-5.8577330000000004E-3</v>
      </c>
      <c r="AA3154">
        <v>0.99217929999999999</v>
      </c>
      <c r="AB3154">
        <v>33</v>
      </c>
      <c r="AC3154">
        <v>0.50789999999997704</v>
      </c>
      <c r="AD3154">
        <v>-6.3041000000000097E-2</v>
      </c>
      <c r="AE3154">
        <v>-0.10160000000001899</v>
      </c>
      <c r="AF3154">
        <v>0.104505888873672</v>
      </c>
      <c r="AG3154">
        <v>-6.3041000000000097E-2</v>
      </c>
      <c r="AH3154">
        <v>0.49958817026186703</v>
      </c>
      <c r="AI3154">
        <v>97.041086870921404</v>
      </c>
      <c r="AJ3154">
        <v>78.1850027665933</v>
      </c>
      <c r="AK3154">
        <v>0.51428006801340898</v>
      </c>
      <c r="AL3154">
        <v>69.854581491294795</v>
      </c>
      <c r="AM3154">
        <v>90.993072435989006</v>
      </c>
      <c r="AN3154">
        <v>0.99999997412284403</v>
      </c>
    </row>
    <row r="3155" spans="1:40" x14ac:dyDescent="0.25">
      <c r="A3155" t="str">
        <f>"20190304164705270"</f>
        <v>20190304164705270</v>
      </c>
      <c r="B3155" t="str">
        <f>"1551689225262155"</f>
        <v>1551689225262155</v>
      </c>
      <c r="C3155" t="s">
        <v>40</v>
      </c>
      <c r="D3155">
        <v>4.1034519999999999</v>
      </c>
      <c r="E3155">
        <v>0.56835469999999999</v>
      </c>
      <c r="F3155" t="s">
        <v>41</v>
      </c>
      <c r="G3155">
        <v>-242.9006</v>
      </c>
      <c r="H3155">
        <v>1.050141</v>
      </c>
      <c r="I3155">
        <v>214.7824</v>
      </c>
      <c r="J3155">
        <v>-243.39259999999999</v>
      </c>
      <c r="K3155">
        <v>1.1103240000000001</v>
      </c>
      <c r="L3155">
        <v>214.8794</v>
      </c>
      <c r="M3155">
        <v>0.99990760000000001</v>
      </c>
      <c r="N3155">
        <v>-1.051877E-2</v>
      </c>
      <c r="O3155">
        <v>8.6202710000000005E-3</v>
      </c>
      <c r="P3155">
        <v>0.94196639999999998</v>
      </c>
      <c r="Q3155">
        <v>0.33477810000000002</v>
      </c>
      <c r="R3155">
        <v>2.4964879999999998E-2</v>
      </c>
      <c r="S3155">
        <v>3.2821039999999999</v>
      </c>
      <c r="T3155">
        <v>-0.24560940000000001</v>
      </c>
      <c r="U3155">
        <v>-0.38429259999999998</v>
      </c>
      <c r="V3155">
        <v>-1.6703139999999998E-2</v>
      </c>
      <c r="W3155">
        <v>0.344676599999999</v>
      </c>
      <c r="X3155">
        <v>0.93857290000000004</v>
      </c>
      <c r="Y3155">
        <v>0.12444089999999999</v>
      </c>
      <c r="Z3155">
        <v>-5.843455E-3</v>
      </c>
      <c r="AA3155">
        <v>0.99220980000000003</v>
      </c>
      <c r="AB3155">
        <v>33</v>
      </c>
      <c r="AC3155">
        <v>0.49199999999999</v>
      </c>
      <c r="AD3155">
        <v>-6.0183000000000098E-2</v>
      </c>
      <c r="AE3155">
        <v>-9.7000000000008399E-2</v>
      </c>
      <c r="AF3155">
        <v>9.9800367431033099E-2</v>
      </c>
      <c r="AG3155">
        <v>-6.0183000000000098E-2</v>
      </c>
      <c r="AH3155">
        <v>0.48417192325707398</v>
      </c>
      <c r="AI3155">
        <v>96.941118400998803</v>
      </c>
      <c r="AJ3155">
        <v>78.352980541251696</v>
      </c>
      <c r="AK3155">
        <v>0.498000560339869</v>
      </c>
      <c r="AL3155">
        <v>69.837944958448205</v>
      </c>
      <c r="AM3155">
        <v>91.019546178705198</v>
      </c>
      <c r="AN3155">
        <v>1.0000000210439099</v>
      </c>
    </row>
    <row r="3156" spans="1:40" x14ac:dyDescent="0.25">
      <c r="A3156" t="str">
        <f>"20190304164705293"</f>
        <v>20190304164705293</v>
      </c>
      <c r="B3156" t="str">
        <f>"1551689225281674"</f>
        <v>1551689225281674</v>
      </c>
      <c r="C3156" t="s">
        <v>40</v>
      </c>
      <c r="D3156">
        <v>4.0832509999999997</v>
      </c>
      <c r="E3156">
        <v>0.56839530000000005</v>
      </c>
      <c r="F3156" t="s">
        <v>41</v>
      </c>
      <c r="G3156">
        <v>-242.60589999999999</v>
      </c>
      <c r="H3156">
        <v>1.0510839999999999</v>
      </c>
      <c r="I3156">
        <v>214.78739999999999</v>
      </c>
      <c r="J3156">
        <v>-243.06559999999999</v>
      </c>
      <c r="K3156">
        <v>1.1103749999999999</v>
      </c>
      <c r="L3156">
        <v>214.88200000000001</v>
      </c>
      <c r="M3156">
        <v>0.99990579999999996</v>
      </c>
      <c r="N3156">
        <v>-1.081989E-2</v>
      </c>
      <c r="O3156">
        <v>8.4592439999999994E-3</v>
      </c>
      <c r="P3156">
        <v>0.9420868</v>
      </c>
      <c r="Q3156">
        <v>0.33439400000000002</v>
      </c>
      <c r="R3156">
        <v>2.556551E-2</v>
      </c>
      <c r="S3156">
        <v>3.2828520000000001</v>
      </c>
      <c r="T3156">
        <v>-0.24732670000000001</v>
      </c>
      <c r="U3156">
        <v>-0.3832855</v>
      </c>
      <c r="V3156">
        <v>-1.7452559999999999E-2</v>
      </c>
      <c r="W3156">
        <v>0.34457719999999997</v>
      </c>
      <c r="X3156">
        <v>0.93859570000000003</v>
      </c>
      <c r="Y3156">
        <v>0.1239502</v>
      </c>
      <c r="Z3156">
        <v>-5.8639779999999997E-3</v>
      </c>
      <c r="AA3156">
        <v>0.99227109999999996</v>
      </c>
      <c r="AB3156">
        <v>33</v>
      </c>
      <c r="AC3156">
        <v>0.459699999999998</v>
      </c>
      <c r="AD3156">
        <v>-5.9290999999999899E-2</v>
      </c>
      <c r="AE3156">
        <v>-9.4600000000014006E-2</v>
      </c>
      <c r="AF3156">
        <v>9.6938479236760203E-2</v>
      </c>
      <c r="AG3156">
        <v>-5.9290999999999899E-2</v>
      </c>
      <c r="AH3156">
        <v>0.45167481251951702</v>
      </c>
      <c r="AI3156">
        <v>97.313731850860194</v>
      </c>
      <c r="AJ3156">
        <v>77.886928131503595</v>
      </c>
      <c r="AK3156">
        <v>0.46574953322819002</v>
      </c>
      <c r="AL3156">
        <v>69.844010602398299</v>
      </c>
      <c r="AM3156">
        <v>91.065253983915298</v>
      </c>
      <c r="AN3156">
        <v>0.99999996333444097</v>
      </c>
    </row>
    <row r="3157" spans="1:40" x14ac:dyDescent="0.25">
      <c r="A3157" t="str">
        <f>"20190304164705316"</f>
        <v>20190304164705316</v>
      </c>
      <c r="B3157" t="str">
        <f>"1551689225311931"</f>
        <v>1551689225311931</v>
      </c>
      <c r="C3157" t="s">
        <v>40</v>
      </c>
      <c r="D3157">
        <v>4.0176780000000001</v>
      </c>
      <c r="E3157">
        <v>0.56810669999999996</v>
      </c>
      <c r="F3157" t="s">
        <v>41</v>
      </c>
      <c r="G3157">
        <v>-242.3107</v>
      </c>
      <c r="H3157">
        <v>1.0529059999999999</v>
      </c>
      <c r="I3157">
        <v>214.79400000000001</v>
      </c>
      <c r="J3157">
        <v>-242.7311</v>
      </c>
      <c r="K3157">
        <v>1.1104430000000001</v>
      </c>
      <c r="L3157">
        <v>214.88470000000001</v>
      </c>
      <c r="M3157">
        <v>0.9999034</v>
      </c>
      <c r="N3157">
        <v>-1.1167369999999999E-2</v>
      </c>
      <c r="O3157">
        <v>8.2870840000000001E-3</v>
      </c>
      <c r="P3157">
        <v>0.94210799999999995</v>
      </c>
      <c r="Q3157">
        <v>0.33429700000000001</v>
      </c>
      <c r="R3157">
        <v>2.6042599999999999E-2</v>
      </c>
      <c r="S3157">
        <v>3.283569</v>
      </c>
      <c r="T3157">
        <v>-0.25011719999999998</v>
      </c>
      <c r="U3157">
        <v>-0.38230900000000001</v>
      </c>
      <c r="V3157">
        <v>-1.8095409999999999E-2</v>
      </c>
      <c r="W3157">
        <v>0.34480640000000001</v>
      </c>
      <c r="X3157">
        <v>0.93849939999999998</v>
      </c>
      <c r="Y3157">
        <v>0.1234551</v>
      </c>
      <c r="Z3157">
        <v>-5.9083769999999898E-3</v>
      </c>
      <c r="AA3157">
        <v>0.99233260000000001</v>
      </c>
      <c r="AB3157">
        <v>33</v>
      </c>
      <c r="AC3157">
        <v>0.4204</v>
      </c>
      <c r="AD3157">
        <v>-5.7537000000000102E-2</v>
      </c>
      <c r="AE3157">
        <v>-9.0699999999998199E-2</v>
      </c>
      <c r="AF3157">
        <v>9.2524958006252794E-2</v>
      </c>
      <c r="AG3157">
        <v>-5.7537000000000102E-2</v>
      </c>
      <c r="AH3157">
        <v>0.41225523284865401</v>
      </c>
      <c r="AI3157">
        <v>97.754769738550394</v>
      </c>
      <c r="AJ3157">
        <v>77.350372299038398</v>
      </c>
      <c r="AK3157">
        <v>0.426410308545838</v>
      </c>
      <c r="AL3157">
        <v>69.830022067823194</v>
      </c>
      <c r="AM3157">
        <v>91.1045954523603</v>
      </c>
      <c r="AN3157">
        <v>1.00000001057219</v>
      </c>
    </row>
    <row r="3158" spans="1:40" x14ac:dyDescent="0.25">
      <c r="A3158" t="str">
        <f>"20190304164705342"</f>
        <v>20190304164705342</v>
      </c>
      <c r="B3158" t="str">
        <f>"1551689225331451"</f>
        <v>1551689225331451</v>
      </c>
      <c r="C3158" t="s">
        <v>40</v>
      </c>
      <c r="D3158">
        <v>4.0828870000000004</v>
      </c>
      <c r="E3158">
        <v>0.56805459999999997</v>
      </c>
      <c r="F3158" t="s">
        <v>41</v>
      </c>
      <c r="G3158">
        <v>-241.73650000000001</v>
      </c>
      <c r="H3158">
        <v>1.0340009999999999</v>
      </c>
      <c r="I3158">
        <v>214.7698</v>
      </c>
      <c r="J3158">
        <v>-242.35650000000001</v>
      </c>
      <c r="K3158">
        <v>1.1105179999999999</v>
      </c>
      <c r="L3158">
        <v>214.88759999999999</v>
      </c>
      <c r="M3158">
        <v>0.99990060000000003</v>
      </c>
      <c r="N3158">
        <v>-1.1565489999999999E-2</v>
      </c>
      <c r="O3158">
        <v>8.0884110000000002E-3</v>
      </c>
      <c r="P3158">
        <v>0.94198210000000004</v>
      </c>
      <c r="Q3158">
        <v>0.33463900000000002</v>
      </c>
      <c r="R3158">
        <v>2.6208080000000002E-2</v>
      </c>
      <c r="S3158">
        <v>3.2844389999999999</v>
      </c>
      <c r="T3158">
        <v>-0.25258049999999999</v>
      </c>
      <c r="U3158">
        <v>-0.37855529999999998</v>
      </c>
      <c r="V3158">
        <v>-1.845318E-2</v>
      </c>
      <c r="W3158">
        <v>0.3455202</v>
      </c>
      <c r="X3158">
        <v>0.93822989999999995</v>
      </c>
      <c r="Y3158">
        <v>0.12210409999999999</v>
      </c>
      <c r="Z3158">
        <v>-5.9083590000000002E-3</v>
      </c>
      <c r="AA3158">
        <v>0.99249969999999998</v>
      </c>
      <c r="AB3158">
        <v>33</v>
      </c>
      <c r="AC3158">
        <v>0.62000000000000399</v>
      </c>
      <c r="AD3158">
        <v>-7.6517000000000099E-2</v>
      </c>
      <c r="AE3158">
        <v>-0.117799999999988</v>
      </c>
      <c r="AF3158">
        <v>0.121032068666184</v>
      </c>
      <c r="AG3158">
        <v>-7.6517000000000099E-2</v>
      </c>
      <c r="AH3158">
        <v>0.61005869644316202</v>
      </c>
      <c r="AI3158">
        <v>97.013729272448103</v>
      </c>
      <c r="AJ3158">
        <v>78.778565137532397</v>
      </c>
      <c r="AK3158">
        <v>0.62663803430732401</v>
      </c>
      <c r="AL3158">
        <v>69.786446841804604</v>
      </c>
      <c r="AM3158">
        <v>91.126752656935096</v>
      </c>
      <c r="AN3158">
        <v>1.0000000368570801</v>
      </c>
    </row>
    <row r="3159" spans="1:40" x14ac:dyDescent="0.25">
      <c r="A3159" t="str">
        <f>"20190304164705366"</f>
        <v>20190304164705366</v>
      </c>
      <c r="B3159" t="str">
        <f>"1551689225362213"</f>
        <v>1551689225362213</v>
      </c>
      <c r="C3159" t="s">
        <v>40</v>
      </c>
      <c r="D3159">
        <v>4.0818500000000002</v>
      </c>
      <c r="E3159">
        <v>0.56801459999999904</v>
      </c>
      <c r="F3159" t="s">
        <v>41</v>
      </c>
      <c r="G3159">
        <v>-241.441</v>
      </c>
      <c r="H3159">
        <v>1.0402960000000001</v>
      </c>
      <c r="I3159">
        <v>214.78210000000001</v>
      </c>
      <c r="J3159">
        <v>-242.01490000000001</v>
      </c>
      <c r="K3159">
        <v>1.1105719999999999</v>
      </c>
      <c r="L3159">
        <v>214.89019999999999</v>
      </c>
      <c r="M3159">
        <v>0.99989779999999995</v>
      </c>
      <c r="N3159">
        <v>-1.191002E-2</v>
      </c>
      <c r="O3159">
        <v>7.9096730000000007E-3</v>
      </c>
      <c r="P3159">
        <v>0.94186029999999998</v>
      </c>
      <c r="Q3159">
        <v>0.33499050000000002</v>
      </c>
      <c r="R3159">
        <v>2.6092049999999999E-2</v>
      </c>
      <c r="S3159">
        <v>3.2848359999999999</v>
      </c>
      <c r="T3159">
        <v>-0.25204130000000002</v>
      </c>
      <c r="U3159">
        <v>-0.3775482</v>
      </c>
      <c r="V3159">
        <v>-1.8508230000000001E-2</v>
      </c>
      <c r="W3159">
        <v>0.34619349999999999</v>
      </c>
      <c r="X3159">
        <v>0.93798049999999999</v>
      </c>
      <c r="Y3159">
        <v>0.1216151</v>
      </c>
      <c r="Z3159">
        <v>-5.8817790000000002E-3</v>
      </c>
      <c r="AA3159">
        <v>0.99255990000000005</v>
      </c>
      <c r="AB3159">
        <v>33</v>
      </c>
      <c r="AC3159">
        <v>0.57390000000003705</v>
      </c>
      <c r="AD3159">
        <v>-7.0276000000000005E-2</v>
      </c>
      <c r="AE3159">
        <v>-0.108099999999979</v>
      </c>
      <c r="AF3159">
        <v>0.111028492026728</v>
      </c>
      <c r="AG3159">
        <v>-7.0276000000000005E-2</v>
      </c>
      <c r="AH3159">
        <v>0.564847365306134</v>
      </c>
      <c r="AI3159">
        <v>96.960219087590303</v>
      </c>
      <c r="AJ3159">
        <v>78.879504602507197</v>
      </c>
      <c r="AK3159">
        <v>0.57992981326278703</v>
      </c>
      <c r="AL3159">
        <v>69.745330599084099</v>
      </c>
      <c r="AM3159">
        <v>91.130413552185502</v>
      </c>
      <c r="AN3159">
        <v>0.99999995620011495</v>
      </c>
    </row>
    <row r="3160" spans="1:40" x14ac:dyDescent="0.25">
      <c r="A3160" t="str">
        <f>"20190304164705385"</f>
        <v>20190304164705385</v>
      </c>
      <c r="B3160" t="str">
        <f>"1551689225381733"</f>
        <v>1551689225381733</v>
      </c>
      <c r="C3160" t="s">
        <v>40</v>
      </c>
      <c r="D3160">
        <v>4.0681440000000002</v>
      </c>
      <c r="E3160">
        <v>0.56797330000000001</v>
      </c>
      <c r="F3160" t="s">
        <v>41</v>
      </c>
      <c r="G3160">
        <v>-241.14619999999999</v>
      </c>
      <c r="H3160">
        <v>1.043885</v>
      </c>
      <c r="I3160">
        <v>214.78980000000001</v>
      </c>
      <c r="J3160">
        <v>-241.72049999999999</v>
      </c>
      <c r="K3160">
        <v>1.1105940000000001</v>
      </c>
      <c r="L3160">
        <v>214.89230000000001</v>
      </c>
      <c r="M3160">
        <v>0.9998958</v>
      </c>
      <c r="N3160">
        <v>-1.2184739999999999E-2</v>
      </c>
      <c r="O3160">
        <v>7.7593540000000004E-3</v>
      </c>
      <c r="P3160">
        <v>0.94172579999999995</v>
      </c>
      <c r="Q3160">
        <v>0.335426</v>
      </c>
      <c r="R3160">
        <v>2.5340270000000002E-2</v>
      </c>
      <c r="S3160">
        <v>3.2854459999999999</v>
      </c>
      <c r="T3160">
        <v>-0.2524112</v>
      </c>
      <c r="U3160">
        <v>-0.3781738</v>
      </c>
      <c r="V3160">
        <v>-1.7897759999999999E-2</v>
      </c>
      <c r="W3160">
        <v>0.346885099999999</v>
      </c>
      <c r="X3160">
        <v>0.93773689999999998</v>
      </c>
      <c r="Y3160">
        <v>0.12162969999999999</v>
      </c>
      <c r="Z3160">
        <v>-5.894046E-3</v>
      </c>
      <c r="AA3160">
        <v>0.9925581</v>
      </c>
      <c r="AB3160">
        <v>33</v>
      </c>
      <c r="AC3160">
        <v>0.57429999999999304</v>
      </c>
      <c r="AD3160">
        <v>-6.6709000000000102E-2</v>
      </c>
      <c r="AE3160">
        <v>-0.102499999999992</v>
      </c>
      <c r="AF3160">
        <v>0.10557297558498401</v>
      </c>
      <c r="AG3160">
        <v>-6.6709000000000102E-2</v>
      </c>
      <c r="AH3160">
        <v>0.56608522170828901</v>
      </c>
      <c r="AI3160">
        <v>96.607991388030399</v>
      </c>
      <c r="AJ3160">
        <v>79.435892248375495</v>
      </c>
      <c r="AK3160">
        <v>0.57969666386084295</v>
      </c>
      <c r="AL3160">
        <v>69.703089190162899</v>
      </c>
      <c r="AM3160">
        <v>91.093421426638201</v>
      </c>
      <c r="AN3160">
        <v>1.00000004801831</v>
      </c>
    </row>
    <row r="3161" spans="1:40" x14ac:dyDescent="0.25">
      <c r="A3161" t="str">
        <f>"20190304164705406"</f>
        <v>20190304164705406</v>
      </c>
      <c r="B3161" t="str">
        <f>"1551689225402229"</f>
        <v>1551689225402229</v>
      </c>
      <c r="C3161" t="s">
        <v>40</v>
      </c>
      <c r="D3161">
        <v>4.1017809999999999</v>
      </c>
      <c r="E3161">
        <v>0.56795989999999996</v>
      </c>
      <c r="F3161" t="s">
        <v>41</v>
      </c>
      <c r="G3161">
        <v>-240.85390000000001</v>
      </c>
      <c r="H3161">
        <v>1.0441480000000001</v>
      </c>
      <c r="I3161">
        <v>214.79150000000001</v>
      </c>
      <c r="J3161">
        <v>-241.4221</v>
      </c>
      <c r="K3161">
        <v>1.110625</v>
      </c>
      <c r="L3161">
        <v>214.89449999999999</v>
      </c>
      <c r="M3161">
        <v>0.9998937</v>
      </c>
      <c r="N3161">
        <v>-1.2440390000000001E-2</v>
      </c>
      <c r="O3161">
        <v>7.6104149999999997E-3</v>
      </c>
      <c r="P3161">
        <v>0.94199359999999999</v>
      </c>
      <c r="Q3161">
        <v>0.33479009999999998</v>
      </c>
      <c r="R3161">
        <v>2.3740150000000002E-2</v>
      </c>
      <c r="S3161">
        <v>3.2856450000000001</v>
      </c>
      <c r="T3161">
        <v>-0.25200519999999998</v>
      </c>
      <c r="U3161">
        <v>-0.38150020000000001</v>
      </c>
      <c r="V3161">
        <v>-1.6434979999999998E-2</v>
      </c>
      <c r="W3161">
        <v>0.34649150000000001</v>
      </c>
      <c r="X3161">
        <v>0.93790910000000005</v>
      </c>
      <c r="Y3161">
        <v>0.1224644</v>
      </c>
      <c r="Z3161">
        <v>-5.9262719999999998E-3</v>
      </c>
      <c r="AA3161">
        <v>0.99245519999999998</v>
      </c>
      <c r="AB3161">
        <v>33</v>
      </c>
      <c r="AC3161">
        <v>0.56819999999999005</v>
      </c>
      <c r="AD3161">
        <v>-6.6477000000000105E-2</v>
      </c>
      <c r="AE3161">
        <v>-0.10299999999998</v>
      </c>
      <c r="AF3161">
        <v>0.10591790878751101</v>
      </c>
      <c r="AG3161">
        <v>-6.6477000000000105E-2</v>
      </c>
      <c r="AH3161">
        <v>0.55997847815294799</v>
      </c>
      <c r="AI3161">
        <v>96.653214757464795</v>
      </c>
      <c r="AJ3161">
        <v>79.289244355359401</v>
      </c>
      <c r="AK3161">
        <v>0.57377146227867704</v>
      </c>
      <c r="AL3161">
        <v>69.727130362680697</v>
      </c>
      <c r="AM3161">
        <v>91.0038911319064</v>
      </c>
      <c r="AN3161">
        <v>0.99999997400132901</v>
      </c>
    </row>
    <row r="3162" spans="1:40" x14ac:dyDescent="0.25">
      <c r="A3162" t="str">
        <f>"20190304164705428"</f>
        <v>20190304164705428</v>
      </c>
      <c r="B3162" t="str">
        <f>"1551689225421749"</f>
        <v>1551689225421749</v>
      </c>
      <c r="C3162" t="s">
        <v>40</v>
      </c>
      <c r="D3162">
        <v>4.0991119999999999</v>
      </c>
      <c r="E3162">
        <v>0.56795589999999996</v>
      </c>
      <c r="F3162" t="s">
        <v>41</v>
      </c>
      <c r="G3162">
        <v>-240.5624</v>
      </c>
      <c r="H3162">
        <v>1.0437609999999999</v>
      </c>
      <c r="I3162">
        <v>214.79310000000001</v>
      </c>
      <c r="J3162">
        <v>-241.0847</v>
      </c>
      <c r="K3162">
        <v>1.110643</v>
      </c>
      <c r="L3162">
        <v>214.89689999999999</v>
      </c>
      <c r="M3162">
        <v>0.9998918</v>
      </c>
      <c r="N3162">
        <v>-1.270247E-2</v>
      </c>
      <c r="O3162">
        <v>7.4423900000000001E-3</v>
      </c>
      <c r="P3162">
        <v>0.9421813</v>
      </c>
      <c r="Q3162">
        <v>0.3343449</v>
      </c>
      <c r="R3162">
        <v>2.2542759999999998E-2</v>
      </c>
      <c r="S3162">
        <v>3.285355</v>
      </c>
      <c r="T3162">
        <v>-0.25572529999999999</v>
      </c>
      <c r="U3162">
        <v>-0.38668819999999998</v>
      </c>
      <c r="V3162">
        <v>-1.5393230000000001E-2</v>
      </c>
      <c r="W3162">
        <v>0.3462942</v>
      </c>
      <c r="X3162">
        <v>0.93799969999999999</v>
      </c>
      <c r="Y3162">
        <v>0.12383619999999999</v>
      </c>
      <c r="Z3162">
        <v>-6.0688549999999997E-3</v>
      </c>
      <c r="AA3162">
        <v>0.9922841</v>
      </c>
      <c r="AB3162">
        <v>33</v>
      </c>
      <c r="AC3162">
        <v>0.52230000000000099</v>
      </c>
      <c r="AD3162">
        <v>-6.6881999999999803E-2</v>
      </c>
      <c r="AE3162">
        <v>-0.10379999999997799</v>
      </c>
      <c r="AF3162">
        <v>0.10601230703525499</v>
      </c>
      <c r="AG3162">
        <v>-6.6881999999999803E-2</v>
      </c>
      <c r="AH3162">
        <v>0.51341410018759104</v>
      </c>
      <c r="AI3162">
        <v>97.270394412997305</v>
      </c>
      <c r="AJ3162">
        <v>78.333245271750499</v>
      </c>
      <c r="AK3162">
        <v>0.52849394456168597</v>
      </c>
      <c r="AL3162">
        <v>69.739182075085495</v>
      </c>
      <c r="AM3162">
        <v>90.940179352273702</v>
      </c>
      <c r="AN3162">
        <v>1.00000003084178</v>
      </c>
    </row>
    <row r="3163" spans="1:40" x14ac:dyDescent="0.25">
      <c r="A3163" t="str">
        <f>"20190304164705451"</f>
        <v>20190304164705451</v>
      </c>
      <c r="B3163" t="str">
        <f>"1551689225442245"</f>
        <v>1551689225442245</v>
      </c>
      <c r="C3163" t="s">
        <v>40</v>
      </c>
      <c r="D3163">
        <v>4.093216</v>
      </c>
      <c r="E3163">
        <v>0.56793340000000003</v>
      </c>
      <c r="F3163" t="s">
        <v>41</v>
      </c>
      <c r="G3163">
        <v>-240.26900000000001</v>
      </c>
      <c r="H3163">
        <v>1.046508</v>
      </c>
      <c r="I3163">
        <v>214.7997</v>
      </c>
      <c r="J3163">
        <v>-240.76259999999999</v>
      </c>
      <c r="K3163">
        <v>1.110671</v>
      </c>
      <c r="L3163">
        <v>214.8991</v>
      </c>
      <c r="M3163">
        <v>0.99988999999999995</v>
      </c>
      <c r="N3163">
        <v>-1.292548E-2</v>
      </c>
      <c r="O3163">
        <v>7.2811619999999999E-3</v>
      </c>
      <c r="P3163">
        <v>0.94213910000000001</v>
      </c>
      <c r="Q3163">
        <v>0.33453880000000003</v>
      </c>
      <c r="R3163">
        <v>2.140104E-2</v>
      </c>
      <c r="S3163">
        <v>3.2851720000000002</v>
      </c>
      <c r="T3163">
        <v>-0.25846279999999999</v>
      </c>
      <c r="U3163">
        <v>-0.390625</v>
      </c>
      <c r="V3163">
        <v>-1.440336E-2</v>
      </c>
      <c r="W3163">
        <v>0.3466959</v>
      </c>
      <c r="X3163">
        <v>0.93786700000000001</v>
      </c>
      <c r="Y3163">
        <v>0.1248421</v>
      </c>
      <c r="Z3163">
        <v>-6.1737909999999997E-3</v>
      </c>
      <c r="AA3163">
        <v>0.99215739999999997</v>
      </c>
      <c r="AB3163">
        <v>33</v>
      </c>
      <c r="AC3163">
        <v>0.49359999999998599</v>
      </c>
      <c r="AD3163">
        <v>-6.4162999999999901E-2</v>
      </c>
      <c r="AE3163">
        <v>-9.9400000000002806E-2</v>
      </c>
      <c r="AF3163">
        <v>0.10134590697738</v>
      </c>
      <c r="AG3163">
        <v>-6.4162999999999901E-2</v>
      </c>
      <c r="AH3163">
        <v>0.48498747455421598</v>
      </c>
      <c r="AI3163">
        <v>97.378796280916703</v>
      </c>
      <c r="AJ3163">
        <v>78.196972571166</v>
      </c>
      <c r="AK3163">
        <v>0.49960057436370597</v>
      </c>
      <c r="AL3163">
        <v>69.714645911715095</v>
      </c>
      <c r="AM3163">
        <v>90.879854892075301</v>
      </c>
      <c r="AN3163">
        <v>1.0000000067725401</v>
      </c>
    </row>
    <row r="3164" spans="1:40" x14ac:dyDescent="0.25">
      <c r="A3164" t="str">
        <f>"20190304164705472"</f>
        <v>20190304164705472</v>
      </c>
      <c r="B3164" t="str">
        <f>"1551689225461765"</f>
        <v>1551689225461765</v>
      </c>
      <c r="C3164" t="s">
        <v>40</v>
      </c>
      <c r="D3164">
        <v>4.1086989999999997</v>
      </c>
      <c r="E3164">
        <v>0.56793419999999994</v>
      </c>
      <c r="F3164" t="s">
        <v>41</v>
      </c>
      <c r="G3164">
        <v>-239.9761</v>
      </c>
      <c r="H3164">
        <v>1.0487</v>
      </c>
      <c r="I3164">
        <v>214.80420000000001</v>
      </c>
      <c r="J3164">
        <v>-240.45349999999999</v>
      </c>
      <c r="K3164">
        <v>1.1106910000000001</v>
      </c>
      <c r="L3164">
        <v>214.90119999999999</v>
      </c>
      <c r="M3164">
        <v>0.99988869999999996</v>
      </c>
      <c r="N3164">
        <v>-1.3115170000000001E-2</v>
      </c>
      <c r="O3164">
        <v>7.1248609999999997E-3</v>
      </c>
      <c r="P3164">
        <v>0.94199750000000004</v>
      </c>
      <c r="Q3164">
        <v>0.33501639999999999</v>
      </c>
      <c r="R3164">
        <v>2.0116829999999999E-2</v>
      </c>
      <c r="S3164">
        <v>3.2851870000000001</v>
      </c>
      <c r="T3164">
        <v>-0.25902839999999999</v>
      </c>
      <c r="U3164">
        <v>-0.39529419999999998</v>
      </c>
      <c r="V3164">
        <v>-1.326715E-2</v>
      </c>
      <c r="W3164">
        <v>0.34734930000000003</v>
      </c>
      <c r="X3164">
        <v>0.93764199999999998</v>
      </c>
      <c r="Y3164">
        <v>0.12606989999999901</v>
      </c>
      <c r="Z3164">
        <v>-6.2418600000000001E-3</v>
      </c>
      <c r="AA3164">
        <v>0.99200169999999999</v>
      </c>
      <c r="AB3164">
        <v>33</v>
      </c>
      <c r="AC3164">
        <v>0.477399999999988</v>
      </c>
      <c r="AD3164">
        <v>-6.1991000000000102E-2</v>
      </c>
      <c r="AE3164">
        <v>-9.6999999999980005E-2</v>
      </c>
      <c r="AF3164">
        <v>9.8799394302413995E-2</v>
      </c>
      <c r="AG3164">
        <v>-6.1991000000000102E-2</v>
      </c>
      <c r="AH3164">
        <v>0.46910063182463801</v>
      </c>
      <c r="AI3164">
        <v>97.368127558439895</v>
      </c>
      <c r="AJ3164">
        <v>78.106503980632397</v>
      </c>
      <c r="AK3164">
        <v>0.48338349907066402</v>
      </c>
      <c r="AL3164">
        <v>69.674728872854899</v>
      </c>
      <c r="AM3164">
        <v>90.810651589631902</v>
      </c>
      <c r="AN3164">
        <v>1.0000000368218001</v>
      </c>
    </row>
    <row r="3165" spans="1:40" x14ac:dyDescent="0.25">
      <c r="A3165" t="str">
        <f>"20190304164705493"</f>
        <v>20190304164705493</v>
      </c>
      <c r="B3165" t="str">
        <f>"1551689225492021"</f>
        <v>1551689225492021</v>
      </c>
      <c r="C3165" t="s">
        <v>40</v>
      </c>
      <c r="D3165">
        <v>4.1302479999999999</v>
      </c>
      <c r="E3165">
        <v>0.56792129999999996</v>
      </c>
      <c r="F3165" t="s">
        <v>41</v>
      </c>
      <c r="G3165">
        <v>-239.6842</v>
      </c>
      <c r="H3165">
        <v>1.0502309999999999</v>
      </c>
      <c r="I3165">
        <v>214.8074</v>
      </c>
      <c r="J3165">
        <v>-240.1327</v>
      </c>
      <c r="K3165">
        <v>1.110703</v>
      </c>
      <c r="L3165">
        <v>214.9033</v>
      </c>
      <c r="M3165">
        <v>0.99988759999999999</v>
      </c>
      <c r="N3165">
        <v>-1.3289230000000001E-2</v>
      </c>
      <c r="O3165">
        <v>6.9620979999999999E-3</v>
      </c>
      <c r="P3165">
        <v>0.94165969999999999</v>
      </c>
      <c r="Q3165">
        <v>0.33602680000000001</v>
      </c>
      <c r="R3165">
        <v>1.9063770000000001E-2</v>
      </c>
      <c r="S3165">
        <v>3.2851409999999999</v>
      </c>
      <c r="T3165">
        <v>-0.25825150000000002</v>
      </c>
      <c r="U3165">
        <v>-0.40028380000000002</v>
      </c>
      <c r="V3165">
        <v>-1.236989E-2</v>
      </c>
      <c r="W3165">
        <v>0.34851779999999999</v>
      </c>
      <c r="X3165">
        <v>0.93722050000000001</v>
      </c>
      <c r="Y3165">
        <v>0.12739239999999999</v>
      </c>
      <c r="Z3165">
        <v>-6.2848289999999996E-3</v>
      </c>
      <c r="AA3165">
        <v>0.99183250000000001</v>
      </c>
      <c r="AB3165">
        <v>33</v>
      </c>
      <c r="AC3165">
        <v>0.44849999999999501</v>
      </c>
      <c r="AD3165">
        <v>-6.0471999999999998E-2</v>
      </c>
      <c r="AE3165">
        <v>-9.5900000000000304E-2</v>
      </c>
      <c r="AF3165">
        <v>9.7328422758009195E-2</v>
      </c>
      <c r="AG3165">
        <v>-6.0471999999999998E-2</v>
      </c>
      <c r="AH3165">
        <v>0.44016917951754497</v>
      </c>
      <c r="AI3165">
        <v>97.6402403743365</v>
      </c>
      <c r="AJ3165">
        <v>77.531608778916805</v>
      </c>
      <c r="AK3165">
        <v>0.454839082816891</v>
      </c>
      <c r="AL3165">
        <v>69.603315413441194</v>
      </c>
      <c r="AM3165">
        <v>90.756173536570401</v>
      </c>
      <c r="AN3165">
        <v>0.99999996835784999</v>
      </c>
    </row>
    <row r="3166" spans="1:40" x14ac:dyDescent="0.25">
      <c r="A3166" t="str">
        <f>"20190304164705517"</f>
        <v>20190304164705517</v>
      </c>
      <c r="B3166" t="str">
        <f>"1551689225511540"</f>
        <v>1551689225511540</v>
      </c>
      <c r="C3166" t="s">
        <v>40</v>
      </c>
      <c r="D3166">
        <v>4.0907879999999999</v>
      </c>
      <c r="E3166">
        <v>0.56789440000000002</v>
      </c>
      <c r="F3166" t="s">
        <v>49</v>
      </c>
      <c r="G3166">
        <v>-225.9084</v>
      </c>
      <c r="H3166" s="1">
        <v>1.6713340000000001E-6</v>
      </c>
      <c r="I3166">
        <v>213.1532</v>
      </c>
      <c r="J3166">
        <v>-239.79820000000001</v>
      </c>
      <c r="K3166">
        <v>1.1107129999999901</v>
      </c>
      <c r="L3166">
        <v>214.90539999999999</v>
      </c>
      <c r="M3166">
        <v>0.99988659999999996</v>
      </c>
      <c r="N3166">
        <v>-1.344586E-2</v>
      </c>
      <c r="O3166">
        <v>6.7930100000000004E-3</v>
      </c>
      <c r="P3166">
        <v>0.94177330000000004</v>
      </c>
      <c r="Q3166">
        <v>0.33576099999999998</v>
      </c>
      <c r="R3166">
        <v>1.809902E-2</v>
      </c>
      <c r="S3166">
        <v>3.2855989999999999</v>
      </c>
      <c r="T3166">
        <v>-0.25655529999999999</v>
      </c>
      <c r="U3166">
        <v>-0.40423579999999998</v>
      </c>
      <c r="V3166">
        <v>-1.1564670000000001E-2</v>
      </c>
      <c r="W3166">
        <v>0.34839979999999998</v>
      </c>
      <c r="X3166">
        <v>0.93727470000000002</v>
      </c>
      <c r="Y3166">
        <v>0.12838550000000001</v>
      </c>
      <c r="Z3166">
        <v>-6.2908950000000003E-3</v>
      </c>
      <c r="AA3166">
        <v>0.99170440000000004</v>
      </c>
      <c r="AB3166">
        <v>32</v>
      </c>
      <c r="AC3166">
        <v>13.889799999999999</v>
      </c>
      <c r="AD3166">
        <v>-1.11071132866599</v>
      </c>
      <c r="AE3166">
        <v>-1.75219999999998</v>
      </c>
      <c r="AF3166">
        <v>1.8349716141974901</v>
      </c>
      <c r="AG3166">
        <v>-1.11071132866599</v>
      </c>
      <c r="AH3166">
        <v>13.790771208926699</v>
      </c>
      <c r="AI3166">
        <v>94.564616296956103</v>
      </c>
      <c r="AJ3166">
        <v>82.420860427519202</v>
      </c>
      <c r="AK3166">
        <v>13.956581637976299</v>
      </c>
      <c r="AL3166">
        <v>69.610529341151405</v>
      </c>
      <c r="AM3166">
        <v>90.706914589866997</v>
      </c>
      <c r="AN3166">
        <v>1.0000000127461599</v>
      </c>
    </row>
    <row r="3167" spans="1:40" x14ac:dyDescent="0.25">
      <c r="A3167" t="str">
        <f>"20190304164705543"</f>
        <v>20190304164705543</v>
      </c>
      <c r="B3167" t="str">
        <f>"1551689225532037"</f>
        <v>1551689225532037</v>
      </c>
      <c r="C3167" t="s">
        <v>40</v>
      </c>
      <c r="D3167">
        <v>4.1208519999999904</v>
      </c>
      <c r="E3167">
        <v>0.56790410000000002</v>
      </c>
      <c r="F3167" t="s">
        <v>41</v>
      </c>
      <c r="G3167">
        <v>-238.8252</v>
      </c>
      <c r="H3167">
        <v>1.0342610000000001</v>
      </c>
      <c r="I3167">
        <v>214.78440000000001</v>
      </c>
      <c r="J3167">
        <v>-239.41810000000001</v>
      </c>
      <c r="K3167">
        <v>1.1107180000000001</v>
      </c>
      <c r="L3167">
        <v>214.90780000000001</v>
      </c>
      <c r="M3167">
        <v>0.99988569999999999</v>
      </c>
      <c r="N3167">
        <v>-1.3599099999999999E-2</v>
      </c>
      <c r="O3167">
        <v>6.6011059999999998E-3</v>
      </c>
      <c r="P3167">
        <v>0.94176479999999996</v>
      </c>
      <c r="Q3167">
        <v>0.33580169999999998</v>
      </c>
      <c r="R3167">
        <v>1.7793360000000001E-2</v>
      </c>
      <c r="S3167">
        <v>3.2854000000000001</v>
      </c>
      <c r="T3167">
        <v>-0.25827729999999999</v>
      </c>
      <c r="U3167">
        <v>-0.40814210000000001</v>
      </c>
      <c r="V3167">
        <v>-1.1440479999999999E-2</v>
      </c>
      <c r="W3167">
        <v>0.34858349999999999</v>
      </c>
      <c r="X3167">
        <v>0.93720789999999998</v>
      </c>
      <c r="Y3167">
        <v>0.1293542</v>
      </c>
      <c r="Z3167">
        <v>-6.3687550000000002E-3</v>
      </c>
      <c r="AA3167">
        <v>0.99157799999999996</v>
      </c>
      <c r="AB3167">
        <v>32</v>
      </c>
      <c r="AC3167">
        <v>0.59290000000001397</v>
      </c>
      <c r="AD3167">
        <v>-7.6456999999999997E-2</v>
      </c>
      <c r="AE3167">
        <v>-0.12340000000000299</v>
      </c>
      <c r="AF3167">
        <v>0.125314115251634</v>
      </c>
      <c r="AG3167">
        <v>-7.6456999999999997E-2</v>
      </c>
      <c r="AH3167">
        <v>0.58278357157709904</v>
      </c>
      <c r="AI3167">
        <v>97.308915419818305</v>
      </c>
      <c r="AJ3167">
        <v>77.864649451396005</v>
      </c>
      <c r="AK3167">
        <v>0.60098751370595005</v>
      </c>
      <c r="AL3167">
        <v>69.599299780966305</v>
      </c>
      <c r="AM3167">
        <v>90.699373814684904</v>
      </c>
      <c r="AN3167">
        <v>0.99999999443864496</v>
      </c>
    </row>
    <row r="3168" spans="1:40" x14ac:dyDescent="0.25">
      <c r="A3168" t="str">
        <f>"20190304164705566"</f>
        <v>20190304164705566</v>
      </c>
      <c r="B3168" t="str">
        <f>"1551689225561824"</f>
        <v>1551689225561824</v>
      </c>
      <c r="C3168" t="s">
        <v>40</v>
      </c>
      <c r="D3168">
        <v>4.1393139999999997</v>
      </c>
      <c r="E3168">
        <v>0.56790839999999998</v>
      </c>
      <c r="F3168" t="s">
        <v>41</v>
      </c>
      <c r="G3168">
        <v>-238.53190000000001</v>
      </c>
      <c r="H3168">
        <v>1.0408389999999901</v>
      </c>
      <c r="I3168">
        <v>214.7971</v>
      </c>
      <c r="J3168">
        <v>-239.09989999999999</v>
      </c>
      <c r="K3168">
        <v>1.1107260000000001</v>
      </c>
      <c r="L3168">
        <v>214.90969999999999</v>
      </c>
      <c r="M3168">
        <v>0.99988540000000004</v>
      </c>
      <c r="N3168">
        <v>-1.3709819999999999E-2</v>
      </c>
      <c r="O3168">
        <v>6.4411939999999999E-3</v>
      </c>
      <c r="P3168">
        <v>0.94179669999999904</v>
      </c>
      <c r="Q3168">
        <v>0.33572299999999999</v>
      </c>
      <c r="R3168">
        <v>1.7590049999999999E-2</v>
      </c>
      <c r="S3168">
        <v>3.2856450000000001</v>
      </c>
      <c r="T3168">
        <v>-0.25914979999999999</v>
      </c>
      <c r="U3168">
        <v>-0.40966799999999998</v>
      </c>
      <c r="V3168">
        <v>-1.138808E-2</v>
      </c>
      <c r="W3168">
        <v>0.348609</v>
      </c>
      <c r="X3168">
        <v>0.93719909999999995</v>
      </c>
      <c r="Y3168">
        <v>0.1296359</v>
      </c>
      <c r="Z3168">
        <v>-6.3960969999999999E-3</v>
      </c>
      <c r="AA3168">
        <v>0.99154100000000001</v>
      </c>
      <c r="AB3168">
        <v>32</v>
      </c>
      <c r="AC3168">
        <v>0.56799999999998296</v>
      </c>
      <c r="AD3168">
        <v>-6.9887000000000199E-2</v>
      </c>
      <c r="AE3168">
        <v>-0.112599999999986</v>
      </c>
      <c r="AF3168">
        <v>0.114587465242935</v>
      </c>
      <c r="AG3168">
        <v>-6.9887000000000199E-2</v>
      </c>
      <c r="AH3168">
        <v>0.55911846068707904</v>
      </c>
      <c r="AI3168">
        <v>96.981108153618393</v>
      </c>
      <c r="AJ3168">
        <v>78.418002985450798</v>
      </c>
      <c r="AK3168">
        <v>0.57500255046468296</v>
      </c>
      <c r="AL3168">
        <v>69.597741889680805</v>
      </c>
      <c r="AM3168">
        <v>90.696177375744597</v>
      </c>
      <c r="AN3168">
        <v>1.00000003814394</v>
      </c>
    </row>
    <row r="3169" spans="1:40" x14ac:dyDescent="0.25">
      <c r="A3169" t="str">
        <f>"20190304164705587"</f>
        <v>20190304164705587</v>
      </c>
      <c r="B3169" t="str">
        <f>"1551689225582321"</f>
        <v>1551689225582321</v>
      </c>
      <c r="C3169" t="s">
        <v>40</v>
      </c>
      <c r="D3169">
        <v>4.1441990000000004</v>
      </c>
      <c r="E3169">
        <v>0.56791689999999995</v>
      </c>
      <c r="F3169" t="s">
        <v>41</v>
      </c>
      <c r="G3169">
        <v>-238.24209999999999</v>
      </c>
      <c r="H3169">
        <v>1.0425059999999999</v>
      </c>
      <c r="I3169">
        <v>214.8023</v>
      </c>
      <c r="J3169">
        <v>-238.80080000000001</v>
      </c>
      <c r="K3169">
        <v>1.1107340000000001</v>
      </c>
      <c r="L3169">
        <v>214.91149999999999</v>
      </c>
      <c r="M3169">
        <v>0.99988509999999997</v>
      </c>
      <c r="N3169">
        <v>-1.380053E-2</v>
      </c>
      <c r="O3169">
        <v>6.2910129999999998E-3</v>
      </c>
      <c r="P3169">
        <v>0.94188930000000004</v>
      </c>
      <c r="Q3169">
        <v>0.33546209999999999</v>
      </c>
      <c r="R3169">
        <v>1.761238E-2</v>
      </c>
      <c r="S3169">
        <v>3.2862849999999999</v>
      </c>
      <c r="T3169">
        <v>-0.26151190000000002</v>
      </c>
      <c r="U3169">
        <v>-0.4108734</v>
      </c>
      <c r="V3169">
        <v>-1.1551550000000001E-2</v>
      </c>
      <c r="W3169">
        <v>0.34843420000000003</v>
      </c>
      <c r="X3169">
        <v>0.93726209999999999</v>
      </c>
      <c r="Y3169">
        <v>0.1298127</v>
      </c>
      <c r="Z3169">
        <v>-6.4494549999999998E-3</v>
      </c>
      <c r="AA3169">
        <v>0.99151750000000005</v>
      </c>
      <c r="AB3169">
        <v>32</v>
      </c>
      <c r="AC3169">
        <v>0.55870000000001596</v>
      </c>
      <c r="AD3169">
        <v>-6.8228000000000094E-2</v>
      </c>
      <c r="AE3169">
        <v>-0.109199999999987</v>
      </c>
      <c r="AF3169">
        <v>0.111116840650179</v>
      </c>
      <c r="AG3169">
        <v>-6.8228000000000094E-2</v>
      </c>
      <c r="AH3169">
        <v>0.55010006755051399</v>
      </c>
      <c r="AI3169">
        <v>96.931601296198096</v>
      </c>
      <c r="AJ3169">
        <v>78.580263374817093</v>
      </c>
      <c r="AK3169">
        <v>0.56534245955806095</v>
      </c>
      <c r="AL3169">
        <v>69.608427126355494</v>
      </c>
      <c r="AM3169">
        <v>90.706122175334997</v>
      </c>
      <c r="AN3169">
        <v>1.0000000370667199</v>
      </c>
    </row>
    <row r="3170" spans="1:40" x14ac:dyDescent="0.25">
      <c r="A3170" t="str">
        <f>"20190304164705606"</f>
        <v>20190304164705606</v>
      </c>
      <c r="B3170" t="str">
        <f>"1551689225601840"</f>
        <v>1551689225601840</v>
      </c>
      <c r="C3170" t="s">
        <v>40</v>
      </c>
      <c r="D3170">
        <v>4.1509010000000002</v>
      </c>
      <c r="E3170">
        <v>0.56788930000000004</v>
      </c>
      <c r="F3170" t="s">
        <v>41</v>
      </c>
      <c r="G3170">
        <v>-237.95349999999999</v>
      </c>
      <c r="H3170">
        <v>1.0427839999999999</v>
      </c>
      <c r="I3170">
        <v>214.80539999999999</v>
      </c>
      <c r="J3170">
        <v>-238.50800000000001</v>
      </c>
      <c r="K3170">
        <v>1.1107389999999999</v>
      </c>
      <c r="L3170">
        <v>214.91319999999999</v>
      </c>
      <c r="M3170">
        <v>0.99988480000000002</v>
      </c>
      <c r="N3170">
        <v>-1.387818E-2</v>
      </c>
      <c r="O3170">
        <v>6.1442559999999998E-3</v>
      </c>
      <c r="P3170">
        <v>0.94188700000000003</v>
      </c>
      <c r="Q3170">
        <v>0.33544960000000001</v>
      </c>
      <c r="R3170">
        <v>1.796234E-2</v>
      </c>
      <c r="S3170">
        <v>3.2866819999999999</v>
      </c>
      <c r="T3170">
        <v>-0.2636114</v>
      </c>
      <c r="U3170">
        <v>-0.41154479999999999</v>
      </c>
      <c r="V3170">
        <v>-1.2039299999999999E-2</v>
      </c>
      <c r="W3170">
        <v>0.348495</v>
      </c>
      <c r="X3170">
        <v>0.93723330000000005</v>
      </c>
      <c r="Y3170">
        <v>0.1298445</v>
      </c>
      <c r="Z3170">
        <v>-6.4902319999999899E-3</v>
      </c>
      <c r="AA3170">
        <v>0.99151310000000004</v>
      </c>
      <c r="AB3170">
        <v>32</v>
      </c>
      <c r="AC3170">
        <v>0.55449999999999</v>
      </c>
      <c r="AD3170">
        <v>-6.7954999999999904E-2</v>
      </c>
      <c r="AE3170">
        <v>-0.107799999999997</v>
      </c>
      <c r="AF3170">
        <v>0.10961887993674301</v>
      </c>
      <c r="AG3170">
        <v>-6.7954999999999904E-2</v>
      </c>
      <c r="AH3170">
        <v>0.54592647585097198</v>
      </c>
      <c r="AI3170">
        <v>96.958000367472707</v>
      </c>
      <c r="AJ3170">
        <v>78.6463190689242</v>
      </c>
      <c r="AK3170">
        <v>0.56095445260613497</v>
      </c>
      <c r="AL3170">
        <v>69.604709472124597</v>
      </c>
      <c r="AM3170">
        <v>90.735956715334098</v>
      </c>
      <c r="AN3170">
        <v>0.99999998419918901</v>
      </c>
    </row>
    <row r="3171" spans="1:40" x14ac:dyDescent="0.25">
      <c r="A3171" t="str">
        <f>"20190304164705630"</f>
        <v>20190304164705630</v>
      </c>
      <c r="B3171" t="str">
        <f>"1551689225622337"</f>
        <v>1551689225622337</v>
      </c>
      <c r="C3171" t="s">
        <v>40</v>
      </c>
      <c r="D3171">
        <v>4.0973329999999999</v>
      </c>
      <c r="E3171">
        <v>0.56789029999999996</v>
      </c>
      <c r="F3171" t="s">
        <v>41</v>
      </c>
      <c r="G3171">
        <v>-237.6652</v>
      </c>
      <c r="H3171">
        <v>1.0430549999999901</v>
      </c>
      <c r="I3171">
        <v>214.8075</v>
      </c>
      <c r="J3171">
        <v>-238.1653</v>
      </c>
      <c r="K3171">
        <v>1.1107279999999999</v>
      </c>
      <c r="L3171">
        <v>214.9151</v>
      </c>
      <c r="M3171">
        <v>0.99988480000000002</v>
      </c>
      <c r="N3171">
        <v>-1.3957010000000001E-2</v>
      </c>
      <c r="O3171">
        <v>5.9720989999999998E-3</v>
      </c>
      <c r="P3171">
        <v>0.94207450000000004</v>
      </c>
      <c r="Q3171">
        <v>0.33493640000000002</v>
      </c>
      <c r="R3171">
        <v>1.7704609999999999E-2</v>
      </c>
      <c r="S3171">
        <v>3.287048</v>
      </c>
      <c r="T3171">
        <v>-0.26420399999999999</v>
      </c>
      <c r="U3171">
        <v>-0.4110413</v>
      </c>
      <c r="V3171">
        <v>-1.194304E-2</v>
      </c>
      <c r="W3171">
        <v>0.34805829999999999</v>
      </c>
      <c r="X3171">
        <v>0.93739680000000003</v>
      </c>
      <c r="Y3171">
        <v>0.12950980000000001</v>
      </c>
      <c r="Z3171">
        <v>-6.4799300000000001E-3</v>
      </c>
      <c r="AA3171">
        <v>0.99155689999999996</v>
      </c>
      <c r="AB3171">
        <v>32</v>
      </c>
      <c r="AC3171">
        <v>0.50010000000000299</v>
      </c>
      <c r="AD3171">
        <v>-6.7673000000000302E-2</v>
      </c>
      <c r="AE3171">
        <v>-0.10759999999999</v>
      </c>
      <c r="AF3171">
        <v>0.10868295285695299</v>
      </c>
      <c r="AG3171">
        <v>-6.7673000000000302E-2</v>
      </c>
      <c r="AH3171">
        <v>0.49085789247935302</v>
      </c>
      <c r="AI3171">
        <v>97.666319048626406</v>
      </c>
      <c r="AJ3171">
        <v>77.515312409481695</v>
      </c>
      <c r="AK3171">
        <v>0.507280090068572</v>
      </c>
      <c r="AL3171">
        <v>69.631401783859801</v>
      </c>
      <c r="AM3171">
        <v>90.729945701561306</v>
      </c>
      <c r="AN3171">
        <v>0.99999998852678496</v>
      </c>
    </row>
    <row r="3172" spans="1:40" x14ac:dyDescent="0.25">
      <c r="A3172" t="str">
        <f>"20190304164705651"</f>
        <v>20190304164705651</v>
      </c>
      <c r="B3172" t="str">
        <f>"1551689225641857"</f>
        <v>1551689225641857</v>
      </c>
      <c r="C3172" t="s">
        <v>40</v>
      </c>
      <c r="D3172">
        <v>4.149762</v>
      </c>
      <c r="E3172">
        <v>0.56788719999999904</v>
      </c>
      <c r="F3172" t="s">
        <v>41</v>
      </c>
      <c r="G3172">
        <v>-237.375</v>
      </c>
      <c r="H3172">
        <v>1.046508</v>
      </c>
      <c r="I3172">
        <v>214.816</v>
      </c>
      <c r="J3172">
        <v>-237.86150000000001</v>
      </c>
      <c r="K3172">
        <v>1.110738</v>
      </c>
      <c r="L3172">
        <v>214.91679999999999</v>
      </c>
      <c r="M3172">
        <v>0.99988500000000002</v>
      </c>
      <c r="N3172">
        <v>-1.401677E-2</v>
      </c>
      <c r="O3172">
        <v>5.8197489999999999E-3</v>
      </c>
      <c r="P3172">
        <v>0.94215360000000004</v>
      </c>
      <c r="Q3172">
        <v>0.33474759999999998</v>
      </c>
      <c r="R3172">
        <v>1.7054400000000001E-2</v>
      </c>
      <c r="S3172">
        <v>3.2872309999999998</v>
      </c>
      <c r="T3172">
        <v>-0.26724819999999999</v>
      </c>
      <c r="U3172">
        <v>-0.4119873</v>
      </c>
      <c r="V3172">
        <v>-1.143631E-2</v>
      </c>
      <c r="W3172">
        <v>0.34792640000000002</v>
      </c>
      <c r="X3172">
        <v>0.93745210000000001</v>
      </c>
      <c r="Y3172">
        <v>0.12962190000000001</v>
      </c>
      <c r="Z3172">
        <v>-6.5431639999999998E-3</v>
      </c>
      <c r="AA3172">
        <v>0.99154189999999998</v>
      </c>
      <c r="AB3172">
        <v>32</v>
      </c>
      <c r="AC3172">
        <v>0.48650000000000598</v>
      </c>
      <c r="AD3172">
        <v>-6.4229999999999995E-2</v>
      </c>
      <c r="AE3172">
        <v>-0.10080000000002</v>
      </c>
      <c r="AF3172">
        <v>0.101926379441969</v>
      </c>
      <c r="AG3172">
        <v>-6.4229999999999995E-2</v>
      </c>
      <c r="AH3172">
        <v>0.47791761929210402</v>
      </c>
      <c r="AI3172">
        <v>97.488005469515102</v>
      </c>
      <c r="AJ3172">
        <v>77.960793759484801</v>
      </c>
      <c r="AK3172">
        <v>0.49286887765001097</v>
      </c>
      <c r="AL3172">
        <v>69.639463278260493</v>
      </c>
      <c r="AM3172">
        <v>90.698936823863093</v>
      </c>
      <c r="AN3172">
        <v>1.0000000043988899</v>
      </c>
    </row>
    <row r="3173" spans="1:40" x14ac:dyDescent="0.25">
      <c r="A3173" t="str">
        <f>"20190304164705677"</f>
        <v>20190304164705677</v>
      </c>
      <c r="B3173" t="str">
        <f>"1551689225672113"</f>
        <v>1551689225672113</v>
      </c>
      <c r="C3173" t="s">
        <v>40</v>
      </c>
      <c r="D3173">
        <v>4.1247429999999996</v>
      </c>
      <c r="E3173">
        <v>0.56735000000000002</v>
      </c>
      <c r="F3173" t="s">
        <v>41</v>
      </c>
      <c r="G3173">
        <v>-237.08690000000001</v>
      </c>
      <c r="H3173">
        <v>1.0473920000000001</v>
      </c>
      <c r="I3173">
        <v>214.8192</v>
      </c>
      <c r="J3173">
        <v>-237.4872</v>
      </c>
      <c r="K3173">
        <v>1.1107499999999999</v>
      </c>
      <c r="L3173">
        <v>214.9187</v>
      </c>
      <c r="M3173">
        <v>0.99988509999999997</v>
      </c>
      <c r="N3173">
        <v>-1.407922E-2</v>
      </c>
      <c r="O3173">
        <v>5.6344430000000003E-3</v>
      </c>
      <c r="P3173">
        <v>0.94164789999999998</v>
      </c>
      <c r="Q3173">
        <v>0.33618429999999999</v>
      </c>
      <c r="R3173">
        <v>1.672131E-2</v>
      </c>
      <c r="S3173">
        <v>3.2872469999999998</v>
      </c>
      <c r="T3173">
        <v>-0.26888840000000003</v>
      </c>
      <c r="U3173">
        <v>-0.41331479999999998</v>
      </c>
      <c r="V3173">
        <v>-1.128213E-2</v>
      </c>
      <c r="W3173">
        <v>0.34941420000000001</v>
      </c>
      <c r="X3173">
        <v>0.93690039999999997</v>
      </c>
      <c r="Y3173">
        <v>0.1298253</v>
      </c>
      <c r="Z3173">
        <v>-6.5789179999999996E-3</v>
      </c>
      <c r="AA3173">
        <v>0.99151500000000004</v>
      </c>
      <c r="AB3173">
        <v>32</v>
      </c>
      <c r="AC3173">
        <v>0.400299999999987</v>
      </c>
      <c r="AD3173">
        <v>-6.3357999999999803E-2</v>
      </c>
      <c r="AE3173">
        <v>-9.9500000000006097E-2</v>
      </c>
      <c r="AF3173">
        <v>9.9408694572128503E-2</v>
      </c>
      <c r="AG3173">
        <v>-6.3357999999999803E-2</v>
      </c>
      <c r="AH3173">
        <v>0.39051917871806002</v>
      </c>
      <c r="AI3173">
        <v>98.935260029294497</v>
      </c>
      <c r="AJ3173">
        <v>75.718378914395799</v>
      </c>
      <c r="AK3173">
        <v>0.40792346545297298</v>
      </c>
      <c r="AL3173">
        <v>69.548510080054498</v>
      </c>
      <c r="AM3173">
        <v>90.689920924477207</v>
      </c>
      <c r="AN3173">
        <v>0.99999996456956697</v>
      </c>
    </row>
    <row r="3174" spans="1:40" x14ac:dyDescent="0.25">
      <c r="A3174" t="str">
        <f>"20190304164705698"</f>
        <v>20190304164705698</v>
      </c>
      <c r="B3174" t="str">
        <f>"1551689225691633"</f>
        <v>1551689225691633</v>
      </c>
      <c r="C3174" t="s">
        <v>40</v>
      </c>
      <c r="D3174">
        <v>4.1636839999999999</v>
      </c>
      <c r="E3174">
        <v>0.56742859999999995</v>
      </c>
      <c r="F3174" t="s">
        <v>41</v>
      </c>
      <c r="G3174">
        <v>-236.529</v>
      </c>
      <c r="H3174">
        <v>1.0192730000000001</v>
      </c>
      <c r="I3174">
        <v>214.8004</v>
      </c>
      <c r="J3174">
        <v>-237.18350000000001</v>
      </c>
      <c r="K3174">
        <v>1.11077</v>
      </c>
      <c r="L3174">
        <v>214.9203</v>
      </c>
      <c r="M3174">
        <v>0.99988529999999998</v>
      </c>
      <c r="N3174">
        <v>-1.412216E-2</v>
      </c>
      <c r="O3174">
        <v>5.4897699999999997E-3</v>
      </c>
      <c r="P3174">
        <v>0.94120060000000005</v>
      </c>
      <c r="Q3174">
        <v>0.33743879999999998</v>
      </c>
      <c r="R3174">
        <v>1.6633160000000001E-2</v>
      </c>
      <c r="S3174">
        <v>3.3058779999999999</v>
      </c>
      <c r="T3174">
        <v>-0.31574020000000003</v>
      </c>
      <c r="U3174">
        <v>-0.40776059999999997</v>
      </c>
      <c r="V3174">
        <v>-1.133438E-2</v>
      </c>
      <c r="W3174">
        <v>0.35070230000000002</v>
      </c>
      <c r="X3174">
        <v>0.93641839999999998</v>
      </c>
      <c r="Y3174">
        <v>0.12718979999999999</v>
      </c>
      <c r="Z3174">
        <v>-7.385328E-3</v>
      </c>
      <c r="AA3174">
        <v>0.99185089999999998</v>
      </c>
      <c r="AB3174">
        <v>32</v>
      </c>
      <c r="AC3174">
        <v>0.65449999999998398</v>
      </c>
      <c r="AD3174">
        <v>-9.1497000000000106E-2</v>
      </c>
      <c r="AE3174">
        <v>-0.11990000000000101</v>
      </c>
      <c r="AF3174">
        <v>0.121199888139167</v>
      </c>
      <c r="AG3174">
        <v>-9.1497000000000106E-2</v>
      </c>
      <c r="AH3174">
        <v>0.64169824679258602</v>
      </c>
      <c r="AI3174">
        <v>97.975709891600005</v>
      </c>
      <c r="AJ3174">
        <v>79.304332478058299</v>
      </c>
      <c r="AK3174">
        <v>0.65942228793893898</v>
      </c>
      <c r="AL3174">
        <v>69.469722976612701</v>
      </c>
      <c r="AM3174">
        <v>90.693472518169798</v>
      </c>
      <c r="AN3174">
        <v>0.99999999562691699</v>
      </c>
    </row>
    <row r="3175" spans="1:40" x14ac:dyDescent="0.25">
      <c r="A3175" t="str">
        <f>"20190304164705723"</f>
        <v>20190304164705723</v>
      </c>
      <c r="B3175" t="str">
        <f>"1551689225712128"</f>
        <v>1551689225712128</v>
      </c>
      <c r="C3175" t="s">
        <v>40</v>
      </c>
      <c r="D3175">
        <v>4.1035490000000001</v>
      </c>
      <c r="E3175">
        <v>0.56756819999999997</v>
      </c>
      <c r="F3175" t="s">
        <v>41</v>
      </c>
      <c r="G3175">
        <v>-236.24090000000001</v>
      </c>
      <c r="H3175">
        <v>1.022761</v>
      </c>
      <c r="I3175">
        <v>214.80330000000001</v>
      </c>
      <c r="J3175">
        <v>-236.8246</v>
      </c>
      <c r="K3175">
        <v>1.110797</v>
      </c>
      <c r="L3175">
        <v>214.9221</v>
      </c>
      <c r="M3175">
        <v>0.99988549999999998</v>
      </c>
      <c r="N3175">
        <v>-1.4165270000000001E-2</v>
      </c>
      <c r="O3175">
        <v>5.325644E-3</v>
      </c>
      <c r="P3175">
        <v>0.9407877</v>
      </c>
      <c r="Q3175">
        <v>0.33862629999999999</v>
      </c>
      <c r="R3175">
        <v>1.5837230000000001E-2</v>
      </c>
      <c r="S3175">
        <v>3.3053590000000002</v>
      </c>
      <c r="T3175">
        <v>-0.30870039999999999</v>
      </c>
      <c r="U3175">
        <v>-0.4099274</v>
      </c>
      <c r="V3175">
        <v>-1.069955E-2</v>
      </c>
      <c r="W3175">
        <v>0.3519235</v>
      </c>
      <c r="X3175">
        <v>0.93596760000000001</v>
      </c>
      <c r="Y3175">
        <v>0.12771179999999999</v>
      </c>
      <c r="Z3175">
        <v>-7.2579569999999998E-3</v>
      </c>
      <c r="AA3175">
        <v>0.99178480000000002</v>
      </c>
      <c r="AB3175">
        <v>32</v>
      </c>
      <c r="AC3175">
        <v>0.583699999999993</v>
      </c>
      <c r="AD3175">
        <v>-8.8036000000000003E-2</v>
      </c>
      <c r="AE3175">
        <v>-0.11879999999999299</v>
      </c>
      <c r="AF3175">
        <v>0.119301299172113</v>
      </c>
      <c r="AG3175">
        <v>-8.8036000000000003E-2</v>
      </c>
      <c r="AH3175">
        <v>0.57059541794188695</v>
      </c>
      <c r="AI3175">
        <v>98.588039822666005</v>
      </c>
      <c r="AJ3175">
        <v>78.190599573461199</v>
      </c>
      <c r="AK3175">
        <v>0.58954411900758596</v>
      </c>
      <c r="AL3175">
        <v>69.394989586768602</v>
      </c>
      <c r="AM3175">
        <v>90.654950401899498</v>
      </c>
      <c r="AN3175">
        <v>0.999999989236106</v>
      </c>
    </row>
    <row r="3176" spans="1:40" x14ac:dyDescent="0.25">
      <c r="A3176" t="str">
        <f>"20190304164705744"</f>
        <v>20190304164705744</v>
      </c>
      <c r="B3176" t="str">
        <f>"1551689225731649"</f>
        <v>1551689225731649</v>
      </c>
      <c r="C3176" t="s">
        <v>40</v>
      </c>
      <c r="D3176">
        <v>4.269774</v>
      </c>
      <c r="E3176">
        <v>0.56764780000000004</v>
      </c>
      <c r="F3176" t="s">
        <v>41</v>
      </c>
      <c r="G3176">
        <v>-235.95070000000001</v>
      </c>
      <c r="H3176">
        <v>1.03135</v>
      </c>
      <c r="I3176">
        <v>214.81280000000001</v>
      </c>
      <c r="J3176">
        <v>-236.53989999999999</v>
      </c>
      <c r="K3176">
        <v>1.1108070000000001</v>
      </c>
      <c r="L3176">
        <v>214.92349999999999</v>
      </c>
      <c r="M3176">
        <v>0.99988580000000005</v>
      </c>
      <c r="N3176">
        <v>-1.4194460000000001E-2</v>
      </c>
      <c r="O3176">
        <v>5.2056339999999998E-3</v>
      </c>
      <c r="P3176">
        <v>0.94076649999999995</v>
      </c>
      <c r="Q3176">
        <v>0.33872970000000002</v>
      </c>
      <c r="R3176">
        <v>1.4862480000000001E-2</v>
      </c>
      <c r="S3176">
        <v>3.3039399999999999</v>
      </c>
      <c r="T3176">
        <v>-0.3004986</v>
      </c>
      <c r="U3176">
        <v>-0.41319270000000002</v>
      </c>
      <c r="V3176">
        <v>-9.8434669999999998E-3</v>
      </c>
      <c r="W3176">
        <v>0.35205379999999997</v>
      </c>
      <c r="X3176">
        <v>0.93592799999999998</v>
      </c>
      <c r="Y3176">
        <v>0.12863730000000001</v>
      </c>
      <c r="Z3176">
        <v>-7.1312519999999898E-3</v>
      </c>
      <c r="AA3176">
        <v>0.99166609999999999</v>
      </c>
      <c r="AB3176">
        <v>32</v>
      </c>
      <c r="AC3176">
        <v>0.58919999999997597</v>
      </c>
      <c r="AD3176">
        <v>-7.9456999999999806E-2</v>
      </c>
      <c r="AE3176">
        <v>-0.11069999999997999</v>
      </c>
      <c r="AF3176">
        <v>0.11180205352769999</v>
      </c>
      <c r="AG3176">
        <v>-7.9456999999999806E-2</v>
      </c>
      <c r="AH3176">
        <v>0.57845456225974501</v>
      </c>
      <c r="AI3176">
        <v>97.680846469705301</v>
      </c>
      <c r="AJ3176">
        <v>79.0609172916581</v>
      </c>
      <c r="AK3176">
        <v>0.59449372967351299</v>
      </c>
      <c r="AL3176">
        <v>69.387013669694397</v>
      </c>
      <c r="AM3176">
        <v>90.602576609705196</v>
      </c>
      <c r="AN3176">
        <v>0.99999999656050997</v>
      </c>
    </row>
    <row r="3177" spans="1:40" x14ac:dyDescent="0.25">
      <c r="A3177" t="str">
        <f>"20190304164705771"</f>
        <v>20190304164705771</v>
      </c>
      <c r="B3177" t="str">
        <f>"1551689225761905"</f>
        <v>1551689225761905</v>
      </c>
      <c r="C3177" t="s">
        <v>40</v>
      </c>
      <c r="D3177">
        <v>4.2476139999999996</v>
      </c>
      <c r="E3177">
        <v>0.56708059999999905</v>
      </c>
      <c r="F3177" t="s">
        <v>49</v>
      </c>
      <c r="G3177">
        <v>-220.94460000000001</v>
      </c>
      <c r="H3177" s="1">
        <v>-9.6035590000000006E-7</v>
      </c>
      <c r="I3177">
        <v>212.929</v>
      </c>
      <c r="J3177">
        <v>-236.15479999999999</v>
      </c>
      <c r="K3177">
        <v>1.1108279999999999</v>
      </c>
      <c r="L3177">
        <v>214.92529999999999</v>
      </c>
      <c r="M3177">
        <v>0.99988600000000005</v>
      </c>
      <c r="N3177">
        <v>-1.422788E-2</v>
      </c>
      <c r="O3177">
        <v>5.0696780000000002E-3</v>
      </c>
      <c r="P3177">
        <v>0.94114430000000004</v>
      </c>
      <c r="Q3177">
        <v>0.33770280000000003</v>
      </c>
      <c r="R3177">
        <v>1.4294569999999999E-2</v>
      </c>
      <c r="S3177">
        <v>3.2796020000000001</v>
      </c>
      <c r="T3177">
        <v>-0.2335961</v>
      </c>
      <c r="U3177">
        <v>-0.41941830000000002</v>
      </c>
      <c r="V3177">
        <v>-9.4165440000000006E-3</v>
      </c>
      <c r="W3177">
        <v>0.35106279999999901</v>
      </c>
      <c r="X3177">
        <v>0.93630460000000004</v>
      </c>
      <c r="Y3177">
        <v>0.13147899999999901</v>
      </c>
      <c r="Z3177">
        <v>-5.8856319999999896E-3</v>
      </c>
      <c r="AA3177">
        <v>0.99130149999999995</v>
      </c>
      <c r="AB3177">
        <v>32</v>
      </c>
      <c r="AC3177">
        <v>15.210199999999899</v>
      </c>
      <c r="AD3177">
        <v>-1.1108289603558901</v>
      </c>
      <c r="AE3177">
        <v>-1.99629999999999</v>
      </c>
      <c r="AF3177">
        <v>2.0625781807052102</v>
      </c>
      <c r="AG3177">
        <v>-1.1108289603558901</v>
      </c>
      <c r="AH3177">
        <v>15.120600586088599</v>
      </c>
      <c r="AI3177">
        <v>94.163246473926193</v>
      </c>
      <c r="AJ3177">
        <v>82.232311408986703</v>
      </c>
      <c r="AK3177">
        <v>15.3010042747105</v>
      </c>
      <c r="AL3177">
        <v>69.447666206828998</v>
      </c>
      <c r="AM3177">
        <v>90.576212099702104</v>
      </c>
      <c r="AN3177">
        <v>1.0000000324129501</v>
      </c>
    </row>
    <row r="3178" spans="1:40" x14ac:dyDescent="0.25">
      <c r="A3178" t="str">
        <f>"20190304164705791"</f>
        <v>20190304164705791</v>
      </c>
      <c r="B3178" t="str">
        <f>"1551689225782400"</f>
        <v>1551689225782400</v>
      </c>
      <c r="C3178" t="s">
        <v>40</v>
      </c>
      <c r="D3178">
        <v>4.2268100000000004</v>
      </c>
      <c r="E3178">
        <v>0.56684569999999901</v>
      </c>
      <c r="F3178" t="s">
        <v>41</v>
      </c>
      <c r="G3178">
        <v>-235.3784</v>
      </c>
      <c r="H3178">
        <v>1.0342830000000001</v>
      </c>
      <c r="I3178">
        <v>214.82859999999999</v>
      </c>
      <c r="J3178">
        <v>-235.85939999999999</v>
      </c>
      <c r="K3178">
        <v>1.110852</v>
      </c>
      <c r="L3178">
        <v>214.92670000000001</v>
      </c>
      <c r="M3178">
        <v>0.99988600000000005</v>
      </c>
      <c r="N3178">
        <v>-1.424922E-2</v>
      </c>
      <c r="O3178">
        <v>4.9957409999999997E-3</v>
      </c>
      <c r="P3178">
        <v>0.94125130000000001</v>
      </c>
      <c r="Q3178">
        <v>0.33741459999999901</v>
      </c>
      <c r="R3178">
        <v>1.4055750000000001E-2</v>
      </c>
      <c r="S3178">
        <v>3.3110659999999998</v>
      </c>
      <c r="T3178">
        <v>-0.32661659999999998</v>
      </c>
      <c r="U3178">
        <v>-0.41163640000000001</v>
      </c>
      <c r="V3178">
        <v>-9.2643970000000006E-3</v>
      </c>
      <c r="W3178">
        <v>0.35079569999999999</v>
      </c>
      <c r="X3178">
        <v>0.93640619999999997</v>
      </c>
      <c r="Y3178">
        <v>0.127611</v>
      </c>
      <c r="Z3178">
        <v>-7.5890929999999999E-3</v>
      </c>
      <c r="AA3178">
        <v>0.99179519999999999</v>
      </c>
      <c r="AB3178">
        <v>32</v>
      </c>
      <c r="AC3178">
        <v>0.48099999999999399</v>
      </c>
      <c r="AD3178">
        <v>-7.6568999999999804E-2</v>
      </c>
      <c r="AE3178">
        <v>-9.8100000000016493E-2</v>
      </c>
      <c r="AF3178">
        <v>9.8114973642044107E-2</v>
      </c>
      <c r="AG3178">
        <v>-7.6568999999999804E-2</v>
      </c>
      <c r="AH3178">
        <v>0.46909153667332198</v>
      </c>
      <c r="AI3178">
        <v>99.077476148362905</v>
      </c>
      <c r="AJ3178">
        <v>78.186349123934605</v>
      </c>
      <c r="AK3178">
        <v>0.48532074918791301</v>
      </c>
      <c r="AL3178">
        <v>69.464008854759598</v>
      </c>
      <c r="AM3178">
        <v>90.566841109971094</v>
      </c>
      <c r="AN3178">
        <v>1.0000000117943499</v>
      </c>
    </row>
    <row r="3179" spans="1:40" x14ac:dyDescent="0.25">
      <c r="A3179" t="str">
        <f>"20190304164705810"</f>
        <v>20190304164705810</v>
      </c>
      <c r="B3179" t="str">
        <f>"1551689225801921"</f>
        <v>1551689225801921</v>
      </c>
      <c r="C3179" t="s">
        <v>40</v>
      </c>
      <c r="D3179">
        <v>4.1733510000000003</v>
      </c>
      <c r="E3179">
        <v>0.56701959999999996</v>
      </c>
      <c r="F3179" t="s">
        <v>41</v>
      </c>
      <c r="G3179">
        <v>-235.0933</v>
      </c>
      <c r="H3179">
        <v>1.034502</v>
      </c>
      <c r="I3179">
        <v>214.83150000000001</v>
      </c>
      <c r="J3179">
        <v>-235.58580000000001</v>
      </c>
      <c r="K3179">
        <v>1.1108789999999999</v>
      </c>
      <c r="L3179">
        <v>214.928</v>
      </c>
      <c r="M3179">
        <v>0.9998861</v>
      </c>
      <c r="N3179">
        <v>-1.426614E-2</v>
      </c>
      <c r="O3179">
        <v>4.9487309999999996E-3</v>
      </c>
      <c r="P3179">
        <v>0.94093870000000002</v>
      </c>
      <c r="Q3179">
        <v>0.33829189999999998</v>
      </c>
      <c r="R3179">
        <v>1.390303E-2</v>
      </c>
      <c r="S3179">
        <v>3.3117220000000001</v>
      </c>
      <c r="T3179">
        <v>-0.33008110000000002</v>
      </c>
      <c r="U3179">
        <v>-0.41131590000000001</v>
      </c>
      <c r="V3179">
        <v>-9.1758470000000009E-3</v>
      </c>
      <c r="W3179">
        <v>0.35168369999999999</v>
      </c>
      <c r="X3179">
        <v>0.93607390000000001</v>
      </c>
      <c r="Y3179">
        <v>0.12743279999999901</v>
      </c>
      <c r="Z3179">
        <v>-7.6459469999999898E-3</v>
      </c>
      <c r="AA3179">
        <v>0.99181770000000002</v>
      </c>
      <c r="AB3179">
        <v>32</v>
      </c>
      <c r="AC3179">
        <v>0.49250000000000599</v>
      </c>
      <c r="AD3179">
        <v>-7.6377000000000098E-2</v>
      </c>
      <c r="AE3179">
        <v>-9.6499999999991801E-2</v>
      </c>
      <c r="AF3179">
        <v>9.6696753200273794E-2</v>
      </c>
      <c r="AG3179">
        <v>-7.6377000000000098E-2</v>
      </c>
      <c r="AH3179">
        <v>0.48087888427978198</v>
      </c>
      <c r="AI3179">
        <v>98.850514591640703</v>
      </c>
      <c r="AJ3179">
        <v>78.630394101704297</v>
      </c>
      <c r="AK3179">
        <v>0.49641535991006802</v>
      </c>
      <c r="AL3179">
        <v>69.409667291465297</v>
      </c>
      <c r="AM3179">
        <v>90.561622825292503</v>
      </c>
      <c r="AN3179">
        <v>0.99999998363753295</v>
      </c>
    </row>
    <row r="3180" spans="1:40" x14ac:dyDescent="0.25">
      <c r="A3180" t="str">
        <f>"20190304164705834"</f>
        <v>20190304164705834</v>
      </c>
      <c r="B3180" t="str">
        <f>"1551689225821440"</f>
        <v>1551689225821440</v>
      </c>
      <c r="C3180" t="s">
        <v>40</v>
      </c>
      <c r="D3180">
        <v>4.2576000000000001</v>
      </c>
      <c r="E3180">
        <v>0.56703990000000004</v>
      </c>
      <c r="F3180" t="s">
        <v>41</v>
      </c>
      <c r="G3180">
        <v>-234.809</v>
      </c>
      <c r="H3180">
        <v>1.0336160000000001</v>
      </c>
      <c r="I3180">
        <v>214.83080000000001</v>
      </c>
      <c r="J3180">
        <v>-235.2586</v>
      </c>
      <c r="K3180">
        <v>1.110914</v>
      </c>
      <c r="L3180">
        <v>214.92959999999999</v>
      </c>
      <c r="M3180">
        <v>0.99988589999999999</v>
      </c>
      <c r="N3180">
        <v>-1.42834E-2</v>
      </c>
      <c r="O3180">
        <v>4.914023E-3</v>
      </c>
      <c r="P3180">
        <v>0.94077</v>
      </c>
      <c r="Q3180">
        <v>0.33877990000000002</v>
      </c>
      <c r="R3180">
        <v>1.3419779999999999E-2</v>
      </c>
      <c r="S3180">
        <v>3.3129430000000002</v>
      </c>
      <c r="T3180">
        <v>-0.32966469999999998</v>
      </c>
      <c r="U3180">
        <v>-0.41377259999999999</v>
      </c>
      <c r="V3180">
        <v>-8.7451360000000006E-3</v>
      </c>
      <c r="W3180">
        <v>0.35218500000000003</v>
      </c>
      <c r="X3180">
        <v>0.93588950000000004</v>
      </c>
      <c r="Y3180">
        <v>0.12807660000000001</v>
      </c>
      <c r="Z3180">
        <v>-7.6692059999999996E-3</v>
      </c>
      <c r="AA3180">
        <v>0.99173460000000002</v>
      </c>
      <c r="AB3180">
        <v>32</v>
      </c>
      <c r="AC3180">
        <v>0.44959999999997502</v>
      </c>
      <c r="AD3180">
        <v>-7.7297999999999797E-2</v>
      </c>
      <c r="AE3180">
        <v>-9.8799999999982901E-2</v>
      </c>
      <c r="AF3180">
        <v>9.8238354148987794E-2</v>
      </c>
      <c r="AG3180">
        <v>-7.7297999999999797E-2</v>
      </c>
      <c r="AH3180">
        <v>0.43679278699811103</v>
      </c>
      <c r="AI3180">
        <v>99.795789940952702</v>
      </c>
      <c r="AJ3180">
        <v>77.324613593863802</v>
      </c>
      <c r="AK3180">
        <v>0.45432773831616202</v>
      </c>
      <c r="AL3180">
        <v>69.378981161655005</v>
      </c>
      <c r="AM3180">
        <v>90.535367478385098</v>
      </c>
      <c r="AN3180">
        <v>0.99999995391945296</v>
      </c>
    </row>
    <row r="3181" spans="1:40" x14ac:dyDescent="0.25">
      <c r="A3181" t="str">
        <f>"20190304164705853"</f>
        <v>20190304164705853</v>
      </c>
      <c r="B3181" t="str">
        <f>"1551689225841937"</f>
        <v>1551689225841937</v>
      </c>
      <c r="C3181" t="s">
        <v>40</v>
      </c>
      <c r="D3181">
        <v>4.287147</v>
      </c>
      <c r="E3181">
        <v>0.56714359999999997</v>
      </c>
      <c r="F3181" t="s">
        <v>41</v>
      </c>
      <c r="G3181">
        <v>-234.52269999999999</v>
      </c>
      <c r="H3181">
        <v>1.0376799999999999</v>
      </c>
      <c r="I3181">
        <v>214.83750000000001</v>
      </c>
      <c r="J3181">
        <v>-234.97499999999999</v>
      </c>
      <c r="K3181">
        <v>1.110938</v>
      </c>
      <c r="L3181">
        <v>214.93100000000001</v>
      </c>
      <c r="M3181">
        <v>0.99988589999999999</v>
      </c>
      <c r="N3181">
        <v>-1.429594E-2</v>
      </c>
      <c r="O3181">
        <v>4.9019199999999997E-3</v>
      </c>
      <c r="P3181">
        <v>0.94053790000000004</v>
      </c>
      <c r="Q3181">
        <v>0.33943800000000002</v>
      </c>
      <c r="R3181">
        <v>1.306818E-2</v>
      </c>
      <c r="S3181">
        <v>3.3135680000000001</v>
      </c>
      <c r="T3181">
        <v>-0.32983770000000001</v>
      </c>
      <c r="U3181">
        <v>-0.4140472</v>
      </c>
      <c r="V3181">
        <v>-8.4193389999999996E-3</v>
      </c>
      <c r="W3181">
        <v>0.35285070000000002</v>
      </c>
      <c r="X3181">
        <v>0.93564179999999997</v>
      </c>
      <c r="Y3181">
        <v>0.12812180000000001</v>
      </c>
      <c r="Z3181">
        <v>-7.67374599999999E-3</v>
      </c>
      <c r="AA3181">
        <v>0.99172870000000002</v>
      </c>
      <c r="AB3181">
        <v>32</v>
      </c>
      <c r="AC3181">
        <v>0.45230000000000797</v>
      </c>
      <c r="AD3181">
        <v>-7.3258000000000004E-2</v>
      </c>
      <c r="AE3181">
        <v>-9.3499999999977407E-2</v>
      </c>
      <c r="AF3181">
        <v>9.3367267260254905E-2</v>
      </c>
      <c r="AG3181">
        <v>-7.3258000000000004E-2</v>
      </c>
      <c r="AH3181">
        <v>0.44074766871286802</v>
      </c>
      <c r="AI3181">
        <v>99.235723737902006</v>
      </c>
      <c r="AJ3181">
        <v>78.039376379777593</v>
      </c>
      <c r="AK3181">
        <v>0.45644571269262302</v>
      </c>
      <c r="AL3181">
        <v>69.338224740407099</v>
      </c>
      <c r="AM3181">
        <v>90.515560090910796</v>
      </c>
      <c r="AN3181">
        <v>1.0000000398334601</v>
      </c>
    </row>
    <row r="3182" spans="1:40" x14ac:dyDescent="0.25">
      <c r="A3182" t="str">
        <f>"20190304164705876"</f>
        <v>20190304164705876</v>
      </c>
      <c r="B3182" t="str">
        <f>"1551689225872193"</f>
        <v>1551689225872193</v>
      </c>
      <c r="C3182" t="s">
        <v>40</v>
      </c>
      <c r="D3182">
        <v>4.3232629999999999</v>
      </c>
      <c r="E3182">
        <v>0.56733540000000005</v>
      </c>
      <c r="F3182" t="s">
        <v>41</v>
      </c>
      <c r="G3182">
        <v>-234.23859999999999</v>
      </c>
      <c r="H3182">
        <v>1.037609</v>
      </c>
      <c r="I3182">
        <v>214.83869999999999</v>
      </c>
      <c r="J3182">
        <v>-234.6679</v>
      </c>
      <c r="K3182">
        <v>1.1109629999999999</v>
      </c>
      <c r="L3182">
        <v>214.9324</v>
      </c>
      <c r="M3182">
        <v>0.99988569999999999</v>
      </c>
      <c r="N3182">
        <v>-1.4307230000000001E-2</v>
      </c>
      <c r="O3182">
        <v>4.9093549999999998E-3</v>
      </c>
      <c r="P3182">
        <v>0.94041160000000001</v>
      </c>
      <c r="Q3182">
        <v>0.33981050000000002</v>
      </c>
      <c r="R3182">
        <v>1.24583E-2</v>
      </c>
      <c r="S3182">
        <v>3.3145600000000002</v>
      </c>
      <c r="T3182">
        <v>-0.33012340000000001</v>
      </c>
      <c r="U3182">
        <v>-0.41499330000000001</v>
      </c>
      <c r="V3182">
        <v>-7.8149420000000001E-3</v>
      </c>
      <c r="W3182">
        <v>0.35323179999999998</v>
      </c>
      <c r="X3182">
        <v>0.93550319999999998</v>
      </c>
      <c r="Y3182">
        <v>0.12836910000000001</v>
      </c>
      <c r="Z3182">
        <v>-7.6928309999999998E-3</v>
      </c>
      <c r="AA3182">
        <v>0.99169660000000004</v>
      </c>
      <c r="AB3182">
        <v>32</v>
      </c>
      <c r="AC3182">
        <v>0.42930000000001201</v>
      </c>
      <c r="AD3182">
        <v>-7.3353999999999905E-2</v>
      </c>
      <c r="AE3182">
        <v>-9.3700000000012496E-2</v>
      </c>
      <c r="AF3182">
        <v>9.3209070381294196E-2</v>
      </c>
      <c r="AG3182">
        <v>-7.3353999999999905E-2</v>
      </c>
      <c r="AH3182">
        <v>0.41720779470610903</v>
      </c>
      <c r="AI3182">
        <v>99.736625168449294</v>
      </c>
      <c r="AJ3182">
        <v>77.406267995825502</v>
      </c>
      <c r="AK3182">
        <v>0.433740802877571</v>
      </c>
      <c r="AL3182">
        <v>69.314885820383097</v>
      </c>
      <c r="AM3182">
        <v>90.478622391119799</v>
      </c>
      <c r="AN3182">
        <v>1.00000000752997</v>
      </c>
    </row>
    <row r="3183" spans="1:40" x14ac:dyDescent="0.25">
      <c r="A3183" t="str">
        <f>"20190304164705897"</f>
        <v>20190304164705897</v>
      </c>
      <c r="B3183" t="str">
        <f>"1551689225891712"</f>
        <v>1551689225891712</v>
      </c>
      <c r="C3183" t="s">
        <v>40</v>
      </c>
      <c r="D3183">
        <v>4.3462449999999997</v>
      </c>
      <c r="E3183">
        <v>0.56747990000000004</v>
      </c>
      <c r="F3183" t="s">
        <v>41</v>
      </c>
      <c r="G3183">
        <v>-233.68350000000001</v>
      </c>
      <c r="H3183">
        <v>1.0122359999999999</v>
      </c>
      <c r="I3183">
        <v>214.8081</v>
      </c>
      <c r="J3183">
        <v>-234.3476</v>
      </c>
      <c r="K3183">
        <v>1.110981</v>
      </c>
      <c r="L3183">
        <v>214.934</v>
      </c>
      <c r="M3183">
        <v>0.99988540000000004</v>
      </c>
      <c r="N3183">
        <v>-1.431691E-2</v>
      </c>
      <c r="O3183">
        <v>4.9398289999999997E-3</v>
      </c>
      <c r="P3183">
        <v>0.94031339999999997</v>
      </c>
      <c r="Q3183">
        <v>0.34007850000000001</v>
      </c>
      <c r="R3183">
        <v>1.2553399999999999E-2</v>
      </c>
      <c r="S3183">
        <v>3.3158569999999998</v>
      </c>
      <c r="T3183">
        <v>-0.3326634</v>
      </c>
      <c r="U3183">
        <v>-0.4177399</v>
      </c>
      <c r="V3183">
        <v>-7.895249E-3</v>
      </c>
      <c r="W3183">
        <v>0.35350700000000002</v>
      </c>
      <c r="X3183">
        <v>0.93539859999999997</v>
      </c>
      <c r="Y3183">
        <v>0.1291456</v>
      </c>
      <c r="Z3183">
        <v>-7.789738E-3</v>
      </c>
      <c r="AA3183">
        <v>0.991595</v>
      </c>
      <c r="AB3183">
        <v>32</v>
      </c>
      <c r="AC3183">
        <v>0.66409999999999003</v>
      </c>
      <c r="AD3183">
        <v>-9.8744999999999805E-2</v>
      </c>
      <c r="AE3183">
        <v>-0.12590000000002899</v>
      </c>
      <c r="AF3183">
        <v>0.12648004433936599</v>
      </c>
      <c r="AG3183">
        <v>-9.8744999999999805E-2</v>
      </c>
      <c r="AH3183">
        <v>0.64960622445891603</v>
      </c>
      <c r="AI3183">
        <v>98.486249117396696</v>
      </c>
      <c r="AJ3183">
        <v>78.982205482806705</v>
      </c>
      <c r="AK3183">
        <v>0.66913079700224198</v>
      </c>
      <c r="AL3183">
        <v>69.298031235194898</v>
      </c>
      <c r="AM3183">
        <v>90.483594591505806</v>
      </c>
      <c r="AN3183">
        <v>1.00000003744386</v>
      </c>
    </row>
    <row r="3184" spans="1:40" x14ac:dyDescent="0.25">
      <c r="A3184" t="str">
        <f>"20190304164705920"</f>
        <v>20190304164705920</v>
      </c>
      <c r="B3184" t="str">
        <f>"1551689225912209"</f>
        <v>1551689225912209</v>
      </c>
      <c r="C3184" t="s">
        <v>40</v>
      </c>
      <c r="D3184">
        <v>4.2238939999999996</v>
      </c>
      <c r="E3184">
        <v>0.56739689999999998</v>
      </c>
      <c r="F3184" t="s">
        <v>41</v>
      </c>
      <c r="G3184">
        <v>-233.39879999999999</v>
      </c>
      <c r="H3184">
        <v>1.015784</v>
      </c>
      <c r="I3184">
        <v>214.8143</v>
      </c>
      <c r="J3184">
        <v>-234.04239999999999</v>
      </c>
      <c r="K3184">
        <v>1.111</v>
      </c>
      <c r="L3184">
        <v>214.93559999999999</v>
      </c>
      <c r="M3184">
        <v>0.99988500000000002</v>
      </c>
      <c r="N3184">
        <v>-1.4324480000000001E-2</v>
      </c>
      <c r="O3184">
        <v>4.9827120000000003E-3</v>
      </c>
      <c r="P3184">
        <v>0.94030329999999995</v>
      </c>
      <c r="Q3184">
        <v>0.34009719999999999</v>
      </c>
      <c r="R3184">
        <v>1.28007E-2</v>
      </c>
      <c r="S3184">
        <v>3.316376</v>
      </c>
      <c r="T3184">
        <v>-0.33281729999999998</v>
      </c>
      <c r="U3184">
        <v>-0.41830440000000002</v>
      </c>
      <c r="V3184">
        <v>-8.1146150000000004E-3</v>
      </c>
      <c r="W3184">
        <v>0.35353240000000002</v>
      </c>
      <c r="X3184">
        <v>0.93538710000000003</v>
      </c>
      <c r="Y3184">
        <v>0.12933330000000001</v>
      </c>
      <c r="Z3184">
        <v>-7.8066300000000002E-3</v>
      </c>
      <c r="AA3184">
        <v>0.99157050000000002</v>
      </c>
      <c r="AB3184">
        <v>32</v>
      </c>
      <c r="AC3184">
        <v>0.64359999999999196</v>
      </c>
      <c r="AD3184">
        <v>-9.5215999999999898E-2</v>
      </c>
      <c r="AE3184">
        <v>-0.12129999999999</v>
      </c>
      <c r="AF3184">
        <v>0.121928578695378</v>
      </c>
      <c r="AG3184">
        <v>-9.5215999999999898E-2</v>
      </c>
      <c r="AH3184">
        <v>0.62967847769193697</v>
      </c>
      <c r="AI3184">
        <v>98.444234239535305</v>
      </c>
      <c r="AJ3184">
        <v>79.041085075958904</v>
      </c>
      <c r="AK3184">
        <v>0.64840392520951795</v>
      </c>
      <c r="AL3184">
        <v>69.2964749937194</v>
      </c>
      <c r="AM3184">
        <v>90.497036498659199</v>
      </c>
      <c r="AN3184">
        <v>1.00000001583638</v>
      </c>
    </row>
    <row r="3185" spans="1:40" x14ac:dyDescent="0.25">
      <c r="A3185" t="str">
        <f>"20190304164705941"</f>
        <v>20190304164705941</v>
      </c>
      <c r="B3185" t="str">
        <f>"1551689225931729"</f>
        <v>1551689225931729</v>
      </c>
      <c r="C3185" t="s">
        <v>40</v>
      </c>
      <c r="D3185">
        <v>4.3597869999999999</v>
      </c>
      <c r="E3185">
        <v>0.56756039999999996</v>
      </c>
      <c r="F3185" t="s">
        <v>41</v>
      </c>
      <c r="G3185">
        <v>-233.1147</v>
      </c>
      <c r="H3185">
        <v>1.0188839999999999</v>
      </c>
      <c r="I3185">
        <v>214.81829999999999</v>
      </c>
      <c r="J3185">
        <v>-233.733</v>
      </c>
      <c r="K3185">
        <v>1.111024</v>
      </c>
      <c r="L3185">
        <v>214.93709999999999</v>
      </c>
      <c r="M3185">
        <v>0.99988469999999996</v>
      </c>
      <c r="N3185">
        <v>-1.43307E-2</v>
      </c>
      <c r="O3185">
        <v>5.040452E-3</v>
      </c>
      <c r="P3185">
        <v>0.94014229999999999</v>
      </c>
      <c r="Q3185">
        <v>0.34056019999999998</v>
      </c>
      <c r="R3185">
        <v>1.230729E-2</v>
      </c>
      <c r="S3185">
        <v>3.3152620000000002</v>
      </c>
      <c r="T3185">
        <v>-0.3293761</v>
      </c>
      <c r="U3185">
        <v>-0.4178925</v>
      </c>
      <c r="V3185">
        <v>-7.5810740000000001E-3</v>
      </c>
      <c r="W3185">
        <v>0.35399890000000001</v>
      </c>
      <c r="X3185">
        <v>0.93521509999999997</v>
      </c>
      <c r="Y3185">
        <v>0.12932449999999901</v>
      </c>
      <c r="Z3185">
        <v>-7.7422009999999998E-3</v>
      </c>
      <c r="AA3185">
        <v>0.99157209999999996</v>
      </c>
      <c r="AB3185">
        <v>32</v>
      </c>
      <c r="AC3185">
        <v>0.61830000000000496</v>
      </c>
      <c r="AD3185">
        <v>-9.2139999999999805E-2</v>
      </c>
      <c r="AE3185">
        <v>-0.11879999999999299</v>
      </c>
      <c r="AF3185">
        <v>0.11935903865723201</v>
      </c>
      <c r="AG3185">
        <v>-9.2139999999999805E-2</v>
      </c>
      <c r="AH3185">
        <v>0.60474167336719198</v>
      </c>
      <c r="AI3185">
        <v>98.501561727224498</v>
      </c>
      <c r="AJ3185">
        <v>78.834925634886901</v>
      </c>
      <c r="AK3185">
        <v>0.62325664955628901</v>
      </c>
      <c r="AL3185">
        <v>69.267898002644799</v>
      </c>
      <c r="AM3185">
        <v>90.464442918627896</v>
      </c>
      <c r="AN3185">
        <v>0.99999998857610595</v>
      </c>
    </row>
    <row r="3186" spans="1:40" x14ac:dyDescent="0.25">
      <c r="A3186" t="str">
        <f>"20190304164705970"</f>
        <v>20190304164705970</v>
      </c>
      <c r="B3186" t="str">
        <f>"1551689225961984"</f>
        <v>1551689225961984</v>
      </c>
      <c r="C3186" t="s">
        <v>40</v>
      </c>
      <c r="D3186">
        <v>4.3280669999999999</v>
      </c>
      <c r="E3186">
        <v>0.56766759999999905</v>
      </c>
      <c r="F3186" t="s">
        <v>41</v>
      </c>
      <c r="G3186">
        <v>-232.8312</v>
      </c>
      <c r="H3186">
        <v>1.0213639999999999</v>
      </c>
      <c r="I3186">
        <v>214.82259999999999</v>
      </c>
      <c r="J3186">
        <v>-233.32480000000001</v>
      </c>
      <c r="K3186">
        <v>1.1110519999999999</v>
      </c>
      <c r="L3186">
        <v>214.9393</v>
      </c>
      <c r="M3186">
        <v>0.99988410000000005</v>
      </c>
      <c r="N3186">
        <v>-1.433705E-2</v>
      </c>
      <c r="O3186">
        <v>5.1369370000000003E-3</v>
      </c>
      <c r="P3186">
        <v>0.94028120000000004</v>
      </c>
      <c r="Q3186">
        <v>0.340202</v>
      </c>
      <c r="R3186">
        <v>1.1576349999999999E-2</v>
      </c>
      <c r="S3186">
        <v>3.3159329999999998</v>
      </c>
      <c r="T3186">
        <v>-0.32964890000000002</v>
      </c>
      <c r="U3186">
        <v>-0.42103580000000002</v>
      </c>
      <c r="V3186">
        <v>-6.7757649999999996E-3</v>
      </c>
      <c r="W3186">
        <v>0.35364790000000002</v>
      </c>
      <c r="X3186">
        <v>0.93535409999999997</v>
      </c>
      <c r="Y3186">
        <v>0.1303137</v>
      </c>
      <c r="Z3186">
        <v>-7.8106819999999898E-3</v>
      </c>
      <c r="AA3186">
        <v>0.99144200000000005</v>
      </c>
      <c r="AB3186">
        <v>32</v>
      </c>
      <c r="AC3186">
        <v>0.49360000000001403</v>
      </c>
      <c r="AD3186">
        <v>-8.9688000000000198E-2</v>
      </c>
      <c r="AE3186">
        <v>-0.11670000000000801</v>
      </c>
      <c r="AF3186">
        <v>0.115619161146596</v>
      </c>
      <c r="AG3186">
        <v>-8.9688000000000198E-2</v>
      </c>
      <c r="AH3186">
        <v>0.47804650408549199</v>
      </c>
      <c r="AI3186">
        <v>100.334665622733</v>
      </c>
      <c r="AJ3186">
        <v>76.403675374663806</v>
      </c>
      <c r="AK3186">
        <v>0.49994018425867998</v>
      </c>
      <c r="AL3186">
        <v>69.289400406103596</v>
      </c>
      <c r="AM3186">
        <v>90.415047036019899</v>
      </c>
      <c r="AN3186">
        <v>1.00000002027627</v>
      </c>
    </row>
    <row r="3187" spans="1:40" x14ac:dyDescent="0.25">
      <c r="A3187" t="str">
        <f>"20190304164705994"</f>
        <v>20190304164705994</v>
      </c>
      <c r="B3187" t="str">
        <f>"1551689225981504"</f>
        <v>1551689225981504</v>
      </c>
      <c r="C3187" t="s">
        <v>40</v>
      </c>
      <c r="D3187">
        <v>4.3089959999999996</v>
      </c>
      <c r="E3187">
        <v>0.56777549999999999</v>
      </c>
      <c r="F3187" t="s">
        <v>41</v>
      </c>
      <c r="G3187">
        <v>-232.5436</v>
      </c>
      <c r="H3187">
        <v>1.0332779999999999</v>
      </c>
      <c r="I3187">
        <v>214.8391</v>
      </c>
      <c r="J3187">
        <v>-232.99770000000001</v>
      </c>
      <c r="K3187">
        <v>1.1110679999999999</v>
      </c>
      <c r="L3187">
        <v>214.94110000000001</v>
      </c>
      <c r="M3187">
        <v>0.99988350000000004</v>
      </c>
      <c r="N3187">
        <v>-1.4340820000000001E-2</v>
      </c>
      <c r="O3187">
        <v>5.2295789999999998E-3</v>
      </c>
      <c r="P3187">
        <v>0.94021290000000002</v>
      </c>
      <c r="Q3187">
        <v>0.34039520000000001</v>
      </c>
      <c r="R3187">
        <v>1.144453E-2</v>
      </c>
      <c r="S3187">
        <v>3.3152309999999998</v>
      </c>
      <c r="T3187">
        <v>-0.33020949999999999</v>
      </c>
      <c r="U3187">
        <v>-0.42440800000000001</v>
      </c>
      <c r="V3187">
        <v>-6.5678489999999997E-3</v>
      </c>
      <c r="W3187">
        <v>0.35384369999999998</v>
      </c>
      <c r="X3187">
        <v>0.93528149999999999</v>
      </c>
      <c r="Y3187">
        <v>0.131415</v>
      </c>
      <c r="Z3187">
        <v>-7.8940380000000008E-3</v>
      </c>
      <c r="AA3187">
        <v>0.99129599999999995</v>
      </c>
      <c r="AB3187">
        <v>32</v>
      </c>
      <c r="AC3187">
        <v>0.45410000000001099</v>
      </c>
      <c r="AD3187">
        <v>-7.7789999999999804E-2</v>
      </c>
      <c r="AE3187">
        <v>-0.102000000000003</v>
      </c>
      <c r="AF3187">
        <v>0.101537041310237</v>
      </c>
      <c r="AG3187">
        <v>-7.7789999999999804E-2</v>
      </c>
      <c r="AH3187">
        <v>0.44123391594636502</v>
      </c>
      <c r="AI3187">
        <v>99.748839094374006</v>
      </c>
      <c r="AJ3187">
        <v>77.040669523208393</v>
      </c>
      <c r="AK3187">
        <v>0.45940006904592501</v>
      </c>
      <c r="AL3187">
        <v>69.277405775013193</v>
      </c>
      <c r="AM3187">
        <v>90.402342869714005</v>
      </c>
      <c r="AN3187">
        <v>0.99999999245621296</v>
      </c>
    </row>
    <row r="3188" spans="1:40" x14ac:dyDescent="0.25">
      <c r="A3188" t="str">
        <f>"20190304164706012"</f>
        <v>20190304164706012</v>
      </c>
      <c r="B3188" t="str">
        <f>"1551689226002002"</f>
        <v>1551689226002002</v>
      </c>
      <c r="C3188" t="s">
        <v>40</v>
      </c>
      <c r="D3188">
        <v>4.3439920000000001</v>
      </c>
      <c r="E3188">
        <v>0.56788450000000001</v>
      </c>
      <c r="F3188" t="s">
        <v>41</v>
      </c>
      <c r="G3188">
        <v>-232.25989999999999</v>
      </c>
      <c r="H3188">
        <v>1.037506</v>
      </c>
      <c r="I3188">
        <v>214.84610000000001</v>
      </c>
      <c r="J3188">
        <v>-232.73390000000001</v>
      </c>
      <c r="K3188">
        <v>1.111073</v>
      </c>
      <c r="L3188">
        <v>214.9425</v>
      </c>
      <c r="M3188">
        <v>0.99988310000000002</v>
      </c>
      <c r="N3188">
        <v>-1.4343059999999999E-2</v>
      </c>
      <c r="O3188">
        <v>5.3142859999999997E-3</v>
      </c>
      <c r="P3188">
        <v>0.9401079</v>
      </c>
      <c r="Q3188">
        <v>0.34071109999999999</v>
      </c>
      <c r="R3188">
        <v>1.0628540000000001E-2</v>
      </c>
      <c r="S3188">
        <v>3.3156590000000001</v>
      </c>
      <c r="T3188">
        <v>-0.33064100000000002</v>
      </c>
      <c r="U3188">
        <v>-0.42671199999999998</v>
      </c>
      <c r="V3188">
        <v>-5.6805149999999997E-3</v>
      </c>
      <c r="W3188">
        <v>0.35415990000000003</v>
      </c>
      <c r="X3188">
        <v>0.93516759999999999</v>
      </c>
      <c r="Y3188">
        <v>0.13215450000000001</v>
      </c>
      <c r="Z3188">
        <v>-7.9513080000000007E-3</v>
      </c>
      <c r="AA3188">
        <v>0.9911972</v>
      </c>
      <c r="AB3188">
        <v>32</v>
      </c>
      <c r="AC3188">
        <v>0.47400000000001802</v>
      </c>
      <c r="AD3188">
        <v>-7.3566999999999896E-2</v>
      </c>
      <c r="AE3188">
        <v>-9.6399999999988495E-2</v>
      </c>
      <c r="AF3188">
        <v>9.6681460872091105E-2</v>
      </c>
      <c r="AG3188">
        <v>-7.3566999999999896E-2</v>
      </c>
      <c r="AH3188">
        <v>0.46277614911956899</v>
      </c>
      <c r="AI3188">
        <v>98.844819556872693</v>
      </c>
      <c r="AJ3188">
        <v>78.199705046519298</v>
      </c>
      <c r="AK3188">
        <v>0.47845707493912099</v>
      </c>
      <c r="AL3188">
        <v>69.258034000829596</v>
      </c>
      <c r="AM3188">
        <v>90.348029093447195</v>
      </c>
      <c r="AN3188">
        <v>0.99999997155421705</v>
      </c>
    </row>
    <row r="3189" spans="1:40" x14ac:dyDescent="0.25">
      <c r="A3189" t="str">
        <f>"20190304164706032"</f>
        <v>20190304164706032</v>
      </c>
      <c r="B3189" t="str">
        <f>"1551689226021522"</f>
        <v>1551689226021522</v>
      </c>
      <c r="C3189" t="s">
        <v>40</v>
      </c>
      <c r="D3189">
        <v>4.4265019999999904</v>
      </c>
      <c r="E3189">
        <v>0.56791959999999997</v>
      </c>
      <c r="F3189" t="s">
        <v>41</v>
      </c>
      <c r="G3189">
        <v>-231.9794</v>
      </c>
      <c r="H3189">
        <v>1.0357270000000001</v>
      </c>
      <c r="I3189">
        <v>214.8443</v>
      </c>
      <c r="J3189">
        <v>-232.4539</v>
      </c>
      <c r="K3189">
        <v>1.1110850000000001</v>
      </c>
      <c r="L3189">
        <v>214.94409999999999</v>
      </c>
      <c r="M3189">
        <v>0.99988250000000001</v>
      </c>
      <c r="N3189">
        <v>-1.434479E-2</v>
      </c>
      <c r="O3189">
        <v>5.4112639999999998E-3</v>
      </c>
      <c r="P3189">
        <v>0.94008769999999997</v>
      </c>
      <c r="Q3189">
        <v>0.3407926</v>
      </c>
      <c r="R3189">
        <v>9.7785440000000001E-3</v>
      </c>
      <c r="S3189">
        <v>3.3160859999999999</v>
      </c>
      <c r="T3189">
        <v>-0.33132820000000002</v>
      </c>
      <c r="U3189">
        <v>-0.43084719999999999</v>
      </c>
      <c r="V3189">
        <v>-4.7461480000000004E-3</v>
      </c>
      <c r="W3189">
        <v>0.35424280000000002</v>
      </c>
      <c r="X3189">
        <v>0.93514140000000001</v>
      </c>
      <c r="Y3189">
        <v>0.1334398</v>
      </c>
      <c r="Z3189">
        <v>-8.0459840000000008E-3</v>
      </c>
      <c r="AA3189">
        <v>0.99102429999999997</v>
      </c>
      <c r="AB3189">
        <v>32</v>
      </c>
      <c r="AC3189">
        <v>0.47450000000000597</v>
      </c>
      <c r="AD3189">
        <v>-7.5357999999999994E-2</v>
      </c>
      <c r="AE3189">
        <v>-9.9799999999987593E-2</v>
      </c>
      <c r="AF3189">
        <v>9.9952212640601196E-2</v>
      </c>
      <c r="AG3189">
        <v>-7.5357999999999994E-2</v>
      </c>
      <c r="AH3189">
        <v>0.462775131925797</v>
      </c>
      <c r="AI3189">
        <v>99.043852243634106</v>
      </c>
      <c r="AJ3189">
        <v>77.812220365564897</v>
      </c>
      <c r="AK3189">
        <v>0.47940598213277602</v>
      </c>
      <c r="AL3189">
        <v>69.252954704565198</v>
      </c>
      <c r="AM3189">
        <v>90.290792295654796</v>
      </c>
      <c r="AN3189">
        <v>0.99999996263331803</v>
      </c>
    </row>
    <row r="3190" spans="1:40" x14ac:dyDescent="0.25">
      <c r="A3190" t="str">
        <f>"20190304164706055"</f>
        <v>20190304164706055</v>
      </c>
      <c r="B3190" t="str">
        <f>"1551689226051777"</f>
        <v>1551689226051777</v>
      </c>
      <c r="C3190" t="s">
        <v>40</v>
      </c>
      <c r="D3190">
        <v>4.3179069999999999</v>
      </c>
      <c r="E3190">
        <v>0.56761099999999998</v>
      </c>
      <c r="F3190" t="s">
        <v>41</v>
      </c>
      <c r="G3190">
        <v>-231.6985</v>
      </c>
      <c r="H3190">
        <v>1.035533</v>
      </c>
      <c r="I3190">
        <v>214.8451</v>
      </c>
      <c r="J3190">
        <v>-232.14449999999999</v>
      </c>
      <c r="K3190">
        <v>1.111102</v>
      </c>
      <c r="L3190">
        <v>214.94589999999999</v>
      </c>
      <c r="M3190">
        <v>0.99988180000000004</v>
      </c>
      <c r="N3190">
        <v>-1.434611E-2</v>
      </c>
      <c r="O3190">
        <v>5.5251629999999996E-3</v>
      </c>
      <c r="P3190">
        <v>0.94000329999999999</v>
      </c>
      <c r="Q3190">
        <v>0.34104669999999998</v>
      </c>
      <c r="R3190">
        <v>8.9816749999999997E-3</v>
      </c>
      <c r="S3190">
        <v>3.315979</v>
      </c>
      <c r="T3190">
        <v>-0.3316809</v>
      </c>
      <c r="U3190">
        <v>-0.43379210000000001</v>
      </c>
      <c r="V3190">
        <v>-3.8494670000000001E-3</v>
      </c>
      <c r="W3190">
        <v>0.3544969</v>
      </c>
      <c r="X3190">
        <v>0.93504920000000002</v>
      </c>
      <c r="Y3190">
        <v>0.1344147</v>
      </c>
      <c r="Z3190">
        <v>-8.1187059999999998E-3</v>
      </c>
      <c r="AA3190">
        <v>0.99089190000000005</v>
      </c>
      <c r="AB3190">
        <v>31</v>
      </c>
      <c r="AC3190">
        <v>0.44599999999999801</v>
      </c>
      <c r="AD3190">
        <v>-7.5568999999999997E-2</v>
      </c>
      <c r="AE3190">
        <v>-0.10079999999999199</v>
      </c>
      <c r="AF3190">
        <v>0.100517426397754</v>
      </c>
      <c r="AG3190">
        <v>-7.5568999999999997E-2</v>
      </c>
      <c r="AH3190">
        <v>0.43359312897532098</v>
      </c>
      <c r="AI3190">
        <v>99.635957235891794</v>
      </c>
      <c r="AJ3190">
        <v>76.948001640183307</v>
      </c>
      <c r="AK3190">
        <v>0.45146143607758699</v>
      </c>
      <c r="AL3190">
        <v>69.237384962331802</v>
      </c>
      <c r="AM3190">
        <v>90.235877391736196</v>
      </c>
      <c r="AN3190">
        <v>0.999999938463215</v>
      </c>
    </row>
    <row r="3191" spans="1:40" x14ac:dyDescent="0.25">
      <c r="A3191" t="str">
        <f>"20190304164706077"</f>
        <v>20190304164706077</v>
      </c>
      <c r="B3191" t="str">
        <f>"1551689226072273"</f>
        <v>1551689226072273</v>
      </c>
      <c r="C3191" t="s">
        <v>40</v>
      </c>
      <c r="D3191">
        <v>4.326187</v>
      </c>
      <c r="E3191">
        <v>0.56758439999999999</v>
      </c>
      <c r="F3191" t="s">
        <v>41</v>
      </c>
      <c r="G3191">
        <v>-231.1489</v>
      </c>
      <c r="H3191">
        <v>1.010856</v>
      </c>
      <c r="I3191">
        <v>214.8158</v>
      </c>
      <c r="J3191">
        <v>-231.8374</v>
      </c>
      <c r="K3191">
        <v>1.1111200000000001</v>
      </c>
      <c r="L3191">
        <v>214.9477</v>
      </c>
      <c r="M3191">
        <v>0.99988109999999997</v>
      </c>
      <c r="N3191">
        <v>-1.434676E-2</v>
      </c>
      <c r="O3191">
        <v>5.6451330000000001E-3</v>
      </c>
      <c r="P3191">
        <v>0.94001420000000002</v>
      </c>
      <c r="Q3191">
        <v>0.34104759999999901</v>
      </c>
      <c r="R3191">
        <v>7.7368239999999998E-3</v>
      </c>
      <c r="S3191">
        <v>3.3167879999999998</v>
      </c>
      <c r="T3191">
        <v>-0.3339491</v>
      </c>
      <c r="U3191">
        <v>-0.43312070000000003</v>
      </c>
      <c r="V3191">
        <v>-2.4971490000000002E-3</v>
      </c>
      <c r="W3191">
        <v>0.3544988</v>
      </c>
      <c r="X3191">
        <v>0.93505320000000003</v>
      </c>
      <c r="Y3191">
        <v>0.1342959</v>
      </c>
      <c r="Z3191">
        <v>-8.1697699999999998E-3</v>
      </c>
      <c r="AA3191">
        <v>0.9909076</v>
      </c>
      <c r="AB3191">
        <v>31</v>
      </c>
      <c r="AC3191">
        <v>0.688500000000004</v>
      </c>
      <c r="AD3191">
        <v>-0.10026400000000001</v>
      </c>
      <c r="AE3191">
        <v>-0.13190000000000099</v>
      </c>
      <c r="AF3191">
        <v>0.133062986860843</v>
      </c>
      <c r="AG3191">
        <v>-0.10026400000000001</v>
      </c>
      <c r="AH3191">
        <v>0.67395763269151798</v>
      </c>
      <c r="AI3191">
        <v>98.303776827481698</v>
      </c>
      <c r="AJ3191">
        <v>78.831434976404907</v>
      </c>
      <c r="AK3191">
        <v>0.69424600742927201</v>
      </c>
      <c r="AL3191">
        <v>69.237271198878801</v>
      </c>
      <c r="AM3191">
        <v>90.153013495246299</v>
      </c>
      <c r="AN3191">
        <v>1.0000000608924</v>
      </c>
    </row>
    <row r="3192" spans="1:40" x14ac:dyDescent="0.25">
      <c r="A3192" t="str">
        <f>"20190304164706099"</f>
        <v>20190304164706099</v>
      </c>
      <c r="B3192" t="str">
        <f>"1551689226091793"</f>
        <v>1551689226091793</v>
      </c>
      <c r="C3192" t="s">
        <v>40</v>
      </c>
      <c r="D3192">
        <v>4.4238759999999999</v>
      </c>
      <c r="E3192">
        <v>0.56749749999999999</v>
      </c>
      <c r="F3192" t="s">
        <v>41</v>
      </c>
      <c r="G3192">
        <v>-230.86789999999999</v>
      </c>
      <c r="H3192">
        <v>1.013007</v>
      </c>
      <c r="I3192">
        <v>214.81979999999999</v>
      </c>
      <c r="J3192">
        <v>-231.51599999999999</v>
      </c>
      <c r="K3192">
        <v>1.11113</v>
      </c>
      <c r="L3192">
        <v>214.94970000000001</v>
      </c>
      <c r="M3192">
        <v>0.9998804</v>
      </c>
      <c r="N3192">
        <v>-1.4346909999999999E-2</v>
      </c>
      <c r="O3192">
        <v>5.7757059999999898E-3</v>
      </c>
      <c r="P3192">
        <v>0.93990050000000003</v>
      </c>
      <c r="Q3192">
        <v>0.3413795</v>
      </c>
      <c r="R3192">
        <v>6.879713E-3</v>
      </c>
      <c r="S3192">
        <v>3.3168489999999999</v>
      </c>
      <c r="T3192">
        <v>-0.335810099999999</v>
      </c>
      <c r="U3192">
        <v>-0.4367065</v>
      </c>
      <c r="V3192">
        <v>-1.5240570000000001E-3</v>
      </c>
      <c r="W3192">
        <v>0.35482920000000001</v>
      </c>
      <c r="X3192">
        <v>0.93492989999999998</v>
      </c>
      <c r="Y3192">
        <v>0.13546069999999999</v>
      </c>
      <c r="Z3192">
        <v>-8.2878580000000004E-3</v>
      </c>
      <c r="AA3192">
        <v>0.99074799999999996</v>
      </c>
      <c r="AB3192">
        <v>31</v>
      </c>
      <c r="AC3192">
        <v>0.64809999999999901</v>
      </c>
      <c r="AD3192">
        <v>-9.8122999999999905E-2</v>
      </c>
      <c r="AE3192">
        <v>-0.12990000000002</v>
      </c>
      <c r="AF3192">
        <v>0.13075990032763599</v>
      </c>
      <c r="AG3192">
        <v>-9.8122999999999905E-2</v>
      </c>
      <c r="AH3192">
        <v>0.63338104292684605</v>
      </c>
      <c r="AI3192">
        <v>98.627117144340801</v>
      </c>
      <c r="AJ3192">
        <v>78.335308471517706</v>
      </c>
      <c r="AK3192">
        <v>0.65413899150088295</v>
      </c>
      <c r="AL3192">
        <v>69.217023210818198</v>
      </c>
      <c r="AM3192">
        <v>90.093399469296997</v>
      </c>
      <c r="AN3192">
        <v>1.00000000091819</v>
      </c>
    </row>
    <row r="3193" spans="1:40" x14ac:dyDescent="0.25">
      <c r="A3193" t="str">
        <f>"20190304164706122"</f>
        <v>20190304164706122</v>
      </c>
      <c r="B3193" t="str">
        <f>"1551689226112289"</f>
        <v>1551689226112289</v>
      </c>
      <c r="C3193" t="s">
        <v>40</v>
      </c>
      <c r="D3193">
        <v>4.2444899999999999</v>
      </c>
      <c r="E3193">
        <v>0.56745709999999905</v>
      </c>
      <c r="F3193" t="s">
        <v>41</v>
      </c>
      <c r="G3193">
        <v>-230.58619999999999</v>
      </c>
      <c r="H3193">
        <v>1.017452</v>
      </c>
      <c r="I3193">
        <v>214.82669999999999</v>
      </c>
      <c r="J3193">
        <v>-231.19450000000001</v>
      </c>
      <c r="K3193">
        <v>1.111129</v>
      </c>
      <c r="L3193">
        <v>214.95160000000001</v>
      </c>
      <c r="M3193">
        <v>0.99987969999999904</v>
      </c>
      <c r="N3193">
        <v>-1.4346680000000001E-2</v>
      </c>
      <c r="O3193">
        <v>5.9122929999999999E-3</v>
      </c>
      <c r="P3193">
        <v>0.9398917</v>
      </c>
      <c r="Q3193">
        <v>0.34142339999999999</v>
      </c>
      <c r="R3193">
        <v>5.8179499999999997E-3</v>
      </c>
      <c r="S3193">
        <v>3.3163909999999999</v>
      </c>
      <c r="T3193">
        <v>-0.33416649999999998</v>
      </c>
      <c r="U3193">
        <v>-0.43820189999999998</v>
      </c>
      <c r="V3193">
        <v>-3.3864570000000002E-4</v>
      </c>
      <c r="W3193">
        <v>0.35487279999999999</v>
      </c>
      <c r="X3193">
        <v>0.93491449999999998</v>
      </c>
      <c r="Y3193">
        <v>0.13605610000000001</v>
      </c>
      <c r="Z3193">
        <v>-8.2984600000000006E-3</v>
      </c>
      <c r="AA3193">
        <v>0.99066639999999995</v>
      </c>
      <c r="AB3193">
        <v>31</v>
      </c>
      <c r="AC3193">
        <v>0.60830000000001405</v>
      </c>
      <c r="AD3193">
        <v>-9.3676999999999996E-2</v>
      </c>
      <c r="AE3193">
        <v>-0.124900000000025</v>
      </c>
      <c r="AF3193">
        <v>0.125635666062172</v>
      </c>
      <c r="AG3193">
        <v>-9.3676999999999996E-2</v>
      </c>
      <c r="AH3193">
        <v>0.59403301547482601</v>
      </c>
      <c r="AI3193">
        <v>98.770654288359296</v>
      </c>
      <c r="AJ3193">
        <v>78.058146008380106</v>
      </c>
      <c r="AK3193">
        <v>0.61435732630937301</v>
      </c>
      <c r="AL3193">
        <v>69.214350570300695</v>
      </c>
      <c r="AM3193">
        <v>90.020753735781895</v>
      </c>
      <c r="AN3193">
        <v>0.99999997058549905</v>
      </c>
    </row>
    <row r="3194" spans="1:40" x14ac:dyDescent="0.25">
      <c r="A3194" t="str">
        <f>"20190304164706142"</f>
        <v>20190304164706142</v>
      </c>
      <c r="B3194" t="str">
        <f>"1551689226131809"</f>
        <v>1551689226131809</v>
      </c>
      <c r="C3194" t="s">
        <v>40</v>
      </c>
      <c r="D3194">
        <v>4.7259209999999996</v>
      </c>
      <c r="E3194">
        <v>0.56744749999999999</v>
      </c>
      <c r="F3194" t="s">
        <v>41</v>
      </c>
      <c r="G3194">
        <v>-230.30520000000001</v>
      </c>
      <c r="H3194">
        <v>1.0209490000000001</v>
      </c>
      <c r="I3194">
        <v>214.8331</v>
      </c>
      <c r="J3194">
        <v>-230.9144</v>
      </c>
      <c r="K3194">
        <v>1.1111390000000001</v>
      </c>
      <c r="L3194">
        <v>214.95339999999999</v>
      </c>
      <c r="M3194">
        <v>0.99987899999999996</v>
      </c>
      <c r="N3194">
        <v>-1.434624E-2</v>
      </c>
      <c r="O3194">
        <v>6.0391150000000003E-3</v>
      </c>
      <c r="P3194">
        <v>0.93993599999999999</v>
      </c>
      <c r="Q3194">
        <v>0.3413197</v>
      </c>
      <c r="R3194">
        <v>4.6048979999999996E-3</v>
      </c>
      <c r="S3194">
        <v>3.3168329999999999</v>
      </c>
      <c r="T3194">
        <v>-0.33648149999999999</v>
      </c>
      <c r="U3194">
        <v>-0.44128420000000002</v>
      </c>
      <c r="V3194">
        <v>9.8884289999999898E-4</v>
      </c>
      <c r="W3194">
        <v>0.35476980000000002</v>
      </c>
      <c r="X3194">
        <v>0.93495320000000004</v>
      </c>
      <c r="Y3194">
        <v>0.137052799999999</v>
      </c>
      <c r="Z3194">
        <v>-8.4164919999999994E-3</v>
      </c>
      <c r="AA3194">
        <v>0.99052799999999996</v>
      </c>
      <c r="AB3194">
        <v>31</v>
      </c>
      <c r="AC3194">
        <v>0.60919999999998697</v>
      </c>
      <c r="AD3194">
        <v>-9.0190000000000006E-2</v>
      </c>
      <c r="AE3194">
        <v>-0.120299999999986</v>
      </c>
      <c r="AF3194">
        <v>0.121415920903923</v>
      </c>
      <c r="AG3194">
        <v>-9.0190000000000006E-2</v>
      </c>
      <c r="AH3194">
        <v>0.59589185672162304</v>
      </c>
      <c r="AI3194">
        <v>98.435803976296597</v>
      </c>
      <c r="AJ3194">
        <v>78.483349129577405</v>
      </c>
      <c r="AK3194">
        <v>0.61478709067130799</v>
      </c>
      <c r="AL3194">
        <v>69.220664197430295</v>
      </c>
      <c r="AM3194">
        <v>89.939401775782798</v>
      </c>
      <c r="AN3194">
        <v>1.0000000374962701</v>
      </c>
    </row>
    <row r="3195" spans="1:40" x14ac:dyDescent="0.25">
      <c r="A3195" t="str">
        <f>"20190304164706170"</f>
        <v>20190304164706170</v>
      </c>
      <c r="B3195" t="str">
        <f>"1551689226162065"</f>
        <v>1551689226162065</v>
      </c>
      <c r="C3195" t="s">
        <v>40</v>
      </c>
      <c r="D3195">
        <v>4.4402480000000004</v>
      </c>
      <c r="E3195">
        <v>0.56750769999999995</v>
      </c>
      <c r="F3195" t="s">
        <v>41</v>
      </c>
      <c r="G3195">
        <v>-230.02629999999999</v>
      </c>
      <c r="H3195">
        <v>1.02067</v>
      </c>
      <c r="I3195">
        <v>214.834</v>
      </c>
      <c r="J3195">
        <v>-230.52590000000001</v>
      </c>
      <c r="K3195">
        <v>1.111151</v>
      </c>
      <c r="L3195">
        <v>214.95599999999999</v>
      </c>
      <c r="M3195">
        <v>0.99987769999999998</v>
      </c>
      <c r="N3195">
        <v>-1.434481E-2</v>
      </c>
      <c r="O3195">
        <v>6.2309409999999898E-3</v>
      </c>
      <c r="P3195">
        <v>0.93994259999999996</v>
      </c>
      <c r="Q3195">
        <v>0.34131460000000002</v>
      </c>
      <c r="R3195">
        <v>3.5236439999999998E-3</v>
      </c>
      <c r="S3195">
        <v>3.316605</v>
      </c>
      <c r="T3195">
        <v>-0.33792290000000003</v>
      </c>
      <c r="U3195">
        <v>-0.4453278</v>
      </c>
      <c r="V3195">
        <v>2.2404579999999999E-3</v>
      </c>
      <c r="W3195">
        <v>0.35476360000000001</v>
      </c>
      <c r="X3195">
        <v>0.93495329999999999</v>
      </c>
      <c r="Y3195">
        <v>0.13842289999999999</v>
      </c>
      <c r="Z3195">
        <v>-8.5443299999999993E-3</v>
      </c>
      <c r="AA3195">
        <v>0.99033640000000001</v>
      </c>
      <c r="AB3195">
        <v>31</v>
      </c>
      <c r="AC3195">
        <v>0.49960000000001498</v>
      </c>
      <c r="AD3195">
        <v>-9.0481000000000006E-2</v>
      </c>
      <c r="AE3195">
        <v>-0.121999999999985</v>
      </c>
      <c r="AF3195">
        <v>0.121354535700425</v>
      </c>
      <c r="AG3195">
        <v>-9.0481000000000006E-2</v>
      </c>
      <c r="AH3195">
        <v>0.48385292050742201</v>
      </c>
      <c r="AI3195">
        <v>100.28071342571199</v>
      </c>
      <c r="AJ3195">
        <v>75.920153805921899</v>
      </c>
      <c r="AK3195">
        <v>0.50697868138574398</v>
      </c>
      <c r="AL3195">
        <v>69.221042294058407</v>
      </c>
      <c r="AM3195">
        <v>89.862700584230197</v>
      </c>
      <c r="AN3195">
        <v>0.99999995235894801</v>
      </c>
    </row>
    <row r="3196" spans="1:40" x14ac:dyDescent="0.25">
      <c r="A3196" t="str">
        <f>"20190304164706193"</f>
        <v>20190304164706193</v>
      </c>
      <c r="B3196" t="str">
        <f>"1551689226181585"</f>
        <v>1551689226181585</v>
      </c>
      <c r="C3196" t="s">
        <v>40</v>
      </c>
      <c r="D3196">
        <v>4.4314090000000004</v>
      </c>
      <c r="E3196">
        <v>0.56742749999999997</v>
      </c>
      <c r="F3196" t="s">
        <v>41</v>
      </c>
      <c r="G3196">
        <v>-229.74270000000001</v>
      </c>
      <c r="H3196">
        <v>1.0310820000000001</v>
      </c>
      <c r="I3196">
        <v>214.84950000000001</v>
      </c>
      <c r="J3196">
        <v>-230.20769999999999</v>
      </c>
      <c r="K3196">
        <v>1.1111679999999999</v>
      </c>
      <c r="L3196">
        <v>214.9581</v>
      </c>
      <c r="M3196">
        <v>0.99987669999999995</v>
      </c>
      <c r="N3196">
        <v>-1.4343059999999999E-2</v>
      </c>
      <c r="O3196">
        <v>6.4050799999999996E-3</v>
      </c>
      <c r="P3196">
        <v>0.94014070000000005</v>
      </c>
      <c r="Q3196">
        <v>0.340775299999999</v>
      </c>
      <c r="R3196">
        <v>2.7720589999999999E-3</v>
      </c>
      <c r="S3196">
        <v>3.316589</v>
      </c>
      <c r="T3196">
        <v>-0.33933950000000002</v>
      </c>
      <c r="U3196">
        <v>-0.4493103</v>
      </c>
      <c r="V3196">
        <v>3.146687E-3</v>
      </c>
      <c r="W3196">
        <v>0.35422579999999998</v>
      </c>
      <c r="X3196">
        <v>0.93515459999999995</v>
      </c>
      <c r="Y3196">
        <v>0.13974890000000001</v>
      </c>
      <c r="Z3196">
        <v>-8.6677390000000007E-3</v>
      </c>
      <c r="AA3196">
        <v>0.99014899999999995</v>
      </c>
      <c r="AB3196">
        <v>31</v>
      </c>
      <c r="AC3196">
        <v>0.46499999999997499</v>
      </c>
      <c r="AD3196">
        <v>-8.0085999999999796E-2</v>
      </c>
      <c r="AE3196">
        <v>-0.10859999999999501</v>
      </c>
      <c r="AF3196">
        <v>0.10852385732349</v>
      </c>
      <c r="AG3196">
        <v>-8.0085999999999796E-2</v>
      </c>
      <c r="AH3196">
        <v>0.45159230876253398</v>
      </c>
      <c r="AI3196">
        <v>99.7834319486997</v>
      </c>
      <c r="AJ3196">
        <v>76.487268499522997</v>
      </c>
      <c r="AK3196">
        <v>0.47130330821865102</v>
      </c>
      <c r="AL3196">
        <v>69.253996484822096</v>
      </c>
      <c r="AM3196">
        <v>89.807207060623995</v>
      </c>
      <c r="AN3196">
        <v>0.99999997246293704</v>
      </c>
    </row>
    <row r="3197" spans="1:40" x14ac:dyDescent="0.25">
      <c r="A3197" t="str">
        <f>"20190304164706211"</f>
        <v>20190304164706211</v>
      </c>
      <c r="B3197" t="str">
        <f>"1551689226202081"</f>
        <v>1551689226202081</v>
      </c>
      <c r="C3197" t="s">
        <v>40</v>
      </c>
      <c r="D3197">
        <v>4.3588579999999997</v>
      </c>
      <c r="E3197">
        <v>0.56732490000000002</v>
      </c>
      <c r="F3197" t="s">
        <v>41</v>
      </c>
      <c r="G3197">
        <v>-229.46270000000001</v>
      </c>
      <c r="H3197">
        <v>1.034772</v>
      </c>
      <c r="I3197">
        <v>214.85669999999999</v>
      </c>
      <c r="J3197">
        <v>-229.94659999999999</v>
      </c>
      <c r="K3197">
        <v>1.1111789999999999</v>
      </c>
      <c r="L3197">
        <v>214.96</v>
      </c>
      <c r="M3197">
        <v>0.99987570000000003</v>
      </c>
      <c r="N3197">
        <v>-1.434151E-2</v>
      </c>
      <c r="O3197">
        <v>6.5640840000000004E-3</v>
      </c>
      <c r="P3197">
        <v>0.94013709999999995</v>
      </c>
      <c r="Q3197">
        <v>0.34079120000000002</v>
      </c>
      <c r="R3197">
        <v>1.9952279999999999E-3</v>
      </c>
      <c r="S3197">
        <v>3.3156279999999998</v>
      </c>
      <c r="T3197">
        <v>-0.34012189999999998</v>
      </c>
      <c r="U3197">
        <v>-0.4508972</v>
      </c>
      <c r="V3197">
        <v>4.0620329999999996E-3</v>
      </c>
      <c r="W3197">
        <v>0.3542401</v>
      </c>
      <c r="X3197">
        <v>0.93514569999999997</v>
      </c>
      <c r="Y3197">
        <v>0.14040139999999901</v>
      </c>
      <c r="Z3197">
        <v>-8.7393109999999996E-3</v>
      </c>
      <c r="AA3197">
        <v>0.99005609999999999</v>
      </c>
      <c r="AB3197">
        <v>31</v>
      </c>
      <c r="AC3197">
        <v>0.48389999999997702</v>
      </c>
      <c r="AD3197">
        <v>-7.64070000000001E-2</v>
      </c>
      <c r="AE3197">
        <v>-0.103300000000018</v>
      </c>
      <c r="AF3197">
        <v>0.103994683745221</v>
      </c>
      <c r="AG3197">
        <v>-7.64070000000001E-2</v>
      </c>
      <c r="AH3197">
        <v>0.47195749889132499</v>
      </c>
      <c r="AI3197">
        <v>98.984165681767095</v>
      </c>
      <c r="AJ3197">
        <v>77.573588414949995</v>
      </c>
      <c r="AK3197">
        <v>0.48928192757961497</v>
      </c>
      <c r="AL3197">
        <v>69.253121253792699</v>
      </c>
      <c r="AM3197">
        <v>89.751123398858198</v>
      </c>
      <c r="AN3197">
        <v>1.00000001439429</v>
      </c>
    </row>
    <row r="3198" spans="1:40" x14ac:dyDescent="0.25">
      <c r="A3198" t="str">
        <f>"20190304164706232"</f>
        <v>20190304164706232</v>
      </c>
      <c r="B3198" t="str">
        <f>"1551689226221602"</f>
        <v>1551689226221602</v>
      </c>
      <c r="C3198" t="s">
        <v>40</v>
      </c>
      <c r="D3198">
        <v>4.4360339999999896</v>
      </c>
      <c r="E3198">
        <v>0.56718250000000003</v>
      </c>
      <c r="F3198" t="s">
        <v>41</v>
      </c>
      <c r="G3198">
        <v>-229.18530000000001</v>
      </c>
      <c r="H3198">
        <v>1.033382</v>
      </c>
      <c r="I3198">
        <v>214.85579999999999</v>
      </c>
      <c r="J3198">
        <v>-229.66249999999999</v>
      </c>
      <c r="K3198">
        <v>1.111197</v>
      </c>
      <c r="L3198">
        <v>214.96199999999999</v>
      </c>
      <c r="M3198">
        <v>0.99987440000000005</v>
      </c>
      <c r="N3198">
        <v>-1.4339640000000001E-2</v>
      </c>
      <c r="O3198">
        <v>6.7547279999999998E-3</v>
      </c>
      <c r="P3198">
        <v>0.94019319999999895</v>
      </c>
      <c r="Q3198">
        <v>0.34063660000000001</v>
      </c>
      <c r="R3198">
        <v>1.866136E-3</v>
      </c>
      <c r="S3198">
        <v>3.3147890000000002</v>
      </c>
      <c r="T3198">
        <v>-0.338775299999999</v>
      </c>
      <c r="U3198">
        <v>-0.4529724</v>
      </c>
      <c r="V3198">
        <v>4.3574850000000004E-3</v>
      </c>
      <c r="W3198">
        <v>0.35408539999999999</v>
      </c>
      <c r="X3198">
        <v>0.93520300000000001</v>
      </c>
      <c r="Y3198">
        <v>0.14123250000000001</v>
      </c>
      <c r="Z3198">
        <v>-8.7748469999999901E-3</v>
      </c>
      <c r="AA3198">
        <v>0.98993750000000003</v>
      </c>
      <c r="AB3198">
        <v>31</v>
      </c>
      <c r="AC3198">
        <v>0.47719999999998203</v>
      </c>
      <c r="AD3198">
        <v>-7.7814999999999898E-2</v>
      </c>
      <c r="AE3198">
        <v>-0.10620000000002899</v>
      </c>
      <c r="AF3198">
        <v>0.10671750796771499</v>
      </c>
      <c r="AG3198">
        <v>-7.7814999999999898E-2</v>
      </c>
      <c r="AH3198">
        <v>0.46469825787316599</v>
      </c>
      <c r="AI3198">
        <v>99.269205285471799</v>
      </c>
      <c r="AJ3198">
        <v>77.066335279266397</v>
      </c>
      <c r="AK3198">
        <v>0.48310275470358799</v>
      </c>
      <c r="AL3198">
        <v>69.262600111723103</v>
      </c>
      <c r="AM3198">
        <v>89.733037968154207</v>
      </c>
      <c r="AN3198">
        <v>1.0000000546888399</v>
      </c>
    </row>
    <row r="3199" spans="1:40" x14ac:dyDescent="0.25">
      <c r="A3199" t="str">
        <f>"20190304164706257"</f>
        <v>20190304164706257</v>
      </c>
      <c r="B3199" t="str">
        <f>"1551689226251857"</f>
        <v>1551689226251857</v>
      </c>
      <c r="C3199" t="s">
        <v>40</v>
      </c>
      <c r="D3199">
        <v>4.5651619999999999</v>
      </c>
      <c r="E3199">
        <v>0.56685719999999995</v>
      </c>
      <c r="F3199" t="s">
        <v>41</v>
      </c>
      <c r="G3199">
        <v>-228.90729999999999</v>
      </c>
      <c r="H3199">
        <v>1.034046</v>
      </c>
      <c r="I3199">
        <v>214.8587</v>
      </c>
      <c r="J3199">
        <v>-229.3092</v>
      </c>
      <c r="K3199">
        <v>1.1112089999999999</v>
      </c>
      <c r="L3199">
        <v>214.96469999999999</v>
      </c>
      <c r="M3199">
        <v>0.9998726</v>
      </c>
      <c r="N3199">
        <v>-1.433715E-2</v>
      </c>
      <c r="O3199">
        <v>7.0196619999999899E-3</v>
      </c>
      <c r="P3199">
        <v>0.94024169999999996</v>
      </c>
      <c r="Q3199">
        <v>0.34050570000000002</v>
      </c>
      <c r="R3199">
        <v>1.295388E-3</v>
      </c>
      <c r="S3199">
        <v>3.3144070000000001</v>
      </c>
      <c r="T3199">
        <v>-0.3386209</v>
      </c>
      <c r="U3199">
        <v>-0.45303339999999998</v>
      </c>
      <c r="V3199">
        <v>5.1601279999999999E-3</v>
      </c>
      <c r="W3199">
        <v>0.35395290000000001</v>
      </c>
      <c r="X3199">
        <v>0.935249</v>
      </c>
      <c r="Y3199">
        <v>0.14152579999999901</v>
      </c>
      <c r="Z3199">
        <v>-8.8121069999999996E-3</v>
      </c>
      <c r="AA3199">
        <v>0.98989530000000003</v>
      </c>
      <c r="AB3199">
        <v>31</v>
      </c>
      <c r="AC3199">
        <v>0.40190000000001103</v>
      </c>
      <c r="AD3199">
        <v>-7.7162999999999995E-2</v>
      </c>
      <c r="AE3199">
        <v>-0.105999999999994</v>
      </c>
      <c r="AF3199">
        <v>0.10519340821287</v>
      </c>
      <c r="AG3199">
        <v>-7.7162999999999995E-2</v>
      </c>
      <c r="AH3199">
        <v>0.38778112910198498</v>
      </c>
      <c r="AI3199">
        <v>100.871029486192</v>
      </c>
      <c r="AJ3199">
        <v>74.822622187978098</v>
      </c>
      <c r="AK3199">
        <v>0.40913810111996401</v>
      </c>
      <c r="AL3199">
        <v>69.270716034802305</v>
      </c>
      <c r="AM3199">
        <v>89.683880382493399</v>
      </c>
      <c r="AN3199">
        <v>0.99999998717019301</v>
      </c>
    </row>
    <row r="3200" spans="1:40" x14ac:dyDescent="0.25">
      <c r="A3200" t="str">
        <f>"20190304164706279"</f>
        <v>20190304164706279</v>
      </c>
      <c r="B3200" t="str">
        <f>"1551689226272354"</f>
        <v>1551689226272354</v>
      </c>
      <c r="C3200" t="s">
        <v>40</v>
      </c>
      <c r="D3200">
        <v>4.6977640000000003</v>
      </c>
      <c r="E3200">
        <v>0.56665459999999901</v>
      </c>
      <c r="F3200" t="s">
        <v>41</v>
      </c>
      <c r="G3200">
        <v>-228.36269999999999</v>
      </c>
      <c r="H3200">
        <v>1.012737</v>
      </c>
      <c r="I3200">
        <v>214.8357</v>
      </c>
      <c r="J3200">
        <v>-229.0138</v>
      </c>
      <c r="K3200">
        <v>1.1112229999999901</v>
      </c>
      <c r="L3200">
        <v>214.96700000000001</v>
      </c>
      <c r="M3200">
        <v>0.99987099999999995</v>
      </c>
      <c r="N3200">
        <v>-1.4334909999999999E-2</v>
      </c>
      <c r="O3200">
        <v>7.2609769999999896E-3</v>
      </c>
      <c r="P3200">
        <v>0.94029119999999999</v>
      </c>
      <c r="Q3200">
        <v>0.34036850000000002</v>
      </c>
      <c r="R3200">
        <v>1.395505E-3</v>
      </c>
      <c r="S3200">
        <v>3.3162379999999998</v>
      </c>
      <c r="T3200">
        <v>-0.3450202</v>
      </c>
      <c r="U3200">
        <v>-0.45223999999999998</v>
      </c>
      <c r="V3200">
        <v>5.2737979999999997E-3</v>
      </c>
      <c r="W3200">
        <v>0.35381469999999998</v>
      </c>
      <c r="X3200">
        <v>0.93530060000000004</v>
      </c>
      <c r="Y3200">
        <v>0.14142869999999999</v>
      </c>
      <c r="Z3200">
        <v>-8.9719029999999998E-3</v>
      </c>
      <c r="AA3200">
        <v>0.9899078</v>
      </c>
      <c r="AB3200">
        <v>31</v>
      </c>
      <c r="AC3200">
        <v>0.651100000000013</v>
      </c>
      <c r="AD3200">
        <v>-9.8485999999999796E-2</v>
      </c>
      <c r="AE3200">
        <v>-0.13130000000000999</v>
      </c>
      <c r="AF3200">
        <v>0.133098372164906</v>
      </c>
      <c r="AG3200">
        <v>-9.8485999999999796E-2</v>
      </c>
      <c r="AH3200">
        <v>0.63614325446133801</v>
      </c>
      <c r="AI3200">
        <v>98.6168180381177</v>
      </c>
      <c r="AJ3200">
        <v>78.182644058875695</v>
      </c>
      <c r="AK3200">
        <v>0.65733774352733698</v>
      </c>
      <c r="AL3200">
        <v>69.2791809990742</v>
      </c>
      <c r="AM3200">
        <v>89.676934704082299</v>
      </c>
      <c r="AN3200">
        <v>0.99999993362089501</v>
      </c>
    </row>
    <row r="3201" spans="1:40" x14ac:dyDescent="0.25">
      <c r="A3201" t="str">
        <f>"20190304164706300"</f>
        <v>20190304164706300</v>
      </c>
      <c r="B3201" t="str">
        <f>"1551689226291873"</f>
        <v>1551689226291873</v>
      </c>
      <c r="C3201" t="s">
        <v>40</v>
      </c>
      <c r="D3201">
        <v>4.4931020000000004</v>
      </c>
      <c r="E3201">
        <v>0.5664844</v>
      </c>
      <c r="F3201" t="s">
        <v>41</v>
      </c>
      <c r="G3201">
        <v>-228.08510000000001</v>
      </c>
      <c r="H3201">
        <v>1.0145959999999901</v>
      </c>
      <c r="I3201">
        <v>214.84049999999999</v>
      </c>
      <c r="J3201">
        <v>-228.7216</v>
      </c>
      <c r="K3201">
        <v>1.111235</v>
      </c>
      <c r="L3201">
        <v>214.96940000000001</v>
      </c>
      <c r="M3201">
        <v>0.99986909999999896</v>
      </c>
      <c r="N3201">
        <v>-1.4332589999999999E-2</v>
      </c>
      <c r="O3201">
        <v>7.5144599999999997E-3</v>
      </c>
      <c r="P3201">
        <v>0.94022950000000005</v>
      </c>
      <c r="Q3201">
        <v>0.34054040000000002</v>
      </c>
      <c r="R3201">
        <v>1.0472979999999999E-3</v>
      </c>
      <c r="S3201">
        <v>3.316147</v>
      </c>
      <c r="T3201">
        <v>-0.34522209999999998</v>
      </c>
      <c r="U3201">
        <v>-0.4505615</v>
      </c>
      <c r="V3201">
        <v>5.8485459999999996E-3</v>
      </c>
      <c r="W3201">
        <v>0.35398370000000001</v>
      </c>
      <c r="X3201">
        <v>0.93523330000000005</v>
      </c>
      <c r="Y3201">
        <v>0.1411907</v>
      </c>
      <c r="Z3201">
        <v>-8.9854789999999993E-3</v>
      </c>
      <c r="AA3201">
        <v>0.98994170000000004</v>
      </c>
      <c r="AB3201">
        <v>31</v>
      </c>
      <c r="AC3201">
        <v>0.63649999999998297</v>
      </c>
      <c r="AD3201">
        <v>-9.66390000000001E-2</v>
      </c>
      <c r="AE3201">
        <v>-0.128900000000015</v>
      </c>
      <c r="AF3201">
        <v>0.13078375395424499</v>
      </c>
      <c r="AG3201">
        <v>-9.66390000000001E-2</v>
      </c>
      <c r="AH3201">
        <v>0.62174549687190295</v>
      </c>
      <c r="AI3201">
        <v>98.648578792022903</v>
      </c>
      <c r="AJ3201">
        <v>78.121052013918998</v>
      </c>
      <c r="AK3201">
        <v>0.64265927947852297</v>
      </c>
      <c r="AL3201">
        <v>69.268829342183395</v>
      </c>
      <c r="AM3201">
        <v>89.641701558355805</v>
      </c>
      <c r="AN3201">
        <v>0.99999999539244699</v>
      </c>
    </row>
    <row r="3202" spans="1:40" x14ac:dyDescent="0.25">
      <c r="A3202" t="str">
        <f>"20190304164706321"</f>
        <v>20190304164706321</v>
      </c>
      <c r="B3202" t="str">
        <f>"1551689226312369"</f>
        <v>1551689226312369</v>
      </c>
      <c r="C3202" t="s">
        <v>40</v>
      </c>
      <c r="D3202">
        <v>4.3433650000000004</v>
      </c>
      <c r="E3202">
        <v>0.56644359999999905</v>
      </c>
      <c r="F3202" t="s">
        <v>41</v>
      </c>
      <c r="G3202">
        <v>-227.8082</v>
      </c>
      <c r="H3202">
        <v>1.0157929999999999</v>
      </c>
      <c r="I3202">
        <v>214.84549999999999</v>
      </c>
      <c r="J3202">
        <v>-228.4314</v>
      </c>
      <c r="K3202">
        <v>1.111248</v>
      </c>
      <c r="L3202">
        <v>214.9718</v>
      </c>
      <c r="M3202">
        <v>0.99986719999999896</v>
      </c>
      <c r="N3202">
        <v>-1.4330259999999999E-2</v>
      </c>
      <c r="O3202">
        <v>7.7795249999999998E-3</v>
      </c>
      <c r="P3202">
        <v>0.94008150000000001</v>
      </c>
      <c r="Q3202">
        <v>0.34094960000000002</v>
      </c>
      <c r="R3202">
        <v>4.515462E-4</v>
      </c>
      <c r="S3202">
        <v>3.316757</v>
      </c>
      <c r="T3202">
        <v>-0.34663709999999998</v>
      </c>
      <c r="U3202">
        <v>-0.44949339999999999</v>
      </c>
      <c r="V3202">
        <v>6.6831119999999997E-3</v>
      </c>
      <c r="W3202">
        <v>0.35438910000000001</v>
      </c>
      <c r="X3202">
        <v>0.93507419999999997</v>
      </c>
      <c r="Y3202">
        <v>0.1411086</v>
      </c>
      <c r="Z3202">
        <v>-9.0358330000000001E-3</v>
      </c>
      <c r="AA3202">
        <v>0.98995290000000002</v>
      </c>
      <c r="AB3202">
        <v>31</v>
      </c>
      <c r="AC3202">
        <v>0.62319999999999698</v>
      </c>
      <c r="AD3202">
        <v>-9.5454999999999998E-2</v>
      </c>
      <c r="AE3202">
        <v>-0.12630000000001401</v>
      </c>
      <c r="AF3202">
        <v>0.128254630281566</v>
      </c>
      <c r="AG3202">
        <v>-9.5454999999999998E-2</v>
      </c>
      <c r="AH3202">
        <v>0.60848612443824901</v>
      </c>
      <c r="AI3202">
        <v>98.726799042356703</v>
      </c>
      <c r="AJ3202">
        <v>78.0976115850562</v>
      </c>
      <c r="AK3202">
        <v>0.62913930957105302</v>
      </c>
      <c r="AL3202">
        <v>69.243992243364303</v>
      </c>
      <c r="AM3202">
        <v>89.590505660571793</v>
      </c>
      <c r="AN3202">
        <v>1.00000002884522</v>
      </c>
    </row>
    <row r="3203" spans="1:40" x14ac:dyDescent="0.25">
      <c r="A3203" t="str">
        <f>"20190304164706348"</f>
        <v>20190304164706348</v>
      </c>
      <c r="B3203" t="str">
        <f>"1551689226341649"</f>
        <v>1551689226341649</v>
      </c>
      <c r="C3203" t="s">
        <v>40</v>
      </c>
      <c r="D3203">
        <v>4.4969739999999998</v>
      </c>
      <c r="E3203">
        <v>0.56638279999999996</v>
      </c>
      <c r="F3203" t="s">
        <v>41</v>
      </c>
      <c r="G3203">
        <v>-227.53139999999999</v>
      </c>
      <c r="H3203">
        <v>1.0175459999999901</v>
      </c>
      <c r="I3203">
        <v>214.84899999999999</v>
      </c>
      <c r="J3203">
        <v>-228.06479999999999</v>
      </c>
      <c r="K3203">
        <v>1.1112580000000001</v>
      </c>
      <c r="L3203">
        <v>214.9751</v>
      </c>
      <c r="M3203">
        <v>0.99986430000000004</v>
      </c>
      <c r="N3203">
        <v>-1.432726E-2</v>
      </c>
      <c r="O3203">
        <v>8.1326460000000003E-3</v>
      </c>
      <c r="P3203">
        <v>0.94010700000000003</v>
      </c>
      <c r="Q3203">
        <v>0.3408795</v>
      </c>
      <c r="R3203">
        <v>1.9710880000000001E-4</v>
      </c>
      <c r="S3203">
        <v>3.3166959999999999</v>
      </c>
      <c r="T3203">
        <v>-0.34539520000000001</v>
      </c>
      <c r="U3203">
        <v>-0.45176699999999997</v>
      </c>
      <c r="V3203">
        <v>7.259433E-3</v>
      </c>
      <c r="W3203">
        <v>0.3543173</v>
      </c>
      <c r="X3203">
        <v>0.93509710000000001</v>
      </c>
      <c r="Y3203">
        <v>0.14212540000000001</v>
      </c>
      <c r="Z3203">
        <v>-9.0978759999999995E-3</v>
      </c>
      <c r="AA3203">
        <v>0.98980679999999999</v>
      </c>
      <c r="AB3203">
        <v>31</v>
      </c>
      <c r="AC3203">
        <v>0.53339999999999999</v>
      </c>
      <c r="AD3203">
        <v>-9.3712000000000198E-2</v>
      </c>
      <c r="AE3203">
        <v>-0.12609999999997901</v>
      </c>
      <c r="AF3203">
        <v>0.126729602058574</v>
      </c>
      <c r="AG3203">
        <v>-9.3712000000000198E-2</v>
      </c>
      <c r="AH3203">
        <v>0.51723659601758099</v>
      </c>
      <c r="AI3203">
        <v>99.980341879663499</v>
      </c>
      <c r="AJ3203">
        <v>76.233005849429802</v>
      </c>
      <c r="AK3203">
        <v>0.54071806631717001</v>
      </c>
      <c r="AL3203">
        <v>69.248391295847</v>
      </c>
      <c r="AM3203">
        <v>89.555204997528307</v>
      </c>
      <c r="AN3203">
        <v>1.00000001743759</v>
      </c>
    </row>
    <row r="3204" spans="1:40" x14ac:dyDescent="0.25">
      <c r="A3204" t="str">
        <f>"20190304164706371"</f>
        <v>20190304164706371</v>
      </c>
      <c r="B3204" t="str">
        <f>"1551689226362145"</f>
        <v>1551689226362145</v>
      </c>
      <c r="C3204" t="s">
        <v>40</v>
      </c>
      <c r="D3204">
        <v>4.3754629999999999</v>
      </c>
      <c r="E3204">
        <v>0.56661300000000003</v>
      </c>
      <c r="F3204" t="s">
        <v>41</v>
      </c>
      <c r="G3204">
        <v>-227.25149999999999</v>
      </c>
      <c r="H3204">
        <v>1.0265059999999999</v>
      </c>
      <c r="I3204">
        <v>214.8638</v>
      </c>
      <c r="J3204">
        <v>-227.73349999999999</v>
      </c>
      <c r="K3204">
        <v>1.111267</v>
      </c>
      <c r="L3204">
        <v>214.97810000000001</v>
      </c>
      <c r="M3204">
        <v>0.99986149999999996</v>
      </c>
      <c r="N3204">
        <v>-1.4324369999999999E-2</v>
      </c>
      <c r="O3204">
        <v>8.4655979999999995E-3</v>
      </c>
      <c r="P3204">
        <v>0.94027510000000003</v>
      </c>
      <c r="Q3204">
        <v>0.34041559999999998</v>
      </c>
      <c r="R3204">
        <v>-3.5216659999999999E-4</v>
      </c>
      <c r="S3204">
        <v>3.316589</v>
      </c>
      <c r="T3204">
        <v>-0.34570070000000003</v>
      </c>
      <c r="U3204">
        <v>-0.4536133</v>
      </c>
      <c r="V3204">
        <v>8.1141870000000001E-3</v>
      </c>
      <c r="W3204">
        <v>0.3538539</v>
      </c>
      <c r="X3204">
        <v>0.93526549999999997</v>
      </c>
      <c r="Y3204">
        <v>0.14299210000000001</v>
      </c>
      <c r="Z3204">
        <v>-9.1857220000000003E-3</v>
      </c>
      <c r="AA3204">
        <v>0.98968120000000004</v>
      </c>
      <c r="AB3204">
        <v>31</v>
      </c>
      <c r="AC3204">
        <v>0.48199999999999898</v>
      </c>
      <c r="AD3204">
        <v>-8.4761000000000003E-2</v>
      </c>
      <c r="AE3204">
        <v>-0.114300000000014</v>
      </c>
      <c r="AF3204">
        <v>0.115009518609525</v>
      </c>
      <c r="AG3204">
        <v>-8.4761000000000003E-2</v>
      </c>
      <c r="AH3204">
        <v>0.46733255357426401</v>
      </c>
      <c r="AI3204">
        <v>99.988337903609903</v>
      </c>
      <c r="AJ3204">
        <v>76.174376205085196</v>
      </c>
      <c r="AK3204">
        <v>0.488683263599273</v>
      </c>
      <c r="AL3204">
        <v>69.276780858185504</v>
      </c>
      <c r="AM3204">
        <v>89.502925099563299</v>
      </c>
      <c r="AN3204">
        <v>0.99999998903306497</v>
      </c>
    </row>
    <row r="3205" spans="1:40" x14ac:dyDescent="0.25">
      <c r="A3205" t="str">
        <f>"20190304164706396"</f>
        <v>20190304164706396</v>
      </c>
      <c r="B3205" t="str">
        <f>"1551689226392401"</f>
        <v>1551689226392401</v>
      </c>
      <c r="C3205" t="s">
        <v>40</v>
      </c>
      <c r="D3205">
        <v>4.4128730000000003</v>
      </c>
      <c r="E3205">
        <v>0.56694549999999999</v>
      </c>
      <c r="F3205" t="s">
        <v>41</v>
      </c>
      <c r="G3205">
        <v>-226.97389999999999</v>
      </c>
      <c r="H3205">
        <v>1.031433</v>
      </c>
      <c r="I3205">
        <v>214.8732</v>
      </c>
      <c r="J3205">
        <v>-227.41550000000001</v>
      </c>
      <c r="K3205">
        <v>1.1112759999999999</v>
      </c>
      <c r="L3205">
        <v>214.9812</v>
      </c>
      <c r="M3205">
        <v>0.99985889999999999</v>
      </c>
      <c r="N3205">
        <v>-1.4321499999999999E-2</v>
      </c>
      <c r="O3205">
        <v>8.7965809999999995E-3</v>
      </c>
      <c r="P3205">
        <v>0.94007949999999996</v>
      </c>
      <c r="Q3205">
        <v>0.34095140000000002</v>
      </c>
      <c r="R3205">
        <v>-1.6676410000000001E-3</v>
      </c>
      <c r="S3205">
        <v>3.3166500000000001</v>
      </c>
      <c r="T3205">
        <v>-0.34876360000000001</v>
      </c>
      <c r="U3205">
        <v>-0.45719910000000002</v>
      </c>
      <c r="V3205">
        <v>9.7300709999999999E-3</v>
      </c>
      <c r="W3205">
        <v>0.35438459999999899</v>
      </c>
      <c r="X3205">
        <v>0.93504909999999997</v>
      </c>
      <c r="Y3205">
        <v>0.14434269999999999</v>
      </c>
      <c r="Z3205">
        <v>-9.3679130000000003E-3</v>
      </c>
      <c r="AA3205">
        <v>0.98948340000000001</v>
      </c>
      <c r="AB3205">
        <v>31</v>
      </c>
      <c r="AC3205">
        <v>0.44160000000002197</v>
      </c>
      <c r="AD3205">
        <v>-7.9842999999999803E-2</v>
      </c>
      <c r="AE3205">
        <v>-0.108000000000004</v>
      </c>
      <c r="AF3205">
        <v>0.108533071354307</v>
      </c>
      <c r="AG3205">
        <v>-7.9842999999999803E-2</v>
      </c>
      <c r="AH3205">
        <v>0.42744808876606499</v>
      </c>
      <c r="AI3205">
        <v>100.261963416691</v>
      </c>
      <c r="AJ3205">
        <v>75.753137174872293</v>
      </c>
      <c r="AK3205">
        <v>0.44818099113679599</v>
      </c>
      <c r="AL3205">
        <v>69.244266674246603</v>
      </c>
      <c r="AM3205">
        <v>89.403804696958602</v>
      </c>
      <c r="AN3205">
        <v>0.99999996920481604</v>
      </c>
    </row>
    <row r="3206" spans="1:40" x14ac:dyDescent="0.25">
      <c r="A3206" t="str">
        <f>"20190304164706414"</f>
        <v>20190304164706414</v>
      </c>
      <c r="B3206" t="str">
        <f>"1551689226411921"</f>
        <v>1551689226411921</v>
      </c>
      <c r="C3206" t="s">
        <v>40</v>
      </c>
      <c r="D3206">
        <v>4.3931620000000002</v>
      </c>
      <c r="E3206">
        <v>0.56707459999999998</v>
      </c>
      <c r="F3206" t="s">
        <v>41</v>
      </c>
      <c r="G3206">
        <v>-226.43440000000001</v>
      </c>
      <c r="H3206">
        <v>1.0084090000000001</v>
      </c>
      <c r="I3206">
        <v>214.84360000000001</v>
      </c>
      <c r="J3206">
        <v>-227.14570000000001</v>
      </c>
      <c r="K3206">
        <v>1.1112869999999999</v>
      </c>
      <c r="L3206">
        <v>214.9838</v>
      </c>
      <c r="M3206">
        <v>0.99985619999999997</v>
      </c>
      <c r="N3206">
        <v>-1.431902E-2</v>
      </c>
      <c r="O3206">
        <v>9.0876050000000003E-3</v>
      </c>
      <c r="P3206">
        <v>0.93999310000000003</v>
      </c>
      <c r="Q3206">
        <v>0.3411767</v>
      </c>
      <c r="R3206">
        <v>-3.380802E-3</v>
      </c>
      <c r="S3206">
        <v>3.3165740000000001</v>
      </c>
      <c r="T3206">
        <v>-0.347914</v>
      </c>
      <c r="U3206">
        <v>-0.4641113</v>
      </c>
      <c r="V3206">
        <v>1.170799E-2</v>
      </c>
      <c r="W3206">
        <v>0.35460799999999998</v>
      </c>
      <c r="X3206">
        <v>0.93494180000000005</v>
      </c>
      <c r="Y3206">
        <v>0.14664579999999999</v>
      </c>
      <c r="Z3206">
        <v>-9.5091069999999993E-3</v>
      </c>
      <c r="AA3206">
        <v>0.98914340000000001</v>
      </c>
      <c r="AB3206">
        <v>31</v>
      </c>
      <c r="AC3206">
        <v>0.71129999999999405</v>
      </c>
      <c r="AD3206">
        <v>-0.102878</v>
      </c>
      <c r="AE3206">
        <v>-0.140199999999993</v>
      </c>
      <c r="AF3206">
        <v>0.143763965179033</v>
      </c>
      <c r="AG3206">
        <v>-0.102878</v>
      </c>
      <c r="AH3206">
        <v>0.69598169011825595</v>
      </c>
      <c r="AI3206">
        <v>98.236976129513494</v>
      </c>
      <c r="AJ3206">
        <v>78.328966599418493</v>
      </c>
      <c r="AK3206">
        <v>0.71808249773118804</v>
      </c>
      <c r="AL3206">
        <v>69.230579345393195</v>
      </c>
      <c r="AM3206">
        <v>89.282539991854406</v>
      </c>
      <c r="AN3206">
        <v>1.00000004004053</v>
      </c>
    </row>
    <row r="3207" spans="1:40" x14ac:dyDescent="0.25">
      <c r="A3207" t="str">
        <f>"20190304164706433"</f>
        <v>20190304164706433</v>
      </c>
      <c r="B3207" t="str">
        <f>"1551689226421681"</f>
        <v>1551689226421681</v>
      </c>
      <c r="C3207" t="s">
        <v>40</v>
      </c>
      <c r="D3207">
        <v>4.4533889999999996</v>
      </c>
      <c r="E3207">
        <v>0.56710649999999996</v>
      </c>
      <c r="F3207" t="s">
        <v>41</v>
      </c>
      <c r="G3207">
        <v>-226.16050000000001</v>
      </c>
      <c r="H3207">
        <v>1.0072350000000001</v>
      </c>
      <c r="I3207">
        <v>214.84469999999999</v>
      </c>
      <c r="J3207">
        <v>-226.88079999999999</v>
      </c>
      <c r="K3207">
        <v>1.1113</v>
      </c>
      <c r="L3207">
        <v>214.98650000000001</v>
      </c>
      <c r="M3207">
        <v>0.99985360000000001</v>
      </c>
      <c r="N3207">
        <v>-1.4316590000000001E-2</v>
      </c>
      <c r="O3207">
        <v>9.3806989999999993E-3</v>
      </c>
      <c r="P3207">
        <v>0.9402123</v>
      </c>
      <c r="Q3207">
        <v>0.34055849999999999</v>
      </c>
      <c r="R3207">
        <v>-4.5635440000000001E-3</v>
      </c>
      <c r="S3207">
        <v>3.3169400000000002</v>
      </c>
      <c r="T3207">
        <v>-0.35026220000000002</v>
      </c>
      <c r="U3207">
        <v>-0.46870420000000002</v>
      </c>
      <c r="V3207">
        <v>1.316171E-2</v>
      </c>
      <c r="W3207">
        <v>0.35399130000000001</v>
      </c>
      <c r="X3207">
        <v>0.93515610000000005</v>
      </c>
      <c r="Y3207">
        <v>0.14824089999999901</v>
      </c>
      <c r="Z3207">
        <v>-9.6865849999999993E-3</v>
      </c>
      <c r="AA3207">
        <v>0.9889038</v>
      </c>
      <c r="AB3207">
        <v>31</v>
      </c>
      <c r="AC3207">
        <v>0.72029999999997996</v>
      </c>
      <c r="AD3207">
        <v>-0.10406499999999901</v>
      </c>
      <c r="AE3207">
        <v>-0.141800000000017</v>
      </c>
      <c r="AF3207">
        <v>0.14562515621779801</v>
      </c>
      <c r="AG3207">
        <v>-0.10406499999999901</v>
      </c>
      <c r="AH3207">
        <v>0.70477610891423703</v>
      </c>
      <c r="AI3207">
        <v>98.228064977356695</v>
      </c>
      <c r="AJ3207">
        <v>78.325489917479203</v>
      </c>
      <c r="AK3207">
        <v>0.72714893525656199</v>
      </c>
      <c r="AL3207">
        <v>69.268363873563004</v>
      </c>
      <c r="AM3207">
        <v>89.193652645922697</v>
      </c>
      <c r="AN3207">
        <v>1.00000000122651</v>
      </c>
    </row>
    <row r="3208" spans="1:40" x14ac:dyDescent="0.25">
      <c r="A3208" t="str">
        <f>"20190304164706456"</f>
        <v>20190304164706456</v>
      </c>
      <c r="B3208" t="str">
        <f>"1551689226451937"</f>
        <v>1551689226451937</v>
      </c>
      <c r="C3208" t="s">
        <v>40</v>
      </c>
      <c r="D3208">
        <v>4.4866830000000002</v>
      </c>
      <c r="E3208">
        <v>0.56722890000000004</v>
      </c>
      <c r="F3208" t="s">
        <v>41</v>
      </c>
      <c r="G3208">
        <v>-226.1489</v>
      </c>
      <c r="H3208">
        <v>1.033139</v>
      </c>
      <c r="I3208">
        <v>214.88229999999999</v>
      </c>
      <c r="J3208">
        <v>-226.57859999999999</v>
      </c>
      <c r="K3208">
        <v>1.1113120000000001</v>
      </c>
      <c r="L3208">
        <v>214.9897</v>
      </c>
      <c r="M3208">
        <v>0.99985049999999998</v>
      </c>
      <c r="N3208">
        <v>-1.431372E-2</v>
      </c>
      <c r="O3208">
        <v>9.7227790000000008E-3</v>
      </c>
      <c r="P3208">
        <v>0.94010020000000005</v>
      </c>
      <c r="Q3208">
        <v>0.34086050000000001</v>
      </c>
      <c r="R3208">
        <v>-5.1175580000000003E-3</v>
      </c>
      <c r="S3208">
        <v>3.316757</v>
      </c>
      <c r="T3208">
        <v>-0.35415659999999999</v>
      </c>
      <c r="U3208">
        <v>-0.47236630000000002</v>
      </c>
      <c r="V3208">
        <v>1.402951E-2</v>
      </c>
      <c r="W3208">
        <v>0.35428969999999999</v>
      </c>
      <c r="X3208">
        <v>0.93503049999999999</v>
      </c>
      <c r="Y3208">
        <v>0.1496266</v>
      </c>
      <c r="Z3208">
        <v>-9.8979159999999997E-3</v>
      </c>
      <c r="AA3208">
        <v>0.98869309999999999</v>
      </c>
      <c r="AB3208">
        <v>31</v>
      </c>
      <c r="AC3208">
        <v>0.42969999999999597</v>
      </c>
      <c r="AD3208">
        <v>-7.8173000000000006E-2</v>
      </c>
      <c r="AE3208">
        <v>-0.107400000000012</v>
      </c>
      <c r="AF3208">
        <v>0.10820265487821799</v>
      </c>
      <c r="AG3208">
        <v>-7.8173000000000006E-2</v>
      </c>
      <c r="AH3208">
        <v>0.415686486714686</v>
      </c>
      <c r="AI3208">
        <v>100.31454888778001</v>
      </c>
      <c r="AJ3208">
        <v>75.409754027722002</v>
      </c>
      <c r="AK3208">
        <v>0.43659373299315002</v>
      </c>
      <c r="AL3208">
        <v>69.250082571850697</v>
      </c>
      <c r="AM3208">
        <v>89.140379487555293</v>
      </c>
      <c r="AN3208">
        <v>1.0000000273035801</v>
      </c>
    </row>
    <row r="3209" spans="1:40" x14ac:dyDescent="0.25">
      <c r="A3209" t="str">
        <f>"20190304164706479"</f>
        <v>20190304164706479</v>
      </c>
      <c r="B3209" t="str">
        <f>"1551689226471458"</f>
        <v>1551689226471458</v>
      </c>
      <c r="C3209" t="s">
        <v>40</v>
      </c>
      <c r="D3209">
        <v>4.4772619999999996</v>
      </c>
      <c r="E3209">
        <v>0.56730340000000001</v>
      </c>
      <c r="F3209" t="s">
        <v>41</v>
      </c>
      <c r="G3209">
        <v>-225.61259999999999</v>
      </c>
      <c r="H3209">
        <v>1.007282</v>
      </c>
      <c r="I3209">
        <v>214.85130000000001</v>
      </c>
      <c r="J3209">
        <v>-226.26140000000001</v>
      </c>
      <c r="K3209">
        <v>1.1113219999999999</v>
      </c>
      <c r="L3209">
        <v>214.9932</v>
      </c>
      <c r="M3209">
        <v>0.99984669999999998</v>
      </c>
      <c r="N3209">
        <v>-1.4310750000000001E-2</v>
      </c>
      <c r="O3209">
        <v>1.0091060000000001E-2</v>
      </c>
      <c r="P3209">
        <v>0.94009549999999997</v>
      </c>
      <c r="Q3209">
        <v>0.34086660000000002</v>
      </c>
      <c r="R3209">
        <v>-5.5261140000000004E-3</v>
      </c>
      <c r="S3209">
        <v>3.3181609999999999</v>
      </c>
      <c r="T3209">
        <v>-0.35743370000000002</v>
      </c>
      <c r="U3209">
        <v>-0.4748077</v>
      </c>
      <c r="V3209">
        <v>1.477874E-2</v>
      </c>
      <c r="W3209">
        <v>0.35429369999999999</v>
      </c>
      <c r="X3209">
        <v>0.9350174</v>
      </c>
      <c r="Y3209">
        <v>0.1506207</v>
      </c>
      <c r="Z3209">
        <v>-1.007045E-2</v>
      </c>
      <c r="AA3209">
        <v>0.98854039999999999</v>
      </c>
      <c r="AB3209">
        <v>31</v>
      </c>
      <c r="AC3209">
        <v>0.64880000000002203</v>
      </c>
      <c r="AD3209">
        <v>-0.10403999999999899</v>
      </c>
      <c r="AE3209">
        <v>-0.141899999999992</v>
      </c>
      <c r="AF3209">
        <v>0.14488495138573701</v>
      </c>
      <c r="AG3209">
        <v>-0.10403999999999899</v>
      </c>
      <c r="AH3209">
        <v>0.63182938130986999</v>
      </c>
      <c r="AI3209">
        <v>99.118151285304094</v>
      </c>
      <c r="AJ3209">
        <v>77.084775514242907</v>
      </c>
      <c r="AK3209">
        <v>0.65652443810147698</v>
      </c>
      <c r="AL3209">
        <v>69.249836631014404</v>
      </c>
      <c r="AM3209">
        <v>89.094467198928101</v>
      </c>
      <c r="AN3209">
        <v>0.99999998765921805</v>
      </c>
    </row>
    <row r="3210" spans="1:40" x14ac:dyDescent="0.25">
      <c r="A3210" t="str">
        <f>"20190304164706499"</f>
        <v>20190304164706499</v>
      </c>
      <c r="B3210" t="str">
        <f>"1551689226491953"</f>
        <v>1551689226491953</v>
      </c>
      <c r="C3210" t="s">
        <v>40</v>
      </c>
      <c r="D3210">
        <v>4.512556</v>
      </c>
      <c r="E3210">
        <v>0.56737539999999997</v>
      </c>
      <c r="F3210" t="s">
        <v>41</v>
      </c>
      <c r="G3210">
        <v>-225.33750000000001</v>
      </c>
      <c r="H3210">
        <v>1.0110920000000001</v>
      </c>
      <c r="I3210">
        <v>214.8604</v>
      </c>
      <c r="J3210">
        <v>-225.97479999999999</v>
      </c>
      <c r="K3210">
        <v>1.111321</v>
      </c>
      <c r="L3210">
        <v>214.99639999999999</v>
      </c>
      <c r="M3210">
        <v>0.99984340000000005</v>
      </c>
      <c r="N3210">
        <v>-1.4308E-2</v>
      </c>
      <c r="O3210">
        <v>1.0429280000000001E-2</v>
      </c>
      <c r="P3210">
        <v>0.94009450000000006</v>
      </c>
      <c r="Q3210">
        <v>0.3408524</v>
      </c>
      <c r="R3210">
        <v>-6.5055419999999996E-3</v>
      </c>
      <c r="S3210">
        <v>3.319016</v>
      </c>
      <c r="T3210">
        <v>-0.36030469999999998</v>
      </c>
      <c r="U3210">
        <v>-0.47611999999999999</v>
      </c>
      <c r="V3210">
        <v>1.6072369999999999E-2</v>
      </c>
      <c r="W3210">
        <v>0.35427760000000003</v>
      </c>
      <c r="X3210">
        <v>0.93500209999999995</v>
      </c>
      <c r="Y3210">
        <v>0.15128159999999999</v>
      </c>
      <c r="Z3210">
        <v>-1.021266E-2</v>
      </c>
      <c r="AA3210">
        <v>0.98843800000000004</v>
      </c>
      <c r="AB3210">
        <v>31</v>
      </c>
      <c r="AC3210">
        <v>0.63729999999998199</v>
      </c>
      <c r="AD3210">
        <v>-0.100228999999999</v>
      </c>
      <c r="AE3210">
        <v>-0.13599999999999501</v>
      </c>
      <c r="AF3210">
        <v>0.13934342346450901</v>
      </c>
      <c r="AG3210">
        <v>-0.100228999999999</v>
      </c>
      <c r="AH3210">
        <v>0.62115224833091298</v>
      </c>
      <c r="AI3210">
        <v>98.947580482905806</v>
      </c>
      <c r="AJ3210">
        <v>77.356130337846693</v>
      </c>
      <c r="AK3210">
        <v>0.64443196515253498</v>
      </c>
      <c r="AL3210">
        <v>69.250821889581403</v>
      </c>
      <c r="AM3210">
        <v>89.015201910202705</v>
      </c>
      <c r="AN3210">
        <v>0.99999993297179102</v>
      </c>
    </row>
    <row r="3211" spans="1:40" x14ac:dyDescent="0.25">
      <c r="A3211" t="str">
        <f>"20190304164706521"</f>
        <v>20190304164706521</v>
      </c>
      <c r="B3211" t="str">
        <f>"1551689226511474"</f>
        <v>1551689226511474</v>
      </c>
      <c r="C3211" t="s">
        <v>40</v>
      </c>
      <c r="D3211">
        <v>4.493849</v>
      </c>
      <c r="E3211">
        <v>0.56747440000000005</v>
      </c>
      <c r="F3211" t="s">
        <v>41</v>
      </c>
      <c r="G3211">
        <v>-225.0642</v>
      </c>
      <c r="H3211">
        <v>1.011647</v>
      </c>
      <c r="I3211">
        <v>214.86500000000001</v>
      </c>
      <c r="J3211">
        <v>-225.68129999999999</v>
      </c>
      <c r="K3211">
        <v>1.111324</v>
      </c>
      <c r="L3211">
        <v>214.9999</v>
      </c>
      <c r="M3211">
        <v>0.9998397</v>
      </c>
      <c r="N3211">
        <v>-1.4305139999999999E-2</v>
      </c>
      <c r="O3211">
        <v>1.0779159999999999E-2</v>
      </c>
      <c r="P3211">
        <v>0.94006259999999997</v>
      </c>
      <c r="Q3211">
        <v>0.3409218</v>
      </c>
      <c r="R3211">
        <v>-7.4004939999999996E-3</v>
      </c>
      <c r="S3211">
        <v>3.3195950000000001</v>
      </c>
      <c r="T3211">
        <v>-0.3634114</v>
      </c>
      <c r="U3211">
        <v>-0.47924800000000001</v>
      </c>
      <c r="V3211">
        <v>1.7292680000000001E-2</v>
      </c>
      <c r="W3211">
        <v>0.35434490000000002</v>
      </c>
      <c r="X3211">
        <v>0.93495490000000003</v>
      </c>
      <c r="Y3211">
        <v>0.1524896</v>
      </c>
      <c r="Z3211">
        <v>-1.0397190000000001E-2</v>
      </c>
      <c r="AA3211">
        <v>0.98825039999999997</v>
      </c>
      <c r="AB3211">
        <v>31</v>
      </c>
      <c r="AC3211">
        <v>0.61709999999999299</v>
      </c>
      <c r="AD3211">
        <v>-9.9677000000000002E-2</v>
      </c>
      <c r="AE3211">
        <v>-0.134899999999987</v>
      </c>
      <c r="AF3211">
        <v>0.138105776656473</v>
      </c>
      <c r="AG3211">
        <v>-9.9677000000000002E-2</v>
      </c>
      <c r="AH3211">
        <v>0.60065339616309399</v>
      </c>
      <c r="AI3211">
        <v>99.186771443484005</v>
      </c>
      <c r="AJ3211">
        <v>77.0512675016721</v>
      </c>
      <c r="AK3211">
        <v>0.62433421514213505</v>
      </c>
      <c r="AL3211">
        <v>69.246699944753203</v>
      </c>
      <c r="AM3211">
        <v>88.940393143829297</v>
      </c>
      <c r="AN3211">
        <v>1.0000000049858</v>
      </c>
    </row>
    <row r="3212" spans="1:40" x14ac:dyDescent="0.25">
      <c r="A3212" t="str">
        <f>"20190304164706543"</f>
        <v>20190304164706543</v>
      </c>
      <c r="B3212" t="str">
        <f>"1551689226531969"</f>
        <v>1551689226531969</v>
      </c>
      <c r="C3212" t="s">
        <v>40</v>
      </c>
      <c r="D3212">
        <v>4.5298920000000003</v>
      </c>
      <c r="E3212">
        <v>0.56754899999999997</v>
      </c>
      <c r="F3212" t="s">
        <v>41</v>
      </c>
      <c r="G3212">
        <v>-224.79069999999999</v>
      </c>
      <c r="H3212">
        <v>1.013263</v>
      </c>
      <c r="I3212">
        <v>214.87049999999999</v>
      </c>
      <c r="J3212">
        <v>-225.37690000000001</v>
      </c>
      <c r="K3212">
        <v>1.1113280000000001</v>
      </c>
      <c r="L3212">
        <v>215.0035</v>
      </c>
      <c r="M3212">
        <v>0.99983569999999999</v>
      </c>
      <c r="N3212">
        <v>-1.430214E-2</v>
      </c>
      <c r="O3212">
        <v>1.114416E-2</v>
      </c>
      <c r="P3212">
        <v>0.93996519999999995</v>
      </c>
      <c r="Q3212">
        <v>0.3411691</v>
      </c>
      <c r="R3212">
        <v>-8.3293800000000008E-3</v>
      </c>
      <c r="S3212">
        <v>3.3200989999999999</v>
      </c>
      <c r="T3212">
        <v>-0.36568679999999998</v>
      </c>
      <c r="U3212">
        <v>-0.48176570000000002</v>
      </c>
      <c r="V3212">
        <v>1.8561060000000001E-2</v>
      </c>
      <c r="W3212">
        <v>0.35458840000000003</v>
      </c>
      <c r="X3212">
        <v>0.93483819999999995</v>
      </c>
      <c r="Y3212">
        <v>0.15354219999999999</v>
      </c>
      <c r="Z3212">
        <v>-1.055379E-2</v>
      </c>
      <c r="AA3212">
        <v>0.98808569999999996</v>
      </c>
      <c r="AB3212">
        <v>31</v>
      </c>
      <c r="AC3212">
        <v>0.58620000000001904</v>
      </c>
      <c r="AD3212">
        <v>-9.8064999999999999E-2</v>
      </c>
      <c r="AE3212">
        <v>-0.133000000000009</v>
      </c>
      <c r="AF3212">
        <v>0.13590784084844601</v>
      </c>
      <c r="AG3212">
        <v>-9.8064999999999999E-2</v>
      </c>
      <c r="AH3212">
        <v>0.56952305155648497</v>
      </c>
      <c r="AI3212">
        <v>99.507942905898005</v>
      </c>
      <c r="AJ3212">
        <v>76.5782666997859</v>
      </c>
      <c r="AK3212">
        <v>0.59367010341038495</v>
      </c>
      <c r="AL3212">
        <v>69.231778502473801</v>
      </c>
      <c r="AM3212">
        <v>88.8625510926218</v>
      </c>
      <c r="AN3212">
        <v>0.99999995327105995</v>
      </c>
    </row>
    <row r="3213" spans="1:40" x14ac:dyDescent="0.25">
      <c r="A3213" t="str">
        <f>"20190304164706569"</f>
        <v>20190304164706569</v>
      </c>
      <c r="B3213" t="str">
        <f>"1551689226562226"</f>
        <v>1551689226562226</v>
      </c>
      <c r="C3213" t="s">
        <v>40</v>
      </c>
      <c r="D3213">
        <v>4.5132019999999997</v>
      </c>
      <c r="E3213">
        <v>0.56782559999999904</v>
      </c>
      <c r="F3213" t="s">
        <v>41</v>
      </c>
      <c r="G3213">
        <v>-224.51689999999999</v>
      </c>
      <c r="H3213">
        <v>1.016224</v>
      </c>
      <c r="I3213">
        <v>214.87799999999999</v>
      </c>
      <c r="J3213">
        <v>-225.0395</v>
      </c>
      <c r="K3213">
        <v>1.111329</v>
      </c>
      <c r="L3213">
        <v>215.0077</v>
      </c>
      <c r="M3213">
        <v>0.99983109999999997</v>
      </c>
      <c r="N3213">
        <v>-1.429879E-2</v>
      </c>
      <c r="O3213">
        <v>1.1550339999999999E-2</v>
      </c>
      <c r="P3213">
        <v>0.93991309999999995</v>
      </c>
      <c r="Q3213">
        <v>0.34129320000000002</v>
      </c>
      <c r="R3213">
        <v>-9.0781669999999998E-3</v>
      </c>
      <c r="S3213">
        <v>3.3206020000000001</v>
      </c>
      <c r="T3213">
        <v>-0.367288</v>
      </c>
      <c r="U3213">
        <v>-0.48451230000000001</v>
      </c>
      <c r="V3213">
        <v>1.968957E-2</v>
      </c>
      <c r="W3213">
        <v>0.35470970000000002</v>
      </c>
      <c r="X3213">
        <v>0.93476919999999997</v>
      </c>
      <c r="Y3213">
        <v>0.15470419999999999</v>
      </c>
      <c r="Z3213">
        <v>-1.0704399999999999E-2</v>
      </c>
      <c r="AA3213">
        <v>0.98790279999999997</v>
      </c>
      <c r="AB3213">
        <v>31</v>
      </c>
      <c r="AC3213">
        <v>0.52260000000001094</v>
      </c>
      <c r="AD3213">
        <v>-9.5104999999999995E-2</v>
      </c>
      <c r="AE3213">
        <v>-0.129700000000013</v>
      </c>
      <c r="AF3213">
        <v>0.13162199316030501</v>
      </c>
      <c r="AG3213">
        <v>-9.5104999999999995E-2</v>
      </c>
      <c r="AH3213">
        <v>0.50530308808800195</v>
      </c>
      <c r="AI3213">
        <v>100.322481166172</v>
      </c>
      <c r="AJ3213">
        <v>75.399957789398897</v>
      </c>
      <c r="AK3213">
        <v>0.53075467114266905</v>
      </c>
      <c r="AL3213">
        <v>69.224347552791002</v>
      </c>
      <c r="AM3213">
        <v>88.793325170102705</v>
      </c>
      <c r="AN3213">
        <v>1.00000005385475</v>
      </c>
    </row>
    <row r="3214" spans="1:40" x14ac:dyDescent="0.25">
      <c r="A3214" t="str">
        <f>"20190304164706595"</f>
        <v>20190304164706595</v>
      </c>
      <c r="B3214" t="str">
        <f>"1551689226591507"</f>
        <v>1551689226591507</v>
      </c>
      <c r="C3214" t="s">
        <v>40</v>
      </c>
      <c r="D3214">
        <v>4.3620289999999997</v>
      </c>
      <c r="E3214">
        <v>0.56800260000000002</v>
      </c>
      <c r="F3214" t="s">
        <v>41</v>
      </c>
      <c r="G3214">
        <v>-224.2415</v>
      </c>
      <c r="H3214">
        <v>1.0234700000000001</v>
      </c>
      <c r="I3214">
        <v>214.89019999999999</v>
      </c>
      <c r="J3214">
        <v>-224.68950000000001</v>
      </c>
      <c r="K3214">
        <v>1.1113299999999999</v>
      </c>
      <c r="L3214">
        <v>215.01220000000001</v>
      </c>
      <c r="M3214">
        <v>0.99982610000000005</v>
      </c>
      <c r="N3214">
        <v>-1.429528E-2</v>
      </c>
      <c r="O3214">
        <v>1.197235E-2</v>
      </c>
      <c r="P3214">
        <v>0.93982560000000004</v>
      </c>
      <c r="Q3214">
        <v>0.34151740000000003</v>
      </c>
      <c r="R3214">
        <v>-9.6795820000000008E-3</v>
      </c>
      <c r="S3214">
        <v>3.3197939999999999</v>
      </c>
      <c r="T3214">
        <v>-0.36555779999999999</v>
      </c>
      <c r="U3214">
        <v>-0.48896790000000001</v>
      </c>
      <c r="V3214">
        <v>2.068598E-2</v>
      </c>
      <c r="W3214">
        <v>0.35492940000000001</v>
      </c>
      <c r="X3214">
        <v>0.93466419999999995</v>
      </c>
      <c r="Y3214">
        <v>0.15644920000000001</v>
      </c>
      <c r="Z3214">
        <v>-1.080796E-2</v>
      </c>
      <c r="AA3214">
        <v>0.98762689999999997</v>
      </c>
      <c r="AB3214">
        <v>30</v>
      </c>
      <c r="AC3214">
        <v>0.448000000000007</v>
      </c>
      <c r="AD3214">
        <v>-8.7859999999999799E-2</v>
      </c>
      <c r="AE3214">
        <v>-0.122000000000014</v>
      </c>
      <c r="AF3214">
        <v>0.122952942076152</v>
      </c>
      <c r="AG3214">
        <v>-8.7859999999999799E-2</v>
      </c>
      <c r="AH3214">
        <v>0.43107207084080701</v>
      </c>
      <c r="AI3214">
        <v>101.089428592975</v>
      </c>
      <c r="AJ3214">
        <v>74.080475202296</v>
      </c>
      <c r="AK3214">
        <v>0.45679309958028402</v>
      </c>
      <c r="AL3214">
        <v>69.210881983255405</v>
      </c>
      <c r="AM3214">
        <v>88.732137286054098</v>
      </c>
      <c r="AN3214">
        <v>0.99999997775728</v>
      </c>
    </row>
    <row r="3215" spans="1:40" x14ac:dyDescent="0.25">
      <c r="A3215" t="str">
        <f>"20190304164706615"</f>
        <v>20190304164706615</v>
      </c>
      <c r="B3215" t="str">
        <f>"1551689226612002"</f>
        <v>1551689226612002</v>
      </c>
      <c r="C3215" t="s">
        <v>40</v>
      </c>
      <c r="D3215">
        <v>4.3854470000000001</v>
      </c>
      <c r="E3215">
        <v>0.56810289999999997</v>
      </c>
      <c r="F3215" t="s">
        <v>41</v>
      </c>
      <c r="G3215">
        <v>-223.70670000000001</v>
      </c>
      <c r="H3215">
        <v>1.0037780000000001</v>
      </c>
      <c r="I3215">
        <v>214.8663</v>
      </c>
      <c r="J3215">
        <v>-224.4074</v>
      </c>
      <c r="K3215">
        <v>1.1113379999999999</v>
      </c>
      <c r="L3215">
        <v>215.01589999999999</v>
      </c>
      <c r="M3215">
        <v>0.99982210000000005</v>
      </c>
      <c r="N3215">
        <v>-1.429243E-2</v>
      </c>
      <c r="O3215">
        <v>1.2312160000000001E-2</v>
      </c>
      <c r="P3215">
        <v>0.93963569999999996</v>
      </c>
      <c r="Q3215">
        <v>0.3420125</v>
      </c>
      <c r="R3215">
        <v>-1.0605669999999999E-2</v>
      </c>
      <c r="S3215">
        <v>3.3190309999999998</v>
      </c>
      <c r="T3215">
        <v>-0.36332809999999999</v>
      </c>
      <c r="U3215">
        <v>-0.4923401</v>
      </c>
      <c r="V3215">
        <v>2.1928650000000001E-2</v>
      </c>
      <c r="W3215">
        <v>0.35541929999999999</v>
      </c>
      <c r="X3215">
        <v>0.93444970000000005</v>
      </c>
      <c r="Y3215">
        <v>0.15780139999999901</v>
      </c>
      <c r="Z3215">
        <v>-1.0864810000000001E-2</v>
      </c>
      <c r="AA3215">
        <v>0.98741109999999999</v>
      </c>
      <c r="AB3215">
        <v>30</v>
      </c>
      <c r="AC3215">
        <v>0.700699999999983</v>
      </c>
      <c r="AD3215">
        <v>-0.107559999999999</v>
      </c>
      <c r="AE3215">
        <v>-0.14959999999999199</v>
      </c>
      <c r="AF3215">
        <v>0.15472966456305601</v>
      </c>
      <c r="AG3215">
        <v>-0.107559999999999</v>
      </c>
      <c r="AH3215">
        <v>0.68340353144615495</v>
      </c>
      <c r="AI3215">
        <v>98.726980180638293</v>
      </c>
      <c r="AJ3215">
        <v>77.242723877047496</v>
      </c>
      <c r="AK3215">
        <v>0.70890818128222399</v>
      </c>
      <c r="AL3215">
        <v>69.1808553599531</v>
      </c>
      <c r="AM3215">
        <v>88.655691647609203</v>
      </c>
      <c r="AN3215">
        <v>0.99999999316670096</v>
      </c>
    </row>
    <row r="3216" spans="1:40" x14ac:dyDescent="0.25">
      <c r="A3216" t="str">
        <f>"20190304164706633"</f>
        <v>20190304164706633</v>
      </c>
      <c r="B3216" t="str">
        <f>"1551689226621761"</f>
        <v>1551689226621761</v>
      </c>
      <c r="C3216" t="s">
        <v>40</v>
      </c>
      <c r="D3216">
        <v>4.3833580000000003</v>
      </c>
      <c r="E3216">
        <v>0.56818049999999998</v>
      </c>
      <c r="F3216" t="s">
        <v>41</v>
      </c>
      <c r="G3216">
        <v>-223.43469999999999</v>
      </c>
      <c r="H3216">
        <v>1.005525</v>
      </c>
      <c r="I3216">
        <v>214.87049999999999</v>
      </c>
      <c r="J3216">
        <v>-224.15770000000001</v>
      </c>
      <c r="K3216">
        <v>1.1113409999999999</v>
      </c>
      <c r="L3216">
        <v>215.01929999999999</v>
      </c>
      <c r="M3216">
        <v>0.99981850000000005</v>
      </c>
      <c r="N3216">
        <v>-1.4289899999999999E-2</v>
      </c>
      <c r="O3216">
        <v>1.2612679999999999E-2</v>
      </c>
      <c r="P3216">
        <v>0.93937959999999998</v>
      </c>
      <c r="Q3216">
        <v>0.34266259999999998</v>
      </c>
      <c r="R3216">
        <v>-1.2193270000000001E-2</v>
      </c>
      <c r="S3216">
        <v>3.3185579999999999</v>
      </c>
      <c r="T3216">
        <v>-0.36108980000000002</v>
      </c>
      <c r="U3216">
        <v>-0.49595640000000002</v>
      </c>
      <c r="V3216">
        <v>2.3795090000000001E-2</v>
      </c>
      <c r="W3216">
        <v>0.35606459999999901</v>
      </c>
      <c r="X3216">
        <v>0.9341583</v>
      </c>
      <c r="Y3216">
        <v>0.1591735</v>
      </c>
      <c r="Z3216">
        <v>-1.0916749999999999E-2</v>
      </c>
      <c r="AA3216">
        <v>0.98719020000000002</v>
      </c>
      <c r="AB3216">
        <v>30</v>
      </c>
      <c r="AC3216">
        <v>0.72300000000001297</v>
      </c>
      <c r="AD3216">
        <v>-0.10581599999999899</v>
      </c>
      <c r="AE3216">
        <v>-0.14879999999999399</v>
      </c>
      <c r="AF3216">
        <v>0.154728407727665</v>
      </c>
      <c r="AG3216">
        <v>-0.10581599999999899</v>
      </c>
      <c r="AH3216">
        <v>0.70654607861048502</v>
      </c>
      <c r="AI3216">
        <v>98.323222965460502</v>
      </c>
      <c r="AJ3216">
        <v>77.647644719394293</v>
      </c>
      <c r="AK3216">
        <v>0.73098923878111399</v>
      </c>
      <c r="AL3216">
        <v>69.141293927905295</v>
      </c>
      <c r="AM3216">
        <v>88.540864561843094</v>
      </c>
      <c r="AN3216">
        <v>0.99999996757007803</v>
      </c>
    </row>
    <row r="3217" spans="1:40" x14ac:dyDescent="0.25">
      <c r="A3217" t="str">
        <f>"20190304164706660"</f>
        <v>20190304164706660</v>
      </c>
      <c r="B3217" t="str">
        <f>"1551689226652018"</f>
        <v>1551689226652018</v>
      </c>
      <c r="C3217" t="s">
        <v>40</v>
      </c>
      <c r="D3217">
        <v>4.5541619999999998</v>
      </c>
      <c r="E3217">
        <v>0.5682161</v>
      </c>
      <c r="F3217" t="s">
        <v>41</v>
      </c>
      <c r="G3217">
        <v>-223.423</v>
      </c>
      <c r="H3217">
        <v>1.032138</v>
      </c>
      <c r="I3217">
        <v>214.90809999999999</v>
      </c>
      <c r="J3217">
        <v>-223.79900000000001</v>
      </c>
      <c r="K3217">
        <v>1.111343</v>
      </c>
      <c r="L3217">
        <v>215.02440000000001</v>
      </c>
      <c r="M3217">
        <v>0.99981299999999995</v>
      </c>
      <c r="N3217">
        <v>-1.428626E-2</v>
      </c>
      <c r="O3217">
        <v>1.3044149999999999E-2</v>
      </c>
      <c r="P3217">
        <v>0.93930910000000001</v>
      </c>
      <c r="Q3217">
        <v>0.3428428</v>
      </c>
      <c r="R3217">
        <v>-1.2537019999999999E-2</v>
      </c>
      <c r="S3217">
        <v>3.317596</v>
      </c>
      <c r="T3217">
        <v>-0.35776269999999999</v>
      </c>
      <c r="U3217">
        <v>-0.50152589999999997</v>
      </c>
      <c r="V3217">
        <v>2.454373E-2</v>
      </c>
      <c r="W3217">
        <v>0.35624060000000002</v>
      </c>
      <c r="X3217">
        <v>0.93407180000000001</v>
      </c>
      <c r="Y3217">
        <v>0.16126509999999999</v>
      </c>
      <c r="Z3217">
        <v>-1.099399E-2</v>
      </c>
      <c r="AA3217">
        <v>0.98684989999999995</v>
      </c>
      <c r="AB3217">
        <v>30</v>
      </c>
      <c r="AC3217">
        <v>0.376000000000004</v>
      </c>
      <c r="AD3217">
        <v>-7.92049999999999E-2</v>
      </c>
      <c r="AE3217">
        <v>-0.116300000000023</v>
      </c>
      <c r="AF3217">
        <v>0.116477913141684</v>
      </c>
      <c r="AG3217">
        <v>-7.92049999999999E-2</v>
      </c>
      <c r="AH3217">
        <v>0.35987603599773699</v>
      </c>
      <c r="AI3217">
        <v>101.826576963782</v>
      </c>
      <c r="AJ3217">
        <v>72.065244564565802</v>
      </c>
      <c r="AK3217">
        <v>0.38645995595958799</v>
      </c>
      <c r="AL3217">
        <v>69.130501713131494</v>
      </c>
      <c r="AM3217">
        <v>88.494838794783504</v>
      </c>
      <c r="AN3217">
        <v>0.99999994366295497</v>
      </c>
    </row>
    <row r="3218" spans="1:40" x14ac:dyDescent="0.25">
      <c r="A3218" t="str">
        <f>"20190304164706683"</f>
        <v>20190304164706683</v>
      </c>
      <c r="B3218" t="str">
        <f>"1551689226671538"</f>
        <v>1551689226671538</v>
      </c>
      <c r="C3218" t="s">
        <v>40</v>
      </c>
      <c r="D3218">
        <v>4.4921759999999997</v>
      </c>
      <c r="E3218">
        <v>0.56834419999999897</v>
      </c>
      <c r="F3218" t="s">
        <v>41</v>
      </c>
      <c r="G3218">
        <v>-222.89</v>
      </c>
      <c r="H3218">
        <v>1.013029</v>
      </c>
      <c r="I3218">
        <v>214.8862</v>
      </c>
      <c r="J3218">
        <v>-223.4905</v>
      </c>
      <c r="K3218">
        <v>1.1113489999999999</v>
      </c>
      <c r="L3218">
        <v>215.02879999999999</v>
      </c>
      <c r="M3218">
        <v>0.99980800000000003</v>
      </c>
      <c r="N3218">
        <v>-1.428305E-2</v>
      </c>
      <c r="O3218">
        <v>1.341524E-2</v>
      </c>
      <c r="P3218">
        <v>0.93925639999999999</v>
      </c>
      <c r="Q3218">
        <v>0.34299010000000002</v>
      </c>
      <c r="R3218">
        <v>-1.2466069999999999E-2</v>
      </c>
      <c r="S3218">
        <v>3.3180999999999998</v>
      </c>
      <c r="T3218">
        <v>-0.3589154</v>
      </c>
      <c r="U3218">
        <v>-0.5041504</v>
      </c>
      <c r="V3218">
        <v>2.4820910000000002E-2</v>
      </c>
      <c r="W3218">
        <v>0.35638399999999998</v>
      </c>
      <c r="X3218">
        <v>0.9340098</v>
      </c>
      <c r="Y3218">
        <v>0.16235729999999901</v>
      </c>
      <c r="Z3218">
        <v>-1.112487E-2</v>
      </c>
      <c r="AA3218">
        <v>0.98666929999999997</v>
      </c>
      <c r="AB3218">
        <v>30</v>
      </c>
      <c r="AC3218">
        <v>0.60050000000001003</v>
      </c>
      <c r="AD3218">
        <v>-9.8319999999999699E-2</v>
      </c>
      <c r="AE3218">
        <v>-0.14259999999998699</v>
      </c>
      <c r="AF3218">
        <v>0.14691562442793199</v>
      </c>
      <c r="AG3218">
        <v>-9.8319999999999699E-2</v>
      </c>
      <c r="AH3218">
        <v>0.583719935150395</v>
      </c>
      <c r="AI3218">
        <v>99.276922685504701</v>
      </c>
      <c r="AJ3218">
        <v>75.872736938600298</v>
      </c>
      <c r="AK3218">
        <v>0.60990161976586899</v>
      </c>
      <c r="AL3218">
        <v>69.121708933573501</v>
      </c>
      <c r="AM3218">
        <v>88.477747498431398</v>
      </c>
      <c r="AN3218">
        <v>0.99999996976263295</v>
      </c>
    </row>
    <row r="3219" spans="1:40" x14ac:dyDescent="0.25">
      <c r="A3219" t="str">
        <f>"20190304164706707"</f>
        <v>20190304164706707</v>
      </c>
      <c r="B3219" t="str">
        <f>"1551689226701795"</f>
        <v>1551689226701795</v>
      </c>
      <c r="C3219" t="s">
        <v>40</v>
      </c>
      <c r="D3219">
        <v>4.4972050000000001</v>
      </c>
      <c r="E3219">
        <v>0.56848030000000005</v>
      </c>
      <c r="F3219" t="s">
        <v>41</v>
      </c>
      <c r="G3219">
        <v>-222.61779999999999</v>
      </c>
      <c r="H3219">
        <v>1.0173920000000001</v>
      </c>
      <c r="I3219">
        <v>214.89519999999999</v>
      </c>
      <c r="J3219">
        <v>-223.16890000000001</v>
      </c>
      <c r="K3219">
        <v>1.111351</v>
      </c>
      <c r="L3219">
        <v>215.0335</v>
      </c>
      <c r="M3219">
        <v>0.99980279999999999</v>
      </c>
      <c r="N3219">
        <v>-1.427962E-2</v>
      </c>
      <c r="O3219">
        <v>1.3801829999999999E-2</v>
      </c>
      <c r="P3219">
        <v>0.9395095</v>
      </c>
      <c r="Q3219">
        <v>0.34229399999999999</v>
      </c>
      <c r="R3219">
        <v>-1.251711E-2</v>
      </c>
      <c r="S3219">
        <v>3.3177639999999999</v>
      </c>
      <c r="T3219">
        <v>-0.3572998</v>
      </c>
      <c r="U3219">
        <v>-0.50724789999999997</v>
      </c>
      <c r="V3219">
        <v>2.5239689999999999E-2</v>
      </c>
      <c r="W3219">
        <v>0.35568889999999997</v>
      </c>
      <c r="X3219">
        <v>0.93426350000000002</v>
      </c>
      <c r="Y3219">
        <v>0.1636531</v>
      </c>
      <c r="Z3219">
        <v>-1.119393E-2</v>
      </c>
      <c r="AA3219">
        <v>0.98645439999999995</v>
      </c>
      <c r="AB3219">
        <v>30</v>
      </c>
      <c r="AC3219">
        <v>0.55110000000001902</v>
      </c>
      <c r="AD3219">
        <v>-9.3958999999999904E-2</v>
      </c>
      <c r="AE3219">
        <v>-0.13830000000001499</v>
      </c>
      <c r="AF3219">
        <v>0.14201038843243299</v>
      </c>
      <c r="AG3219">
        <v>-9.3958999999999904E-2</v>
      </c>
      <c r="AH3219">
        <v>0.53452154454936196</v>
      </c>
      <c r="AI3219">
        <v>99.641807814624599</v>
      </c>
      <c r="AJ3219">
        <v>75.121504172080506</v>
      </c>
      <c r="AK3219">
        <v>0.56098888196751795</v>
      </c>
      <c r="AL3219">
        <v>69.164327789383407</v>
      </c>
      <c r="AM3219">
        <v>88.452496483113904</v>
      </c>
      <c r="AN3219">
        <v>0.999999961483377</v>
      </c>
    </row>
    <row r="3220" spans="1:40" x14ac:dyDescent="0.25">
      <c r="A3220" t="str">
        <f>"20190304164706730"</f>
        <v>20190304164706730</v>
      </c>
      <c r="B3220" t="str">
        <f>"1551689226722290"</f>
        <v>1551689226722290</v>
      </c>
      <c r="C3220" t="s">
        <v>40</v>
      </c>
      <c r="D3220">
        <v>4.5863930000000002</v>
      </c>
      <c r="E3220">
        <v>0.56845610000000002</v>
      </c>
      <c r="F3220" t="s">
        <v>41</v>
      </c>
      <c r="G3220">
        <v>-222.34610000000001</v>
      </c>
      <c r="H3220">
        <v>1.0218050000000001</v>
      </c>
      <c r="I3220">
        <v>214.90729999999999</v>
      </c>
      <c r="J3220">
        <v>-222.86099999999999</v>
      </c>
      <c r="K3220">
        <v>1.111348</v>
      </c>
      <c r="L3220">
        <v>215.03819999999999</v>
      </c>
      <c r="M3220">
        <v>0.99979779999999996</v>
      </c>
      <c r="N3220">
        <v>-1.427638E-2</v>
      </c>
      <c r="O3220">
        <v>1.4171970000000001E-2</v>
      </c>
      <c r="P3220">
        <v>0.9395133</v>
      </c>
      <c r="Q3220">
        <v>0.34229890000000002</v>
      </c>
      <c r="R3220">
        <v>-1.2110579999999999E-2</v>
      </c>
      <c r="S3220">
        <v>3.317917</v>
      </c>
      <c r="T3220">
        <v>-0.36107800000000001</v>
      </c>
      <c r="U3220">
        <v>-0.50872799999999996</v>
      </c>
      <c r="V3220">
        <v>2.5181599999999998E-2</v>
      </c>
      <c r="W3220">
        <v>0.35569030000000001</v>
      </c>
      <c r="X3220">
        <v>0.9342646</v>
      </c>
      <c r="Y3220">
        <v>0.16441259999999999</v>
      </c>
      <c r="Z3220">
        <v>-1.1381519999999999E-2</v>
      </c>
      <c r="AA3220">
        <v>0.98632600000000004</v>
      </c>
      <c r="AB3220">
        <v>30</v>
      </c>
      <c r="AC3220">
        <v>0.51489999999998204</v>
      </c>
      <c r="AD3220">
        <v>-8.9543000000000095E-2</v>
      </c>
      <c r="AE3220">
        <v>-0.13089999999999599</v>
      </c>
      <c r="AF3220">
        <v>0.13436781236267301</v>
      </c>
      <c r="AG3220">
        <v>-8.9543000000000095E-2</v>
      </c>
      <c r="AH3220">
        <v>0.498823124429288</v>
      </c>
      <c r="AI3220">
        <v>99.833390205281702</v>
      </c>
      <c r="AJ3220">
        <v>74.924092413818997</v>
      </c>
      <c r="AK3220">
        <v>0.524306367797996</v>
      </c>
      <c r="AL3220">
        <v>69.164243296406099</v>
      </c>
      <c r="AM3220">
        <v>88.456058205852401</v>
      </c>
      <c r="AN3220">
        <v>1.0000000226529</v>
      </c>
    </row>
    <row r="3221" spans="1:40" x14ac:dyDescent="0.25">
      <c r="A3221" t="str">
        <f>"20190304164706752"</f>
        <v>20190304164706752</v>
      </c>
      <c r="B3221" t="str">
        <f>"1551689226741810"</f>
        <v>1551689226741810</v>
      </c>
      <c r="C3221" t="s">
        <v>40</v>
      </c>
      <c r="D3221">
        <v>4.6081089999999998</v>
      </c>
      <c r="E3221">
        <v>0.56843269999999901</v>
      </c>
      <c r="F3221" t="s">
        <v>41</v>
      </c>
      <c r="G3221">
        <v>-222.07490000000001</v>
      </c>
      <c r="H3221">
        <v>1.0254490000000001</v>
      </c>
      <c r="I3221">
        <v>214.91759999999999</v>
      </c>
      <c r="J3221">
        <v>-222.56389999999999</v>
      </c>
      <c r="K3221">
        <v>1.1113459999999999</v>
      </c>
      <c r="L3221">
        <v>215.0428</v>
      </c>
      <c r="M3221">
        <v>0.99979260000000003</v>
      </c>
      <c r="N3221">
        <v>-1.4273279999999999E-2</v>
      </c>
      <c r="O3221">
        <v>1.4527429999999999E-2</v>
      </c>
      <c r="P3221">
        <v>0.93978989999999996</v>
      </c>
      <c r="Q3221">
        <v>0.34156930000000002</v>
      </c>
      <c r="R3221">
        <v>-1.1217400000000001E-2</v>
      </c>
      <c r="S3221">
        <v>3.3188019999999998</v>
      </c>
      <c r="T3221">
        <v>-0.36292160000000001</v>
      </c>
      <c r="U3221">
        <v>-0.50772090000000003</v>
      </c>
      <c r="V3221">
        <v>2.4628069999999998E-2</v>
      </c>
      <c r="W3221">
        <v>0.35496159999999999</v>
      </c>
      <c r="X3221">
        <v>0.93455639999999995</v>
      </c>
      <c r="Y3221">
        <v>0.16441929999999999</v>
      </c>
      <c r="Z3221">
        <v>-1.146552E-2</v>
      </c>
      <c r="AA3221">
        <v>0.98632390000000003</v>
      </c>
      <c r="AB3221">
        <v>30</v>
      </c>
      <c r="AC3221">
        <v>0.48899999999997501</v>
      </c>
      <c r="AD3221">
        <v>-8.5896999999999807E-2</v>
      </c>
      <c r="AE3221">
        <v>-0.125200000000006</v>
      </c>
      <c r="AF3221">
        <v>0.128568383780061</v>
      </c>
      <c r="AG3221">
        <v>-8.5896999999999807E-2</v>
      </c>
      <c r="AH3221">
        <v>0.473420229029475</v>
      </c>
      <c r="AI3221">
        <v>99.931648145866404</v>
      </c>
      <c r="AJ3221">
        <v>74.806429556367405</v>
      </c>
      <c r="AK3221">
        <v>0.49803096005282399</v>
      </c>
      <c r="AL3221">
        <v>69.208908439542896</v>
      </c>
      <c r="AM3221">
        <v>88.490451774253998</v>
      </c>
      <c r="AN3221">
        <v>0.99999997204372204</v>
      </c>
    </row>
    <row r="3222" spans="1:40" x14ac:dyDescent="0.25">
      <c r="A3222" t="str">
        <f>"20190304164706771"</f>
        <v>20190304164706771</v>
      </c>
      <c r="B3222" t="str">
        <f>"1551689226762305"</f>
        <v>1551689226762305</v>
      </c>
      <c r="C3222" t="s">
        <v>40</v>
      </c>
      <c r="D3222">
        <v>4.6098220000000003</v>
      </c>
      <c r="E3222">
        <v>0.56841280000000005</v>
      </c>
      <c r="F3222" t="s">
        <v>41</v>
      </c>
      <c r="G3222">
        <v>-221.8048</v>
      </c>
      <c r="H3222">
        <v>1.027479</v>
      </c>
      <c r="I3222">
        <v>214.92679999999999</v>
      </c>
      <c r="J3222">
        <v>-222.30699999999999</v>
      </c>
      <c r="K3222">
        <v>1.1113390000000001</v>
      </c>
      <c r="L3222">
        <v>215.04679999999999</v>
      </c>
      <c r="M3222">
        <v>0.99978829999999996</v>
      </c>
      <c r="N3222">
        <v>-1.427058E-2</v>
      </c>
      <c r="O3222">
        <v>1.482843E-2</v>
      </c>
      <c r="P3222">
        <v>0.93985700000000005</v>
      </c>
      <c r="Q3222">
        <v>0.34142319999999998</v>
      </c>
      <c r="R3222">
        <v>-9.9578159999999995E-3</v>
      </c>
      <c r="S3222">
        <v>3.3195039999999998</v>
      </c>
      <c r="T3222">
        <v>-0.3668923</v>
      </c>
      <c r="U3222">
        <v>-0.50653079999999995</v>
      </c>
      <c r="V3222">
        <v>2.3656190000000001E-2</v>
      </c>
      <c r="W3222">
        <v>0.35481309999999999</v>
      </c>
      <c r="X3222">
        <v>0.93463790000000002</v>
      </c>
      <c r="Y3222">
        <v>0.16431509999999999</v>
      </c>
      <c r="Z3222">
        <v>-1.159981E-2</v>
      </c>
      <c r="AA3222">
        <v>0.98633970000000004</v>
      </c>
      <c r="AB3222">
        <v>30</v>
      </c>
      <c r="AC3222">
        <v>0.50220000000001597</v>
      </c>
      <c r="AD3222">
        <v>-8.3859999999999796E-2</v>
      </c>
      <c r="AE3222">
        <v>-0.12000000000000401</v>
      </c>
      <c r="AF3222">
        <v>0.12415932557194601</v>
      </c>
      <c r="AG3222">
        <v>-8.3859999999999796E-2</v>
      </c>
      <c r="AH3222">
        <v>0.48750575895113202</v>
      </c>
      <c r="AI3222">
        <v>99.464021529960306</v>
      </c>
      <c r="AJ3222">
        <v>75.711514721887994</v>
      </c>
      <c r="AK3222">
        <v>0.51000970847327998</v>
      </c>
      <c r="AL3222">
        <v>69.218009365537796</v>
      </c>
      <c r="AM3222">
        <v>88.5501224335936</v>
      </c>
      <c r="AN3222">
        <v>0.99999997768666704</v>
      </c>
    </row>
    <row r="3223" spans="1:40" x14ac:dyDescent="0.25">
      <c r="A3223" t="str">
        <f>"20190304164706798"</f>
        <v>20190304164706798</v>
      </c>
      <c r="B3223" t="str">
        <f>"1551689226791586"</f>
        <v>1551689226791586</v>
      </c>
      <c r="C3223" t="s">
        <v>40</v>
      </c>
      <c r="D3223">
        <v>4.5918400000000004</v>
      </c>
      <c r="E3223">
        <v>0.56847130000000001</v>
      </c>
      <c r="F3223" t="s">
        <v>41</v>
      </c>
      <c r="G3223">
        <v>-221.5367</v>
      </c>
      <c r="H3223">
        <v>1.0257889999999901</v>
      </c>
      <c r="I3223">
        <v>214.9298</v>
      </c>
      <c r="J3223">
        <v>-221.94880000000001</v>
      </c>
      <c r="K3223">
        <v>1.1113189999999999</v>
      </c>
      <c r="L3223">
        <v>215.05260000000001</v>
      </c>
      <c r="M3223">
        <v>0.99978230000000001</v>
      </c>
      <c r="N3223">
        <v>-1.4266829999999999E-2</v>
      </c>
      <c r="O3223">
        <v>1.522859E-2</v>
      </c>
      <c r="P3223">
        <v>0.93985450000000004</v>
      </c>
      <c r="Q3223">
        <v>0.34144750000000001</v>
      </c>
      <c r="R3223">
        <v>-9.3468019999999995E-3</v>
      </c>
      <c r="S3223">
        <v>3.3207089999999901</v>
      </c>
      <c r="T3223">
        <v>-0.3690599</v>
      </c>
      <c r="U3223">
        <v>-0.50343320000000003</v>
      </c>
      <c r="V3223">
        <v>2.3432129999999999E-2</v>
      </c>
      <c r="W3223">
        <v>0.35483320000000002</v>
      </c>
      <c r="X3223">
        <v>0.93463589999999996</v>
      </c>
      <c r="Y3223">
        <v>0.16374659999999999</v>
      </c>
      <c r="Z3223">
        <v>-1.166186E-2</v>
      </c>
      <c r="AA3223">
        <v>0.98643349999999996</v>
      </c>
      <c r="AB3223">
        <v>30</v>
      </c>
      <c r="AC3223">
        <v>0.41210000000000901</v>
      </c>
      <c r="AD3223">
        <v>-8.5530000000000106E-2</v>
      </c>
      <c r="AE3223">
        <v>-0.122800000000012</v>
      </c>
      <c r="AF3223">
        <v>0.12415037963379599</v>
      </c>
      <c r="AG3223">
        <v>-8.5530000000000106E-2</v>
      </c>
      <c r="AH3223">
        <v>0.39457164231688702</v>
      </c>
      <c r="AI3223">
        <v>101.682567900321</v>
      </c>
      <c r="AJ3223">
        <v>72.534027605276094</v>
      </c>
      <c r="AK3223">
        <v>0.422392564546135</v>
      </c>
      <c r="AL3223">
        <v>69.216777297043194</v>
      </c>
      <c r="AM3223">
        <v>88.563846122673297</v>
      </c>
      <c r="AN3223">
        <v>0.99999996505369204</v>
      </c>
    </row>
    <row r="3224" spans="1:40" x14ac:dyDescent="0.25">
      <c r="A3224" t="str">
        <f>"20190304164706825"</f>
        <v>20190304164706825</v>
      </c>
      <c r="B3224" t="str">
        <f>"1551689226821844"</f>
        <v>1551689226821844</v>
      </c>
      <c r="C3224" t="s">
        <v>40</v>
      </c>
      <c r="D3224">
        <v>4.6057459999999999</v>
      </c>
      <c r="E3224">
        <v>0.56851759999999996</v>
      </c>
      <c r="F3224" t="s">
        <v>41</v>
      </c>
      <c r="G3224">
        <v>-221.00819999999999</v>
      </c>
      <c r="H3224">
        <v>1.0062759999999999</v>
      </c>
      <c r="I3224">
        <v>214.9101</v>
      </c>
      <c r="J3224">
        <v>-221.58680000000001</v>
      </c>
      <c r="K3224">
        <v>1.1113010000000001</v>
      </c>
      <c r="L3224">
        <v>215.05860000000001</v>
      </c>
      <c r="M3224">
        <v>0.99977660000000002</v>
      </c>
      <c r="N3224">
        <v>-1.426291E-2</v>
      </c>
      <c r="O3224">
        <v>1.5601439999999999E-2</v>
      </c>
      <c r="P3224">
        <v>0.93983079999999997</v>
      </c>
      <c r="Q3224">
        <v>0.34151350000000003</v>
      </c>
      <c r="R3224">
        <v>-9.3186799999999993E-3</v>
      </c>
      <c r="S3224">
        <v>3.3218079999999999</v>
      </c>
      <c r="T3224">
        <v>-0.37114049999999998</v>
      </c>
      <c r="U3224">
        <v>-0.50263979999999997</v>
      </c>
      <c r="V3224">
        <v>2.37717E-2</v>
      </c>
      <c r="W3224">
        <v>0.35489379999999998</v>
      </c>
      <c r="X3224">
        <v>0.93460430000000005</v>
      </c>
      <c r="Y3224">
        <v>0.16382149999999901</v>
      </c>
      <c r="Z3224">
        <v>-1.175898E-2</v>
      </c>
      <c r="AA3224">
        <v>0.98641990000000002</v>
      </c>
      <c r="AB3224">
        <v>30</v>
      </c>
      <c r="AC3224">
        <v>0.57860000000002199</v>
      </c>
      <c r="AD3224">
        <v>-0.10502499999999999</v>
      </c>
      <c r="AE3224">
        <v>-0.14850000000001201</v>
      </c>
      <c r="AF3224">
        <v>0.15278692056200199</v>
      </c>
      <c r="AG3224">
        <v>-0.10502499999999999</v>
      </c>
      <c r="AH3224">
        <v>0.55893485358942896</v>
      </c>
      <c r="AI3224">
        <v>100.27345477969099</v>
      </c>
      <c r="AJ3224">
        <v>74.711478798990797</v>
      </c>
      <c r="AK3224">
        <v>0.58888221596245904</v>
      </c>
      <c r="AL3224">
        <v>69.213063148688306</v>
      </c>
      <c r="AM3224">
        <v>88.542993563669995</v>
      </c>
      <c r="AN3224">
        <v>0.99999995028890798</v>
      </c>
    </row>
    <row r="3225" spans="1:40" x14ac:dyDescent="0.25">
      <c r="A3225" t="str">
        <f>"20190304164706842"</f>
        <v>20190304164706842</v>
      </c>
      <c r="B3225" t="str">
        <f>"1551689226831602"</f>
        <v>1551689226831602</v>
      </c>
      <c r="C3225" t="s">
        <v>40</v>
      </c>
      <c r="D3225">
        <v>4.5952510000000002</v>
      </c>
      <c r="E3225">
        <v>0.56852279999999999</v>
      </c>
      <c r="F3225" t="s">
        <v>41</v>
      </c>
      <c r="G3225">
        <v>-220.73609999999999</v>
      </c>
      <c r="H3225">
        <v>1.015862</v>
      </c>
      <c r="I3225">
        <v>214.92930000000001</v>
      </c>
      <c r="J3225">
        <v>-221.3459</v>
      </c>
      <c r="K3225">
        <v>1.1112879999999901</v>
      </c>
      <c r="L3225">
        <v>215.0626</v>
      </c>
      <c r="M3225">
        <v>0.99977309999999997</v>
      </c>
      <c r="N3225">
        <v>-1.426027E-2</v>
      </c>
      <c r="O3225">
        <v>1.582952E-2</v>
      </c>
      <c r="P3225">
        <v>0.93984869999999998</v>
      </c>
      <c r="Q3225">
        <v>0.34147949999999999</v>
      </c>
      <c r="R3225">
        <v>-8.7366590000000008E-3</v>
      </c>
      <c r="S3225">
        <v>3.3225560000000001</v>
      </c>
      <c r="T3225">
        <v>-0.37283749999999999</v>
      </c>
      <c r="U3225">
        <v>-0.50473020000000002</v>
      </c>
      <c r="V3225">
        <v>2.3418399999999999E-2</v>
      </c>
      <c r="W3225">
        <v>0.35485679999999997</v>
      </c>
      <c r="X3225">
        <v>0.9346274</v>
      </c>
      <c r="Y3225">
        <v>0.1646039</v>
      </c>
      <c r="Z3225">
        <v>-1.1876390000000001E-2</v>
      </c>
      <c r="AA3225">
        <v>0.98628819999999995</v>
      </c>
      <c r="AB3225">
        <v>30</v>
      </c>
      <c r="AC3225">
        <v>0.609800000000007</v>
      </c>
      <c r="AD3225">
        <v>-9.5425999999999803E-2</v>
      </c>
      <c r="AE3225">
        <v>-0.13329999999999101</v>
      </c>
      <c r="AF3225">
        <v>0.13967275422999201</v>
      </c>
      <c r="AG3225">
        <v>-9.5425999999999803E-2</v>
      </c>
      <c r="AH3225">
        <v>0.59373676779478102</v>
      </c>
      <c r="AI3225">
        <v>98.891867117763695</v>
      </c>
      <c r="AJ3225">
        <v>76.762224596322397</v>
      </c>
      <c r="AK3225">
        <v>0.61736370899299298</v>
      </c>
      <c r="AL3225">
        <v>69.215333355121103</v>
      </c>
      <c r="AM3225">
        <v>88.564674233412902</v>
      </c>
      <c r="AN3225">
        <v>1.0000000733977701</v>
      </c>
    </row>
    <row r="3226" spans="1:40" x14ac:dyDescent="0.25">
      <c r="A3226" t="str">
        <f>"20190304164706861"</f>
        <v>20190304164706861</v>
      </c>
      <c r="B3226" t="str">
        <f>"1551689226852098"</f>
        <v>1551689226852098</v>
      </c>
      <c r="C3226" t="s">
        <v>40</v>
      </c>
      <c r="D3226">
        <v>4.617286</v>
      </c>
      <c r="E3226">
        <v>0.56855599999999995</v>
      </c>
      <c r="F3226" t="s">
        <v>41</v>
      </c>
      <c r="G3226">
        <v>-220.46969999999999</v>
      </c>
      <c r="H3226">
        <v>1.012929</v>
      </c>
      <c r="I3226">
        <v>214.92920000000001</v>
      </c>
      <c r="J3226">
        <v>-221.0958</v>
      </c>
      <c r="K3226">
        <v>1.111272</v>
      </c>
      <c r="L3226">
        <v>215.0668</v>
      </c>
      <c r="M3226">
        <v>0.99976969999999998</v>
      </c>
      <c r="N3226">
        <v>-1.425765E-2</v>
      </c>
      <c r="O3226">
        <v>1.603885E-2</v>
      </c>
      <c r="P3226">
        <v>0.93977659999999996</v>
      </c>
      <c r="Q3226">
        <v>0.3416961</v>
      </c>
      <c r="R3226">
        <v>-7.9863179999999992E-3</v>
      </c>
      <c r="S3226">
        <v>3.3228909999999998</v>
      </c>
      <c r="T3226">
        <v>-0.3731313</v>
      </c>
      <c r="U3226">
        <v>-0.50549319999999998</v>
      </c>
      <c r="V3226">
        <v>2.2882550000000001E-2</v>
      </c>
      <c r="W3226">
        <v>0.35506850000000001</v>
      </c>
      <c r="X3226">
        <v>0.93456019999999895</v>
      </c>
      <c r="Y3226">
        <v>0.16501160000000001</v>
      </c>
      <c r="Z3226">
        <v>-1.1929489999999999E-2</v>
      </c>
      <c r="AA3226">
        <v>0.98621950000000003</v>
      </c>
      <c r="AB3226">
        <v>30</v>
      </c>
      <c r="AC3226">
        <v>0.62610000000000798</v>
      </c>
      <c r="AD3226">
        <v>-9.8342999999999806E-2</v>
      </c>
      <c r="AE3226">
        <v>-0.13759999999999101</v>
      </c>
      <c r="AF3226">
        <v>0.144230773596464</v>
      </c>
      <c r="AG3226">
        <v>-9.8342999999999806E-2</v>
      </c>
      <c r="AH3226">
        <v>0.60946845101451597</v>
      </c>
      <c r="AI3226">
        <v>98.923813774272801</v>
      </c>
      <c r="AJ3226">
        <v>76.685885626618699</v>
      </c>
      <c r="AK3226">
        <v>0.63397606775277204</v>
      </c>
      <c r="AL3226">
        <v>69.202357553636006</v>
      </c>
      <c r="AM3226">
        <v>88.597402677287803</v>
      </c>
      <c r="AN3226">
        <v>1.00000000910539</v>
      </c>
    </row>
    <row r="3227" spans="1:40" x14ac:dyDescent="0.25">
      <c r="A3227" t="str">
        <f>"20190304164706881"</f>
        <v>20190304164706881</v>
      </c>
      <c r="B3227" t="str">
        <f>"1551689226871618"</f>
        <v>1551689226871618</v>
      </c>
      <c r="C3227" t="s">
        <v>40</v>
      </c>
      <c r="D3227">
        <v>4.6117350000000004</v>
      </c>
      <c r="E3227">
        <v>0.56857840000000004</v>
      </c>
      <c r="F3227" t="s">
        <v>41</v>
      </c>
      <c r="G3227">
        <v>-220.20310000000001</v>
      </c>
      <c r="H3227">
        <v>1.011042</v>
      </c>
      <c r="I3227">
        <v>214.9307</v>
      </c>
      <c r="J3227">
        <v>-220.82820000000001</v>
      </c>
      <c r="K3227">
        <v>1.11124</v>
      </c>
      <c r="L3227">
        <v>215.07130000000001</v>
      </c>
      <c r="M3227">
        <v>0.99976690000000001</v>
      </c>
      <c r="N3227">
        <v>-1.425497E-2</v>
      </c>
      <c r="O3227">
        <v>1.6218750000000001E-2</v>
      </c>
      <c r="P3227">
        <v>0.93941240000000004</v>
      </c>
      <c r="Q3227">
        <v>0.3427152</v>
      </c>
      <c r="R3227">
        <v>-7.1460899999999999E-3</v>
      </c>
      <c r="S3227">
        <v>3.323639</v>
      </c>
      <c r="T3227">
        <v>-0.3731583</v>
      </c>
      <c r="U3227">
        <v>-0.50682070000000001</v>
      </c>
      <c r="V3227">
        <v>2.2232709999999999E-2</v>
      </c>
      <c r="W3227">
        <v>0.35607749999999999</v>
      </c>
      <c r="X3227">
        <v>0.93419189999999996</v>
      </c>
      <c r="Y3227">
        <v>0.16553699999999999</v>
      </c>
      <c r="Z3227">
        <v>-1.197789E-2</v>
      </c>
      <c r="AA3227">
        <v>0.98613079999999997</v>
      </c>
      <c r="AB3227">
        <v>30</v>
      </c>
      <c r="AC3227">
        <v>0.62510000000000299</v>
      </c>
      <c r="AD3227">
        <v>-0.100198</v>
      </c>
      <c r="AE3227">
        <v>-0.140600000000006</v>
      </c>
      <c r="AF3227">
        <v>0.14712283629963399</v>
      </c>
      <c r="AG3227">
        <v>-0.100198</v>
      </c>
      <c r="AH3227">
        <v>0.60787107649996597</v>
      </c>
      <c r="AI3227">
        <v>99.101935097293193</v>
      </c>
      <c r="AJ3227">
        <v>76.394359506835897</v>
      </c>
      <c r="AK3227">
        <v>0.63339720066485605</v>
      </c>
      <c r="AL3227">
        <v>69.140503521139905</v>
      </c>
      <c r="AM3227">
        <v>88.6366826380699</v>
      </c>
      <c r="AN3227">
        <v>0.99999999271290196</v>
      </c>
    </row>
    <row r="3228" spans="1:40" x14ac:dyDescent="0.25">
      <c r="A3228" t="str">
        <f>"20190304164706906"</f>
        <v>20190304164706906</v>
      </c>
      <c r="B3228" t="str">
        <f>"1551689226901874"</f>
        <v>1551689226901874</v>
      </c>
      <c r="C3228" t="s">
        <v>40</v>
      </c>
      <c r="D3228">
        <v>4.3617239999999997</v>
      </c>
      <c r="E3228">
        <v>0.56876979999999999</v>
      </c>
      <c r="F3228" t="s">
        <v>41</v>
      </c>
      <c r="G3228">
        <v>-219.9357</v>
      </c>
      <c r="H3228">
        <v>1.0116830000000001</v>
      </c>
      <c r="I3228">
        <v>214.93510000000001</v>
      </c>
      <c r="J3228">
        <v>-220.494</v>
      </c>
      <c r="K3228">
        <v>1.1111960000000001</v>
      </c>
      <c r="L3228">
        <v>215.077</v>
      </c>
      <c r="M3228">
        <v>0.9997644</v>
      </c>
      <c r="N3228">
        <v>-1.4251399999999999E-2</v>
      </c>
      <c r="O3228">
        <v>1.6374059999999999E-2</v>
      </c>
      <c r="P3228">
        <v>0.939106</v>
      </c>
      <c r="Q3228">
        <v>0.34356819999999999</v>
      </c>
      <c r="R3228">
        <v>-6.3989800000000003E-3</v>
      </c>
      <c r="S3228">
        <v>3.3250269999999902</v>
      </c>
      <c r="T3228">
        <v>-0.37110320000000002</v>
      </c>
      <c r="U3228">
        <v>-0.50624079999999905</v>
      </c>
      <c r="V3228">
        <v>2.1670890000000002E-2</v>
      </c>
      <c r="W3228">
        <v>0.35691990000000001</v>
      </c>
      <c r="X3228">
        <v>0.93388349999999998</v>
      </c>
      <c r="Y3228">
        <v>0.16547419999999999</v>
      </c>
      <c r="Z3228">
        <v>-1.1923990000000001E-2</v>
      </c>
      <c r="AA3228">
        <v>0.98614199999999996</v>
      </c>
      <c r="AB3228">
        <v>30</v>
      </c>
      <c r="AC3228">
        <v>0.55830000000003099</v>
      </c>
      <c r="AD3228">
        <v>-9.9512999999999893E-2</v>
      </c>
      <c r="AE3228">
        <v>-0.141899999999992</v>
      </c>
      <c r="AF3228">
        <v>0.14664719035127499</v>
      </c>
      <c r="AG3228">
        <v>-9.9512999999999893E-2</v>
      </c>
      <c r="AH3228">
        <v>0.539792555043903</v>
      </c>
      <c r="AI3228">
        <v>100.08770456105</v>
      </c>
      <c r="AJ3228">
        <v>74.801107188962007</v>
      </c>
      <c r="AK3228">
        <v>0.56814103714460595</v>
      </c>
      <c r="AL3228">
        <v>69.088841601636901</v>
      </c>
      <c r="AM3228">
        <v>88.670682435186393</v>
      </c>
      <c r="AN3228">
        <v>0.99999991703082203</v>
      </c>
    </row>
    <row r="3229" spans="1:40" x14ac:dyDescent="0.25">
      <c r="A3229" t="str">
        <f>"20190304164706926"</f>
        <v>20190304164706926</v>
      </c>
      <c r="B3229" t="str">
        <f>"1551689226922369"</f>
        <v>1551689226922369</v>
      </c>
      <c r="C3229" t="s">
        <v>40</v>
      </c>
      <c r="D3229">
        <v>4.5998869999999998</v>
      </c>
      <c r="E3229">
        <v>0.56880520000000001</v>
      </c>
      <c r="F3229" t="s">
        <v>41</v>
      </c>
      <c r="G3229">
        <v>-219.66560000000001</v>
      </c>
      <c r="H3229">
        <v>1.0194669999999999</v>
      </c>
      <c r="I3229">
        <v>214.95070000000001</v>
      </c>
      <c r="J3229">
        <v>-220.23220000000001</v>
      </c>
      <c r="K3229">
        <v>1.1111489999999999</v>
      </c>
      <c r="L3229">
        <v>215.0813</v>
      </c>
      <c r="M3229">
        <v>0.99976330000000002</v>
      </c>
      <c r="N3229">
        <v>-1.4248480000000001E-2</v>
      </c>
      <c r="O3229">
        <v>1.6445120000000001E-2</v>
      </c>
      <c r="P3229">
        <v>0.93909710000000002</v>
      </c>
      <c r="Q3229">
        <v>0.34360439999999998</v>
      </c>
      <c r="R3229">
        <v>-5.7345479999999999E-3</v>
      </c>
      <c r="S3229">
        <v>3.3258209999999999</v>
      </c>
      <c r="T3229">
        <v>-0.36834129999999998</v>
      </c>
      <c r="U3229">
        <v>-0.50639339999999999</v>
      </c>
      <c r="V3229">
        <v>2.111002E-2</v>
      </c>
      <c r="W3229">
        <v>0.35695070000000001</v>
      </c>
      <c r="X3229">
        <v>0.93388470000000001</v>
      </c>
      <c r="Y3229">
        <v>0.1655702</v>
      </c>
      <c r="Z3229">
        <v>-1.185278E-2</v>
      </c>
      <c r="AA3229">
        <v>0.98612679999999997</v>
      </c>
      <c r="AB3229">
        <v>30</v>
      </c>
      <c r="AC3229">
        <v>0.566599999999994</v>
      </c>
      <c r="AD3229">
        <v>-9.1682E-2</v>
      </c>
      <c r="AE3229">
        <v>-0.13059999999998601</v>
      </c>
      <c r="AF3229">
        <v>0.13650726328978799</v>
      </c>
      <c r="AG3229">
        <v>-9.1682E-2</v>
      </c>
      <c r="AH3229">
        <v>0.55068438235761696</v>
      </c>
      <c r="AI3229">
        <v>99.179445301983506</v>
      </c>
      <c r="AJ3229">
        <v>76.077780666707994</v>
      </c>
      <c r="AK3229">
        <v>0.574711328431464</v>
      </c>
      <c r="AL3229">
        <v>69.086955013141306</v>
      </c>
      <c r="AM3229">
        <v>88.7050766458282</v>
      </c>
      <c r="AN3229">
        <v>1.0000000340344799</v>
      </c>
    </row>
    <row r="3230" spans="1:40" x14ac:dyDescent="0.25">
      <c r="A3230" t="str">
        <f>"20190304164706948"</f>
        <v>20190304164706948</v>
      </c>
      <c r="B3230" t="str">
        <f>"1551689226941890"</f>
        <v>1551689226941890</v>
      </c>
      <c r="C3230" t="s">
        <v>40</v>
      </c>
      <c r="D3230">
        <v>4.7263109999999999</v>
      </c>
      <c r="E3230">
        <v>0.56884820000000003</v>
      </c>
      <c r="F3230" t="s">
        <v>41</v>
      </c>
      <c r="G3230">
        <v>-219.39959999999999</v>
      </c>
      <c r="H3230">
        <v>1.0185219999999999</v>
      </c>
      <c r="I3230">
        <v>214.95490000000001</v>
      </c>
      <c r="J3230">
        <v>-219.93010000000001</v>
      </c>
      <c r="K3230">
        <v>1.111102</v>
      </c>
      <c r="L3230">
        <v>215.0864</v>
      </c>
      <c r="M3230">
        <v>0.99976310000000002</v>
      </c>
      <c r="N3230">
        <v>-1.424509E-2</v>
      </c>
      <c r="O3230">
        <v>1.6463809999999999E-2</v>
      </c>
      <c r="P3230">
        <v>0.93891250000000004</v>
      </c>
      <c r="Q3230">
        <v>0.34410259999999998</v>
      </c>
      <c r="R3230">
        <v>-6.1117630000000001E-3</v>
      </c>
      <c r="S3230">
        <v>3.3269500000000001</v>
      </c>
      <c r="T3230">
        <v>-0.3702743</v>
      </c>
      <c r="U3230">
        <v>-0.50439449999999997</v>
      </c>
      <c r="V3230">
        <v>2.154638E-2</v>
      </c>
      <c r="W3230">
        <v>0.35744110000000001</v>
      </c>
      <c r="X3230">
        <v>0.93368709999999999</v>
      </c>
      <c r="Y3230">
        <v>0.1649525</v>
      </c>
      <c r="Z3230">
        <v>-1.186948E-2</v>
      </c>
      <c r="AA3230">
        <v>0.9862301</v>
      </c>
      <c r="AB3230">
        <v>30</v>
      </c>
      <c r="AC3230">
        <v>0.53050000000001696</v>
      </c>
      <c r="AD3230">
        <v>-9.2580000000000107E-2</v>
      </c>
      <c r="AE3230">
        <v>-0.13149999999998799</v>
      </c>
      <c r="AF3230">
        <v>0.13630616284328201</v>
      </c>
      <c r="AG3230">
        <v>-9.2580000000000107E-2</v>
      </c>
      <c r="AH3230">
        <v>0.51352852202174004</v>
      </c>
      <c r="AI3230">
        <v>99.884454705308997</v>
      </c>
      <c r="AJ3230">
        <v>75.134724889006904</v>
      </c>
      <c r="AK3230">
        <v>0.53931620535534797</v>
      </c>
      <c r="AL3230">
        <v>69.056871725144902</v>
      </c>
      <c r="AM3230">
        <v>88.678039390493794</v>
      </c>
      <c r="AN3230">
        <v>0.999999993583362</v>
      </c>
    </row>
    <row r="3231" spans="1:40" x14ac:dyDescent="0.25">
      <c r="A3231" t="str">
        <f>"20190304164706970"</f>
        <v>20190304164706970</v>
      </c>
      <c r="B3231" t="str">
        <f>"1551689226962387"</f>
        <v>1551689226962387</v>
      </c>
      <c r="C3231" t="s">
        <v>40</v>
      </c>
      <c r="D3231">
        <v>4.5806490000000002</v>
      </c>
      <c r="E3231">
        <v>0.56889239999999996</v>
      </c>
      <c r="F3231" t="s">
        <v>41</v>
      </c>
      <c r="G3231">
        <v>-219.1318</v>
      </c>
      <c r="H3231">
        <v>1.0222560000000001</v>
      </c>
      <c r="I3231">
        <v>214.9649</v>
      </c>
      <c r="J3231">
        <v>-219.6489</v>
      </c>
      <c r="K3231">
        <v>1.1110450000000001</v>
      </c>
      <c r="L3231">
        <v>215.09100000000001</v>
      </c>
      <c r="M3231">
        <v>0.99976410000000004</v>
      </c>
      <c r="N3231">
        <v>-1.424199E-2</v>
      </c>
      <c r="O3231">
        <v>1.640233E-2</v>
      </c>
      <c r="P3231">
        <v>0.93879880000000004</v>
      </c>
      <c r="Q3231">
        <v>0.34440939999999998</v>
      </c>
      <c r="R3231">
        <v>-6.2650029999999999E-3</v>
      </c>
      <c r="S3231">
        <v>3.3276210000000002</v>
      </c>
      <c r="T3231">
        <v>-0.37037239999999999</v>
      </c>
      <c r="U3231">
        <v>-0.50592040000000005</v>
      </c>
      <c r="V3231">
        <v>2.1687560000000002E-2</v>
      </c>
      <c r="W3231">
        <v>0.35774030000000001</v>
      </c>
      <c r="X3231">
        <v>0.93356930000000005</v>
      </c>
      <c r="Y3231">
        <v>0.16530230000000001</v>
      </c>
      <c r="Z3231">
        <v>-1.188555E-2</v>
      </c>
      <c r="AA3231">
        <v>0.98617129999999997</v>
      </c>
      <c r="AB3231">
        <v>30</v>
      </c>
      <c r="AC3231">
        <v>0.517099999999999</v>
      </c>
      <c r="AD3231">
        <v>-8.8788999999999896E-2</v>
      </c>
      <c r="AE3231">
        <v>-0.12609999999997901</v>
      </c>
      <c r="AF3231">
        <v>0.13092223713210299</v>
      </c>
      <c r="AG3231">
        <v>-8.8788999999999896E-2</v>
      </c>
      <c r="AH3231">
        <v>0.50101952185738696</v>
      </c>
      <c r="AI3231">
        <v>99.729292268976593</v>
      </c>
      <c r="AJ3231">
        <v>75.355412988264504</v>
      </c>
      <c r="AK3231">
        <v>0.52539954318487903</v>
      </c>
      <c r="AL3231">
        <v>69.038516408087901</v>
      </c>
      <c r="AM3231">
        <v>88.669212670163702</v>
      </c>
      <c r="AN3231">
        <v>1.00000005520266</v>
      </c>
    </row>
    <row r="3232" spans="1:40" x14ac:dyDescent="0.25">
      <c r="A3232" t="str">
        <f>"20190304164706996"</f>
        <v>20190304164706996</v>
      </c>
      <c r="B3232" t="str">
        <f>"1551689226991665"</f>
        <v>1551689226991665</v>
      </c>
      <c r="C3232" t="s">
        <v>40</v>
      </c>
      <c r="D3232">
        <v>4.5957710000000001</v>
      </c>
      <c r="E3232">
        <v>0.56895799999999996</v>
      </c>
      <c r="F3232" t="s">
        <v>41</v>
      </c>
      <c r="G3232">
        <v>-218.86529999999999</v>
      </c>
      <c r="H3232">
        <v>1.02366</v>
      </c>
      <c r="I3232">
        <v>214.97120000000001</v>
      </c>
      <c r="J3232">
        <v>-219.30189999999999</v>
      </c>
      <c r="K3232">
        <v>1.1109639999999901</v>
      </c>
      <c r="L3232">
        <v>215.09649999999999</v>
      </c>
      <c r="M3232">
        <v>0.99976739999999997</v>
      </c>
      <c r="N3232">
        <v>-1.4238270000000001E-2</v>
      </c>
      <c r="O3232">
        <v>1.620717E-2</v>
      </c>
      <c r="P3232">
        <v>0.93881729999999997</v>
      </c>
      <c r="Q3232">
        <v>0.3443349</v>
      </c>
      <c r="R3232">
        <v>-7.4738039999999997E-3</v>
      </c>
      <c r="S3232">
        <v>3.3284150000000001</v>
      </c>
      <c r="T3232">
        <v>-0.37133969999999999</v>
      </c>
      <c r="U3232">
        <v>-0.50769039999999999</v>
      </c>
      <c r="V3232">
        <v>2.278403E-2</v>
      </c>
      <c r="W3232">
        <v>0.35765789999999997</v>
      </c>
      <c r="X3232">
        <v>0.93357469999999998</v>
      </c>
      <c r="Y3232">
        <v>0.16558110000000001</v>
      </c>
      <c r="Z3232">
        <v>-1.1909319999999999E-2</v>
      </c>
      <c r="AA3232">
        <v>0.98612429999999995</v>
      </c>
      <c r="AB3232">
        <v>30</v>
      </c>
      <c r="AC3232">
        <v>0.43659999999999799</v>
      </c>
      <c r="AD3232">
        <v>-8.7303999999999798E-2</v>
      </c>
      <c r="AE3232">
        <v>-0.12529999999998101</v>
      </c>
      <c r="AF3232">
        <v>0.12764477368840599</v>
      </c>
      <c r="AG3232">
        <v>-8.7303999999999798E-2</v>
      </c>
      <c r="AH3232">
        <v>0.41903155571874001</v>
      </c>
      <c r="AI3232">
        <v>101.271647888027</v>
      </c>
      <c r="AJ3232">
        <v>73.058293047702094</v>
      </c>
      <c r="AK3232">
        <v>0.446657163106148</v>
      </c>
      <c r="AL3232">
        <v>69.043570932647995</v>
      </c>
      <c r="AM3232">
        <v>88.601965460467099</v>
      </c>
      <c r="AN3232">
        <v>1.00000000296777</v>
      </c>
    </row>
    <row r="3233" spans="1:40" x14ac:dyDescent="0.25">
      <c r="A3233" t="str">
        <f>"20190304164707020"</f>
        <v>20190304164707020</v>
      </c>
      <c r="B3233" t="str">
        <f>"1551689227012161"</f>
        <v>1551689227012161</v>
      </c>
      <c r="C3233" t="s">
        <v>40</v>
      </c>
      <c r="D3233">
        <v>4.5439829999999999</v>
      </c>
      <c r="E3233">
        <v>0.5690364</v>
      </c>
      <c r="F3233" t="s">
        <v>41</v>
      </c>
      <c r="G3233">
        <v>-218.3433</v>
      </c>
      <c r="H3233">
        <v>1.0028030000000001</v>
      </c>
      <c r="I3233">
        <v>214.94919999999999</v>
      </c>
      <c r="J3233">
        <v>-218.97499999999999</v>
      </c>
      <c r="K3233">
        <v>1.110881</v>
      </c>
      <c r="L3233">
        <v>215.10149999999999</v>
      </c>
      <c r="M3233">
        <v>0.99977260000000001</v>
      </c>
      <c r="N3233">
        <v>-1.423497E-2</v>
      </c>
      <c r="O3233">
        <v>1.5881869999999999E-2</v>
      </c>
      <c r="P3233">
        <v>0.93856030000000001</v>
      </c>
      <c r="Q3233">
        <v>0.34499099999999999</v>
      </c>
      <c r="R3233">
        <v>-9.2536960000000005E-3</v>
      </c>
      <c r="S3233">
        <v>3.329285</v>
      </c>
      <c r="T3233">
        <v>-0.3757586</v>
      </c>
      <c r="U3233">
        <v>-0.51062010000000002</v>
      </c>
      <c r="V3233">
        <v>2.433432E-2</v>
      </c>
      <c r="W3233">
        <v>0.35830079999999997</v>
      </c>
      <c r="X3233">
        <v>0.93328900000000004</v>
      </c>
      <c r="Y3233">
        <v>0.166041299999999</v>
      </c>
      <c r="Z3233">
        <v>-1.203244E-2</v>
      </c>
      <c r="AA3233">
        <v>0.98604539999999996</v>
      </c>
      <c r="AB3233">
        <v>30</v>
      </c>
      <c r="AC3233">
        <v>0.63169999999999504</v>
      </c>
      <c r="AD3233">
        <v>-0.10807799999999899</v>
      </c>
      <c r="AE3233">
        <v>-0.15229999999999599</v>
      </c>
      <c r="AF3233">
        <v>0.15794498974957899</v>
      </c>
      <c r="AG3233">
        <v>-0.10807799999999899</v>
      </c>
      <c r="AH3233">
        <v>0.61226359442642497</v>
      </c>
      <c r="AI3233">
        <v>99.699614797805097</v>
      </c>
      <c r="AJ3233">
        <v>75.534840266448398</v>
      </c>
      <c r="AK3233">
        <v>0.64147812350146505</v>
      </c>
      <c r="AL3233">
        <v>69.004120830231003</v>
      </c>
      <c r="AM3233">
        <v>88.506424048660193</v>
      </c>
      <c r="AN3233">
        <v>0.99999998996575101</v>
      </c>
    </row>
    <row r="3234" spans="1:40" x14ac:dyDescent="0.25">
      <c r="A3234" t="str">
        <f>"20190304164707040"</f>
        <v>20190304164707040</v>
      </c>
      <c r="B3234" t="str">
        <f>"1551689227031682"</f>
        <v>1551689227031682</v>
      </c>
      <c r="C3234" t="s">
        <v>40</v>
      </c>
      <c r="D3234">
        <v>4.5194510000000001</v>
      </c>
      <c r="E3234">
        <v>0.56913269999999905</v>
      </c>
      <c r="F3234" t="s">
        <v>41</v>
      </c>
      <c r="G3234">
        <v>-218.0754</v>
      </c>
      <c r="H3234">
        <v>1.009512</v>
      </c>
      <c r="I3234">
        <v>214.96129999999999</v>
      </c>
      <c r="J3234">
        <v>-218.7081</v>
      </c>
      <c r="K3234">
        <v>1.1108100000000001</v>
      </c>
      <c r="L3234">
        <v>215.1054</v>
      </c>
      <c r="M3234">
        <v>0.99977819999999995</v>
      </c>
      <c r="N3234">
        <v>-1.4232420000000001E-2</v>
      </c>
      <c r="O3234">
        <v>1.553414E-2</v>
      </c>
      <c r="P3234">
        <v>0.93839240000000002</v>
      </c>
      <c r="Q3234">
        <v>0.345412099999999</v>
      </c>
      <c r="R3234">
        <v>-1.0523050000000001E-2</v>
      </c>
      <c r="S3234">
        <v>3.329224</v>
      </c>
      <c r="T3234">
        <v>-0.37526569999999998</v>
      </c>
      <c r="U3234">
        <v>-0.51779169999999997</v>
      </c>
      <c r="V3234">
        <v>2.53397E-2</v>
      </c>
      <c r="W3234">
        <v>0.35871219999999998</v>
      </c>
      <c r="X3234">
        <v>0.93310420000000005</v>
      </c>
      <c r="Y3234">
        <v>0.16776849999999999</v>
      </c>
      <c r="Z3234">
        <v>-1.2091380000000001E-2</v>
      </c>
      <c r="AA3234">
        <v>0.98575230000000003</v>
      </c>
      <c r="AB3234">
        <v>30</v>
      </c>
      <c r="AC3234">
        <v>0.63269999999999904</v>
      </c>
      <c r="AD3234">
        <v>-0.101297999999999</v>
      </c>
      <c r="AE3234">
        <v>-0.144100000000008</v>
      </c>
      <c r="AF3234">
        <v>0.15025055137604501</v>
      </c>
      <c r="AG3234">
        <v>-0.101297999999999</v>
      </c>
      <c r="AH3234">
        <v>0.61538835677743298</v>
      </c>
      <c r="AI3234">
        <v>99.085301217566496</v>
      </c>
      <c r="AJ3234">
        <v>76.2793458421461</v>
      </c>
      <c r="AK3234">
        <v>0.64151332227011104</v>
      </c>
      <c r="AL3234">
        <v>68.978871034692006</v>
      </c>
      <c r="AM3234">
        <v>88.444438335150707</v>
      </c>
      <c r="AN3234">
        <v>0.99999999544128504</v>
      </c>
    </row>
    <row r="3235" spans="1:40" x14ac:dyDescent="0.25">
      <c r="A3235" t="str">
        <f>"20190304164707060"</f>
        <v>20190304164707060</v>
      </c>
      <c r="B3235" t="str">
        <f>"1551689227052178"</f>
        <v>1551689227052178</v>
      </c>
      <c r="C3235" t="s">
        <v>40</v>
      </c>
      <c r="D3235">
        <v>4.5199989999999897</v>
      </c>
      <c r="E3235">
        <v>0.56922689999999998</v>
      </c>
      <c r="F3235" t="s">
        <v>41</v>
      </c>
      <c r="G3235">
        <v>-217.81059999999999</v>
      </c>
      <c r="H3235">
        <v>1.0096210000000001</v>
      </c>
      <c r="I3235">
        <v>214.9639</v>
      </c>
      <c r="J3235">
        <v>-218.44229999999999</v>
      </c>
      <c r="K3235">
        <v>1.110743</v>
      </c>
      <c r="L3235">
        <v>215.10910000000001</v>
      </c>
      <c r="M3235">
        <v>0.99978480000000003</v>
      </c>
      <c r="N3235">
        <v>-1.4230019999999999E-2</v>
      </c>
      <c r="O3235">
        <v>1.5095809999999999E-2</v>
      </c>
      <c r="P3235">
        <v>0.93824289999999999</v>
      </c>
      <c r="Q3235">
        <v>0.34575450000000002</v>
      </c>
      <c r="R3235">
        <v>-1.2427489999999999E-2</v>
      </c>
      <c r="S3235">
        <v>3.3293149999999998</v>
      </c>
      <c r="T3235">
        <v>-0.37554409999999999</v>
      </c>
      <c r="U3235">
        <v>-0.52383420000000003</v>
      </c>
      <c r="V3235">
        <v>2.6898080000000001E-2</v>
      </c>
      <c r="W3235">
        <v>0.35904370000000002</v>
      </c>
      <c r="X3235">
        <v>0.93293300000000001</v>
      </c>
      <c r="Y3235">
        <v>0.1690702</v>
      </c>
      <c r="Z3235">
        <v>-1.213703E-2</v>
      </c>
      <c r="AA3235">
        <v>0.98552930000000005</v>
      </c>
      <c r="AB3235">
        <v>30</v>
      </c>
      <c r="AC3235">
        <v>0.63169999999999504</v>
      </c>
      <c r="AD3235">
        <v>-0.101122</v>
      </c>
      <c r="AE3235">
        <v>-0.14520000000001601</v>
      </c>
      <c r="AF3235">
        <v>0.15104411789340799</v>
      </c>
      <c r="AG3235">
        <v>-0.101122</v>
      </c>
      <c r="AH3235">
        <v>0.61447980518603296</v>
      </c>
      <c r="AI3235">
        <v>99.079555166869</v>
      </c>
      <c r="AJ3235">
        <v>76.190028190697006</v>
      </c>
      <c r="AK3235">
        <v>0.64080060503690495</v>
      </c>
      <c r="AL3235">
        <v>68.958520559303395</v>
      </c>
      <c r="AM3235">
        <v>88.348520592536005</v>
      </c>
      <c r="AN3235">
        <v>0.99999993385318597</v>
      </c>
    </row>
    <row r="3236" spans="1:40" x14ac:dyDescent="0.25">
      <c r="A3236" t="str">
        <f>"20190304164707082"</f>
        <v>20190304164707082</v>
      </c>
      <c r="B3236" t="str">
        <f>"1551689227072207"</f>
        <v>1551689227072207</v>
      </c>
      <c r="C3236" t="s">
        <v>40</v>
      </c>
      <c r="D3236">
        <v>4.4901330000000002</v>
      </c>
      <c r="E3236">
        <v>0.56927629999999996</v>
      </c>
      <c r="F3236" t="s">
        <v>41</v>
      </c>
      <c r="G3236">
        <v>-217.5462</v>
      </c>
      <c r="H3236">
        <v>1.009401</v>
      </c>
      <c r="I3236">
        <v>214.96610000000001</v>
      </c>
      <c r="J3236">
        <v>-218.15010000000001</v>
      </c>
      <c r="K3236">
        <v>1.110652</v>
      </c>
      <c r="L3236">
        <v>215.1129</v>
      </c>
      <c r="M3236">
        <v>0.99979399999999996</v>
      </c>
      <c r="N3236">
        <v>-1.422755E-2</v>
      </c>
      <c r="O3236">
        <v>1.44852E-2</v>
      </c>
      <c r="P3236">
        <v>0.93785370000000001</v>
      </c>
      <c r="Q3236">
        <v>0.34668490000000002</v>
      </c>
      <c r="R3236">
        <v>-1.550109E-2</v>
      </c>
      <c r="S3236">
        <v>3.3291780000000002</v>
      </c>
      <c r="T3236">
        <v>-0.37651319999999999</v>
      </c>
      <c r="U3236">
        <v>-0.53106690000000001</v>
      </c>
      <c r="V3236">
        <v>2.9476169999999999E-2</v>
      </c>
      <c r="W3236">
        <v>0.35995680000000002</v>
      </c>
      <c r="X3236">
        <v>0.93250319999999998</v>
      </c>
      <c r="Y3236">
        <v>0.170549799999999</v>
      </c>
      <c r="Z3236">
        <v>-1.2197940000000001E-2</v>
      </c>
      <c r="AA3236">
        <v>0.98527350000000002</v>
      </c>
      <c r="AB3236">
        <v>30</v>
      </c>
      <c r="AC3236">
        <v>0.60390000000000998</v>
      </c>
      <c r="AD3236">
        <v>-0.10125099999999899</v>
      </c>
      <c r="AE3236">
        <v>-0.146799999999984</v>
      </c>
      <c r="AF3236">
        <v>0.151511654393467</v>
      </c>
      <c r="AG3236">
        <v>-0.10125099999999899</v>
      </c>
      <c r="AH3236">
        <v>0.58615227436338802</v>
      </c>
      <c r="AI3236">
        <v>99.494371967253699</v>
      </c>
      <c r="AJ3236">
        <v>75.507112851445896</v>
      </c>
      <c r="AK3236">
        <v>0.61382573680110297</v>
      </c>
      <c r="AL3236">
        <v>68.902456574516407</v>
      </c>
      <c r="AM3236">
        <v>88.189498990039198</v>
      </c>
      <c r="AN3236">
        <v>0.99999998023717396</v>
      </c>
    </row>
    <row r="3237" spans="1:40" x14ac:dyDescent="0.25">
      <c r="A3237" t="str">
        <f>"20190304164707104"</f>
        <v>20190304164707104</v>
      </c>
      <c r="B3237" t="str">
        <f>"1551689227091727"</f>
        <v>1551689227091727</v>
      </c>
      <c r="C3237" t="s">
        <v>40</v>
      </c>
      <c r="D3237">
        <v>4.6160439999999996</v>
      </c>
      <c r="E3237">
        <v>0.57525380000000004</v>
      </c>
      <c r="F3237" t="s">
        <v>41</v>
      </c>
      <c r="G3237">
        <v>-217.28049999999999</v>
      </c>
      <c r="H3237">
        <v>1.012769</v>
      </c>
      <c r="I3237">
        <v>214.97139999999999</v>
      </c>
      <c r="J3237">
        <v>-217.87530000000001</v>
      </c>
      <c r="K3237">
        <v>1.1105510000000001</v>
      </c>
      <c r="L3237">
        <v>215.11609999999999</v>
      </c>
      <c r="M3237">
        <v>0.99980380000000002</v>
      </c>
      <c r="N3237">
        <v>-1.422551E-2</v>
      </c>
      <c r="O3237">
        <v>1.3782249999999999E-2</v>
      </c>
      <c r="P3237">
        <v>0.93770710000000002</v>
      </c>
      <c r="Q3237">
        <v>0.34691260000000002</v>
      </c>
      <c r="R3237">
        <v>-1.889998E-2</v>
      </c>
      <c r="S3237">
        <v>3.328354</v>
      </c>
      <c r="T3237">
        <v>-0.374693</v>
      </c>
      <c r="U3237">
        <v>-0.54107669999999997</v>
      </c>
      <c r="V3237">
        <v>3.2301169999999997E-2</v>
      </c>
      <c r="W3237">
        <v>0.36016949999999998</v>
      </c>
      <c r="X3237">
        <v>0.93232749999999998</v>
      </c>
      <c r="Y3237">
        <v>0.172782399999999</v>
      </c>
      <c r="Z3237">
        <v>-1.221647E-2</v>
      </c>
      <c r="AA3237">
        <v>0.98488430000000005</v>
      </c>
      <c r="AB3237">
        <v>30</v>
      </c>
      <c r="AC3237">
        <v>0.59480000000001998</v>
      </c>
      <c r="AD3237">
        <v>-9.7781999999999994E-2</v>
      </c>
      <c r="AE3237">
        <v>-0.1447</v>
      </c>
      <c r="AF3237">
        <v>0.14908088428261501</v>
      </c>
      <c r="AG3237">
        <v>-9.7781999999999994E-2</v>
      </c>
      <c r="AH3237">
        <v>0.57800098546860301</v>
      </c>
      <c r="AI3237">
        <v>99.303089028671195</v>
      </c>
      <c r="AJ3237">
        <v>75.537202569408294</v>
      </c>
      <c r="AK3237">
        <v>0.604873184051966</v>
      </c>
      <c r="AL3237">
        <v>68.889394055814606</v>
      </c>
      <c r="AM3237">
        <v>88.015739364913401</v>
      </c>
      <c r="AN3237">
        <v>1.0000000007849299</v>
      </c>
    </row>
    <row r="3238" spans="1:40" x14ac:dyDescent="0.25">
      <c r="A3238" t="str">
        <f>"20190304164707128"</f>
        <v>20190304164707128</v>
      </c>
      <c r="B3238" t="str">
        <f>"1551689227121983"</f>
        <v>1551689227121983</v>
      </c>
      <c r="C3238" t="s">
        <v>40</v>
      </c>
      <c r="D3238">
        <v>4.2445879999999896</v>
      </c>
      <c r="E3238">
        <v>0.60386649999999997</v>
      </c>
      <c r="F3238" t="s">
        <v>41</v>
      </c>
      <c r="G3238">
        <v>-217.0386</v>
      </c>
      <c r="H3238">
        <v>0.96686550000000004</v>
      </c>
      <c r="I3238">
        <v>214.9709</v>
      </c>
      <c r="J3238">
        <v>-217.54920000000001</v>
      </c>
      <c r="K3238">
        <v>1.1104069999999999</v>
      </c>
      <c r="L3238">
        <v>215.11959999999999</v>
      </c>
      <c r="M3238">
        <v>0.99981739999999997</v>
      </c>
      <c r="N3238">
        <v>-1.4223589999999999E-2</v>
      </c>
      <c r="O3238">
        <v>1.277297E-2</v>
      </c>
      <c r="P3238">
        <v>0.93763529999999995</v>
      </c>
      <c r="Q3238">
        <v>0.34688999999999998</v>
      </c>
      <c r="R3238">
        <v>-2.2530970000000001E-2</v>
      </c>
      <c r="S3238">
        <v>3.4036249999999999</v>
      </c>
      <c r="T3238">
        <v>-0.58450590000000002</v>
      </c>
      <c r="U3238">
        <v>-0.59010309999999999</v>
      </c>
      <c r="V3238">
        <v>3.5102469999999997E-2</v>
      </c>
      <c r="W3238">
        <v>0.36012850000000002</v>
      </c>
      <c r="X3238">
        <v>0.93224209999999996</v>
      </c>
      <c r="Y3238">
        <v>0.18045910000000001</v>
      </c>
      <c r="Z3238">
        <v>-1.8557110000000002E-2</v>
      </c>
      <c r="AA3238">
        <v>0.98340740000000004</v>
      </c>
      <c r="AB3238">
        <v>30</v>
      </c>
      <c r="AC3238">
        <v>0.51060000000001005</v>
      </c>
      <c r="AD3238">
        <v>-0.14354149999999899</v>
      </c>
      <c r="AE3238">
        <v>-0.14869999999999001</v>
      </c>
      <c r="AF3238">
        <v>0.14467090855825501</v>
      </c>
      <c r="AG3238">
        <v>-0.14354149999999899</v>
      </c>
      <c r="AH3238">
        <v>0.47411854811482701</v>
      </c>
      <c r="AI3238">
        <v>106.149619636365</v>
      </c>
      <c r="AJ3238">
        <v>73.031135348750198</v>
      </c>
      <c r="AK3238">
        <v>0.51606417398598103</v>
      </c>
      <c r="AL3238">
        <v>68.891912728650595</v>
      </c>
      <c r="AM3238">
        <v>87.843614144214101</v>
      </c>
      <c r="AN3238">
        <v>1.0000000264623801</v>
      </c>
    </row>
    <row r="3239" spans="1:40" x14ac:dyDescent="0.25">
      <c r="A3239" t="str">
        <f>"20190304164707149"</f>
        <v>20190304164707149</v>
      </c>
      <c r="B3239" t="str">
        <f>"1551689227142480"</f>
        <v>1551689227142480</v>
      </c>
      <c r="C3239" t="s">
        <v>40</v>
      </c>
      <c r="D3239">
        <v>4.2275700000000001</v>
      </c>
      <c r="E3239">
        <v>0.60748709999999995</v>
      </c>
      <c r="F3239" t="s">
        <v>45</v>
      </c>
      <c r="G3239">
        <v>-203.62090000000001</v>
      </c>
      <c r="H3239" s="1">
        <v>4.0925430000000003E-6</v>
      </c>
      <c r="I3239">
        <v>211.52950000000001</v>
      </c>
      <c r="J3239">
        <v>-217.27119999999999</v>
      </c>
      <c r="K3239">
        <v>1.1102749999999999</v>
      </c>
      <c r="L3239">
        <v>215.12209999999999</v>
      </c>
      <c r="M3239">
        <v>0.99982990000000005</v>
      </c>
      <c r="N3239">
        <v>-1.422242E-2</v>
      </c>
      <c r="O3239">
        <v>1.1739110000000001E-2</v>
      </c>
      <c r="P3239">
        <v>0.93785600000000002</v>
      </c>
      <c r="Q3239">
        <v>0.3460317</v>
      </c>
      <c r="R3239">
        <v>-2.623145E-2</v>
      </c>
      <c r="S3239">
        <v>3.2758790000000002</v>
      </c>
      <c r="T3239">
        <v>-0.26116060000000002</v>
      </c>
      <c r="U3239">
        <v>-0.84436039999999901</v>
      </c>
      <c r="V3239">
        <v>3.7947920000000003E-2</v>
      </c>
      <c r="W3239">
        <v>0.35925600000000002</v>
      </c>
      <c r="X3239">
        <v>0.93246719999999905</v>
      </c>
      <c r="Y3239">
        <v>0.26000119999999999</v>
      </c>
      <c r="Z3239">
        <v>-1.281967E-2</v>
      </c>
      <c r="AA3239">
        <v>0.96552320000000003</v>
      </c>
      <c r="AB3239">
        <v>29</v>
      </c>
      <c r="AC3239">
        <v>13.6502999999999</v>
      </c>
      <c r="AD3239">
        <v>-1.1102709074570001</v>
      </c>
      <c r="AE3239">
        <v>-3.5925999999999698</v>
      </c>
      <c r="AF3239">
        <v>3.72953598824486</v>
      </c>
      <c r="AG3239">
        <v>-1.1102709074570001</v>
      </c>
      <c r="AH3239">
        <v>13.523509766841601</v>
      </c>
      <c r="AI3239">
        <v>94.525228285992199</v>
      </c>
      <c r="AJ3239">
        <v>74.582119996406405</v>
      </c>
      <c r="AK3239">
        <v>14.072222873072301</v>
      </c>
      <c r="AL3239">
        <v>68.945488497211301</v>
      </c>
      <c r="AM3239">
        <v>87.669562505227105</v>
      </c>
      <c r="AN3239">
        <v>0.999999998622083</v>
      </c>
    </row>
    <row r="3240" spans="1:40" x14ac:dyDescent="0.25">
      <c r="A3240" t="str">
        <f>"20190304164707172"</f>
        <v>20190304164707172</v>
      </c>
      <c r="B3240" t="str">
        <f>"1551689227162000"</f>
        <v>1551689227162000</v>
      </c>
      <c r="C3240" t="s">
        <v>40</v>
      </c>
      <c r="D3240">
        <v>4.550694</v>
      </c>
      <c r="E3240">
        <v>0.59861309999999901</v>
      </c>
      <c r="F3240" t="s">
        <v>45</v>
      </c>
      <c r="G3240">
        <v>-201.74359999999999</v>
      </c>
      <c r="H3240" s="1">
        <v>3.3152750000000002E-6</v>
      </c>
      <c r="I3240">
        <v>210.89769999999999</v>
      </c>
      <c r="J3240">
        <v>-216.96289999999999</v>
      </c>
      <c r="K3240">
        <v>1.1101049999999999</v>
      </c>
      <c r="L3240">
        <v>215.12430000000001</v>
      </c>
      <c r="M3240">
        <v>0.99984510000000004</v>
      </c>
      <c r="N3240">
        <v>-1.4221869999999999E-2</v>
      </c>
      <c r="O3240">
        <v>1.03812E-2</v>
      </c>
      <c r="P3240">
        <v>0.9380501</v>
      </c>
      <c r="Q3240">
        <v>0.34516940000000002</v>
      </c>
      <c r="R3240">
        <v>-3.0337090000000001E-2</v>
      </c>
      <c r="S3240">
        <v>3.259995</v>
      </c>
      <c r="T3240">
        <v>-0.23309840000000001</v>
      </c>
      <c r="U3240">
        <v>-0.88690190000000002</v>
      </c>
      <c r="V3240">
        <v>4.0921730000000003E-2</v>
      </c>
      <c r="W3240">
        <v>0.35837429999999998</v>
      </c>
      <c r="X3240">
        <v>0.93268070000000003</v>
      </c>
      <c r="Y3240">
        <v>0.27172000000000002</v>
      </c>
      <c r="Z3240">
        <v>-1.2082570000000001E-2</v>
      </c>
      <c r="AA3240">
        <v>0.9623005</v>
      </c>
      <c r="AB3240">
        <v>29</v>
      </c>
      <c r="AC3240">
        <v>15.2193</v>
      </c>
      <c r="AD3240">
        <v>-1.11010168472499</v>
      </c>
      <c r="AE3240">
        <v>-4.2266000000000101</v>
      </c>
      <c r="AF3240">
        <v>4.3628331755927601</v>
      </c>
      <c r="AG3240">
        <v>-1.11010168472499</v>
      </c>
      <c r="AH3240">
        <v>15.100013787748299</v>
      </c>
      <c r="AI3240">
        <v>94.039959651217103</v>
      </c>
      <c r="AJ3240">
        <v>73.884456093998594</v>
      </c>
      <c r="AK3240">
        <v>15.756809812226299</v>
      </c>
      <c r="AL3240">
        <v>68.999610424217906</v>
      </c>
      <c r="AM3240">
        <v>87.4877365459934</v>
      </c>
      <c r="AN3240">
        <v>1.0000000075195801</v>
      </c>
    </row>
    <row r="3241" spans="1:40" x14ac:dyDescent="0.25">
      <c r="A3241" t="str">
        <f>"20190304164707197"</f>
        <v>20190304164707197</v>
      </c>
      <c r="B3241" t="str">
        <f>"1551689227192257"</f>
        <v>1551689227192257</v>
      </c>
      <c r="C3241" t="s">
        <v>40</v>
      </c>
      <c r="D3241">
        <v>4.5775649999999999</v>
      </c>
      <c r="E3241">
        <v>0.59275509999999998</v>
      </c>
      <c r="F3241" t="s">
        <v>45</v>
      </c>
      <c r="G3241">
        <v>-206.42500000000001</v>
      </c>
      <c r="H3241" s="1">
        <v>5.252344E-6</v>
      </c>
      <c r="I3241">
        <v>212.4873</v>
      </c>
      <c r="J3241">
        <v>-216.6489</v>
      </c>
      <c r="K3241">
        <v>1.109915</v>
      </c>
      <c r="L3241">
        <v>215.1258</v>
      </c>
      <c r="M3241">
        <v>0.999861</v>
      </c>
      <c r="N3241">
        <v>-1.4222500000000001E-2</v>
      </c>
      <c r="O3241">
        <v>8.7139490000000003E-3</v>
      </c>
      <c r="P3241">
        <v>0.93805000000000005</v>
      </c>
      <c r="Q3241">
        <v>0.34478999999999999</v>
      </c>
      <c r="R3241">
        <v>-3.4379199999999999E-2</v>
      </c>
      <c r="S3241">
        <v>3.2993160000000001</v>
      </c>
      <c r="T3241">
        <v>-0.34756150000000002</v>
      </c>
      <c r="U3241">
        <v>-0.82563779999999998</v>
      </c>
      <c r="V3241">
        <v>4.3562259999999998E-2</v>
      </c>
      <c r="W3241">
        <v>0.35797050000000002</v>
      </c>
      <c r="X3241">
        <v>0.9327162</v>
      </c>
      <c r="Y3241">
        <v>0.2496842</v>
      </c>
      <c r="Z3241">
        <v>-1.550548E-2</v>
      </c>
      <c r="AA3241">
        <v>0.96820320000000004</v>
      </c>
      <c r="AB3241">
        <v>29</v>
      </c>
      <c r="AC3241">
        <v>10.223899999999899</v>
      </c>
      <c r="AD3241">
        <v>-1.109909747656</v>
      </c>
      <c r="AE3241">
        <v>-2.6384999999999899</v>
      </c>
      <c r="AF3241">
        <v>2.6976913777922702</v>
      </c>
      <c r="AG3241">
        <v>-1.109909747656</v>
      </c>
      <c r="AH3241">
        <v>10.0890394674615</v>
      </c>
      <c r="AI3241">
        <v>96.066496193549298</v>
      </c>
      <c r="AJ3241">
        <v>75.029986806456904</v>
      </c>
      <c r="AK3241">
        <v>10.5022928826877</v>
      </c>
      <c r="AL3241">
        <v>69.0243909653678</v>
      </c>
      <c r="AM3241">
        <v>87.325959176396694</v>
      </c>
      <c r="AN3241">
        <v>1.00000002955449</v>
      </c>
    </row>
    <row r="3242" spans="1:40" x14ac:dyDescent="0.25">
      <c r="A3242" t="str">
        <f>"20190304164707223"</f>
        <v>20190304164707223</v>
      </c>
      <c r="B3242" t="str">
        <f>"1551689227211775"</f>
        <v>1551689227211775</v>
      </c>
      <c r="C3242" t="s">
        <v>40</v>
      </c>
      <c r="D3242">
        <v>4.5140929999999999</v>
      </c>
      <c r="E3242">
        <v>0.59010050000000003</v>
      </c>
      <c r="F3242" t="s">
        <v>45</v>
      </c>
      <c r="G3242">
        <v>-207.9598</v>
      </c>
      <c r="H3242" s="1">
        <v>5.8827800000000001E-6</v>
      </c>
      <c r="I3242">
        <v>213.06100000000001</v>
      </c>
      <c r="J3242">
        <v>-216.30090000000001</v>
      </c>
      <c r="K3242">
        <v>1.109693</v>
      </c>
      <c r="L3242">
        <v>215.12649999999999</v>
      </c>
      <c r="M3242">
        <v>0.99987749999999997</v>
      </c>
      <c r="N3242">
        <v>-1.422496E-2</v>
      </c>
      <c r="O3242">
        <v>6.5341499999999999E-3</v>
      </c>
      <c r="P3242">
        <v>0.93839030000000001</v>
      </c>
      <c r="Q3242">
        <v>0.34354950000000001</v>
      </c>
      <c r="R3242">
        <v>-3.7380299999999998E-2</v>
      </c>
      <c r="S3242">
        <v>3.3252559999999902</v>
      </c>
      <c r="T3242">
        <v>-0.4247513</v>
      </c>
      <c r="U3242">
        <v>-0.7901764</v>
      </c>
      <c r="V3242">
        <v>4.4707700000000003E-2</v>
      </c>
      <c r="W3242">
        <v>0.35671150000000001</v>
      </c>
      <c r="X3242">
        <v>0.93314419999999998</v>
      </c>
      <c r="Y3242">
        <v>0.23547979999999999</v>
      </c>
      <c r="Z3242">
        <v>-1.7209260000000001E-2</v>
      </c>
      <c r="AA3242">
        <v>0.97172689999999995</v>
      </c>
      <c r="AB3242">
        <v>29</v>
      </c>
      <c r="AC3242">
        <v>8.3411000000000097</v>
      </c>
      <c r="AD3242">
        <v>-1.10968711722</v>
      </c>
      <c r="AE3242">
        <v>-2.0655000000000099</v>
      </c>
      <c r="AF3242">
        <v>2.0851894995939499</v>
      </c>
      <c r="AG3242">
        <v>-1.10968711722</v>
      </c>
      <c r="AH3242">
        <v>8.1908289193421204</v>
      </c>
      <c r="AI3242">
        <v>97.479671574474693</v>
      </c>
      <c r="AJ3242">
        <v>75.717253836762097</v>
      </c>
      <c r="AK3242">
        <v>8.5246172426257392</v>
      </c>
      <c r="AL3242">
        <v>69.101624902495502</v>
      </c>
      <c r="AM3242">
        <v>87.257009966582103</v>
      </c>
      <c r="AN3242">
        <v>0.99999998533258905</v>
      </c>
    </row>
    <row r="3243" spans="1:40" x14ac:dyDescent="0.25">
      <c r="A3243" t="str">
        <f>"20190304164707241"</f>
        <v>20190304164707241</v>
      </c>
      <c r="B3243" t="str">
        <f>"1551689227232271"</f>
        <v>1551689227232271</v>
      </c>
      <c r="C3243" t="s">
        <v>40</v>
      </c>
      <c r="D3243">
        <v>4.5142150000000001</v>
      </c>
      <c r="E3243">
        <v>0.58808019999999905</v>
      </c>
      <c r="F3243" t="s">
        <v>41</v>
      </c>
      <c r="G3243">
        <v>-215.44489999999999</v>
      </c>
      <c r="H3243">
        <v>0.99069479999999999</v>
      </c>
      <c r="I3243">
        <v>214.9264</v>
      </c>
      <c r="J3243">
        <v>-216.06659999999999</v>
      </c>
      <c r="K3243">
        <v>1.1095489999999999</v>
      </c>
      <c r="L3243">
        <v>215.12639999999999</v>
      </c>
      <c r="M3243">
        <v>0.99988679999999996</v>
      </c>
      <c r="N3243">
        <v>-1.4226900000000001E-2</v>
      </c>
      <c r="O3243">
        <v>4.9053839999999996E-3</v>
      </c>
      <c r="P3243">
        <v>0.9387162</v>
      </c>
      <c r="Q3243">
        <v>0.3423736</v>
      </c>
      <c r="R3243">
        <v>-3.9906469999999999E-2</v>
      </c>
      <c r="S3243">
        <v>3.3356780000000001</v>
      </c>
      <c r="T3243">
        <v>-0.46366429999999997</v>
      </c>
      <c r="U3243">
        <v>-0.77931209999999995</v>
      </c>
      <c r="V3243">
        <v>4.5823280000000001E-2</v>
      </c>
      <c r="W3243">
        <v>0.35552450000000002</v>
      </c>
      <c r="X3243">
        <v>0.93354300000000001</v>
      </c>
      <c r="Y3243">
        <v>0.22991839999999999</v>
      </c>
      <c r="Z3243">
        <v>-1.7961479999999998E-2</v>
      </c>
      <c r="AA3243">
        <v>0.97304420000000003</v>
      </c>
      <c r="AB3243">
        <v>29</v>
      </c>
      <c r="AC3243">
        <v>0.62170000000000403</v>
      </c>
      <c r="AD3243">
        <v>-0.11885419999999899</v>
      </c>
      <c r="AE3243">
        <v>-0.19999999999998799</v>
      </c>
      <c r="AF3243">
        <v>0.19653810777299699</v>
      </c>
      <c r="AG3243">
        <v>-0.11885419999999899</v>
      </c>
      <c r="AH3243">
        <v>0.60081205259578196</v>
      </c>
      <c r="AI3243">
        <v>100.64834987963199</v>
      </c>
      <c r="AJ3243">
        <v>71.886003741615795</v>
      </c>
      <c r="AK3243">
        <v>0.64321743695968603</v>
      </c>
      <c r="AL3243">
        <v>69.174406546468205</v>
      </c>
      <c r="AM3243">
        <v>87.189872341387499</v>
      </c>
      <c r="AN3243">
        <v>0.99999998796960399</v>
      </c>
    </row>
    <row r="3244" spans="1:40" x14ac:dyDescent="0.25">
      <c r="A3244" t="str">
        <f>"20190304164707262"</f>
        <v>20190304164707262</v>
      </c>
      <c r="B3244" t="str">
        <f>"1551689227251791"</f>
        <v>1551689227251791</v>
      </c>
      <c r="C3244" t="s">
        <v>40</v>
      </c>
      <c r="D3244">
        <v>4.5092829999999999</v>
      </c>
      <c r="E3244">
        <v>0.58665230000000002</v>
      </c>
      <c r="F3244" t="s">
        <v>41</v>
      </c>
      <c r="G3244">
        <v>-215.19040000000001</v>
      </c>
      <c r="H3244">
        <v>0.9799736</v>
      </c>
      <c r="I3244">
        <v>214.92429999999999</v>
      </c>
      <c r="J3244">
        <v>-215.7867</v>
      </c>
      <c r="K3244">
        <v>1.10938799999999</v>
      </c>
      <c r="L3244">
        <v>215.12549999999999</v>
      </c>
      <c r="M3244">
        <v>0.99989499999999998</v>
      </c>
      <c r="N3244">
        <v>-1.422908E-2</v>
      </c>
      <c r="O3244">
        <v>2.7605080000000001E-3</v>
      </c>
      <c r="P3244">
        <v>0.93919269999999999</v>
      </c>
      <c r="Q3244">
        <v>0.3407792</v>
      </c>
      <c r="R3244">
        <v>-4.2270120000000001E-2</v>
      </c>
      <c r="S3244">
        <v>3.3433989999999998</v>
      </c>
      <c r="T3244">
        <v>-0.49444739999999998</v>
      </c>
      <c r="U3244">
        <v>-0.77105709999999905</v>
      </c>
      <c r="V3244">
        <v>4.6307670000000002E-2</v>
      </c>
      <c r="W3244">
        <v>0.35392089999999998</v>
      </c>
      <c r="X3244">
        <v>0.93412830000000002</v>
      </c>
      <c r="Y3244">
        <v>0.22483020000000001</v>
      </c>
      <c r="Z3244">
        <v>-1.8315769999999999E-2</v>
      </c>
      <c r="AA3244">
        <v>0.97422580000000003</v>
      </c>
      <c r="AB3244">
        <v>29</v>
      </c>
      <c r="AC3244">
        <v>0.59629999999998495</v>
      </c>
      <c r="AD3244">
        <v>-0.12941439999999901</v>
      </c>
      <c r="AE3244">
        <v>-0.20119999999999999</v>
      </c>
      <c r="AF3244">
        <v>0.19461572465667601</v>
      </c>
      <c r="AG3244">
        <v>-0.12941439999999901</v>
      </c>
      <c r="AH3244">
        <v>0.57157204063582601</v>
      </c>
      <c r="AI3244">
        <v>102.09743305255699</v>
      </c>
      <c r="AJ3244">
        <v>71.196700518357801</v>
      </c>
      <c r="AK3244">
        <v>0.617509485633707</v>
      </c>
      <c r="AL3244">
        <v>69.272677590769305</v>
      </c>
      <c r="AM3244">
        <v>87.161991760726494</v>
      </c>
      <c r="AN3244">
        <v>1.0000000423092601</v>
      </c>
    </row>
    <row r="3245" spans="1:40" x14ac:dyDescent="0.25">
      <c r="A3245" t="str">
        <f>"20190304164707285"</f>
        <v>20190304164707285</v>
      </c>
      <c r="B3245" t="str">
        <f>"1551689227282048"</f>
        <v>1551689227282048</v>
      </c>
      <c r="C3245" t="s">
        <v>40</v>
      </c>
      <c r="D3245">
        <v>4.4626960000000002</v>
      </c>
      <c r="E3245">
        <v>0.58518760000000003</v>
      </c>
      <c r="F3245" t="s">
        <v>41</v>
      </c>
      <c r="G3245">
        <v>-214.93100000000001</v>
      </c>
      <c r="H3245">
        <v>0.97667879999999996</v>
      </c>
      <c r="I3245">
        <v>214.92939999999999</v>
      </c>
      <c r="J3245">
        <v>-215.48949999999999</v>
      </c>
      <c r="K3245">
        <v>1.109216</v>
      </c>
      <c r="L3245">
        <v>215.12370000000001</v>
      </c>
      <c r="M3245">
        <v>0.99989879999999998</v>
      </c>
      <c r="N3245">
        <v>-1.423202E-2</v>
      </c>
      <c r="O3245">
        <v>2.399991E-4</v>
      </c>
      <c r="P3245">
        <v>0.93917810000000002</v>
      </c>
      <c r="Q3245">
        <v>0.3403834</v>
      </c>
      <c r="R3245">
        <v>-4.5648279999999999E-2</v>
      </c>
      <c r="S3245">
        <v>3.3481139999999998</v>
      </c>
      <c r="T3245">
        <v>-0.51922579999999996</v>
      </c>
      <c r="U3245">
        <v>-0.76695249999999904</v>
      </c>
      <c r="V3245">
        <v>4.7466189999999998E-2</v>
      </c>
      <c r="W3245">
        <v>0.35350520000000002</v>
      </c>
      <c r="X3245">
        <v>0.93422749999999999</v>
      </c>
      <c r="Y3245">
        <v>0.22076789999999999</v>
      </c>
      <c r="Z3245">
        <v>-1.8436899999999999E-2</v>
      </c>
      <c r="AA3245">
        <v>0.97515209999999997</v>
      </c>
      <c r="AB3245">
        <v>29</v>
      </c>
      <c r="AC3245">
        <v>0.55850000000000899</v>
      </c>
      <c r="AD3245">
        <v>-0.13253719999999899</v>
      </c>
      <c r="AE3245">
        <v>-0.19430000000002601</v>
      </c>
      <c r="AF3245">
        <v>0.18513374835005</v>
      </c>
      <c r="AG3245">
        <v>-0.13253719999999899</v>
      </c>
      <c r="AH3245">
        <v>0.53174103417663698</v>
      </c>
      <c r="AI3245">
        <v>103.245853989979</v>
      </c>
      <c r="AJ3245">
        <v>70.803658636115699</v>
      </c>
      <c r="AK3245">
        <v>0.57843680863964697</v>
      </c>
      <c r="AL3245">
        <v>69.298140538845303</v>
      </c>
      <c r="AM3245">
        <v>87.091419600845896</v>
      </c>
      <c r="AN3245">
        <v>0.99999999368820303</v>
      </c>
    </row>
    <row r="3246" spans="1:40" x14ac:dyDescent="0.25">
      <c r="A3246" t="str">
        <f>"20190304164707304"</f>
        <v>20190304164707304</v>
      </c>
      <c r="B3246" t="str">
        <f>"1551689227291807"</f>
        <v>1551689227291807</v>
      </c>
      <c r="C3246" t="s">
        <v>40</v>
      </c>
      <c r="D3246">
        <v>4.4561970000000004</v>
      </c>
      <c r="E3246">
        <v>0.58476819999999996</v>
      </c>
      <c r="F3246" t="s">
        <v>41</v>
      </c>
      <c r="G3246">
        <v>-214.67009999999999</v>
      </c>
      <c r="H3246">
        <v>0.9767557</v>
      </c>
      <c r="I3246">
        <v>214.9367</v>
      </c>
      <c r="J3246">
        <v>-215.2407</v>
      </c>
      <c r="K3246">
        <v>1.1090690000000001</v>
      </c>
      <c r="L3246">
        <v>215.12139999999999</v>
      </c>
      <c r="M3246">
        <v>0.99989660000000002</v>
      </c>
      <c r="N3246">
        <v>-1.4235360000000001E-2</v>
      </c>
      <c r="O3246">
        <v>-2.053502E-3</v>
      </c>
      <c r="P3246">
        <v>0.93908570000000002</v>
      </c>
      <c r="Q3246">
        <v>0.34009660000000003</v>
      </c>
      <c r="R3246">
        <v>-4.9523419999999999E-2</v>
      </c>
      <c r="S3246">
        <v>3.3535309999999998</v>
      </c>
      <c r="T3246">
        <v>-0.54191590000000001</v>
      </c>
      <c r="U3246">
        <v>-0.7640228</v>
      </c>
      <c r="V3246">
        <v>4.9312040000000001E-2</v>
      </c>
      <c r="W3246">
        <v>0.35319600000000001</v>
      </c>
      <c r="X3246">
        <v>0.93424890000000005</v>
      </c>
      <c r="Y3246">
        <v>0.21722459999999999</v>
      </c>
      <c r="Z3246">
        <v>-1.8500929999999999E-2</v>
      </c>
      <c r="AA3246">
        <v>0.97594630000000004</v>
      </c>
      <c r="AB3246">
        <v>29</v>
      </c>
      <c r="AC3246">
        <v>0.57060000000001299</v>
      </c>
      <c r="AD3246">
        <v>-0.13231329999999999</v>
      </c>
      <c r="AE3246">
        <v>-0.18469999999999201</v>
      </c>
      <c r="AF3246">
        <v>0.17500989300818101</v>
      </c>
      <c r="AG3246">
        <v>-0.13231329999999999</v>
      </c>
      <c r="AH3246">
        <v>0.544477942834937</v>
      </c>
      <c r="AI3246">
        <v>103.026318538477</v>
      </c>
      <c r="AJ3246">
        <v>72.181194476381705</v>
      </c>
      <c r="AK3246">
        <v>0.58701916684329003</v>
      </c>
      <c r="AL3246">
        <v>69.317079239237799</v>
      </c>
      <c r="AM3246">
        <v>86.978586410892504</v>
      </c>
      <c r="AN3246">
        <v>1.0000000494280801</v>
      </c>
    </row>
    <row r="3247" spans="1:40" x14ac:dyDescent="0.25">
      <c r="A3247" t="str">
        <f>"20190304164707327"</f>
        <v>20190304164707327</v>
      </c>
      <c r="B3247" t="str">
        <f>"1551689227322064"</f>
        <v>1551689227322064</v>
      </c>
      <c r="C3247" t="s">
        <v>40</v>
      </c>
      <c r="D3247">
        <v>4.4418300000000004</v>
      </c>
      <c r="E3247">
        <v>0.5844454</v>
      </c>
      <c r="F3247" t="s">
        <v>41</v>
      </c>
      <c r="G3247">
        <v>-214.41079999999999</v>
      </c>
      <c r="H3247">
        <v>0.9728774</v>
      </c>
      <c r="I3247">
        <v>214.9307</v>
      </c>
      <c r="J3247">
        <v>-214.93350000000001</v>
      </c>
      <c r="K3247">
        <v>1.1088899999999999</v>
      </c>
      <c r="L3247">
        <v>215.11760000000001</v>
      </c>
      <c r="M3247">
        <v>0.99988569999999999</v>
      </c>
      <c r="N3247">
        <v>-1.424015E-2</v>
      </c>
      <c r="O3247">
        <v>-5.0949719999999997E-3</v>
      </c>
      <c r="P3247">
        <v>0.93902010000000002</v>
      </c>
      <c r="Q3247">
        <v>0.3396113</v>
      </c>
      <c r="R3247">
        <v>-5.39047E-2</v>
      </c>
      <c r="S3247">
        <v>3.3532869999999999</v>
      </c>
      <c r="T3247">
        <v>-0.55025630000000003</v>
      </c>
      <c r="U3247">
        <v>-0.77003480000000002</v>
      </c>
      <c r="V3247">
        <v>5.0988440000000003E-2</v>
      </c>
      <c r="W3247">
        <v>0.35268739999999998</v>
      </c>
      <c r="X3247">
        <v>0.93435100000000004</v>
      </c>
      <c r="Y3247">
        <v>0.2159015</v>
      </c>
      <c r="Z3247">
        <v>-1.8193709999999998E-2</v>
      </c>
      <c r="AA3247">
        <v>0.97624560000000005</v>
      </c>
      <c r="AB3247">
        <v>29</v>
      </c>
      <c r="AC3247">
        <v>0.52270000000001404</v>
      </c>
      <c r="AD3247">
        <v>-0.13601260000000001</v>
      </c>
      <c r="AE3247">
        <v>-0.186900000000008</v>
      </c>
      <c r="AF3247">
        <v>0.17380016586017699</v>
      </c>
      <c r="AG3247">
        <v>-0.13601260000000001</v>
      </c>
      <c r="AH3247">
        <v>0.49398919507989802</v>
      </c>
      <c r="AI3247">
        <v>104.559664008068</v>
      </c>
      <c r="AJ3247">
        <v>70.616603856052905</v>
      </c>
      <c r="AK3247">
        <v>0.54104643965880606</v>
      </c>
      <c r="AL3247">
        <v>69.348223282749899</v>
      </c>
      <c r="AM3247">
        <v>86.876411972557506</v>
      </c>
      <c r="AN3247">
        <v>1.0000000071666899</v>
      </c>
    </row>
    <row r="3248" spans="1:40" x14ac:dyDescent="0.25">
      <c r="A3248" t="str">
        <f>"20190304164707350"</f>
        <v>20190304164707350</v>
      </c>
      <c r="B3248" t="str">
        <f>"1551689227341583"</f>
        <v>1551689227341583</v>
      </c>
      <c r="C3248" t="s">
        <v>40</v>
      </c>
      <c r="D3248">
        <v>4.4564409999999999</v>
      </c>
      <c r="E3248">
        <v>0.58456249999999998</v>
      </c>
      <c r="F3248" t="s">
        <v>41</v>
      </c>
      <c r="G3248">
        <v>-214.14779999999999</v>
      </c>
      <c r="H3248">
        <v>0.978016</v>
      </c>
      <c r="I3248">
        <v>214.9341</v>
      </c>
      <c r="J3248">
        <v>-214.63720000000001</v>
      </c>
      <c r="K3248">
        <v>1.1087209999999901</v>
      </c>
      <c r="L3248">
        <v>215.11279999999999</v>
      </c>
      <c r="M3248">
        <v>0.99986470000000005</v>
      </c>
      <c r="N3248">
        <v>-1.4244929999999999E-2</v>
      </c>
      <c r="O3248">
        <v>-8.2325980000000007E-3</v>
      </c>
      <c r="P3248">
        <v>0.93877969999999999</v>
      </c>
      <c r="Q3248">
        <v>0.33954709999999899</v>
      </c>
      <c r="R3248">
        <v>-5.8315949999999998E-2</v>
      </c>
      <c r="S3248">
        <v>3.3518520000000001</v>
      </c>
      <c r="T3248">
        <v>-0.55824010000000002</v>
      </c>
      <c r="U3248">
        <v>-0.78155520000000001</v>
      </c>
      <c r="V3248">
        <v>5.259395E-2</v>
      </c>
      <c r="W3248">
        <v>0.35259819999999997</v>
      </c>
      <c r="X3248">
        <v>0.93429569999999995</v>
      </c>
      <c r="Y3248">
        <v>0.21606639999999999</v>
      </c>
      <c r="Z3248">
        <v>-1.7979269999999999E-2</v>
      </c>
      <c r="AA3248">
        <v>0.97621309999999994</v>
      </c>
      <c r="AB3248">
        <v>29</v>
      </c>
      <c r="AC3248">
        <v>0.48940000000001699</v>
      </c>
      <c r="AD3248">
        <v>-0.13070499999999899</v>
      </c>
      <c r="AE3248">
        <v>-0.178699999999992</v>
      </c>
      <c r="AF3248">
        <v>0.16432264916541001</v>
      </c>
      <c r="AG3248">
        <v>-0.13070499999999899</v>
      </c>
      <c r="AH3248">
        <v>0.46179131171821902</v>
      </c>
      <c r="AI3248">
        <v>104.93105342692699</v>
      </c>
      <c r="AJ3248">
        <v>70.412536073234904</v>
      </c>
      <c r="AK3248">
        <v>0.50728389057033096</v>
      </c>
      <c r="AL3248">
        <v>69.353685526438497</v>
      </c>
      <c r="AM3248">
        <v>86.778071036583995</v>
      </c>
      <c r="AN3248">
        <v>1.00000003462916</v>
      </c>
    </row>
    <row r="3249" spans="1:40" x14ac:dyDescent="0.25">
      <c r="A3249" t="str">
        <f>"20190304164707372"</f>
        <v>20190304164707372</v>
      </c>
      <c r="B3249" t="str">
        <f>"1551689227362079"</f>
        <v>1551689227362079</v>
      </c>
      <c r="C3249" t="s">
        <v>40</v>
      </c>
      <c r="D3249">
        <v>4.7183809999999999</v>
      </c>
      <c r="E3249">
        <v>0.58466549999999995</v>
      </c>
      <c r="F3249" t="s">
        <v>41</v>
      </c>
      <c r="G3249">
        <v>-213.88489999999999</v>
      </c>
      <c r="H3249">
        <v>0.98335919999999999</v>
      </c>
      <c r="I3249">
        <v>214.9333</v>
      </c>
      <c r="J3249">
        <v>-214.3433</v>
      </c>
      <c r="K3249">
        <v>1.108581</v>
      </c>
      <c r="L3249">
        <v>215.1069</v>
      </c>
      <c r="M3249">
        <v>0.9998321</v>
      </c>
      <c r="N3249">
        <v>-1.424942E-2</v>
      </c>
      <c r="O3249">
        <v>-1.152662E-2</v>
      </c>
      <c r="P3249">
        <v>0.93825049999999999</v>
      </c>
      <c r="Q3249">
        <v>0.33999449999999998</v>
      </c>
      <c r="R3249">
        <v>-6.3949500000000006E-2</v>
      </c>
      <c r="S3249">
        <v>3.3478089999999998</v>
      </c>
      <c r="T3249">
        <v>-0.55791880000000005</v>
      </c>
      <c r="U3249">
        <v>-0.79888919999999997</v>
      </c>
      <c r="V3249">
        <v>5.5267110000000001E-2</v>
      </c>
      <c r="W3249">
        <v>0.35301139999999998</v>
      </c>
      <c r="X3249">
        <v>0.93398530000000002</v>
      </c>
      <c r="Y3249">
        <v>0.21791089999999999</v>
      </c>
      <c r="Z3249">
        <v>-1.7653499999999999E-2</v>
      </c>
      <c r="AA3249">
        <v>0.97580900000000004</v>
      </c>
      <c r="AB3249">
        <v>29</v>
      </c>
      <c r="AC3249">
        <v>0.45840000000001102</v>
      </c>
      <c r="AD3249">
        <v>-0.12522179999999999</v>
      </c>
      <c r="AE3249">
        <v>-0.17359999999999301</v>
      </c>
      <c r="AF3249">
        <v>0.157993076448636</v>
      </c>
      <c r="AG3249">
        <v>-0.12522179999999999</v>
      </c>
      <c r="AH3249">
        <v>0.43216643093618801</v>
      </c>
      <c r="AI3249">
        <v>105.223686179542</v>
      </c>
      <c r="AJ3249">
        <v>69.918402962531303</v>
      </c>
      <c r="AK3249">
        <v>0.47687538773674198</v>
      </c>
      <c r="AL3249">
        <v>69.328383653606593</v>
      </c>
      <c r="AM3249">
        <v>86.613561281146403</v>
      </c>
      <c r="AN3249">
        <v>1.0000000212969</v>
      </c>
    </row>
    <row r="3250" spans="1:40" x14ac:dyDescent="0.25">
      <c r="A3250" t="str">
        <f>"20190304164707398"</f>
        <v>20190304164707398</v>
      </c>
      <c r="B3250" t="str">
        <f>"1551689227392335"</f>
        <v>1551689227392335</v>
      </c>
      <c r="C3250" t="s">
        <v>40</v>
      </c>
      <c r="D3250">
        <v>4.5289630000000001</v>
      </c>
      <c r="E3250">
        <v>0.58480410000000005</v>
      </c>
      <c r="F3250" t="s">
        <v>41</v>
      </c>
      <c r="G3250">
        <v>-213.6224</v>
      </c>
      <c r="H3250">
        <v>0.98852090000000004</v>
      </c>
      <c r="I3250">
        <v>214.93020000000001</v>
      </c>
      <c r="J3250">
        <v>-214.02969999999999</v>
      </c>
      <c r="K3250">
        <v>1.1084499999999999</v>
      </c>
      <c r="L3250">
        <v>215.0993</v>
      </c>
      <c r="M3250">
        <v>0.99978250000000002</v>
      </c>
      <c r="N3250">
        <v>-1.425388E-2</v>
      </c>
      <c r="O3250">
        <v>-1.522744E-2</v>
      </c>
      <c r="P3250">
        <v>0.93771680000000002</v>
      </c>
      <c r="Q3250">
        <v>0.34020030000000001</v>
      </c>
      <c r="R3250">
        <v>-7.0363380000000003E-2</v>
      </c>
      <c r="S3250">
        <v>3.343369</v>
      </c>
      <c r="T3250">
        <v>-0.55670710000000001</v>
      </c>
      <c r="U3250">
        <v>-0.81874080000000005</v>
      </c>
      <c r="V3250">
        <v>5.8326679999999999E-2</v>
      </c>
      <c r="W3250">
        <v>0.35318129999999998</v>
      </c>
      <c r="X3250">
        <v>0.93373499999999998</v>
      </c>
      <c r="Y3250">
        <v>0.2200859</v>
      </c>
      <c r="Z3250">
        <v>-1.7272530000000001E-2</v>
      </c>
      <c r="AA3250">
        <v>0.97532759999999996</v>
      </c>
      <c r="AB3250">
        <v>29</v>
      </c>
      <c r="AC3250">
        <v>0.407299999999992</v>
      </c>
      <c r="AD3250">
        <v>-0.119929099999999</v>
      </c>
      <c r="AE3250">
        <v>-0.16909999999998601</v>
      </c>
      <c r="AF3250">
        <v>0.151661772395116</v>
      </c>
      <c r="AG3250">
        <v>-0.119929099999999</v>
      </c>
      <c r="AH3250">
        <v>0.38160698578816299</v>
      </c>
      <c r="AI3250">
        <v>106.28066222166601</v>
      </c>
      <c r="AJ3250">
        <v>68.325680544770606</v>
      </c>
      <c r="AK3250">
        <v>0.42779454628964703</v>
      </c>
      <c r="AL3250">
        <v>69.317979330578794</v>
      </c>
      <c r="AM3250">
        <v>86.425606748033601</v>
      </c>
      <c r="AN3250">
        <v>1.0000000412472501</v>
      </c>
    </row>
    <row r="3251" spans="1:40" x14ac:dyDescent="0.25">
      <c r="A3251" t="str">
        <f>"20190304164707425"</f>
        <v>20190304164707425</v>
      </c>
      <c r="B3251" t="str">
        <f>"1551689227411856"</f>
        <v>1551689227411856</v>
      </c>
      <c r="C3251" t="s">
        <v>40</v>
      </c>
      <c r="D3251">
        <v>4.5476449999999904</v>
      </c>
      <c r="E3251">
        <v>0.58482919999999905</v>
      </c>
      <c r="F3251" t="s">
        <v>41</v>
      </c>
      <c r="G3251">
        <v>-213.1174</v>
      </c>
      <c r="H3251">
        <v>0.95611349999999995</v>
      </c>
      <c r="I3251">
        <v>214.86930000000001</v>
      </c>
      <c r="J3251">
        <v>-213.67240000000001</v>
      </c>
      <c r="K3251">
        <v>1.1083400000000001</v>
      </c>
      <c r="L3251">
        <v>215.089</v>
      </c>
      <c r="M3251">
        <v>0.99970579999999998</v>
      </c>
      <c r="N3251">
        <v>-1.425821E-2</v>
      </c>
      <c r="O3251">
        <v>-1.9620800000000001E-2</v>
      </c>
      <c r="P3251">
        <v>0.93722510000000003</v>
      </c>
      <c r="Q3251">
        <v>0.34000540000000001</v>
      </c>
      <c r="R3251">
        <v>-7.7495839999999996E-2</v>
      </c>
      <c r="S3251">
        <v>3.3383639999999999</v>
      </c>
      <c r="T3251">
        <v>-0.55742320000000001</v>
      </c>
      <c r="U3251">
        <v>-0.84117129999999996</v>
      </c>
      <c r="V3251">
        <v>6.144252E-2</v>
      </c>
      <c r="W3251">
        <v>0.35295199999999999</v>
      </c>
      <c r="X3251">
        <v>0.93362179999999995</v>
      </c>
      <c r="Y3251">
        <v>0.22231809999999999</v>
      </c>
      <c r="Z3251">
        <v>-1.6847239999999999E-2</v>
      </c>
      <c r="AA3251">
        <v>0.97482860000000005</v>
      </c>
      <c r="AB3251">
        <v>29</v>
      </c>
      <c r="AC3251">
        <v>0.55500000000000604</v>
      </c>
      <c r="AD3251">
        <v>-0.15222649999999899</v>
      </c>
      <c r="AE3251">
        <v>-0.21970000000001699</v>
      </c>
      <c r="AF3251">
        <v>0.19601823772094201</v>
      </c>
      <c r="AG3251">
        <v>-0.15222649999999899</v>
      </c>
      <c r="AH3251">
        <v>0.52505525406374298</v>
      </c>
      <c r="AI3251">
        <v>105.195727970577</v>
      </c>
      <c r="AJ3251">
        <v>69.527949425976701</v>
      </c>
      <c r="AK3251">
        <v>0.58075733025198695</v>
      </c>
      <c r="AL3251">
        <v>69.332020308740098</v>
      </c>
      <c r="AM3251">
        <v>86.234741012902802</v>
      </c>
      <c r="AN3251">
        <v>0.99999998150159497</v>
      </c>
    </row>
    <row r="3252" spans="1:40" x14ac:dyDescent="0.25">
      <c r="A3252" t="str">
        <f>"20190304164707444"</f>
        <v>20190304164707444</v>
      </c>
      <c r="B3252" t="str">
        <f>"1551689227432352"</f>
        <v>1551689227432352</v>
      </c>
      <c r="C3252" t="s">
        <v>40</v>
      </c>
      <c r="D3252">
        <v>4.5564289999999996</v>
      </c>
      <c r="E3252">
        <v>0.58482829999999997</v>
      </c>
      <c r="F3252" t="s">
        <v>41</v>
      </c>
      <c r="G3252">
        <v>-212.8518</v>
      </c>
      <c r="H3252">
        <v>0.97068109999999996</v>
      </c>
      <c r="I3252">
        <v>214.87530000000001</v>
      </c>
      <c r="J3252">
        <v>-213.42070000000001</v>
      </c>
      <c r="K3252">
        <v>1.1082730000000001</v>
      </c>
      <c r="L3252">
        <v>215.08070000000001</v>
      </c>
      <c r="M3252">
        <v>0.99963840000000004</v>
      </c>
      <c r="N3252">
        <v>-1.426059E-2</v>
      </c>
      <c r="O3252">
        <v>-2.2794990000000001E-2</v>
      </c>
      <c r="P3252">
        <v>0.93704790000000004</v>
      </c>
      <c r="Q3252">
        <v>0.3391458</v>
      </c>
      <c r="R3252">
        <v>-8.3195110000000003E-2</v>
      </c>
      <c r="S3252">
        <v>3.3319700000000001</v>
      </c>
      <c r="T3252">
        <v>-0.55887119999999901</v>
      </c>
      <c r="U3252">
        <v>-0.86737059999999999</v>
      </c>
      <c r="V3252">
        <v>6.4213450000000005E-2</v>
      </c>
      <c r="W3252">
        <v>0.35206799999999999</v>
      </c>
      <c r="X3252">
        <v>0.93376910000000002</v>
      </c>
      <c r="Y3252">
        <v>0.2268104</v>
      </c>
      <c r="Z3252">
        <v>-1.6826499999999901E-2</v>
      </c>
      <c r="AA3252">
        <v>0.97379360000000004</v>
      </c>
      <c r="AB3252">
        <v>29</v>
      </c>
      <c r="AC3252">
        <v>0.56890000000001295</v>
      </c>
      <c r="AD3252">
        <v>-0.13759189999999999</v>
      </c>
      <c r="AE3252">
        <v>-0.205399999999997</v>
      </c>
      <c r="AF3252">
        <v>0.18291179410382899</v>
      </c>
      <c r="AG3252">
        <v>-0.13759189999999999</v>
      </c>
      <c r="AH3252">
        <v>0.54522031041751395</v>
      </c>
      <c r="AI3252">
        <v>103.45537664702201</v>
      </c>
      <c r="AJ3252">
        <v>71.454305793847794</v>
      </c>
      <c r="AK3252">
        <v>0.59131501102175799</v>
      </c>
      <c r="AL3252">
        <v>69.386144232000703</v>
      </c>
      <c r="AM3252">
        <v>86.066076247113301</v>
      </c>
      <c r="AN3252">
        <v>0.99999998794985601</v>
      </c>
    </row>
    <row r="3253" spans="1:40" x14ac:dyDescent="0.25">
      <c r="A3253" t="str">
        <f>"20190304164707466"</f>
        <v>20190304164707466</v>
      </c>
      <c r="B3253" t="str">
        <f>"1551689227461631"</f>
        <v>1551689227461631</v>
      </c>
      <c r="C3253" t="s">
        <v>40</v>
      </c>
      <c r="D3253">
        <v>4.4470039999999997</v>
      </c>
      <c r="E3253">
        <v>0.5847369</v>
      </c>
      <c r="F3253" t="s">
        <v>41</v>
      </c>
      <c r="G3253">
        <v>-212.59399999999999</v>
      </c>
      <c r="H3253">
        <v>0.96842629999999996</v>
      </c>
      <c r="I3253">
        <v>214.85939999999999</v>
      </c>
      <c r="J3253">
        <v>-213.1371</v>
      </c>
      <c r="K3253">
        <v>1.108217</v>
      </c>
      <c r="L3253">
        <v>215.07040000000001</v>
      </c>
      <c r="M3253">
        <v>0.99954860000000001</v>
      </c>
      <c r="N3253">
        <v>-1.426269E-2</v>
      </c>
      <c r="O3253">
        <v>-2.644233E-2</v>
      </c>
      <c r="P3253">
        <v>0.93662849999999997</v>
      </c>
      <c r="Q3253">
        <v>0.33896399999999999</v>
      </c>
      <c r="R3253">
        <v>-8.849013E-2</v>
      </c>
      <c r="S3253">
        <v>3.3261569999999998</v>
      </c>
      <c r="T3253">
        <v>-0.56252679999999999</v>
      </c>
      <c r="U3253">
        <v>-0.88938899999999999</v>
      </c>
      <c r="V3253">
        <v>6.6142339999999994E-2</v>
      </c>
      <c r="W3253">
        <v>0.35186499999999998</v>
      </c>
      <c r="X3253">
        <v>0.93371099999999996</v>
      </c>
      <c r="Y3253">
        <v>0.22965849999999999</v>
      </c>
      <c r="Z3253">
        <v>-1.6642529999999999E-2</v>
      </c>
      <c r="AA3253">
        <v>0.97312900000000002</v>
      </c>
      <c r="AB3253">
        <v>29</v>
      </c>
      <c r="AC3253">
        <v>0.54309999999998104</v>
      </c>
      <c r="AD3253">
        <v>-0.13979069999999899</v>
      </c>
      <c r="AE3253">
        <v>-0.21100000000001201</v>
      </c>
      <c r="AF3253">
        <v>0.18586495447561499</v>
      </c>
      <c r="AG3253">
        <v>-0.13979069999999899</v>
      </c>
      <c r="AH3253">
        <v>0.51863568470612198</v>
      </c>
      <c r="AI3253">
        <v>104.237413839415</v>
      </c>
      <c r="AJ3253">
        <v>70.283698420706202</v>
      </c>
      <c r="AK3253">
        <v>0.56839264119031396</v>
      </c>
      <c r="AL3253">
        <v>69.398570856132096</v>
      </c>
      <c r="AM3253">
        <v>85.948042778834207</v>
      </c>
      <c r="AN3253">
        <v>1.0000000094433299</v>
      </c>
    </row>
    <row r="3254" spans="1:40" x14ac:dyDescent="0.25">
      <c r="A3254" t="str">
        <f>"20190304164707487"</f>
        <v>20190304164707487</v>
      </c>
      <c r="B3254" t="str">
        <f>"1551689227482127"</f>
        <v>1551689227482127</v>
      </c>
      <c r="C3254" t="s">
        <v>40</v>
      </c>
      <c r="D3254">
        <v>4.4044629999999998</v>
      </c>
      <c r="E3254">
        <v>0.57705830000000002</v>
      </c>
      <c r="F3254" t="s">
        <v>41</v>
      </c>
      <c r="G3254">
        <v>-212.334</v>
      </c>
      <c r="H3254">
        <v>0.97186530000000004</v>
      </c>
      <c r="I3254">
        <v>214.85069999999999</v>
      </c>
      <c r="J3254">
        <v>-212.86879999999999</v>
      </c>
      <c r="K3254">
        <v>1.108163</v>
      </c>
      <c r="L3254">
        <v>215.05959999999999</v>
      </c>
      <c r="M3254">
        <v>0.99944940000000004</v>
      </c>
      <c r="N3254">
        <v>-1.4264529999999999E-2</v>
      </c>
      <c r="O3254">
        <v>-2.995799E-2</v>
      </c>
      <c r="P3254">
        <v>0.93619620000000003</v>
      </c>
      <c r="Q3254">
        <v>0.33908310000000003</v>
      </c>
      <c r="R3254">
        <v>-9.2518199999999995E-2</v>
      </c>
      <c r="S3254">
        <v>3.3212130000000002</v>
      </c>
      <c r="T3254">
        <v>-0.56389199999999995</v>
      </c>
      <c r="U3254">
        <v>-0.90850830000000005</v>
      </c>
      <c r="V3254">
        <v>6.6925650000000003E-2</v>
      </c>
      <c r="W3254">
        <v>0.35197079999999997</v>
      </c>
      <c r="X3254">
        <v>0.93361530000000004</v>
      </c>
      <c r="Y3254">
        <v>0.23180990000000001</v>
      </c>
      <c r="Z3254">
        <v>-1.6351009999999999E-2</v>
      </c>
      <c r="AA3254">
        <v>0.97262360000000003</v>
      </c>
      <c r="AB3254">
        <v>29</v>
      </c>
      <c r="AC3254">
        <v>0.53479999999998995</v>
      </c>
      <c r="AD3254">
        <v>-0.13629769999999899</v>
      </c>
      <c r="AE3254">
        <v>-0.208899999999999</v>
      </c>
      <c r="AF3254">
        <v>0.18249855755078201</v>
      </c>
      <c r="AG3254">
        <v>-0.13629769999999899</v>
      </c>
      <c r="AH3254">
        <v>0.511967432114243</v>
      </c>
      <c r="AI3254">
        <v>104.07762359310701</v>
      </c>
      <c r="AJ3254">
        <v>70.3806195843664</v>
      </c>
      <c r="AK3254">
        <v>0.56035117388924804</v>
      </c>
      <c r="AL3254">
        <v>69.392094646813405</v>
      </c>
      <c r="AM3254">
        <v>85.899800153059203</v>
      </c>
      <c r="AN3254">
        <v>1.0000000075373201</v>
      </c>
    </row>
    <row r="3255" spans="1:40" x14ac:dyDescent="0.25">
      <c r="A3255" t="str">
        <f>"20190304164707509"</f>
        <v>20190304164707509</v>
      </c>
      <c r="B3255" t="str">
        <f>"1551689227501648"</f>
        <v>1551689227501648</v>
      </c>
      <c r="C3255" t="s">
        <v>40</v>
      </c>
      <c r="D3255">
        <v>4.4098790000000001</v>
      </c>
      <c r="E3255">
        <v>0.57580140000000002</v>
      </c>
      <c r="F3255" t="s">
        <v>41</v>
      </c>
      <c r="G3255">
        <v>-212.05950000000001</v>
      </c>
      <c r="H3255">
        <v>1.0026809999999999</v>
      </c>
      <c r="I3255">
        <v>214.84520000000001</v>
      </c>
      <c r="J3255">
        <v>-212.57919999999999</v>
      </c>
      <c r="K3255">
        <v>1.108101</v>
      </c>
      <c r="L3255">
        <v>215.04679999999999</v>
      </c>
      <c r="M3255">
        <v>0.99932580000000004</v>
      </c>
      <c r="N3255">
        <v>-1.426676E-2</v>
      </c>
      <c r="O3255">
        <v>-3.382897E-2</v>
      </c>
      <c r="P3255">
        <v>0.93592220000000004</v>
      </c>
      <c r="Q3255">
        <v>0.33901219999999999</v>
      </c>
      <c r="R3255">
        <v>-9.5502000000000004E-2</v>
      </c>
      <c r="S3255">
        <v>3.2733460000000001</v>
      </c>
      <c r="T3255">
        <v>-0.42656949999999999</v>
      </c>
      <c r="U3255">
        <v>-0.86613459999999998</v>
      </c>
      <c r="V3255">
        <v>6.6331950000000001E-2</v>
      </c>
      <c r="W3255">
        <v>0.35189749999999997</v>
      </c>
      <c r="X3255">
        <v>0.93368530000000005</v>
      </c>
      <c r="Y3255">
        <v>0.22120909999999999</v>
      </c>
      <c r="Z3255">
        <v>-1.1886910000000001E-2</v>
      </c>
      <c r="AA3255">
        <v>0.97515399999999997</v>
      </c>
      <c r="AB3255">
        <v>29</v>
      </c>
      <c r="AC3255">
        <v>0.51969999999997096</v>
      </c>
      <c r="AD3255">
        <v>-0.10542</v>
      </c>
      <c r="AE3255">
        <v>-0.20159999999998399</v>
      </c>
      <c r="AF3255">
        <v>0.17755169240025201</v>
      </c>
      <c r="AG3255">
        <v>-0.10542</v>
      </c>
      <c r="AH3255">
        <v>0.50805244612754297</v>
      </c>
      <c r="AI3255">
        <v>101.082829725024</v>
      </c>
      <c r="AJ3255">
        <v>70.736749335946101</v>
      </c>
      <c r="AK3255">
        <v>0.54841158621091601</v>
      </c>
      <c r="AL3255">
        <v>69.396581499683705</v>
      </c>
      <c r="AM3255">
        <v>85.936354429159806</v>
      </c>
      <c r="AN3255">
        <v>1.0000000087665699</v>
      </c>
    </row>
    <row r="3256" spans="1:40" x14ac:dyDescent="0.25">
      <c r="A3256" t="str">
        <f>"20190304164707528"</f>
        <v>20190304164707528</v>
      </c>
      <c r="B3256" t="str">
        <f>"1551689227522143"</f>
        <v>1551689227522143</v>
      </c>
      <c r="C3256" t="s">
        <v>40</v>
      </c>
      <c r="D3256">
        <v>4.3414349999999997</v>
      </c>
      <c r="E3256">
        <v>0.57588619999999902</v>
      </c>
      <c r="F3256" t="s">
        <v>41</v>
      </c>
      <c r="G3256">
        <v>-211.7988</v>
      </c>
      <c r="H3256">
        <v>1.008902</v>
      </c>
      <c r="I3256">
        <v>214.83879999999999</v>
      </c>
      <c r="J3256">
        <v>-212.3228</v>
      </c>
      <c r="K3256">
        <v>1.1080270000000001</v>
      </c>
      <c r="L3256">
        <v>215.03440000000001</v>
      </c>
      <c r="M3256">
        <v>0.99920089999999995</v>
      </c>
      <c r="N3256">
        <v>-1.4269189999999999E-2</v>
      </c>
      <c r="O3256">
        <v>-3.7337549999999997E-2</v>
      </c>
      <c r="P3256">
        <v>0.93580949999999996</v>
      </c>
      <c r="Q3256">
        <v>0.33884449999999999</v>
      </c>
      <c r="R3256">
        <v>-9.7186010000000003E-2</v>
      </c>
      <c r="S3256">
        <v>3.2669980000000001</v>
      </c>
      <c r="T3256">
        <v>-0.4152187</v>
      </c>
      <c r="U3256">
        <v>-0.87008669999999999</v>
      </c>
      <c r="V3256">
        <v>6.4775739999999998E-2</v>
      </c>
      <c r="W3256">
        <v>0.3517364</v>
      </c>
      <c r="X3256">
        <v>0.9338552</v>
      </c>
      <c r="Y3256">
        <v>0.219471</v>
      </c>
      <c r="Z3256">
        <v>-1.113779E-2</v>
      </c>
      <c r="AA3256">
        <v>0.97555550000000002</v>
      </c>
      <c r="AB3256">
        <v>29</v>
      </c>
      <c r="AC3256">
        <v>0.52400000000000002</v>
      </c>
      <c r="AD3256">
        <v>-9.9125000000000102E-2</v>
      </c>
      <c r="AE3256">
        <v>-0.19560000000001301</v>
      </c>
      <c r="AF3256">
        <v>0.170540260184012</v>
      </c>
      <c r="AG3256">
        <v>-9.9125000000000102E-2</v>
      </c>
      <c r="AH3256">
        <v>0.51477022772076997</v>
      </c>
      <c r="AI3256">
        <v>100.358821891258</v>
      </c>
      <c r="AJ3256">
        <v>71.670278881201497</v>
      </c>
      <c r="AK3256">
        <v>0.55126956501907798</v>
      </c>
      <c r="AL3256">
        <v>69.406441275983596</v>
      </c>
      <c r="AM3256">
        <v>86.032102820148594</v>
      </c>
      <c r="AN3256">
        <v>0.99999996307227301</v>
      </c>
    </row>
    <row r="3257" spans="1:40" x14ac:dyDescent="0.25">
      <c r="A3257" t="str">
        <f>"20190304164707551"</f>
        <v>20190304164707551</v>
      </c>
      <c r="B3257" t="str">
        <f>"1551689227541663"</f>
        <v>1551689227541663</v>
      </c>
      <c r="C3257" t="s">
        <v>40</v>
      </c>
      <c r="D3257">
        <v>4.3410650000000004</v>
      </c>
      <c r="E3257">
        <v>0.57603009999999999</v>
      </c>
      <c r="F3257" t="s">
        <v>41</v>
      </c>
      <c r="G3257">
        <v>-211.54050000000001</v>
      </c>
      <c r="H3257">
        <v>1.009825</v>
      </c>
      <c r="I3257">
        <v>214.82320000000001</v>
      </c>
      <c r="J3257">
        <v>-212.0351</v>
      </c>
      <c r="K3257">
        <v>1.107947</v>
      </c>
      <c r="L3257">
        <v>215.01929999999999</v>
      </c>
      <c r="M3257">
        <v>0.99904139999999997</v>
      </c>
      <c r="N3257">
        <v>-1.427284E-2</v>
      </c>
      <c r="O3257">
        <v>-4.1385610000000003E-2</v>
      </c>
      <c r="P3257">
        <v>0.9352549</v>
      </c>
      <c r="Q3257">
        <v>0.3396111</v>
      </c>
      <c r="R3257">
        <v>-9.981421E-2</v>
      </c>
      <c r="S3257">
        <v>3.2626650000000001</v>
      </c>
      <c r="T3257">
        <v>-0.40939710000000001</v>
      </c>
      <c r="U3257">
        <v>-0.87965389999999999</v>
      </c>
      <c r="V3257">
        <v>6.3700649999999998E-2</v>
      </c>
      <c r="W3257">
        <v>0.3524987</v>
      </c>
      <c r="X3257">
        <v>0.93364170000000002</v>
      </c>
      <c r="Y3257">
        <v>0.21858030000000001</v>
      </c>
      <c r="Z3257">
        <v>-1.0521259999999999E-2</v>
      </c>
      <c r="AA3257">
        <v>0.97576220000000002</v>
      </c>
      <c r="AB3257">
        <v>29</v>
      </c>
      <c r="AC3257">
        <v>0.49459999999999099</v>
      </c>
      <c r="AD3257">
        <v>-9.8122000000000001E-2</v>
      </c>
      <c r="AE3257">
        <v>-0.19609999999997199</v>
      </c>
      <c r="AF3257">
        <v>0.16968928210779</v>
      </c>
      <c r="AG3257">
        <v>-9.8122000000000001E-2</v>
      </c>
      <c r="AH3257">
        <v>0.48577123841267</v>
      </c>
      <c r="AI3257">
        <v>100.796254919153</v>
      </c>
      <c r="AJ3257">
        <v>70.744704748098101</v>
      </c>
      <c r="AK3257">
        <v>0.52382828810139404</v>
      </c>
      <c r="AL3257">
        <v>69.359776107481693</v>
      </c>
      <c r="AM3257">
        <v>86.096863684713597</v>
      </c>
      <c r="AN3257">
        <v>0.99999996514550005</v>
      </c>
    </row>
    <row r="3258" spans="1:40" x14ac:dyDescent="0.25">
      <c r="A3258" t="str">
        <f>"20190304164707575"</f>
        <v>20190304164707575</v>
      </c>
      <c r="B3258" t="str">
        <f>"1551689227571920"</f>
        <v>1551689227571920</v>
      </c>
      <c r="C3258" t="s">
        <v>40</v>
      </c>
      <c r="D3258">
        <v>4.3327669999999996</v>
      </c>
      <c r="E3258">
        <v>0.57575140000000002</v>
      </c>
      <c r="F3258" t="s">
        <v>41</v>
      </c>
      <c r="G3258">
        <v>-211.2808</v>
      </c>
      <c r="H3258">
        <v>1.014661</v>
      </c>
      <c r="I3258">
        <v>214.81280000000001</v>
      </c>
      <c r="J3258">
        <v>-211.72909999999999</v>
      </c>
      <c r="K3258">
        <v>1.1078410000000001</v>
      </c>
      <c r="L3258">
        <v>215.00190000000001</v>
      </c>
      <c r="M3258">
        <v>0.99884629999999996</v>
      </c>
      <c r="N3258">
        <v>-1.4278290000000001E-2</v>
      </c>
      <c r="O3258">
        <v>-4.5850349999999998E-2</v>
      </c>
      <c r="P3258">
        <v>0.93374590000000002</v>
      </c>
      <c r="Q3258">
        <v>0.34265380000000001</v>
      </c>
      <c r="R3258">
        <v>-0.1034738</v>
      </c>
      <c r="S3258">
        <v>3.258804</v>
      </c>
      <c r="T3258">
        <v>-0.40301229999999999</v>
      </c>
      <c r="U3258">
        <v>-0.89213560000000003</v>
      </c>
      <c r="V3258">
        <v>6.3351809999999995E-2</v>
      </c>
      <c r="W3258">
        <v>0.35551650000000001</v>
      </c>
      <c r="X3258">
        <v>0.93252060000000003</v>
      </c>
      <c r="Y3258">
        <v>0.2180626</v>
      </c>
      <c r="Z3258">
        <v>-9.8879229999999999E-3</v>
      </c>
      <c r="AA3258">
        <v>0.97588470000000005</v>
      </c>
      <c r="AB3258">
        <v>29</v>
      </c>
      <c r="AC3258">
        <v>0.44829999999998799</v>
      </c>
      <c r="AD3258">
        <v>-9.3179999999999999E-2</v>
      </c>
      <c r="AE3258">
        <v>-0.18909999999999599</v>
      </c>
      <c r="AF3258">
        <v>0.162388425473253</v>
      </c>
      <c r="AG3258">
        <v>-9.3179999999999999E-2</v>
      </c>
      <c r="AH3258">
        <v>0.440349114825694</v>
      </c>
      <c r="AI3258">
        <v>101.229217768623</v>
      </c>
      <c r="AJ3258">
        <v>69.757437714573101</v>
      </c>
      <c r="AK3258">
        <v>0.47849749848401002</v>
      </c>
      <c r="AL3258">
        <v>69.174898336456494</v>
      </c>
      <c r="AM3258">
        <v>86.113520127727099</v>
      </c>
      <c r="AN3258">
        <v>1.00000005151344</v>
      </c>
    </row>
    <row r="3259" spans="1:40" x14ac:dyDescent="0.25">
      <c r="A3259" t="str">
        <f>"20190304164707598"</f>
        <v>20190304164707598</v>
      </c>
      <c r="B3259" t="str">
        <f>"1551689227592415"</f>
        <v>1551689227592415</v>
      </c>
      <c r="C3259" t="s">
        <v>40</v>
      </c>
      <c r="D3259">
        <v>4.4132350000000002</v>
      </c>
      <c r="E3259">
        <v>0.57572990000000002</v>
      </c>
      <c r="F3259" t="s">
        <v>45</v>
      </c>
      <c r="G3259">
        <v>-202.2465</v>
      </c>
      <c r="H3259" s="1">
        <v>3.4095109999999998E-6</v>
      </c>
      <c r="I3259">
        <v>212.3708</v>
      </c>
      <c r="J3259">
        <v>-211.429</v>
      </c>
      <c r="K3259">
        <v>1.1077170000000001</v>
      </c>
      <c r="L3259">
        <v>214.98310000000001</v>
      </c>
      <c r="M3259">
        <v>0.99862519999999999</v>
      </c>
      <c r="N3259">
        <v>-1.428539E-2</v>
      </c>
      <c r="O3259">
        <v>-5.0436139999999997E-2</v>
      </c>
      <c r="P3259">
        <v>0.93199169999999998</v>
      </c>
      <c r="Q3259">
        <v>0.34626249999999997</v>
      </c>
      <c r="R3259">
        <v>-0.1072109</v>
      </c>
      <c r="S3259">
        <v>3.2523040000000001</v>
      </c>
      <c r="T3259">
        <v>-0.37996020000000003</v>
      </c>
      <c r="U3259">
        <v>-0.90240480000000001</v>
      </c>
      <c r="V3259">
        <v>6.3009510000000005E-2</v>
      </c>
      <c r="W3259">
        <v>0.35909669999999999</v>
      </c>
      <c r="X3259">
        <v>0.93117090000000002</v>
      </c>
      <c r="Y3259">
        <v>0.21711859999999999</v>
      </c>
      <c r="Z3259">
        <v>-8.9466790000000008E-3</v>
      </c>
      <c r="AA3259">
        <v>0.97610430000000004</v>
      </c>
      <c r="AB3259">
        <v>29</v>
      </c>
      <c r="AC3259">
        <v>9.1824999999999992</v>
      </c>
      <c r="AD3259">
        <v>-1.1077135904889901</v>
      </c>
      <c r="AE3259">
        <v>-2.6122999999999998</v>
      </c>
      <c r="AF3259">
        <v>2.1172929084361098</v>
      </c>
      <c r="AG3259">
        <v>-1.1077135904889901</v>
      </c>
      <c r="AH3259">
        <v>9.1790038828208296</v>
      </c>
      <c r="AI3259">
        <v>96.706682898285493</v>
      </c>
      <c r="AJ3259">
        <v>77.010946817345101</v>
      </c>
      <c r="AK3259">
        <v>9.4849391637220197</v>
      </c>
      <c r="AL3259">
        <v>68.955267069854102</v>
      </c>
      <c r="AM3259">
        <v>86.1288696169281</v>
      </c>
      <c r="AN3259">
        <v>0.99999994165406803</v>
      </c>
    </row>
    <row r="3260" spans="1:40" x14ac:dyDescent="0.25">
      <c r="A3260" t="str">
        <f>"20190304164707626"</f>
        <v>20190304164707626</v>
      </c>
      <c r="B3260" t="str">
        <f>"1551689227621697"</f>
        <v>1551689227621697</v>
      </c>
      <c r="C3260" t="s">
        <v>40</v>
      </c>
      <c r="D3260">
        <v>4.3395769999999896</v>
      </c>
      <c r="E3260">
        <v>0.57581009999999999</v>
      </c>
      <c r="F3260" t="s">
        <v>45</v>
      </c>
      <c r="G3260">
        <v>-201.80189999999999</v>
      </c>
      <c r="H3260" s="1">
        <v>3.2203840000000001E-6</v>
      </c>
      <c r="I3260">
        <v>212.27889999999999</v>
      </c>
      <c r="J3260">
        <v>-211.07730000000001</v>
      </c>
      <c r="K3260">
        <v>1.107577</v>
      </c>
      <c r="L3260">
        <v>214.95910000000001</v>
      </c>
      <c r="M3260">
        <v>0.99832679999999996</v>
      </c>
      <c r="N3260">
        <v>-1.429485E-2</v>
      </c>
      <c r="O3260">
        <v>-5.602799E-2</v>
      </c>
      <c r="P3260">
        <v>0.93076099999999995</v>
      </c>
      <c r="Q3260">
        <v>0.348112799999999</v>
      </c>
      <c r="R3260">
        <v>-0.1118101</v>
      </c>
      <c r="S3260">
        <v>3.2528380000000001</v>
      </c>
      <c r="T3260">
        <v>-0.37427660000000001</v>
      </c>
      <c r="U3260">
        <v>-0.91368099999999997</v>
      </c>
      <c r="V3260">
        <v>6.257103E-2</v>
      </c>
      <c r="W3260">
        <v>0.3609291</v>
      </c>
      <c r="X3260">
        <v>0.93049179999999998</v>
      </c>
      <c r="Y3260">
        <v>0.2148293</v>
      </c>
      <c r="Z3260">
        <v>-8.1524570000000001E-3</v>
      </c>
      <c r="AA3260">
        <v>0.97661759999999997</v>
      </c>
      <c r="AB3260">
        <v>29</v>
      </c>
      <c r="AC3260">
        <v>9.2754000000000101</v>
      </c>
      <c r="AD3260">
        <v>-1.1075737796159999</v>
      </c>
      <c r="AE3260">
        <v>-2.6802000000000099</v>
      </c>
      <c r="AF3260">
        <v>2.1282464194628901</v>
      </c>
      <c r="AG3260">
        <v>-1.1075737796159999</v>
      </c>
      <c r="AH3260">
        <v>9.2887695368096992</v>
      </c>
      <c r="AI3260">
        <v>96.629528539060601</v>
      </c>
      <c r="AJ3260">
        <v>77.095110977782795</v>
      </c>
      <c r="AK3260">
        <v>9.5936120417292994</v>
      </c>
      <c r="AL3260">
        <v>68.842733124944004</v>
      </c>
      <c r="AM3260">
        <v>86.152930320212207</v>
      </c>
      <c r="AN3260">
        <v>0.99999996944465497</v>
      </c>
    </row>
    <row r="3261" spans="1:40" x14ac:dyDescent="0.25">
      <c r="A3261" t="str">
        <f>"20190304164707647"</f>
        <v>20190304164707647</v>
      </c>
      <c r="B3261" t="str">
        <f>"1551689227642192"</f>
        <v>1551689227642192</v>
      </c>
      <c r="C3261" t="s">
        <v>40</v>
      </c>
      <c r="D3261">
        <v>4.4401679999999999</v>
      </c>
      <c r="E3261">
        <v>0.57569289999999995</v>
      </c>
      <c r="F3261" t="s">
        <v>45</v>
      </c>
      <c r="G3261">
        <v>-201.56280000000001</v>
      </c>
      <c r="H3261" s="1">
        <v>3.1176450000000002E-6</v>
      </c>
      <c r="I3261">
        <v>212.24160000000001</v>
      </c>
      <c r="J3261">
        <v>-210.8048</v>
      </c>
      <c r="K3261">
        <v>1.1074679999999999</v>
      </c>
      <c r="L3261">
        <v>214.93899999999999</v>
      </c>
      <c r="M3261">
        <v>0.99806360000000005</v>
      </c>
      <c r="N3261">
        <v>-1.4301990000000001E-2</v>
      </c>
      <c r="O3261">
        <v>-6.0535400000000003E-2</v>
      </c>
      <c r="P3261">
        <v>0.93060339999999997</v>
      </c>
      <c r="Q3261">
        <v>0.34746709999999997</v>
      </c>
      <c r="R3261">
        <v>-0.11508309999999999</v>
      </c>
      <c r="S3261">
        <v>3.2532040000000002</v>
      </c>
      <c r="T3261">
        <v>-0.37870510000000002</v>
      </c>
      <c r="U3261">
        <v>-0.92915340000000002</v>
      </c>
      <c r="V3261">
        <v>6.1714150000000002E-2</v>
      </c>
      <c r="W3261">
        <v>0.36028559999999998</v>
      </c>
      <c r="X3261">
        <v>0.93079840000000003</v>
      </c>
      <c r="Y3261">
        <v>0.2146903</v>
      </c>
      <c r="Z3261">
        <v>-7.76260199999999E-3</v>
      </c>
      <c r="AA3261">
        <v>0.9766513</v>
      </c>
      <c r="AB3261">
        <v>29</v>
      </c>
      <c r="AC3261">
        <v>9.2419999999999902</v>
      </c>
      <c r="AD3261">
        <v>-1.107464882355</v>
      </c>
      <c r="AE3261">
        <v>-2.6974000000000098</v>
      </c>
      <c r="AF3261">
        <v>2.1050724487488899</v>
      </c>
      <c r="AG3261">
        <v>-1.107464882355</v>
      </c>
      <c r="AH3261">
        <v>9.2657479477540203</v>
      </c>
      <c r="AI3261">
        <v>96.647965021024106</v>
      </c>
      <c r="AJ3261">
        <v>77.200316560293302</v>
      </c>
      <c r="AK3261">
        <v>9.5661848984555498</v>
      </c>
      <c r="AL3261">
        <v>68.882263395784193</v>
      </c>
      <c r="AM3261">
        <v>86.206705353597101</v>
      </c>
      <c r="AN3261">
        <v>1.00000000566007</v>
      </c>
    </row>
    <row r="3262" spans="1:40" x14ac:dyDescent="0.25">
      <c r="A3262" t="str">
        <f>"20190304164707671"</f>
        <v>20190304164707671</v>
      </c>
      <c r="B3262" t="str">
        <f>"1551689227661712"</f>
        <v>1551689227661712</v>
      </c>
      <c r="C3262" t="s">
        <v>40</v>
      </c>
      <c r="D3262">
        <v>4.3954329999999997</v>
      </c>
      <c r="E3262">
        <v>0.57565159999999904</v>
      </c>
      <c r="F3262" t="s">
        <v>41</v>
      </c>
      <c r="G3262">
        <v>-210.0016</v>
      </c>
      <c r="H3262">
        <v>1.0120849999999999</v>
      </c>
      <c r="I3262">
        <v>214.70679999999999</v>
      </c>
      <c r="J3262">
        <v>-210.501</v>
      </c>
      <c r="K3262">
        <v>1.107342</v>
      </c>
      <c r="L3262">
        <v>214.91489999999999</v>
      </c>
      <c r="M3262">
        <v>0.99773330000000005</v>
      </c>
      <c r="N3262">
        <v>-1.430999E-2</v>
      </c>
      <c r="O3262">
        <v>-6.5752909999999998E-2</v>
      </c>
      <c r="P3262">
        <v>0.9307706</v>
      </c>
      <c r="Q3262">
        <v>0.34553450000000002</v>
      </c>
      <c r="R3262">
        <v>-0.11946519999999999</v>
      </c>
      <c r="S3262">
        <v>3.2516940000000001</v>
      </c>
      <c r="T3262">
        <v>-0.3860325</v>
      </c>
      <c r="U3262">
        <v>-0.93930049999999998</v>
      </c>
      <c r="V3262">
        <v>6.1274049999999997E-2</v>
      </c>
      <c r="W3262">
        <v>0.35835739999999999</v>
      </c>
      <c r="X3262">
        <v>0.9315715</v>
      </c>
      <c r="Y3262">
        <v>0.21251929999999999</v>
      </c>
      <c r="Z3262">
        <v>-7.1975969999999896E-3</v>
      </c>
      <c r="AA3262">
        <v>0.97713039999999995</v>
      </c>
      <c r="AB3262">
        <v>29</v>
      </c>
      <c r="AC3262">
        <v>0.49939999999998003</v>
      </c>
      <c r="AD3262">
        <v>-9.5256999999999897E-2</v>
      </c>
      <c r="AE3262">
        <v>-0.20810000000000101</v>
      </c>
      <c r="AF3262">
        <v>0.169553048469439</v>
      </c>
      <c r="AG3262">
        <v>-9.5256999999999897E-2</v>
      </c>
      <c r="AH3262">
        <v>0.49660873729017002</v>
      </c>
      <c r="AI3262">
        <v>100.288662647</v>
      </c>
      <c r="AJ3262">
        <v>71.148976680816304</v>
      </c>
      <c r="AK3262">
        <v>0.53333138876988795</v>
      </c>
      <c r="AL3262">
        <v>69.000647390683895</v>
      </c>
      <c r="AM3262">
        <v>86.236794848853705</v>
      </c>
      <c r="AN3262">
        <v>0.99999999747520596</v>
      </c>
    </row>
    <row r="3263" spans="1:40" x14ac:dyDescent="0.25">
      <c r="A3263" t="str">
        <f>"20190304164707695"</f>
        <v>20190304164707695</v>
      </c>
      <c r="B3263" t="str">
        <f>"1551689227691967"</f>
        <v>1551689227691967</v>
      </c>
      <c r="C3263" t="s">
        <v>40</v>
      </c>
      <c r="D3263">
        <v>4.3562510000000003</v>
      </c>
      <c r="E3263">
        <v>0.57566890000000004</v>
      </c>
      <c r="F3263" t="s">
        <v>41</v>
      </c>
      <c r="G3263">
        <v>-209.7465</v>
      </c>
      <c r="H3263">
        <v>1.0151509999999999</v>
      </c>
      <c r="I3263">
        <v>214.69319999999999</v>
      </c>
      <c r="J3263">
        <v>-210.19059999999999</v>
      </c>
      <c r="K3263">
        <v>1.1072090000000001</v>
      </c>
      <c r="L3263">
        <v>214.88849999999999</v>
      </c>
      <c r="M3263">
        <v>0.9973535</v>
      </c>
      <c r="N3263">
        <v>-1.4319109999999999E-2</v>
      </c>
      <c r="O3263">
        <v>-7.1281209999999998E-2</v>
      </c>
      <c r="P3263">
        <v>0.93041430000000003</v>
      </c>
      <c r="Q3263">
        <v>0.34442640000000002</v>
      </c>
      <c r="R3263">
        <v>-0.12530050000000001</v>
      </c>
      <c r="S3263">
        <v>3.2479399999999998</v>
      </c>
      <c r="T3263">
        <v>-0.3969356</v>
      </c>
      <c r="U3263">
        <v>-0.95475770000000004</v>
      </c>
      <c r="V3263">
        <v>6.2028970000000003E-2</v>
      </c>
      <c r="W3263">
        <v>0.357238</v>
      </c>
      <c r="X3263">
        <v>0.93195139999999999</v>
      </c>
      <c r="Y3263">
        <v>0.21166579999999999</v>
      </c>
      <c r="Z3263">
        <v>-6.700358E-3</v>
      </c>
      <c r="AA3263">
        <v>0.9773191</v>
      </c>
      <c r="AB3263">
        <v>29</v>
      </c>
      <c r="AC3263">
        <v>0.444099999999991</v>
      </c>
      <c r="AD3263">
        <v>-9.2058000000000195E-2</v>
      </c>
      <c r="AE3263">
        <v>-0.195300000000003</v>
      </c>
      <c r="AF3263">
        <v>0.15747383551989</v>
      </c>
      <c r="AG3263">
        <v>-9.2058000000000195E-2</v>
      </c>
      <c r="AH3263">
        <v>0.44101350529210398</v>
      </c>
      <c r="AI3263">
        <v>101.121690808671</v>
      </c>
      <c r="AJ3263">
        <v>70.349746490411604</v>
      </c>
      <c r="AK3263">
        <v>0.47724793984612901</v>
      </c>
      <c r="AL3263">
        <v>69.069331208274306</v>
      </c>
      <c r="AM3263">
        <v>86.192114699656003</v>
      </c>
      <c r="AN3263">
        <v>0.99999999686260999</v>
      </c>
    </row>
    <row r="3264" spans="1:40" x14ac:dyDescent="0.25">
      <c r="A3264" t="str">
        <f>"20190304164707729"</f>
        <v>20190304164707729</v>
      </c>
      <c r="B3264" t="str">
        <f>"1551689227722223"</f>
        <v>1551689227722223</v>
      </c>
      <c r="C3264" t="s">
        <v>40</v>
      </c>
      <c r="D3264">
        <v>4.3823489999999996</v>
      </c>
      <c r="E3264">
        <v>0.57569709999999996</v>
      </c>
      <c r="F3264" t="s">
        <v>41</v>
      </c>
      <c r="G3264">
        <v>-209.25</v>
      </c>
      <c r="H3264">
        <v>0.9890236</v>
      </c>
      <c r="I3264">
        <v>214.60570000000001</v>
      </c>
      <c r="J3264">
        <v>-209.75229999999999</v>
      </c>
      <c r="K3264">
        <v>1.107043</v>
      </c>
      <c r="L3264">
        <v>214.8477</v>
      </c>
      <c r="M3264">
        <v>0.99674130000000005</v>
      </c>
      <c r="N3264">
        <v>-1.433191E-2</v>
      </c>
      <c r="O3264">
        <v>-7.9381419999999994E-2</v>
      </c>
      <c r="P3264">
        <v>0.92933460000000001</v>
      </c>
      <c r="Q3264">
        <v>0.34425109999999998</v>
      </c>
      <c r="R3264">
        <v>-0.1335239</v>
      </c>
      <c r="S3264">
        <v>3.2438959999999999</v>
      </c>
      <c r="T3264">
        <v>-0.40757660000000001</v>
      </c>
      <c r="U3264">
        <v>-0.97517399999999999</v>
      </c>
      <c r="V3264">
        <v>6.2833310000000003E-2</v>
      </c>
      <c r="W3264">
        <v>0.357045099999999</v>
      </c>
      <c r="X3264">
        <v>0.93197140000000001</v>
      </c>
      <c r="Y3264">
        <v>0.20970949999999999</v>
      </c>
      <c r="Z3264">
        <v>-5.8109160000000002E-3</v>
      </c>
      <c r="AA3264">
        <v>0.97774649999999996</v>
      </c>
      <c r="AB3264">
        <v>28</v>
      </c>
      <c r="AC3264">
        <v>0.50229999999999098</v>
      </c>
      <c r="AD3264">
        <v>-0.1180194</v>
      </c>
      <c r="AE3264">
        <v>-0.24199999999999</v>
      </c>
      <c r="AF3264">
        <v>0.192723747764385</v>
      </c>
      <c r="AG3264">
        <v>-0.1180194</v>
      </c>
      <c r="AH3264">
        <v>0.49763039216515897</v>
      </c>
      <c r="AI3264">
        <v>102.470610388097</v>
      </c>
      <c r="AJ3264">
        <v>68.8294656313861</v>
      </c>
      <c r="AK3264">
        <v>0.54654096729811597</v>
      </c>
      <c r="AL3264">
        <v>69.081163107320194</v>
      </c>
      <c r="AM3264">
        <v>86.142967837013302</v>
      </c>
      <c r="AN3264">
        <v>0.99999995934876196</v>
      </c>
    </row>
    <row r="3265" spans="1:40" x14ac:dyDescent="0.25">
      <c r="A3265" t="str">
        <f>"20190304164707751"</f>
        <v>20190304164707751</v>
      </c>
      <c r="B3265" t="str">
        <f>"1551689227741743"</f>
        <v>1551689227741743</v>
      </c>
      <c r="C3265" t="s">
        <v>40</v>
      </c>
      <c r="D3265">
        <v>4.3673419999999998</v>
      </c>
      <c r="E3265">
        <v>0.57566340000000005</v>
      </c>
      <c r="F3265" t="s">
        <v>41</v>
      </c>
      <c r="G3265">
        <v>-208.98830000000001</v>
      </c>
      <c r="H3265">
        <v>1.009379</v>
      </c>
      <c r="I3265">
        <v>214.6105</v>
      </c>
      <c r="J3265">
        <v>-209.47139999999999</v>
      </c>
      <c r="K3265">
        <v>1.106967</v>
      </c>
      <c r="L3265">
        <v>214.81960000000001</v>
      </c>
      <c r="M3265">
        <v>0.99630390000000002</v>
      </c>
      <c r="N3265">
        <v>-1.4338139999999999E-2</v>
      </c>
      <c r="O3265">
        <v>-8.4695210000000007E-2</v>
      </c>
      <c r="P3265">
        <v>0.92857749999999994</v>
      </c>
      <c r="Q3265">
        <v>0.34393439999999997</v>
      </c>
      <c r="R3265">
        <v>-0.1394764</v>
      </c>
      <c r="S3265">
        <v>3.2370299999999999</v>
      </c>
      <c r="T3265">
        <v>-0.4135414</v>
      </c>
      <c r="U3265">
        <v>-1.0040129999999901</v>
      </c>
      <c r="V3265">
        <v>6.3892889999999994E-2</v>
      </c>
      <c r="W3265">
        <v>0.35671330000000001</v>
      </c>
      <c r="X3265">
        <v>0.93202649999999998</v>
      </c>
      <c r="Y3265">
        <v>0.21300479999999999</v>
      </c>
      <c r="Z3265">
        <v>-5.5108290000000001E-3</v>
      </c>
      <c r="AA3265">
        <v>0.9770356</v>
      </c>
      <c r="AB3265">
        <v>28</v>
      </c>
      <c r="AC3265">
        <v>0.48309999999997899</v>
      </c>
      <c r="AD3265">
        <v>-9.7587999999999994E-2</v>
      </c>
      <c r="AE3265">
        <v>-0.209100000000006</v>
      </c>
      <c r="AF3265">
        <v>0.161865232068753</v>
      </c>
      <c r="AG3265">
        <v>-9.7587999999999994E-2</v>
      </c>
      <c r="AH3265">
        <v>0.48249349448453799</v>
      </c>
      <c r="AI3265">
        <v>100.85497573836101</v>
      </c>
      <c r="AJ3265">
        <v>71.454607010860599</v>
      </c>
      <c r="AK3265">
        <v>0.518192766561415</v>
      </c>
      <c r="AL3265">
        <v>69.101515665289298</v>
      </c>
      <c r="AM3265">
        <v>86.078357790840798</v>
      </c>
      <c r="AN3265">
        <v>1.0000000382458401</v>
      </c>
    </row>
    <row r="3266" spans="1:40" x14ac:dyDescent="0.25">
      <c r="A3266" t="str">
        <f>"20190304164707772"</f>
        <v>20190304164707772</v>
      </c>
      <c r="B3266" t="str">
        <f>"1551689227762240"</f>
        <v>1551689227762240</v>
      </c>
      <c r="C3266" t="s">
        <v>40</v>
      </c>
      <c r="D3266">
        <v>4.3624010000000002</v>
      </c>
      <c r="E3266">
        <v>0.57561519999999899</v>
      </c>
      <c r="F3266" t="s">
        <v>41</v>
      </c>
      <c r="G3266">
        <v>-208.7345</v>
      </c>
      <c r="H3266">
        <v>1.0117339999999999</v>
      </c>
      <c r="I3266">
        <v>214.58670000000001</v>
      </c>
      <c r="J3266">
        <v>-209.2</v>
      </c>
      <c r="K3266">
        <v>1.1069150000000001</v>
      </c>
      <c r="L3266">
        <v>214.791</v>
      </c>
      <c r="M3266">
        <v>0.99584779999999995</v>
      </c>
      <c r="N3266">
        <v>-1.4342580000000001E-2</v>
      </c>
      <c r="O3266">
        <v>-8.9899270000000003E-2</v>
      </c>
      <c r="P3266">
        <v>0.92804370000000003</v>
      </c>
      <c r="Q3266">
        <v>0.34277600000000003</v>
      </c>
      <c r="R3266">
        <v>-0.1457388</v>
      </c>
      <c r="S3266">
        <v>3.2320250000000001</v>
      </c>
      <c r="T3266">
        <v>-0.41742620000000003</v>
      </c>
      <c r="U3266">
        <v>-1.020813</v>
      </c>
      <c r="V3266">
        <v>6.5313529999999995E-2</v>
      </c>
      <c r="W3266">
        <v>0.35554190000000002</v>
      </c>
      <c r="X3266">
        <v>0.93237550000000002</v>
      </c>
      <c r="Y3266">
        <v>0.21296380000000001</v>
      </c>
      <c r="Z3266">
        <v>-4.9633740000000004E-3</v>
      </c>
      <c r="AA3266">
        <v>0.97704749999999996</v>
      </c>
      <c r="AB3266">
        <v>28</v>
      </c>
      <c r="AC3266">
        <v>0.46549999999999098</v>
      </c>
      <c r="AD3266">
        <v>-9.5180999999999905E-2</v>
      </c>
      <c r="AE3266">
        <v>-0.20429999999998899</v>
      </c>
      <c r="AF3266">
        <v>0.156146351756001</v>
      </c>
      <c r="AG3266">
        <v>-9.5180999999999905E-2</v>
      </c>
      <c r="AH3266">
        <v>0.46565900253588699</v>
      </c>
      <c r="AI3266">
        <v>100.967707514816</v>
      </c>
      <c r="AJ3266">
        <v>71.462493246121099</v>
      </c>
      <c r="AK3266">
        <v>0.50027933454263995</v>
      </c>
      <c r="AL3266">
        <v>69.173339876154103</v>
      </c>
      <c r="AM3266">
        <v>85.992937954774405</v>
      </c>
      <c r="AN3266">
        <v>0.99999998642846</v>
      </c>
    </row>
    <row r="3267" spans="1:40" x14ac:dyDescent="0.25">
      <c r="A3267" t="str">
        <f>"20190304164707797"</f>
        <v>20190304164707797</v>
      </c>
      <c r="B3267" t="str">
        <f>"1551689227792496"</f>
        <v>1551689227792496</v>
      </c>
      <c r="C3267" t="s">
        <v>40</v>
      </c>
      <c r="D3267">
        <v>4.3861749999999997</v>
      </c>
      <c r="E3267">
        <v>0.5755458</v>
      </c>
      <c r="F3267" t="s">
        <v>41</v>
      </c>
      <c r="G3267">
        <v>-208.4813</v>
      </c>
      <c r="H3267">
        <v>1.0123139999999999</v>
      </c>
      <c r="I3267">
        <v>214.55940000000001</v>
      </c>
      <c r="J3267">
        <v>-208.9015</v>
      </c>
      <c r="K3267">
        <v>1.1068800000000001</v>
      </c>
      <c r="L3267">
        <v>214.7577</v>
      </c>
      <c r="M3267">
        <v>0.99530890000000005</v>
      </c>
      <c r="N3267">
        <v>-1.434616E-2</v>
      </c>
      <c r="O3267">
        <v>-9.567821E-2</v>
      </c>
      <c r="P3267">
        <v>0.9276044</v>
      </c>
      <c r="Q3267">
        <v>0.34105410000000003</v>
      </c>
      <c r="R3267">
        <v>-0.15242069999999999</v>
      </c>
      <c r="S3267">
        <v>3.226318</v>
      </c>
      <c r="T3267">
        <v>-0.4244714</v>
      </c>
      <c r="U3267">
        <v>-1.038376</v>
      </c>
      <c r="V3267">
        <v>6.6575079999999995E-2</v>
      </c>
      <c r="W3267">
        <v>0.35381380000000001</v>
      </c>
      <c r="X3267">
        <v>0.93294350000000004</v>
      </c>
      <c r="Y3267">
        <v>0.21261740000000001</v>
      </c>
      <c r="Z3267">
        <v>-4.3286009999999996E-3</v>
      </c>
      <c r="AA3267">
        <v>0.97712589999999999</v>
      </c>
      <c r="AB3267">
        <v>28</v>
      </c>
      <c r="AC3267">
        <v>0.42019999999999402</v>
      </c>
      <c r="AD3267">
        <v>-9.45659999999999E-2</v>
      </c>
      <c r="AE3267">
        <v>-0.19829999999998901</v>
      </c>
      <c r="AF3267">
        <v>0.150930060805119</v>
      </c>
      <c r="AG3267">
        <v>-9.45659999999999E-2</v>
      </c>
      <c r="AH3267">
        <v>0.41985536761315201</v>
      </c>
      <c r="AI3267">
        <v>101.967047965954</v>
      </c>
      <c r="AJ3267">
        <v>70.227448775907405</v>
      </c>
      <c r="AK3267">
        <v>0.45607142129737999</v>
      </c>
      <c r="AL3267">
        <v>69.279237792769806</v>
      </c>
      <c r="AM3267">
        <v>85.918277983020204</v>
      </c>
      <c r="AN3267">
        <v>1.0000000102698401</v>
      </c>
    </row>
    <row r="3268" spans="1:40" x14ac:dyDescent="0.25">
      <c r="A3268" t="str">
        <f>"20190304164707828"</f>
        <v>20190304164707828</v>
      </c>
      <c r="B3268" t="str">
        <f>"1551689227821776"</f>
        <v>1551689227821776</v>
      </c>
      <c r="C3268" t="s">
        <v>40</v>
      </c>
      <c r="D3268">
        <v>4.405494</v>
      </c>
      <c r="E3268">
        <v>0.57574510000000001</v>
      </c>
      <c r="F3268" t="s">
        <v>41</v>
      </c>
      <c r="G3268">
        <v>-207.9915</v>
      </c>
      <c r="H3268">
        <v>0.98464890000000005</v>
      </c>
      <c r="I3268">
        <v>214.45779999999999</v>
      </c>
      <c r="J3268">
        <v>-208.5206</v>
      </c>
      <c r="K3268">
        <v>1.1068629999999999</v>
      </c>
      <c r="L3268">
        <v>214.71250000000001</v>
      </c>
      <c r="M3268">
        <v>0.99456869999999997</v>
      </c>
      <c r="N3268">
        <v>-1.43491E-2</v>
      </c>
      <c r="O3268">
        <v>-0.1030901</v>
      </c>
      <c r="P3268">
        <v>0.92698069999999999</v>
      </c>
      <c r="Q3268">
        <v>0.33934140000000002</v>
      </c>
      <c r="R3268">
        <v>-0.15985779999999999</v>
      </c>
      <c r="S3268">
        <v>3.2189179999999999</v>
      </c>
      <c r="T3268">
        <v>-0.43220829999999999</v>
      </c>
      <c r="U3268">
        <v>-1.0598449999999999</v>
      </c>
      <c r="V3268">
        <v>6.7044660000000006E-2</v>
      </c>
      <c r="W3268">
        <v>0.3521051</v>
      </c>
      <c r="X3268">
        <v>0.9335561</v>
      </c>
      <c r="Y3268">
        <v>0.2118988</v>
      </c>
      <c r="Z3268">
        <v>-3.4558599999999998E-3</v>
      </c>
      <c r="AA3268">
        <v>0.97728550000000003</v>
      </c>
      <c r="AB3268">
        <v>28</v>
      </c>
      <c r="AC3268">
        <v>0.52909999999999902</v>
      </c>
      <c r="AD3268">
        <v>-0.12221410000000001</v>
      </c>
      <c r="AE3268">
        <v>-0.25470000000001303</v>
      </c>
      <c r="AF3268">
        <v>0.19053867181047099</v>
      </c>
      <c r="AG3268">
        <v>-0.12221410000000001</v>
      </c>
      <c r="AH3268">
        <v>0.52959981716566795</v>
      </c>
      <c r="AI3268">
        <v>102.251077459147</v>
      </c>
      <c r="AJ3268">
        <v>70.212355188576893</v>
      </c>
      <c r="AK3268">
        <v>0.57594898909193104</v>
      </c>
      <c r="AL3268">
        <v>69.383873175626903</v>
      </c>
      <c r="AM3268">
        <v>85.8922743617983</v>
      </c>
      <c r="AN3268">
        <v>0.99999998986386696</v>
      </c>
    </row>
    <row r="3269" spans="1:40" x14ac:dyDescent="0.25">
      <c r="A3269" t="str">
        <f>"20190304164707851"</f>
        <v>20190304164707851</v>
      </c>
      <c r="B3269" t="str">
        <f>"1551689227842272"</f>
        <v>1551689227842272</v>
      </c>
      <c r="C3269" t="s">
        <v>40</v>
      </c>
      <c r="D3269">
        <v>4.345078</v>
      </c>
      <c r="E3269">
        <v>0.57565650000000002</v>
      </c>
      <c r="F3269" t="s">
        <v>41</v>
      </c>
      <c r="G3269">
        <v>-207.7329</v>
      </c>
      <c r="H3269">
        <v>1.0005459999999999</v>
      </c>
      <c r="I3269">
        <v>214.4451</v>
      </c>
      <c r="J3269">
        <v>-208.22030000000001</v>
      </c>
      <c r="K3269">
        <v>1.106859</v>
      </c>
      <c r="L3269">
        <v>214.67500000000001</v>
      </c>
      <c r="M3269">
        <v>0.99394510000000003</v>
      </c>
      <c r="N3269">
        <v>-1.4350369999999999E-2</v>
      </c>
      <c r="O3269">
        <v>-0.1089368</v>
      </c>
      <c r="P3269">
        <v>0.92591380000000001</v>
      </c>
      <c r="Q3269">
        <v>0.33913959999999999</v>
      </c>
      <c r="R3269">
        <v>-0.16633689999999901</v>
      </c>
      <c r="S3269">
        <v>3.2070310000000002</v>
      </c>
      <c r="T3269">
        <v>-0.4328187</v>
      </c>
      <c r="U3269">
        <v>-1.0885469999999999</v>
      </c>
      <c r="V3269">
        <v>6.808032E-2</v>
      </c>
      <c r="W3269">
        <v>0.35189350000000003</v>
      </c>
      <c r="X3269">
        <v>0.93356099999999997</v>
      </c>
      <c r="Y3269">
        <v>0.21509439999999999</v>
      </c>
      <c r="Z3269">
        <v>-3.0199879999999999E-3</v>
      </c>
      <c r="AA3269">
        <v>0.97658860000000003</v>
      </c>
      <c r="AB3269">
        <v>28</v>
      </c>
      <c r="AC3269">
        <v>0.48740000000000799</v>
      </c>
      <c r="AD3269">
        <v>-0.106313</v>
      </c>
      <c r="AE3269">
        <v>-0.22990000000001401</v>
      </c>
      <c r="AF3269">
        <v>0.16885851044731301</v>
      </c>
      <c r="AG3269">
        <v>-0.106313</v>
      </c>
      <c r="AH3269">
        <v>0.490457946414394</v>
      </c>
      <c r="AI3269">
        <v>101.582691226737</v>
      </c>
      <c r="AJ3269">
        <v>71.0020578479118</v>
      </c>
      <c r="AK3269">
        <v>0.52949470981352598</v>
      </c>
      <c r="AL3269">
        <v>69.396827296307904</v>
      </c>
      <c r="AM3269">
        <v>85.829065088513602</v>
      </c>
      <c r="AN3269">
        <v>1.0000000530172699</v>
      </c>
    </row>
    <row r="3270" spans="1:40" x14ac:dyDescent="0.25">
      <c r="A3270" t="str">
        <f>"20190304164707868"</f>
        <v>20190304164707868</v>
      </c>
      <c r="B3270" t="str">
        <f>"1551689227861791"</f>
        <v>1551689227861791</v>
      </c>
      <c r="C3270" t="s">
        <v>40</v>
      </c>
      <c r="D3270">
        <v>4.3879919999999997</v>
      </c>
      <c r="E3270">
        <v>0.57572000000000001</v>
      </c>
      <c r="F3270" t="s">
        <v>41</v>
      </c>
      <c r="G3270">
        <v>-207.47890000000001</v>
      </c>
      <c r="H3270">
        <v>1.006524</v>
      </c>
      <c r="I3270">
        <v>214.41679999999999</v>
      </c>
      <c r="J3270">
        <v>-207.98589999999999</v>
      </c>
      <c r="K3270">
        <v>1.1068629999999999</v>
      </c>
      <c r="L3270">
        <v>214.64439999999999</v>
      </c>
      <c r="M3270">
        <v>0.99343440000000005</v>
      </c>
      <c r="N3270">
        <v>-1.435058E-2</v>
      </c>
      <c r="O3270">
        <v>-0.1134998</v>
      </c>
      <c r="P3270">
        <v>0.92499169999999997</v>
      </c>
      <c r="Q3270">
        <v>0.33914290000000002</v>
      </c>
      <c r="R3270">
        <v>-0.17138390000000001</v>
      </c>
      <c r="S3270">
        <v>3.198563</v>
      </c>
      <c r="T3270">
        <v>-0.43266589999999999</v>
      </c>
      <c r="U3270">
        <v>-1.113022</v>
      </c>
      <c r="V3270">
        <v>6.8886119999999995E-2</v>
      </c>
      <c r="W3270">
        <v>0.3518886</v>
      </c>
      <c r="X3270">
        <v>0.93350370000000005</v>
      </c>
      <c r="Y3270">
        <v>0.21807979999999999</v>
      </c>
      <c r="Z3270">
        <v>-2.714597E-3</v>
      </c>
      <c r="AA3270">
        <v>0.97592719999999999</v>
      </c>
      <c r="AB3270">
        <v>28</v>
      </c>
      <c r="AC3270">
        <v>0.50699999999997603</v>
      </c>
      <c r="AD3270">
        <v>-0.100338999999999</v>
      </c>
      <c r="AE3270">
        <v>-0.227599999999995</v>
      </c>
      <c r="AF3270">
        <v>0.16325678246009501</v>
      </c>
      <c r="AG3270">
        <v>-0.100338999999999</v>
      </c>
      <c r="AH3270">
        <v>0.51284073433376798</v>
      </c>
      <c r="AI3270">
        <v>100.56067872509399</v>
      </c>
      <c r="AJ3270">
        <v>72.341741245387496</v>
      </c>
      <c r="AK3270">
        <v>0.54747265752019203</v>
      </c>
      <c r="AL3270">
        <v>69.397126542103095</v>
      </c>
      <c r="AM3270">
        <v>85.779617035390999</v>
      </c>
      <c r="AN3270">
        <v>1.0000000211261499</v>
      </c>
    </row>
    <row r="3271" spans="1:40" x14ac:dyDescent="0.25">
      <c r="A3271" t="str">
        <f>"20190304164707888"</f>
        <v>20190304164707888</v>
      </c>
      <c r="B3271" t="str">
        <f>"1551689227882288"</f>
        <v>1551689227882288</v>
      </c>
      <c r="C3271" t="s">
        <v>40</v>
      </c>
      <c r="D3271">
        <v>4.4631990000000004</v>
      </c>
      <c r="E3271">
        <v>0.5815015</v>
      </c>
      <c r="F3271" t="s">
        <v>41</v>
      </c>
      <c r="G3271">
        <v>-207.23009999999999</v>
      </c>
      <c r="H3271">
        <v>1.0039</v>
      </c>
      <c r="I3271">
        <v>214.3768</v>
      </c>
      <c r="J3271">
        <v>-207.7533</v>
      </c>
      <c r="K3271">
        <v>1.106868</v>
      </c>
      <c r="L3271">
        <v>214.613</v>
      </c>
      <c r="M3271">
        <v>0.99290750000000005</v>
      </c>
      <c r="N3271">
        <v>-1.4350299999999899E-2</v>
      </c>
      <c r="O3271">
        <v>-0.11802070000000001</v>
      </c>
      <c r="P3271">
        <v>0.92419799999999996</v>
      </c>
      <c r="Q3271">
        <v>0.33869440000000001</v>
      </c>
      <c r="R3271">
        <v>-0.17647750000000001</v>
      </c>
      <c r="S3271">
        <v>3.193314</v>
      </c>
      <c r="T3271">
        <v>-0.43497980000000003</v>
      </c>
      <c r="U3271">
        <v>-1.130463</v>
      </c>
      <c r="V3271">
        <v>6.9755780000000003E-2</v>
      </c>
      <c r="W3271">
        <v>0.3514333</v>
      </c>
      <c r="X3271">
        <v>0.93361059999999996</v>
      </c>
      <c r="Y3271">
        <v>0.21889120000000001</v>
      </c>
      <c r="Z3271">
        <v>-2.2496899999999999E-3</v>
      </c>
      <c r="AA3271">
        <v>0.97574669999999997</v>
      </c>
      <c r="AB3271">
        <v>28</v>
      </c>
      <c r="AC3271">
        <v>0.523200000000002</v>
      </c>
      <c r="AD3271">
        <v>-0.102967999999999</v>
      </c>
      <c r="AE3271">
        <v>-0.236199999999996</v>
      </c>
      <c r="AF3271">
        <v>0.16740784572780301</v>
      </c>
      <c r="AG3271">
        <v>-0.102967999999999</v>
      </c>
      <c r="AH3271">
        <v>0.53035804257843799</v>
      </c>
      <c r="AI3271">
        <v>100.48917510635</v>
      </c>
      <c r="AJ3271">
        <v>72.481666143121004</v>
      </c>
      <c r="AK3271">
        <v>0.56560361487781896</v>
      </c>
      <c r="AL3271">
        <v>69.424992617900102</v>
      </c>
      <c r="AM3271">
        <v>85.727020037966</v>
      </c>
      <c r="AN3271">
        <v>0.99999999281232899</v>
      </c>
    </row>
    <row r="3272" spans="1:40" x14ac:dyDescent="0.25">
      <c r="A3272" t="str">
        <f>"20190304164707910"</f>
        <v>20190304164707910</v>
      </c>
      <c r="B3272" t="str">
        <f>"1551689227901808"</f>
        <v>1551689227901808</v>
      </c>
      <c r="C3272" t="s">
        <v>40</v>
      </c>
      <c r="D3272">
        <v>4.2820450000000001</v>
      </c>
      <c r="E3272">
        <v>0.58538669999999904</v>
      </c>
      <c r="F3272" t="s">
        <v>41</v>
      </c>
      <c r="G3272">
        <v>-206.99610000000001</v>
      </c>
      <c r="H3272">
        <v>0.97244129999999995</v>
      </c>
      <c r="I3272">
        <v>214.33260000000001</v>
      </c>
      <c r="J3272">
        <v>-207.4649</v>
      </c>
      <c r="K3272">
        <v>1.106868</v>
      </c>
      <c r="L3272">
        <v>214.57249999999999</v>
      </c>
      <c r="M3272">
        <v>0.99222549999999998</v>
      </c>
      <c r="N3272">
        <v>-1.434967E-2</v>
      </c>
      <c r="O3272">
        <v>-0.12362330000000001</v>
      </c>
      <c r="P3272">
        <v>0.92310199999999998</v>
      </c>
      <c r="Q3272">
        <v>0.33887209999999901</v>
      </c>
      <c r="R3272">
        <v>-0.1817926</v>
      </c>
      <c r="S3272">
        <v>3.2279360000000001</v>
      </c>
      <c r="T3272">
        <v>-0.57289199999999996</v>
      </c>
      <c r="U3272">
        <v>-1.1943360000000001</v>
      </c>
      <c r="V3272">
        <v>6.9861339999999994E-2</v>
      </c>
      <c r="W3272">
        <v>0.35160960000000002</v>
      </c>
      <c r="X3272">
        <v>0.93353640000000004</v>
      </c>
      <c r="Y3272">
        <v>0.22644310000000001</v>
      </c>
      <c r="Z3272">
        <v>-1.789714E-3</v>
      </c>
      <c r="AA3272">
        <v>0.97402270000000002</v>
      </c>
      <c r="AB3272">
        <v>28</v>
      </c>
      <c r="AC3272">
        <v>0.468799999999987</v>
      </c>
      <c r="AD3272">
        <v>-0.13442669999999901</v>
      </c>
      <c r="AE3272">
        <v>-0.23989999999997699</v>
      </c>
      <c r="AF3272">
        <v>0.16908147501891799</v>
      </c>
      <c r="AG3272">
        <v>-0.13442669999999901</v>
      </c>
      <c r="AH3272">
        <v>0.464590726505277</v>
      </c>
      <c r="AI3272">
        <v>105.210869187432</v>
      </c>
      <c r="AJ3272">
        <v>70.001711969616196</v>
      </c>
      <c r="AK3272">
        <v>0.51235107692105397</v>
      </c>
      <c r="AL3272">
        <v>69.414204290773199</v>
      </c>
      <c r="AM3272">
        <v>85.720238951581806</v>
      </c>
      <c r="AN3272">
        <v>1.00000006388185</v>
      </c>
    </row>
    <row r="3273" spans="1:40" x14ac:dyDescent="0.25">
      <c r="A3273" t="str">
        <f>"20190304164707934"</f>
        <v>20190304164707934</v>
      </c>
      <c r="B3273" t="str">
        <f>"1551689227932064"</f>
        <v>1551689227932064</v>
      </c>
      <c r="C3273" t="s">
        <v>40</v>
      </c>
      <c r="D3273">
        <v>4.4421410000000003</v>
      </c>
      <c r="E3273">
        <v>0.5879588</v>
      </c>
      <c r="F3273" t="s">
        <v>41</v>
      </c>
      <c r="G3273">
        <v>-206.7398</v>
      </c>
      <c r="H3273">
        <v>0.98805089999999995</v>
      </c>
      <c r="I3273">
        <v>214.29040000000001</v>
      </c>
      <c r="J3273">
        <v>-207.1636</v>
      </c>
      <c r="K3273">
        <v>1.106878</v>
      </c>
      <c r="L3273">
        <v>214.52850000000001</v>
      </c>
      <c r="M3273">
        <v>0.99147859999999999</v>
      </c>
      <c r="N3273">
        <v>-1.434879E-2</v>
      </c>
      <c r="O3273">
        <v>-0.12947709999999901</v>
      </c>
      <c r="P3273">
        <v>0.92210979999999998</v>
      </c>
      <c r="Q3273">
        <v>0.33893400000000001</v>
      </c>
      <c r="R3273">
        <v>-0.1866477</v>
      </c>
      <c r="S3273">
        <v>3.1972499999999999</v>
      </c>
      <c r="T3273">
        <v>-0.52378820000000004</v>
      </c>
      <c r="U3273">
        <v>-1.2437129999999901</v>
      </c>
      <c r="V3273">
        <v>6.925858E-2</v>
      </c>
      <c r="W3273">
        <v>0.3516784</v>
      </c>
      <c r="X3273">
        <v>0.93355540000000004</v>
      </c>
      <c r="Y3273">
        <v>0.23703959999999999</v>
      </c>
      <c r="Z3273">
        <v>-2.0127470000000001E-3</v>
      </c>
      <c r="AA3273">
        <v>0.97149790000000003</v>
      </c>
      <c r="AB3273">
        <v>28</v>
      </c>
      <c r="AC3273">
        <v>0.42380000000000001</v>
      </c>
      <c r="AD3273">
        <v>-0.1188271</v>
      </c>
      <c r="AE3273">
        <v>-0.238100000000002</v>
      </c>
      <c r="AF3273">
        <v>0.170999328824361</v>
      </c>
      <c r="AG3273">
        <v>-0.1188271</v>
      </c>
      <c r="AH3273">
        <v>0.42563022455564198</v>
      </c>
      <c r="AI3273">
        <v>104.523447866927</v>
      </c>
      <c r="AJ3273">
        <v>68.111928545215704</v>
      </c>
      <c r="AK3273">
        <v>0.47383724864986998</v>
      </c>
      <c r="AL3273">
        <v>69.409993462580005</v>
      </c>
      <c r="AM3273">
        <v>85.757115111306007</v>
      </c>
      <c r="AN3273">
        <v>1.00000006639966</v>
      </c>
    </row>
    <row r="3274" spans="1:40" x14ac:dyDescent="0.25">
      <c r="A3274" t="str">
        <f>"20190304164707955"</f>
        <v>20190304164707955</v>
      </c>
      <c r="B3274" t="str">
        <f>"1551689227951584"</f>
        <v>1551689227951584</v>
      </c>
      <c r="C3274" t="s">
        <v>40</v>
      </c>
      <c r="D3274">
        <v>4.4524670000000004</v>
      </c>
      <c r="E3274">
        <v>0.58693130000000004</v>
      </c>
      <c r="F3274" t="s">
        <v>45</v>
      </c>
      <c r="G3274">
        <v>-199.97139999999999</v>
      </c>
      <c r="H3274" s="1">
        <v>2.4658530000000002E-6</v>
      </c>
      <c r="I3274">
        <v>211.62450000000001</v>
      </c>
      <c r="J3274">
        <v>-206.91300000000001</v>
      </c>
      <c r="K3274">
        <v>1.1068800000000001</v>
      </c>
      <c r="L3274">
        <v>214.49039999999999</v>
      </c>
      <c r="M3274">
        <v>0.99082910000000002</v>
      </c>
      <c r="N3274">
        <v>-1.4348120000000001E-2</v>
      </c>
      <c r="O3274">
        <v>-0.13435820000000001</v>
      </c>
      <c r="P3274">
        <v>0.92116330000000002</v>
      </c>
      <c r="Q3274">
        <v>0.33921820000000003</v>
      </c>
      <c r="R3274">
        <v>-0.19075990000000001</v>
      </c>
      <c r="S3274">
        <v>3.1735690000000001</v>
      </c>
      <c r="T3274">
        <v>-0.48841210000000002</v>
      </c>
      <c r="U3274">
        <v>-1.2813870000000001</v>
      </c>
      <c r="V3274">
        <v>6.8840299999999993E-2</v>
      </c>
      <c r="W3274">
        <v>0.35196529999999998</v>
      </c>
      <c r="X3274">
        <v>0.93347809999999998</v>
      </c>
      <c r="Y3274">
        <v>0.24479400000000001</v>
      </c>
      <c r="Z3274">
        <v>-2.10612E-3</v>
      </c>
      <c r="AA3274">
        <v>0.96957280000000001</v>
      </c>
      <c r="AB3274">
        <v>28</v>
      </c>
      <c r="AC3274">
        <v>6.9415999999999896</v>
      </c>
      <c r="AD3274">
        <v>-1.1068775341470001</v>
      </c>
      <c r="AE3274">
        <v>-2.8658999999999799</v>
      </c>
      <c r="AF3274">
        <v>1.8666034431559</v>
      </c>
      <c r="AG3274">
        <v>-1.1068775341470001</v>
      </c>
      <c r="AH3274">
        <v>7.1093053493486202</v>
      </c>
      <c r="AI3274">
        <v>98.563829223145703</v>
      </c>
      <c r="AJ3274">
        <v>75.288598906098699</v>
      </c>
      <c r="AK3274">
        <v>7.4331425951529901</v>
      </c>
      <c r="AL3274">
        <v>69.392430319028506</v>
      </c>
      <c r="AM3274">
        <v>85.7822988673949</v>
      </c>
      <c r="AN3274">
        <v>0.99999996124389401</v>
      </c>
    </row>
    <row r="3275" spans="1:40" x14ac:dyDescent="0.25">
      <c r="A3275" t="str">
        <f>"20190304164707976"</f>
        <v>20190304164707976</v>
      </c>
      <c r="B3275" t="str">
        <f>"1551689227972079"</f>
        <v>1551689227972079</v>
      </c>
      <c r="C3275" t="s">
        <v>40</v>
      </c>
      <c r="D3275">
        <v>4.4179890000000004</v>
      </c>
      <c r="E3275">
        <v>0.58619869999999996</v>
      </c>
      <c r="F3275" t="s">
        <v>45</v>
      </c>
      <c r="G3275">
        <v>-199.9442</v>
      </c>
      <c r="H3275" s="1">
        <v>2.4590889999999998E-6</v>
      </c>
      <c r="I3275">
        <v>211.6602</v>
      </c>
      <c r="J3275">
        <v>-206.63679999999999</v>
      </c>
      <c r="K3275">
        <v>1.1068819999999999</v>
      </c>
      <c r="L3275">
        <v>214.4469</v>
      </c>
      <c r="M3275">
        <v>0.99008209999999996</v>
      </c>
      <c r="N3275">
        <v>-1.434768E-2</v>
      </c>
      <c r="O3275">
        <v>-0.13975599999999999</v>
      </c>
      <c r="P3275">
        <v>0.91993720000000001</v>
      </c>
      <c r="Q3275">
        <v>0.34018209999999999</v>
      </c>
      <c r="R3275">
        <v>-0.19491530000000001</v>
      </c>
      <c r="S3275">
        <v>3.17543</v>
      </c>
      <c r="T3275">
        <v>-0.5043647</v>
      </c>
      <c r="U3275">
        <v>-1.2896270000000001</v>
      </c>
      <c r="V3275">
        <v>6.8023130000000001E-2</v>
      </c>
      <c r="W3275">
        <v>0.35293239999999998</v>
      </c>
      <c r="X3275">
        <v>0.93317289999999997</v>
      </c>
      <c r="Y3275">
        <v>0.24147450000000001</v>
      </c>
      <c r="Z3275">
        <v>-1.0522140000000001E-3</v>
      </c>
      <c r="AA3275">
        <v>0.97040660000000001</v>
      </c>
      <c r="AB3275">
        <v>28</v>
      </c>
      <c r="AC3275">
        <v>6.6925999999999899</v>
      </c>
      <c r="AD3275">
        <v>-1.1068795409109999</v>
      </c>
      <c r="AE3275">
        <v>-2.78669999999999</v>
      </c>
      <c r="AF3275">
        <v>1.7823683812300499</v>
      </c>
      <c r="AG3275">
        <v>-1.1068795409109999</v>
      </c>
      <c r="AH3275">
        <v>6.8565651313390896</v>
      </c>
      <c r="AI3275">
        <v>98.8801494165766</v>
      </c>
      <c r="AJ3275">
        <v>75.428433761513503</v>
      </c>
      <c r="AK3275">
        <v>7.1703908376594798</v>
      </c>
      <c r="AL3275">
        <v>69.333221881539401</v>
      </c>
      <c r="AM3275">
        <v>85.830829379282804</v>
      </c>
      <c r="AN3275">
        <v>1.0000000432395799</v>
      </c>
    </row>
    <row r="3276" spans="1:40" x14ac:dyDescent="0.25">
      <c r="A3276" t="str">
        <f>"20190304164708001"</f>
        <v>20190304164708001</v>
      </c>
      <c r="B3276" t="str">
        <f>"1551689227991599"</f>
        <v>1551689227991599</v>
      </c>
      <c r="C3276" t="s">
        <v>40</v>
      </c>
      <c r="D3276">
        <v>4.4421010000000001</v>
      </c>
      <c r="E3276">
        <v>0.58566560000000001</v>
      </c>
      <c r="F3276" t="s">
        <v>41</v>
      </c>
      <c r="G3276">
        <v>-205.75479999999999</v>
      </c>
      <c r="H3276">
        <v>0.96454879999999998</v>
      </c>
      <c r="I3276">
        <v>214.08539999999999</v>
      </c>
      <c r="J3276">
        <v>-206.34440000000001</v>
      </c>
      <c r="K3276">
        <v>1.106867</v>
      </c>
      <c r="L3276">
        <v>214.39920000000001</v>
      </c>
      <c r="M3276">
        <v>0.98925339999999995</v>
      </c>
      <c r="N3276">
        <v>-1.434741E-2</v>
      </c>
      <c r="O3276">
        <v>-0.14550539999999901</v>
      </c>
      <c r="P3276">
        <v>0.91850860000000001</v>
      </c>
      <c r="Q3276">
        <v>0.3407289</v>
      </c>
      <c r="R3276">
        <v>-0.20061390000000001</v>
      </c>
      <c r="S3276">
        <v>3.1748500000000002</v>
      </c>
      <c r="T3276">
        <v>-0.51223589999999997</v>
      </c>
      <c r="U3276">
        <v>-1.3011170000000001</v>
      </c>
      <c r="V3276">
        <v>6.8432839999999995E-2</v>
      </c>
      <c r="W3276">
        <v>0.35346949999999999</v>
      </c>
      <c r="X3276">
        <v>0.93293959999999998</v>
      </c>
      <c r="Y3276">
        <v>0.23895279999999999</v>
      </c>
      <c r="Z3276" s="1">
        <v>-1.290441E-5</v>
      </c>
      <c r="AA3276">
        <v>0.97103119999999998</v>
      </c>
      <c r="AB3276">
        <v>28</v>
      </c>
      <c r="AC3276">
        <v>0.589600000000018</v>
      </c>
      <c r="AD3276">
        <v>-0.14231819999999901</v>
      </c>
      <c r="AE3276">
        <v>-0.31380000000001401</v>
      </c>
      <c r="AF3276">
        <v>0.21490347635594201</v>
      </c>
      <c r="AG3276">
        <v>-0.14231819999999901</v>
      </c>
      <c r="AH3276">
        <v>0.60167017797025102</v>
      </c>
      <c r="AI3276">
        <v>102.557936691837</v>
      </c>
      <c r="AJ3276">
        <v>70.344379598785594</v>
      </c>
      <c r="AK3276">
        <v>0.65455708479846297</v>
      </c>
      <c r="AL3276">
        <v>69.300327719428694</v>
      </c>
      <c r="AM3276">
        <v>85.804762303067207</v>
      </c>
      <c r="AN3276">
        <v>1.00000001913443</v>
      </c>
    </row>
    <row r="3277" spans="1:40" x14ac:dyDescent="0.25">
      <c r="A3277" t="str">
        <f>"20190304164708026"</f>
        <v>20190304164708026</v>
      </c>
      <c r="B3277" t="str">
        <f>"1551689228021855"</f>
        <v>1551689228021855</v>
      </c>
      <c r="C3277" t="s">
        <v>40</v>
      </c>
      <c r="D3277">
        <v>4.4102670000000002</v>
      </c>
      <c r="E3277">
        <v>0.58488980000000002</v>
      </c>
      <c r="F3277" t="s">
        <v>41</v>
      </c>
      <c r="G3277">
        <v>-205.51079999999999</v>
      </c>
      <c r="H3277">
        <v>0.97043400000000002</v>
      </c>
      <c r="I3277">
        <v>214.05269999999999</v>
      </c>
      <c r="J3277">
        <v>-206.02440000000001</v>
      </c>
      <c r="K3277">
        <v>1.1068439999999999</v>
      </c>
      <c r="L3277">
        <v>214.34479999999999</v>
      </c>
      <c r="M3277">
        <v>0.9882976</v>
      </c>
      <c r="N3277">
        <v>-1.434799E-2</v>
      </c>
      <c r="O3277">
        <v>-0.1518621</v>
      </c>
      <c r="P3277">
        <v>0.91672580000000004</v>
      </c>
      <c r="Q3277">
        <v>0.34177629999999998</v>
      </c>
      <c r="R3277">
        <v>-0.2068893</v>
      </c>
      <c r="S3277">
        <v>3.1708980000000002</v>
      </c>
      <c r="T3277">
        <v>-0.51879529999999996</v>
      </c>
      <c r="U3277">
        <v>-1.3174129999999999</v>
      </c>
      <c r="V3277">
        <v>6.8908499999999998E-2</v>
      </c>
      <c r="W3277">
        <v>0.35450280000000001</v>
      </c>
      <c r="X3277">
        <v>0.93251240000000002</v>
      </c>
      <c r="Y3277">
        <v>0.23744480000000001</v>
      </c>
      <c r="Z3277">
        <v>1.043839E-3</v>
      </c>
      <c r="AA3277">
        <v>0.9714005</v>
      </c>
      <c r="AB3277">
        <v>28</v>
      </c>
      <c r="AC3277">
        <v>0.51360000000002504</v>
      </c>
      <c r="AD3277">
        <v>-0.13641</v>
      </c>
      <c r="AE3277">
        <v>-0.29210000000000402</v>
      </c>
      <c r="AF3277">
        <v>0.20004450837167201</v>
      </c>
      <c r="AG3277">
        <v>-0.13641</v>
      </c>
      <c r="AH3277">
        <v>0.52407192707059203</v>
      </c>
      <c r="AI3277">
        <v>103.667620695102</v>
      </c>
      <c r="AJ3277">
        <v>69.107547729499103</v>
      </c>
      <c r="AK3277">
        <v>0.57730137551641703</v>
      </c>
      <c r="AL3277">
        <v>69.237024696226101</v>
      </c>
      <c r="AM3277">
        <v>85.773779211745705</v>
      </c>
      <c r="AN3277">
        <v>0.99999999636692405</v>
      </c>
    </row>
    <row r="3278" spans="1:40" x14ac:dyDescent="0.25">
      <c r="A3278" t="str">
        <f>"20190304164708063"</f>
        <v>20190304164708063</v>
      </c>
      <c r="B3278" t="str">
        <f>"1551689228052112"</f>
        <v>1551689228052112</v>
      </c>
      <c r="C3278" t="s">
        <v>40</v>
      </c>
      <c r="D3278">
        <v>4.4283989999999998</v>
      </c>
      <c r="E3278">
        <v>0.58431509999999998</v>
      </c>
      <c r="F3278" t="s">
        <v>41</v>
      </c>
      <c r="G3278">
        <v>-205.26050000000001</v>
      </c>
      <c r="H3278">
        <v>0.97975719999999999</v>
      </c>
      <c r="I3278">
        <v>214.023</v>
      </c>
      <c r="J3278">
        <v>-205.57050000000001</v>
      </c>
      <c r="K3278">
        <v>1.1067819999999999</v>
      </c>
      <c r="L3278">
        <v>214.26400000000001</v>
      </c>
      <c r="M3278">
        <v>0.98683960000000004</v>
      </c>
      <c r="N3278">
        <v>-1.435145E-2</v>
      </c>
      <c r="O3278">
        <v>-0.16106419999999999</v>
      </c>
      <c r="P3278">
        <v>0.91399030000000003</v>
      </c>
      <c r="Q3278">
        <v>0.34384880000000001</v>
      </c>
      <c r="R3278">
        <v>-0.21538370000000001</v>
      </c>
      <c r="S3278">
        <v>3.1678160000000002</v>
      </c>
      <c r="T3278">
        <v>-0.52685380000000004</v>
      </c>
      <c r="U3278">
        <v>-1.3342290000000001</v>
      </c>
      <c r="V3278">
        <v>6.9079689999999999E-2</v>
      </c>
      <c r="W3278">
        <v>0.35655379999999998</v>
      </c>
      <c r="X3278">
        <v>0.93171749999999998</v>
      </c>
      <c r="Y3278">
        <v>0.2332198</v>
      </c>
      <c r="Z3278">
        <v>2.776606E-3</v>
      </c>
      <c r="AA3278">
        <v>0.97242010000000001</v>
      </c>
      <c r="AB3278">
        <v>28</v>
      </c>
      <c r="AC3278">
        <v>0.310000000000002</v>
      </c>
      <c r="AD3278">
        <v>-0.12702479999999899</v>
      </c>
      <c r="AE3278">
        <v>-0.24100000000001301</v>
      </c>
      <c r="AF3278">
        <v>0.17011497438762899</v>
      </c>
      <c r="AG3278">
        <v>-0.12702479999999899</v>
      </c>
      <c r="AH3278">
        <v>0.31210947036675202</v>
      </c>
      <c r="AI3278">
        <v>109.664543993644</v>
      </c>
      <c r="AJ3278">
        <v>61.407448635680097</v>
      </c>
      <c r="AK3278">
        <v>0.37747413927123202</v>
      </c>
      <c r="AL3278">
        <v>69.111297984663693</v>
      </c>
      <c r="AM3278">
        <v>85.759716785282706</v>
      </c>
      <c r="AN3278">
        <v>1.0000000578355901</v>
      </c>
    </row>
    <row r="3279" spans="1:40" x14ac:dyDescent="0.25">
      <c r="A3279" t="str">
        <f>"20190304164708088"</f>
        <v>20190304164708088</v>
      </c>
      <c r="B3279" t="str">
        <f>"1551689228082369"</f>
        <v>1551689228082369</v>
      </c>
      <c r="C3279" t="s">
        <v>40</v>
      </c>
      <c r="D3279">
        <v>4.3894950000000001</v>
      </c>
      <c r="E3279">
        <v>0.58389279999999999</v>
      </c>
      <c r="F3279" t="s">
        <v>41</v>
      </c>
      <c r="G3279">
        <v>-204.77369999999999</v>
      </c>
      <c r="H3279">
        <v>0.97400869999999995</v>
      </c>
      <c r="I3279">
        <v>213.92019999999999</v>
      </c>
      <c r="J3279">
        <v>-205.26560000000001</v>
      </c>
      <c r="K3279">
        <v>1.1067149999999999</v>
      </c>
      <c r="L3279">
        <v>214.20699999999999</v>
      </c>
      <c r="M3279">
        <v>0.98578449999999995</v>
      </c>
      <c r="N3279">
        <v>-1.4355929999999999E-2</v>
      </c>
      <c r="O3279">
        <v>-0.16740039999999901</v>
      </c>
      <c r="P3279">
        <v>0.91225959999999995</v>
      </c>
      <c r="Q3279">
        <v>0.3441845</v>
      </c>
      <c r="R3279">
        <v>-0.22208140000000001</v>
      </c>
      <c r="S3279">
        <v>3.1592099999999999</v>
      </c>
      <c r="T3279">
        <v>-0.5262578</v>
      </c>
      <c r="U3279">
        <v>-1.362579</v>
      </c>
      <c r="V3279">
        <v>7.0019280000000003E-2</v>
      </c>
      <c r="W3279">
        <v>0.3568692</v>
      </c>
      <c r="X3279">
        <v>0.93152650000000004</v>
      </c>
      <c r="Y3279">
        <v>0.23533879999999999</v>
      </c>
      <c r="Z3279">
        <v>3.4740029999999998E-3</v>
      </c>
      <c r="AA3279">
        <v>0.97190719999999997</v>
      </c>
      <c r="AB3279">
        <v>28</v>
      </c>
      <c r="AC3279">
        <v>0.49190000000001499</v>
      </c>
      <c r="AD3279">
        <v>-0.132706299999999</v>
      </c>
      <c r="AE3279">
        <v>-0.286799999999999</v>
      </c>
      <c r="AF3279">
        <v>0.19007490102500599</v>
      </c>
      <c r="AG3279">
        <v>-0.132706299999999</v>
      </c>
      <c r="AH3279">
        <v>0.50551423237288695</v>
      </c>
      <c r="AI3279">
        <v>103.80529799874201</v>
      </c>
      <c r="AJ3279">
        <v>69.393585501805603</v>
      </c>
      <c r="AK3279">
        <v>0.55613313980638202</v>
      </c>
      <c r="AL3279">
        <v>69.091952508882898</v>
      </c>
      <c r="AM3279">
        <v>85.701379158727804</v>
      </c>
      <c r="AN3279">
        <v>0.99999997284130304</v>
      </c>
    </row>
    <row r="3280" spans="1:40" x14ac:dyDescent="0.25">
      <c r="A3280" t="str">
        <f>"20190304164708109"</f>
        <v>20190304164708109</v>
      </c>
      <c r="B3280" t="str">
        <f>"1551689228101889"</f>
        <v>1551689228101889</v>
      </c>
      <c r="C3280" t="s">
        <v>40</v>
      </c>
      <c r="D3280">
        <v>4.4151899999999999</v>
      </c>
      <c r="E3280">
        <v>0.58360199999999995</v>
      </c>
      <c r="F3280" t="s">
        <v>41</v>
      </c>
      <c r="G3280">
        <v>-204.5241</v>
      </c>
      <c r="H3280">
        <v>0.98168580000000005</v>
      </c>
      <c r="I3280">
        <v>213.88200000000001</v>
      </c>
      <c r="J3280">
        <v>-204.99639999999999</v>
      </c>
      <c r="K3280">
        <v>1.106644</v>
      </c>
      <c r="L3280">
        <v>214.1549</v>
      </c>
      <c r="M3280">
        <v>0.98479729999999999</v>
      </c>
      <c r="N3280">
        <v>-1.4360700000000001E-2</v>
      </c>
      <c r="O3280">
        <v>-0.17311260000000001</v>
      </c>
      <c r="P3280">
        <v>0.91067330000000002</v>
      </c>
      <c r="Q3280">
        <v>0.34417520000000001</v>
      </c>
      <c r="R3280">
        <v>-0.2285114</v>
      </c>
      <c r="S3280">
        <v>3.152695</v>
      </c>
      <c r="T3280">
        <v>-0.53135559999999904</v>
      </c>
      <c r="U3280">
        <v>-1.381516</v>
      </c>
      <c r="V3280">
        <v>7.1258989999999994E-2</v>
      </c>
      <c r="W3280">
        <v>0.3568384</v>
      </c>
      <c r="X3280">
        <v>0.9314443</v>
      </c>
      <c r="Y3280">
        <v>0.2353768</v>
      </c>
      <c r="Z3280">
        <v>4.3531539999999997E-3</v>
      </c>
      <c r="AA3280">
        <v>0.97189440000000005</v>
      </c>
      <c r="AB3280">
        <v>28</v>
      </c>
      <c r="AC3280">
        <v>0.47229999999999001</v>
      </c>
      <c r="AD3280">
        <v>-0.12495819999999901</v>
      </c>
      <c r="AE3280">
        <v>-0.27289999999999198</v>
      </c>
      <c r="AF3280">
        <v>0.17768475837915701</v>
      </c>
      <c r="AG3280">
        <v>-0.12495819999999901</v>
      </c>
      <c r="AH3280">
        <v>0.48686508782134602</v>
      </c>
      <c r="AI3280">
        <v>103.555517911001</v>
      </c>
      <c r="AJ3280">
        <v>69.950098553232394</v>
      </c>
      <c r="AK3280">
        <v>0.53312666304245804</v>
      </c>
      <c r="AL3280">
        <v>69.093841877107195</v>
      </c>
      <c r="AM3280">
        <v>85.625179247597899</v>
      </c>
      <c r="AN3280">
        <v>0.999999985686435</v>
      </c>
    </row>
    <row r="3281" spans="1:40" x14ac:dyDescent="0.25">
      <c r="A3281" t="str">
        <f>"20190304164708132"</f>
        <v>20190304164708132</v>
      </c>
      <c r="B3281" t="str">
        <f>"1551689228122384"</f>
        <v>1551689228122384</v>
      </c>
      <c r="C3281" t="s">
        <v>40</v>
      </c>
      <c r="D3281">
        <v>4.2251180000000002</v>
      </c>
      <c r="E3281">
        <v>0.58417159999999901</v>
      </c>
      <c r="F3281" t="s">
        <v>41</v>
      </c>
      <c r="G3281">
        <v>-204.2784</v>
      </c>
      <c r="H3281">
        <v>0.98429230000000001</v>
      </c>
      <c r="I3281">
        <v>213.83519999999999</v>
      </c>
      <c r="J3281">
        <v>-204.71719999999999</v>
      </c>
      <c r="K3281">
        <v>1.1065560000000001</v>
      </c>
      <c r="L3281">
        <v>214.09909999999999</v>
      </c>
      <c r="M3281">
        <v>0.98371209999999998</v>
      </c>
      <c r="N3281">
        <v>-1.4366550000000001E-2</v>
      </c>
      <c r="O3281">
        <v>-0.17917669999999999</v>
      </c>
      <c r="P3281">
        <v>0.9091669</v>
      </c>
      <c r="Q3281">
        <v>0.34337060000000003</v>
      </c>
      <c r="R3281">
        <v>-0.2356106</v>
      </c>
      <c r="S3281">
        <v>3.1453700000000002</v>
      </c>
      <c r="T3281">
        <v>-0.53599479999999999</v>
      </c>
      <c r="U3281">
        <v>-1.4007259999999999</v>
      </c>
      <c r="V3281">
        <v>7.2808360000000003E-2</v>
      </c>
      <c r="W3281">
        <v>0.35601070000000001</v>
      </c>
      <c r="X3281">
        <v>0.93164119999999995</v>
      </c>
      <c r="Y3281">
        <v>0.23522879999999999</v>
      </c>
      <c r="Z3281">
        <v>5.308831E-3</v>
      </c>
      <c r="AA3281">
        <v>0.97192559999999995</v>
      </c>
      <c r="AB3281">
        <v>28</v>
      </c>
      <c r="AC3281">
        <v>0.43879999999998598</v>
      </c>
      <c r="AD3281">
        <v>-0.122263699999999</v>
      </c>
      <c r="AE3281">
        <v>-0.26390000000000602</v>
      </c>
      <c r="AF3281">
        <v>0.17123477812585799</v>
      </c>
      <c r="AG3281">
        <v>-0.122263699999999</v>
      </c>
      <c r="AH3281">
        <v>0.45315105552811502</v>
      </c>
      <c r="AI3281">
        <v>104.16502659764799</v>
      </c>
      <c r="AJ3281">
        <v>69.299638961851002</v>
      </c>
      <c r="AK3281">
        <v>0.49961549285800499</v>
      </c>
      <c r="AL3281">
        <v>69.144599451298703</v>
      </c>
      <c r="AM3281">
        <v>85.5313805471406</v>
      </c>
      <c r="AN3281">
        <v>1.0000000006689</v>
      </c>
    </row>
    <row r="3282" spans="1:40" x14ac:dyDescent="0.25">
      <c r="A3282" t="str">
        <f>"20190304164708154"</f>
        <v>20190304164708154</v>
      </c>
      <c r="B3282" t="str">
        <f>"1551689228141904"</f>
        <v>1551689228141904</v>
      </c>
      <c r="C3282" t="s">
        <v>40</v>
      </c>
      <c r="D3282">
        <v>4.3755189999999997</v>
      </c>
      <c r="E3282">
        <v>0.58410839999999997</v>
      </c>
      <c r="F3282" t="s">
        <v>41</v>
      </c>
      <c r="G3282">
        <v>-204.03149999999999</v>
      </c>
      <c r="H3282">
        <v>0.99093439999999999</v>
      </c>
      <c r="I3282">
        <v>213.78579999999999</v>
      </c>
      <c r="J3282">
        <v>-204.45320000000001</v>
      </c>
      <c r="K3282">
        <v>1.1064620000000001</v>
      </c>
      <c r="L3282">
        <v>214.0445</v>
      </c>
      <c r="M3282">
        <v>0.98262240000000001</v>
      </c>
      <c r="N3282">
        <v>-1.437366E-2</v>
      </c>
      <c r="O3282">
        <v>-0.185059</v>
      </c>
      <c r="P3282">
        <v>0.90784600000000004</v>
      </c>
      <c r="Q3282">
        <v>0.34242030000000001</v>
      </c>
      <c r="R3282">
        <v>-0.24200070000000001</v>
      </c>
      <c r="S3282">
        <v>3.128647</v>
      </c>
      <c r="T3282">
        <v>-0.52730600000000005</v>
      </c>
      <c r="U3282">
        <v>-1.4286190000000001</v>
      </c>
      <c r="V3282">
        <v>7.3795079999999999E-2</v>
      </c>
      <c r="W3282">
        <v>0.3550449</v>
      </c>
      <c r="X3282">
        <v>0.93193210000000004</v>
      </c>
      <c r="Y3282">
        <v>0.23857809999999999</v>
      </c>
      <c r="Z3282">
        <v>5.7109300000000003E-3</v>
      </c>
      <c r="AA3282">
        <v>0.97110649999999998</v>
      </c>
      <c r="AB3282">
        <v>28</v>
      </c>
      <c r="AC3282">
        <v>0.42170000000001501</v>
      </c>
      <c r="AD3282">
        <v>-0.11552759999999899</v>
      </c>
      <c r="AE3282">
        <v>-0.25870000000000398</v>
      </c>
      <c r="AF3282">
        <v>0.16707270744744701</v>
      </c>
      <c r="AG3282">
        <v>-0.11552759999999899</v>
      </c>
      <c r="AH3282">
        <v>0.43838890085707699</v>
      </c>
      <c r="AI3282">
        <v>103.83388660233</v>
      </c>
      <c r="AJ3282">
        <v>69.137848450250701</v>
      </c>
      <c r="AK3282">
        <v>0.48316119911501199</v>
      </c>
      <c r="AL3282">
        <v>69.203804146254399</v>
      </c>
      <c r="AM3282">
        <v>85.4724786022296</v>
      </c>
      <c r="AN3282">
        <v>1.00000001692931</v>
      </c>
    </row>
    <row r="3283" spans="1:40" x14ac:dyDescent="0.25">
      <c r="A3283" t="str">
        <f>"20190304164708177"</f>
        <v>20190304164708177</v>
      </c>
      <c r="B3283" t="str">
        <f>"1551689228172160"</f>
        <v>1551689228172160</v>
      </c>
      <c r="C3283" t="s">
        <v>40</v>
      </c>
      <c r="D3283">
        <v>4.3967390000000002</v>
      </c>
      <c r="E3283">
        <v>0.58372630000000003</v>
      </c>
      <c r="F3283" t="s">
        <v>41</v>
      </c>
      <c r="G3283">
        <v>-203.78729999999999</v>
      </c>
      <c r="H3283">
        <v>0.99300089999999996</v>
      </c>
      <c r="I3283">
        <v>213.73490000000001</v>
      </c>
      <c r="J3283">
        <v>-204.17959999999999</v>
      </c>
      <c r="K3283">
        <v>1.1063590000000001</v>
      </c>
      <c r="L3283">
        <v>213.98589999999999</v>
      </c>
      <c r="M3283">
        <v>0.98142370000000001</v>
      </c>
      <c r="N3283">
        <v>-1.438247E-2</v>
      </c>
      <c r="O3283">
        <v>-0.19131339999999999</v>
      </c>
      <c r="P3283">
        <v>0.90623410000000004</v>
      </c>
      <c r="Q3283">
        <v>0.34182210000000002</v>
      </c>
      <c r="R3283">
        <v>-0.2487925</v>
      </c>
      <c r="S3283">
        <v>3.1185149999999999</v>
      </c>
      <c r="T3283">
        <v>-0.53149029999999997</v>
      </c>
      <c r="U3283">
        <v>-1.4498139999999999</v>
      </c>
      <c r="V3283">
        <v>7.4880580000000002E-2</v>
      </c>
      <c r="W3283">
        <v>0.3544274</v>
      </c>
      <c r="X3283">
        <v>0.93208060000000004</v>
      </c>
      <c r="Y3283">
        <v>0.2390639</v>
      </c>
      <c r="Z3283">
        <v>6.6421240000000001E-3</v>
      </c>
      <c r="AA3283">
        <v>0.97098110000000004</v>
      </c>
      <c r="AB3283">
        <v>28</v>
      </c>
      <c r="AC3283">
        <v>0.39230000000000498</v>
      </c>
      <c r="AD3283">
        <v>-0.1133581</v>
      </c>
      <c r="AE3283">
        <v>-0.25099999999997602</v>
      </c>
      <c r="AF3283">
        <v>0.16172175044273801</v>
      </c>
      <c r="AG3283">
        <v>-0.1133581</v>
      </c>
      <c r="AH3283">
        <v>0.40885471956501102</v>
      </c>
      <c r="AI3283">
        <v>104.457220032626</v>
      </c>
      <c r="AJ3283">
        <v>68.418814620432002</v>
      </c>
      <c r="AK3283">
        <v>0.454055244560017</v>
      </c>
      <c r="AL3283">
        <v>69.241646252888302</v>
      </c>
      <c r="AM3283">
        <v>85.406892094048899</v>
      </c>
      <c r="AN3283">
        <v>1.00000006401412</v>
      </c>
    </row>
    <row r="3284" spans="1:40" x14ac:dyDescent="0.25">
      <c r="A3284" t="str">
        <f>"20190304164708199"</f>
        <v>20190304164708199</v>
      </c>
      <c r="B3284" t="str">
        <f>"1551689228191680"</f>
        <v>1551689228191680</v>
      </c>
      <c r="C3284" t="s">
        <v>40</v>
      </c>
      <c r="D3284">
        <v>4.545947</v>
      </c>
      <c r="E3284">
        <v>0.5836365</v>
      </c>
      <c r="F3284" t="s">
        <v>41</v>
      </c>
      <c r="G3284">
        <v>-203.32419999999999</v>
      </c>
      <c r="H3284">
        <v>0.95848100000000003</v>
      </c>
      <c r="I3284">
        <v>213.5812</v>
      </c>
      <c r="J3284">
        <v>-203.90309999999999</v>
      </c>
      <c r="K3284">
        <v>1.1062620000000001</v>
      </c>
      <c r="L3284">
        <v>213.9246</v>
      </c>
      <c r="M3284">
        <v>0.98014000000000001</v>
      </c>
      <c r="N3284">
        <v>-1.4391940000000001E-2</v>
      </c>
      <c r="O3284">
        <v>-0.19778419999999999</v>
      </c>
      <c r="P3284">
        <v>0.90444009999999997</v>
      </c>
      <c r="Q3284">
        <v>0.34163139999999997</v>
      </c>
      <c r="R3284">
        <v>-0.25549240000000001</v>
      </c>
      <c r="S3284">
        <v>3.1093139999999999</v>
      </c>
      <c r="T3284">
        <v>-0.53745589999999999</v>
      </c>
      <c r="U3284">
        <v>-1.4708399999999999</v>
      </c>
      <c r="V3284">
        <v>7.5701980000000002E-2</v>
      </c>
      <c r="W3284">
        <v>0.35421920000000001</v>
      </c>
      <c r="X3284">
        <v>0.93209330000000001</v>
      </c>
      <c r="Y3284">
        <v>0.23917659999999999</v>
      </c>
      <c r="Z3284">
        <v>7.6893269999999897E-3</v>
      </c>
      <c r="AA3284">
        <v>0.97094570000000002</v>
      </c>
      <c r="AB3284">
        <v>28</v>
      </c>
      <c r="AC3284">
        <v>0.57890000000000397</v>
      </c>
      <c r="AD3284">
        <v>-0.147781</v>
      </c>
      <c r="AE3284">
        <v>-0.34340000000000198</v>
      </c>
      <c r="AF3284">
        <v>0.211891554586529</v>
      </c>
      <c r="AG3284">
        <v>-0.147781</v>
      </c>
      <c r="AH3284">
        <v>0.60616758424790596</v>
      </c>
      <c r="AI3284">
        <v>102.96038984803801</v>
      </c>
      <c r="AJ3284">
        <v>70.732448312238205</v>
      </c>
      <c r="AK3284">
        <v>0.65892062880064595</v>
      </c>
      <c r="AL3284">
        <v>69.254400925413194</v>
      </c>
      <c r="AM3284">
        <v>85.356790263385193</v>
      </c>
      <c r="AN3284">
        <v>0.99999997566472398</v>
      </c>
    </row>
    <row r="3285" spans="1:40" x14ac:dyDescent="0.25">
      <c r="A3285" t="str">
        <f>"20190304164708227"</f>
        <v>20190304164708227</v>
      </c>
      <c r="B3285" t="str">
        <f>"1551689228221935"</f>
        <v>1551689228221935</v>
      </c>
      <c r="C3285" t="s">
        <v>40</v>
      </c>
      <c r="D3285">
        <v>4.5466280000000001</v>
      </c>
      <c r="E3285">
        <v>0.58436080000000001</v>
      </c>
      <c r="F3285" t="s">
        <v>41</v>
      </c>
      <c r="G3285">
        <v>-203.0821</v>
      </c>
      <c r="H3285">
        <v>0.96267259999999999</v>
      </c>
      <c r="I3285">
        <v>213.52940000000001</v>
      </c>
      <c r="J3285">
        <v>-203.5675</v>
      </c>
      <c r="K3285">
        <v>1.10616</v>
      </c>
      <c r="L3285">
        <v>213.8475</v>
      </c>
      <c r="M3285">
        <v>0.97848740000000001</v>
      </c>
      <c r="N3285">
        <v>-1.4402760000000001E-2</v>
      </c>
      <c r="O3285">
        <v>-0.20580399999999999</v>
      </c>
      <c r="P3285">
        <v>0.90238149999999995</v>
      </c>
      <c r="Q3285">
        <v>0.34057559999999998</v>
      </c>
      <c r="R3285">
        <v>-0.2640383</v>
      </c>
      <c r="S3285">
        <v>3.1003419999999999</v>
      </c>
      <c r="T3285">
        <v>-0.54208699999999999</v>
      </c>
      <c r="U3285">
        <v>-1.4917910000000001</v>
      </c>
      <c r="V3285">
        <v>7.688847E-2</v>
      </c>
      <c r="W3285">
        <v>0.353145599999999</v>
      </c>
      <c r="X3285">
        <v>0.93240350000000005</v>
      </c>
      <c r="Y3285">
        <v>0.23773659999999999</v>
      </c>
      <c r="Z3285">
        <v>9.0878230000000001E-3</v>
      </c>
      <c r="AA3285">
        <v>0.97128709999999996</v>
      </c>
      <c r="AB3285">
        <v>28</v>
      </c>
      <c r="AC3285">
        <v>0.485399999999998</v>
      </c>
      <c r="AD3285">
        <v>-0.14348739999999899</v>
      </c>
      <c r="AE3285">
        <v>-0.31809999999998601</v>
      </c>
      <c r="AF3285">
        <v>0.19920412258831599</v>
      </c>
      <c r="AG3285">
        <v>-0.14348739999999899</v>
      </c>
      <c r="AH3285">
        <v>0.50934381973865905</v>
      </c>
      <c r="AI3285">
        <v>104.700741120909</v>
      </c>
      <c r="AJ3285">
        <v>68.639555932256599</v>
      </c>
      <c r="AK3285">
        <v>0.56542200445411395</v>
      </c>
      <c r="AL3285">
        <v>69.320164116362704</v>
      </c>
      <c r="AM3285">
        <v>85.2859039046498</v>
      </c>
      <c r="AN3285">
        <v>0.99999996921527501</v>
      </c>
    </row>
    <row r="3286" spans="1:40" x14ac:dyDescent="0.25">
      <c r="A3286" t="str">
        <f>"20190304164708249"</f>
        <v>20190304164708249</v>
      </c>
      <c r="B3286" t="str">
        <f>"1551689228242432"</f>
        <v>1551689228242432</v>
      </c>
      <c r="C3286" t="s">
        <v>40</v>
      </c>
      <c r="D3286">
        <v>3.9703729999999999</v>
      </c>
      <c r="E3286">
        <v>0.5845979</v>
      </c>
      <c r="F3286" t="s">
        <v>41</v>
      </c>
      <c r="G3286">
        <v>-202.83459999999999</v>
      </c>
      <c r="H3286">
        <v>0.97564720000000005</v>
      </c>
      <c r="I3286">
        <v>213.48500000000001</v>
      </c>
      <c r="J3286">
        <v>-203.3023</v>
      </c>
      <c r="K3286">
        <v>1.106085</v>
      </c>
      <c r="L3286">
        <v>213.78440000000001</v>
      </c>
      <c r="M3286">
        <v>0.97710509999999995</v>
      </c>
      <c r="N3286">
        <v>-1.4410269999999999E-2</v>
      </c>
      <c r="O3286">
        <v>-0.21226829999999999</v>
      </c>
      <c r="P3286">
        <v>0.90051029999999999</v>
      </c>
      <c r="Q3286">
        <v>0.3399433</v>
      </c>
      <c r="R3286">
        <v>-0.27114500000000002</v>
      </c>
      <c r="S3286">
        <v>3.0854949999999999</v>
      </c>
      <c r="T3286">
        <v>-0.54929539999999999</v>
      </c>
      <c r="U3286">
        <v>-1.5255430000000001</v>
      </c>
      <c r="V3286">
        <v>7.808532E-2</v>
      </c>
      <c r="W3286">
        <v>0.35249560000000002</v>
      </c>
      <c r="X3286">
        <v>0.93254999999999999</v>
      </c>
      <c r="Y3286">
        <v>0.24170430000000001</v>
      </c>
      <c r="Z3286">
        <v>9.8707099999999996E-3</v>
      </c>
      <c r="AA3286">
        <v>0.97029969999999999</v>
      </c>
      <c r="AB3286">
        <v>28</v>
      </c>
      <c r="AC3286">
        <v>0.467700000000007</v>
      </c>
      <c r="AD3286">
        <v>-0.13043779999999999</v>
      </c>
      <c r="AE3286">
        <v>-0.29939999999999101</v>
      </c>
      <c r="AF3286">
        <v>0.183181072855397</v>
      </c>
      <c r="AG3286">
        <v>-0.13043779999999999</v>
      </c>
      <c r="AH3286">
        <v>0.493378778317483</v>
      </c>
      <c r="AI3286">
        <v>103.91999768949999</v>
      </c>
      <c r="AJ3286">
        <v>69.631106891620107</v>
      </c>
      <c r="AK3286">
        <v>0.54221023968138604</v>
      </c>
      <c r="AL3286">
        <v>69.359966310974201</v>
      </c>
      <c r="AM3286">
        <v>85.213611011832199</v>
      </c>
      <c r="AN3286">
        <v>0.99999998385943101</v>
      </c>
    </row>
    <row r="3287" spans="1:40" x14ac:dyDescent="0.25">
      <c r="A3287" t="str">
        <f>"20190304164708269"</f>
        <v>20190304164708269</v>
      </c>
      <c r="B3287" t="str">
        <f>"1551689228261952"</f>
        <v>1551689228261952</v>
      </c>
      <c r="C3287" t="s">
        <v>40</v>
      </c>
      <c r="D3287">
        <v>3.9615179999999999</v>
      </c>
      <c r="E3287">
        <v>0.5845979</v>
      </c>
      <c r="F3287" t="s">
        <v>41</v>
      </c>
      <c r="G3287">
        <v>-202.5934</v>
      </c>
      <c r="H3287">
        <v>0.97848650000000004</v>
      </c>
      <c r="I3287">
        <v>213.4265</v>
      </c>
      <c r="J3287">
        <v>-203.0506</v>
      </c>
      <c r="K3287">
        <v>1.106012</v>
      </c>
      <c r="L3287">
        <v>213.7227</v>
      </c>
      <c r="M3287">
        <v>0.97572650000000005</v>
      </c>
      <c r="N3287">
        <v>-1.4417630000000001E-2</v>
      </c>
      <c r="O3287">
        <v>-0.2185175</v>
      </c>
      <c r="P3287">
        <v>0.8988488</v>
      </c>
      <c r="Q3287">
        <v>0.33822160000000001</v>
      </c>
      <c r="R3287">
        <v>-0.27870539999999999</v>
      </c>
      <c r="S3287">
        <v>3.0731959999999998</v>
      </c>
      <c r="T3287">
        <v>-0.55283549999999904</v>
      </c>
      <c r="U3287">
        <v>-1.5508120000000001</v>
      </c>
      <c r="V3287">
        <v>7.9860780000000006E-2</v>
      </c>
      <c r="W3287">
        <v>0.3507537</v>
      </c>
      <c r="X3287">
        <v>0.93305629999999995</v>
      </c>
      <c r="Y3287">
        <v>0.24344560000000001</v>
      </c>
      <c r="Z3287">
        <v>1.0742410000000001E-2</v>
      </c>
      <c r="AA3287">
        <v>0.96985509999999997</v>
      </c>
      <c r="AB3287">
        <v>28</v>
      </c>
      <c r="AC3287">
        <v>0.4572</v>
      </c>
      <c r="AD3287">
        <v>-0.12752550000000001</v>
      </c>
      <c r="AE3287">
        <v>-0.29619999999999802</v>
      </c>
      <c r="AF3287">
        <v>0.17929813445828599</v>
      </c>
      <c r="AG3287">
        <v>-0.12752550000000001</v>
      </c>
      <c r="AH3287">
        <v>0.48433846372419498</v>
      </c>
      <c r="AI3287">
        <v>103.870142349594</v>
      </c>
      <c r="AJ3287">
        <v>69.685860141363307</v>
      </c>
      <c r="AK3287">
        <v>0.53197210604803802</v>
      </c>
      <c r="AL3287">
        <v>69.466577887360899</v>
      </c>
      <c r="AM3287">
        <v>85.107946782889698</v>
      </c>
      <c r="AN3287">
        <v>0.99999998060779305</v>
      </c>
    </row>
    <row r="3288" spans="1:40" x14ac:dyDescent="0.25">
      <c r="A3288" t="str">
        <f>"20190304164708289"</f>
        <v>20190304164708289</v>
      </c>
      <c r="B3288" t="str">
        <f>"1551689228282448"</f>
        <v>1551689228282448</v>
      </c>
      <c r="C3288" t="s">
        <v>40</v>
      </c>
      <c r="D3288">
        <v>4.5740239999999996</v>
      </c>
      <c r="E3288">
        <v>0.58526060000000002</v>
      </c>
      <c r="F3288" t="s">
        <v>41</v>
      </c>
      <c r="G3288">
        <v>-202.3545</v>
      </c>
      <c r="H3288">
        <v>0.97869660000000003</v>
      </c>
      <c r="I3288">
        <v>213.3646</v>
      </c>
      <c r="J3288">
        <v>-202.81780000000001</v>
      </c>
      <c r="K3288">
        <v>1.1059410000000001</v>
      </c>
      <c r="L3288">
        <v>213.66399999999999</v>
      </c>
      <c r="M3288">
        <v>0.97439180000000003</v>
      </c>
      <c r="N3288">
        <v>-1.442538E-2</v>
      </c>
      <c r="O3288">
        <v>-0.2243937</v>
      </c>
      <c r="P3288">
        <v>0.89706459999999999</v>
      </c>
      <c r="Q3288">
        <v>0.33655649999999998</v>
      </c>
      <c r="R3288">
        <v>-0.28636529999999999</v>
      </c>
      <c r="S3288">
        <v>3.06012</v>
      </c>
      <c r="T3288">
        <v>-0.55959380000000003</v>
      </c>
      <c r="U3288">
        <v>-1.57402</v>
      </c>
      <c r="V3288">
        <v>8.2106659999999998E-2</v>
      </c>
      <c r="W3288">
        <v>0.34906169999999997</v>
      </c>
      <c r="X3288">
        <v>0.93349579999999999</v>
      </c>
      <c r="Y3288">
        <v>0.24512030000000001</v>
      </c>
      <c r="Z3288">
        <v>1.167695E-2</v>
      </c>
      <c r="AA3288">
        <v>0.96942229999999996</v>
      </c>
      <c r="AB3288">
        <v>27</v>
      </c>
      <c r="AC3288">
        <v>0.46330000000000299</v>
      </c>
      <c r="AD3288">
        <v>-0.12724440000000001</v>
      </c>
      <c r="AE3288">
        <v>-0.29940000000001898</v>
      </c>
      <c r="AF3288">
        <v>0.178303316255189</v>
      </c>
      <c r="AG3288">
        <v>-0.12724440000000001</v>
      </c>
      <c r="AH3288">
        <v>0.492468872852799</v>
      </c>
      <c r="AI3288">
        <v>103.65528833303701</v>
      </c>
      <c r="AJ3288">
        <v>70.096700895575495</v>
      </c>
      <c r="AK3288">
        <v>0.53898868322800997</v>
      </c>
      <c r="AL3288">
        <v>69.570064577179096</v>
      </c>
      <c r="AM3288">
        <v>84.973421770757</v>
      </c>
      <c r="AN3288">
        <v>0.99999999132044204</v>
      </c>
    </row>
    <row r="3289" spans="1:40" x14ac:dyDescent="0.25">
      <c r="A3289" t="str">
        <f>"20190304164708309"</f>
        <v>20190304164708309</v>
      </c>
      <c r="B3289" t="str">
        <f>"1551689228301968"</f>
        <v>1551689228301968</v>
      </c>
      <c r="C3289" t="s">
        <v>40</v>
      </c>
      <c r="D3289">
        <v>4.5902269999999996</v>
      </c>
      <c r="E3289">
        <v>0.58572729999999995</v>
      </c>
      <c r="F3289" t="s">
        <v>41</v>
      </c>
      <c r="G3289">
        <v>-202.1189</v>
      </c>
      <c r="H3289">
        <v>0.97533429999999999</v>
      </c>
      <c r="I3289">
        <v>213.29640000000001</v>
      </c>
      <c r="J3289">
        <v>-202.5735</v>
      </c>
      <c r="K3289">
        <v>1.1058650000000001</v>
      </c>
      <c r="L3289">
        <v>213.60069999999999</v>
      </c>
      <c r="M3289">
        <v>0.97292780000000001</v>
      </c>
      <c r="N3289">
        <v>-1.443434E-2</v>
      </c>
      <c r="O3289">
        <v>-0.230658</v>
      </c>
      <c r="P3289">
        <v>0.89500249999999903</v>
      </c>
      <c r="Q3289">
        <v>0.33505580000000001</v>
      </c>
      <c r="R3289">
        <v>-0.29446270000000002</v>
      </c>
      <c r="S3289">
        <v>3.046341</v>
      </c>
      <c r="T3289">
        <v>-0.5690501</v>
      </c>
      <c r="U3289">
        <v>-1.6019589999999999</v>
      </c>
      <c r="V3289">
        <v>8.4465979999999996E-2</v>
      </c>
      <c r="W3289">
        <v>0.34753030000000001</v>
      </c>
      <c r="X3289">
        <v>0.93385660000000004</v>
      </c>
      <c r="Y3289">
        <v>0.24766340000000001</v>
      </c>
      <c r="Z3289">
        <v>1.268787E-2</v>
      </c>
      <c r="AA3289">
        <v>0.96876309999999999</v>
      </c>
      <c r="AB3289">
        <v>27</v>
      </c>
      <c r="AC3289">
        <v>0.454599999999999</v>
      </c>
      <c r="AD3289">
        <v>-0.130530699999999</v>
      </c>
      <c r="AE3289">
        <v>-0.30429999999998297</v>
      </c>
      <c r="AF3289">
        <v>0.18092387788849601</v>
      </c>
      <c r="AG3289">
        <v>-0.130530699999999</v>
      </c>
      <c r="AH3289">
        <v>0.48492646084858798</v>
      </c>
      <c r="AI3289">
        <v>104.154557194917</v>
      </c>
      <c r="AJ3289">
        <v>69.539681571629899</v>
      </c>
      <c r="AK3289">
        <v>0.53378402529847102</v>
      </c>
      <c r="AL3289">
        <v>69.663668153798994</v>
      </c>
      <c r="AM3289">
        <v>84.831742659014196</v>
      </c>
      <c r="AN3289">
        <v>0.99999998027950499</v>
      </c>
    </row>
    <row r="3290" spans="1:40" x14ac:dyDescent="0.25">
      <c r="A3290" t="str">
        <f>"20190304164708334"</f>
        <v>20190304164708334</v>
      </c>
      <c r="B3290" t="str">
        <f>"1551689228332224"</f>
        <v>1551689228332224</v>
      </c>
      <c r="C3290" t="s">
        <v>40</v>
      </c>
      <c r="D3290">
        <v>4.5809240000000004</v>
      </c>
      <c r="E3290">
        <v>0.58638250000000003</v>
      </c>
      <c r="F3290" t="s">
        <v>41</v>
      </c>
      <c r="G3290">
        <v>-201.8826</v>
      </c>
      <c r="H3290">
        <v>0.97421599999999997</v>
      </c>
      <c r="I3290">
        <v>213.2287</v>
      </c>
      <c r="J3290">
        <v>-202.28219999999999</v>
      </c>
      <c r="K3290">
        <v>1.1057699999999999</v>
      </c>
      <c r="L3290">
        <v>213.52289999999999</v>
      </c>
      <c r="M3290">
        <v>0.97109400000000001</v>
      </c>
      <c r="N3290">
        <v>-1.444551E-2</v>
      </c>
      <c r="O3290">
        <v>-0.23826059999999999</v>
      </c>
      <c r="P3290">
        <v>0.89239369999999996</v>
      </c>
      <c r="Q3290">
        <v>0.33331379999999999</v>
      </c>
      <c r="R3290">
        <v>-0.30419679999999999</v>
      </c>
      <c r="S3290">
        <v>3.0312649999999999</v>
      </c>
      <c r="T3290">
        <v>-0.57736019999999999</v>
      </c>
      <c r="U3290">
        <v>-1.6316219999999999</v>
      </c>
      <c r="V3290">
        <v>8.7254429999999994E-2</v>
      </c>
      <c r="W3290">
        <v>0.3457498</v>
      </c>
      <c r="X3290">
        <v>0.93426109999999896</v>
      </c>
      <c r="Y3290">
        <v>0.24948699999999999</v>
      </c>
      <c r="Z3290">
        <v>1.396708E-2</v>
      </c>
      <c r="AA3290">
        <v>0.96827739999999995</v>
      </c>
      <c r="AB3290">
        <v>27</v>
      </c>
      <c r="AC3290">
        <v>0.39959999999999202</v>
      </c>
      <c r="AD3290">
        <v>-0.131554</v>
      </c>
      <c r="AE3290">
        <v>-0.29419999999998903</v>
      </c>
      <c r="AF3290">
        <v>0.17799635385527701</v>
      </c>
      <c r="AG3290">
        <v>-0.131554</v>
      </c>
      <c r="AH3290">
        <v>0.428104022313956</v>
      </c>
      <c r="AI3290">
        <v>105.84107063849299</v>
      </c>
      <c r="AJ3290">
        <v>67.423519852065397</v>
      </c>
      <c r="AK3290">
        <v>0.48193589908115497</v>
      </c>
      <c r="AL3290">
        <v>69.772427603319301</v>
      </c>
      <c r="AM3290">
        <v>84.664392243061201</v>
      </c>
      <c r="AN3290">
        <v>1.0000000313639299</v>
      </c>
    </row>
    <row r="3291" spans="1:40" x14ac:dyDescent="0.25">
      <c r="A3291" t="str">
        <f>"20190304164708355"</f>
        <v>20190304164708355</v>
      </c>
      <c r="B3291" t="str">
        <f>"1551689228351744"</f>
        <v>1551689228351744</v>
      </c>
      <c r="C3291" t="s">
        <v>40</v>
      </c>
      <c r="D3291">
        <v>4.5680379999999996</v>
      </c>
      <c r="E3291">
        <v>0.58685050000000005</v>
      </c>
      <c r="F3291" t="s">
        <v>41</v>
      </c>
      <c r="G3291">
        <v>-201.6414</v>
      </c>
      <c r="H3291">
        <v>0.98093220000000003</v>
      </c>
      <c r="I3291">
        <v>213.1687</v>
      </c>
      <c r="J3291">
        <v>-202.0275</v>
      </c>
      <c r="K3291">
        <v>1.105675</v>
      </c>
      <c r="L3291">
        <v>213.45259999999999</v>
      </c>
      <c r="M3291">
        <v>0.96940150000000003</v>
      </c>
      <c r="N3291">
        <v>-1.4456159999999999E-2</v>
      </c>
      <c r="O3291">
        <v>-0.24505540000000001</v>
      </c>
      <c r="P3291">
        <v>0.889989899999999</v>
      </c>
      <c r="Q3291">
        <v>0.33169900000000002</v>
      </c>
      <c r="R3291">
        <v>-0.31287999999999999</v>
      </c>
      <c r="S3291">
        <v>3.0132750000000001</v>
      </c>
      <c r="T3291">
        <v>-0.58685679999999996</v>
      </c>
      <c r="U3291">
        <v>-1.6652979999999999</v>
      </c>
      <c r="V3291">
        <v>8.9737549999999999E-2</v>
      </c>
      <c r="W3291">
        <v>0.3440995</v>
      </c>
      <c r="X3291">
        <v>0.93463510000000005</v>
      </c>
      <c r="Y3291">
        <v>0.25343939999999998</v>
      </c>
      <c r="Z3291">
        <v>1.4994179999999999E-2</v>
      </c>
      <c r="AA3291">
        <v>0.96723499999999996</v>
      </c>
      <c r="AB3291">
        <v>27</v>
      </c>
      <c r="AC3291">
        <v>0.386099999999998</v>
      </c>
      <c r="AD3291">
        <v>-0.124742799999999</v>
      </c>
      <c r="AE3291">
        <v>-0.283899999999988</v>
      </c>
      <c r="AF3291">
        <v>0.16915541560741501</v>
      </c>
      <c r="AG3291">
        <v>-0.124742799999999</v>
      </c>
      <c r="AH3291">
        <v>0.41573646716003998</v>
      </c>
      <c r="AI3291">
        <v>105.532072532973</v>
      </c>
      <c r="AJ3291">
        <v>67.859509084876095</v>
      </c>
      <c r="AK3291">
        <v>0.46584453512719098</v>
      </c>
      <c r="AL3291">
        <v>69.873165074424804</v>
      </c>
      <c r="AM3291">
        <v>84.515645384957907</v>
      </c>
      <c r="AN3291">
        <v>1.00000003196613</v>
      </c>
    </row>
    <row r="3292" spans="1:40" x14ac:dyDescent="0.25">
      <c r="A3292" t="str">
        <f>"20190304164708377"</f>
        <v>20190304164708377</v>
      </c>
      <c r="B3292" t="str">
        <f>"1551689228372241"</f>
        <v>1551689228372241</v>
      </c>
      <c r="C3292" t="s">
        <v>40</v>
      </c>
      <c r="D3292">
        <v>4.6282920000000001</v>
      </c>
      <c r="E3292">
        <v>0.58715019999999996</v>
      </c>
      <c r="F3292" t="s">
        <v>45</v>
      </c>
      <c r="G3292">
        <v>-196.44380000000001</v>
      </c>
      <c r="H3292" s="1">
        <v>3.1995839999999998E-6</v>
      </c>
      <c r="I3292">
        <v>210.29249999999999</v>
      </c>
      <c r="J3292">
        <v>-201.77789999999999</v>
      </c>
      <c r="K3292">
        <v>1.1055680000000001</v>
      </c>
      <c r="L3292">
        <v>213.3817</v>
      </c>
      <c r="M3292">
        <v>0.96765730000000005</v>
      </c>
      <c r="N3292">
        <v>-1.4467839999999999E-2</v>
      </c>
      <c r="O3292">
        <v>-0.25185340000000001</v>
      </c>
      <c r="P3292">
        <v>0.88746800000000003</v>
      </c>
      <c r="Q3292">
        <v>0.33165309999999998</v>
      </c>
      <c r="R3292">
        <v>-0.32001030000000003</v>
      </c>
      <c r="S3292">
        <v>2.995895</v>
      </c>
      <c r="T3292">
        <v>-0.59323719999999902</v>
      </c>
      <c r="U3292">
        <v>-1.6954959999999999</v>
      </c>
      <c r="V3292">
        <v>9.0756329999999996E-2</v>
      </c>
      <c r="W3292">
        <v>0.34403020000000001</v>
      </c>
      <c r="X3292">
        <v>0.93456220000000001</v>
      </c>
      <c r="Y3292">
        <v>0.25645659999999998</v>
      </c>
      <c r="Z3292">
        <v>1.6031819999999999E-2</v>
      </c>
      <c r="AA3292">
        <v>0.96642280000000003</v>
      </c>
      <c r="AB3292">
        <v>27</v>
      </c>
      <c r="AC3292">
        <v>5.3340999999999701</v>
      </c>
      <c r="AD3292">
        <v>-1.1055648004159999</v>
      </c>
      <c r="AE3292">
        <v>-3.0891999999999999</v>
      </c>
      <c r="AF3292">
        <v>1.59474702398458</v>
      </c>
      <c r="AG3292">
        <v>-1.1055648004159999</v>
      </c>
      <c r="AH3292">
        <v>5.7550940542721296</v>
      </c>
      <c r="AI3292">
        <v>100.488193089834</v>
      </c>
      <c r="AJ3292">
        <v>74.511850591151301</v>
      </c>
      <c r="AK3292">
        <v>6.0734338863566304</v>
      </c>
      <c r="AL3292">
        <v>69.8773931392507</v>
      </c>
      <c r="AM3292">
        <v>84.453338272018598</v>
      </c>
      <c r="AN3292">
        <v>0.99999999780797399</v>
      </c>
    </row>
    <row r="3293" spans="1:40" x14ac:dyDescent="0.25">
      <c r="A3293" t="str">
        <f>"20190304164708400"</f>
        <v>20190304164708400</v>
      </c>
      <c r="B3293" t="str">
        <f>"1551689228391760"</f>
        <v>1551689228391760</v>
      </c>
      <c r="C3293" t="s">
        <v>40</v>
      </c>
      <c r="D3293">
        <v>4.6515029999999999</v>
      </c>
      <c r="E3293">
        <v>0.58735689999999996</v>
      </c>
      <c r="F3293" t="s">
        <v>45</v>
      </c>
      <c r="G3293">
        <v>-196.21719999999999</v>
      </c>
      <c r="H3293" s="1">
        <v>3.2512209999999998E-6</v>
      </c>
      <c r="I3293">
        <v>210.16159999999999</v>
      </c>
      <c r="J3293">
        <v>-201.49780000000001</v>
      </c>
      <c r="K3293">
        <v>1.1054679999999999</v>
      </c>
      <c r="L3293">
        <v>213.2996</v>
      </c>
      <c r="M3293">
        <v>0.9655975</v>
      </c>
      <c r="N3293">
        <v>-1.4482E-2</v>
      </c>
      <c r="O3293">
        <v>-0.25963829999999999</v>
      </c>
      <c r="P3293">
        <v>0.8840517</v>
      </c>
      <c r="Q3293">
        <v>0.33320929999999999</v>
      </c>
      <c r="R3293">
        <v>-0.3277563</v>
      </c>
      <c r="S3293">
        <v>2.9796299999999998</v>
      </c>
      <c r="T3293">
        <v>-0.59239849999999905</v>
      </c>
      <c r="U3293">
        <v>-1.72540299999999</v>
      </c>
      <c r="V3293">
        <v>9.1663350000000005E-2</v>
      </c>
      <c r="W3293">
        <v>0.34555639999999999</v>
      </c>
      <c r="X3293">
        <v>0.93391040000000003</v>
      </c>
      <c r="Y3293">
        <v>0.25829059999999998</v>
      </c>
      <c r="Z3293">
        <v>1.7085800000000002E-2</v>
      </c>
      <c r="AA3293">
        <v>0.9659162</v>
      </c>
      <c r="AB3293">
        <v>27</v>
      </c>
      <c r="AC3293">
        <v>5.2806000000000202</v>
      </c>
      <c r="AD3293">
        <v>-1.1054647487789999</v>
      </c>
      <c r="AE3293">
        <v>-3.1379999999999999</v>
      </c>
      <c r="AF3293">
        <v>1.60712143653805</v>
      </c>
      <c r="AG3293">
        <v>-1.1054647487789999</v>
      </c>
      <c r="AH3293">
        <v>5.7287562070564597</v>
      </c>
      <c r="AI3293">
        <v>100.525257585955</v>
      </c>
      <c r="AJ3293">
        <v>74.329288116683102</v>
      </c>
      <c r="AK3293">
        <v>6.0517385355334996</v>
      </c>
      <c r="AL3293">
        <v>69.784236138226902</v>
      </c>
      <c r="AM3293">
        <v>84.394370998390201</v>
      </c>
      <c r="AN3293">
        <v>1.0000000152711701</v>
      </c>
    </row>
    <row r="3294" spans="1:40" x14ac:dyDescent="0.25">
      <c r="A3294" t="str">
        <f>"20190304164708426"</f>
        <v>20190304164708426</v>
      </c>
      <c r="B3294" t="str">
        <f>"1551689228422017"</f>
        <v>1551689228422017</v>
      </c>
      <c r="C3294" t="s">
        <v>40</v>
      </c>
      <c r="D3294">
        <v>4.6797440000000003</v>
      </c>
      <c r="E3294">
        <v>0.58756919999999901</v>
      </c>
      <c r="F3294" t="s">
        <v>45</v>
      </c>
      <c r="G3294">
        <v>-195.90700000000001</v>
      </c>
      <c r="H3294" s="1">
        <v>3.3219840000000001E-6</v>
      </c>
      <c r="I3294">
        <v>209.98159999999999</v>
      </c>
      <c r="J3294">
        <v>-201.1934</v>
      </c>
      <c r="K3294">
        <v>1.1053550000000001</v>
      </c>
      <c r="L3294">
        <v>213.20740000000001</v>
      </c>
      <c r="M3294">
        <v>0.96322470000000004</v>
      </c>
      <c r="N3294">
        <v>-1.4497799999999899E-2</v>
      </c>
      <c r="O3294">
        <v>-0.26830589999999999</v>
      </c>
      <c r="P3294">
        <v>0.87991790000000003</v>
      </c>
      <c r="Q3294">
        <v>0.33478190000000002</v>
      </c>
      <c r="R3294">
        <v>-0.33714349999999998</v>
      </c>
      <c r="S3294">
        <v>2.9624630000000001</v>
      </c>
      <c r="T3294">
        <v>-0.58576229999999996</v>
      </c>
      <c r="U3294">
        <v>-1.7581329999999999</v>
      </c>
      <c r="V3294">
        <v>9.3496930000000006E-2</v>
      </c>
      <c r="W3294">
        <v>0.34708230000000001</v>
      </c>
      <c r="X3294">
        <v>0.93316250000000001</v>
      </c>
      <c r="Y3294">
        <v>0.26004500000000003</v>
      </c>
      <c r="Z3294">
        <v>1.8049430000000002E-2</v>
      </c>
      <c r="AA3294">
        <v>0.96542779999999995</v>
      </c>
      <c r="AB3294">
        <v>27</v>
      </c>
      <c r="AC3294">
        <v>5.28639999999998</v>
      </c>
      <c r="AD3294">
        <v>-1.10535167801599</v>
      </c>
      <c r="AE3294">
        <v>-3.22580000000002</v>
      </c>
      <c r="AF3294">
        <v>1.6368296738107</v>
      </c>
      <c r="AG3294">
        <v>-1.10535167801599</v>
      </c>
      <c r="AH3294">
        <v>5.7741662863950101</v>
      </c>
      <c r="AI3294">
        <v>100.435428850416</v>
      </c>
      <c r="AJ3294">
        <v>74.173312032717206</v>
      </c>
      <c r="AK3294">
        <v>6.1026232077771896</v>
      </c>
      <c r="AL3294">
        <v>69.691041499163205</v>
      </c>
      <c r="AM3294">
        <v>84.278423236619901</v>
      </c>
      <c r="AN3294">
        <v>1.0000000251494801</v>
      </c>
    </row>
    <row r="3295" spans="1:40" x14ac:dyDescent="0.25">
      <c r="A3295" t="str">
        <f>"20190304164708450"</f>
        <v>20190304164708450</v>
      </c>
      <c r="B3295" t="str">
        <f>"1551689228442512"</f>
        <v>1551689228442512</v>
      </c>
      <c r="C3295" t="s">
        <v>40</v>
      </c>
      <c r="D3295">
        <v>4.6796009999999999</v>
      </c>
      <c r="E3295">
        <v>0.58738570000000001</v>
      </c>
      <c r="F3295" t="s">
        <v>41</v>
      </c>
      <c r="G3295">
        <v>-200.48310000000001</v>
      </c>
      <c r="H3295">
        <v>0.96507810000000005</v>
      </c>
      <c r="I3295">
        <v>212.77500000000001</v>
      </c>
      <c r="J3295">
        <v>-200.91149999999999</v>
      </c>
      <c r="K3295">
        <v>1.105227</v>
      </c>
      <c r="L3295">
        <v>213.11920000000001</v>
      </c>
      <c r="M3295">
        <v>0.96088430000000002</v>
      </c>
      <c r="N3295">
        <v>-1.451504E-2</v>
      </c>
      <c r="O3295">
        <v>-0.27656930000000002</v>
      </c>
      <c r="P3295">
        <v>0.87590840000000003</v>
      </c>
      <c r="Q3295">
        <v>0.3356132</v>
      </c>
      <c r="R3295">
        <v>-0.34662409999999999</v>
      </c>
      <c r="S3295">
        <v>2.9439700000000002</v>
      </c>
      <c r="T3295">
        <v>-0.58118950000000003</v>
      </c>
      <c r="U3295">
        <v>-1.791779</v>
      </c>
      <c r="V3295">
        <v>9.5780279999999995E-2</v>
      </c>
      <c r="W3295">
        <v>0.34786119999999998</v>
      </c>
      <c r="X3295">
        <v>0.93264069999999999</v>
      </c>
      <c r="Y3295">
        <v>0.26256089999999999</v>
      </c>
      <c r="Z3295">
        <v>1.893748E-2</v>
      </c>
      <c r="AA3295">
        <v>0.96472959999999996</v>
      </c>
      <c r="AB3295">
        <v>27</v>
      </c>
      <c r="AC3295">
        <v>0.42839999999998202</v>
      </c>
      <c r="AD3295">
        <v>-0.14014889999999999</v>
      </c>
      <c r="AE3295">
        <v>-0.34420000000000001</v>
      </c>
      <c r="AF3295">
        <v>0.199313369842155</v>
      </c>
      <c r="AG3295">
        <v>-0.14014889999999999</v>
      </c>
      <c r="AH3295">
        <v>0.47593706283485598</v>
      </c>
      <c r="AI3295">
        <v>105.195709838394</v>
      </c>
      <c r="AJ3295">
        <v>67.276993680083194</v>
      </c>
      <c r="AK3295">
        <v>0.53468085934407295</v>
      </c>
      <c r="AL3295">
        <v>69.643447258572493</v>
      </c>
      <c r="AM3295">
        <v>84.136397941783201</v>
      </c>
      <c r="AN3295">
        <v>0.99999997589940304</v>
      </c>
    </row>
    <row r="3296" spans="1:40" x14ac:dyDescent="0.25">
      <c r="A3296" t="str">
        <f>"20190304164708472"</f>
        <v>20190304164708472</v>
      </c>
      <c r="B3296" t="str">
        <f>"1551689228462032"</f>
        <v>1551689228462032</v>
      </c>
      <c r="C3296" t="s">
        <v>40</v>
      </c>
      <c r="D3296">
        <v>4.6857379999999997</v>
      </c>
      <c r="E3296">
        <v>0.58750249999999904</v>
      </c>
      <c r="F3296" t="s">
        <v>41</v>
      </c>
      <c r="G3296">
        <v>-200.2474</v>
      </c>
      <c r="H3296">
        <v>0.97298359999999995</v>
      </c>
      <c r="I3296">
        <v>212.70580000000001</v>
      </c>
      <c r="J3296">
        <v>-200.65430000000001</v>
      </c>
      <c r="K3296">
        <v>1.10507</v>
      </c>
      <c r="L3296">
        <v>213.0361</v>
      </c>
      <c r="M3296">
        <v>0.95860659999999998</v>
      </c>
      <c r="N3296">
        <v>-1.45355E-2</v>
      </c>
      <c r="O3296">
        <v>-0.28436299999999998</v>
      </c>
      <c r="P3296">
        <v>0.87271719999999897</v>
      </c>
      <c r="Q3296">
        <v>0.33535920000000002</v>
      </c>
      <c r="R3296">
        <v>-0.3548229</v>
      </c>
      <c r="S3296">
        <v>2.9273220000000002</v>
      </c>
      <c r="T3296">
        <v>-0.58263779999999998</v>
      </c>
      <c r="U3296">
        <v>-1.821747</v>
      </c>
      <c r="V3296">
        <v>9.7060339999999995E-2</v>
      </c>
      <c r="W3296">
        <v>0.3475724</v>
      </c>
      <c r="X3296">
        <v>0.93261609999999995</v>
      </c>
      <c r="Y3296">
        <v>0.26436730000000003</v>
      </c>
      <c r="Z3296">
        <v>2.0062300000000002E-2</v>
      </c>
      <c r="AA3296">
        <v>0.9642134</v>
      </c>
      <c r="AB3296">
        <v>27</v>
      </c>
      <c r="AC3296">
        <v>0.40690000000000698</v>
      </c>
      <c r="AD3296">
        <v>-0.13208639999999999</v>
      </c>
      <c r="AE3296">
        <v>-0.33029999999999399</v>
      </c>
      <c r="AF3296">
        <v>0.18894014894984601</v>
      </c>
      <c r="AG3296">
        <v>-0.13208639999999999</v>
      </c>
      <c r="AH3296">
        <v>0.45512366848525598</v>
      </c>
      <c r="AI3296">
        <v>105.004920850601</v>
      </c>
      <c r="AJ3296">
        <v>67.454695678380503</v>
      </c>
      <c r="AK3296">
        <v>0.51017913576079099</v>
      </c>
      <c r="AL3296">
        <v>69.661096825074793</v>
      </c>
      <c r="AM3296">
        <v>84.058434873562405</v>
      </c>
      <c r="AN3296">
        <v>1.00000003641094</v>
      </c>
    </row>
    <row r="3297" spans="1:40" x14ac:dyDescent="0.25">
      <c r="A3297" t="str">
        <f>"20190304164708490"</f>
        <v>20190304164708490</v>
      </c>
      <c r="B3297" t="str">
        <f>"1551689228482529"</f>
        <v>1551689228482529</v>
      </c>
      <c r="C3297" t="s">
        <v>40</v>
      </c>
      <c r="D3297">
        <v>4.6725000000000003</v>
      </c>
      <c r="E3297">
        <v>0.58749709999999999</v>
      </c>
      <c r="F3297" t="s">
        <v>41</v>
      </c>
      <c r="G3297">
        <v>-200.01499999999999</v>
      </c>
      <c r="H3297">
        <v>0.97682990000000003</v>
      </c>
      <c r="I3297">
        <v>212.62970000000001</v>
      </c>
      <c r="J3297">
        <v>-200.4392</v>
      </c>
      <c r="K3297">
        <v>1.1049180000000001</v>
      </c>
      <c r="L3297">
        <v>212.96449999999999</v>
      </c>
      <c r="M3297">
        <v>0.95657650000000005</v>
      </c>
      <c r="N3297">
        <v>-1.45577E-2</v>
      </c>
      <c r="O3297">
        <v>-0.29111819999999999</v>
      </c>
      <c r="P3297">
        <v>0.86953060000000004</v>
      </c>
      <c r="Q3297">
        <v>0.33592379999999999</v>
      </c>
      <c r="R3297">
        <v>-0.3620389</v>
      </c>
      <c r="S3297">
        <v>2.909897</v>
      </c>
      <c r="T3297">
        <v>-0.5835707</v>
      </c>
      <c r="U3297">
        <v>-1.8493189999999999</v>
      </c>
      <c r="V3297">
        <v>9.8421800000000004E-2</v>
      </c>
      <c r="W3297">
        <v>0.34809630000000003</v>
      </c>
      <c r="X3297">
        <v>0.93227789999999999</v>
      </c>
      <c r="Y3297">
        <v>0.26672319999999999</v>
      </c>
      <c r="Z3297">
        <v>2.096396E-2</v>
      </c>
      <c r="AA3297">
        <v>0.96354510000000004</v>
      </c>
      <c r="AB3297">
        <v>27</v>
      </c>
      <c r="AC3297">
        <v>0.42420000000001301</v>
      </c>
      <c r="AD3297">
        <v>-0.12808809999999901</v>
      </c>
      <c r="AE3297">
        <v>-0.33479999999997201</v>
      </c>
      <c r="AF3297">
        <v>0.18632272004786499</v>
      </c>
      <c r="AG3297">
        <v>-0.12808809999999901</v>
      </c>
      <c r="AH3297">
        <v>0.476528121773788</v>
      </c>
      <c r="AI3297">
        <v>104.054504864649</v>
      </c>
      <c r="AJ3297">
        <v>68.644478214347004</v>
      </c>
      <c r="AK3297">
        <v>0.52744835596378403</v>
      </c>
      <c r="AL3297">
        <v>69.629079209886498</v>
      </c>
      <c r="AM3297">
        <v>83.973532227140595</v>
      </c>
      <c r="AN3297">
        <v>0.99999998380866895</v>
      </c>
    </row>
    <row r="3298" spans="1:40" x14ac:dyDescent="0.25">
      <c r="A3298" t="str">
        <f>"20190304164708512"</f>
        <v>20190304164708512</v>
      </c>
      <c r="B3298" t="str">
        <f>"1551689228502048"</f>
        <v>1551689228502048</v>
      </c>
      <c r="C3298" t="s">
        <v>40</v>
      </c>
      <c r="D3298">
        <v>4.6745000000000001</v>
      </c>
      <c r="E3298">
        <v>0.58753</v>
      </c>
      <c r="F3298" t="s">
        <v>41</v>
      </c>
      <c r="G3298">
        <v>-199.78749999999999</v>
      </c>
      <c r="H3298">
        <v>0.97382139999999995</v>
      </c>
      <c r="I3298">
        <v>212.54220000000001</v>
      </c>
      <c r="J3298">
        <v>-200.191</v>
      </c>
      <c r="K3298">
        <v>1.104711</v>
      </c>
      <c r="L3298">
        <v>212.87950000000001</v>
      </c>
      <c r="M3298">
        <v>0.9540883</v>
      </c>
      <c r="N3298">
        <v>-1.45882999999999E-2</v>
      </c>
      <c r="O3298">
        <v>-0.299170099999999</v>
      </c>
      <c r="P3298">
        <v>0.8653651</v>
      </c>
      <c r="Q3298">
        <v>0.33666620000000003</v>
      </c>
      <c r="R3298">
        <v>-0.37121330000000002</v>
      </c>
      <c r="S3298">
        <v>2.8943629999999998</v>
      </c>
      <c r="T3298">
        <v>-0.58218570000000003</v>
      </c>
      <c r="U3298">
        <v>-1.875</v>
      </c>
      <c r="V3298">
        <v>0.1007135</v>
      </c>
      <c r="W3298">
        <v>0.34877570000000002</v>
      </c>
      <c r="X3298">
        <v>0.93177909999999997</v>
      </c>
      <c r="Y3298">
        <v>0.267067</v>
      </c>
      <c r="Z3298">
        <v>2.214325E-2</v>
      </c>
      <c r="AA3298">
        <v>0.96342360000000005</v>
      </c>
      <c r="AB3298">
        <v>27</v>
      </c>
      <c r="AC3298">
        <v>0.40349999999997899</v>
      </c>
      <c r="AD3298">
        <v>-0.13088959999999999</v>
      </c>
      <c r="AE3298">
        <v>-0.33729999999999899</v>
      </c>
      <c r="AF3298">
        <v>0.189389137699435</v>
      </c>
      <c r="AG3298">
        <v>-0.13088959999999999</v>
      </c>
      <c r="AH3298">
        <v>0.457592302867947</v>
      </c>
      <c r="AI3298">
        <v>104.80459971078101</v>
      </c>
      <c r="AJ3298">
        <v>67.516225490918401</v>
      </c>
      <c r="AK3298">
        <v>0.51224120149660601</v>
      </c>
      <c r="AL3298">
        <v>69.587550151748303</v>
      </c>
      <c r="AM3298">
        <v>83.831002568331002</v>
      </c>
      <c r="AN3298">
        <v>0.99999999459477495</v>
      </c>
    </row>
    <row r="3299" spans="1:40" x14ac:dyDescent="0.25">
      <c r="A3299" t="str">
        <f>"20190304164708544"</f>
        <v>20190304164708544</v>
      </c>
      <c r="B3299" t="str">
        <f>"1551689228532304"</f>
        <v>1551689228532304</v>
      </c>
      <c r="C3299" t="s">
        <v>40</v>
      </c>
      <c r="D3299">
        <v>4.6694300000000002</v>
      </c>
      <c r="E3299">
        <v>0.58769459999999996</v>
      </c>
      <c r="F3299" t="s">
        <v>41</v>
      </c>
      <c r="G3299">
        <v>-199.55719999999999</v>
      </c>
      <c r="H3299">
        <v>0.97680339999999999</v>
      </c>
      <c r="I3299">
        <v>212.45939999999999</v>
      </c>
      <c r="J3299">
        <v>-199.83359999999999</v>
      </c>
      <c r="K3299">
        <v>1.1043639999999999</v>
      </c>
      <c r="L3299">
        <v>212.75210000000001</v>
      </c>
      <c r="M3299">
        <v>0.95017929999999995</v>
      </c>
      <c r="N3299">
        <v>-1.464142E-2</v>
      </c>
      <c r="O3299">
        <v>-0.31136009999999997</v>
      </c>
      <c r="P3299">
        <v>0.85904419999999904</v>
      </c>
      <c r="Q3299">
        <v>0.33743060000000002</v>
      </c>
      <c r="R3299">
        <v>-0.38494610000000001</v>
      </c>
      <c r="S3299">
        <v>2.8750149999999999</v>
      </c>
      <c r="T3299">
        <v>-0.58008979999999999</v>
      </c>
      <c r="U3299">
        <v>-1.9054869999999999</v>
      </c>
      <c r="V3299">
        <v>0.10403320000000001</v>
      </c>
      <c r="W3299">
        <v>0.34944809999999998</v>
      </c>
      <c r="X3299">
        <v>0.93116220000000005</v>
      </c>
      <c r="Y3299">
        <v>0.2649744</v>
      </c>
      <c r="Z3299">
        <v>2.415894E-2</v>
      </c>
      <c r="AA3299">
        <v>0.9639527</v>
      </c>
      <c r="AB3299">
        <v>27</v>
      </c>
      <c r="AC3299">
        <v>0.27639999999999498</v>
      </c>
      <c r="AD3299">
        <v>-0.127560599999999</v>
      </c>
      <c r="AE3299">
        <v>-0.292700000000024</v>
      </c>
      <c r="AF3299">
        <v>0.174553142945787</v>
      </c>
      <c r="AG3299">
        <v>-0.127560599999999</v>
      </c>
      <c r="AH3299">
        <v>0.32152203024505299</v>
      </c>
      <c r="AI3299">
        <v>109.222153264102</v>
      </c>
      <c r="AJ3299">
        <v>61.502625460856301</v>
      </c>
      <c r="AK3299">
        <v>0.38744925128010399</v>
      </c>
      <c r="AL3299">
        <v>69.546437020192499</v>
      </c>
      <c r="AM3299">
        <v>83.625120799566801</v>
      </c>
      <c r="AN3299">
        <v>0.99999996200234398</v>
      </c>
    </row>
    <row r="3300" spans="1:40" x14ac:dyDescent="0.25">
      <c r="A3300" t="str">
        <f>"20190304164708566"</f>
        <v>20190304164708566</v>
      </c>
      <c r="B3300" t="str">
        <f>"1551689228562562"</f>
        <v>1551689228562562</v>
      </c>
      <c r="C3300" t="s">
        <v>40</v>
      </c>
      <c r="D3300">
        <v>4.6569320000000003</v>
      </c>
      <c r="E3300">
        <v>0.59535059999999995</v>
      </c>
      <c r="F3300" t="s">
        <v>45</v>
      </c>
      <c r="G3300">
        <v>-194.3854</v>
      </c>
      <c r="H3300" s="1">
        <v>3.7829429999999999E-6</v>
      </c>
      <c r="I3300">
        <v>209.0154</v>
      </c>
      <c r="J3300">
        <v>-199.5703</v>
      </c>
      <c r="K3300">
        <v>1.104115</v>
      </c>
      <c r="L3300">
        <v>212.65459999999999</v>
      </c>
      <c r="M3300">
        <v>0.94705269999999997</v>
      </c>
      <c r="N3300">
        <v>-1.4683770000000001E-2</v>
      </c>
      <c r="O3300">
        <v>-0.32074279999999999</v>
      </c>
      <c r="P3300">
        <v>0.85477159999999996</v>
      </c>
      <c r="Q3300">
        <v>0.3368546</v>
      </c>
      <c r="R3300">
        <v>-0.3948353</v>
      </c>
      <c r="S3300">
        <v>2.8444980000000002</v>
      </c>
      <c r="T3300">
        <v>-0.57658209999999999</v>
      </c>
      <c r="U3300">
        <v>-1.950912</v>
      </c>
      <c r="V3300">
        <v>0.10570590000000001</v>
      </c>
      <c r="W3300">
        <v>0.34882439999999998</v>
      </c>
      <c r="X3300">
        <v>0.93120769999999997</v>
      </c>
      <c r="Y3300">
        <v>0.27074239999999999</v>
      </c>
      <c r="Z3300">
        <v>2.493066E-2</v>
      </c>
      <c r="AA3300">
        <v>0.96232899999999999</v>
      </c>
      <c r="AB3300">
        <v>27</v>
      </c>
      <c r="AC3300">
        <v>5.1848999999999901</v>
      </c>
      <c r="AD3300">
        <v>-1.104111217057</v>
      </c>
      <c r="AE3300">
        <v>-3.6391999999999798</v>
      </c>
      <c r="AF3300">
        <v>1.7310959286780501</v>
      </c>
      <c r="AG3300">
        <v>-1.104111217057</v>
      </c>
      <c r="AH3300">
        <v>5.8990608069279302</v>
      </c>
      <c r="AI3300">
        <v>100.18144720587</v>
      </c>
      <c r="AJ3300">
        <v>73.645525869872003</v>
      </c>
      <c r="AK3300">
        <v>6.2461726759472498</v>
      </c>
      <c r="AL3300">
        <v>69.584572765854503</v>
      </c>
      <c r="AM3300">
        <v>83.523800005605295</v>
      </c>
      <c r="AN3300">
        <v>0.99999998993472905</v>
      </c>
    </row>
    <row r="3301" spans="1:40" x14ac:dyDescent="0.25">
      <c r="A3301" t="str">
        <f>"20190304164708588"</f>
        <v>20190304164708588</v>
      </c>
      <c r="B3301" t="str">
        <f>"1551689228582080"</f>
        <v>1551689228582080</v>
      </c>
      <c r="C3301" t="s">
        <v>40</v>
      </c>
      <c r="D3301">
        <v>4.6195459999999997</v>
      </c>
      <c r="E3301">
        <v>0.58994399999999902</v>
      </c>
      <c r="F3301" t="s">
        <v>45</v>
      </c>
      <c r="G3301">
        <v>-193.3869</v>
      </c>
      <c r="H3301" s="1">
        <v>4.1979190000000004E-6</v>
      </c>
      <c r="I3301">
        <v>208.1172</v>
      </c>
      <c r="J3301">
        <v>-199.30709999999999</v>
      </c>
      <c r="K3301">
        <v>1.10388</v>
      </c>
      <c r="L3301">
        <v>212.55369999999999</v>
      </c>
      <c r="M3301">
        <v>0.94370189999999998</v>
      </c>
      <c r="N3301">
        <v>-1.472642E-2</v>
      </c>
      <c r="O3301">
        <v>-0.33046969999999998</v>
      </c>
      <c r="P3301">
        <v>0.85043939999999996</v>
      </c>
      <c r="Q3301">
        <v>0.33607789999999998</v>
      </c>
      <c r="R3301">
        <v>-0.40472799999999998</v>
      </c>
      <c r="S3301">
        <v>2.7666170000000001</v>
      </c>
      <c r="T3301">
        <v>-0.49400729999999998</v>
      </c>
      <c r="U3301">
        <v>-2.030151</v>
      </c>
      <c r="V3301">
        <v>0.1070198</v>
      </c>
      <c r="W3301">
        <v>0.34801090000000001</v>
      </c>
      <c r="X3301">
        <v>0.93136200000000002</v>
      </c>
      <c r="Y3301">
        <v>0.29131459999999998</v>
      </c>
      <c r="Z3301">
        <v>2.0272640000000001E-2</v>
      </c>
      <c r="AA3301">
        <v>0.9564125</v>
      </c>
      <c r="AB3301">
        <v>27</v>
      </c>
      <c r="AC3301">
        <v>5.9201999999999897</v>
      </c>
      <c r="AD3301">
        <v>-1.103875802081</v>
      </c>
      <c r="AE3301">
        <v>-4.4364999999999899</v>
      </c>
      <c r="AF3301">
        <v>2.1819491506208601</v>
      </c>
      <c r="AG3301">
        <v>-1.103875802081</v>
      </c>
      <c r="AH3301">
        <v>6.9001705164825999</v>
      </c>
      <c r="AI3301">
        <v>98.6726810365858</v>
      </c>
      <c r="AJ3301">
        <v>72.452175780977001</v>
      </c>
      <c r="AK3301">
        <v>7.3206418460986598</v>
      </c>
      <c r="AL3301">
        <v>69.634298950129306</v>
      </c>
      <c r="AM3301">
        <v>83.445075565616705</v>
      </c>
      <c r="AN3301">
        <v>0.99999999957742502</v>
      </c>
    </row>
    <row r="3302" spans="1:40" x14ac:dyDescent="0.25">
      <c r="A3302" t="str">
        <f>"20190304164708617"</f>
        <v>20190304164708617</v>
      </c>
      <c r="B3302" t="str">
        <f>"1551689228612336"</f>
        <v>1551689228612336</v>
      </c>
      <c r="C3302" t="s">
        <v>40</v>
      </c>
      <c r="D3302">
        <v>4.6612850000000003</v>
      </c>
      <c r="E3302">
        <v>0.60085569999999999</v>
      </c>
      <c r="F3302" t="s">
        <v>45</v>
      </c>
      <c r="G3302">
        <v>-193.98840000000001</v>
      </c>
      <c r="H3302" s="1">
        <v>3.9435719999999999E-6</v>
      </c>
      <c r="I3302">
        <v>208.6748</v>
      </c>
      <c r="J3302">
        <v>-199.0017</v>
      </c>
      <c r="K3302">
        <v>1.1036140000000001</v>
      </c>
      <c r="L3302">
        <v>212.4323</v>
      </c>
      <c r="M3302">
        <v>0.93950089999999997</v>
      </c>
      <c r="N3302">
        <v>-1.477799E-2</v>
      </c>
      <c r="O3302">
        <v>-0.34222780000000003</v>
      </c>
      <c r="P3302">
        <v>0.84480900000000003</v>
      </c>
      <c r="Q3302">
        <v>0.33627679999999999</v>
      </c>
      <c r="R3302">
        <v>-0.41619200000000001</v>
      </c>
      <c r="S3302">
        <v>2.7884980000000001</v>
      </c>
      <c r="T3302">
        <v>-0.57873940000000001</v>
      </c>
      <c r="U3302">
        <v>-2.03363</v>
      </c>
      <c r="V3302">
        <v>0.1082506</v>
      </c>
      <c r="W3302">
        <v>0.34816639999999999</v>
      </c>
      <c r="X3302">
        <v>0.93116160000000003</v>
      </c>
      <c r="Y3302">
        <v>0.2768041</v>
      </c>
      <c r="Z3302">
        <v>2.7885380000000001E-2</v>
      </c>
      <c r="AA3302">
        <v>0.96052170000000003</v>
      </c>
      <c r="AB3302">
        <v>27</v>
      </c>
      <c r="AC3302">
        <v>5.0132999999999797</v>
      </c>
      <c r="AD3302">
        <v>-1.10361005642799</v>
      </c>
      <c r="AE3302">
        <v>-3.7574999999999901</v>
      </c>
      <c r="AF3302">
        <v>1.7600685783890599</v>
      </c>
      <c r="AG3302">
        <v>-1.10361005642799</v>
      </c>
      <c r="AH3302">
        <v>5.8161062996023203</v>
      </c>
      <c r="AI3302">
        <v>100.293671559586</v>
      </c>
      <c r="AJ3302">
        <v>73.163148765985795</v>
      </c>
      <c r="AK3302">
        <v>6.1759929602902996</v>
      </c>
      <c r="AL3302">
        <v>69.624794682395304</v>
      </c>
      <c r="AM3302">
        <v>83.368942727201699</v>
      </c>
      <c r="AN3302">
        <v>0.99999997990193901</v>
      </c>
    </row>
    <row r="3303" spans="1:40" x14ac:dyDescent="0.25">
      <c r="A3303" t="str">
        <f>"20190304164708641"</f>
        <v>20190304164708641</v>
      </c>
      <c r="B3303" t="str">
        <f>"1551689228631856"</f>
        <v>1551689228631856</v>
      </c>
      <c r="C3303" t="s">
        <v>40</v>
      </c>
      <c r="D3303">
        <v>4.7798769999999999</v>
      </c>
      <c r="E3303">
        <v>0.60052340000000004</v>
      </c>
      <c r="F3303" t="s">
        <v>45</v>
      </c>
      <c r="G3303">
        <v>-193.3073</v>
      </c>
      <c r="H3303" s="1">
        <v>4.26888699999999E-6</v>
      </c>
      <c r="I3303">
        <v>207.91229999999999</v>
      </c>
      <c r="J3303">
        <v>-198.7244</v>
      </c>
      <c r="K3303">
        <v>1.103364</v>
      </c>
      <c r="L3303">
        <v>212.31729999999999</v>
      </c>
      <c r="M3303">
        <v>0.93536059999999999</v>
      </c>
      <c r="N3303">
        <v>-1.483223E-2</v>
      </c>
      <c r="O3303">
        <v>-0.35338429999999998</v>
      </c>
      <c r="P3303">
        <v>0.83895359999999997</v>
      </c>
      <c r="Q3303">
        <v>0.33598790000000001</v>
      </c>
      <c r="R3303">
        <v>-0.42809920000000001</v>
      </c>
      <c r="S3303">
        <v>2.702728</v>
      </c>
      <c r="T3303">
        <v>-0.52380470000000001</v>
      </c>
      <c r="U3303">
        <v>-2.1452939999999998</v>
      </c>
      <c r="V3303">
        <v>0.1105202</v>
      </c>
      <c r="W3303">
        <v>0.34782049999999998</v>
      </c>
      <c r="X3303">
        <v>0.93102430000000003</v>
      </c>
      <c r="Y3303">
        <v>0.30419190000000002</v>
      </c>
      <c r="Z3303">
        <v>2.394073E-2</v>
      </c>
      <c r="AA3303">
        <v>0.95230990000000004</v>
      </c>
      <c r="AB3303">
        <v>27</v>
      </c>
      <c r="AC3303">
        <v>5.4170999999999996</v>
      </c>
      <c r="AD3303">
        <v>-1.1033597311129999</v>
      </c>
      <c r="AE3303">
        <v>-4.4050000000000002</v>
      </c>
      <c r="AF3303">
        <v>2.1524356293732398</v>
      </c>
      <c r="AG3303">
        <v>-1.1033597311129999</v>
      </c>
      <c r="AH3303">
        <v>6.4629307712839603</v>
      </c>
      <c r="AI3303">
        <v>99.200549701711907</v>
      </c>
      <c r="AJ3303">
        <v>71.580009691203202</v>
      </c>
      <c r="AK3303">
        <v>6.9007141651604602</v>
      </c>
      <c r="AL3303">
        <v>69.645935688633401</v>
      </c>
      <c r="AM3303">
        <v>83.230202847373604</v>
      </c>
      <c r="AN3303">
        <v>1.00000003100938</v>
      </c>
    </row>
    <row r="3304" spans="1:40" x14ac:dyDescent="0.25">
      <c r="A3304" t="str">
        <f>"20190304164708664"</f>
        <v>20190304164708664</v>
      </c>
      <c r="B3304" t="str">
        <f>"1551689228652353"</f>
        <v>1551689228652353</v>
      </c>
      <c r="C3304" t="s">
        <v>40</v>
      </c>
      <c r="D3304">
        <v>4.627542</v>
      </c>
      <c r="E3304">
        <v>0.59984850000000001</v>
      </c>
      <c r="F3304" t="s">
        <v>45</v>
      </c>
      <c r="G3304">
        <v>-193.1337</v>
      </c>
      <c r="H3304" s="1">
        <v>4.3612309999999996E-6</v>
      </c>
      <c r="I3304">
        <v>207.76</v>
      </c>
      <c r="J3304">
        <v>-198.4759</v>
      </c>
      <c r="K3304">
        <v>1.103145</v>
      </c>
      <c r="L3304">
        <v>212.2107</v>
      </c>
      <c r="M3304">
        <v>0.93140299999999998</v>
      </c>
      <c r="N3304">
        <v>-1.488337E-2</v>
      </c>
      <c r="O3304">
        <v>-0.36368509999999998</v>
      </c>
      <c r="P3304">
        <v>0.83301800000000004</v>
      </c>
      <c r="Q3304">
        <v>0.33595170000000002</v>
      </c>
      <c r="R3304">
        <v>-0.4395655</v>
      </c>
      <c r="S3304">
        <v>2.6747130000000001</v>
      </c>
      <c r="T3304">
        <v>-0.527868</v>
      </c>
      <c r="U3304">
        <v>-2.1802980000000001</v>
      </c>
      <c r="V3304">
        <v>0.1132079</v>
      </c>
      <c r="W3304">
        <v>0.3477208</v>
      </c>
      <c r="X3304">
        <v>0.93073859999999997</v>
      </c>
      <c r="Y3304">
        <v>0.3061123</v>
      </c>
      <c r="Z3304">
        <v>2.5508980000000001E-2</v>
      </c>
      <c r="AA3304">
        <v>0.95165359999999999</v>
      </c>
      <c r="AB3304">
        <v>27</v>
      </c>
      <c r="AC3304">
        <v>5.3421999999999903</v>
      </c>
      <c r="AD3304">
        <v>-1.1031406387689999</v>
      </c>
      <c r="AE3304">
        <v>-4.4507000000000101</v>
      </c>
      <c r="AF3304">
        <v>2.1486784400470902</v>
      </c>
      <c r="AG3304">
        <v>-1.1031406387689999</v>
      </c>
      <c r="AH3304">
        <v>6.4332009139083004</v>
      </c>
      <c r="AI3304">
        <v>99.237929931047603</v>
      </c>
      <c r="AJ3304">
        <v>71.530766041793399</v>
      </c>
      <c r="AK3304">
        <v>6.8716673599889502</v>
      </c>
      <c r="AL3304">
        <v>69.652029054170896</v>
      </c>
      <c r="AM3304">
        <v>83.065046773120201</v>
      </c>
      <c r="AN3304">
        <v>1.0000000624525001</v>
      </c>
    </row>
    <row r="3305" spans="1:40" x14ac:dyDescent="0.25">
      <c r="A3305" t="str">
        <f>"20190304164708701"</f>
        <v>20190304164708701</v>
      </c>
      <c r="B3305" t="str">
        <f>"1551689228692369"</f>
        <v>1551689228692369</v>
      </c>
      <c r="C3305" t="s">
        <v>40</v>
      </c>
      <c r="D3305">
        <v>4.6822839999999903</v>
      </c>
      <c r="E3305">
        <v>0.59891130000000004</v>
      </c>
      <c r="F3305" t="s">
        <v>45</v>
      </c>
      <c r="G3305">
        <v>-193.0043</v>
      </c>
      <c r="H3305" s="1">
        <v>4.4301759999999997E-6</v>
      </c>
      <c r="I3305">
        <v>207.64609999999999</v>
      </c>
      <c r="J3305">
        <v>-198.06559999999999</v>
      </c>
      <c r="K3305">
        <v>1.1027819999999999</v>
      </c>
      <c r="L3305">
        <v>212.02670000000001</v>
      </c>
      <c r="M3305">
        <v>0.92429479999999997</v>
      </c>
      <c r="N3305">
        <v>-1.496742E-2</v>
      </c>
      <c r="O3305">
        <v>-0.38138610000000001</v>
      </c>
      <c r="P3305">
        <v>0.82202500000000001</v>
      </c>
      <c r="Q3305">
        <v>0.33636280000000002</v>
      </c>
      <c r="R3305">
        <v>-0.45949440000000003</v>
      </c>
      <c r="S3305">
        <v>2.650223</v>
      </c>
      <c r="T3305">
        <v>-0.53431399999999996</v>
      </c>
      <c r="U3305">
        <v>-2.2109070000000002</v>
      </c>
      <c r="V3305">
        <v>0.11826680000000001</v>
      </c>
      <c r="W3305">
        <v>0.34800340000000002</v>
      </c>
      <c r="X3305">
        <v>0.93000360000000004</v>
      </c>
      <c r="Y3305">
        <v>0.29898229999999998</v>
      </c>
      <c r="Z3305">
        <v>2.910192E-2</v>
      </c>
      <c r="AA3305">
        <v>0.95381479999999996</v>
      </c>
      <c r="AB3305">
        <v>27</v>
      </c>
      <c r="AC3305">
        <v>5.0612999999999797</v>
      </c>
      <c r="AD3305">
        <v>-1.1027775698240001</v>
      </c>
      <c r="AE3305">
        <v>-4.38060000000001</v>
      </c>
      <c r="AF3305">
        <v>2.0629029007135302</v>
      </c>
      <c r="AG3305">
        <v>-1.1027775698240001</v>
      </c>
      <c r="AH3305">
        <v>6.1817607055244901</v>
      </c>
      <c r="AI3305">
        <v>99.604527558023406</v>
      </c>
      <c r="AJ3305">
        <v>71.545734052995599</v>
      </c>
      <c r="AK3305">
        <v>6.6095273784625403</v>
      </c>
      <c r="AL3305">
        <v>69.634758375808303</v>
      </c>
      <c r="AM3305">
        <v>82.752704051849904</v>
      </c>
      <c r="AN3305">
        <v>1.00000004920337</v>
      </c>
    </row>
    <row r="3306" spans="1:40" x14ac:dyDescent="0.25">
      <c r="A3306" t="str">
        <f>"20190304164708729"</f>
        <v>20190304164708729</v>
      </c>
      <c r="B3306" t="str">
        <f>"1551689228721648"</f>
        <v>1551689228721648</v>
      </c>
      <c r="C3306" t="s">
        <v>40</v>
      </c>
      <c r="D3306">
        <v>4.3687170000000002</v>
      </c>
      <c r="E3306">
        <v>0.60013430000000001</v>
      </c>
      <c r="F3306" t="s">
        <v>45</v>
      </c>
      <c r="G3306">
        <v>-192.74440000000001</v>
      </c>
      <c r="H3306" s="1">
        <v>4.5763039999999998E-6</v>
      </c>
      <c r="I3306">
        <v>207.39570000000001</v>
      </c>
      <c r="J3306">
        <v>-197.75139999999999</v>
      </c>
      <c r="K3306">
        <v>1.102511</v>
      </c>
      <c r="L3306">
        <v>211.87860000000001</v>
      </c>
      <c r="M3306">
        <v>0.91832910000000001</v>
      </c>
      <c r="N3306">
        <v>-1.5037150000000001E-2</v>
      </c>
      <c r="O3306">
        <v>-0.3955322</v>
      </c>
      <c r="P3306">
        <v>0.81315890000000002</v>
      </c>
      <c r="Q3306">
        <v>0.33745700000000001</v>
      </c>
      <c r="R3306">
        <v>-0.47423169999999998</v>
      </c>
      <c r="S3306">
        <v>2.6036830000000002</v>
      </c>
      <c r="T3306">
        <v>-0.53959269999999904</v>
      </c>
      <c r="U3306">
        <v>-2.2659449999999999</v>
      </c>
      <c r="V3306">
        <v>0.1211941</v>
      </c>
      <c r="W3306">
        <v>0.349016099999999</v>
      </c>
      <c r="X3306">
        <v>0.92924680000000004</v>
      </c>
      <c r="Y3306">
        <v>0.30430420000000002</v>
      </c>
      <c r="Z3306">
        <v>3.1114260000000001E-2</v>
      </c>
      <c r="AA3306">
        <v>0.95206659999999999</v>
      </c>
      <c r="AB3306">
        <v>27</v>
      </c>
      <c r="AC3306">
        <v>5.0069999999999704</v>
      </c>
      <c r="AD3306">
        <v>-1.102506423696</v>
      </c>
      <c r="AE3306">
        <v>-4.4828999999999999</v>
      </c>
      <c r="AF3306">
        <v>2.0805961284918899</v>
      </c>
      <c r="AG3306">
        <v>-1.102506423696</v>
      </c>
      <c r="AH3306">
        <v>6.2049375527584196</v>
      </c>
      <c r="AI3306">
        <v>99.562474650130994</v>
      </c>
      <c r="AJ3306">
        <v>71.4630287924752</v>
      </c>
      <c r="AK3306">
        <v>6.6366897394573101</v>
      </c>
      <c r="AL3306">
        <v>69.572851335085801</v>
      </c>
      <c r="AM3306">
        <v>82.569319815745203</v>
      </c>
      <c r="AN3306">
        <v>0.99999993162212697</v>
      </c>
    </row>
    <row r="3307" spans="1:40" x14ac:dyDescent="0.25">
      <c r="A3307" t="str">
        <f>"20190304164708753"</f>
        <v>20190304164708753</v>
      </c>
      <c r="B3307" t="str">
        <f>"1551689228742145"</f>
        <v>1551689228742145</v>
      </c>
      <c r="C3307" t="s">
        <v>40</v>
      </c>
      <c r="D3307">
        <v>4.6521280000000003</v>
      </c>
      <c r="E3307">
        <v>0.59960449999999998</v>
      </c>
      <c r="F3307" t="s">
        <v>45</v>
      </c>
      <c r="G3307">
        <v>-192.333</v>
      </c>
      <c r="H3307" s="1">
        <v>4.8217059999999997E-6</v>
      </c>
      <c r="I3307">
        <v>206.95959999999999</v>
      </c>
      <c r="J3307">
        <v>-197.48939999999999</v>
      </c>
      <c r="K3307">
        <v>1.102287</v>
      </c>
      <c r="L3307">
        <v>211.75020000000001</v>
      </c>
      <c r="M3307">
        <v>0.91299379999999997</v>
      </c>
      <c r="N3307">
        <v>-1.50968E-2</v>
      </c>
      <c r="O3307">
        <v>-0.407694</v>
      </c>
      <c r="P3307">
        <v>0.8046413</v>
      </c>
      <c r="Q3307">
        <v>0.3383853</v>
      </c>
      <c r="R3307">
        <v>-0.48790149999999999</v>
      </c>
      <c r="S3307">
        <v>2.5531619999999999</v>
      </c>
      <c r="T3307">
        <v>-0.51949480000000003</v>
      </c>
      <c r="U3307">
        <v>-2.3178100000000001</v>
      </c>
      <c r="V3307">
        <v>0.1249364</v>
      </c>
      <c r="W3307">
        <v>0.34984710000000002</v>
      </c>
      <c r="X3307">
        <v>0.9284384</v>
      </c>
      <c r="Y3307">
        <v>0.31159880000000001</v>
      </c>
      <c r="Z3307">
        <v>3.0857320000000001E-2</v>
      </c>
      <c r="AA3307">
        <v>0.94971260000000002</v>
      </c>
      <c r="AB3307">
        <v>27</v>
      </c>
      <c r="AC3307">
        <v>5.1563999999999899</v>
      </c>
      <c r="AD3307">
        <v>-1.102282178294</v>
      </c>
      <c r="AE3307">
        <v>-4.7906000000000102</v>
      </c>
      <c r="AF3307">
        <v>2.21742684804095</v>
      </c>
      <c r="AG3307">
        <v>-1.102282178294</v>
      </c>
      <c r="AH3307">
        <v>6.5021413145562299</v>
      </c>
      <c r="AI3307">
        <v>99.115536053018502</v>
      </c>
      <c r="AJ3307">
        <v>71.169071324578695</v>
      </c>
      <c r="AK3307">
        <v>6.95771869950606</v>
      </c>
      <c r="AL3307">
        <v>69.522036216716501</v>
      </c>
      <c r="AM3307">
        <v>82.335965331053501</v>
      </c>
      <c r="AN3307">
        <v>0.99999998000896395</v>
      </c>
    </row>
    <row r="3308" spans="1:40" x14ac:dyDescent="0.25">
      <c r="A3308" t="str">
        <f>"20190304164708774"</f>
        <v>20190304164708774</v>
      </c>
      <c r="B3308" t="str">
        <f>"1551689228761665"</f>
        <v>1551689228761665</v>
      </c>
      <c r="C3308" t="s">
        <v>40</v>
      </c>
      <c r="D3308">
        <v>4.6705519999999998</v>
      </c>
      <c r="E3308">
        <v>0.59947729999999999</v>
      </c>
      <c r="F3308" t="s">
        <v>45</v>
      </c>
      <c r="G3308">
        <v>-192.16579999999999</v>
      </c>
      <c r="H3308" s="1">
        <v>4.9234540000000004E-6</v>
      </c>
      <c r="I3308">
        <v>206.7766</v>
      </c>
      <c r="J3308">
        <v>-197.27070000000001</v>
      </c>
      <c r="K3308">
        <v>1.1020859999999999</v>
      </c>
      <c r="L3308">
        <v>211.63910000000001</v>
      </c>
      <c r="M3308">
        <v>0.90824559999999999</v>
      </c>
      <c r="N3308">
        <v>-1.514834E-2</v>
      </c>
      <c r="O3308">
        <v>-0.41816360000000002</v>
      </c>
      <c r="P3308">
        <v>0.79711319999999997</v>
      </c>
      <c r="Q3308">
        <v>0.33838249999999997</v>
      </c>
      <c r="R3308">
        <v>-0.50010779999999999</v>
      </c>
      <c r="S3308">
        <v>2.5201720000000001</v>
      </c>
      <c r="T3308">
        <v>-0.52181299999999997</v>
      </c>
      <c r="U3308">
        <v>-2.3544619999999998</v>
      </c>
      <c r="V3308">
        <v>0.12859619999999999</v>
      </c>
      <c r="W3308">
        <v>0.3497497</v>
      </c>
      <c r="X3308">
        <v>0.92797529999999995</v>
      </c>
      <c r="Y3308">
        <v>0.31430459999999999</v>
      </c>
      <c r="Z3308">
        <v>3.2315789999999997E-2</v>
      </c>
      <c r="AA3308">
        <v>0.94877199999999995</v>
      </c>
      <c r="AB3308">
        <v>27</v>
      </c>
      <c r="AC3308">
        <v>5.1049000000000104</v>
      </c>
      <c r="AD3308">
        <v>-1.1020810765459901</v>
      </c>
      <c r="AE3308">
        <v>-4.8625000000000096</v>
      </c>
      <c r="AF3308">
        <v>2.2274905525151301</v>
      </c>
      <c r="AG3308">
        <v>-1.1020810765459901</v>
      </c>
      <c r="AH3308">
        <v>6.5114710818407602</v>
      </c>
      <c r="AI3308">
        <v>99.098168544027104</v>
      </c>
      <c r="AJ3308">
        <v>71.114841961487002</v>
      </c>
      <c r="AK3308">
        <v>6.9696163818730703</v>
      </c>
      <c r="AL3308">
        <v>69.527993505068494</v>
      </c>
      <c r="AM3308">
        <v>82.110359661612705</v>
      </c>
      <c r="AN3308">
        <v>0.99999999635730996</v>
      </c>
    </row>
    <row r="3309" spans="1:40" x14ac:dyDescent="0.25">
      <c r="A3309" t="str">
        <f>"20190304164708796"</f>
        <v>20190304164708796</v>
      </c>
      <c r="B3309" t="str">
        <f>"1551689228791920"</f>
        <v>1551689228791920</v>
      </c>
      <c r="C3309" t="s">
        <v>40</v>
      </c>
      <c r="D3309">
        <v>4.6643150000000002</v>
      </c>
      <c r="E3309">
        <v>0.60017589999999998</v>
      </c>
      <c r="F3309" t="s">
        <v>45</v>
      </c>
      <c r="G3309">
        <v>-192.03569999999999</v>
      </c>
      <c r="H3309" s="1">
        <v>5.0102020000000004E-6</v>
      </c>
      <c r="I3309">
        <v>206.61279999999999</v>
      </c>
      <c r="J3309">
        <v>-197.0361</v>
      </c>
      <c r="K3309">
        <v>1.1018539999999999</v>
      </c>
      <c r="L3309">
        <v>211.51609999999999</v>
      </c>
      <c r="M3309">
        <v>0.90283639999999998</v>
      </c>
      <c r="N3309">
        <v>-1.5209210000000001E-2</v>
      </c>
      <c r="O3309">
        <v>-0.42971520000000002</v>
      </c>
      <c r="P3309">
        <v>0.78975740000000005</v>
      </c>
      <c r="Q3309">
        <v>0.3372906</v>
      </c>
      <c r="R3309">
        <v>-0.51236590000000004</v>
      </c>
      <c r="S3309">
        <v>2.487457</v>
      </c>
      <c r="T3309">
        <v>-0.52366409999999997</v>
      </c>
      <c r="U3309">
        <v>-2.388306</v>
      </c>
      <c r="V3309">
        <v>0.13107539999999901</v>
      </c>
      <c r="W3309">
        <v>0.34859509999999899</v>
      </c>
      <c r="X3309">
        <v>0.92806290000000002</v>
      </c>
      <c r="Y3309">
        <v>0.31522349999999999</v>
      </c>
      <c r="Z3309">
        <v>3.4066680000000002E-2</v>
      </c>
      <c r="AA3309">
        <v>0.94840590000000002</v>
      </c>
      <c r="AB3309">
        <v>26</v>
      </c>
      <c r="AC3309">
        <v>5.0004000000000097</v>
      </c>
      <c r="AD3309">
        <v>-1.1018489897979999</v>
      </c>
      <c r="AE3309">
        <v>-4.9032999999999998</v>
      </c>
      <c r="AF3309">
        <v>2.2233573423401398</v>
      </c>
      <c r="AG3309">
        <v>-1.1018489897979999</v>
      </c>
      <c r="AH3309">
        <v>6.4623650683544502</v>
      </c>
      <c r="AI3309">
        <v>99.158818850774693</v>
      </c>
      <c r="AJ3309">
        <v>71.014374802250501</v>
      </c>
      <c r="AK3309">
        <v>6.9223949139545997</v>
      </c>
      <c r="AL3309">
        <v>69.598591328923405</v>
      </c>
      <c r="AM3309">
        <v>81.960974949265093</v>
      </c>
      <c r="AN3309">
        <v>1.0000000252927801</v>
      </c>
    </row>
    <row r="3310" spans="1:40" x14ac:dyDescent="0.25">
      <c r="A3310" t="str">
        <f>"20190304164708816"</f>
        <v>20190304164708816</v>
      </c>
      <c r="B3310" t="str">
        <f>"1551689228812417"</f>
        <v>1551689228812417</v>
      </c>
      <c r="C3310" t="s">
        <v>40</v>
      </c>
      <c r="D3310">
        <v>4.6399109999999997</v>
      </c>
      <c r="E3310">
        <v>0.59971609999999997</v>
      </c>
      <c r="F3310" t="s">
        <v>45</v>
      </c>
      <c r="G3310">
        <v>-191.81</v>
      </c>
      <c r="H3310" s="1">
        <v>5.1610269999999999E-6</v>
      </c>
      <c r="I3310">
        <v>206.32769999999999</v>
      </c>
      <c r="J3310">
        <v>-196.82300000000001</v>
      </c>
      <c r="K3310">
        <v>1.101642</v>
      </c>
      <c r="L3310">
        <v>211.4006</v>
      </c>
      <c r="M3310">
        <v>0.89763300000000001</v>
      </c>
      <c r="N3310">
        <v>-1.5269609999999999E-2</v>
      </c>
      <c r="O3310">
        <v>-0.44047910000000001</v>
      </c>
      <c r="P3310">
        <v>0.7834605</v>
      </c>
      <c r="Q3310">
        <v>0.33538379999999901</v>
      </c>
      <c r="R3310">
        <v>-0.52317060000000004</v>
      </c>
      <c r="S3310">
        <v>2.4443820000000001</v>
      </c>
      <c r="T3310">
        <v>-0.51536499999999996</v>
      </c>
      <c r="U3310">
        <v>-2.4267270000000001</v>
      </c>
      <c r="V3310">
        <v>0.1325115</v>
      </c>
      <c r="W3310">
        <v>0.34665780000000002</v>
      </c>
      <c r="X3310">
        <v>0.92858450000000003</v>
      </c>
      <c r="Y3310">
        <v>0.31973879999999999</v>
      </c>
      <c r="Z3310">
        <v>3.4622960000000001E-2</v>
      </c>
      <c r="AA3310">
        <v>0.94687290000000002</v>
      </c>
      <c r="AB3310">
        <v>26</v>
      </c>
      <c r="AC3310">
        <v>5.0129999999999697</v>
      </c>
      <c r="AD3310">
        <v>-1.101636838973</v>
      </c>
      <c r="AE3310">
        <v>-5.0728999999999997</v>
      </c>
      <c r="AF3310">
        <v>2.2910898270254099</v>
      </c>
      <c r="AG3310">
        <v>-1.101636838973</v>
      </c>
      <c r="AH3310">
        <v>6.5781736139748697</v>
      </c>
      <c r="AI3310">
        <v>98.986943043335899</v>
      </c>
      <c r="AJ3310">
        <v>70.797456741713503</v>
      </c>
      <c r="AK3310">
        <v>7.0523091548851502</v>
      </c>
      <c r="AL3310">
        <v>69.716974141114207</v>
      </c>
      <c r="AM3310">
        <v>81.878570705605298</v>
      </c>
      <c r="AN3310">
        <v>1.00000005078666</v>
      </c>
    </row>
    <row r="3311" spans="1:40" x14ac:dyDescent="0.25">
      <c r="A3311" t="str">
        <f>"20190304164708842"</f>
        <v>20190304164708842</v>
      </c>
      <c r="B3311" t="str">
        <f>"1551689228831936"</f>
        <v>1551689228831936</v>
      </c>
      <c r="C3311" t="s">
        <v>40</v>
      </c>
      <c r="D3311">
        <v>4.7033690000000004</v>
      </c>
      <c r="E3311">
        <v>0.60025909999999905</v>
      </c>
      <c r="F3311" t="s">
        <v>45</v>
      </c>
      <c r="G3311">
        <v>-191.7473</v>
      </c>
      <c r="H3311" s="1">
        <v>5.2077339999999998E-6</v>
      </c>
      <c r="I3311">
        <v>206.23490000000001</v>
      </c>
      <c r="J3311">
        <v>-196.53970000000001</v>
      </c>
      <c r="K3311">
        <v>1.101394</v>
      </c>
      <c r="L3311">
        <v>211.24109999999999</v>
      </c>
      <c r="M3311">
        <v>0.89026849999999902</v>
      </c>
      <c r="N3311">
        <v>-1.5350580000000001E-2</v>
      </c>
      <c r="O3311">
        <v>-0.45517750000000001</v>
      </c>
      <c r="P3311">
        <v>0.77466429999999997</v>
      </c>
      <c r="Q3311">
        <v>0.3344049</v>
      </c>
      <c r="R3311">
        <v>-0.5367208</v>
      </c>
      <c r="S3311">
        <v>2.4133</v>
      </c>
      <c r="T3311">
        <v>-0.52378239999999998</v>
      </c>
      <c r="U3311">
        <v>-2.45607</v>
      </c>
      <c r="V3311">
        <v>0.1333956</v>
      </c>
      <c r="W3311">
        <v>0.3456629</v>
      </c>
      <c r="X3311">
        <v>0.92882869999999995</v>
      </c>
      <c r="Y3311">
        <v>0.31606709999999999</v>
      </c>
      <c r="Z3311">
        <v>3.7782129999999997E-2</v>
      </c>
      <c r="AA3311">
        <v>0.9479843</v>
      </c>
      <c r="AB3311">
        <v>26</v>
      </c>
      <c r="AC3311">
        <v>4.7924000000000104</v>
      </c>
      <c r="AD3311">
        <v>-1.1013887922659999</v>
      </c>
      <c r="AE3311">
        <v>-5.0061999999999696</v>
      </c>
      <c r="AF3311">
        <v>2.2196757560306102</v>
      </c>
      <c r="AG3311">
        <v>-1.1013887922659999</v>
      </c>
      <c r="AH3311">
        <v>6.3847454335847003</v>
      </c>
      <c r="AI3311">
        <v>99.254303010867901</v>
      </c>
      <c r="AJ3311">
        <v>70.829840471241994</v>
      </c>
      <c r="AK3311">
        <v>6.8487219234919996</v>
      </c>
      <c r="AL3311">
        <v>69.7777329020537</v>
      </c>
      <c r="AM3311">
        <v>81.8272357975669</v>
      </c>
      <c r="AN3311">
        <v>0.99999999023972996</v>
      </c>
    </row>
    <row r="3312" spans="1:40" x14ac:dyDescent="0.25">
      <c r="A3312" t="str">
        <f>"20190304164708867"</f>
        <v>20190304164708867</v>
      </c>
      <c r="B3312" t="str">
        <f>"1551689228862192"</f>
        <v>1551689228862192</v>
      </c>
      <c r="C3312" t="s">
        <v>40</v>
      </c>
      <c r="D3312">
        <v>4.7010129999999997</v>
      </c>
      <c r="E3312">
        <v>0.60041529999999999</v>
      </c>
      <c r="F3312" t="s">
        <v>45</v>
      </c>
      <c r="G3312">
        <v>-191.49189999999999</v>
      </c>
      <c r="H3312" s="1">
        <v>5.3829739999999997E-6</v>
      </c>
      <c r="I3312">
        <v>205.89940000000001</v>
      </c>
      <c r="J3312">
        <v>-196.28880000000001</v>
      </c>
      <c r="K3312">
        <v>1.1011930000000001</v>
      </c>
      <c r="L3312">
        <v>211.09450000000001</v>
      </c>
      <c r="M3312">
        <v>0.88332840000000001</v>
      </c>
      <c r="N3312">
        <v>-1.5416940000000001E-2</v>
      </c>
      <c r="O3312">
        <v>-0.46850140000000001</v>
      </c>
      <c r="P3312">
        <v>0.76573819999999904</v>
      </c>
      <c r="Q3312">
        <v>0.33493410000000001</v>
      </c>
      <c r="R3312">
        <v>-0.54905809999999999</v>
      </c>
      <c r="S3312">
        <v>2.3628079999999998</v>
      </c>
      <c r="T3312">
        <v>-0.51555450000000003</v>
      </c>
      <c r="U3312">
        <v>-2.5004430000000002</v>
      </c>
      <c r="V3312">
        <v>0.134604799999999</v>
      </c>
      <c r="W3312">
        <v>0.34616089999999999</v>
      </c>
      <c r="X3312">
        <v>0.92846870000000004</v>
      </c>
      <c r="Y3312">
        <v>0.32033919999999999</v>
      </c>
      <c r="Z3312">
        <v>3.8680350000000002E-2</v>
      </c>
      <c r="AA3312">
        <v>0.94651289999999999</v>
      </c>
      <c r="AB3312">
        <v>26</v>
      </c>
      <c r="AC3312">
        <v>4.7969000000000204</v>
      </c>
      <c r="AD3312">
        <v>-1.101187617026</v>
      </c>
      <c r="AE3312">
        <v>-5.1950999999999903</v>
      </c>
      <c r="AF3312">
        <v>2.28645056908706</v>
      </c>
      <c r="AG3312">
        <v>-1.101187617026</v>
      </c>
      <c r="AH3312">
        <v>6.5139609557604903</v>
      </c>
      <c r="AI3312">
        <v>99.062869170602795</v>
      </c>
      <c r="AJ3312">
        <v>70.658532999807306</v>
      </c>
      <c r="AK3312">
        <v>6.9908624436432802</v>
      </c>
      <c r="AL3312">
        <v>69.747321917048893</v>
      </c>
      <c r="AM3312">
        <v>81.751012639491904</v>
      </c>
      <c r="AN3312">
        <v>0.999999973875769</v>
      </c>
    </row>
    <row r="3313" spans="1:40" x14ac:dyDescent="0.25">
      <c r="A3313" t="str">
        <f>"20190304164708887"</f>
        <v>20190304164708887</v>
      </c>
      <c r="B3313" t="str">
        <f>"1551689228881712"</f>
        <v>1551689228881712</v>
      </c>
      <c r="C3313" t="s">
        <v>40</v>
      </c>
      <c r="D3313">
        <v>4.3835930000000003</v>
      </c>
      <c r="E3313">
        <v>0.60073279999999996</v>
      </c>
      <c r="F3313" t="s">
        <v>45</v>
      </c>
      <c r="G3313">
        <v>-191.2328</v>
      </c>
      <c r="H3313" s="1">
        <v>5.5610309999999996E-6</v>
      </c>
      <c r="I3313">
        <v>205.5582</v>
      </c>
      <c r="J3313">
        <v>-196.08690000000001</v>
      </c>
      <c r="K3313">
        <v>1.1010439999999999</v>
      </c>
      <c r="L3313">
        <v>210.9725</v>
      </c>
      <c r="M3313">
        <v>0.87743159999999898</v>
      </c>
      <c r="N3313">
        <v>-1.546822E-2</v>
      </c>
      <c r="O3313">
        <v>-0.4794525</v>
      </c>
      <c r="P3313">
        <v>0.7582335</v>
      </c>
      <c r="Q3313">
        <v>0.3342292</v>
      </c>
      <c r="R3313">
        <v>-0.55979730000000005</v>
      </c>
      <c r="S3313">
        <v>2.31839</v>
      </c>
      <c r="T3313">
        <v>-0.50494240000000001</v>
      </c>
      <c r="U3313">
        <v>-2.5386199999999999</v>
      </c>
      <c r="V3313">
        <v>0.1361067</v>
      </c>
      <c r="W3313">
        <v>0.34542440000000002</v>
      </c>
      <c r="X3313">
        <v>0.92852409999999996</v>
      </c>
      <c r="Y3313">
        <v>0.32466899999999999</v>
      </c>
      <c r="Z3313">
        <v>3.8951939999999997E-2</v>
      </c>
      <c r="AA3313">
        <v>0.94502529999999996</v>
      </c>
      <c r="AB3313">
        <v>26</v>
      </c>
      <c r="AC3313">
        <v>4.8541000000000096</v>
      </c>
      <c r="AD3313">
        <v>-1.101038438969</v>
      </c>
      <c r="AE3313">
        <v>-5.4142999999999901</v>
      </c>
      <c r="AF3313">
        <v>2.3693365672737898</v>
      </c>
      <c r="AG3313">
        <v>-1.101038438969</v>
      </c>
      <c r="AH3313">
        <v>6.7022016588912603</v>
      </c>
      <c r="AI3313">
        <v>98.804387259707099</v>
      </c>
      <c r="AJ3313">
        <v>70.530675729311298</v>
      </c>
      <c r="AK3313">
        <v>7.1934378769509699</v>
      </c>
      <c r="AL3313">
        <v>69.792295704603006</v>
      </c>
      <c r="AM3313">
        <v>81.660749813077501</v>
      </c>
      <c r="AN3313">
        <v>1.00000002709052</v>
      </c>
    </row>
    <row r="3314" spans="1:40" x14ac:dyDescent="0.25">
      <c r="A3314" t="str">
        <f>"20190304164708909"</f>
        <v>20190304164708909</v>
      </c>
      <c r="B3314" t="str">
        <f>"1551689228902209"</f>
        <v>1551689228902209</v>
      </c>
      <c r="C3314" t="s">
        <v>40</v>
      </c>
      <c r="D3314">
        <v>4.3738640000000002</v>
      </c>
      <c r="E3314">
        <v>0.60098969999999996</v>
      </c>
      <c r="F3314" t="s">
        <v>45</v>
      </c>
      <c r="G3314">
        <v>-191.05699999999999</v>
      </c>
      <c r="H3314" s="1">
        <v>5.6914030000000001E-6</v>
      </c>
      <c r="I3314">
        <v>205.2997</v>
      </c>
      <c r="J3314">
        <v>-195.86760000000001</v>
      </c>
      <c r="K3314">
        <v>1.100889</v>
      </c>
      <c r="L3314">
        <v>210.83580000000001</v>
      </c>
      <c r="M3314">
        <v>0.87069649999999998</v>
      </c>
      <c r="N3314">
        <v>-1.552477E-2</v>
      </c>
      <c r="O3314">
        <v>-0.49157590000000001</v>
      </c>
      <c r="P3314">
        <v>0.75068210000000002</v>
      </c>
      <c r="Q3314">
        <v>0.3323933</v>
      </c>
      <c r="R3314">
        <v>-0.57095640000000003</v>
      </c>
      <c r="S3314">
        <v>2.278915</v>
      </c>
      <c r="T3314">
        <v>-0.49885269999999998</v>
      </c>
      <c r="U3314">
        <v>-2.5702060000000002</v>
      </c>
      <c r="V3314">
        <v>0.13665479999999899</v>
      </c>
      <c r="W3314">
        <v>0.34359000000000001</v>
      </c>
      <c r="X3314">
        <v>0.92912399999999995</v>
      </c>
      <c r="Y3314">
        <v>0.32548759999999999</v>
      </c>
      <c r="Z3314">
        <v>4.0054949999999999E-2</v>
      </c>
      <c r="AA3314">
        <v>0.94469760000000003</v>
      </c>
      <c r="AB3314">
        <v>26</v>
      </c>
      <c r="AC3314">
        <v>4.8105999999999902</v>
      </c>
      <c r="AD3314">
        <v>-1.100883308597</v>
      </c>
      <c r="AE3314">
        <v>-5.5361000000000002</v>
      </c>
      <c r="AF3314">
        <v>2.4016716324647098</v>
      </c>
      <c r="AG3314">
        <v>-1.100883308597</v>
      </c>
      <c r="AH3314">
        <v>6.7585417059097397</v>
      </c>
      <c r="AI3314">
        <v>98.725945248944896</v>
      </c>
      <c r="AJ3314">
        <v>70.437151086822794</v>
      </c>
      <c r="AK3314">
        <v>7.2565733428288697</v>
      </c>
      <c r="AL3314">
        <v>69.904252443333803</v>
      </c>
      <c r="AM3314">
        <v>81.632971989999106</v>
      </c>
      <c r="AN3314">
        <v>1.0000000149195101</v>
      </c>
    </row>
    <row r="3315" spans="1:40" x14ac:dyDescent="0.25">
      <c r="A3315" t="str">
        <f>"20190304164708930"</f>
        <v>20190304164708930</v>
      </c>
      <c r="B3315" t="str">
        <f>"1551689228921729"</f>
        <v>1551689228921729</v>
      </c>
      <c r="C3315" t="s">
        <v>40</v>
      </c>
      <c r="D3315">
        <v>4.7198979999999997</v>
      </c>
      <c r="E3315">
        <v>0.60050119999999996</v>
      </c>
      <c r="F3315" t="s">
        <v>45</v>
      </c>
      <c r="G3315">
        <v>-190.90700000000001</v>
      </c>
      <c r="H3315" s="1">
        <v>5.8088739999999899E-6</v>
      </c>
      <c r="I3315">
        <v>205.06139999999999</v>
      </c>
      <c r="J3315">
        <v>-195.64449999999999</v>
      </c>
      <c r="K3315">
        <v>1.100754</v>
      </c>
      <c r="L3315">
        <v>210.69210000000001</v>
      </c>
      <c r="M3315">
        <v>0.86347559999999901</v>
      </c>
      <c r="N3315">
        <v>-1.5584809999999999E-2</v>
      </c>
      <c r="O3315">
        <v>-0.50414999999999999</v>
      </c>
      <c r="P3315">
        <v>0.74269560000000001</v>
      </c>
      <c r="Q3315">
        <v>0.33177000000000001</v>
      </c>
      <c r="R3315">
        <v>-0.58166340000000005</v>
      </c>
      <c r="S3315">
        <v>2.236237</v>
      </c>
      <c r="T3315">
        <v>-0.49628220000000001</v>
      </c>
      <c r="U3315">
        <v>-2.6031040000000001</v>
      </c>
      <c r="V3315">
        <v>0.13647819999999999</v>
      </c>
      <c r="W3315">
        <v>0.34298309999999999</v>
      </c>
      <c r="X3315">
        <v>0.92937409999999998</v>
      </c>
      <c r="Y3315">
        <v>0.32663819999999999</v>
      </c>
      <c r="Z3315">
        <v>4.1524930000000002E-2</v>
      </c>
      <c r="AA3315">
        <v>0.94423679999999999</v>
      </c>
      <c r="AB3315">
        <v>26</v>
      </c>
      <c r="AC3315">
        <v>4.7374999999999803</v>
      </c>
      <c r="AD3315">
        <v>-1.100748191126</v>
      </c>
      <c r="AE3315">
        <v>-5.6307000000000098</v>
      </c>
      <c r="AF3315">
        <v>2.4197173263429699</v>
      </c>
      <c r="AG3315">
        <v>-1.100748191126</v>
      </c>
      <c r="AH3315">
        <v>6.7785942138038298</v>
      </c>
      <c r="AI3315">
        <v>98.6951154540711</v>
      </c>
      <c r="AJ3315">
        <v>70.355240816042297</v>
      </c>
      <c r="AK3315">
        <v>7.2812099293377299</v>
      </c>
      <c r="AL3315">
        <v>69.941273981773705</v>
      </c>
      <c r="AM3315">
        <v>81.645848989642701</v>
      </c>
      <c r="AN3315">
        <v>0.99999996185582896</v>
      </c>
    </row>
    <row r="3316" spans="1:40" x14ac:dyDescent="0.25">
      <c r="A3316" t="str">
        <f>"20190304164708952"</f>
        <v>20190304164708952</v>
      </c>
      <c r="B3316" t="str">
        <f>"1551689228942225"</f>
        <v>1551689228942225</v>
      </c>
      <c r="C3316" t="s">
        <v>40</v>
      </c>
      <c r="D3316">
        <v>4.7052800000000001</v>
      </c>
      <c r="E3316">
        <v>0.60004119999999905</v>
      </c>
      <c r="F3316" t="s">
        <v>45</v>
      </c>
      <c r="G3316">
        <v>-190.78299999999999</v>
      </c>
      <c r="H3316" s="1">
        <v>5.9058600000000002E-6</v>
      </c>
      <c r="I3316">
        <v>204.8648</v>
      </c>
      <c r="J3316">
        <v>-195.42400000000001</v>
      </c>
      <c r="K3316">
        <v>1.100611</v>
      </c>
      <c r="L3316">
        <v>210.54519999999999</v>
      </c>
      <c r="M3316">
        <v>0.85594609999999904</v>
      </c>
      <c r="N3316">
        <v>-1.564604E-2</v>
      </c>
      <c r="O3316">
        <v>-0.51682839999999997</v>
      </c>
      <c r="P3316">
        <v>0.73386850000000003</v>
      </c>
      <c r="Q3316">
        <v>0.33249689999999998</v>
      </c>
      <c r="R3316">
        <v>-0.59235369999999998</v>
      </c>
      <c r="S3316">
        <v>2.1981510000000002</v>
      </c>
      <c r="T3316">
        <v>-0.49770500000000001</v>
      </c>
      <c r="U3316">
        <v>-2.634811</v>
      </c>
      <c r="V3316">
        <v>0.1365431</v>
      </c>
      <c r="W3316">
        <v>0.34371360000000001</v>
      </c>
      <c r="X3316">
        <v>0.92909470000000005</v>
      </c>
      <c r="Y3316">
        <v>0.32642059999999901</v>
      </c>
      <c r="Z3316">
        <v>4.3482560000000003E-2</v>
      </c>
      <c r="AA3316">
        <v>0.9442239</v>
      </c>
      <c r="AB3316">
        <v>26</v>
      </c>
      <c r="AC3316">
        <v>4.6410000000000204</v>
      </c>
      <c r="AD3316">
        <v>-1.1006050941399901</v>
      </c>
      <c r="AE3316">
        <v>-5.6803999999999899</v>
      </c>
      <c r="AF3316">
        <v>2.4095703587640398</v>
      </c>
      <c r="AG3316">
        <v>-1.1006050941399901</v>
      </c>
      <c r="AH3316">
        <v>6.7569635485354702</v>
      </c>
      <c r="AI3316">
        <v>98.722382399972602</v>
      </c>
      <c r="AJ3316">
        <v>70.3734860902875</v>
      </c>
      <c r="AK3316">
        <v>7.2576798829459497</v>
      </c>
      <c r="AL3316">
        <v>69.896711296543899</v>
      </c>
      <c r="AM3316">
        <v>81.639454473990099</v>
      </c>
      <c r="AN3316">
        <v>1.0000000092753201</v>
      </c>
    </row>
    <row r="3317" spans="1:40" x14ac:dyDescent="0.25">
      <c r="A3317" t="str">
        <f>"20190304164708975"</f>
        <v>20190304164708975</v>
      </c>
      <c r="B3317" t="str">
        <f>"1551689228972013"</f>
        <v>1551689228972013</v>
      </c>
      <c r="C3317" t="s">
        <v>40</v>
      </c>
      <c r="D3317">
        <v>4.7186669999999999</v>
      </c>
      <c r="E3317">
        <v>0.59931049999999997</v>
      </c>
      <c r="F3317" t="s">
        <v>45</v>
      </c>
      <c r="G3317">
        <v>-190.6189</v>
      </c>
      <c r="H3317" s="1">
        <v>6.0307739999999996E-6</v>
      </c>
      <c r="I3317">
        <v>204.6138</v>
      </c>
      <c r="J3317">
        <v>-195.20330000000001</v>
      </c>
      <c r="K3317">
        <v>1.1004510000000001</v>
      </c>
      <c r="L3317">
        <v>210.393</v>
      </c>
      <c r="M3317">
        <v>0.84799729999999995</v>
      </c>
      <c r="N3317">
        <v>-1.5708650000000001E-2</v>
      </c>
      <c r="O3317">
        <v>-0.52976789999999996</v>
      </c>
      <c r="P3317">
        <v>0.72449200000000002</v>
      </c>
      <c r="Q3317">
        <v>0.3338139</v>
      </c>
      <c r="R3317">
        <v>-0.60305880000000001</v>
      </c>
      <c r="S3317">
        <v>2.1599430000000002</v>
      </c>
      <c r="T3317">
        <v>-0.49473810000000001</v>
      </c>
      <c r="U3317">
        <v>-2.6662599999999999</v>
      </c>
      <c r="V3317">
        <v>0.136551799999999</v>
      </c>
      <c r="W3317">
        <v>0.34503240000000002</v>
      </c>
      <c r="X3317">
        <v>0.92860450000000005</v>
      </c>
      <c r="Y3317">
        <v>0.32575710000000002</v>
      </c>
      <c r="Z3317">
        <v>4.503277E-2</v>
      </c>
      <c r="AA3317">
        <v>0.94438049999999996</v>
      </c>
      <c r="AB3317">
        <v>26</v>
      </c>
      <c r="AC3317">
        <v>4.5844000000000102</v>
      </c>
      <c r="AD3317">
        <v>-1.1004449692260001</v>
      </c>
      <c r="AE3317">
        <v>-5.7792000000000003</v>
      </c>
      <c r="AF3317">
        <v>2.4185598424808101</v>
      </c>
      <c r="AG3317">
        <v>-1.1004449692260001</v>
      </c>
      <c r="AH3317">
        <v>6.7987498869422902</v>
      </c>
      <c r="AI3317">
        <v>98.670694415285496</v>
      </c>
      <c r="AJ3317">
        <v>70.4176981654483</v>
      </c>
      <c r="AK3317">
        <v>7.2995486755794303</v>
      </c>
      <c r="AL3317">
        <v>69.816227126681198</v>
      </c>
      <c r="AM3317">
        <v>81.634578028575405</v>
      </c>
      <c r="AN3317">
        <v>1.00000003427662</v>
      </c>
    </row>
    <row r="3318" spans="1:40" x14ac:dyDescent="0.25">
      <c r="A3318" t="str">
        <f>"20190304164708996"</f>
        <v>20190304164708996</v>
      </c>
      <c r="B3318" t="str">
        <f>"1551689228992509"</f>
        <v>1551689228992509</v>
      </c>
      <c r="C3318" t="s">
        <v>40</v>
      </c>
      <c r="D3318">
        <v>4.7152909999999997</v>
      </c>
      <c r="E3318">
        <v>0.59877000000000002</v>
      </c>
      <c r="F3318" t="s">
        <v>45</v>
      </c>
      <c r="G3318">
        <v>-190.4384</v>
      </c>
      <c r="H3318" s="1">
        <v>6.1447309999999996E-6</v>
      </c>
      <c r="I3318">
        <v>204.345</v>
      </c>
      <c r="J3318">
        <v>-195.00040000000001</v>
      </c>
      <c r="K3318">
        <v>1.1002940000000001</v>
      </c>
      <c r="L3318">
        <v>210.24809999999999</v>
      </c>
      <c r="M3318">
        <v>0.84029310000000002</v>
      </c>
      <c r="N3318">
        <v>-1.576789E-2</v>
      </c>
      <c r="O3318">
        <v>-0.54190309999999997</v>
      </c>
      <c r="P3318">
        <v>0.71583730000000001</v>
      </c>
      <c r="Q3318">
        <v>0.33441959999999998</v>
      </c>
      <c r="R3318">
        <v>-0.61297729999999995</v>
      </c>
      <c r="S3318">
        <v>2.1233979999999999</v>
      </c>
      <c r="T3318">
        <v>-0.49038779999999998</v>
      </c>
      <c r="U3318">
        <v>-2.6951450000000001</v>
      </c>
      <c r="V3318">
        <v>0.1362806</v>
      </c>
      <c r="W3318">
        <v>0.34565170000000001</v>
      </c>
      <c r="X3318">
        <v>0.92841399999999996</v>
      </c>
      <c r="Y3318">
        <v>0.32504850000000002</v>
      </c>
      <c r="Z3318">
        <v>4.6298430000000002E-2</v>
      </c>
      <c r="AA3318">
        <v>0.94456340000000005</v>
      </c>
      <c r="AB3318">
        <v>26</v>
      </c>
      <c r="AC3318">
        <v>4.56200000000001</v>
      </c>
      <c r="AD3318">
        <v>-1.1002878552689901</v>
      </c>
      <c r="AE3318">
        <v>-5.9030999999999896</v>
      </c>
      <c r="AF3318">
        <v>2.43550651593505</v>
      </c>
      <c r="AG3318">
        <v>-1.1002878552689901</v>
      </c>
      <c r="AH3318">
        <v>6.8834760434954898</v>
      </c>
      <c r="AI3318">
        <v>98.569455376775295</v>
      </c>
      <c r="AJ3318">
        <v>70.515239021251006</v>
      </c>
      <c r="AK3318">
        <v>7.3840752836757302</v>
      </c>
      <c r="AL3318">
        <v>69.778417554573494</v>
      </c>
      <c r="AM3318">
        <v>81.649268861246597</v>
      </c>
      <c r="AN3318">
        <v>1.00000002752262</v>
      </c>
    </row>
    <row r="3319" spans="1:40" x14ac:dyDescent="0.25">
      <c r="A3319" t="str">
        <f>"20190304164709019"</f>
        <v>20190304164709019</v>
      </c>
      <c r="B3319" t="str">
        <f>"1551689229012028"</f>
        <v>1551689229012028</v>
      </c>
      <c r="C3319" t="s">
        <v>40</v>
      </c>
      <c r="D3319">
        <v>4.7501850000000001</v>
      </c>
      <c r="E3319">
        <v>0.59819829999999996</v>
      </c>
      <c r="F3319" t="s">
        <v>45</v>
      </c>
      <c r="G3319">
        <v>-190.2987</v>
      </c>
      <c r="H3319" s="1">
        <v>6.26415E-6</v>
      </c>
      <c r="I3319">
        <v>204.1123</v>
      </c>
      <c r="J3319">
        <v>-194.78389999999999</v>
      </c>
      <c r="K3319">
        <v>1.1001350000000001</v>
      </c>
      <c r="L3319">
        <v>210.0881</v>
      </c>
      <c r="M3319">
        <v>0.83164539999999998</v>
      </c>
      <c r="N3319">
        <v>-1.5831479999999998E-2</v>
      </c>
      <c r="O3319">
        <v>-0.55508119999999905</v>
      </c>
      <c r="P3319">
        <v>0.70706809999999998</v>
      </c>
      <c r="Q3319">
        <v>0.33398220000000001</v>
      </c>
      <c r="R3319">
        <v>-0.62330600000000003</v>
      </c>
      <c r="S3319">
        <v>2.0869450000000001</v>
      </c>
      <c r="T3319">
        <v>-0.4883807</v>
      </c>
      <c r="U3319">
        <v>-2.723465</v>
      </c>
      <c r="V3319">
        <v>0.13511879999999901</v>
      </c>
      <c r="W3319">
        <v>0.34526380000000001</v>
      </c>
      <c r="X3319">
        <v>0.92872809999999995</v>
      </c>
      <c r="Y3319">
        <v>0.32293280000000002</v>
      </c>
      <c r="Z3319">
        <v>4.8054479999999997E-2</v>
      </c>
      <c r="AA3319">
        <v>0.94520110000000002</v>
      </c>
      <c r="AB3319">
        <v>26</v>
      </c>
      <c r="AC3319">
        <v>4.4851999999999901</v>
      </c>
      <c r="AD3319">
        <v>-1.10012873585</v>
      </c>
      <c r="AE3319">
        <v>-5.9757999999999898</v>
      </c>
      <c r="AF3319">
        <v>2.4277754601843902</v>
      </c>
      <c r="AG3319">
        <v>-1.10012873585</v>
      </c>
      <c r="AH3319">
        <v>6.8984812023196804</v>
      </c>
      <c r="AI3319">
        <v>98.554871143386407</v>
      </c>
      <c r="AJ3319">
        <v>70.611552063370496</v>
      </c>
      <c r="AK3319">
        <v>7.39549997087921</v>
      </c>
      <c r="AL3319">
        <v>69.802100762922706</v>
      </c>
      <c r="AM3319">
        <v>81.722229717469403</v>
      </c>
      <c r="AN3319">
        <v>1.00000003271674</v>
      </c>
    </row>
    <row r="3320" spans="1:40" x14ac:dyDescent="0.25">
      <c r="A3320" t="str">
        <f>"20190304164709047"</f>
        <v>20190304164709047</v>
      </c>
      <c r="B3320" t="str">
        <f>"1551689229042284"</f>
        <v>1551689229042284</v>
      </c>
      <c r="C3320" t="s">
        <v>40</v>
      </c>
      <c r="D3320">
        <v>4.7585459999999999</v>
      </c>
      <c r="E3320">
        <v>0.59777389999999997</v>
      </c>
      <c r="F3320" t="s">
        <v>45</v>
      </c>
      <c r="G3320">
        <v>-190.18039999999999</v>
      </c>
      <c r="H3320" s="1">
        <v>6.3720600000000001E-6</v>
      </c>
      <c r="I3320">
        <v>203.89609999999999</v>
      </c>
      <c r="J3320">
        <v>-194.53039999999999</v>
      </c>
      <c r="K3320">
        <v>1.0999699999999999</v>
      </c>
      <c r="L3320">
        <v>209.89359999999999</v>
      </c>
      <c r="M3320">
        <v>0.82093449999999901</v>
      </c>
      <c r="N3320">
        <v>-1.5904129999999999E-2</v>
      </c>
      <c r="O3320">
        <v>-0.5708008</v>
      </c>
      <c r="P3320">
        <v>0.69552269999999905</v>
      </c>
      <c r="Q3320">
        <v>0.33501140000000001</v>
      </c>
      <c r="R3320">
        <v>-0.63562229999999997</v>
      </c>
      <c r="S3320">
        <v>2.046875</v>
      </c>
      <c r="T3320">
        <v>-0.48915979999999998</v>
      </c>
      <c r="U3320">
        <v>-2.7532199999999998</v>
      </c>
      <c r="V3320">
        <v>0.13419610000000001</v>
      </c>
      <c r="W3320">
        <v>0.34633170000000002</v>
      </c>
      <c r="X3320">
        <v>0.92846419999999996</v>
      </c>
      <c r="Y3320">
        <v>0.31879849999999998</v>
      </c>
      <c r="Z3320">
        <v>5.0647089999999999E-2</v>
      </c>
      <c r="AA3320">
        <v>0.94646839999999999</v>
      </c>
      <c r="AB3320">
        <v>26</v>
      </c>
      <c r="AC3320">
        <v>4.3499999999999899</v>
      </c>
      <c r="AD3320">
        <v>-1.09996362794</v>
      </c>
      <c r="AE3320">
        <v>-5.9974999999999996</v>
      </c>
      <c r="AF3320">
        <v>2.3882392940530299</v>
      </c>
      <c r="AG3320">
        <v>-1.09996362794</v>
      </c>
      <c r="AH3320">
        <v>6.8444646976618797</v>
      </c>
      <c r="AI3320">
        <v>98.628051679529307</v>
      </c>
      <c r="AJ3320">
        <v>70.764586318618797</v>
      </c>
      <c r="AK3320">
        <v>7.3321418361887698</v>
      </c>
      <c r="AL3320">
        <v>69.736891213523194</v>
      </c>
      <c r="AM3320">
        <v>81.775676558564697</v>
      </c>
      <c r="AN3320">
        <v>1.00000000518087</v>
      </c>
    </row>
    <row r="3321" spans="1:40" x14ac:dyDescent="0.25">
      <c r="A3321" t="str">
        <f>"20190304164709071"</f>
        <v>20190304164709071</v>
      </c>
      <c r="B3321" t="str">
        <f>"1551689229061804"</f>
        <v>1551689229061804</v>
      </c>
      <c r="C3321" t="s">
        <v>40</v>
      </c>
      <c r="D3321">
        <v>4.7699410000000002</v>
      </c>
      <c r="E3321">
        <v>0.59717909999999996</v>
      </c>
      <c r="F3321" t="s">
        <v>45</v>
      </c>
      <c r="G3321">
        <v>-189.94479999999999</v>
      </c>
      <c r="H3321" s="1">
        <v>6.5769660000000002E-6</v>
      </c>
      <c r="I3321">
        <v>203.4759</v>
      </c>
      <c r="J3321">
        <v>-194.30609999999999</v>
      </c>
      <c r="K3321">
        <v>1.099836</v>
      </c>
      <c r="L3321">
        <v>209.7149</v>
      </c>
      <c r="M3321">
        <v>0.81089719999999998</v>
      </c>
      <c r="N3321">
        <v>-1.5968099999999999E-2</v>
      </c>
      <c r="O3321">
        <v>-0.58497080000000001</v>
      </c>
      <c r="P3321">
        <v>0.68402580000000002</v>
      </c>
      <c r="Q3321">
        <v>0.337234599999999</v>
      </c>
      <c r="R3321">
        <v>-0.64682430000000002</v>
      </c>
      <c r="S3321">
        <v>1.993698</v>
      </c>
      <c r="T3321">
        <v>-0.47823789999999999</v>
      </c>
      <c r="U3321">
        <v>-2.7902680000000002</v>
      </c>
      <c r="V3321">
        <v>0.13395219999999999</v>
      </c>
      <c r="W3321">
        <v>0.3485665</v>
      </c>
      <c r="X3321">
        <v>0.92766269999999995</v>
      </c>
      <c r="Y3321">
        <v>0.3202354</v>
      </c>
      <c r="Z3321">
        <v>5.1152209999999997E-2</v>
      </c>
      <c r="AA3321">
        <v>0.94595600000000002</v>
      </c>
      <c r="AB3321">
        <v>26</v>
      </c>
      <c r="AC3321">
        <v>4.3613</v>
      </c>
      <c r="AD3321">
        <v>-1.099829423034</v>
      </c>
      <c r="AE3321">
        <v>-6.2389999999999999</v>
      </c>
      <c r="AF3321">
        <v>2.4569845868575499</v>
      </c>
      <c r="AG3321">
        <v>-1.099829423034</v>
      </c>
      <c r="AH3321">
        <v>7.0401515557503203</v>
      </c>
      <c r="AI3321">
        <v>98.390511543109994</v>
      </c>
      <c r="AJ3321">
        <v>70.761218053418702</v>
      </c>
      <c r="AK3321">
        <v>7.5372496275339396</v>
      </c>
      <c r="AL3321">
        <v>69.600337846303304</v>
      </c>
      <c r="AM3321">
        <v>81.783423985967204</v>
      </c>
      <c r="AN3321">
        <v>0.99999994088918798</v>
      </c>
    </row>
    <row r="3322" spans="1:40" x14ac:dyDescent="0.25">
      <c r="A3322" t="str">
        <f>"20190304164709104"</f>
        <v>20190304164709104</v>
      </c>
      <c r="B3322" t="str">
        <f>"1551689229092568"</f>
        <v>1551689229092568</v>
      </c>
      <c r="C3322" t="s">
        <v>40</v>
      </c>
      <c r="D3322">
        <v>5.0020049999999996</v>
      </c>
      <c r="E3322">
        <v>0.59638880000000005</v>
      </c>
      <c r="F3322" t="s">
        <v>45</v>
      </c>
      <c r="G3322">
        <v>-189.7542</v>
      </c>
      <c r="H3322" s="1">
        <v>6.6607219999999998E-6</v>
      </c>
      <c r="I3322">
        <v>203.11940000000001</v>
      </c>
      <c r="J3322">
        <v>-194.00640000000001</v>
      </c>
      <c r="K3322">
        <v>1.0996570000000001</v>
      </c>
      <c r="L3322">
        <v>209.46469999999999</v>
      </c>
      <c r="M3322">
        <v>0.79653309999999999</v>
      </c>
      <c r="N3322">
        <v>-1.6060089999999999E-2</v>
      </c>
      <c r="O3322">
        <v>-0.60438149999999902</v>
      </c>
      <c r="P3322">
        <v>0.66532769999999997</v>
      </c>
      <c r="Q3322">
        <v>0.34132390000000001</v>
      </c>
      <c r="R3322">
        <v>-0.66395559999999998</v>
      </c>
      <c r="S3322">
        <v>1.948364</v>
      </c>
      <c r="T3322">
        <v>-0.47076129999999999</v>
      </c>
      <c r="U3322">
        <v>-2.8230740000000001</v>
      </c>
      <c r="V3322">
        <v>0.1366175</v>
      </c>
      <c r="W3322">
        <v>0.35257769999999999</v>
      </c>
      <c r="X3322">
        <v>0.92575629999999998</v>
      </c>
      <c r="Y3322">
        <v>0.31289509999999998</v>
      </c>
      <c r="Z3322">
        <v>5.3278190000000003E-2</v>
      </c>
      <c r="AA3322">
        <v>0.94829220000000003</v>
      </c>
      <c r="AB3322">
        <v>26</v>
      </c>
      <c r="AC3322">
        <v>4.25220000000001</v>
      </c>
      <c r="AD3322">
        <v>-1.0996503392779999</v>
      </c>
      <c r="AE3322">
        <v>-6.3452999999999804</v>
      </c>
      <c r="AF3322">
        <v>2.4341609286530699</v>
      </c>
      <c r="AG3322">
        <v>-1.0996503392779999</v>
      </c>
      <c r="AH3322">
        <v>7.0762700353437502</v>
      </c>
      <c r="AI3322">
        <v>98.359705195846004</v>
      </c>
      <c r="AJ3322">
        <v>71.017332927691996</v>
      </c>
      <c r="AK3322">
        <v>7.5635949064158199</v>
      </c>
      <c r="AL3322">
        <v>69.3549410610905</v>
      </c>
      <c r="AM3322">
        <v>81.605227070697396</v>
      </c>
      <c r="AN3322">
        <v>1.0000000514166101</v>
      </c>
    </row>
    <row r="3323" spans="1:40" x14ac:dyDescent="0.25">
      <c r="A3323" t="str">
        <f>"20190304164709125"</f>
        <v>20190304164709125</v>
      </c>
      <c r="B3323" t="str">
        <f>"1551689229121848"</f>
        <v>1551689229121848</v>
      </c>
      <c r="C3323" t="s">
        <v>40</v>
      </c>
      <c r="D3323">
        <v>4.9448679999999996</v>
      </c>
      <c r="E3323">
        <v>0.58089880000000005</v>
      </c>
      <c r="F3323" t="s">
        <v>45</v>
      </c>
      <c r="G3323">
        <v>-189.53380000000001</v>
      </c>
      <c r="H3323" s="1">
        <v>6.7746369999999999E-6</v>
      </c>
      <c r="I3323">
        <v>202.65889999999999</v>
      </c>
      <c r="J3323">
        <v>-193.8074</v>
      </c>
      <c r="K3323">
        <v>1.099515</v>
      </c>
      <c r="L3323">
        <v>209.29130000000001</v>
      </c>
      <c r="M3323">
        <v>0.78636070000000002</v>
      </c>
      <c r="N3323">
        <v>-1.612597E-2</v>
      </c>
      <c r="O3323">
        <v>-0.61755719999999903</v>
      </c>
      <c r="P3323">
        <v>0.65412349999999997</v>
      </c>
      <c r="Q3323">
        <v>0.3412636</v>
      </c>
      <c r="R3323">
        <v>-0.67502719999999905</v>
      </c>
      <c r="S3323">
        <v>1.88472</v>
      </c>
      <c r="T3323">
        <v>-0.46338390000000002</v>
      </c>
      <c r="U3323">
        <v>-2.8679199999999998</v>
      </c>
      <c r="V3323">
        <v>0.1368441</v>
      </c>
      <c r="W3323">
        <v>0.35252820000000001</v>
      </c>
      <c r="X3323">
        <v>0.9257417</v>
      </c>
      <c r="Y3323">
        <v>0.3185789</v>
      </c>
      <c r="Z3323">
        <v>5.3627429999999997E-2</v>
      </c>
      <c r="AA3323">
        <v>0.9463781</v>
      </c>
      <c r="AB3323">
        <v>26</v>
      </c>
      <c r="AC3323">
        <v>4.2735999999999796</v>
      </c>
      <c r="AD3323">
        <v>-1.099508225363</v>
      </c>
      <c r="AE3323">
        <v>-6.6324000000000103</v>
      </c>
      <c r="AF3323">
        <v>2.5275177179563002</v>
      </c>
      <c r="AG3323">
        <v>-1.099508225363</v>
      </c>
      <c r="AH3323">
        <v>7.3153847535213501</v>
      </c>
      <c r="AI3323">
        <v>98.0853684233021</v>
      </c>
      <c r="AJ3323">
        <v>70.939602991805103</v>
      </c>
      <c r="AK3323">
        <v>7.8174240158940203</v>
      </c>
      <c r="AL3323">
        <v>69.357972143137602</v>
      </c>
      <c r="AM3323">
        <v>81.591371305375603</v>
      </c>
      <c r="AN3323">
        <v>1.00000006730946</v>
      </c>
    </row>
    <row r="3324" spans="1:40" x14ac:dyDescent="0.25">
      <c r="A3324" t="str">
        <f>"20190304164709148"</f>
        <v>20190304164709148</v>
      </c>
      <c r="B3324" t="str">
        <f>"1551689229142344"</f>
        <v>1551689229142344</v>
      </c>
      <c r="C3324" t="s">
        <v>40</v>
      </c>
      <c r="D3324">
        <v>4.9219290000000004</v>
      </c>
      <c r="E3324">
        <v>0.5836983</v>
      </c>
      <c r="F3324" t="s">
        <v>41</v>
      </c>
      <c r="G3324">
        <v>-193.33359999999999</v>
      </c>
      <c r="H3324">
        <v>0.93526799999999999</v>
      </c>
      <c r="I3324">
        <v>208.6086</v>
      </c>
      <c r="J3324">
        <v>-193.60820000000001</v>
      </c>
      <c r="K3324">
        <v>1.0993679999999999</v>
      </c>
      <c r="L3324">
        <v>209.1114</v>
      </c>
      <c r="M3324">
        <v>0.77563689999999996</v>
      </c>
      <c r="N3324">
        <v>-1.6193329999999999E-2</v>
      </c>
      <c r="O3324">
        <v>-0.63097169999999903</v>
      </c>
      <c r="P3324">
        <v>0.64388380000000001</v>
      </c>
      <c r="Q3324">
        <v>0.34008769999999999</v>
      </c>
      <c r="R3324">
        <v>-0.68538619999999995</v>
      </c>
      <c r="S3324">
        <v>1.9887079999999999</v>
      </c>
      <c r="T3324">
        <v>-0.68885779999999996</v>
      </c>
      <c r="U3324">
        <v>-2.865402</v>
      </c>
      <c r="V3324">
        <v>0.13541439999999999</v>
      </c>
      <c r="W3324">
        <v>0.35142259999999997</v>
      </c>
      <c r="X3324">
        <v>0.92637210000000003</v>
      </c>
      <c r="Y3324">
        <v>0.28011170000000002</v>
      </c>
      <c r="Z3324">
        <v>8.9445739999999996E-2</v>
      </c>
      <c r="AA3324">
        <v>0.95579119999999995</v>
      </c>
      <c r="AB3324">
        <v>26</v>
      </c>
      <c r="AC3324">
        <v>0.27460000000001999</v>
      </c>
      <c r="AD3324">
        <v>-0.1641</v>
      </c>
      <c r="AE3324">
        <v>-0.50280000000000702</v>
      </c>
      <c r="AF3324">
        <v>0.20031834423893999</v>
      </c>
      <c r="AG3324">
        <v>-0.1641</v>
      </c>
      <c r="AH3324">
        <v>0.49010079173022902</v>
      </c>
      <c r="AI3324">
        <v>107.220265768788</v>
      </c>
      <c r="AJ3324">
        <v>67.768747943833503</v>
      </c>
      <c r="AK3324">
        <v>0.55430590389533796</v>
      </c>
      <c r="AL3324">
        <v>69.425649446655996</v>
      </c>
      <c r="AM3324">
        <v>81.683568984048605</v>
      </c>
      <c r="AN3324">
        <v>1.00000008558826</v>
      </c>
    </row>
    <row r="3325" spans="1:40" x14ac:dyDescent="0.25">
      <c r="A3325" t="str">
        <f>"20190304164709170"</f>
        <v>20190304164709170</v>
      </c>
      <c r="B3325" t="str">
        <f>"1551689229161864"</f>
        <v>1551689229161864</v>
      </c>
      <c r="C3325" t="s">
        <v>40</v>
      </c>
      <c r="D3325">
        <v>4.9151059999999998</v>
      </c>
      <c r="E3325">
        <v>0.58443400000000001</v>
      </c>
      <c r="F3325" t="s">
        <v>41</v>
      </c>
      <c r="G3325">
        <v>-193.1652</v>
      </c>
      <c r="H3325">
        <v>0.94545069999999998</v>
      </c>
      <c r="I3325">
        <v>208.43889999999999</v>
      </c>
      <c r="J3325">
        <v>-193.41499999999999</v>
      </c>
      <c r="K3325">
        <v>1.0992249999999999</v>
      </c>
      <c r="L3325">
        <v>208.9306</v>
      </c>
      <c r="M3325">
        <v>0.764679</v>
      </c>
      <c r="N3325">
        <v>-1.6258410000000001E-2</v>
      </c>
      <c r="O3325">
        <v>-0.64420650000000002</v>
      </c>
      <c r="P3325">
        <v>0.63364739999999997</v>
      </c>
      <c r="Q3325">
        <v>0.33887640000000002</v>
      </c>
      <c r="R3325">
        <v>-0.69545239999999997</v>
      </c>
      <c r="S3325">
        <v>1.915497</v>
      </c>
      <c r="T3325">
        <v>-0.66578870000000001</v>
      </c>
      <c r="U3325">
        <v>-2.9080050000000002</v>
      </c>
      <c r="V3325">
        <v>0.1337576</v>
      </c>
      <c r="W3325">
        <v>0.35028890000000001</v>
      </c>
      <c r="X3325">
        <v>0.92704189999999997</v>
      </c>
      <c r="Y3325">
        <v>0.2866282</v>
      </c>
      <c r="Z3325">
        <v>8.8289409999999999E-2</v>
      </c>
      <c r="AA3325">
        <v>0.95396499999999995</v>
      </c>
      <c r="AB3325">
        <v>26</v>
      </c>
      <c r="AC3325">
        <v>0.249799999999993</v>
      </c>
      <c r="AD3325">
        <v>-0.153774299999999</v>
      </c>
      <c r="AE3325">
        <v>-0.49170000000000802</v>
      </c>
      <c r="AF3325">
        <v>0.199582446857695</v>
      </c>
      <c r="AG3325">
        <v>-0.153774299999999</v>
      </c>
      <c r="AH3325">
        <v>0.471207811585729</v>
      </c>
      <c r="AI3325">
        <v>106.725393848593</v>
      </c>
      <c r="AJ3325">
        <v>67.044668070819796</v>
      </c>
      <c r="AK3325">
        <v>0.53433743096811703</v>
      </c>
      <c r="AL3325">
        <v>69.495014457813497</v>
      </c>
      <c r="AM3325">
        <v>81.789778518729307</v>
      </c>
      <c r="AN3325">
        <v>1.0000000466882799</v>
      </c>
    </row>
    <row r="3326" spans="1:40" x14ac:dyDescent="0.25">
      <c r="A3326" t="str">
        <f>"20190304164709192"</f>
        <v>20190304164709192</v>
      </c>
      <c r="B3326" t="str">
        <f>"1551689229182360"</f>
        <v>1551689229182360</v>
      </c>
      <c r="C3326" t="s">
        <v>40</v>
      </c>
      <c r="D3326">
        <v>4.9253229999999997</v>
      </c>
      <c r="E3326">
        <v>0.58501910000000001</v>
      </c>
      <c r="F3326" t="s">
        <v>41</v>
      </c>
      <c r="G3326">
        <v>-192.99959999999999</v>
      </c>
      <c r="H3326">
        <v>0.95141209999999998</v>
      </c>
      <c r="I3326">
        <v>208.2732</v>
      </c>
      <c r="J3326">
        <v>-193.23410000000001</v>
      </c>
      <c r="K3326">
        <v>1.099092</v>
      </c>
      <c r="L3326">
        <v>208.7552</v>
      </c>
      <c r="M3326">
        <v>0.75387869999999901</v>
      </c>
      <c r="N3326">
        <v>-1.632051E-2</v>
      </c>
      <c r="O3326">
        <v>-0.65681089999999998</v>
      </c>
      <c r="P3326">
        <v>0.62355930000000004</v>
      </c>
      <c r="Q3326">
        <v>0.33865479999999998</v>
      </c>
      <c r="R3326">
        <v>-0.70461799999999997</v>
      </c>
      <c r="S3326">
        <v>1.8591610000000001</v>
      </c>
      <c r="T3326">
        <v>-0.66158019999999995</v>
      </c>
      <c r="U3326">
        <v>-2.9422450000000002</v>
      </c>
      <c r="V3326">
        <v>0.13189999999999999</v>
      </c>
      <c r="W3326">
        <v>0.35014590000000001</v>
      </c>
      <c r="X3326">
        <v>0.92736200000000002</v>
      </c>
      <c r="Y3326">
        <v>0.28883449999999999</v>
      </c>
      <c r="Z3326">
        <v>8.9962189999999997E-2</v>
      </c>
      <c r="AA3326">
        <v>0.95314290000000002</v>
      </c>
      <c r="AB3326">
        <v>26</v>
      </c>
      <c r="AC3326">
        <v>0.23450000000002499</v>
      </c>
      <c r="AD3326">
        <v>-0.1476799</v>
      </c>
      <c r="AE3326">
        <v>-0.48199999999999898</v>
      </c>
      <c r="AF3326">
        <v>0.19460337531649199</v>
      </c>
      <c r="AG3326">
        <v>-0.1476799</v>
      </c>
      <c r="AH3326">
        <v>0.45862032889151799</v>
      </c>
      <c r="AI3326">
        <v>106.511247237376</v>
      </c>
      <c r="AJ3326">
        <v>67.007347384392901</v>
      </c>
      <c r="AK3326">
        <v>0.51962720542822305</v>
      </c>
      <c r="AL3326">
        <v>69.503761164313801</v>
      </c>
      <c r="AM3326">
        <v>81.905035827519001</v>
      </c>
      <c r="AN3326">
        <v>1.0000000201654</v>
      </c>
    </row>
    <row r="3327" spans="1:40" x14ac:dyDescent="0.25">
      <c r="A3327" t="str">
        <f>"20190304164709214"</f>
        <v>20190304164709214</v>
      </c>
      <c r="B3327" t="str">
        <f>"1551689229212617"</f>
        <v>1551689229212617</v>
      </c>
      <c r="C3327" t="s">
        <v>40</v>
      </c>
      <c r="D3327">
        <v>4.9041370000000004</v>
      </c>
      <c r="E3327">
        <v>0.58533749999999996</v>
      </c>
      <c r="F3327" t="s">
        <v>41</v>
      </c>
      <c r="G3327">
        <v>-192.8382</v>
      </c>
      <c r="H3327">
        <v>0.95543350000000005</v>
      </c>
      <c r="I3327">
        <v>208.1046</v>
      </c>
      <c r="J3327">
        <v>-193.04849999999999</v>
      </c>
      <c r="K3327">
        <v>1.098951</v>
      </c>
      <c r="L3327">
        <v>208.56870000000001</v>
      </c>
      <c r="M3327">
        <v>0.74221630000000005</v>
      </c>
      <c r="N3327">
        <v>-1.6386620000000001E-2</v>
      </c>
      <c r="O3327">
        <v>-0.66996020000000001</v>
      </c>
      <c r="P3327">
        <v>0.61145530000000003</v>
      </c>
      <c r="Q3327">
        <v>0.3394239</v>
      </c>
      <c r="R3327">
        <v>-0.71478249999999999</v>
      </c>
      <c r="S3327">
        <v>1.8091280000000001</v>
      </c>
      <c r="T3327">
        <v>-0.65620639999999997</v>
      </c>
      <c r="U3327">
        <v>-2.9720610000000001</v>
      </c>
      <c r="V3327">
        <v>0.131272</v>
      </c>
      <c r="W3327">
        <v>0.35095379999999998</v>
      </c>
      <c r="X3327">
        <v>0.92714569999999996</v>
      </c>
      <c r="Y3327">
        <v>0.28803129999999999</v>
      </c>
      <c r="Z3327">
        <v>9.1762899999999994E-2</v>
      </c>
      <c r="AA3327">
        <v>0.95321429999999996</v>
      </c>
      <c r="AB3327">
        <v>26</v>
      </c>
      <c r="AC3327">
        <v>0.210299999999989</v>
      </c>
      <c r="AD3327">
        <v>-0.14351749999999999</v>
      </c>
      <c r="AE3327">
        <v>-0.46410000000000201</v>
      </c>
      <c r="AF3327">
        <v>0.18863165008425301</v>
      </c>
      <c r="AG3327">
        <v>-0.14351749999999999</v>
      </c>
      <c r="AH3327">
        <v>0.43274615414784101</v>
      </c>
      <c r="AI3327">
        <v>106.910147569321</v>
      </c>
      <c r="AJ3327">
        <v>66.447879730969206</v>
      </c>
      <c r="AK3327">
        <v>0.493404910949927</v>
      </c>
      <c r="AL3327">
        <v>69.454335731545498</v>
      </c>
      <c r="AM3327">
        <v>81.941215205811204</v>
      </c>
      <c r="AN3327">
        <v>1.00000002837346</v>
      </c>
    </row>
    <row r="3328" spans="1:40" x14ac:dyDescent="0.25">
      <c r="A3328" t="str">
        <f>"20190304164709238"</f>
        <v>20190304164709238</v>
      </c>
      <c r="B3328" t="str">
        <f>"1551689229232136"</f>
        <v>1551689229232136</v>
      </c>
      <c r="C3328" t="s">
        <v>40</v>
      </c>
      <c r="D3328">
        <v>4.849316</v>
      </c>
      <c r="E3328">
        <v>0.58570029999999995</v>
      </c>
      <c r="F3328" t="s">
        <v>45</v>
      </c>
      <c r="G3328">
        <v>-190.08009999999999</v>
      </c>
      <c r="H3328" s="1">
        <v>6.5422169999999996E-6</v>
      </c>
      <c r="I3328">
        <v>203.49019999999999</v>
      </c>
      <c r="J3328">
        <v>-192.85429999999999</v>
      </c>
      <c r="K3328">
        <v>1.0988180000000001</v>
      </c>
      <c r="L3328">
        <v>208.36510000000001</v>
      </c>
      <c r="M3328">
        <v>0.72928819999999905</v>
      </c>
      <c r="N3328">
        <v>-1.6458739999999999E-2</v>
      </c>
      <c r="O3328">
        <v>-0.68400850000000002</v>
      </c>
      <c r="P3328">
        <v>0.59851330000000003</v>
      </c>
      <c r="Q3328">
        <v>0.33982200000000001</v>
      </c>
      <c r="R3328">
        <v>-0.72546739999999998</v>
      </c>
      <c r="S3328">
        <v>1.7557529999999999</v>
      </c>
      <c r="T3328">
        <v>-0.64999969999999996</v>
      </c>
      <c r="U3328">
        <v>-3.003784</v>
      </c>
      <c r="V3328">
        <v>0.1302132</v>
      </c>
      <c r="W3328">
        <v>0.35141139999999998</v>
      </c>
      <c r="X3328">
        <v>0.92712159999999999</v>
      </c>
      <c r="Y3328">
        <v>0.28682859999999899</v>
      </c>
      <c r="Z3328">
        <v>9.3568419999999999E-2</v>
      </c>
      <c r="AA3328">
        <v>0.95340139999999995</v>
      </c>
      <c r="AB3328">
        <v>25</v>
      </c>
      <c r="AC3328">
        <v>2.7742</v>
      </c>
      <c r="AD3328">
        <v>-1.0988114577829999</v>
      </c>
      <c r="AE3328">
        <v>-4.8749000000000198</v>
      </c>
      <c r="AF3328">
        <v>1.5965826288115099</v>
      </c>
      <c r="AG3328">
        <v>-1.0988114577829999</v>
      </c>
      <c r="AH3328">
        <v>5.1603496653712204</v>
      </c>
      <c r="AI3328">
        <v>101.498213910828</v>
      </c>
      <c r="AJ3328">
        <v>72.808232079764394</v>
      </c>
      <c r="AK3328">
        <v>5.5123199634341598</v>
      </c>
      <c r="AL3328">
        <v>69.426332075704394</v>
      </c>
      <c r="AM3328">
        <v>82.005166047979898</v>
      </c>
      <c r="AN3328">
        <v>0.999999955345379</v>
      </c>
    </row>
    <row r="3329" spans="1:40" x14ac:dyDescent="0.25">
      <c r="A3329" t="str">
        <f>"20190304164709263"</f>
        <v>20190304164709263</v>
      </c>
      <c r="B3329" t="str">
        <f>"1551689229252631"</f>
        <v>1551689229252631</v>
      </c>
      <c r="C3329" t="s">
        <v>40</v>
      </c>
      <c r="D3329">
        <v>4.8803570000000001</v>
      </c>
      <c r="E3329">
        <v>0.58595540000000002</v>
      </c>
      <c r="F3329" t="s">
        <v>45</v>
      </c>
      <c r="G3329">
        <v>-189.95869999999999</v>
      </c>
      <c r="H3329" s="1">
        <v>6.6801440000000002E-6</v>
      </c>
      <c r="I3329">
        <v>203.19139999999999</v>
      </c>
      <c r="J3329">
        <v>-192.65889999999999</v>
      </c>
      <c r="K3329">
        <v>1.0986990000000001</v>
      </c>
      <c r="L3329">
        <v>208.15190000000001</v>
      </c>
      <c r="M3329">
        <v>0.71555849999999999</v>
      </c>
      <c r="N3329">
        <v>-1.6530119999999999E-2</v>
      </c>
      <c r="O3329">
        <v>-0.69835740000000002</v>
      </c>
      <c r="P3329">
        <v>0.58435209999999904</v>
      </c>
      <c r="Q3329">
        <v>0.33956039999999998</v>
      </c>
      <c r="R3329">
        <v>-0.73704259999999999</v>
      </c>
      <c r="S3329">
        <v>1.6989590000000001</v>
      </c>
      <c r="T3329">
        <v>-0.64472039999999997</v>
      </c>
      <c r="U3329">
        <v>-3.0355989999999999</v>
      </c>
      <c r="V3329">
        <v>0.1299332</v>
      </c>
      <c r="W3329">
        <v>0.35119230000000001</v>
      </c>
      <c r="X3329">
        <v>0.92724390000000001</v>
      </c>
      <c r="Y3329">
        <v>0.28571609999999997</v>
      </c>
      <c r="Z3329">
        <v>9.5545720000000001E-2</v>
      </c>
      <c r="AA3329">
        <v>0.95353940000000004</v>
      </c>
      <c r="AB3329">
        <v>25</v>
      </c>
      <c r="AC3329">
        <v>2.7001999999999899</v>
      </c>
      <c r="AD3329">
        <v>-1.0986923198559999</v>
      </c>
      <c r="AE3329">
        <v>-4.9605000000000201</v>
      </c>
      <c r="AF3329">
        <v>1.60337285960406</v>
      </c>
      <c r="AG3329">
        <v>-1.0986923198559999</v>
      </c>
      <c r="AH3329">
        <v>5.2002913503464701</v>
      </c>
      <c r="AI3329">
        <v>101.414375781692</v>
      </c>
      <c r="AJ3329">
        <v>72.864231648198</v>
      </c>
      <c r="AK3329">
        <v>5.5516627661551796</v>
      </c>
      <c r="AL3329">
        <v>69.439740264204801</v>
      </c>
      <c r="AM3329">
        <v>82.023174625315804</v>
      </c>
      <c r="AN3329">
        <v>0.999999959064369</v>
      </c>
    </row>
    <row r="3330" spans="1:40" x14ac:dyDescent="0.25">
      <c r="A3330" t="str">
        <f>"20190304164709282"</f>
        <v>20190304164709282</v>
      </c>
      <c r="B3330" t="str">
        <f>"1551689229272152"</f>
        <v>1551689229272152</v>
      </c>
      <c r="C3330" t="s">
        <v>40</v>
      </c>
      <c r="D3330">
        <v>4.8555070000000002</v>
      </c>
      <c r="E3330">
        <v>0.58615680000000003</v>
      </c>
      <c r="F3330" t="s">
        <v>45</v>
      </c>
      <c r="G3330">
        <v>-189.86</v>
      </c>
      <c r="H3330" s="1">
        <v>6.7576570000000004E-6</v>
      </c>
      <c r="I3330">
        <v>202.91149999999999</v>
      </c>
      <c r="J3330">
        <v>-192.5069</v>
      </c>
      <c r="K3330">
        <v>1.098624</v>
      </c>
      <c r="L3330">
        <v>207.98</v>
      </c>
      <c r="M3330">
        <v>0.70433859999999904</v>
      </c>
      <c r="N3330">
        <v>-1.658314E-2</v>
      </c>
      <c r="O3330">
        <v>-0.70967049999999998</v>
      </c>
      <c r="P3330">
        <v>0.57277069999999997</v>
      </c>
      <c r="Q3330">
        <v>0.33829090000000001</v>
      </c>
      <c r="R3330">
        <v>-0.74665459999999995</v>
      </c>
      <c r="S3330">
        <v>1.638412</v>
      </c>
      <c r="T3330">
        <v>-0.64315580000000006</v>
      </c>
      <c r="U3330">
        <v>-3.0676420000000002</v>
      </c>
      <c r="V3330">
        <v>0.13007639999999901</v>
      </c>
      <c r="W3330">
        <v>0.34995029999999999</v>
      </c>
      <c r="X3330">
        <v>0.9276934</v>
      </c>
      <c r="Y3330">
        <v>0.2892594</v>
      </c>
      <c r="Z3330">
        <v>9.7202129999999998E-2</v>
      </c>
      <c r="AA3330">
        <v>0.95230289999999995</v>
      </c>
      <c r="AB3330">
        <v>25</v>
      </c>
      <c r="AC3330">
        <v>2.64689999999998</v>
      </c>
      <c r="AD3330">
        <v>-1.0986172423430001</v>
      </c>
      <c r="AE3330">
        <v>-5.0685000000000002</v>
      </c>
      <c r="AF3330">
        <v>1.6315186273835101</v>
      </c>
      <c r="AG3330">
        <v>-1.0986172423430001</v>
      </c>
      <c r="AH3330">
        <v>5.2675777310885197</v>
      </c>
      <c r="AI3330">
        <v>101.26722662329</v>
      </c>
      <c r="AJ3330">
        <v>72.790760050307398</v>
      </c>
      <c r="AK3330">
        <v>5.6228274052946396</v>
      </c>
      <c r="AL3330">
        <v>69.515726084341694</v>
      </c>
      <c r="AM3330">
        <v>82.018316052096495</v>
      </c>
      <c r="AN3330">
        <v>1.0000000633552999</v>
      </c>
    </row>
    <row r="3331" spans="1:40" x14ac:dyDescent="0.25">
      <c r="A3331" t="str">
        <f>"20190304164709304"</f>
        <v>20190304164709304</v>
      </c>
      <c r="B3331" t="str">
        <f>"1551689229291673"</f>
        <v>1551689229291673</v>
      </c>
      <c r="C3331" t="s">
        <v>40</v>
      </c>
      <c r="D3331">
        <v>4.8557930000000002</v>
      </c>
      <c r="E3331">
        <v>0.58629560000000003</v>
      </c>
      <c r="F3331" t="s">
        <v>45</v>
      </c>
      <c r="G3331">
        <v>-189.80420000000001</v>
      </c>
      <c r="H3331" s="1">
        <v>6.8149520000000003E-6</v>
      </c>
      <c r="I3331">
        <v>202.71449999999999</v>
      </c>
      <c r="J3331">
        <v>-192.3475</v>
      </c>
      <c r="K3331">
        <v>1.0985560000000001</v>
      </c>
      <c r="L3331">
        <v>207.79329999999999</v>
      </c>
      <c r="M3331">
        <v>0.69202469999999905</v>
      </c>
      <c r="N3331">
        <v>-1.663647E-2</v>
      </c>
      <c r="O3331">
        <v>-0.72168219999999905</v>
      </c>
      <c r="P3331">
        <v>0.56051430000000002</v>
      </c>
      <c r="Q3331">
        <v>0.3373932</v>
      </c>
      <c r="R3331">
        <v>-0.75629999999999997</v>
      </c>
      <c r="S3331">
        <v>1.587326</v>
      </c>
      <c r="T3331">
        <v>-0.64524479999999995</v>
      </c>
      <c r="U3331">
        <v>-3.0925750000000001</v>
      </c>
      <c r="V3331">
        <v>0.12956429999999999</v>
      </c>
      <c r="W3331">
        <v>0.34910099999999999</v>
      </c>
      <c r="X3331">
        <v>0.92808489999999999</v>
      </c>
      <c r="Y3331">
        <v>0.28847139999999999</v>
      </c>
      <c r="Z3331">
        <v>9.997048E-2</v>
      </c>
      <c r="AA3331">
        <v>0.95225530000000003</v>
      </c>
      <c r="AB3331">
        <v>25</v>
      </c>
      <c r="AC3331">
        <v>2.5432999999999799</v>
      </c>
      <c r="AD3331">
        <v>-1.09854918504799</v>
      </c>
      <c r="AE3331">
        <v>-5.0788000000000002</v>
      </c>
      <c r="AF3331">
        <v>1.6188774688241201</v>
      </c>
      <c r="AG3331">
        <v>-1.09854918504799</v>
      </c>
      <c r="AH3331">
        <v>5.2304084736837702</v>
      </c>
      <c r="AI3331">
        <v>101.345215453096</v>
      </c>
      <c r="AJ3331">
        <v>72.802043458020194</v>
      </c>
      <c r="AK3331">
        <v>5.5843305214339702</v>
      </c>
      <c r="AL3331">
        <v>69.567661853544394</v>
      </c>
      <c r="AM3331">
        <v>82.052647683607205</v>
      </c>
      <c r="AN3331">
        <v>0.99999999882174995</v>
      </c>
    </row>
    <row r="3332" spans="1:40" x14ac:dyDescent="0.25">
      <c r="A3332" t="str">
        <f>"20190304164709326"</f>
        <v>20190304164709326</v>
      </c>
      <c r="B3332" t="str">
        <f>"1551689229321929"</f>
        <v>1551689229321929</v>
      </c>
      <c r="C3332" t="s">
        <v>40</v>
      </c>
      <c r="D3332">
        <v>4.8595870000000003</v>
      </c>
      <c r="E3332">
        <v>0.58630559999999998</v>
      </c>
      <c r="F3332" t="s">
        <v>45</v>
      </c>
      <c r="G3332">
        <v>-189.74029999999999</v>
      </c>
      <c r="H3332" s="1">
        <v>6.8820119999999998E-6</v>
      </c>
      <c r="I3332">
        <v>202.4846</v>
      </c>
      <c r="J3332">
        <v>-192.1808</v>
      </c>
      <c r="K3332">
        <v>1.0984830000000001</v>
      </c>
      <c r="L3332">
        <v>207.59059999999999</v>
      </c>
      <c r="M3332">
        <v>0.67850690000000002</v>
      </c>
      <c r="N3332">
        <v>-1.6690599999999899E-2</v>
      </c>
      <c r="O3332">
        <v>-0.73440459999999996</v>
      </c>
      <c r="P3332">
        <v>0.54708599999999996</v>
      </c>
      <c r="Q3332">
        <v>0.33695609999999998</v>
      </c>
      <c r="R3332">
        <v>-0.76626219999999901</v>
      </c>
      <c r="S3332">
        <v>1.5319670000000001</v>
      </c>
      <c r="T3332">
        <v>-0.6454915</v>
      </c>
      <c r="U3332">
        <v>-3.1192929999999999</v>
      </c>
      <c r="V3332">
        <v>0.12888239999999901</v>
      </c>
      <c r="W3332">
        <v>0.34871750000000001</v>
      </c>
      <c r="X3332">
        <v>0.92832400000000004</v>
      </c>
      <c r="Y3332">
        <v>0.28763709999999998</v>
      </c>
      <c r="Z3332">
        <v>0.1025643</v>
      </c>
      <c r="AA3332">
        <v>0.95223179999999996</v>
      </c>
      <c r="AB3332">
        <v>25</v>
      </c>
      <c r="AC3332">
        <v>2.4405000000000099</v>
      </c>
      <c r="AD3332">
        <v>-1.098476117988</v>
      </c>
      <c r="AE3332">
        <v>-5.1059999999999901</v>
      </c>
      <c r="AF3332">
        <v>1.6116543163061501</v>
      </c>
      <c r="AG3332">
        <v>-1.098476117988</v>
      </c>
      <c r="AH3332">
        <v>5.2102196376417202</v>
      </c>
      <c r="AI3332">
        <v>101.387877997781</v>
      </c>
      <c r="AJ3332">
        <v>72.811823029643094</v>
      </c>
      <c r="AK3332">
        <v>5.5633144877425096</v>
      </c>
      <c r="AL3332">
        <v>69.591108442024193</v>
      </c>
      <c r="AM3332">
        <v>82.095955052438697</v>
      </c>
      <c r="AN3332">
        <v>1.0000000084059999</v>
      </c>
    </row>
    <row r="3333" spans="1:40" x14ac:dyDescent="0.25">
      <c r="A3333" t="str">
        <f>"20190304164709349"</f>
        <v>20190304164709349</v>
      </c>
      <c r="B3333" t="str">
        <f>"1551689229342424"</f>
        <v>1551689229342424</v>
      </c>
      <c r="C3333" t="s">
        <v>40</v>
      </c>
      <c r="D3333">
        <v>4.8640290000000004</v>
      </c>
      <c r="E3333">
        <v>0.58632609999999996</v>
      </c>
      <c r="F3333" t="s">
        <v>45</v>
      </c>
      <c r="G3333">
        <v>-189.6704</v>
      </c>
      <c r="H3333" s="1">
        <v>6.9548489999999998E-6</v>
      </c>
      <c r="I3333">
        <v>202.23480000000001</v>
      </c>
      <c r="J3333">
        <v>-192.0128</v>
      </c>
      <c r="K3333">
        <v>1.0984229999999999</v>
      </c>
      <c r="L3333">
        <v>207.37809999999999</v>
      </c>
      <c r="M3333">
        <v>0.66418900000000003</v>
      </c>
      <c r="N3333">
        <v>-1.6743419999999998E-2</v>
      </c>
      <c r="O3333">
        <v>-0.74737719999999996</v>
      </c>
      <c r="P3333">
        <v>0.53279940000000003</v>
      </c>
      <c r="Q3333">
        <v>0.33656909999999901</v>
      </c>
      <c r="R3333">
        <v>-0.77643139999999999</v>
      </c>
      <c r="S3333">
        <v>1.4746250000000001</v>
      </c>
      <c r="T3333">
        <v>-0.64524440000000005</v>
      </c>
      <c r="U3333">
        <v>-3.1460110000000001</v>
      </c>
      <c r="V3333">
        <v>0.12828999999999999</v>
      </c>
      <c r="W3333">
        <v>0.34838370000000002</v>
      </c>
      <c r="X3333">
        <v>0.92853129999999995</v>
      </c>
      <c r="Y3333">
        <v>0.28656369999999998</v>
      </c>
      <c r="Z3333">
        <v>0.10514279999999999</v>
      </c>
      <c r="AA3333">
        <v>0.95227430000000002</v>
      </c>
      <c r="AB3333">
        <v>25</v>
      </c>
      <c r="AC3333">
        <v>2.3423999999999898</v>
      </c>
      <c r="AD3333">
        <v>-1.0984160451510001</v>
      </c>
      <c r="AE3333">
        <v>-5.1432999999999804</v>
      </c>
      <c r="AF3333">
        <v>1.6050703523986101</v>
      </c>
      <c r="AG3333">
        <v>-1.0984160451510001</v>
      </c>
      <c r="AH3333">
        <v>5.2039635148446299</v>
      </c>
      <c r="AI3333">
        <v>101.403399684557</v>
      </c>
      <c r="AJ3333">
        <v>72.858548387406699</v>
      </c>
      <c r="AK3333">
        <v>5.5555382194912699</v>
      </c>
      <c r="AL3333">
        <v>69.611512140056305</v>
      </c>
      <c r="AM3333">
        <v>82.133564064673806</v>
      </c>
      <c r="AN3333">
        <v>0.999999950802688</v>
      </c>
    </row>
    <row r="3334" spans="1:40" x14ac:dyDescent="0.25">
      <c r="A3334" t="str">
        <f>"20190304164709370"</f>
        <v>20190304164709370</v>
      </c>
      <c r="B3334" t="str">
        <f>"1551689229361944"</f>
        <v>1551689229361944</v>
      </c>
      <c r="C3334" t="s">
        <v>40</v>
      </c>
      <c r="D3334">
        <v>4.8939450000000004</v>
      </c>
      <c r="E3334">
        <v>0.58626049999999996</v>
      </c>
      <c r="F3334" t="s">
        <v>41</v>
      </c>
      <c r="G3334">
        <v>-191.6926</v>
      </c>
      <c r="H3334">
        <v>0.95241589999999998</v>
      </c>
      <c r="I3334">
        <v>206.6601</v>
      </c>
      <c r="J3334">
        <v>-191.86429999999999</v>
      </c>
      <c r="K3334">
        <v>1.0983719999999999</v>
      </c>
      <c r="L3334">
        <v>207.18260000000001</v>
      </c>
      <c r="M3334">
        <v>0.65090419999999904</v>
      </c>
      <c r="N3334">
        <v>-1.678704E-2</v>
      </c>
      <c r="O3334">
        <v>-0.75897419999999904</v>
      </c>
      <c r="P3334">
        <v>0.51985530000000002</v>
      </c>
      <c r="Q3334">
        <v>0.33635589999999999</v>
      </c>
      <c r="R3334">
        <v>-0.78524879999999997</v>
      </c>
      <c r="S3334">
        <v>1.4149780000000001</v>
      </c>
      <c r="T3334">
        <v>-0.6446904</v>
      </c>
      <c r="U3334">
        <v>-3.1722869999999999</v>
      </c>
      <c r="V3334">
        <v>0.12739239999999999</v>
      </c>
      <c r="W3334">
        <v>0.34822910000000001</v>
      </c>
      <c r="X3334">
        <v>0.92871289999999995</v>
      </c>
      <c r="Y3334">
        <v>0.28759649999999998</v>
      </c>
      <c r="Z3334">
        <v>0.1072693</v>
      </c>
      <c r="AA3334">
        <v>0.95172559999999995</v>
      </c>
      <c r="AB3334">
        <v>25</v>
      </c>
      <c r="AC3334">
        <v>0.171699999999987</v>
      </c>
      <c r="AD3334">
        <v>-0.14595609999999901</v>
      </c>
      <c r="AE3334">
        <v>-0.52250000000000796</v>
      </c>
      <c r="AF3334">
        <v>0.19600701295628301</v>
      </c>
      <c r="AG3334">
        <v>-0.14595609999999901</v>
      </c>
      <c r="AH3334">
        <v>0.47494696426645699</v>
      </c>
      <c r="AI3334">
        <v>105.858270580805</v>
      </c>
      <c r="AJ3334">
        <v>67.574431373049606</v>
      </c>
      <c r="AK3334">
        <v>0.53413158596096699</v>
      </c>
      <c r="AL3334">
        <v>69.620962636093495</v>
      </c>
      <c r="AM3334">
        <v>82.189429521583193</v>
      </c>
      <c r="AN3334">
        <v>0.99999999014549001</v>
      </c>
    </row>
    <row r="3335" spans="1:40" x14ac:dyDescent="0.25">
      <c r="A3335" t="str">
        <f>"20190304164709394"</f>
        <v>20190304164709394</v>
      </c>
      <c r="B3335" t="str">
        <f>"1551689229382440"</f>
        <v>1551689229382440</v>
      </c>
      <c r="C3335" t="s">
        <v>40</v>
      </c>
      <c r="D3335">
        <v>4.9952040000000002</v>
      </c>
      <c r="E3335">
        <v>0.58637240000000002</v>
      </c>
      <c r="F3335" t="s">
        <v>41</v>
      </c>
      <c r="G3335">
        <v>-191.5616</v>
      </c>
      <c r="H3335">
        <v>0.95507189999999997</v>
      </c>
      <c r="I3335">
        <v>206.47229999999999</v>
      </c>
      <c r="J3335">
        <v>-191.70910000000001</v>
      </c>
      <c r="K3335">
        <v>1.098339</v>
      </c>
      <c r="L3335">
        <v>206.97049999999999</v>
      </c>
      <c r="M3335">
        <v>0.63638019999999995</v>
      </c>
      <c r="N3335">
        <v>-1.6827930000000001E-2</v>
      </c>
      <c r="O3335">
        <v>-0.77119209999999905</v>
      </c>
      <c r="P3335">
        <v>0.50620569999999998</v>
      </c>
      <c r="Q3335">
        <v>0.33583180000000001</v>
      </c>
      <c r="R3335">
        <v>-0.79433819999999999</v>
      </c>
      <c r="S3335">
        <v>1.3612820000000001</v>
      </c>
      <c r="T3335">
        <v>-0.64389730000000001</v>
      </c>
      <c r="U3335">
        <v>-3.1950379999999998</v>
      </c>
      <c r="V3335">
        <v>0.1259595</v>
      </c>
      <c r="W3335">
        <v>0.34778429999999999</v>
      </c>
      <c r="X3335">
        <v>0.92907490000000004</v>
      </c>
      <c r="Y3335">
        <v>0.28548519999999999</v>
      </c>
      <c r="Z3335">
        <v>0.109692899999999</v>
      </c>
      <c r="AA3335">
        <v>0.95208490000000001</v>
      </c>
      <c r="AB3335">
        <v>25</v>
      </c>
      <c r="AC3335">
        <v>0.14750000000000699</v>
      </c>
      <c r="AD3335">
        <v>-0.14326709999999901</v>
      </c>
      <c r="AE3335">
        <v>-0.49819999999999698</v>
      </c>
      <c r="AF3335">
        <v>0.188955923460465</v>
      </c>
      <c r="AG3335">
        <v>-0.14326709999999901</v>
      </c>
      <c r="AH3335">
        <v>0.44435649079259898</v>
      </c>
      <c r="AI3335">
        <v>106.52579060219399</v>
      </c>
      <c r="AJ3335">
        <v>66.963105368733693</v>
      </c>
      <c r="AK3335">
        <v>0.503669032066416</v>
      </c>
      <c r="AL3335">
        <v>69.648146025970206</v>
      </c>
      <c r="AM3335">
        <v>82.279188983035297</v>
      </c>
      <c r="AN3335">
        <v>0.99999994238837298</v>
      </c>
    </row>
    <row r="3336" spans="1:40" x14ac:dyDescent="0.25">
      <c r="A3336" t="str">
        <f>"20190304164709416"</f>
        <v>20190304164709416</v>
      </c>
      <c r="B3336" t="str">
        <f>"1551689229411721"</f>
        <v>1551689229411721</v>
      </c>
      <c r="C3336" t="s">
        <v>40</v>
      </c>
      <c r="D3336">
        <v>4.9404050000000002</v>
      </c>
      <c r="E3336">
        <v>0.58671989999999996</v>
      </c>
      <c r="F3336" t="s">
        <v>41</v>
      </c>
      <c r="G3336">
        <v>-191.43109999999999</v>
      </c>
      <c r="H3336">
        <v>0.96079840000000005</v>
      </c>
      <c r="I3336">
        <v>206.2841</v>
      </c>
      <c r="J3336">
        <v>-191.56389999999999</v>
      </c>
      <c r="K3336">
        <v>1.0983149999999999</v>
      </c>
      <c r="L3336">
        <v>206.76329999999999</v>
      </c>
      <c r="M3336">
        <v>0.62211569999999905</v>
      </c>
      <c r="N3336">
        <v>-1.6860340000000001E-2</v>
      </c>
      <c r="O3336">
        <v>-0.78274370000000004</v>
      </c>
      <c r="P3336">
        <v>0.49283120000000002</v>
      </c>
      <c r="Q3336">
        <v>0.33508379999999999</v>
      </c>
      <c r="R3336">
        <v>-0.80301699999999998</v>
      </c>
      <c r="S3336">
        <v>1.303528</v>
      </c>
      <c r="T3336">
        <v>-0.64461089999999999</v>
      </c>
      <c r="U3336">
        <v>-3.2185519999999999</v>
      </c>
      <c r="V3336">
        <v>0.12463920000000001</v>
      </c>
      <c r="W3336">
        <v>0.34711049999999999</v>
      </c>
      <c r="X3336">
        <v>0.92950489999999997</v>
      </c>
      <c r="Y3336">
        <v>0.28507009999999899</v>
      </c>
      <c r="Z3336">
        <v>0.11216370000000001</v>
      </c>
      <c r="AA3336">
        <v>0.95192140000000003</v>
      </c>
      <c r="AB3336">
        <v>25</v>
      </c>
      <c r="AC3336">
        <v>0.132800000000003</v>
      </c>
      <c r="AD3336">
        <v>-0.13751659999999899</v>
      </c>
      <c r="AE3336">
        <v>-0.47919999999999102</v>
      </c>
      <c r="AF3336">
        <v>0.18040028190552901</v>
      </c>
      <c r="AG3336">
        <v>-0.13751659999999899</v>
      </c>
      <c r="AH3336">
        <v>0.42525018027924399</v>
      </c>
      <c r="AI3336">
        <v>106.578175534805</v>
      </c>
      <c r="AJ3336">
        <v>67.012297780288606</v>
      </c>
      <c r="AK3336">
        <v>0.48196762631392998</v>
      </c>
      <c r="AL3336">
        <v>69.689317992455003</v>
      </c>
      <c r="AM3336">
        <v>82.362650006024197</v>
      </c>
      <c r="AN3336">
        <v>0.99999999425544905</v>
      </c>
    </row>
    <row r="3337" spans="1:40" x14ac:dyDescent="0.25">
      <c r="A3337" t="str">
        <f>"20190304164709440"</f>
        <v>20190304164709440</v>
      </c>
      <c r="B3337" t="str">
        <f>"1551689229432216"</f>
        <v>1551689229432216</v>
      </c>
      <c r="C3337" t="s">
        <v>40</v>
      </c>
      <c r="D3337">
        <v>4.9421889999999999</v>
      </c>
      <c r="E3337">
        <v>0.58697429999999995</v>
      </c>
      <c r="F3337" t="s">
        <v>45</v>
      </c>
      <c r="G3337">
        <v>-189.44220000000001</v>
      </c>
      <c r="H3337" s="1">
        <v>7.2549169999999996E-6</v>
      </c>
      <c r="I3337">
        <v>201.24279999999999</v>
      </c>
      <c r="J3337">
        <v>-191.40860000000001</v>
      </c>
      <c r="K3337">
        <v>1.098306</v>
      </c>
      <c r="L3337">
        <v>206.5318</v>
      </c>
      <c r="M3337">
        <v>0.60610120000000001</v>
      </c>
      <c r="N3337">
        <v>-1.6888690000000001E-2</v>
      </c>
      <c r="O3337">
        <v>-0.79520829999999998</v>
      </c>
      <c r="P3337">
        <v>0.47671619999999998</v>
      </c>
      <c r="Q3337">
        <v>0.33444620000000003</v>
      </c>
      <c r="R3337">
        <v>-0.81295039999999996</v>
      </c>
      <c r="S3337">
        <v>1.2454529999999999</v>
      </c>
      <c r="T3337">
        <v>-0.64471089999999998</v>
      </c>
      <c r="U3337">
        <v>-3.24057</v>
      </c>
      <c r="V3337">
        <v>0.12445100000000001</v>
      </c>
      <c r="W3337">
        <v>0.34650979999999998</v>
      </c>
      <c r="X3337">
        <v>0.92975419999999998</v>
      </c>
      <c r="Y3337">
        <v>0.28273740000000003</v>
      </c>
      <c r="Z3337">
        <v>0.1148608</v>
      </c>
      <c r="AA3337">
        <v>0.95229540000000001</v>
      </c>
      <c r="AB3337">
        <v>25</v>
      </c>
      <c r="AC3337">
        <v>1.9663999999999899</v>
      </c>
      <c r="AD3337">
        <v>-1.098298745083</v>
      </c>
      <c r="AE3337">
        <v>-5.2890000000000104</v>
      </c>
      <c r="AF3337">
        <v>1.5822621380134201</v>
      </c>
      <c r="AG3337">
        <v>-1.098298745083</v>
      </c>
      <c r="AH3337">
        <v>5.2014095535176796</v>
      </c>
      <c r="AI3337">
        <v>101.42084278003701</v>
      </c>
      <c r="AJ3337">
        <v>73.080306066636197</v>
      </c>
      <c r="AK3337">
        <v>5.5465732619579304</v>
      </c>
      <c r="AL3337">
        <v>69.726012787665994</v>
      </c>
      <c r="AM3337">
        <v>82.376067006883801</v>
      </c>
      <c r="AN3337">
        <v>0.99999998265733903</v>
      </c>
    </row>
    <row r="3338" spans="1:40" x14ac:dyDescent="0.25">
      <c r="A3338" t="str">
        <f>"20190304164709464"</f>
        <v>20190304164709464</v>
      </c>
      <c r="B3338" t="str">
        <f>"1551689229452712"</f>
        <v>1551689229452712</v>
      </c>
      <c r="C3338" t="s">
        <v>40</v>
      </c>
      <c r="D3338">
        <v>4.9263349999999999</v>
      </c>
      <c r="E3338">
        <v>0.58710419999999996</v>
      </c>
      <c r="F3338" t="s">
        <v>45</v>
      </c>
      <c r="G3338">
        <v>-189.4024</v>
      </c>
      <c r="H3338" s="1">
        <v>7.3401070000000002E-6</v>
      </c>
      <c r="I3338">
        <v>200.9768</v>
      </c>
      <c r="J3338">
        <v>-191.25700000000001</v>
      </c>
      <c r="K3338">
        <v>1.09832</v>
      </c>
      <c r="L3338">
        <v>206.29589999999999</v>
      </c>
      <c r="M3338">
        <v>0.589696</v>
      </c>
      <c r="N3338">
        <v>-1.691059E-2</v>
      </c>
      <c r="O3338">
        <v>-0.80744859999999996</v>
      </c>
      <c r="P3338">
        <v>0.45913090000000001</v>
      </c>
      <c r="Q3338">
        <v>0.33419599999999999</v>
      </c>
      <c r="R3338">
        <v>-0.8231117</v>
      </c>
      <c r="S3338">
        <v>1.1789400000000001</v>
      </c>
      <c r="T3338">
        <v>-0.64542580000000005</v>
      </c>
      <c r="U3338">
        <v>-3.2644500000000001</v>
      </c>
      <c r="V3338">
        <v>0.12544939999999999</v>
      </c>
      <c r="W3338">
        <v>0.34625299999999998</v>
      </c>
      <c r="X3338">
        <v>0.92971570000000003</v>
      </c>
      <c r="Y3338">
        <v>0.28256789999999998</v>
      </c>
      <c r="Z3338">
        <v>0.11751780000000001</v>
      </c>
      <c r="AA3338">
        <v>0.95202149999999996</v>
      </c>
      <c r="AB3338">
        <v>25</v>
      </c>
      <c r="AC3338">
        <v>1.8546</v>
      </c>
      <c r="AD3338">
        <v>-1.098312659893</v>
      </c>
      <c r="AE3338">
        <v>-5.3190999999999899</v>
      </c>
      <c r="AF3338">
        <v>1.5793534029943901</v>
      </c>
      <c r="AG3338">
        <v>-1.098312659893</v>
      </c>
      <c r="AH3338">
        <v>5.1919496429235696</v>
      </c>
      <c r="AI3338">
        <v>101.441263330232</v>
      </c>
      <c r="AJ3338">
        <v>73.080619619506507</v>
      </c>
      <c r="AK3338">
        <v>5.5368753792265801</v>
      </c>
      <c r="AL3338">
        <v>69.741697414310195</v>
      </c>
      <c r="AM3338">
        <v>82.315318045966606</v>
      </c>
      <c r="AN3338">
        <v>0.99999998739792495</v>
      </c>
    </row>
    <row r="3339" spans="1:40" x14ac:dyDescent="0.25">
      <c r="A3339" t="str">
        <f>"20190304164709483"</f>
        <v>20190304164709483</v>
      </c>
      <c r="B3339" t="str">
        <f>"1551689229472232"</f>
        <v>1551689229472232</v>
      </c>
      <c r="C3339" t="s">
        <v>40</v>
      </c>
      <c r="D3339">
        <v>4.9187419999999999</v>
      </c>
      <c r="E3339">
        <v>0.58729969999999998</v>
      </c>
      <c r="F3339" t="s">
        <v>45</v>
      </c>
      <c r="G3339">
        <v>-189.3699</v>
      </c>
      <c r="H3339" s="1">
        <v>7.4264709999999998E-6</v>
      </c>
      <c r="I3339">
        <v>200.71209999999999</v>
      </c>
      <c r="J3339">
        <v>-191.1387</v>
      </c>
      <c r="K3339">
        <v>1.09833799999999</v>
      </c>
      <c r="L3339">
        <v>206.10400000000001</v>
      </c>
      <c r="M3339">
        <v>0.57630930000000002</v>
      </c>
      <c r="N3339">
        <v>-1.692389E-2</v>
      </c>
      <c r="O3339">
        <v>-0.81705660000000002</v>
      </c>
      <c r="P3339">
        <v>0.44403369999999998</v>
      </c>
      <c r="Q3339">
        <v>0.33540510000000001</v>
      </c>
      <c r="R3339">
        <v>-0.83086579999999999</v>
      </c>
      <c r="S3339">
        <v>1.1110690000000001</v>
      </c>
      <c r="T3339">
        <v>-0.64663899999999996</v>
      </c>
      <c r="U3339">
        <v>-3.2874759999999998</v>
      </c>
      <c r="V3339">
        <v>0.1268427</v>
      </c>
      <c r="W3339">
        <v>0.3474275</v>
      </c>
      <c r="X3339">
        <v>0.92908829999999998</v>
      </c>
      <c r="Y3339">
        <v>0.28645520000000002</v>
      </c>
      <c r="Z3339">
        <v>0.1195095</v>
      </c>
      <c r="AA3339">
        <v>0.95061079999999998</v>
      </c>
      <c r="AB3339">
        <v>25</v>
      </c>
      <c r="AC3339">
        <v>1.7687999999999899</v>
      </c>
      <c r="AD3339">
        <v>-1.0983305735290001</v>
      </c>
      <c r="AE3339">
        <v>-5.3919000000000201</v>
      </c>
      <c r="AF3339">
        <v>1.6024007346736699</v>
      </c>
      <c r="AG3339">
        <v>-1.0983305735290001</v>
      </c>
      <c r="AH3339">
        <v>5.2297225331544404</v>
      </c>
      <c r="AI3339">
        <v>101.354135990625</v>
      </c>
      <c r="AJ3339">
        <v>72.964797850114195</v>
      </c>
      <c r="AK3339">
        <v>5.5788902065746502</v>
      </c>
      <c r="AL3339">
        <v>69.669950067053307</v>
      </c>
      <c r="AM3339">
        <v>82.225822896706603</v>
      </c>
      <c r="AN3339">
        <v>1.00000000374821</v>
      </c>
    </row>
    <row r="3340" spans="1:40" x14ac:dyDescent="0.25">
      <c r="A3340" t="str">
        <f>"20190304164709505"</f>
        <v>20190304164709505</v>
      </c>
      <c r="B3340" t="str">
        <f>"1551689229502489"</f>
        <v>1551689229502489</v>
      </c>
      <c r="C3340" t="s">
        <v>40</v>
      </c>
      <c r="D3340">
        <v>4.894774</v>
      </c>
      <c r="E3340">
        <v>0.59170630000000002</v>
      </c>
      <c r="F3340" t="s">
        <v>45</v>
      </c>
      <c r="G3340">
        <v>-189.33609999999999</v>
      </c>
      <c r="H3340" s="1">
        <v>7.5166670000000001E-6</v>
      </c>
      <c r="I3340">
        <v>200.4358</v>
      </c>
      <c r="J3340">
        <v>-191.01169999999999</v>
      </c>
      <c r="K3340">
        <v>1.098374</v>
      </c>
      <c r="L3340">
        <v>205.8897</v>
      </c>
      <c r="M3340">
        <v>0.56131900000000001</v>
      </c>
      <c r="N3340">
        <v>-1.6934609999999999E-2</v>
      </c>
      <c r="O3340">
        <v>-0.82742629999999995</v>
      </c>
      <c r="P3340">
        <v>0.427485</v>
      </c>
      <c r="Q3340">
        <v>0.33588620000000002</v>
      </c>
      <c r="R3340">
        <v>-0.83930769999999899</v>
      </c>
      <c r="S3340">
        <v>1.0517729999999901</v>
      </c>
      <c r="T3340">
        <v>-0.64086319999999997</v>
      </c>
      <c r="U3340">
        <v>-3.3073429999999999</v>
      </c>
      <c r="V3340">
        <v>0.12820429999999999</v>
      </c>
      <c r="W3340">
        <v>0.3478791</v>
      </c>
      <c r="X3340">
        <v>0.92873229999999996</v>
      </c>
      <c r="Y3340">
        <v>0.28613159999999999</v>
      </c>
      <c r="Z3340">
        <v>0.12046659999999999</v>
      </c>
      <c r="AA3340">
        <v>0.95058750000000003</v>
      </c>
      <c r="AB3340">
        <v>25</v>
      </c>
      <c r="AC3340">
        <v>1.6756</v>
      </c>
      <c r="AD3340">
        <v>-1.098366483333</v>
      </c>
      <c r="AE3340">
        <v>-5.4539</v>
      </c>
      <c r="AF3340">
        <v>1.61531827978005</v>
      </c>
      <c r="AG3340">
        <v>-1.098366483333</v>
      </c>
      <c r="AH3340">
        <v>5.25912398123657</v>
      </c>
      <c r="AI3340">
        <v>101.290362476513</v>
      </c>
      <c r="AJ3340">
        <v>72.925875538983803</v>
      </c>
      <c r="AK3340">
        <v>5.6101735380216597</v>
      </c>
      <c r="AL3340">
        <v>69.642352745910301</v>
      </c>
      <c r="AM3340">
        <v>82.140433358016097</v>
      </c>
      <c r="AN3340">
        <v>0.99999994790929303</v>
      </c>
    </row>
    <row r="3341" spans="1:40" x14ac:dyDescent="0.25">
      <c r="A3341" t="str">
        <f>"20190304164709528"</f>
        <v>20190304164709528</v>
      </c>
      <c r="B3341" t="str">
        <f>"1551689229522008"</f>
        <v>1551689229522008</v>
      </c>
      <c r="C3341" t="s">
        <v>40</v>
      </c>
      <c r="D3341">
        <v>4.8734609999999998</v>
      </c>
      <c r="E3341">
        <v>0.59146339999999997</v>
      </c>
      <c r="F3341" t="s">
        <v>45</v>
      </c>
      <c r="G3341">
        <v>-189.2456</v>
      </c>
      <c r="H3341" s="1">
        <v>7.7376250000000003E-6</v>
      </c>
      <c r="I3341">
        <v>199.6808</v>
      </c>
      <c r="J3341">
        <v>-190.88040000000001</v>
      </c>
      <c r="K3341">
        <v>1.0984080000000001</v>
      </c>
      <c r="L3341">
        <v>205.6585</v>
      </c>
      <c r="M3341">
        <v>0.54510329999999996</v>
      </c>
      <c r="N3341">
        <v>-1.694207E-2</v>
      </c>
      <c r="O3341">
        <v>-0.83819789999999905</v>
      </c>
      <c r="P3341">
        <v>0.40970329999999999</v>
      </c>
      <c r="Q3341">
        <v>0.33654869999999998</v>
      </c>
      <c r="R3341">
        <v>-0.84786709999999998</v>
      </c>
      <c r="S3341">
        <v>0.94656370000000001</v>
      </c>
      <c r="T3341">
        <v>-0.58870389999999995</v>
      </c>
      <c r="U3341">
        <v>-3.3278660000000002</v>
      </c>
      <c r="V3341">
        <v>0.129549</v>
      </c>
      <c r="W3341">
        <v>0.3485106</v>
      </c>
      <c r="X3341">
        <v>0.92830889999999999</v>
      </c>
      <c r="Y3341">
        <v>0.29637229999999998</v>
      </c>
      <c r="Z3341">
        <v>0.1115453</v>
      </c>
      <c r="AA3341">
        <v>0.9485363</v>
      </c>
      <c r="AB3341">
        <v>25</v>
      </c>
      <c r="AC3341">
        <v>1.63480000000001</v>
      </c>
      <c r="AD3341">
        <v>-1.098400262375</v>
      </c>
      <c r="AE3341">
        <v>-5.9776999999999898</v>
      </c>
      <c r="AF3341">
        <v>1.8309312425374</v>
      </c>
      <c r="AG3341">
        <v>-1.098400262375</v>
      </c>
      <c r="AH3341">
        <v>5.7227015654835496</v>
      </c>
      <c r="AI3341">
        <v>100.35978282514399</v>
      </c>
      <c r="AJ3341">
        <v>72.258355084847693</v>
      </c>
      <c r="AK3341">
        <v>6.1080361458387697</v>
      </c>
      <c r="AL3341">
        <v>69.603756163805699</v>
      </c>
      <c r="AM3341">
        <v>82.055467161062793</v>
      </c>
      <c r="AN3341">
        <v>0.99999999776628401</v>
      </c>
    </row>
    <row r="3342" spans="1:40" x14ac:dyDescent="0.25">
      <c r="A3342" t="str">
        <f>"20190304164709551"</f>
        <v>20190304164709551</v>
      </c>
      <c r="B3342" t="str">
        <f>"1551689229542504"</f>
        <v>1551689229542504</v>
      </c>
      <c r="C3342" t="s">
        <v>40</v>
      </c>
      <c r="D3342">
        <v>4.9353939999999996</v>
      </c>
      <c r="E3342">
        <v>0.59067400000000003</v>
      </c>
      <c r="F3342" t="s">
        <v>42</v>
      </c>
      <c r="G3342">
        <v>-189.23169999999999</v>
      </c>
      <c r="H3342" s="1">
        <v>-4.3138190000000004E-6</v>
      </c>
      <c r="I3342">
        <v>199.3707</v>
      </c>
      <c r="J3342">
        <v>-190.75960000000001</v>
      </c>
      <c r="K3342">
        <v>1.098452</v>
      </c>
      <c r="L3342">
        <v>205.43620000000001</v>
      </c>
      <c r="M3342">
        <v>0.52947840000000002</v>
      </c>
      <c r="N3342">
        <v>-1.6945640000000001E-2</v>
      </c>
      <c r="O3342">
        <v>-0.84815429999999903</v>
      </c>
      <c r="P3342">
        <v>0.39399410000000001</v>
      </c>
      <c r="Q3342">
        <v>0.33668140000000002</v>
      </c>
      <c r="R3342">
        <v>-0.85522779999999998</v>
      </c>
      <c r="S3342">
        <v>0.87741089999999999</v>
      </c>
      <c r="T3342">
        <v>-0.5845785</v>
      </c>
      <c r="U3342">
        <v>-3.34639</v>
      </c>
      <c r="V3342">
        <v>0.1294148</v>
      </c>
      <c r="W3342">
        <v>0.34866130000000001</v>
      </c>
      <c r="X3342">
        <v>0.92827110000000002</v>
      </c>
      <c r="Y3342">
        <v>0.29830830000000003</v>
      </c>
      <c r="Z3342">
        <v>0.112501</v>
      </c>
      <c r="AA3342">
        <v>0.94781629999999994</v>
      </c>
      <c r="AB3342">
        <v>25</v>
      </c>
      <c r="AC3342">
        <v>1.52790000000001</v>
      </c>
      <c r="AD3342">
        <v>-1.098456313819</v>
      </c>
      <c r="AE3342">
        <v>-6.0655000000000099</v>
      </c>
      <c r="AF3342">
        <v>1.8586116399435599</v>
      </c>
      <c r="AG3342">
        <v>-1.098456313819</v>
      </c>
      <c r="AH3342">
        <v>5.7761868184666296</v>
      </c>
      <c r="AI3342">
        <v>100.261070336296</v>
      </c>
      <c r="AJ3342">
        <v>72.163310314204097</v>
      </c>
      <c r="AK3342">
        <v>6.1664720597218503</v>
      </c>
      <c r="AL3342">
        <v>69.594545273350505</v>
      </c>
      <c r="AM3342">
        <v>82.063272936690296</v>
      </c>
      <c r="AN3342">
        <v>1.0000000638359601</v>
      </c>
    </row>
    <row r="3343" spans="1:40" x14ac:dyDescent="0.25">
      <c r="A3343" t="str">
        <f>"20190304164709572"</f>
        <v>20190304164709572</v>
      </c>
      <c r="B3343" t="str">
        <f>"1551689229562024"</f>
        <v>1551689229562024</v>
      </c>
      <c r="C3343" t="s">
        <v>40</v>
      </c>
      <c r="D3343">
        <v>4.9154</v>
      </c>
      <c r="E3343">
        <v>0.59062029999999999</v>
      </c>
      <c r="F3343" t="s">
        <v>42</v>
      </c>
      <c r="G3343">
        <v>-189.22540000000001</v>
      </c>
      <c r="H3343" s="1">
        <v>-4.2289579999999998E-6</v>
      </c>
      <c r="I3343">
        <v>199.1703</v>
      </c>
      <c r="J3343">
        <v>-190.64699999999999</v>
      </c>
      <c r="K3343">
        <v>1.09849</v>
      </c>
      <c r="L3343">
        <v>205.2193</v>
      </c>
      <c r="M3343">
        <v>0.51420940000000004</v>
      </c>
      <c r="N3343">
        <v>-1.6945979999999999E-2</v>
      </c>
      <c r="O3343">
        <v>-0.85749730000000002</v>
      </c>
      <c r="P3343">
        <v>0.3792663</v>
      </c>
      <c r="Q3343">
        <v>0.33664880000000003</v>
      </c>
      <c r="R3343">
        <v>-0.861873</v>
      </c>
      <c r="S3343">
        <v>0.82289120000000004</v>
      </c>
      <c r="T3343">
        <v>-0.58915169999999994</v>
      </c>
      <c r="U3343">
        <v>-3.360687</v>
      </c>
      <c r="V3343">
        <v>0.12868669999999999</v>
      </c>
      <c r="W3343">
        <v>0.348664799999999</v>
      </c>
      <c r="X3343">
        <v>0.9283709</v>
      </c>
      <c r="Y3343">
        <v>0.29672959999999998</v>
      </c>
      <c r="Z3343">
        <v>0.1153773</v>
      </c>
      <c r="AA3343">
        <v>0.94796599999999998</v>
      </c>
      <c r="AB3343">
        <v>25</v>
      </c>
      <c r="AC3343">
        <v>1.42160000000001</v>
      </c>
      <c r="AD3343">
        <v>-1.098494228958</v>
      </c>
      <c r="AE3343">
        <v>-6.0490000000000004</v>
      </c>
      <c r="AF3343">
        <v>1.8343777079849199</v>
      </c>
      <c r="AG3343">
        <v>-1.098494228958</v>
      </c>
      <c r="AH3343">
        <v>5.7394795201118596</v>
      </c>
      <c r="AI3343">
        <v>100.33199804367599</v>
      </c>
      <c r="AJ3343">
        <v>72.275757472884393</v>
      </c>
      <c r="AK3343">
        <v>6.1248066343672898</v>
      </c>
      <c r="AL3343">
        <v>69.594329284742003</v>
      </c>
      <c r="AM3343">
        <v>82.108199188116501</v>
      </c>
      <c r="AN3343">
        <v>0.99999996874136898</v>
      </c>
    </row>
    <row r="3344" spans="1:40" x14ac:dyDescent="0.25">
      <c r="A3344" t="str">
        <f>"20190304164709596"</f>
        <v>20190304164709596</v>
      </c>
      <c r="B3344" t="str">
        <f>"1551689229592281"</f>
        <v>1551689229592281</v>
      </c>
      <c r="C3344" t="s">
        <v>40</v>
      </c>
      <c r="D3344">
        <v>4.9292759999999998</v>
      </c>
      <c r="E3344">
        <v>0.59009219999999996</v>
      </c>
      <c r="F3344" t="s">
        <v>42</v>
      </c>
      <c r="G3344">
        <v>-189.2183</v>
      </c>
      <c r="H3344" s="1">
        <v>-4.1175720000000003E-6</v>
      </c>
      <c r="I3344">
        <v>198.90770000000001</v>
      </c>
      <c r="J3344">
        <v>-190.53290000000001</v>
      </c>
      <c r="K3344">
        <v>1.098536</v>
      </c>
      <c r="L3344">
        <v>204.98949999999999</v>
      </c>
      <c r="M3344">
        <v>0.49801069999999997</v>
      </c>
      <c r="N3344">
        <v>-1.6943349999999999E-2</v>
      </c>
      <c r="O3344">
        <v>-0.86700529999999998</v>
      </c>
      <c r="P3344">
        <v>0.3645217</v>
      </c>
      <c r="Q3344">
        <v>0.33663759999999998</v>
      </c>
      <c r="R3344">
        <v>-0.86821610000000005</v>
      </c>
      <c r="S3344">
        <v>0.76373290000000005</v>
      </c>
      <c r="T3344">
        <v>-0.58724330000000002</v>
      </c>
      <c r="U3344">
        <v>-3.3740999999999999</v>
      </c>
      <c r="V3344">
        <v>0.12702330000000001</v>
      </c>
      <c r="W3344">
        <v>0.34871849999999999</v>
      </c>
      <c r="X3344">
        <v>0.92857979999999996</v>
      </c>
      <c r="Y3344">
        <v>0.29544169999999997</v>
      </c>
      <c r="Z3344">
        <v>0.1169222</v>
      </c>
      <c r="AA3344">
        <v>0.94817899999999999</v>
      </c>
      <c r="AB3344">
        <v>25</v>
      </c>
      <c r="AC3344">
        <v>1.31460000000001</v>
      </c>
      <c r="AD3344">
        <v>-1.098540117572</v>
      </c>
      <c r="AE3344">
        <v>-6.0817999999999799</v>
      </c>
      <c r="AF3344">
        <v>1.8321980589559299</v>
      </c>
      <c r="AG3344">
        <v>-1.098540117572</v>
      </c>
      <c r="AH3344">
        <v>5.7492840356694197</v>
      </c>
      <c r="AI3344">
        <v>100.31788079347901</v>
      </c>
      <c r="AJ3344">
        <v>72.323813126836697</v>
      </c>
      <c r="AK3344">
        <v>6.1333520231566903</v>
      </c>
      <c r="AL3344">
        <v>69.591046660066596</v>
      </c>
      <c r="AM3344">
        <v>82.2106786947827</v>
      </c>
      <c r="AN3344">
        <v>0.99999997797658902</v>
      </c>
    </row>
    <row r="3345" spans="1:40" x14ac:dyDescent="0.25">
      <c r="A3345" t="str">
        <f>"20190304164709617"</f>
        <v>20190304164709617</v>
      </c>
      <c r="B3345" t="str">
        <f>"1551689229611801"</f>
        <v>1551689229611801</v>
      </c>
      <c r="C3345" t="s">
        <v>40</v>
      </c>
      <c r="D3345">
        <v>4.9102129999999997</v>
      </c>
      <c r="E3345">
        <v>0.5895418</v>
      </c>
      <c r="F3345" t="s">
        <v>42</v>
      </c>
      <c r="G3345">
        <v>-189.20750000000001</v>
      </c>
      <c r="H3345" s="1">
        <v>-4.0096819999999998E-6</v>
      </c>
      <c r="I3345">
        <v>198.65170000000001</v>
      </c>
      <c r="J3345">
        <v>-190.42230000000001</v>
      </c>
      <c r="K3345">
        <v>1.0985969999999901</v>
      </c>
      <c r="L3345">
        <v>204.75470000000001</v>
      </c>
      <c r="M3345">
        <v>0.48145749999999998</v>
      </c>
      <c r="N3345">
        <v>-1.6937420000000002E-2</v>
      </c>
      <c r="O3345">
        <v>-0.87630589999999997</v>
      </c>
      <c r="P3345">
        <v>0.34965239999999997</v>
      </c>
      <c r="Q3345">
        <v>0.33691270000000001</v>
      </c>
      <c r="R3345">
        <v>-0.8742046</v>
      </c>
      <c r="S3345">
        <v>0.70806880000000005</v>
      </c>
      <c r="T3345">
        <v>-0.58685080000000001</v>
      </c>
      <c r="U3345">
        <v>-3.3856660000000001</v>
      </c>
      <c r="V3345">
        <v>0.1251399</v>
      </c>
      <c r="W3345">
        <v>0.34906169999999997</v>
      </c>
      <c r="X3345">
        <v>0.92870660000000005</v>
      </c>
      <c r="Y3345">
        <v>0.29292410000000002</v>
      </c>
      <c r="Z3345">
        <v>0.11883150000000001</v>
      </c>
      <c r="AA3345">
        <v>0.94872259999999997</v>
      </c>
      <c r="AB3345">
        <v>25</v>
      </c>
      <c r="AC3345">
        <v>1.2147999999999901</v>
      </c>
      <c r="AD3345">
        <v>-1.09860100968199</v>
      </c>
      <c r="AE3345">
        <v>-6.1029999999999998</v>
      </c>
      <c r="AF3345">
        <v>1.8174207392117301</v>
      </c>
      <c r="AG3345">
        <v>-1.09860100968199</v>
      </c>
      <c r="AH3345">
        <v>5.7544610786350097</v>
      </c>
      <c r="AI3345">
        <v>100.31766078082499</v>
      </c>
      <c r="AJ3345">
        <v>72.472417125752401</v>
      </c>
      <c r="AK3345">
        <v>6.1338213723026298</v>
      </c>
      <c r="AL3345">
        <v>69.570064910347497</v>
      </c>
      <c r="AM3345">
        <v>82.325821089226295</v>
      </c>
      <c r="AN3345">
        <v>1.00000000693123</v>
      </c>
    </row>
    <row r="3346" spans="1:40" x14ac:dyDescent="0.25">
      <c r="A3346" t="str">
        <f>"20190304164709641"</f>
        <v>20190304164709641</v>
      </c>
      <c r="B3346" t="str">
        <f>"1551689229632296"</f>
        <v>1551689229632296</v>
      </c>
      <c r="C3346" t="s">
        <v>40</v>
      </c>
      <c r="D3346">
        <v>4.918641</v>
      </c>
      <c r="E3346">
        <v>0.58895769999999903</v>
      </c>
      <c r="F3346" t="s">
        <v>42</v>
      </c>
      <c r="G3346">
        <v>-189.196</v>
      </c>
      <c r="H3346" s="1">
        <v>-3.8943360000000003E-6</v>
      </c>
      <c r="I3346">
        <v>198.37809999999999</v>
      </c>
      <c r="J3346">
        <v>-190.31630000000001</v>
      </c>
      <c r="K3346">
        <v>1.098654</v>
      </c>
      <c r="L3346">
        <v>204.51859999999999</v>
      </c>
      <c r="M3346">
        <v>0.4647889</v>
      </c>
      <c r="N3346">
        <v>-1.6928970000000002E-2</v>
      </c>
      <c r="O3346">
        <v>-0.88525980000000004</v>
      </c>
      <c r="P3346">
        <v>0.3352945</v>
      </c>
      <c r="Q3346">
        <v>0.33690399999999998</v>
      </c>
      <c r="R3346">
        <v>-0.8798144</v>
      </c>
      <c r="S3346">
        <v>0.65309139999999999</v>
      </c>
      <c r="T3346">
        <v>-0.58508349999999998</v>
      </c>
      <c r="U3346">
        <v>-3.3959809999999999</v>
      </c>
      <c r="V3346">
        <v>0.1227097</v>
      </c>
      <c r="W3346">
        <v>0.34913850000000002</v>
      </c>
      <c r="X3346">
        <v>0.92900199999999999</v>
      </c>
      <c r="Y3346">
        <v>0.29020559999999901</v>
      </c>
      <c r="Z3346">
        <v>0.1203864</v>
      </c>
      <c r="AA3346">
        <v>0.94936180000000003</v>
      </c>
      <c r="AB3346">
        <v>25</v>
      </c>
      <c r="AC3346">
        <v>1.1203000000000101</v>
      </c>
      <c r="AD3346">
        <v>-1.0986578943359999</v>
      </c>
      <c r="AE3346">
        <v>-6.1405000000000003</v>
      </c>
      <c r="AF3346">
        <v>1.8065766419705001</v>
      </c>
      <c r="AG3346">
        <v>-1.0986578943359999</v>
      </c>
      <c r="AH3346">
        <v>5.7784704540941698</v>
      </c>
      <c r="AI3346">
        <v>100.28540330040801</v>
      </c>
      <c r="AJ3346">
        <v>72.638707283387305</v>
      </c>
      <c r="AK3346">
        <v>6.15316903074664</v>
      </c>
      <c r="AL3346">
        <v>69.565369855311403</v>
      </c>
      <c r="AM3346">
        <v>82.475493216212797</v>
      </c>
      <c r="AN3346">
        <v>1.00000003933016</v>
      </c>
    </row>
    <row r="3347" spans="1:40" x14ac:dyDescent="0.25">
      <c r="A3347" t="str">
        <f>"20190304164709664"</f>
        <v>20190304164709664</v>
      </c>
      <c r="B3347" t="str">
        <f>"1551689229651817"</f>
        <v>1551689229651817</v>
      </c>
      <c r="C3347" t="s">
        <v>40</v>
      </c>
      <c r="D3347">
        <v>4.9028980000000004</v>
      </c>
      <c r="E3347">
        <v>0.58874320000000002</v>
      </c>
      <c r="F3347" t="s">
        <v>42</v>
      </c>
      <c r="G3347">
        <v>-189.18729999999999</v>
      </c>
      <c r="H3347" s="1">
        <v>-3.7878240000000002E-6</v>
      </c>
      <c r="I3347">
        <v>198.12620000000001</v>
      </c>
      <c r="J3347">
        <v>-190.215</v>
      </c>
      <c r="K3347">
        <v>1.0987180000000001</v>
      </c>
      <c r="L3347">
        <v>204.2809</v>
      </c>
      <c r="M3347">
        <v>0.4480055</v>
      </c>
      <c r="N3347">
        <v>-1.6918099999999998E-2</v>
      </c>
      <c r="O3347">
        <v>-0.89387079999999997</v>
      </c>
      <c r="P3347">
        <v>0.32103860000000001</v>
      </c>
      <c r="Q3347">
        <v>0.33622180000000002</v>
      </c>
      <c r="R3347">
        <v>-0.88537520000000003</v>
      </c>
      <c r="S3347">
        <v>0.60137940000000001</v>
      </c>
      <c r="T3347">
        <v>-0.58517430000000004</v>
      </c>
      <c r="U3347">
        <v>-3.4047239999999999</v>
      </c>
      <c r="V3347">
        <v>0.12022049999999999</v>
      </c>
      <c r="W3347">
        <v>0.34854600000000002</v>
      </c>
      <c r="X3347">
        <v>0.92954979999999998</v>
      </c>
      <c r="Y3347">
        <v>0.2865896</v>
      </c>
      <c r="Z3347">
        <v>0.122347</v>
      </c>
      <c r="AA3347">
        <v>0.95020930000000003</v>
      </c>
      <c r="AB3347">
        <v>25</v>
      </c>
      <c r="AC3347">
        <v>1.02770000000001</v>
      </c>
      <c r="AD3347">
        <v>-1.0987217878239901</v>
      </c>
      <c r="AE3347">
        <v>-6.1546999999999903</v>
      </c>
      <c r="AF3347">
        <v>1.783670455083</v>
      </c>
      <c r="AG3347">
        <v>-1.0987217878239901</v>
      </c>
      <c r="AH3347">
        <v>5.7834639329428601</v>
      </c>
      <c r="AI3347">
        <v>100.289355187906</v>
      </c>
      <c r="AJ3347">
        <v>72.8597835240828</v>
      </c>
      <c r="AK3347">
        <v>6.1511889032142397</v>
      </c>
      <c r="AL3347">
        <v>69.601593465333394</v>
      </c>
      <c r="AM3347">
        <v>82.630730693030799</v>
      </c>
      <c r="AN3347">
        <v>1.00000005670814</v>
      </c>
    </row>
    <row r="3348" spans="1:40" x14ac:dyDescent="0.25">
      <c r="A3348" t="str">
        <f>"20190304164709688"</f>
        <v>20190304164709688</v>
      </c>
      <c r="B3348" t="str">
        <f>"1551689229682072"</f>
        <v>1551689229682072</v>
      </c>
      <c r="C3348" t="s">
        <v>40</v>
      </c>
      <c r="D3348">
        <v>4.7556279999999997</v>
      </c>
      <c r="E3348">
        <v>0.58824390000000004</v>
      </c>
      <c r="F3348" t="s">
        <v>42</v>
      </c>
      <c r="G3348">
        <v>-189.1917</v>
      </c>
      <c r="H3348" s="1">
        <v>-3.6797710000000002E-6</v>
      </c>
      <c r="I3348">
        <v>197.87620000000001</v>
      </c>
      <c r="J3348">
        <v>-190.11109999999999</v>
      </c>
      <c r="K3348">
        <v>1.0987880000000001</v>
      </c>
      <c r="L3348">
        <v>204.02359999999999</v>
      </c>
      <c r="M3348">
        <v>0.42983850000000001</v>
      </c>
      <c r="N3348">
        <v>-1.6903399999999999E-2</v>
      </c>
      <c r="O3348">
        <v>-0.90274779999999999</v>
      </c>
      <c r="P3348">
        <v>0.30610110000000001</v>
      </c>
      <c r="Q3348">
        <v>0.33624169999999998</v>
      </c>
      <c r="R3348">
        <v>-0.8906423</v>
      </c>
      <c r="S3348">
        <v>0.54533390000000004</v>
      </c>
      <c r="T3348">
        <v>-0.58549169999999995</v>
      </c>
      <c r="U3348">
        <v>-3.412979</v>
      </c>
      <c r="V3348">
        <v>0.1169756</v>
      </c>
      <c r="W3348">
        <v>0.34867419999999999</v>
      </c>
      <c r="X3348">
        <v>0.92991559999999995</v>
      </c>
      <c r="Y3348">
        <v>0.28282410000000002</v>
      </c>
      <c r="Z3348">
        <v>0.1244509</v>
      </c>
      <c r="AA3348">
        <v>0.95106389999999996</v>
      </c>
      <c r="AB3348">
        <v>24</v>
      </c>
      <c r="AC3348">
        <v>0.919399999999996</v>
      </c>
      <c r="AD3348">
        <v>-1.09879167977099</v>
      </c>
      <c r="AE3348">
        <v>-6.14739999999997</v>
      </c>
      <c r="AF3348">
        <v>1.7577334646868801</v>
      </c>
      <c r="AG3348">
        <v>-1.09879167977099</v>
      </c>
      <c r="AH3348">
        <v>5.7654277725332701</v>
      </c>
      <c r="AI3348">
        <v>100.33150372513499</v>
      </c>
      <c r="AJ3348">
        <v>73.044858844601706</v>
      </c>
      <c r="AK3348">
        <v>6.1267550537549704</v>
      </c>
      <c r="AL3348">
        <v>69.593755435921096</v>
      </c>
      <c r="AM3348">
        <v>82.8303286984724</v>
      </c>
      <c r="AN3348">
        <v>1.0000000059321801</v>
      </c>
    </row>
    <row r="3349" spans="1:40" x14ac:dyDescent="0.25">
      <c r="A3349" t="str">
        <f>"20190304164709708"</f>
        <v>20190304164709708</v>
      </c>
      <c r="B3349" t="str">
        <f>"1551689229702568"</f>
        <v>1551689229702568</v>
      </c>
      <c r="C3349" t="s">
        <v>40</v>
      </c>
      <c r="D3349">
        <v>4.7436569999999998</v>
      </c>
      <c r="E3349">
        <v>0.61044679999999996</v>
      </c>
      <c r="F3349" t="s">
        <v>42</v>
      </c>
      <c r="G3349">
        <v>-189.1893</v>
      </c>
      <c r="H3349" s="1">
        <v>-3.5456599999999999E-6</v>
      </c>
      <c r="I3349">
        <v>197.5626</v>
      </c>
      <c r="J3349">
        <v>-190.03059999999999</v>
      </c>
      <c r="K3349">
        <v>1.098849</v>
      </c>
      <c r="L3349">
        <v>203.81309999999999</v>
      </c>
      <c r="M3349">
        <v>0.41499000000000003</v>
      </c>
      <c r="N3349">
        <v>-1.688804E-2</v>
      </c>
      <c r="O3349">
        <v>-0.90966919999999996</v>
      </c>
      <c r="P3349">
        <v>0.29508430000000002</v>
      </c>
      <c r="Q3349">
        <v>0.33494259999999998</v>
      </c>
      <c r="R3349">
        <v>-0.89483989999999902</v>
      </c>
      <c r="S3349">
        <v>0.48796079999999997</v>
      </c>
      <c r="T3349">
        <v>-0.58166300000000004</v>
      </c>
      <c r="U3349">
        <v>-3.420258</v>
      </c>
      <c r="V3349">
        <v>0.1133014</v>
      </c>
      <c r="W3349">
        <v>0.34750209999999998</v>
      </c>
      <c r="X3349">
        <v>0.93080879999999999</v>
      </c>
      <c r="Y3349">
        <v>0.28302650000000001</v>
      </c>
      <c r="Z3349">
        <v>0.1250308</v>
      </c>
      <c r="AA3349">
        <v>0.95092759999999998</v>
      </c>
      <c r="AB3349">
        <v>24</v>
      </c>
      <c r="AC3349">
        <v>0.84129999999998895</v>
      </c>
      <c r="AD3349">
        <v>-1.09885254566</v>
      </c>
      <c r="AE3349">
        <v>-6.2504999999999802</v>
      </c>
      <c r="AF3349">
        <v>1.7749692750316</v>
      </c>
      <c r="AG3349">
        <v>-1.09885254566</v>
      </c>
      <c r="AH3349">
        <v>5.8580493891548704</v>
      </c>
      <c r="AI3349">
        <v>100.177346851457</v>
      </c>
      <c r="AJ3349">
        <v>73.143367843458705</v>
      </c>
      <c r="AK3349">
        <v>6.2189014697281904</v>
      </c>
      <c r="AL3349">
        <v>69.665391061199898</v>
      </c>
      <c r="AM3349">
        <v>83.059893287803206</v>
      </c>
      <c r="AN3349">
        <v>0.99999996945190395</v>
      </c>
    </row>
    <row r="3350" spans="1:40" x14ac:dyDescent="0.25">
      <c r="A3350" t="str">
        <f>"20190304164709730"</f>
        <v>20190304164709730</v>
      </c>
      <c r="B3350" t="str">
        <f>"1551689229722089"</f>
        <v>1551689229722089</v>
      </c>
      <c r="C3350" t="s">
        <v>40</v>
      </c>
      <c r="D3350">
        <v>4.7864149999999999</v>
      </c>
      <c r="E3350">
        <v>0.60648599999999997</v>
      </c>
      <c r="F3350" t="s">
        <v>42</v>
      </c>
      <c r="G3350">
        <v>-189.06440000000001</v>
      </c>
      <c r="H3350" s="1">
        <v>-4.3076970000000004E-6</v>
      </c>
      <c r="I3350">
        <v>189.28729999999999</v>
      </c>
      <c r="J3350">
        <v>-189.94220000000001</v>
      </c>
      <c r="K3350">
        <v>1.0989439999999999</v>
      </c>
      <c r="L3350">
        <v>203.57</v>
      </c>
      <c r="M3350">
        <v>0.39787519999999998</v>
      </c>
      <c r="N3350">
        <v>-1.6866160000000002E-2</v>
      </c>
      <c r="O3350">
        <v>-0.9172844</v>
      </c>
      <c r="P3350">
        <v>0.28248600000000001</v>
      </c>
      <c r="Q3350">
        <v>0.33407730000000002</v>
      </c>
      <c r="R3350">
        <v>-0.89921859999999998</v>
      </c>
      <c r="S3350">
        <v>0.2244263</v>
      </c>
      <c r="T3350">
        <v>-0.25524279999999999</v>
      </c>
      <c r="U3350">
        <v>-3.3740839999999999</v>
      </c>
      <c r="V3350">
        <v>0.1089377</v>
      </c>
      <c r="W3350">
        <v>0.34677950000000002</v>
      </c>
      <c r="X3350">
        <v>0.93159890000000001</v>
      </c>
      <c r="Y3350">
        <v>0.33594279999999999</v>
      </c>
      <c r="Z3350">
        <v>4.7279849999999998E-2</v>
      </c>
      <c r="AA3350">
        <v>0.94069499999999995</v>
      </c>
      <c r="AB3350">
        <v>24</v>
      </c>
      <c r="AC3350">
        <v>0.87780000000000702</v>
      </c>
      <c r="AD3350">
        <v>-1.0989483076969999</v>
      </c>
      <c r="AE3350">
        <v>-14.2827</v>
      </c>
      <c r="AF3350">
        <v>4.8496316407825804</v>
      </c>
      <c r="AG3350">
        <v>-1.0989483076969999</v>
      </c>
      <c r="AH3350">
        <v>13.3735915864841</v>
      </c>
      <c r="AI3350">
        <v>94.417363445974502</v>
      </c>
      <c r="AJ3350">
        <v>70.067964526038494</v>
      </c>
      <c r="AK3350">
        <v>14.2681311444894</v>
      </c>
      <c r="AL3350">
        <v>69.709538548930297</v>
      </c>
      <c r="AM3350">
        <v>83.330335753870301</v>
      </c>
      <c r="AN3350">
        <v>0.99999997729137402</v>
      </c>
    </row>
    <row r="3351" spans="1:40" x14ac:dyDescent="0.25">
      <c r="A3351" t="str">
        <f>"20190304164709752"</f>
        <v>20190304164709752</v>
      </c>
      <c r="B3351" t="str">
        <f>"1551689229742584"</f>
        <v>1551689229742584</v>
      </c>
      <c r="C3351" t="s">
        <v>40</v>
      </c>
      <c r="D3351">
        <v>4.6760279999999996</v>
      </c>
      <c r="E3351">
        <v>0.60619149999999999</v>
      </c>
      <c r="F3351" t="s">
        <v>42</v>
      </c>
      <c r="G3351">
        <v>-189.12270000000001</v>
      </c>
      <c r="H3351" s="1">
        <v>-3.9667010000000001E-7</v>
      </c>
      <c r="I3351">
        <v>190.1277</v>
      </c>
      <c r="J3351">
        <v>-189.86670000000001</v>
      </c>
      <c r="K3351">
        <v>1.099045</v>
      </c>
      <c r="L3351">
        <v>203.34979999999999</v>
      </c>
      <c r="M3351">
        <v>0.38242209999999899</v>
      </c>
      <c r="N3351">
        <v>-1.6841709999999999E-2</v>
      </c>
      <c r="O3351">
        <v>-0.9238343</v>
      </c>
      <c r="P3351">
        <v>0.27273730000000002</v>
      </c>
      <c r="Q3351">
        <v>0.33581450000000002</v>
      </c>
      <c r="R3351">
        <v>-0.90157849999999995</v>
      </c>
      <c r="S3351">
        <v>0.20571900000000001</v>
      </c>
      <c r="T3351">
        <v>-0.27583930000000001</v>
      </c>
      <c r="U3351">
        <v>-3.374069</v>
      </c>
      <c r="V3351">
        <v>0.10307330000000001</v>
      </c>
      <c r="W3351">
        <v>0.34868850000000001</v>
      </c>
      <c r="X3351">
        <v>0.93155370000000004</v>
      </c>
      <c r="Y3351">
        <v>0.3253162</v>
      </c>
      <c r="Z3351">
        <v>5.3360570000000003E-2</v>
      </c>
      <c r="AA3351">
        <v>0.94409849999999995</v>
      </c>
      <c r="AB3351">
        <v>24</v>
      </c>
      <c r="AC3351">
        <v>0.743999999999999</v>
      </c>
      <c r="AD3351">
        <v>-1.0990453966700999</v>
      </c>
      <c r="AE3351">
        <v>-13.2220999999999</v>
      </c>
      <c r="AF3351">
        <v>4.3398198067384497</v>
      </c>
      <c r="AG3351">
        <v>-1.0990453966700999</v>
      </c>
      <c r="AH3351">
        <v>12.4158107935371</v>
      </c>
      <c r="AI3351">
        <v>94.776661845233804</v>
      </c>
      <c r="AJ3351">
        <v>70.733448027755898</v>
      </c>
      <c r="AK3351">
        <v>13.1982686137165</v>
      </c>
      <c r="AL3351">
        <v>69.592881875390106</v>
      </c>
      <c r="AM3351">
        <v>83.686096490434394</v>
      </c>
      <c r="AN3351">
        <v>1.0000000355944101</v>
      </c>
    </row>
    <row r="3352" spans="1:40" x14ac:dyDescent="0.25">
      <c r="A3352" t="str">
        <f>"20190304164709774"</f>
        <v>20190304164709774</v>
      </c>
      <c r="B3352" t="str">
        <f>"1551689229762105"</f>
        <v>1551689229762105</v>
      </c>
      <c r="C3352" t="s">
        <v>40</v>
      </c>
      <c r="D3352">
        <v>4.7147690000000004</v>
      </c>
      <c r="E3352">
        <v>0.60690379999999999</v>
      </c>
      <c r="F3352" t="s">
        <v>42</v>
      </c>
      <c r="G3352">
        <v>-189.15819999999999</v>
      </c>
      <c r="H3352" s="1">
        <v>-4.2264029999999998E-6</v>
      </c>
      <c r="I3352">
        <v>189.13659999999999</v>
      </c>
      <c r="J3352">
        <v>-189.7895</v>
      </c>
      <c r="K3352">
        <v>1.0991709999999999</v>
      </c>
      <c r="L3352">
        <v>203.1123</v>
      </c>
      <c r="M3352">
        <v>0.36582140000000002</v>
      </c>
      <c r="N3352">
        <v>-1.6810640000000002E-2</v>
      </c>
      <c r="O3352">
        <v>-0.93053319999999995</v>
      </c>
      <c r="P3352">
        <v>0.26210889999999998</v>
      </c>
      <c r="Q3352">
        <v>0.33667409999999998</v>
      </c>
      <c r="R3352">
        <v>-0.90440549999999997</v>
      </c>
      <c r="S3352">
        <v>0.16816710000000001</v>
      </c>
      <c r="T3352">
        <v>-0.26088</v>
      </c>
      <c r="U3352">
        <v>-3.3737789999999999</v>
      </c>
      <c r="V3352">
        <v>9.7132239999999995E-2</v>
      </c>
      <c r="W3352">
        <v>0.34972160000000002</v>
      </c>
      <c r="X3352">
        <v>0.93180479999999999</v>
      </c>
      <c r="Y3352">
        <v>0.318866599999999</v>
      </c>
      <c r="Z3352">
        <v>5.0443759999999997E-2</v>
      </c>
      <c r="AA3352">
        <v>0.94645630000000003</v>
      </c>
      <c r="AB3352">
        <v>24</v>
      </c>
      <c r="AC3352">
        <v>0.63130000000000996</v>
      </c>
      <c r="AD3352">
        <v>-1.0991752264029999</v>
      </c>
      <c r="AE3352">
        <v>-13.9757</v>
      </c>
      <c r="AF3352">
        <v>4.4980375060029498</v>
      </c>
      <c r="AG3352">
        <v>-1.0991752264029999</v>
      </c>
      <c r="AH3352">
        <v>13.156451205984199</v>
      </c>
      <c r="AI3352">
        <v>94.520055734546403</v>
      </c>
      <c r="AJ3352">
        <v>71.1250389941317</v>
      </c>
      <c r="AK3352">
        <v>13.9474992711665</v>
      </c>
      <c r="AL3352">
        <v>69.529712709533797</v>
      </c>
      <c r="AM3352">
        <v>84.048925178340198</v>
      </c>
      <c r="AN3352">
        <v>1.0000000274284999</v>
      </c>
    </row>
    <row r="3353" spans="1:40" x14ac:dyDescent="0.25">
      <c r="A3353" t="str">
        <f>"20190304164709797"</f>
        <v>20190304164709797</v>
      </c>
      <c r="B3353" t="str">
        <f>"1551689229792361"</f>
        <v>1551689229792361</v>
      </c>
      <c r="C3353" t="s">
        <v>40</v>
      </c>
      <c r="D3353">
        <v>4.7161460000000002</v>
      </c>
      <c r="E3353">
        <v>0.60167019999999904</v>
      </c>
      <c r="F3353" t="s">
        <v>42</v>
      </c>
      <c r="G3353">
        <v>-189.2466</v>
      </c>
      <c r="H3353" s="1">
        <v>-3.6472410000000001E-6</v>
      </c>
      <c r="I3353">
        <v>187.82310000000001</v>
      </c>
      <c r="J3353">
        <v>-189.71619999999999</v>
      </c>
      <c r="K3353">
        <v>1.0993090000000001</v>
      </c>
      <c r="L3353">
        <v>202.87100000000001</v>
      </c>
      <c r="M3353">
        <v>0.3490743</v>
      </c>
      <c r="N3353">
        <v>-1.677238E-2</v>
      </c>
      <c r="O3353">
        <v>-0.93694509999999998</v>
      </c>
      <c r="P3353">
        <v>0.25177430000000001</v>
      </c>
      <c r="Q3353">
        <v>0.33780739999999998</v>
      </c>
      <c r="R3353">
        <v>-0.90691569999999999</v>
      </c>
      <c r="S3353">
        <v>0.1197662</v>
      </c>
      <c r="T3353">
        <v>-0.24246500000000001</v>
      </c>
      <c r="U3353">
        <v>-3.3726199999999902</v>
      </c>
      <c r="V3353">
        <v>9.0784080000000003E-2</v>
      </c>
      <c r="W3353">
        <v>0.35103240000000002</v>
      </c>
      <c r="X3353">
        <v>0.931952</v>
      </c>
      <c r="Y3353">
        <v>0.31542399999999998</v>
      </c>
      <c r="Z3353">
        <v>4.6477320000000003E-2</v>
      </c>
      <c r="AA3353">
        <v>0.94781199999999999</v>
      </c>
      <c r="AB3353">
        <v>24</v>
      </c>
      <c r="AC3353">
        <v>0.46959999999998497</v>
      </c>
      <c r="AD3353">
        <v>-1.099312647241</v>
      </c>
      <c r="AE3353">
        <v>-15.047899999999901</v>
      </c>
      <c r="AF3353">
        <v>4.7879938413689498</v>
      </c>
      <c r="AG3353">
        <v>-1.099312647241</v>
      </c>
      <c r="AH3353">
        <v>14.189332275880201</v>
      </c>
      <c r="AI3353">
        <v>94.198437511220206</v>
      </c>
      <c r="AJ3353">
        <v>71.3537448711743</v>
      </c>
      <c r="AK3353">
        <v>15.0156759340599</v>
      </c>
      <c r="AL3353">
        <v>69.449525960491798</v>
      </c>
      <c r="AM3353">
        <v>84.436210511370405</v>
      </c>
      <c r="AN3353">
        <v>1.0000000126676001</v>
      </c>
    </row>
    <row r="3354" spans="1:40" x14ac:dyDescent="0.25">
      <c r="A3354" t="str">
        <f>"20190304164709819"</f>
        <v>20190304164709819</v>
      </c>
      <c r="B3354" t="str">
        <f>"1551689229811880"</f>
        <v>1551689229811880</v>
      </c>
      <c r="C3354" t="s">
        <v>40</v>
      </c>
      <c r="D3354">
        <v>4.7119559999999998</v>
      </c>
      <c r="E3354">
        <v>0.59892449999999997</v>
      </c>
      <c r="F3354" t="s">
        <v>42</v>
      </c>
      <c r="G3354">
        <v>-189.22739999999999</v>
      </c>
      <c r="H3354" s="1">
        <v>-2.792827E-7</v>
      </c>
      <c r="I3354">
        <v>189.8647</v>
      </c>
      <c r="J3354">
        <v>-189.6455</v>
      </c>
      <c r="K3354">
        <v>1.0994679999999999</v>
      </c>
      <c r="L3354">
        <v>202.62270000000001</v>
      </c>
      <c r="M3354">
        <v>0.33196619999999999</v>
      </c>
      <c r="N3354">
        <v>-1.6727189999999999E-2</v>
      </c>
      <c r="O3354">
        <v>-0.94314299999999995</v>
      </c>
      <c r="P3354">
        <v>0.2414039</v>
      </c>
      <c r="Q3354">
        <v>0.3378582</v>
      </c>
      <c r="R3354">
        <v>-0.90971199999999997</v>
      </c>
      <c r="S3354">
        <v>0.1269836</v>
      </c>
      <c r="T3354">
        <v>-0.28560099999999999</v>
      </c>
      <c r="U3354">
        <v>-3.3790279999999999</v>
      </c>
      <c r="V3354">
        <v>8.4289420000000004E-2</v>
      </c>
      <c r="W3354">
        <v>0.35126279999999999</v>
      </c>
      <c r="X3354">
        <v>0.9324751</v>
      </c>
      <c r="Y3354">
        <v>0.296139599999999</v>
      </c>
      <c r="Z3354">
        <v>5.859168E-2</v>
      </c>
      <c r="AA3354">
        <v>0.95334589999999997</v>
      </c>
      <c r="AB3354">
        <v>24</v>
      </c>
      <c r="AC3354">
        <v>0.41810000000000902</v>
      </c>
      <c r="AD3354">
        <v>-1.0994682792827</v>
      </c>
      <c r="AE3354">
        <v>-12.757999999999999</v>
      </c>
      <c r="AF3354">
        <v>3.8131450139782599</v>
      </c>
      <c r="AG3354">
        <v>-1.0994682792827</v>
      </c>
      <c r="AH3354">
        <v>12.083471201310401</v>
      </c>
      <c r="AI3354">
        <v>94.959218801059194</v>
      </c>
      <c r="AJ3354">
        <v>72.486022178458995</v>
      </c>
      <c r="AK3354">
        <v>12.718458305458</v>
      </c>
      <c r="AL3354">
        <v>69.435427719462197</v>
      </c>
      <c r="AM3354">
        <v>84.834887824840095</v>
      </c>
      <c r="AN3354">
        <v>1.0000000365538899</v>
      </c>
    </row>
    <row r="3355" spans="1:40" x14ac:dyDescent="0.25">
      <c r="A3355" t="str">
        <f>"20190304164709842"</f>
        <v>20190304164709842</v>
      </c>
      <c r="B3355" t="str">
        <f>"1551689229832380"</f>
        <v>1551689229832380</v>
      </c>
      <c r="C3355" t="s">
        <v>40</v>
      </c>
      <c r="D3355">
        <v>4.7258820000000004</v>
      </c>
      <c r="E3355">
        <v>0.59685759999999999</v>
      </c>
      <c r="F3355" t="s">
        <v>42</v>
      </c>
      <c r="G3355">
        <v>-189.24680000000001</v>
      </c>
      <c r="H3355" s="1">
        <v>-5.4418080000000004E-7</v>
      </c>
      <c r="I3355">
        <v>190.5898</v>
      </c>
      <c r="J3355">
        <v>-189.58240000000001</v>
      </c>
      <c r="K3355">
        <v>1.099612</v>
      </c>
      <c r="L3355">
        <v>202.386</v>
      </c>
      <c r="M3355">
        <v>0.3157664</v>
      </c>
      <c r="N3355">
        <v>-1.6680589999999999E-2</v>
      </c>
      <c r="O3355">
        <v>-0.94869049999999999</v>
      </c>
      <c r="P3355">
        <v>0.2325885</v>
      </c>
      <c r="Q3355">
        <v>0.33599559999999901</v>
      </c>
      <c r="R3355">
        <v>-0.91269389999999995</v>
      </c>
      <c r="S3355">
        <v>0.1120911</v>
      </c>
      <c r="T3355">
        <v>-0.30908930000000001</v>
      </c>
      <c r="U3355">
        <v>-3.3827509999999998</v>
      </c>
      <c r="V3355">
        <v>7.7341779999999999E-2</v>
      </c>
      <c r="W3355">
        <v>0.34959649999999998</v>
      </c>
      <c r="X3355">
        <v>0.93370260000000005</v>
      </c>
      <c r="Y3355">
        <v>0.28400019999999998</v>
      </c>
      <c r="Z3355">
        <v>6.5600110000000003E-2</v>
      </c>
      <c r="AA3355">
        <v>0.95657749999999997</v>
      </c>
      <c r="AB3355">
        <v>24</v>
      </c>
      <c r="AC3355">
        <v>0.33559999999999901</v>
      </c>
      <c r="AD3355">
        <v>-1.0996125441808</v>
      </c>
      <c r="AE3355">
        <v>-11.796200000000001</v>
      </c>
      <c r="AF3355">
        <v>3.3776104972341598</v>
      </c>
      <c r="AG3355">
        <v>-1.0996125441808</v>
      </c>
      <c r="AH3355">
        <v>11.201229760255201</v>
      </c>
      <c r="AI3355">
        <v>95.369390769139201</v>
      </c>
      <c r="AJ3355">
        <v>73.219879148483898</v>
      </c>
      <c r="AK3355">
        <v>11.7509552190609</v>
      </c>
      <c r="AL3355">
        <v>69.537362851788401</v>
      </c>
      <c r="AM3355">
        <v>85.264804847441098</v>
      </c>
      <c r="AN3355">
        <v>1.00000000449628</v>
      </c>
    </row>
    <row r="3356" spans="1:40" x14ac:dyDescent="0.25">
      <c r="A3356" t="str">
        <f>"20190304164709865"</f>
        <v>20190304164709865</v>
      </c>
      <c r="B3356" t="str">
        <f>"1551689229862634"</f>
        <v>1551689229862634</v>
      </c>
      <c r="C3356" t="s">
        <v>40</v>
      </c>
      <c r="D3356">
        <v>4.7218159999999996</v>
      </c>
      <c r="E3356">
        <v>0.5944159</v>
      </c>
      <c r="F3356" t="s">
        <v>42</v>
      </c>
      <c r="G3356">
        <v>-189.2681</v>
      </c>
      <c r="H3356" s="1">
        <v>-7.6527599999999998E-7</v>
      </c>
      <c r="I3356">
        <v>191.114</v>
      </c>
      <c r="J3356">
        <v>-189.5205</v>
      </c>
      <c r="K3356">
        <v>1.0997699999999999</v>
      </c>
      <c r="L3356">
        <v>202.13749999999999</v>
      </c>
      <c r="M3356">
        <v>0.29890339999999999</v>
      </c>
      <c r="N3356">
        <v>-1.66293E-2</v>
      </c>
      <c r="O3356">
        <v>-0.95413870000000001</v>
      </c>
      <c r="P3356">
        <v>0.22263530000000001</v>
      </c>
      <c r="Q3356">
        <v>0.33540500000000001</v>
      </c>
      <c r="R3356">
        <v>-0.91538949999999997</v>
      </c>
      <c r="S3356">
        <v>9.4360349999999996E-2</v>
      </c>
      <c r="T3356">
        <v>-0.33016400000000001</v>
      </c>
      <c r="U3356">
        <v>-3.3844599999999998</v>
      </c>
      <c r="V3356">
        <v>7.0835410000000001E-2</v>
      </c>
      <c r="W3356">
        <v>0.34917379999999998</v>
      </c>
      <c r="X3356">
        <v>0.93437680000000001</v>
      </c>
      <c r="Y3356">
        <v>0.27201910000000001</v>
      </c>
      <c r="Z3356">
        <v>7.2111549999999996E-2</v>
      </c>
      <c r="AA3356">
        <v>0.9595861</v>
      </c>
      <c r="AB3356">
        <v>24</v>
      </c>
      <c r="AC3356">
        <v>0.25239999999999402</v>
      </c>
      <c r="AD3356">
        <v>-1.099770765276</v>
      </c>
      <c r="AE3356">
        <v>-11.023499999999901</v>
      </c>
      <c r="AF3356">
        <v>3.02447115792266</v>
      </c>
      <c r="AG3356">
        <v>-1.099770765276</v>
      </c>
      <c r="AH3356">
        <v>10.490493992336599</v>
      </c>
      <c r="AI3356">
        <v>95.752121038372806</v>
      </c>
      <c r="AJ3356">
        <v>73.917417176610599</v>
      </c>
      <c r="AK3356">
        <v>10.973029924524599</v>
      </c>
      <c r="AL3356">
        <v>69.5632106606093</v>
      </c>
      <c r="AM3356">
        <v>85.664680898217597</v>
      </c>
      <c r="AN3356">
        <v>1.0000000011472701</v>
      </c>
    </row>
    <row r="3357" spans="1:40" x14ac:dyDescent="0.25">
      <c r="A3357" t="str">
        <f>"20190304164709887"</f>
        <v>20190304164709887</v>
      </c>
      <c r="B3357" t="str">
        <f>"1551689229882153"</f>
        <v>1551689229882153</v>
      </c>
      <c r="C3357" t="s">
        <v>40</v>
      </c>
      <c r="D3357">
        <v>5.3139640000000004</v>
      </c>
      <c r="E3357">
        <v>0.59327259999999904</v>
      </c>
      <c r="F3357" t="s">
        <v>42</v>
      </c>
      <c r="G3357">
        <v>-189.27979999999999</v>
      </c>
      <c r="H3357" s="1">
        <v>-8.9704290000000003E-7</v>
      </c>
      <c r="I3357">
        <v>191.42599999999999</v>
      </c>
      <c r="J3357">
        <v>-189.46680000000001</v>
      </c>
      <c r="K3357">
        <v>1.099933</v>
      </c>
      <c r="L3357">
        <v>201.90549999999999</v>
      </c>
      <c r="M3357">
        <v>0.28332089999999999</v>
      </c>
      <c r="N3357">
        <v>-1.6577430000000001E-2</v>
      </c>
      <c r="O3357">
        <v>-0.95888200000000001</v>
      </c>
      <c r="P3357">
        <v>0.21418770000000001</v>
      </c>
      <c r="Q3357">
        <v>0.33705000000000002</v>
      </c>
      <c r="R3357">
        <v>-0.91679949999999999</v>
      </c>
      <c r="S3357">
        <v>7.6110839999999999E-2</v>
      </c>
      <c r="T3357">
        <v>-0.34766409999999998</v>
      </c>
      <c r="U3357">
        <v>-3.3861690000000002</v>
      </c>
      <c r="V3357">
        <v>6.3923209999999994E-2</v>
      </c>
      <c r="W3357">
        <v>0.35097970000000001</v>
      </c>
      <c r="X3357">
        <v>0.93419859999999999</v>
      </c>
      <c r="Y3357">
        <v>0.26151960000000002</v>
      </c>
      <c r="Z3357">
        <v>7.7634079999999994E-2</v>
      </c>
      <c r="AA3357">
        <v>0.96207089999999995</v>
      </c>
      <c r="AB3357">
        <v>24</v>
      </c>
      <c r="AC3357">
        <v>0.18700000000001099</v>
      </c>
      <c r="AD3357">
        <v>-1.09993389704289</v>
      </c>
      <c r="AE3357">
        <v>-10.4795</v>
      </c>
      <c r="AF3357">
        <v>2.7597399323698801</v>
      </c>
      <c r="AG3357">
        <v>-1.09993389704289</v>
      </c>
      <c r="AH3357">
        <v>9.9929179789208398</v>
      </c>
      <c r="AI3357">
        <v>96.056400844478603</v>
      </c>
      <c r="AJ3357">
        <v>74.561467032049904</v>
      </c>
      <c r="AK3357">
        <v>10.4251824351241</v>
      </c>
      <c r="AL3357">
        <v>69.452749822990995</v>
      </c>
      <c r="AM3357">
        <v>86.085596718630896</v>
      </c>
      <c r="AN3357">
        <v>0.999999975415376</v>
      </c>
    </row>
    <row r="3358" spans="1:40" x14ac:dyDescent="0.25">
      <c r="A3358" t="str">
        <f>"20190304164709909"</f>
        <v>20190304164709909</v>
      </c>
      <c r="B3358" t="str">
        <f>"1551689229901673"</f>
        <v>1551689229901673</v>
      </c>
      <c r="C3358" t="s">
        <v>40</v>
      </c>
      <c r="D3358">
        <v>4.6270619999999996</v>
      </c>
      <c r="E3358">
        <v>0.59247680000000003</v>
      </c>
      <c r="F3358" t="s">
        <v>42</v>
      </c>
      <c r="G3358">
        <v>-189.29349999999999</v>
      </c>
      <c r="H3358" s="1">
        <v>-7.8879769999999904E-7</v>
      </c>
      <c r="I3358">
        <v>191.17939999999999</v>
      </c>
      <c r="J3358">
        <v>-189.41319999999999</v>
      </c>
      <c r="K3358">
        <v>1.100131</v>
      </c>
      <c r="L3358">
        <v>201.65629999999999</v>
      </c>
      <c r="M3358">
        <v>0.2667892</v>
      </c>
      <c r="N3358">
        <v>-1.6514669999999999E-2</v>
      </c>
      <c r="O3358">
        <v>-0.96361350000000001</v>
      </c>
      <c r="P3358">
        <v>0.20528759999999999</v>
      </c>
      <c r="Q3358">
        <v>0.33780389999999999</v>
      </c>
      <c r="R3358">
        <v>-0.9185565</v>
      </c>
      <c r="S3358">
        <v>5.4702760000000003E-2</v>
      </c>
      <c r="T3358">
        <v>-0.34734330000000002</v>
      </c>
      <c r="U3358">
        <v>-3.3871609999999999</v>
      </c>
      <c r="V3358">
        <v>5.6654000000000003E-2</v>
      </c>
      <c r="W3358">
        <v>0.3518966</v>
      </c>
      <c r="X3358">
        <v>0.93432280000000001</v>
      </c>
      <c r="Y3358">
        <v>0.25100689999999998</v>
      </c>
      <c r="Z3358">
        <v>7.8433359999999994E-2</v>
      </c>
      <c r="AA3358">
        <v>0.96480239999999995</v>
      </c>
      <c r="AB3358">
        <v>24</v>
      </c>
      <c r="AC3358">
        <v>0.11969999999999401</v>
      </c>
      <c r="AD3358">
        <v>-1.1001317887977</v>
      </c>
      <c r="AE3358">
        <v>-10.476900000000001</v>
      </c>
      <c r="AF3358">
        <v>2.6509188790698799</v>
      </c>
      <c r="AG3358">
        <v>-1.1001317887977</v>
      </c>
      <c r="AH3358">
        <v>10.0185457908623</v>
      </c>
      <c r="AI3358">
        <v>96.059607737314096</v>
      </c>
      <c r="AJ3358">
        <v>75.179127207261899</v>
      </c>
      <c r="AK3358">
        <v>10.4215603735591</v>
      </c>
      <c r="AL3358">
        <v>69.396636265047704</v>
      </c>
      <c r="AM3358">
        <v>86.530037016641003</v>
      </c>
      <c r="AN3358">
        <v>0.99999999370369896</v>
      </c>
    </row>
    <row r="3359" spans="1:40" x14ac:dyDescent="0.25">
      <c r="A3359" t="str">
        <f>"20190304164709930"</f>
        <v>20190304164709930</v>
      </c>
      <c r="B3359" t="str">
        <f>"1551689229922168"</f>
        <v>1551689229922168</v>
      </c>
      <c r="C3359" t="s">
        <v>40</v>
      </c>
      <c r="D3359">
        <v>4.6378139999999997</v>
      </c>
      <c r="E3359">
        <v>0.59134659999999994</v>
      </c>
      <c r="F3359" t="s">
        <v>42</v>
      </c>
      <c r="G3359">
        <v>-189.31630000000001</v>
      </c>
      <c r="H3359" s="1">
        <v>-6.4315529999999999E-7</v>
      </c>
      <c r="I3359">
        <v>190.8493</v>
      </c>
      <c r="J3359">
        <v>-189.3657</v>
      </c>
      <c r="K3359">
        <v>1.100344</v>
      </c>
      <c r="L3359">
        <v>201.4171</v>
      </c>
      <c r="M3359">
        <v>0.25116250000000001</v>
      </c>
      <c r="N3359">
        <v>-1.6446410000000002E-2</v>
      </c>
      <c r="O3359">
        <v>-0.96780540000000004</v>
      </c>
      <c r="P3359">
        <v>0.19710230000000001</v>
      </c>
      <c r="Q3359">
        <v>0.3388835</v>
      </c>
      <c r="R3359">
        <v>-0.9199505</v>
      </c>
      <c r="S3359">
        <v>3.0334469999999999E-2</v>
      </c>
      <c r="T3359">
        <v>-0.3446844</v>
      </c>
      <c r="U3359">
        <v>-3.3859560000000002</v>
      </c>
      <c r="V3359">
        <v>4.9559350000000002E-2</v>
      </c>
      <c r="W3359">
        <v>0.35312149999999998</v>
      </c>
      <c r="X3359">
        <v>0.93426390000000004</v>
      </c>
      <c r="Y3359">
        <v>0.24228549999999999</v>
      </c>
      <c r="Z3359">
        <v>7.85473E-2</v>
      </c>
      <c r="AA3359">
        <v>0.9670202</v>
      </c>
      <c r="AB3359">
        <v>24</v>
      </c>
      <c r="AC3359">
        <v>4.9399999999991402E-2</v>
      </c>
      <c r="AD3359">
        <v>-1.1003446431552999</v>
      </c>
      <c r="AE3359">
        <v>-10.5678</v>
      </c>
      <c r="AF3359">
        <v>2.5788199617777301</v>
      </c>
      <c r="AG3359">
        <v>-1.1003446431552999</v>
      </c>
      <c r="AH3359">
        <v>10.131526286288899</v>
      </c>
      <c r="AI3359">
        <v>96.008263742252893</v>
      </c>
      <c r="AJ3359">
        <v>75.719509738823504</v>
      </c>
      <c r="AK3359">
        <v>10.512321133733799</v>
      </c>
      <c r="AL3359">
        <v>69.321640242937093</v>
      </c>
      <c r="AM3359">
        <v>86.963510350854406</v>
      </c>
      <c r="AN3359">
        <v>0.99999997888894099</v>
      </c>
    </row>
    <row r="3360" spans="1:40" x14ac:dyDescent="0.25">
      <c r="A3360" t="str">
        <f>"20190304164709952"</f>
        <v>20190304164709952</v>
      </c>
      <c r="B3360" t="str">
        <f>"1551689229941689"</f>
        <v>1551689229941689</v>
      </c>
      <c r="C3360" t="s">
        <v>40</v>
      </c>
      <c r="D3360">
        <v>4.6399350000000004</v>
      </c>
      <c r="E3360">
        <v>0.59042039999999996</v>
      </c>
      <c r="F3360" t="s">
        <v>42</v>
      </c>
      <c r="G3360">
        <v>-189.3313</v>
      </c>
      <c r="H3360" s="1">
        <v>-5.1465219999999995E-7</v>
      </c>
      <c r="I3360">
        <v>190.55590000000001</v>
      </c>
      <c r="J3360">
        <v>-189.3237</v>
      </c>
      <c r="K3360">
        <v>1.10057</v>
      </c>
      <c r="L3360">
        <v>201.18799999999999</v>
      </c>
      <c r="M3360">
        <v>0.2364618</v>
      </c>
      <c r="N3360">
        <v>-1.637357E-2</v>
      </c>
      <c r="O3360">
        <v>-0.97150289999999995</v>
      </c>
      <c r="P3360">
        <v>0.18625249999999999</v>
      </c>
      <c r="Q3360">
        <v>0.3383234</v>
      </c>
      <c r="R3360">
        <v>-0.92241419999999996</v>
      </c>
      <c r="S3360">
        <v>1.071167E-2</v>
      </c>
      <c r="T3360">
        <v>-0.342943099999999</v>
      </c>
      <c r="U3360">
        <v>-3.3850709999999999</v>
      </c>
      <c r="V3360">
        <v>4.6216840000000002E-2</v>
      </c>
      <c r="W3360">
        <v>0.3526067</v>
      </c>
      <c r="X3360">
        <v>0.93462959999999995</v>
      </c>
      <c r="Y3360">
        <v>0.2331839</v>
      </c>
      <c r="Z3360">
        <v>7.8826919999999995E-2</v>
      </c>
      <c r="AA3360">
        <v>0.96923250000000005</v>
      </c>
      <c r="AB3360">
        <v>24</v>
      </c>
      <c r="AC3360">
        <v>-7.5999999999964898E-3</v>
      </c>
      <c r="AD3360">
        <v>-1.10057051465219</v>
      </c>
      <c r="AE3360">
        <v>-10.6320999999999</v>
      </c>
      <c r="AF3360">
        <v>2.4950717685342001</v>
      </c>
      <c r="AG3360">
        <v>-1.10057051465219</v>
      </c>
      <c r="AH3360">
        <v>10.2192025853802</v>
      </c>
      <c r="AI3360">
        <v>95.972731351896797</v>
      </c>
      <c r="AJ3360">
        <v>76.2793691209923</v>
      </c>
      <c r="AK3360">
        <v>10.576801977389</v>
      </c>
      <c r="AL3360">
        <v>69.353164018762598</v>
      </c>
      <c r="AM3360">
        <v>87.169066034687106</v>
      </c>
      <c r="AN3360">
        <v>0.99999998519031696</v>
      </c>
    </row>
    <row r="3361" spans="1:40" x14ac:dyDescent="0.25">
      <c r="A3361" t="str">
        <f>"20190304164709975"</f>
        <v>20190304164709975</v>
      </c>
      <c r="B3361" t="str">
        <f>"1551689229971945"</f>
        <v>1551689229971945</v>
      </c>
      <c r="C3361" t="s">
        <v>40</v>
      </c>
      <c r="D3361">
        <v>4.6011519999999999</v>
      </c>
      <c r="E3361">
        <v>0.58923919999999996</v>
      </c>
      <c r="F3361" t="s">
        <v>42</v>
      </c>
      <c r="G3361">
        <v>-189.38849999999999</v>
      </c>
      <c r="H3361" s="1">
        <v>-5.1018740000000004E-7</v>
      </c>
      <c r="I3361">
        <v>190.5692</v>
      </c>
      <c r="J3361">
        <v>-189.28190000000001</v>
      </c>
      <c r="K3361">
        <v>1.100867</v>
      </c>
      <c r="L3361">
        <v>200.93969999999999</v>
      </c>
      <c r="M3361">
        <v>0.22085189999999999</v>
      </c>
      <c r="N3361">
        <v>-1.6286269999999999E-2</v>
      </c>
      <c r="O3361">
        <v>-0.97517140000000002</v>
      </c>
      <c r="P3361">
        <v>0.1761981</v>
      </c>
      <c r="Q3361">
        <v>0.3385358</v>
      </c>
      <c r="R3361">
        <v>-0.92430959999999995</v>
      </c>
      <c r="S3361">
        <v>-2.0675659999999998E-2</v>
      </c>
      <c r="T3361">
        <v>-0.35085499999999997</v>
      </c>
      <c r="U3361">
        <v>-3.3852229999999999</v>
      </c>
      <c r="V3361">
        <v>4.1118790000000002E-2</v>
      </c>
      <c r="W3361">
        <v>0.35289179999999998</v>
      </c>
      <c r="X3361">
        <v>0.93476020000000004</v>
      </c>
      <c r="Y3361">
        <v>0.226574</v>
      </c>
      <c r="Z3361">
        <v>8.1712069999999998E-2</v>
      </c>
      <c r="AA3361">
        <v>0.97056030000000004</v>
      </c>
      <c r="AB3361">
        <v>24</v>
      </c>
      <c r="AC3361">
        <v>-0.106599999999986</v>
      </c>
      <c r="AD3361">
        <v>-1.1008675101873999</v>
      </c>
      <c r="AE3361">
        <v>-10.3704999999999</v>
      </c>
      <c r="AF3361">
        <v>2.36793488367648</v>
      </c>
      <c r="AG3361">
        <v>-1.1008675101873999</v>
      </c>
      <c r="AH3361">
        <v>9.9783795314007708</v>
      </c>
      <c r="AI3361">
        <v>96.126906419796001</v>
      </c>
      <c r="AJ3361">
        <v>76.650273723046098</v>
      </c>
      <c r="AK3361">
        <v>10.314411420968</v>
      </c>
      <c r="AL3361">
        <v>69.335707221316596</v>
      </c>
      <c r="AM3361">
        <v>87.481262773912604</v>
      </c>
      <c r="AN3361">
        <v>1.0000000044511701</v>
      </c>
    </row>
    <row r="3362" spans="1:40" x14ac:dyDescent="0.25">
      <c r="A3362" t="str">
        <f>"20190304164709998"</f>
        <v>20190304164709998</v>
      </c>
      <c r="B3362" t="str">
        <f>"1551689229992441"</f>
        <v>1551689229992441</v>
      </c>
      <c r="C3362" t="s">
        <v>40</v>
      </c>
      <c r="D3362">
        <v>4.5846530000000003</v>
      </c>
      <c r="E3362">
        <v>0.58853669999999902</v>
      </c>
      <c r="F3362" t="s">
        <v>42</v>
      </c>
      <c r="G3362">
        <v>-189.42519999999999</v>
      </c>
      <c r="H3362" s="1">
        <v>-4.6061349999999998E-7</v>
      </c>
      <c r="I3362">
        <v>190.46879999999999</v>
      </c>
      <c r="J3362">
        <v>-189.24379999999999</v>
      </c>
      <c r="K3362">
        <v>1.101181</v>
      </c>
      <c r="L3362">
        <v>200.69059999999999</v>
      </c>
      <c r="M3362">
        <v>0.20559920000000001</v>
      </c>
      <c r="N3362">
        <v>-1.618992E-2</v>
      </c>
      <c r="O3362">
        <v>-0.97850230000000005</v>
      </c>
      <c r="P3362">
        <v>0.16495209999999999</v>
      </c>
      <c r="Q3362">
        <v>0.33852559999999998</v>
      </c>
      <c r="R3362">
        <v>-0.92638609999999999</v>
      </c>
      <c r="S3362">
        <v>-4.6340939999999997E-2</v>
      </c>
      <c r="T3362">
        <v>-0.35586970000000001</v>
      </c>
      <c r="U3362">
        <v>-3.3848419999999999</v>
      </c>
      <c r="V3362">
        <v>3.7593769999999999E-2</v>
      </c>
      <c r="W3362">
        <v>0.35290290000000002</v>
      </c>
      <c r="X3362">
        <v>0.93490439999999997</v>
      </c>
      <c r="Y3362">
        <v>0.21872440000000001</v>
      </c>
      <c r="Z3362">
        <v>8.3804790000000004E-2</v>
      </c>
      <c r="AA3362">
        <v>0.97218130000000003</v>
      </c>
      <c r="AB3362">
        <v>24</v>
      </c>
      <c r="AC3362">
        <v>-0.18139999999999601</v>
      </c>
      <c r="AD3362">
        <v>-1.1011814606135</v>
      </c>
      <c r="AE3362">
        <v>-10.2218</v>
      </c>
      <c r="AF3362">
        <v>2.2532512636901001</v>
      </c>
      <c r="AG3362">
        <v>-1.1011814606135</v>
      </c>
      <c r="AH3362">
        <v>9.8517673705453408</v>
      </c>
      <c r="AI3362">
        <v>96.218496823152805</v>
      </c>
      <c r="AJ3362">
        <v>77.117157370489196</v>
      </c>
      <c r="AK3362">
        <v>10.1659757126338</v>
      </c>
      <c r="AL3362">
        <v>69.335027253968406</v>
      </c>
      <c r="AM3362">
        <v>87.697299821153806</v>
      </c>
      <c r="AN3362">
        <v>0.99999999275529095</v>
      </c>
    </row>
    <row r="3363" spans="1:40" x14ac:dyDescent="0.25">
      <c r="A3363" t="str">
        <f>"20190304164710021"</f>
        <v>20190304164710021</v>
      </c>
      <c r="B3363" t="str">
        <f>"1551689230011961"</f>
        <v>1551689230011961</v>
      </c>
      <c r="C3363" t="s">
        <v>40</v>
      </c>
      <c r="D3363">
        <v>4.5764779999999998</v>
      </c>
      <c r="E3363">
        <v>0.58789139999999995</v>
      </c>
      <c r="F3363" t="s">
        <v>41</v>
      </c>
      <c r="G3363">
        <v>-189.26560000000001</v>
      </c>
      <c r="H3363">
        <v>1.0037389999999999</v>
      </c>
      <c r="I3363">
        <v>199.77330000000001</v>
      </c>
      <c r="J3363">
        <v>-189.2088</v>
      </c>
      <c r="K3363">
        <v>1.101494</v>
      </c>
      <c r="L3363">
        <v>200.43879999999999</v>
      </c>
      <c r="M3363">
        <v>0.19053200000000001</v>
      </c>
      <c r="N3363">
        <v>-1.6090750000000001E-2</v>
      </c>
      <c r="O3363">
        <v>-0.98154920000000001</v>
      </c>
      <c r="P3363">
        <v>0.15268979999999999</v>
      </c>
      <c r="Q3363">
        <v>0.33940049999999999</v>
      </c>
      <c r="R3363">
        <v>-0.92816690000000002</v>
      </c>
      <c r="S3363">
        <v>-8.0108639999999995E-2</v>
      </c>
      <c r="T3363">
        <v>-0.35900310000000002</v>
      </c>
      <c r="U3363">
        <v>-3.3838200000000001</v>
      </c>
      <c r="V3363">
        <v>3.5263309999999999E-2</v>
      </c>
      <c r="W3363">
        <v>0.35375759999999901</v>
      </c>
      <c r="X3363">
        <v>0.93467219999999995</v>
      </c>
      <c r="Y3363">
        <v>0.21342559999999999</v>
      </c>
      <c r="Z3363">
        <v>8.5324759999999999E-2</v>
      </c>
      <c r="AA3363">
        <v>0.97322620000000004</v>
      </c>
      <c r="AB3363">
        <v>24</v>
      </c>
      <c r="AC3363">
        <v>-5.6800000000009697E-2</v>
      </c>
      <c r="AD3363">
        <v>-9.7754999999999995E-2</v>
      </c>
      <c r="AE3363">
        <v>-0.66549999999998</v>
      </c>
      <c r="AF3363">
        <v>0.17874583454780699</v>
      </c>
      <c r="AG3363">
        <v>-9.7754999999999995E-2</v>
      </c>
      <c r="AH3363">
        <v>0.62900822037284598</v>
      </c>
      <c r="AI3363">
        <v>98.502325902546104</v>
      </c>
      <c r="AJ3363">
        <v>74.136392744690298</v>
      </c>
      <c r="AK3363">
        <v>0.66117883714605297</v>
      </c>
      <c r="AL3363">
        <v>69.282680914871705</v>
      </c>
      <c r="AM3363">
        <v>87.839369759284494</v>
      </c>
      <c r="AN3363">
        <v>1.0000000310213699</v>
      </c>
    </row>
    <row r="3364" spans="1:40" x14ac:dyDescent="0.25">
      <c r="A3364" t="str">
        <f>"20190304164710042"</f>
        <v>20190304164710042</v>
      </c>
      <c r="B3364" t="str">
        <f>"1551689230032460"</f>
        <v>1551689230032460</v>
      </c>
      <c r="C3364" t="s">
        <v>40</v>
      </c>
      <c r="D3364">
        <v>4.558465</v>
      </c>
      <c r="E3364">
        <v>0.58728279999999999</v>
      </c>
      <c r="F3364" t="s">
        <v>41</v>
      </c>
      <c r="G3364">
        <v>-189.2396</v>
      </c>
      <c r="H3364">
        <v>1.008197</v>
      </c>
      <c r="I3364">
        <v>199.5566</v>
      </c>
      <c r="J3364">
        <v>-189.1806</v>
      </c>
      <c r="K3364">
        <v>1.1017699999999999</v>
      </c>
      <c r="L3364">
        <v>200.21459999999999</v>
      </c>
      <c r="M3364">
        <v>0.17744219999999999</v>
      </c>
      <c r="N3364">
        <v>-1.600362E-2</v>
      </c>
      <c r="O3364">
        <v>-0.98400120000000002</v>
      </c>
      <c r="P3364">
        <v>0.14152139999999999</v>
      </c>
      <c r="Q3364">
        <v>0.34031609999999901</v>
      </c>
      <c r="R3364">
        <v>-0.92960039999999999</v>
      </c>
      <c r="S3364">
        <v>-0.1177979</v>
      </c>
      <c r="T3364">
        <v>-0.35767769999999999</v>
      </c>
      <c r="U3364">
        <v>-3.382355</v>
      </c>
      <c r="V3364">
        <v>3.376995E-2</v>
      </c>
      <c r="W3364">
        <v>0.35463919999999999</v>
      </c>
      <c r="X3364">
        <v>0.93439320000000003</v>
      </c>
      <c r="Y3364">
        <v>0.2112636</v>
      </c>
      <c r="Z3364">
        <v>8.5464570000000004E-2</v>
      </c>
      <c r="AA3364">
        <v>0.97368549999999998</v>
      </c>
      <c r="AB3364">
        <v>24</v>
      </c>
      <c r="AC3364">
        <v>-5.8999999999997499E-2</v>
      </c>
      <c r="AD3364">
        <v>-9.3573000000000101E-2</v>
      </c>
      <c r="AE3364">
        <v>-0.65799999999998704</v>
      </c>
      <c r="AF3364">
        <v>0.17139686734044099</v>
      </c>
      <c r="AG3364">
        <v>-9.3573000000000101E-2</v>
      </c>
      <c r="AH3364">
        <v>0.62455546582383403</v>
      </c>
      <c r="AI3364">
        <v>98.221290235918403</v>
      </c>
      <c r="AJ3364">
        <v>74.654106151468</v>
      </c>
      <c r="AK3364">
        <v>0.65437170045284199</v>
      </c>
      <c r="AL3364">
        <v>69.228666851839293</v>
      </c>
      <c r="AM3364">
        <v>87.930171324019994</v>
      </c>
      <c r="AN3364">
        <v>1.00000001195294</v>
      </c>
    </row>
    <row r="3365" spans="1:40" x14ac:dyDescent="0.25">
      <c r="A3365" t="str">
        <f>"20190304164710066"</f>
        <v>20190304164710066</v>
      </c>
      <c r="B3365" t="str">
        <f>"1551689230061737"</f>
        <v>1551689230061737</v>
      </c>
      <c r="C3365" t="s">
        <v>40</v>
      </c>
      <c r="D3365">
        <v>4.6146370000000001</v>
      </c>
      <c r="E3365">
        <v>0.58625879999999997</v>
      </c>
      <c r="F3365" t="s">
        <v>41</v>
      </c>
      <c r="G3365">
        <v>-189.2199</v>
      </c>
      <c r="H3365">
        <v>1.009649</v>
      </c>
      <c r="I3365">
        <v>199.34059999999999</v>
      </c>
      <c r="J3365">
        <v>-189.1515</v>
      </c>
      <c r="K3365">
        <v>1.10209</v>
      </c>
      <c r="L3365">
        <v>199.95830000000001</v>
      </c>
      <c r="M3365">
        <v>0.16292000000000001</v>
      </c>
      <c r="N3365">
        <v>-1.590097E-2</v>
      </c>
      <c r="O3365">
        <v>-0.98651120000000003</v>
      </c>
      <c r="P3365">
        <v>0.12842909999999999</v>
      </c>
      <c r="Q3365">
        <v>0.34095799999999998</v>
      </c>
      <c r="R3365">
        <v>-0.93126469999999995</v>
      </c>
      <c r="S3365">
        <v>-0.15164179999999999</v>
      </c>
      <c r="T3365">
        <v>-0.35586459999999998</v>
      </c>
      <c r="U3365">
        <v>-3.3805689999999999</v>
      </c>
      <c r="V3365">
        <v>3.283606E-2</v>
      </c>
      <c r="W3365">
        <v>0.35522229999999999</v>
      </c>
      <c r="X3365">
        <v>0.93420499999999995</v>
      </c>
      <c r="Y3365">
        <v>0.20661409999999999</v>
      </c>
      <c r="Z3365">
        <v>8.5526539999999998E-2</v>
      </c>
      <c r="AA3365">
        <v>0.97467729999999997</v>
      </c>
      <c r="AB3365">
        <v>24</v>
      </c>
      <c r="AC3365">
        <v>-6.8399999999996894E-2</v>
      </c>
      <c r="AD3365">
        <v>-9.2440999999999995E-2</v>
      </c>
      <c r="AE3365">
        <v>-0.61770000000001302</v>
      </c>
      <c r="AF3365">
        <v>0.16449486600292601</v>
      </c>
      <c r="AG3365">
        <v>-9.2440999999999995E-2</v>
      </c>
      <c r="AH3365">
        <v>0.58534906237889495</v>
      </c>
      <c r="AI3365">
        <v>98.644781843804196</v>
      </c>
      <c r="AJ3365">
        <v>74.303568364404299</v>
      </c>
      <c r="AK3365">
        <v>0.61501010093344999</v>
      </c>
      <c r="AL3365">
        <v>69.192931530562404</v>
      </c>
      <c r="AM3365">
        <v>87.986958470145197</v>
      </c>
      <c r="AN3365">
        <v>1.0000000356393</v>
      </c>
    </row>
    <row r="3366" spans="1:40" x14ac:dyDescent="0.25">
      <c r="A3366" t="str">
        <f>"20190304164710089"</f>
        <v>20190304164710089</v>
      </c>
      <c r="B3366" t="str">
        <f>"1551689230082233"</f>
        <v>1551689230082233</v>
      </c>
      <c r="C3366" t="s">
        <v>40</v>
      </c>
      <c r="D3366">
        <v>4.357685</v>
      </c>
      <c r="E3366">
        <v>0.58585969999999998</v>
      </c>
      <c r="F3366" t="s">
        <v>41</v>
      </c>
      <c r="G3366">
        <v>-189.1977</v>
      </c>
      <c r="H3366">
        <v>1.0142119999999999</v>
      </c>
      <c r="I3366">
        <v>199.1241</v>
      </c>
      <c r="J3366">
        <v>-189.12629999999999</v>
      </c>
      <c r="K3366">
        <v>1.1024259999999999</v>
      </c>
      <c r="L3366">
        <v>199.70760000000001</v>
      </c>
      <c r="M3366">
        <v>0.14921599999999999</v>
      </c>
      <c r="N3366">
        <v>-1.5792319999999999E-2</v>
      </c>
      <c r="O3366">
        <v>-0.98867870000000002</v>
      </c>
      <c r="P3366">
        <v>0.1158177</v>
      </c>
      <c r="Q3366">
        <v>0.340387099999999</v>
      </c>
      <c r="R3366">
        <v>-0.93312589999999995</v>
      </c>
      <c r="S3366">
        <v>-0.1870117</v>
      </c>
      <c r="T3366">
        <v>-0.35579</v>
      </c>
      <c r="U3366">
        <v>-3.3774570000000002</v>
      </c>
      <c r="V3366">
        <v>3.2229979999999998E-2</v>
      </c>
      <c r="W3366">
        <v>0.3545875</v>
      </c>
      <c r="X3366">
        <v>0.93446719999999905</v>
      </c>
      <c r="Y3366">
        <v>0.20326240000000001</v>
      </c>
      <c r="Z3366">
        <v>8.6049009999999995E-2</v>
      </c>
      <c r="AA3366">
        <v>0.97533579999999998</v>
      </c>
      <c r="AB3366">
        <v>24</v>
      </c>
      <c r="AC3366">
        <v>-7.1400000000011205E-2</v>
      </c>
      <c r="AD3366">
        <v>-8.8214000000000001E-2</v>
      </c>
      <c r="AE3366">
        <v>-0.58350000000001501</v>
      </c>
      <c r="AF3366">
        <v>0.154206338831851</v>
      </c>
      <c r="AG3366">
        <v>-8.8214000000000001E-2</v>
      </c>
      <c r="AH3366">
        <v>0.55383891217987902</v>
      </c>
      <c r="AI3366">
        <v>98.723466306097293</v>
      </c>
      <c r="AJ3366">
        <v>74.441108986930601</v>
      </c>
      <c r="AK3366">
        <v>0.58163463220179301</v>
      </c>
      <c r="AL3366">
        <v>69.231834826575394</v>
      </c>
      <c r="AM3366">
        <v>88.024638949201901</v>
      </c>
      <c r="AN3366">
        <v>1.0000000073214399</v>
      </c>
    </row>
    <row r="3367" spans="1:40" x14ac:dyDescent="0.25">
      <c r="A3367" t="str">
        <f>"20190304164710110"</f>
        <v>20190304164710110</v>
      </c>
      <c r="B3367" t="str">
        <f>"1551689230101756"</f>
        <v>1551689230101756</v>
      </c>
      <c r="C3367" t="s">
        <v>40</v>
      </c>
      <c r="D3367">
        <v>4.5820589999999903</v>
      </c>
      <c r="E3367">
        <v>0.58505309999999999</v>
      </c>
      <c r="F3367" t="s">
        <v>41</v>
      </c>
      <c r="G3367">
        <v>-189.18010000000001</v>
      </c>
      <c r="H3367">
        <v>1.0171920000000001</v>
      </c>
      <c r="I3367">
        <v>198.90770000000001</v>
      </c>
      <c r="J3367">
        <v>-189.10509999999999</v>
      </c>
      <c r="K3367">
        <v>1.1027849999999999</v>
      </c>
      <c r="L3367">
        <v>199.47190000000001</v>
      </c>
      <c r="M3367">
        <v>0.13682730000000001</v>
      </c>
      <c r="N3367">
        <v>-1.5682649999999999E-2</v>
      </c>
      <c r="O3367">
        <v>-0.99047079999999998</v>
      </c>
      <c r="P3367">
        <v>0.1053114</v>
      </c>
      <c r="Q3367">
        <v>0.3402464</v>
      </c>
      <c r="R3367">
        <v>-0.93442069999999999</v>
      </c>
      <c r="S3367">
        <v>-0.22700500000000001</v>
      </c>
      <c r="T3367">
        <v>-0.3593171</v>
      </c>
      <c r="U3367">
        <v>-3.3742369999999999</v>
      </c>
      <c r="V3367">
        <v>3.0729050000000001E-2</v>
      </c>
      <c r="W3367">
        <v>0.35439759999999998</v>
      </c>
      <c r="X3367">
        <v>0.93458980000000003</v>
      </c>
      <c r="Y3367">
        <v>0.2025663</v>
      </c>
      <c r="Z3367">
        <v>8.7502650000000001E-2</v>
      </c>
      <c r="AA3367">
        <v>0.97535130000000003</v>
      </c>
      <c r="AB3367">
        <v>24</v>
      </c>
      <c r="AC3367">
        <v>-7.5000000000016998E-2</v>
      </c>
      <c r="AD3367">
        <v>-8.5593000000000002E-2</v>
      </c>
      <c r="AE3367">
        <v>-0.56419999999999904</v>
      </c>
      <c r="AF3367">
        <v>0.14815140615762801</v>
      </c>
      <c r="AG3367">
        <v>-8.5593000000000002E-2</v>
      </c>
      <c r="AH3367">
        <v>0.53649599521397595</v>
      </c>
      <c r="AI3367">
        <v>98.742736068130696</v>
      </c>
      <c r="AJ3367">
        <v>74.562704014420802</v>
      </c>
      <c r="AK3367">
        <v>0.56311895162222803</v>
      </c>
      <c r="AL3367">
        <v>69.243471100364502</v>
      </c>
      <c r="AM3367">
        <v>88.116809298498495</v>
      </c>
      <c r="AN3367">
        <v>1.0000000138318501</v>
      </c>
    </row>
    <row r="3368" spans="1:40" x14ac:dyDescent="0.25">
      <c r="A3368" t="str">
        <f>"20190304164710131"</f>
        <v>20190304164710131</v>
      </c>
      <c r="B3368" t="str">
        <f>"1551689230122249"</f>
        <v>1551689230122249</v>
      </c>
      <c r="C3368" t="s">
        <v>40</v>
      </c>
      <c r="D3368">
        <v>4.5918549999999998</v>
      </c>
      <c r="E3368">
        <v>0.56562730000000006</v>
      </c>
      <c r="F3368" t="s">
        <v>41</v>
      </c>
      <c r="G3368">
        <v>-189.1643</v>
      </c>
      <c r="H3368">
        <v>1.019161</v>
      </c>
      <c r="I3368">
        <v>198.69239999999999</v>
      </c>
      <c r="J3368">
        <v>-189.0872</v>
      </c>
      <c r="K3368">
        <v>1.103167</v>
      </c>
      <c r="L3368">
        <v>199.24590000000001</v>
      </c>
      <c r="M3368">
        <v>0.12543869999999999</v>
      </c>
      <c r="N3368">
        <v>-1.557362E-2</v>
      </c>
      <c r="O3368">
        <v>-0.9919791</v>
      </c>
      <c r="P3368">
        <v>9.6526780000000006E-2</v>
      </c>
      <c r="Q3368">
        <v>0.33994570000000002</v>
      </c>
      <c r="R3368">
        <v>-0.93547829999999998</v>
      </c>
      <c r="S3368">
        <v>-0.25561519999999999</v>
      </c>
      <c r="T3368">
        <v>-0.36159000000000002</v>
      </c>
      <c r="U3368">
        <v>-3.370987</v>
      </c>
      <c r="V3368">
        <v>2.8439209999999999E-2</v>
      </c>
      <c r="W3368">
        <v>0.35406349999999998</v>
      </c>
      <c r="X3368">
        <v>0.93478890000000003</v>
      </c>
      <c r="Y3368">
        <v>0.1996108</v>
      </c>
      <c r="Z3368">
        <v>8.8596430000000004E-2</v>
      </c>
      <c r="AA3368">
        <v>0.9758618</v>
      </c>
      <c r="AB3368">
        <v>24</v>
      </c>
      <c r="AC3368">
        <v>-7.7100000000001501E-2</v>
      </c>
      <c r="AD3368">
        <v>-8.4005999999999997E-2</v>
      </c>
      <c r="AE3368">
        <v>-0.55350000000001298</v>
      </c>
      <c r="AF3368">
        <v>0.142704991328615</v>
      </c>
      <c r="AG3368">
        <v>-8.4005999999999997E-2</v>
      </c>
      <c r="AH3368">
        <v>0.52753417104325895</v>
      </c>
      <c r="AI3368">
        <v>98.738973765413306</v>
      </c>
      <c r="AJ3368">
        <v>74.863018639566604</v>
      </c>
      <c r="AK3368">
        <v>0.55291412009858998</v>
      </c>
      <c r="AL3368">
        <v>69.263941036691307</v>
      </c>
      <c r="AM3368">
        <v>88.257420189877493</v>
      </c>
      <c r="AN3368">
        <v>1.0000000191304399</v>
      </c>
    </row>
    <row r="3369" spans="1:40" x14ac:dyDescent="0.25">
      <c r="A3369" t="str">
        <f>"20190304164710153"</f>
        <v>20190304164710153</v>
      </c>
      <c r="B3369" t="str">
        <f>"1551689230141769"</f>
        <v>1551689230141769</v>
      </c>
      <c r="C3369" t="s">
        <v>40</v>
      </c>
      <c r="D3369">
        <v>4.8867190000000003</v>
      </c>
      <c r="E3369">
        <v>0.56676349999999998</v>
      </c>
      <c r="F3369" t="s">
        <v>41</v>
      </c>
      <c r="G3369">
        <v>-189.11660000000001</v>
      </c>
      <c r="H3369">
        <v>1.016532</v>
      </c>
      <c r="I3369">
        <v>198.4855</v>
      </c>
      <c r="J3369">
        <v>-189.07040000000001</v>
      </c>
      <c r="K3369">
        <v>1.103599</v>
      </c>
      <c r="L3369">
        <v>199.0067</v>
      </c>
      <c r="M3369">
        <v>0.1139196</v>
      </c>
      <c r="N3369">
        <v>-1.5456940000000001E-2</v>
      </c>
      <c r="O3369">
        <v>-0.99336979999999997</v>
      </c>
      <c r="P3369">
        <v>8.8575310000000004E-2</v>
      </c>
      <c r="Q3369">
        <v>0.33969959999999999</v>
      </c>
      <c r="R3369">
        <v>-0.93635389999999996</v>
      </c>
      <c r="S3369">
        <v>-0.12919620000000001</v>
      </c>
      <c r="T3369">
        <v>-0.38229039999999997</v>
      </c>
      <c r="U3369">
        <v>-3.3591609999999998</v>
      </c>
      <c r="V3369">
        <v>2.5149729999999999E-2</v>
      </c>
      <c r="W3369">
        <v>0.35379329999999998</v>
      </c>
      <c r="X3369">
        <v>0.93498550000000002</v>
      </c>
      <c r="Y3369">
        <v>0.1516971</v>
      </c>
      <c r="Z3369">
        <v>9.5872100000000002E-2</v>
      </c>
      <c r="AA3369">
        <v>0.98376649999999999</v>
      </c>
      <c r="AB3369">
        <v>24</v>
      </c>
      <c r="AC3369">
        <v>-4.6199999999998902E-2</v>
      </c>
      <c r="AD3369">
        <v>-8.7066999999999894E-2</v>
      </c>
      <c r="AE3369">
        <v>-0.521199999999993</v>
      </c>
      <c r="AF3369">
        <v>0.102444613024263</v>
      </c>
      <c r="AG3369">
        <v>-8.7066999999999894E-2</v>
      </c>
      <c r="AH3369">
        <v>0.498733274764045</v>
      </c>
      <c r="AI3369">
        <v>99.704051901252896</v>
      </c>
      <c r="AJ3369">
        <v>78.392352558536999</v>
      </c>
      <c r="AK3369">
        <v>0.51653696923217396</v>
      </c>
      <c r="AL3369">
        <v>69.280494368873605</v>
      </c>
      <c r="AM3369">
        <v>88.459199627973504</v>
      </c>
      <c r="AN3369">
        <v>1.0000000466271</v>
      </c>
    </row>
    <row r="3370" spans="1:40" x14ac:dyDescent="0.25">
      <c r="A3370" t="str">
        <f>"20190304164710178"</f>
        <v>20190304164710178</v>
      </c>
      <c r="B3370" t="str">
        <f>"1551689230172025"</f>
        <v>1551689230172025</v>
      </c>
      <c r="C3370" t="s">
        <v>40</v>
      </c>
      <c r="D3370">
        <v>4.5239949999999904</v>
      </c>
      <c r="E3370">
        <v>0.5641062</v>
      </c>
      <c r="F3370" t="s">
        <v>41</v>
      </c>
      <c r="G3370">
        <v>-189.10679999999999</v>
      </c>
      <c r="H3370">
        <v>1.0204819999999999</v>
      </c>
      <c r="I3370">
        <v>198.26830000000001</v>
      </c>
      <c r="J3370">
        <v>-189.05420000000001</v>
      </c>
      <c r="K3370">
        <v>1.1040970000000001</v>
      </c>
      <c r="L3370">
        <v>198.73929999999999</v>
      </c>
      <c r="M3370">
        <v>0.1017966</v>
      </c>
      <c r="N3370">
        <v>-1.532499E-2</v>
      </c>
      <c r="O3370">
        <v>-0.99468730000000005</v>
      </c>
      <c r="P3370">
        <v>8.0633179999999999E-2</v>
      </c>
      <c r="Q3370">
        <v>0.33936070000000002</v>
      </c>
      <c r="R3370">
        <v>-0.93719430000000004</v>
      </c>
      <c r="S3370">
        <v>-0.1655731</v>
      </c>
      <c r="T3370">
        <v>-0.37779279999999998</v>
      </c>
      <c r="U3370">
        <v>-3.3566440000000002</v>
      </c>
      <c r="V3370">
        <v>2.1229950000000001E-2</v>
      </c>
      <c r="W3370">
        <v>0.35342400000000002</v>
      </c>
      <c r="X3370">
        <v>0.93522229999999995</v>
      </c>
      <c r="Y3370">
        <v>0.15032119999999999</v>
      </c>
      <c r="Z3370">
        <v>9.4991510000000001E-2</v>
      </c>
      <c r="AA3370">
        <v>0.98406309999999997</v>
      </c>
      <c r="AB3370">
        <v>24</v>
      </c>
      <c r="AC3370">
        <v>-5.2599999999983903E-2</v>
      </c>
      <c r="AD3370">
        <v>-8.3614999999999995E-2</v>
      </c>
      <c r="AE3370">
        <v>-0.47099999999997499</v>
      </c>
      <c r="AF3370">
        <v>9.7251328831718803E-2</v>
      </c>
      <c r="AG3370">
        <v>-8.3614999999999995E-2</v>
      </c>
      <c r="AH3370">
        <v>0.44921465037735597</v>
      </c>
      <c r="AI3370">
        <v>100.310579851361</v>
      </c>
      <c r="AJ3370">
        <v>77.7844425955265</v>
      </c>
      <c r="AK3370">
        <v>0.467164950845187</v>
      </c>
      <c r="AL3370">
        <v>69.303113977732906</v>
      </c>
      <c r="AM3370">
        <v>88.699584408651006</v>
      </c>
      <c r="AN3370">
        <v>0.99999999248514604</v>
      </c>
    </row>
    <row r="3371" spans="1:40" x14ac:dyDescent="0.25">
      <c r="A3371" t="str">
        <f>"20190304164710199"</f>
        <v>20190304164710199</v>
      </c>
      <c r="B3371" t="str">
        <f>"1551689230192521"</f>
        <v>1551689230192521</v>
      </c>
      <c r="C3371" t="s">
        <v>40</v>
      </c>
      <c r="D3371">
        <v>4.5190049999999999</v>
      </c>
      <c r="E3371">
        <v>0.56253719999999996</v>
      </c>
      <c r="F3371" t="s">
        <v>41</v>
      </c>
      <c r="G3371">
        <v>-189.1002</v>
      </c>
      <c r="H3371">
        <v>1.0037780000000001</v>
      </c>
      <c r="I3371">
        <v>197.84620000000001</v>
      </c>
      <c r="J3371">
        <v>-189.04249999999999</v>
      </c>
      <c r="K3371">
        <v>1.104511</v>
      </c>
      <c r="L3371">
        <v>198.51499999999999</v>
      </c>
      <c r="M3371">
        <v>9.2173870000000005E-2</v>
      </c>
      <c r="N3371">
        <v>-1.521641E-2</v>
      </c>
      <c r="O3371">
        <v>-0.99562669999999998</v>
      </c>
      <c r="P3371">
        <v>7.5291860000000002E-2</v>
      </c>
      <c r="Q3371">
        <v>0.340879299999999</v>
      </c>
      <c r="R3371">
        <v>-0.93708709999999995</v>
      </c>
      <c r="S3371">
        <v>-0.17237849999999999</v>
      </c>
      <c r="T3371">
        <v>-0.37646879999999999</v>
      </c>
      <c r="U3371">
        <v>-3.3522029999999998</v>
      </c>
      <c r="V3371">
        <v>1.711785E-2</v>
      </c>
      <c r="W3371">
        <v>0.35491470000000003</v>
      </c>
      <c r="X3371">
        <v>0.93474199999999996</v>
      </c>
      <c r="Y3371">
        <v>0.142823799999999</v>
      </c>
      <c r="Z3371">
        <v>9.5076720000000003E-2</v>
      </c>
      <c r="AA3371">
        <v>0.98517100000000002</v>
      </c>
      <c r="AB3371">
        <v>24</v>
      </c>
      <c r="AC3371">
        <v>-5.7700000000011097E-2</v>
      </c>
      <c r="AD3371">
        <v>-0.100732999999999</v>
      </c>
      <c r="AE3371">
        <v>-0.66879999999997597</v>
      </c>
      <c r="AF3371">
        <v>0.116484331489971</v>
      </c>
      <c r="AG3371">
        <v>-0.100732999999999</v>
      </c>
      <c r="AH3371">
        <v>0.64608460729877004</v>
      </c>
      <c r="AI3371">
        <v>98.723380700846107</v>
      </c>
      <c r="AJ3371">
        <v>79.779783526934693</v>
      </c>
      <c r="AK3371">
        <v>0.66418450490813996</v>
      </c>
      <c r="AL3371">
        <v>69.211784146348194</v>
      </c>
      <c r="AM3371">
        <v>88.950864578374393</v>
      </c>
      <c r="AN3371">
        <v>1.0000000358143499</v>
      </c>
    </row>
    <row r="3372" spans="1:40" x14ac:dyDescent="0.25">
      <c r="A3372" t="str">
        <f>"20190304164710221"</f>
        <v>20190304164710221</v>
      </c>
      <c r="B3372" t="str">
        <f>"1551689230212058"</f>
        <v>1551689230212058</v>
      </c>
      <c r="C3372" t="s">
        <v>40</v>
      </c>
      <c r="D3372">
        <v>4.5335939999999999</v>
      </c>
      <c r="E3372">
        <v>0.56137130000000002</v>
      </c>
      <c r="F3372" t="s">
        <v>41</v>
      </c>
      <c r="G3372">
        <v>-189.08940000000001</v>
      </c>
      <c r="H3372">
        <v>1.004821</v>
      </c>
      <c r="I3372">
        <v>197.63210000000001</v>
      </c>
      <c r="J3372">
        <v>-189.03200000000001</v>
      </c>
      <c r="K3372">
        <v>1.104895</v>
      </c>
      <c r="L3372">
        <v>198.2807</v>
      </c>
      <c r="M3372">
        <v>8.2589940000000001E-2</v>
      </c>
      <c r="N3372">
        <v>-1.5108689999999999E-2</v>
      </c>
      <c r="O3372">
        <v>-0.9964691</v>
      </c>
      <c r="P3372">
        <v>6.9972259999999994E-2</v>
      </c>
      <c r="Q3372">
        <v>0.34305010000000002</v>
      </c>
      <c r="R3372">
        <v>-0.93670759999999997</v>
      </c>
      <c r="S3372">
        <v>-0.1778412</v>
      </c>
      <c r="T3372">
        <v>-0.3785155</v>
      </c>
      <c r="U3372">
        <v>-3.3533629999999999</v>
      </c>
      <c r="V3372">
        <v>1.3057340000000001E-2</v>
      </c>
      <c r="W3372">
        <v>0.35704560000000002</v>
      </c>
      <c r="X3372">
        <v>0.93399569999999998</v>
      </c>
      <c r="Y3372">
        <v>0.1348839</v>
      </c>
      <c r="Z3372">
        <v>9.5940869999999998E-2</v>
      </c>
      <c r="AA3372">
        <v>0.98620569999999996</v>
      </c>
      <c r="AB3372">
        <v>24</v>
      </c>
      <c r="AC3372">
        <v>-5.74000000000012E-2</v>
      </c>
      <c r="AD3372">
        <v>-0.100074</v>
      </c>
      <c r="AE3372">
        <v>-0.64859999999998696</v>
      </c>
      <c r="AF3372">
        <v>0.108221490858168</v>
      </c>
      <c r="AG3372">
        <v>-0.100074</v>
      </c>
      <c r="AH3372">
        <v>0.62683585664614605</v>
      </c>
      <c r="AI3372">
        <v>98.940607275954704</v>
      </c>
      <c r="AJ3372">
        <v>80.204603171575798</v>
      </c>
      <c r="AK3372">
        <v>0.64393313918206796</v>
      </c>
      <c r="AL3372">
        <v>69.081133571591096</v>
      </c>
      <c r="AM3372">
        <v>89.199052264932703</v>
      </c>
      <c r="AN3372">
        <v>1.00000001111286</v>
      </c>
    </row>
    <row r="3373" spans="1:40" x14ac:dyDescent="0.25">
      <c r="A3373" t="str">
        <f>"20190304164710243"</f>
        <v>20190304164710243</v>
      </c>
      <c r="B3373" t="str">
        <f>"1551689230232537"</f>
        <v>1551689230232537</v>
      </c>
      <c r="C3373" t="s">
        <v>40</v>
      </c>
      <c r="D3373">
        <v>4.5202239999999998</v>
      </c>
      <c r="E3373">
        <v>0.56026200000000004</v>
      </c>
      <c r="F3373" t="s">
        <v>41</v>
      </c>
      <c r="G3373">
        <v>-189.08070000000001</v>
      </c>
      <c r="H3373">
        <v>1.0103839999999999</v>
      </c>
      <c r="I3373">
        <v>197.41589999999999</v>
      </c>
      <c r="J3373">
        <v>-189.0232</v>
      </c>
      <c r="K3373">
        <v>1.1052329999999999</v>
      </c>
      <c r="L3373">
        <v>198.04490000000001</v>
      </c>
      <c r="M3373">
        <v>7.3419449999999997E-2</v>
      </c>
      <c r="N3373">
        <v>-1.5007380000000001E-2</v>
      </c>
      <c r="O3373">
        <v>-0.99718830000000003</v>
      </c>
      <c r="P3373">
        <v>6.6865850000000004E-2</v>
      </c>
      <c r="Q3373">
        <v>0.34491070000000001</v>
      </c>
      <c r="R3373">
        <v>-0.93625069999999999</v>
      </c>
      <c r="S3373">
        <v>-0.18818660000000001</v>
      </c>
      <c r="T3373">
        <v>-0.36584159999999999</v>
      </c>
      <c r="U3373">
        <v>-3.3506930000000001</v>
      </c>
      <c r="V3373">
        <v>7.2261819999999899E-3</v>
      </c>
      <c r="W3373">
        <v>0.35889149999999997</v>
      </c>
      <c r="X3373">
        <v>0.93335129999999999</v>
      </c>
      <c r="Y3373">
        <v>0.1288726</v>
      </c>
      <c r="Z3373">
        <v>9.2601450000000002E-2</v>
      </c>
      <c r="AA3373">
        <v>0.98732810000000004</v>
      </c>
      <c r="AB3373">
        <v>24</v>
      </c>
      <c r="AC3373">
        <v>-5.7500000000004499E-2</v>
      </c>
      <c r="AD3373">
        <v>-9.4848999999999906E-2</v>
      </c>
      <c r="AE3373">
        <v>-0.62900000000001899</v>
      </c>
      <c r="AF3373">
        <v>0.101247660157584</v>
      </c>
      <c r="AG3373">
        <v>-9.4848999999999906E-2</v>
      </c>
      <c r="AH3373">
        <v>0.60933923704033299</v>
      </c>
      <c r="AI3373">
        <v>98.729779996337498</v>
      </c>
      <c r="AJ3373">
        <v>80.565938875200104</v>
      </c>
      <c r="AK3373">
        <v>0.62493337827746098</v>
      </c>
      <c r="AL3373">
        <v>68.967864887068103</v>
      </c>
      <c r="AM3373">
        <v>89.556414119344296</v>
      </c>
      <c r="AN3373">
        <v>0.99999998784511801</v>
      </c>
    </row>
    <row r="3374" spans="1:40" x14ac:dyDescent="0.25">
      <c r="A3374" t="str">
        <f>"20190304164710267"</f>
        <v>20190304164710267</v>
      </c>
      <c r="B3374" t="str">
        <f>"1551689230261818"</f>
        <v>1551689230261818</v>
      </c>
      <c r="C3374" t="s">
        <v>40</v>
      </c>
      <c r="D3374">
        <v>4.4849110000000003</v>
      </c>
      <c r="E3374">
        <v>0.55852299999999999</v>
      </c>
      <c r="F3374" t="s">
        <v>41</v>
      </c>
      <c r="G3374">
        <v>-189.07230000000001</v>
      </c>
      <c r="H3374">
        <v>1.0153909999999999</v>
      </c>
      <c r="I3374">
        <v>197.2004</v>
      </c>
      <c r="J3374">
        <v>-189.01570000000001</v>
      </c>
      <c r="K3374">
        <v>1.1055729999999999</v>
      </c>
      <c r="L3374">
        <v>197.79169999999999</v>
      </c>
      <c r="M3374">
        <v>6.4106150000000001E-2</v>
      </c>
      <c r="N3374">
        <v>-1.490354E-2</v>
      </c>
      <c r="O3374">
        <v>-0.99783180000000005</v>
      </c>
      <c r="P3374">
        <v>6.4578120000000003E-2</v>
      </c>
      <c r="Q3374">
        <v>0.34654940000000001</v>
      </c>
      <c r="R3374">
        <v>-0.93580620000000003</v>
      </c>
      <c r="S3374">
        <v>-0.1943512</v>
      </c>
      <c r="T3374">
        <v>-0.35611490000000001</v>
      </c>
      <c r="U3374">
        <v>-3.349335</v>
      </c>
      <c r="V3374">
        <v>4.5605519999999998E-4</v>
      </c>
      <c r="W3374">
        <v>0.36051820000000001</v>
      </c>
      <c r="X3374">
        <v>0.93275209999999997</v>
      </c>
      <c r="Y3374">
        <v>0.12146899999999999</v>
      </c>
      <c r="Z3374">
        <v>9.0063850000000001E-2</v>
      </c>
      <c r="AA3374">
        <v>0.98850079999999996</v>
      </c>
      <c r="AB3374">
        <v>24</v>
      </c>
      <c r="AC3374">
        <v>-5.6600000000003002E-2</v>
      </c>
      <c r="AD3374">
        <v>-9.0181999999999901E-2</v>
      </c>
      <c r="AE3374">
        <v>-0.59129999999998895</v>
      </c>
      <c r="AF3374">
        <v>9.2267014360751104E-2</v>
      </c>
      <c r="AG3374">
        <v>-9.0181999999999901E-2</v>
      </c>
      <c r="AH3374">
        <v>0.57324169010819903</v>
      </c>
      <c r="AI3374">
        <v>98.828650876422699</v>
      </c>
      <c r="AJ3374">
        <v>80.856291873713403</v>
      </c>
      <c r="AK3374">
        <v>0.58758150952965704</v>
      </c>
      <c r="AL3374">
        <v>68.867976806273504</v>
      </c>
      <c r="AM3374">
        <v>89.971986087082698</v>
      </c>
      <c r="AN3374">
        <v>1.0000000302859899</v>
      </c>
    </row>
    <row r="3375" spans="1:40" x14ac:dyDescent="0.25">
      <c r="A3375" t="str">
        <f>"20190304164710289"</f>
        <v>20190304164710289</v>
      </c>
      <c r="B3375" t="str">
        <f>"1551689230282314"</f>
        <v>1551689230282314</v>
      </c>
      <c r="C3375" t="s">
        <v>40</v>
      </c>
      <c r="D3375">
        <v>4.4572289999999999</v>
      </c>
      <c r="E3375">
        <v>0.55734879999999998</v>
      </c>
      <c r="F3375" t="s">
        <v>41</v>
      </c>
      <c r="G3375">
        <v>-189.06209999999999</v>
      </c>
      <c r="H3375">
        <v>1.0209950000000001</v>
      </c>
      <c r="I3375">
        <v>196.98500000000001</v>
      </c>
      <c r="J3375">
        <v>-189.01</v>
      </c>
      <c r="K3375">
        <v>1.1059049999999999</v>
      </c>
      <c r="L3375">
        <v>197.54570000000001</v>
      </c>
      <c r="M3375">
        <v>5.5561560000000003E-2</v>
      </c>
      <c r="N3375">
        <v>-1.4804640000000001E-2</v>
      </c>
      <c r="O3375">
        <v>-0.9983455</v>
      </c>
      <c r="P3375">
        <v>6.1894339999999999E-2</v>
      </c>
      <c r="Q3375">
        <v>0.35026040000000003</v>
      </c>
      <c r="R3375">
        <v>-0.93460529999999997</v>
      </c>
      <c r="S3375">
        <v>-0.19287109999999999</v>
      </c>
      <c r="T3375">
        <v>-0.35102050000000001</v>
      </c>
      <c r="U3375">
        <v>-3.349091</v>
      </c>
      <c r="V3375">
        <v>-5.195234E-3</v>
      </c>
      <c r="W3375">
        <v>0.36418479999999998</v>
      </c>
      <c r="X3375">
        <v>0.93131229999999998</v>
      </c>
      <c r="Y3375">
        <v>0.11255270000000001</v>
      </c>
      <c r="Z3375">
        <v>8.8823059999999995E-2</v>
      </c>
      <c r="AA3375">
        <v>0.98966779999999999</v>
      </c>
      <c r="AB3375">
        <v>24</v>
      </c>
      <c r="AC3375">
        <v>-5.2099999999995802E-2</v>
      </c>
      <c r="AD3375">
        <v>-8.4909999999999805E-2</v>
      </c>
      <c r="AE3375">
        <v>-0.56069999999999698</v>
      </c>
      <c r="AF3375">
        <v>8.1327190026076093E-2</v>
      </c>
      <c r="AG3375">
        <v>-8.4909999999999805E-2</v>
      </c>
      <c r="AH3375">
        <v>0.544557293668395</v>
      </c>
      <c r="AI3375">
        <v>98.766777906589795</v>
      </c>
      <c r="AJ3375">
        <v>81.505911911169704</v>
      </c>
      <c r="AK3375">
        <v>0.55710543528580303</v>
      </c>
      <c r="AL3375">
        <v>68.642579265900395</v>
      </c>
      <c r="AM3375">
        <v>90.319615551308502</v>
      </c>
      <c r="AN3375">
        <v>1.00000007956931</v>
      </c>
    </row>
    <row r="3376" spans="1:40" x14ac:dyDescent="0.25">
      <c r="A3376" t="str">
        <f>"20190304164710311"</f>
        <v>20190304164710311</v>
      </c>
      <c r="B3376" t="str">
        <f>"1551689230301836"</f>
        <v>1551689230301836</v>
      </c>
      <c r="C3376" t="s">
        <v>40</v>
      </c>
      <c r="D3376">
        <v>4.4717580000000003</v>
      </c>
      <c r="E3376">
        <v>0.55617220000000001</v>
      </c>
      <c r="F3376" t="s">
        <v>41</v>
      </c>
      <c r="G3376">
        <v>-189.0549</v>
      </c>
      <c r="H3376">
        <v>1.0275570000000001</v>
      </c>
      <c r="I3376">
        <v>196.76920000000001</v>
      </c>
      <c r="J3376">
        <v>-189.0061</v>
      </c>
      <c r="K3376">
        <v>1.1062399999999999</v>
      </c>
      <c r="L3376">
        <v>197.31729999999999</v>
      </c>
      <c r="M3376">
        <v>4.807032E-2</v>
      </c>
      <c r="N3376">
        <v>-1.471562E-2</v>
      </c>
      <c r="O3376">
        <v>-0.9987357</v>
      </c>
      <c r="P3376">
        <v>5.9212069999999999E-2</v>
      </c>
      <c r="Q3376">
        <v>0.35462830000000001</v>
      </c>
      <c r="R3376">
        <v>-0.93313069999999998</v>
      </c>
      <c r="S3376">
        <v>-0.19302369999999999</v>
      </c>
      <c r="T3376">
        <v>-0.33773950000000003</v>
      </c>
      <c r="U3376">
        <v>-3.3492890000000002</v>
      </c>
      <c r="V3376">
        <v>-9.8383069999999993E-3</v>
      </c>
      <c r="W3376">
        <v>0.36849300000000001</v>
      </c>
      <c r="X3376">
        <v>0.92957849999999997</v>
      </c>
      <c r="Y3376">
        <v>0.1051661</v>
      </c>
      <c r="Z3376">
        <v>8.5123630000000006E-2</v>
      </c>
      <c r="AA3376">
        <v>0.99080469999999998</v>
      </c>
      <c r="AB3376">
        <v>24</v>
      </c>
      <c r="AC3376">
        <v>-4.8799999999999899E-2</v>
      </c>
      <c r="AD3376">
        <v>-7.8682999999999795E-2</v>
      </c>
      <c r="AE3376">
        <v>-0.54809999999997605</v>
      </c>
      <c r="AF3376">
        <v>7.3589144444188903E-2</v>
      </c>
      <c r="AG3376">
        <v>-7.8682999999999795E-2</v>
      </c>
      <c r="AH3376">
        <v>0.53419782204383504</v>
      </c>
      <c r="AI3376">
        <v>98.301664557660104</v>
      </c>
      <c r="AJ3376">
        <v>82.156508511618497</v>
      </c>
      <c r="AK3376">
        <v>0.54495292433879505</v>
      </c>
      <c r="AL3376">
        <v>68.377294130617202</v>
      </c>
      <c r="AM3376">
        <v>90.606374204073404</v>
      </c>
      <c r="AN3376">
        <v>1.0000000354979299</v>
      </c>
    </row>
    <row r="3377" spans="1:40" x14ac:dyDescent="0.25">
      <c r="A3377" t="str">
        <f>"20190304164710333"</f>
        <v>20190304164710333</v>
      </c>
      <c r="B3377" t="str">
        <f>"1551689230322329"</f>
        <v>1551689230322329</v>
      </c>
      <c r="C3377" t="s">
        <v>40</v>
      </c>
      <c r="D3377">
        <v>4.4908760000000001</v>
      </c>
      <c r="E3377">
        <v>0.55515559999999997</v>
      </c>
      <c r="F3377" t="s">
        <v>41</v>
      </c>
      <c r="G3377">
        <v>-189.04949999999999</v>
      </c>
      <c r="H3377">
        <v>1.0322480000000001</v>
      </c>
      <c r="I3377">
        <v>196.55449999999999</v>
      </c>
      <c r="J3377">
        <v>-189.0035</v>
      </c>
      <c r="K3377">
        <v>1.1065910000000001</v>
      </c>
      <c r="L3377">
        <v>197.0874</v>
      </c>
      <c r="M3377">
        <v>4.094213E-2</v>
      </c>
      <c r="N3377">
        <v>-1.4630529999999999E-2</v>
      </c>
      <c r="O3377">
        <v>-0.99905460000000001</v>
      </c>
      <c r="P3377">
        <v>5.6871289999999998E-2</v>
      </c>
      <c r="Q3377">
        <v>0.3578035</v>
      </c>
      <c r="R3377">
        <v>-0.93206369999999905</v>
      </c>
      <c r="S3377">
        <v>-0.19070429999999999</v>
      </c>
      <c r="T3377">
        <v>-0.32497809999999999</v>
      </c>
      <c r="U3377">
        <v>-3.350571</v>
      </c>
      <c r="V3377">
        <v>-1.447566E-2</v>
      </c>
      <c r="W3377">
        <v>0.37161110000000003</v>
      </c>
      <c r="X3377">
        <v>0.92827559999999998</v>
      </c>
      <c r="Y3377">
        <v>9.7388559999999999E-2</v>
      </c>
      <c r="Z3377">
        <v>8.1521369999999996E-2</v>
      </c>
      <c r="AA3377">
        <v>0.99190210000000001</v>
      </c>
      <c r="AB3377">
        <v>24</v>
      </c>
      <c r="AC3377">
        <v>-4.59999999999922E-2</v>
      </c>
      <c r="AD3377">
        <v>-7.4342999999999798E-2</v>
      </c>
      <c r="AE3377">
        <v>-0.53290000000001203</v>
      </c>
      <c r="AF3377">
        <v>6.6497213064466001E-2</v>
      </c>
      <c r="AG3377">
        <v>-7.4342999999999798E-2</v>
      </c>
      <c r="AH3377">
        <v>0.52051418669852001</v>
      </c>
      <c r="AI3377">
        <v>98.063693730991304</v>
      </c>
      <c r="AJ3377">
        <v>82.719731932763295</v>
      </c>
      <c r="AK3377">
        <v>0.52998469746659904</v>
      </c>
      <c r="AL3377">
        <v>68.184987004238906</v>
      </c>
      <c r="AM3377">
        <v>90.893406013848093</v>
      </c>
      <c r="AN3377">
        <v>0.99999997196550205</v>
      </c>
    </row>
    <row r="3378" spans="1:40" x14ac:dyDescent="0.25">
      <c r="A3378" t="str">
        <f>"20190304164710355"</f>
        <v>20190304164710355</v>
      </c>
      <c r="B3378" t="str">
        <f>"1551689230352586"</f>
        <v>1551689230352586</v>
      </c>
      <c r="C3378" t="s">
        <v>40</v>
      </c>
      <c r="D3378">
        <v>4.3927800000000001</v>
      </c>
      <c r="E3378">
        <v>0.55367390000000005</v>
      </c>
      <c r="F3378" t="s">
        <v>41</v>
      </c>
      <c r="G3378">
        <v>-189.0461</v>
      </c>
      <c r="H3378">
        <v>1.0358969999999901</v>
      </c>
      <c r="I3378">
        <v>196.34059999999999</v>
      </c>
      <c r="J3378">
        <v>-189.00190000000001</v>
      </c>
      <c r="K3378">
        <v>1.1069530000000001</v>
      </c>
      <c r="L3378">
        <v>196.85220000000001</v>
      </c>
      <c r="M3378">
        <v>3.4101380000000001E-2</v>
      </c>
      <c r="N3378">
        <v>-1.4548810000000001E-2</v>
      </c>
      <c r="O3378">
        <v>-0.9993128</v>
      </c>
      <c r="P3378">
        <v>5.6004279999999997E-2</v>
      </c>
      <c r="Q3378">
        <v>0.35996820000000002</v>
      </c>
      <c r="R3378">
        <v>-0.93128250000000001</v>
      </c>
      <c r="S3378">
        <v>-0.190918</v>
      </c>
      <c r="T3378">
        <v>-0.31718960000000002</v>
      </c>
      <c r="U3378">
        <v>-3.3520810000000001</v>
      </c>
      <c r="V3378">
        <v>-2.0314530000000001E-2</v>
      </c>
      <c r="W3378">
        <v>0.37373149999999999</v>
      </c>
      <c r="X3378">
        <v>0.92731450000000004</v>
      </c>
      <c r="Y3378">
        <v>9.0628070000000005E-2</v>
      </c>
      <c r="Z3378">
        <v>7.934426E-2</v>
      </c>
      <c r="AA3378">
        <v>0.99271900000000002</v>
      </c>
      <c r="AB3378">
        <v>24</v>
      </c>
      <c r="AC3378">
        <v>-4.4199999999989303E-2</v>
      </c>
      <c r="AD3378">
        <v>-7.1056000000000202E-2</v>
      </c>
      <c r="AE3378">
        <v>-0.51160000000001504</v>
      </c>
      <c r="AF3378">
        <v>6.0464650471708598E-2</v>
      </c>
      <c r="AG3378">
        <v>-7.1056000000000202E-2</v>
      </c>
      <c r="AH3378">
        <v>0.50021706136663702</v>
      </c>
      <c r="AI3378">
        <v>98.027134355551695</v>
      </c>
      <c r="AJ3378">
        <v>83.107706495387703</v>
      </c>
      <c r="AK3378">
        <v>0.50884382434587905</v>
      </c>
      <c r="AL3378">
        <v>68.054067636508805</v>
      </c>
      <c r="AM3378">
        <v>91.254968719414705</v>
      </c>
      <c r="AN3378">
        <v>1.0000000480658</v>
      </c>
    </row>
    <row r="3379" spans="1:40" x14ac:dyDescent="0.25">
      <c r="A3379" t="str">
        <f>"20190304164710377"</f>
        <v>20190304164710377</v>
      </c>
      <c r="B3379" t="str">
        <f>"1551689230372105"</f>
        <v>1551689230372105</v>
      </c>
      <c r="C3379" t="s">
        <v>40</v>
      </c>
      <c r="D3379">
        <v>4.4902410000000001</v>
      </c>
      <c r="E3379">
        <v>0.54238679999999995</v>
      </c>
      <c r="F3379" t="s">
        <v>41</v>
      </c>
      <c r="G3379">
        <v>-189.05410000000001</v>
      </c>
      <c r="H3379">
        <v>1.021819</v>
      </c>
      <c r="I3379">
        <v>195.92410000000001</v>
      </c>
      <c r="J3379">
        <v>-189.0016</v>
      </c>
      <c r="K3379">
        <v>1.1073</v>
      </c>
      <c r="L3379">
        <v>196.60560000000001</v>
      </c>
      <c r="M3379">
        <v>2.7431480000000001E-2</v>
      </c>
      <c r="N3379">
        <v>-1.446879E-2</v>
      </c>
      <c r="O3379">
        <v>-0.99951900000000005</v>
      </c>
      <c r="P3379">
        <v>5.3694350000000002E-2</v>
      </c>
      <c r="Q3379">
        <v>0.36110229999999999</v>
      </c>
      <c r="R3379">
        <v>-0.930979</v>
      </c>
      <c r="S3379">
        <v>-0.1881256</v>
      </c>
      <c r="T3379">
        <v>-0.30731180000000002</v>
      </c>
      <c r="U3379">
        <v>-3.351486</v>
      </c>
      <c r="V3379">
        <v>-2.453493E-2</v>
      </c>
      <c r="W3379">
        <v>0.37480429999999998</v>
      </c>
      <c r="X3379">
        <v>0.92677929999999997</v>
      </c>
      <c r="Y3379">
        <v>8.3185190000000006E-2</v>
      </c>
      <c r="Z3379">
        <v>7.6601219999999998E-2</v>
      </c>
      <c r="AA3379">
        <v>0.99358559999999996</v>
      </c>
      <c r="AB3379">
        <v>23</v>
      </c>
      <c r="AC3379">
        <v>-5.2500000000008998E-2</v>
      </c>
      <c r="AD3379">
        <v>-8.5480999999999904E-2</v>
      </c>
      <c r="AE3379">
        <v>-0.681499999999999</v>
      </c>
      <c r="AF3379">
        <v>7.0080685097240206E-2</v>
      </c>
      <c r="AG3379">
        <v>-8.5480999999999904E-2</v>
      </c>
      <c r="AH3379">
        <v>0.66933476516632295</v>
      </c>
      <c r="AI3379">
        <v>97.2387234279322</v>
      </c>
      <c r="AJ3379">
        <v>84.022795820799701</v>
      </c>
      <c r="AK3379">
        <v>0.67840056872393295</v>
      </c>
      <c r="AL3379">
        <v>67.987783221963497</v>
      </c>
      <c r="AM3379">
        <v>91.516455619623599</v>
      </c>
      <c r="AN3379">
        <v>1.0000000484985401</v>
      </c>
    </row>
    <row r="3380" spans="1:40" x14ac:dyDescent="0.25">
      <c r="A3380" t="str">
        <f>"20190304164710401"</f>
        <v>20190304164710401</v>
      </c>
      <c r="B3380" t="str">
        <f>"1551689230392601"</f>
        <v>1551689230392601</v>
      </c>
      <c r="C3380" t="s">
        <v>40</v>
      </c>
      <c r="D3380">
        <v>4.4878080000000002</v>
      </c>
      <c r="E3380">
        <v>0.54222349999999997</v>
      </c>
      <c r="F3380" t="s">
        <v>41</v>
      </c>
      <c r="G3380">
        <v>-189.02979999999999</v>
      </c>
      <c r="H3380">
        <v>1.013112</v>
      </c>
      <c r="I3380">
        <v>195.71770000000001</v>
      </c>
      <c r="J3380">
        <v>-189.00229999999999</v>
      </c>
      <c r="K3380">
        <v>1.107583</v>
      </c>
      <c r="L3380">
        <v>196.36279999999999</v>
      </c>
      <c r="M3380">
        <v>2.1247530000000001E-2</v>
      </c>
      <c r="N3380">
        <v>-1.4396910000000001E-2</v>
      </c>
      <c r="O3380">
        <v>-0.99967059999999996</v>
      </c>
      <c r="P3380">
        <v>4.918699E-2</v>
      </c>
      <c r="Q3380">
        <v>0.36274679999999998</v>
      </c>
      <c r="R3380">
        <v>-0.93058879999999999</v>
      </c>
      <c r="S3380">
        <v>-0.10713200000000001</v>
      </c>
      <c r="T3380">
        <v>-0.3572012</v>
      </c>
      <c r="U3380">
        <v>-3.3671259999999998</v>
      </c>
      <c r="V3380">
        <v>-2.6036879999999998E-2</v>
      </c>
      <c r="W3380">
        <v>0.37636649999999999</v>
      </c>
      <c r="X3380">
        <v>0.92610499999999996</v>
      </c>
      <c r="Y3380">
        <v>5.2854779999999997E-2</v>
      </c>
      <c r="Z3380">
        <v>9.1024759999999996E-2</v>
      </c>
      <c r="AA3380">
        <v>0.99444500000000002</v>
      </c>
      <c r="AB3380">
        <v>23</v>
      </c>
      <c r="AC3380">
        <v>-2.75000000000034E-2</v>
      </c>
      <c r="AD3380">
        <v>-9.4470999999999902E-2</v>
      </c>
      <c r="AE3380">
        <v>-0.64509999999998502</v>
      </c>
      <c r="AF3380">
        <v>4.0338469648901303E-2</v>
      </c>
      <c r="AG3380">
        <v>-9.4470999999999902E-2</v>
      </c>
      <c r="AH3380">
        <v>0.63086508182231005</v>
      </c>
      <c r="AI3380">
        <v>98.499560152707303</v>
      </c>
      <c r="AJ3380">
        <v>86.341401660763097</v>
      </c>
      <c r="AK3380">
        <v>0.63917346114907303</v>
      </c>
      <c r="AL3380">
        <v>67.891205455262906</v>
      </c>
      <c r="AM3380">
        <v>91.610411856149</v>
      </c>
      <c r="AN3380">
        <v>1.0000000662336901</v>
      </c>
    </row>
    <row r="3381" spans="1:40" x14ac:dyDescent="0.25">
      <c r="A3381" t="str">
        <f>"20190304164710421"</f>
        <v>20190304164710421</v>
      </c>
      <c r="B3381" t="str">
        <f>"1551689230412121"</f>
        <v>1551689230412121</v>
      </c>
      <c r="C3381" t="s">
        <v>40</v>
      </c>
      <c r="D3381">
        <v>4.5046619999999997</v>
      </c>
      <c r="E3381">
        <v>0.54249820000000004</v>
      </c>
      <c r="F3381" t="s">
        <v>41</v>
      </c>
      <c r="G3381">
        <v>-189.03309999999999</v>
      </c>
      <c r="H3381">
        <v>1.017657</v>
      </c>
      <c r="I3381">
        <v>195.50450000000001</v>
      </c>
      <c r="J3381">
        <v>-189.00380000000001</v>
      </c>
      <c r="K3381">
        <v>1.107799</v>
      </c>
      <c r="L3381">
        <v>196.1431</v>
      </c>
      <c r="M3381">
        <v>1.5977970000000001E-2</v>
      </c>
      <c r="N3381">
        <v>-1.433748E-2</v>
      </c>
      <c r="O3381">
        <v>-0.99976969999999998</v>
      </c>
      <c r="P3381">
        <v>4.5445289999999999E-2</v>
      </c>
      <c r="Q3381">
        <v>0.362645</v>
      </c>
      <c r="R3381">
        <v>-0.93081899999999995</v>
      </c>
      <c r="S3381">
        <v>-0.1198883</v>
      </c>
      <c r="T3381">
        <v>-0.35258099999999998</v>
      </c>
      <c r="U3381">
        <v>-3.3675540000000002</v>
      </c>
      <c r="V3381">
        <v>-2.7393170000000001E-2</v>
      </c>
      <c r="W3381">
        <v>0.37620609999999999</v>
      </c>
      <c r="X3381">
        <v>0.92613100000000004</v>
      </c>
      <c r="Y3381">
        <v>5.1355999999999902E-2</v>
      </c>
      <c r="Z3381">
        <v>8.9734729999999999E-2</v>
      </c>
      <c r="AA3381">
        <v>0.99464079999999999</v>
      </c>
      <c r="AB3381">
        <v>23</v>
      </c>
      <c r="AC3381">
        <v>-2.9299999999977899E-2</v>
      </c>
      <c r="AD3381">
        <v>-9.0141999999999903E-2</v>
      </c>
      <c r="AE3381">
        <v>-0.63859999999999595</v>
      </c>
      <c r="AF3381">
        <v>3.8730751916863898E-2</v>
      </c>
      <c r="AG3381">
        <v>-9.0141999999999903E-2</v>
      </c>
      <c r="AH3381">
        <v>0.62561119342487204</v>
      </c>
      <c r="AI3381">
        <v>98.183652413540003</v>
      </c>
      <c r="AJ3381">
        <v>86.457416201960001</v>
      </c>
      <c r="AK3381">
        <v>0.63325746473810995</v>
      </c>
      <c r="AL3381">
        <v>67.901123708144794</v>
      </c>
      <c r="AM3381">
        <v>91.694204778757097</v>
      </c>
      <c r="AN3381">
        <v>1.00000002230042</v>
      </c>
    </row>
    <row r="3382" spans="1:40" x14ac:dyDescent="0.25">
      <c r="A3382" t="str">
        <f>"20190304164710444"</f>
        <v>20190304164710444</v>
      </c>
      <c r="B3382" t="str">
        <f>"1551689230432618"</f>
        <v>1551689230432618</v>
      </c>
      <c r="C3382" t="s">
        <v>40</v>
      </c>
      <c r="D3382">
        <v>4.5069220000000003</v>
      </c>
      <c r="E3382">
        <v>0.54191089999999997</v>
      </c>
      <c r="F3382" t="s">
        <v>41</v>
      </c>
      <c r="G3382">
        <v>-189.0385</v>
      </c>
      <c r="H3382">
        <v>1.0183450000000001</v>
      </c>
      <c r="I3382">
        <v>195.2936</v>
      </c>
      <c r="J3382">
        <v>-189.00630000000001</v>
      </c>
      <c r="K3382">
        <v>1.1080159999999999</v>
      </c>
      <c r="L3382">
        <v>195.911</v>
      </c>
      <c r="M3382">
        <v>1.0774529999999999E-2</v>
      </c>
      <c r="N3382">
        <v>-1.4278610000000001E-2</v>
      </c>
      <c r="O3382">
        <v>-0.99983999999999995</v>
      </c>
      <c r="P3382">
        <v>4.1684150000000003E-2</v>
      </c>
      <c r="Q3382">
        <v>0.36158109999999999</v>
      </c>
      <c r="R3382">
        <v>-0.93140860000000003</v>
      </c>
      <c r="S3382">
        <v>-0.13740539999999901</v>
      </c>
      <c r="T3382">
        <v>-0.3546549</v>
      </c>
      <c r="U3382">
        <v>-3.3678129999999999</v>
      </c>
      <c r="V3382">
        <v>-2.8677689999999999E-2</v>
      </c>
      <c r="W3382">
        <v>0.37508799999999998</v>
      </c>
      <c r="X3382">
        <v>0.92654550000000002</v>
      </c>
      <c r="Y3382">
        <v>5.1319219999999999E-2</v>
      </c>
      <c r="Z3382">
        <v>9.0392979999999998E-2</v>
      </c>
      <c r="AA3382">
        <v>0.99458310000000005</v>
      </c>
      <c r="AB3382">
        <v>23</v>
      </c>
      <c r="AC3382">
        <v>-3.2199999999988897E-2</v>
      </c>
      <c r="AD3382">
        <v>-8.9670999999999806E-2</v>
      </c>
      <c r="AE3382">
        <v>-0.61739999999997497</v>
      </c>
      <c r="AF3382">
        <v>3.8050521361874499E-2</v>
      </c>
      <c r="AG3382">
        <v>-8.9670999999999806E-2</v>
      </c>
      <c r="AH3382">
        <v>0.60430421875118401</v>
      </c>
      <c r="AI3382">
        <v>98.423927479943004</v>
      </c>
      <c r="AJ3382">
        <v>86.397079717772201</v>
      </c>
      <c r="AK3382">
        <v>0.61210482698422597</v>
      </c>
      <c r="AL3382">
        <v>67.970247904821804</v>
      </c>
      <c r="AM3382">
        <v>91.772806858894498</v>
      </c>
      <c r="AN3382">
        <v>0.99999999060899303</v>
      </c>
    </row>
    <row r="3383" spans="1:40" x14ac:dyDescent="0.25">
      <c r="A3383" t="str">
        <f>"20190304164710459"</f>
        <v>20190304164710459</v>
      </c>
      <c r="B3383" t="str">
        <f>"1551689230452137"</f>
        <v>1551689230452137</v>
      </c>
      <c r="C3383" t="s">
        <v>40</v>
      </c>
      <c r="D3383">
        <v>4.4392589999999998</v>
      </c>
      <c r="E3383">
        <v>0.5414968</v>
      </c>
      <c r="F3383" t="s">
        <v>41</v>
      </c>
      <c r="G3383">
        <v>-189.0438</v>
      </c>
      <c r="H3383">
        <v>1.0196909999999999</v>
      </c>
      <c r="I3383">
        <v>195.08279999999999</v>
      </c>
      <c r="J3383">
        <v>-189.0086</v>
      </c>
      <c r="K3383">
        <v>1.108177</v>
      </c>
      <c r="L3383">
        <v>195.7474</v>
      </c>
      <c r="M3383">
        <v>7.3268329999999996E-3</v>
      </c>
      <c r="N3383">
        <v>-1.4238590000000001E-2</v>
      </c>
      <c r="O3383">
        <v>-0.99987190000000004</v>
      </c>
      <c r="P3383">
        <v>3.856014E-2</v>
      </c>
      <c r="Q3383">
        <v>0.3611183</v>
      </c>
      <c r="R3383">
        <v>-0.93172259999999996</v>
      </c>
      <c r="S3383">
        <v>-0.15193180000000001</v>
      </c>
      <c r="T3383">
        <v>-0.35907830000000002</v>
      </c>
      <c r="U3383">
        <v>-3.367111</v>
      </c>
      <c r="V3383">
        <v>-2.8913390000000001E-2</v>
      </c>
      <c r="W3383">
        <v>0.37458010000000003</v>
      </c>
      <c r="X3383">
        <v>0.9267436</v>
      </c>
      <c r="Y3383">
        <v>5.2160320000000003E-2</v>
      </c>
      <c r="Z3383">
        <v>9.1740379999999996E-2</v>
      </c>
      <c r="AA3383">
        <v>0.99441590000000002</v>
      </c>
      <c r="AB3383">
        <v>23</v>
      </c>
      <c r="AC3383">
        <v>-3.5200000000003201E-2</v>
      </c>
      <c r="AD3383">
        <v>-8.8485999999999995E-2</v>
      </c>
      <c r="AE3383">
        <v>-0.66460000000000696</v>
      </c>
      <c r="AF3383">
        <v>3.9372960178156002E-2</v>
      </c>
      <c r="AG3383">
        <v>-8.8485999999999995E-2</v>
      </c>
      <c r="AH3383">
        <v>0.65278486085513898</v>
      </c>
      <c r="AI3383">
        <v>97.705646452406597</v>
      </c>
      <c r="AJ3383">
        <v>86.548365444534198</v>
      </c>
      <c r="AK3383">
        <v>0.65993035750058804</v>
      </c>
      <c r="AL3383">
        <v>68.0016364185486</v>
      </c>
      <c r="AM3383">
        <v>91.786986207586395</v>
      </c>
      <c r="AN3383">
        <v>0.99999996778913003</v>
      </c>
    </row>
    <row r="3384" spans="1:40" x14ac:dyDescent="0.25">
      <c r="A3384" t="str">
        <f>"20190304164710479"</f>
        <v>20190304164710479</v>
      </c>
      <c r="B3384" t="str">
        <f>"1551689230472633"</f>
        <v>1551689230472633</v>
      </c>
      <c r="C3384" t="s">
        <v>40</v>
      </c>
      <c r="D3384">
        <v>4.5108370000000004</v>
      </c>
      <c r="E3384">
        <v>0.53385819999999995</v>
      </c>
      <c r="F3384" t="s">
        <v>41</v>
      </c>
      <c r="G3384">
        <v>-189.05029999999999</v>
      </c>
      <c r="H3384">
        <v>1.0142089999999999</v>
      </c>
      <c r="I3384">
        <v>194.87569999999999</v>
      </c>
      <c r="J3384">
        <v>-189.0121</v>
      </c>
      <c r="K3384">
        <v>1.108401</v>
      </c>
      <c r="L3384">
        <v>195.53540000000001</v>
      </c>
      <c r="M3384">
        <v>3.1353800000000001E-3</v>
      </c>
      <c r="N3384">
        <v>-1.418849E-2</v>
      </c>
      <c r="O3384">
        <v>-0.99989459999999997</v>
      </c>
      <c r="P3384">
        <v>3.3611960000000003E-2</v>
      </c>
      <c r="Q3384">
        <v>0.36124849999999997</v>
      </c>
      <c r="R3384">
        <v>-0.93186380000000002</v>
      </c>
      <c r="S3384">
        <v>-0.160965</v>
      </c>
      <c r="T3384">
        <v>-0.36298190000000002</v>
      </c>
      <c r="U3384">
        <v>-3.3671720000000001</v>
      </c>
      <c r="V3384">
        <v>-2.8077000000000001E-2</v>
      </c>
      <c r="W3384">
        <v>0.37464019999999998</v>
      </c>
      <c r="X3384">
        <v>0.92674509999999999</v>
      </c>
      <c r="Y3384">
        <v>5.0631080000000002E-2</v>
      </c>
      <c r="Z3384">
        <v>9.2930670000000007E-2</v>
      </c>
      <c r="AA3384">
        <v>0.99438439999999995</v>
      </c>
      <c r="AB3384">
        <v>23</v>
      </c>
      <c r="AC3384">
        <v>-3.8199999999989097E-2</v>
      </c>
      <c r="AD3384">
        <v>-9.4191999999999998E-2</v>
      </c>
      <c r="AE3384">
        <v>-0.65970000000001505</v>
      </c>
      <c r="AF3384">
        <v>3.9466548257047498E-2</v>
      </c>
      <c r="AG3384">
        <v>-9.4191999999999998E-2</v>
      </c>
      <c r="AH3384">
        <v>0.64644254273455903</v>
      </c>
      <c r="AI3384">
        <v>98.274932896771105</v>
      </c>
      <c r="AJ3384">
        <v>86.506319951409196</v>
      </c>
      <c r="AK3384">
        <v>0.65445985541700602</v>
      </c>
      <c r="AL3384">
        <v>67.997924149618001</v>
      </c>
      <c r="AM3384">
        <v>91.735322562974901</v>
      </c>
      <c r="AN3384">
        <v>1.00000003887952</v>
      </c>
    </row>
    <row r="3385" spans="1:40" x14ac:dyDescent="0.25">
      <c r="A3385" t="str">
        <f>"20190304164710501"</f>
        <v>20190304164710501</v>
      </c>
      <c r="B3385" t="str">
        <f>"1551689230492154"</f>
        <v>1551689230492154</v>
      </c>
      <c r="C3385" t="s">
        <v>40</v>
      </c>
      <c r="D3385">
        <v>4.5328900000000001</v>
      </c>
      <c r="E3385">
        <v>0.53642119999999904</v>
      </c>
      <c r="F3385" t="s">
        <v>41</v>
      </c>
      <c r="G3385">
        <v>-189.0446</v>
      </c>
      <c r="H3385">
        <v>1.0363639999999901</v>
      </c>
      <c r="I3385">
        <v>194.65520000000001</v>
      </c>
      <c r="J3385">
        <v>-189.01660000000001</v>
      </c>
      <c r="K3385">
        <v>1.1086659999999999</v>
      </c>
      <c r="L3385">
        <v>195.30330000000001</v>
      </c>
      <c r="M3385">
        <v>-1.112795E-3</v>
      </c>
      <c r="N3385">
        <v>-1.4137459999999999E-2</v>
      </c>
      <c r="O3385">
        <v>-0.99989939999999999</v>
      </c>
      <c r="P3385">
        <v>2.7912329999999999E-2</v>
      </c>
      <c r="Q3385">
        <v>0.36076360000000002</v>
      </c>
      <c r="R3385">
        <v>-0.93223929999999999</v>
      </c>
      <c r="S3385">
        <v>-0.12226869999999999</v>
      </c>
      <c r="T3385">
        <v>-0.27239390000000002</v>
      </c>
      <c r="U3385">
        <v>-3.329361</v>
      </c>
      <c r="V3385">
        <v>-2.6581380000000002E-2</v>
      </c>
      <c r="W3385">
        <v>0.37408269999999999</v>
      </c>
      <c r="X3385">
        <v>0.92701440000000002</v>
      </c>
      <c r="Y3385">
        <v>3.5479940000000001E-2</v>
      </c>
      <c r="Z3385">
        <v>6.7391939999999997E-2</v>
      </c>
      <c r="AA3385">
        <v>0.99709550000000002</v>
      </c>
      <c r="AB3385">
        <v>23</v>
      </c>
      <c r="AC3385">
        <v>-2.79999999999915E-2</v>
      </c>
      <c r="AD3385">
        <v>-7.2302000000000005E-2</v>
      </c>
      <c r="AE3385">
        <v>-0.64809999999999901</v>
      </c>
      <c r="AF3385">
        <v>2.6943998055565001E-2</v>
      </c>
      <c r="AG3385">
        <v>-7.2302000000000005E-2</v>
      </c>
      <c r="AH3385">
        <v>0.64017818839511198</v>
      </c>
      <c r="AI3385">
        <v>96.438053097655995</v>
      </c>
      <c r="AJ3385">
        <v>87.589941665663304</v>
      </c>
      <c r="AK3385">
        <v>0.64481134538100804</v>
      </c>
      <c r="AL3385">
        <v>68.032372105499505</v>
      </c>
      <c r="AM3385">
        <v>91.642459583387904</v>
      </c>
      <c r="AN3385">
        <v>1.00000006700467</v>
      </c>
    </row>
    <row r="3386" spans="1:40" x14ac:dyDescent="0.25">
      <c r="A3386" t="str">
        <f>"20190304164710523"</f>
        <v>20190304164710523</v>
      </c>
      <c r="B3386" t="str">
        <f>"1551689230512649"</f>
        <v>1551689230512649</v>
      </c>
      <c r="C3386" t="s">
        <v>40</v>
      </c>
      <c r="D3386">
        <v>4.5397109999999996</v>
      </c>
      <c r="E3386">
        <v>0.53594619999999904</v>
      </c>
      <c r="F3386" t="s">
        <v>41</v>
      </c>
      <c r="G3386">
        <v>-189.05670000000001</v>
      </c>
      <c r="H3386">
        <v>1.0147389999999901</v>
      </c>
      <c r="I3386">
        <v>194.45689999999999</v>
      </c>
      <c r="J3386">
        <v>-189.0213</v>
      </c>
      <c r="K3386">
        <v>1.1089009999999999</v>
      </c>
      <c r="L3386">
        <v>195.08609999999999</v>
      </c>
      <c r="M3386">
        <v>-4.7805850000000004E-3</v>
      </c>
      <c r="N3386">
        <v>-1.409404E-2</v>
      </c>
      <c r="O3386">
        <v>-0.99988940000000004</v>
      </c>
      <c r="P3386">
        <v>2.440173E-2</v>
      </c>
      <c r="Q3386">
        <v>0.36018470000000002</v>
      </c>
      <c r="R3386">
        <v>-0.932562</v>
      </c>
      <c r="S3386">
        <v>-0.15930179999999999</v>
      </c>
      <c r="T3386">
        <v>-0.3736582</v>
      </c>
      <c r="U3386">
        <v>-3.367432</v>
      </c>
      <c r="V3386">
        <v>-2.6718229999999999E-2</v>
      </c>
      <c r="W3386">
        <v>0.37345020000000001</v>
      </c>
      <c r="X3386">
        <v>0.92726540000000002</v>
      </c>
      <c r="Y3386">
        <v>4.2221300000000003E-2</v>
      </c>
      <c r="Z3386">
        <v>9.6156140000000001E-2</v>
      </c>
      <c r="AA3386">
        <v>0.99447039999999998</v>
      </c>
      <c r="AB3386">
        <v>23</v>
      </c>
      <c r="AC3386">
        <v>-3.5400000000009799E-2</v>
      </c>
      <c r="AD3386">
        <v>-9.4161999999999996E-2</v>
      </c>
      <c r="AE3386">
        <v>-0.62919999999999698</v>
      </c>
      <c r="AF3386">
        <v>3.1683991735385199E-2</v>
      </c>
      <c r="AG3386">
        <v>-9.4161999999999996E-2</v>
      </c>
      <c r="AH3386">
        <v>0.61561807119784995</v>
      </c>
      <c r="AI3386">
        <v>98.684969982954797</v>
      </c>
      <c r="AJ3386">
        <v>87.053759852166706</v>
      </c>
      <c r="AK3386">
        <v>0.62358316779852896</v>
      </c>
      <c r="AL3386">
        <v>68.071442354599895</v>
      </c>
      <c r="AM3386">
        <v>91.650464222102102</v>
      </c>
      <c r="AN3386">
        <v>1.0000000188657601</v>
      </c>
    </row>
    <row r="3387" spans="1:40" x14ac:dyDescent="0.25">
      <c r="A3387" t="str">
        <f>"20190304164710544"</f>
        <v>20190304164710544</v>
      </c>
      <c r="B3387" t="str">
        <f>"1551689230532169"</f>
        <v>1551689230532169</v>
      </c>
      <c r="C3387" t="s">
        <v>40</v>
      </c>
      <c r="D3387">
        <v>4.4894080000000001</v>
      </c>
      <c r="E3387">
        <v>0.53518809999999895</v>
      </c>
      <c r="F3387" t="s">
        <v>41</v>
      </c>
      <c r="G3387">
        <v>-189.06399999999999</v>
      </c>
      <c r="H3387">
        <v>1.015614</v>
      </c>
      <c r="I3387">
        <v>194.24770000000001</v>
      </c>
      <c r="J3387">
        <v>-189.0266</v>
      </c>
      <c r="K3387">
        <v>1.1091470000000001</v>
      </c>
      <c r="L3387">
        <v>194.8579</v>
      </c>
      <c r="M3387">
        <v>-8.2928080000000005E-3</v>
      </c>
      <c r="N3387">
        <v>-1.405228E-2</v>
      </c>
      <c r="O3387">
        <v>-0.99986699999999995</v>
      </c>
      <c r="P3387">
        <v>2.026609E-2</v>
      </c>
      <c r="Q3387">
        <v>0.35936370000000001</v>
      </c>
      <c r="R3387">
        <v>-0.93297759999999996</v>
      </c>
      <c r="S3387">
        <v>-0.1708221</v>
      </c>
      <c r="T3387">
        <v>-0.37453219999999998</v>
      </c>
      <c r="U3387">
        <v>-3.3660739999999998</v>
      </c>
      <c r="V3387">
        <v>-2.6086990000000001E-2</v>
      </c>
      <c r="W3387">
        <v>0.37257509999999999</v>
      </c>
      <c r="X3387">
        <v>0.92763530000000005</v>
      </c>
      <c r="Y3387">
        <v>4.2124660000000001E-2</v>
      </c>
      <c r="Z3387">
        <v>9.6485319999999999E-2</v>
      </c>
      <c r="AA3387">
        <v>0.99444259999999995</v>
      </c>
      <c r="AB3387">
        <v>23</v>
      </c>
      <c r="AC3387">
        <v>-3.7400000000019397E-2</v>
      </c>
      <c r="AD3387">
        <v>-9.3532999999999797E-2</v>
      </c>
      <c r="AE3387">
        <v>-0.61019999999999097</v>
      </c>
      <c r="AF3387">
        <v>3.15983027824897E-2</v>
      </c>
      <c r="AG3387">
        <v>-9.3532999999999797E-2</v>
      </c>
      <c r="AH3387">
        <v>0.59652595405741604</v>
      </c>
      <c r="AI3387">
        <v>98.898929639125299</v>
      </c>
      <c r="AJ3387">
        <v>86.967845369123793</v>
      </c>
      <c r="AK3387">
        <v>0.60464046233430702</v>
      </c>
      <c r="AL3387">
        <v>68.125481551937895</v>
      </c>
      <c r="AM3387">
        <v>91.610849213709201</v>
      </c>
      <c r="AN3387">
        <v>0.99999999299667996</v>
      </c>
    </row>
    <row r="3388" spans="1:40" x14ac:dyDescent="0.25">
      <c r="A3388" t="str">
        <f>"20190304164710568"</f>
        <v>20190304164710568</v>
      </c>
      <c r="B3388" t="str">
        <f>"1551689230562426"</f>
        <v>1551689230562426</v>
      </c>
      <c r="C3388" t="s">
        <v>40</v>
      </c>
      <c r="D3388">
        <v>4.7178469999999999</v>
      </c>
      <c r="E3388">
        <v>0.5349178</v>
      </c>
      <c r="F3388" t="s">
        <v>41</v>
      </c>
      <c r="G3388">
        <v>-189.07050000000001</v>
      </c>
      <c r="H3388">
        <v>1.0174259999999999</v>
      </c>
      <c r="I3388">
        <v>194.0385</v>
      </c>
      <c r="J3388">
        <v>-189.03270000000001</v>
      </c>
      <c r="K3388">
        <v>1.1093930000000001</v>
      </c>
      <c r="L3388">
        <v>194.6156</v>
      </c>
      <c r="M3388">
        <v>-1.163054E-2</v>
      </c>
      <c r="N3388">
        <v>-1.401123E-2</v>
      </c>
      <c r="O3388">
        <v>-0.99983429999999995</v>
      </c>
      <c r="P3388">
        <v>1.3434669999999999E-2</v>
      </c>
      <c r="Q3388">
        <v>0.35991210000000001</v>
      </c>
      <c r="R3388">
        <v>-0.93288959999999999</v>
      </c>
      <c r="S3388">
        <v>-0.18020630000000001</v>
      </c>
      <c r="T3388">
        <v>-0.3766505</v>
      </c>
      <c r="U3388">
        <v>-3.364487</v>
      </c>
      <c r="V3388">
        <v>-2.258597E-2</v>
      </c>
      <c r="W3388">
        <v>0.37305159999999998</v>
      </c>
      <c r="X3388">
        <v>0.92753569999999996</v>
      </c>
      <c r="Y3388">
        <v>4.157607E-2</v>
      </c>
      <c r="Z3388">
        <v>9.718504E-2</v>
      </c>
      <c r="AA3388">
        <v>0.99439759999999999</v>
      </c>
      <c r="AB3388">
        <v>23</v>
      </c>
      <c r="AC3388">
        <v>-3.7800000000004198E-2</v>
      </c>
      <c r="AD3388">
        <v>-9.1967000000000104E-2</v>
      </c>
      <c r="AE3388">
        <v>-0.57710000000000095</v>
      </c>
      <c r="AF3388">
        <v>3.0318135838553601E-2</v>
      </c>
      <c r="AG3388">
        <v>-9.1967000000000104E-2</v>
      </c>
      <c r="AH3388">
        <v>0.56325737221011096</v>
      </c>
      <c r="AI3388">
        <v>99.260084826608704</v>
      </c>
      <c r="AJ3388">
        <v>86.918945767230895</v>
      </c>
      <c r="AK3388">
        <v>0.57152076585086897</v>
      </c>
      <c r="AL3388">
        <v>68.096060207724193</v>
      </c>
      <c r="AM3388">
        <v>91.394905958006305</v>
      </c>
      <c r="AN3388">
        <v>1.00000004853894</v>
      </c>
    </row>
    <row r="3389" spans="1:40" x14ac:dyDescent="0.25">
      <c r="A3389" t="str">
        <f>"20190304164710590"</f>
        <v>20190304164710590</v>
      </c>
      <c r="B3389" t="str">
        <f>"1551689230581948"</f>
        <v>1551689230581948</v>
      </c>
      <c r="C3389" t="s">
        <v>40</v>
      </c>
      <c r="D3389">
        <v>4.634118</v>
      </c>
      <c r="E3389">
        <v>0.54440429999999995</v>
      </c>
      <c r="F3389" t="s">
        <v>41</v>
      </c>
      <c r="G3389">
        <v>-189.07810000000001</v>
      </c>
      <c r="H3389">
        <v>1.021647</v>
      </c>
      <c r="I3389">
        <v>193.82859999999999</v>
      </c>
      <c r="J3389">
        <v>-189.03919999999999</v>
      </c>
      <c r="K3389">
        <v>1.109623</v>
      </c>
      <c r="L3389">
        <v>194.3768</v>
      </c>
      <c r="M3389">
        <v>-1.453174E-2</v>
      </c>
      <c r="N3389">
        <v>-1.397377E-2</v>
      </c>
      <c r="O3389">
        <v>-0.99979680000000004</v>
      </c>
      <c r="P3389">
        <v>6.7050979999999996E-3</v>
      </c>
      <c r="Q3389">
        <v>0.35974390000000001</v>
      </c>
      <c r="R3389">
        <v>-0.9330271</v>
      </c>
      <c r="S3389">
        <v>-0.1932526</v>
      </c>
      <c r="T3389">
        <v>-0.37494620000000001</v>
      </c>
      <c r="U3389">
        <v>-3.363235</v>
      </c>
      <c r="V3389">
        <v>-1.8773399999999999E-2</v>
      </c>
      <c r="W3389">
        <v>0.37282199999999999</v>
      </c>
      <c r="X3389">
        <v>0.92771289999999995</v>
      </c>
      <c r="Y3389">
        <v>4.2543949999999997E-2</v>
      </c>
      <c r="Z3389">
        <v>9.6746840000000001E-2</v>
      </c>
      <c r="AA3389">
        <v>0.99439940000000004</v>
      </c>
      <c r="AB3389">
        <v>23</v>
      </c>
      <c r="AC3389">
        <v>-3.89000000000123E-2</v>
      </c>
      <c r="AD3389">
        <v>-8.7975999999999999E-2</v>
      </c>
      <c r="AE3389">
        <v>-0.54820000000000801</v>
      </c>
      <c r="AF3389">
        <v>3.01560560774215E-2</v>
      </c>
      <c r="AG3389">
        <v>-8.7975999999999999E-2</v>
      </c>
      <c r="AH3389">
        <v>0.53499795683700602</v>
      </c>
      <c r="AI3389">
        <v>99.323705232845597</v>
      </c>
      <c r="AJ3389">
        <v>86.773841234020793</v>
      </c>
      <c r="AK3389">
        <v>0.54302115807205398</v>
      </c>
      <c r="AL3389">
        <v>68.110235997538794</v>
      </c>
      <c r="AM3389">
        <v>91.159291626934404</v>
      </c>
      <c r="AN3389">
        <v>0.99999995452898305</v>
      </c>
    </row>
    <row r="3390" spans="1:40" x14ac:dyDescent="0.25">
      <c r="A3390" t="str">
        <f>"20190304164710612"</f>
        <v>20190304164710612</v>
      </c>
      <c r="B3390" t="str">
        <f>"1551689230602454"</f>
        <v>1551689230602454</v>
      </c>
      <c r="C3390" t="s">
        <v>40</v>
      </c>
      <c r="D3390">
        <v>4.7707499999999996</v>
      </c>
      <c r="E3390">
        <v>0.54987980000000003</v>
      </c>
      <c r="F3390" t="s">
        <v>41</v>
      </c>
      <c r="G3390">
        <v>-189.1037</v>
      </c>
      <c r="H3390">
        <v>1.0251269999999999</v>
      </c>
      <c r="I3390">
        <v>193.61969999999999</v>
      </c>
      <c r="J3390">
        <v>-189.0453</v>
      </c>
      <c r="K3390">
        <v>1.1098239999999999</v>
      </c>
      <c r="L3390">
        <v>194.15629999999999</v>
      </c>
      <c r="M3390">
        <v>-1.6863570000000001E-2</v>
      </c>
      <c r="N3390">
        <v>-1.394189E-2</v>
      </c>
      <c r="O3390">
        <v>-0.99976080000000001</v>
      </c>
      <c r="P3390">
        <v>3.5104279999999999E-3</v>
      </c>
      <c r="Q3390">
        <v>0.35833799999999999</v>
      </c>
      <c r="R3390">
        <v>-0.93358549999999996</v>
      </c>
      <c r="S3390">
        <v>-0.28639219999999999</v>
      </c>
      <c r="T3390">
        <v>-0.37525389999999997</v>
      </c>
      <c r="U3390">
        <v>-3.3620450000000002</v>
      </c>
      <c r="V3390">
        <v>-1.7962200000000001E-2</v>
      </c>
      <c r="W3390">
        <v>0.37138139999999997</v>
      </c>
      <c r="X3390">
        <v>0.92830659999999998</v>
      </c>
      <c r="Y3390">
        <v>6.7603150000000001E-2</v>
      </c>
      <c r="Z3390">
        <v>9.6721020000000005E-2</v>
      </c>
      <c r="AA3390">
        <v>0.99301300000000003</v>
      </c>
      <c r="AB3390">
        <v>23</v>
      </c>
      <c r="AC3390">
        <v>-5.8400000000005899E-2</v>
      </c>
      <c r="AD3390">
        <v>-8.46969999999998E-2</v>
      </c>
      <c r="AE3390">
        <v>-0.53659999999999197</v>
      </c>
      <c r="AF3390">
        <v>4.8156131022236003E-2</v>
      </c>
      <c r="AG3390">
        <v>-8.46969999999998E-2</v>
      </c>
      <c r="AH3390">
        <v>0.52459217367534705</v>
      </c>
      <c r="AI3390">
        <v>99.133681790251799</v>
      </c>
      <c r="AJ3390">
        <v>84.7551031807741</v>
      </c>
      <c r="AK3390">
        <v>0.53356306416904098</v>
      </c>
      <c r="AL3390">
        <v>68.199162131825204</v>
      </c>
      <c r="AM3390">
        <v>91.108502126953297</v>
      </c>
      <c r="AN3390">
        <v>0.99999996424917903</v>
      </c>
    </row>
    <row r="3391" spans="1:40" x14ac:dyDescent="0.25">
      <c r="A3391" t="str">
        <f>"20190304164710634"</f>
        <v>20190304164710634</v>
      </c>
      <c r="B3391" t="str">
        <f>"1551689230631722"</f>
        <v>1551689230631722</v>
      </c>
      <c r="C3391" t="s">
        <v>40</v>
      </c>
      <c r="D3391">
        <v>4.6459710000000003</v>
      </c>
      <c r="E3391">
        <v>0.55646110000000004</v>
      </c>
      <c r="F3391" t="s">
        <v>41</v>
      </c>
      <c r="G3391">
        <v>-189.1207</v>
      </c>
      <c r="H3391">
        <v>1.020988</v>
      </c>
      <c r="I3391">
        <v>193.41489999999999</v>
      </c>
      <c r="J3391">
        <v>-189.05189999999999</v>
      </c>
      <c r="K3391">
        <v>1.110047</v>
      </c>
      <c r="L3391">
        <v>193.9255</v>
      </c>
      <c r="M3391">
        <v>-1.8963150000000002E-2</v>
      </c>
      <c r="N3391">
        <v>-1.391149E-2</v>
      </c>
      <c r="O3391">
        <v>-0.99972349999999999</v>
      </c>
      <c r="P3391">
        <v>5.0168299999999995E-4</v>
      </c>
      <c r="Q3391">
        <v>0.35768080000000002</v>
      </c>
      <c r="R3391">
        <v>-0.93384400000000001</v>
      </c>
      <c r="S3391">
        <v>-0.34156799999999998</v>
      </c>
      <c r="T3391">
        <v>-0.40377079999999999</v>
      </c>
      <c r="U3391">
        <v>-3.3696899999999999</v>
      </c>
      <c r="V3391">
        <v>-1.7127610000000001E-2</v>
      </c>
      <c r="W3391">
        <v>0.37068659999999998</v>
      </c>
      <c r="X3391">
        <v>0.92860010000000004</v>
      </c>
      <c r="Y3391">
        <v>8.1332730000000006E-2</v>
      </c>
      <c r="Z3391">
        <v>0.10463409999999999</v>
      </c>
      <c r="AA3391">
        <v>0.99117949999999999</v>
      </c>
      <c r="AB3391">
        <v>23</v>
      </c>
      <c r="AC3391">
        <v>-6.8800000000010103E-2</v>
      </c>
      <c r="AD3391">
        <v>-8.9058999999999999E-2</v>
      </c>
      <c r="AE3391">
        <v>-0.51060000000001005</v>
      </c>
      <c r="AF3391">
        <v>5.7389316241275301E-2</v>
      </c>
      <c r="AG3391">
        <v>-8.9058999999999999E-2</v>
      </c>
      <c r="AH3391">
        <v>0.49696371112641002</v>
      </c>
      <c r="AI3391">
        <v>100.094225590154</v>
      </c>
      <c r="AJ3391">
        <v>83.412668115881203</v>
      </c>
      <c r="AK3391">
        <v>0.508131842415111</v>
      </c>
      <c r="AL3391">
        <v>68.242032732220594</v>
      </c>
      <c r="AM3391">
        <v>91.056674993329295</v>
      </c>
      <c r="AN3391">
        <v>1.0000000280819401</v>
      </c>
    </row>
    <row r="3392" spans="1:40" x14ac:dyDescent="0.25">
      <c r="A3392" t="str">
        <f>"20190304164710660"</f>
        <v>20190304164710660</v>
      </c>
      <c r="B3392" t="str">
        <f>"1551689230652217"</f>
        <v>1551689230652217</v>
      </c>
      <c r="C3392" t="s">
        <v>40</v>
      </c>
      <c r="D3392">
        <v>4.7153839999999896</v>
      </c>
      <c r="E3392">
        <v>0.55939629999999996</v>
      </c>
      <c r="F3392" t="s">
        <v>41</v>
      </c>
      <c r="G3392">
        <v>-189.1609</v>
      </c>
      <c r="H3392">
        <v>0.99519380000000002</v>
      </c>
      <c r="I3392">
        <v>193.01490000000001</v>
      </c>
      <c r="J3392">
        <v>-189.05930000000001</v>
      </c>
      <c r="K3392">
        <v>1.110303</v>
      </c>
      <c r="L3392">
        <v>193.6694</v>
      </c>
      <c r="M3392">
        <v>-2.086373E-2</v>
      </c>
      <c r="N3392">
        <v>-1.388173E-2</v>
      </c>
      <c r="O3392">
        <v>-0.99968590000000002</v>
      </c>
      <c r="P3392">
        <v>-2.9984019999999998E-3</v>
      </c>
      <c r="Q3392">
        <v>0.35760589999999998</v>
      </c>
      <c r="R3392">
        <v>-0.93386789999999997</v>
      </c>
      <c r="S3392">
        <v>-0.40347290000000002</v>
      </c>
      <c r="T3392">
        <v>-0.42580829999999997</v>
      </c>
      <c r="U3392">
        <v>-3.375839</v>
      </c>
      <c r="V3392">
        <v>-1.563173E-2</v>
      </c>
      <c r="W3392">
        <v>0.37057059999999997</v>
      </c>
      <c r="X3392">
        <v>0.92867270000000002</v>
      </c>
      <c r="Y3392">
        <v>9.7107349999999995E-2</v>
      </c>
      <c r="Z3392">
        <v>0.1106029</v>
      </c>
      <c r="AA3392">
        <v>0.98910929999999997</v>
      </c>
      <c r="AB3392">
        <v>23</v>
      </c>
      <c r="AC3392">
        <v>-0.10159999999999</v>
      </c>
      <c r="AD3392">
        <v>-0.11510919999999999</v>
      </c>
      <c r="AE3392">
        <v>-0.65449999999998398</v>
      </c>
      <c r="AF3392">
        <v>8.53435645419649E-2</v>
      </c>
      <c r="AG3392">
        <v>-0.11510919999999999</v>
      </c>
      <c r="AH3392">
        <v>0.63723076542547497</v>
      </c>
      <c r="AI3392">
        <v>100.15075106262999</v>
      </c>
      <c r="AJ3392">
        <v>82.371836334909602</v>
      </c>
      <c r="AK3392">
        <v>0.65314370573259395</v>
      </c>
      <c r="AL3392">
        <v>68.249186944936696</v>
      </c>
      <c r="AM3392">
        <v>90.9643306884373</v>
      </c>
      <c r="AN3392">
        <v>0.99999995214621995</v>
      </c>
    </row>
    <row r="3393" spans="1:40" x14ac:dyDescent="0.25">
      <c r="A3393" t="str">
        <f>"20190304164710682"</f>
        <v>20190304164710682</v>
      </c>
      <c r="B3393" t="str">
        <f>"1551689230671737"</f>
        <v>1551689230671737</v>
      </c>
      <c r="C3393" t="s">
        <v>40</v>
      </c>
      <c r="D3393">
        <v>4.7605409999999999</v>
      </c>
      <c r="E3393">
        <v>0.56188000000000005</v>
      </c>
      <c r="F3393" t="s">
        <v>41</v>
      </c>
      <c r="G3393">
        <v>-189.17080000000001</v>
      </c>
      <c r="H3393">
        <v>0.99867379999999994</v>
      </c>
      <c r="I3393">
        <v>192.8073</v>
      </c>
      <c r="J3393">
        <v>-189.066</v>
      </c>
      <c r="K3393">
        <v>1.1104989999999999</v>
      </c>
      <c r="L3393">
        <v>193.4402</v>
      </c>
      <c r="M3393">
        <v>-2.2292119999999999E-2</v>
      </c>
      <c r="N3393">
        <v>-1.385813E-2</v>
      </c>
      <c r="O3393">
        <v>-0.99965550000000003</v>
      </c>
      <c r="P3393">
        <v>-5.2028430000000004E-3</v>
      </c>
      <c r="Q3393">
        <v>0.35711589999999999</v>
      </c>
      <c r="R3393">
        <v>-0.93404580000000004</v>
      </c>
      <c r="S3393">
        <v>-0.43672179999999999</v>
      </c>
      <c r="T3393">
        <v>-0.4375019</v>
      </c>
      <c r="U3393">
        <v>-3.3786010000000002</v>
      </c>
      <c r="V3393">
        <v>-1.494114E-2</v>
      </c>
      <c r="W3393">
        <v>0.3700523</v>
      </c>
      <c r="X3393">
        <v>0.92889080000000002</v>
      </c>
      <c r="Y3393">
        <v>0.1051168</v>
      </c>
      <c r="Z3393">
        <v>0.11375879999999999</v>
      </c>
      <c r="AA3393">
        <v>0.98793180000000003</v>
      </c>
      <c r="AB3393">
        <v>23</v>
      </c>
      <c r="AC3393">
        <v>-0.104800000000039</v>
      </c>
      <c r="AD3393">
        <v>-0.111825199999999</v>
      </c>
      <c r="AE3393">
        <v>-0.63290000000000601</v>
      </c>
      <c r="AF3393">
        <v>8.7990315186959406E-2</v>
      </c>
      <c r="AG3393">
        <v>-0.111825199999999</v>
      </c>
      <c r="AH3393">
        <v>0.61635120108152197</v>
      </c>
      <c r="AI3393">
        <v>100.18232505873</v>
      </c>
      <c r="AJ3393">
        <v>81.875350663825401</v>
      </c>
      <c r="AK3393">
        <v>0.63256301978251595</v>
      </c>
      <c r="AL3393">
        <v>68.281157897903796</v>
      </c>
      <c r="AM3393">
        <v>90.921518919345601</v>
      </c>
      <c r="AN3393">
        <v>1.0000000303622101</v>
      </c>
    </row>
    <row r="3394" spans="1:40" x14ac:dyDescent="0.25">
      <c r="A3394" t="str">
        <f>"20190304164710705"</f>
        <v>20190304164710705</v>
      </c>
      <c r="B3394" t="str">
        <f>"1551689230702500"</f>
        <v>1551689230702500</v>
      </c>
      <c r="C3394" t="s">
        <v>40</v>
      </c>
      <c r="D3394">
        <v>4.7542780000000002</v>
      </c>
      <c r="E3394">
        <v>0.56442490000000001</v>
      </c>
      <c r="F3394" t="s">
        <v>41</v>
      </c>
      <c r="G3394">
        <v>-189.18119999999999</v>
      </c>
      <c r="H3394">
        <v>0.99975749999999997</v>
      </c>
      <c r="I3394">
        <v>192.601</v>
      </c>
      <c r="J3394">
        <v>-189.0728</v>
      </c>
      <c r="K3394">
        <v>1.110663</v>
      </c>
      <c r="L3394">
        <v>193.20529999999999</v>
      </c>
      <c r="M3394">
        <v>-2.348476E-2</v>
      </c>
      <c r="N3394">
        <v>-1.3836380000000001E-2</v>
      </c>
      <c r="O3394">
        <v>-0.99962870000000004</v>
      </c>
      <c r="P3394">
        <v>-5.7195419999999898E-3</v>
      </c>
      <c r="Q3394">
        <v>0.35672880000000001</v>
      </c>
      <c r="R3394">
        <v>-0.93419070000000004</v>
      </c>
      <c r="S3394">
        <v>-0.46362300000000001</v>
      </c>
      <c r="T3394">
        <v>-0.44603179999999998</v>
      </c>
      <c r="U3394">
        <v>-3.3797609999999998</v>
      </c>
      <c r="V3394">
        <v>-1.5693329999999998E-2</v>
      </c>
      <c r="W3394">
        <v>0.36964160000000001</v>
      </c>
      <c r="X3394">
        <v>0.92904189999999998</v>
      </c>
      <c r="Y3394">
        <v>0.11156720000000001</v>
      </c>
      <c r="Z3394">
        <v>0.1160694</v>
      </c>
      <c r="AA3394">
        <v>0.98695520000000003</v>
      </c>
      <c r="AB3394">
        <v>23</v>
      </c>
      <c r="AC3394">
        <v>-0.10839999999998801</v>
      </c>
      <c r="AD3394">
        <v>-0.110905499999999</v>
      </c>
      <c r="AE3394">
        <v>-0.60429999999999495</v>
      </c>
      <c r="AF3394">
        <v>9.1200816858002895E-2</v>
      </c>
      <c r="AG3394">
        <v>-0.110905499999999</v>
      </c>
      <c r="AH3394">
        <v>0.58750761522801198</v>
      </c>
      <c r="AI3394">
        <v>100.566438254171</v>
      </c>
      <c r="AJ3394">
        <v>81.176207221565306</v>
      </c>
      <c r="AK3394">
        <v>0.60479981553958995</v>
      </c>
      <c r="AL3394">
        <v>68.306484983021306</v>
      </c>
      <c r="AM3394">
        <v>90.9677454466688</v>
      </c>
      <c r="AN3394">
        <v>1.0000000225063199</v>
      </c>
    </row>
    <row r="3395" spans="1:40" x14ac:dyDescent="0.25">
      <c r="A3395" t="str">
        <f>"20190304164710724"</f>
        <v>20190304164710724</v>
      </c>
      <c r="B3395" t="str">
        <f>"1551689230722020"</f>
        <v>1551689230722020</v>
      </c>
      <c r="C3395" t="s">
        <v>40</v>
      </c>
      <c r="D3395">
        <v>4.3686619999999996</v>
      </c>
      <c r="E3395">
        <v>0.56817039999999996</v>
      </c>
      <c r="F3395" t="s">
        <v>41</v>
      </c>
      <c r="G3395">
        <v>-189.18969999999999</v>
      </c>
      <c r="H3395">
        <v>1.0008919999999999</v>
      </c>
      <c r="I3395">
        <v>192.39510000000001</v>
      </c>
      <c r="J3395">
        <v>-189.0788</v>
      </c>
      <c r="K3395">
        <v>1.1108049999999901</v>
      </c>
      <c r="L3395">
        <v>193</v>
      </c>
      <c r="M3395">
        <v>-2.4295919999999999E-2</v>
      </c>
      <c r="N3395">
        <v>-1.381919E-2</v>
      </c>
      <c r="O3395">
        <v>-0.99960939999999998</v>
      </c>
      <c r="P3395">
        <v>-6.0308669999999997E-3</v>
      </c>
      <c r="Q3395">
        <v>0.35707830000000002</v>
      </c>
      <c r="R3395">
        <v>-0.93405530000000003</v>
      </c>
      <c r="S3395">
        <v>-0.48785400000000001</v>
      </c>
      <c r="T3395">
        <v>-0.45846629999999999</v>
      </c>
      <c r="U3395">
        <v>-3.3834080000000002</v>
      </c>
      <c r="V3395">
        <v>-1.625588E-2</v>
      </c>
      <c r="W3395">
        <v>0.36996859999999998</v>
      </c>
      <c r="X3395">
        <v>0.92890200000000001</v>
      </c>
      <c r="Y3395">
        <v>0.117482</v>
      </c>
      <c r="Z3395">
        <v>0.11939429999999999</v>
      </c>
      <c r="AA3395">
        <v>0.98587170000000002</v>
      </c>
      <c r="AB3395">
        <v>23</v>
      </c>
      <c r="AC3395">
        <v>-0.110899999999986</v>
      </c>
      <c r="AD3395">
        <v>-0.109912999999999</v>
      </c>
      <c r="AE3395">
        <v>-0.604899999999986</v>
      </c>
      <c r="AF3395">
        <v>9.3192423757842299E-2</v>
      </c>
      <c r="AG3395">
        <v>-0.109912999999999</v>
      </c>
      <c r="AH3395">
        <v>0.588614082101243</v>
      </c>
      <c r="AI3395">
        <v>100.44989007448</v>
      </c>
      <c r="AJ3395">
        <v>81.003312946440104</v>
      </c>
      <c r="AK3395">
        <v>0.605996891957995</v>
      </c>
      <c r="AL3395">
        <v>68.286318586219707</v>
      </c>
      <c r="AM3395">
        <v>91.002579661678993</v>
      </c>
      <c r="AN3395">
        <v>0.99999997211226599</v>
      </c>
    </row>
    <row r="3396" spans="1:40" x14ac:dyDescent="0.25">
      <c r="A3396" t="str">
        <f>"20190304164710747"</f>
        <v>20190304164710747</v>
      </c>
      <c r="B3396" t="str">
        <f>"1551689230742517"</f>
        <v>1551689230742517</v>
      </c>
      <c r="C3396" t="s">
        <v>40</v>
      </c>
      <c r="D3396">
        <v>4.618106</v>
      </c>
      <c r="E3396">
        <v>0.57084539999999995</v>
      </c>
      <c r="F3396" t="s">
        <v>41</v>
      </c>
      <c r="G3396">
        <v>-189.20400000000001</v>
      </c>
      <c r="H3396">
        <v>1.006135</v>
      </c>
      <c r="I3396">
        <v>192.1876</v>
      </c>
      <c r="J3396">
        <v>-189.08539999999999</v>
      </c>
      <c r="K3396">
        <v>1.1109469999999999</v>
      </c>
      <c r="L3396">
        <v>192.76849999999999</v>
      </c>
      <c r="M3396">
        <v>-2.4969749999999999E-2</v>
      </c>
      <c r="N3396">
        <v>-1.380193E-2</v>
      </c>
      <c r="O3396">
        <v>-0.99959299999999995</v>
      </c>
      <c r="P3396">
        <v>-5.4008390000000002E-3</v>
      </c>
      <c r="Q3396">
        <v>0.3575354</v>
      </c>
      <c r="R3396">
        <v>-0.9338843</v>
      </c>
      <c r="S3396">
        <v>-0.51919559999999998</v>
      </c>
      <c r="T3396">
        <v>-0.43492530000000001</v>
      </c>
      <c r="U3396">
        <v>-3.3747250000000002</v>
      </c>
      <c r="V3396">
        <v>-1.7640299999999901E-2</v>
      </c>
      <c r="W3396">
        <v>0.37040230000000002</v>
      </c>
      <c r="X3396">
        <v>0.92870390000000003</v>
      </c>
      <c r="Y3396">
        <v>0.1262365</v>
      </c>
      <c r="Z3396">
        <v>0.11284230000000001</v>
      </c>
      <c r="AA3396">
        <v>0.98556129999999997</v>
      </c>
      <c r="AB3396">
        <v>23</v>
      </c>
      <c r="AC3396">
        <v>-0.118600000000014</v>
      </c>
      <c r="AD3396">
        <v>-0.104811999999999</v>
      </c>
      <c r="AE3396">
        <v>-0.58089999999998498</v>
      </c>
      <c r="AF3396">
        <v>0.100903237497612</v>
      </c>
      <c r="AG3396">
        <v>-0.104811999999999</v>
      </c>
      <c r="AH3396">
        <v>0.56599193277255799</v>
      </c>
      <c r="AI3396">
        <v>100.332032362294</v>
      </c>
      <c r="AJ3396">
        <v>79.891687813544806</v>
      </c>
      <c r="AK3396">
        <v>0.58439189474625297</v>
      </c>
      <c r="AL3396">
        <v>68.259569447241105</v>
      </c>
      <c r="AM3396">
        <v>91.088175911520196</v>
      </c>
      <c r="AN3396">
        <v>0.99999998895229403</v>
      </c>
    </row>
    <row r="3397" spans="1:40" x14ac:dyDescent="0.25">
      <c r="A3397" t="str">
        <f>"20190304164710769"</f>
        <v>20190304164710769</v>
      </c>
      <c r="B3397" t="str">
        <f>"1551689230762036"</f>
        <v>1551689230762036</v>
      </c>
      <c r="C3397" t="s">
        <v>40</v>
      </c>
      <c r="D3397">
        <v>4.6267849999999999</v>
      </c>
      <c r="E3397">
        <v>0.57230049999999999</v>
      </c>
      <c r="F3397" t="s">
        <v>41</v>
      </c>
      <c r="G3397">
        <v>-189.21129999999999</v>
      </c>
      <c r="H3397">
        <v>1.0122439999999999</v>
      </c>
      <c r="I3397">
        <v>191.97980000000001</v>
      </c>
      <c r="J3397">
        <v>-189.09200000000001</v>
      </c>
      <c r="K3397">
        <v>1.1110899999999999</v>
      </c>
      <c r="L3397">
        <v>192.53460000000001</v>
      </c>
      <c r="M3397">
        <v>-2.5426509999999999E-2</v>
      </c>
      <c r="N3397">
        <v>-1.37868E-2</v>
      </c>
      <c r="O3397">
        <v>-0.99958179999999996</v>
      </c>
      <c r="P3397">
        <v>-3.871303E-3</v>
      </c>
      <c r="Q3397">
        <v>0.35758759999999901</v>
      </c>
      <c r="R3397">
        <v>-0.93387189999999998</v>
      </c>
      <c r="S3397">
        <v>-0.53787229999999997</v>
      </c>
      <c r="T3397">
        <v>-0.42186940000000001</v>
      </c>
      <c r="U3397">
        <v>-3.3707889999999998</v>
      </c>
      <c r="V3397">
        <v>-1.9725320000000001E-2</v>
      </c>
      <c r="W3397">
        <v>0.37043369999999998</v>
      </c>
      <c r="X3397">
        <v>0.92864939999999996</v>
      </c>
      <c r="Y3397">
        <v>0.13134779999999999</v>
      </c>
      <c r="Z3397">
        <v>0.1091584</v>
      </c>
      <c r="AA3397">
        <v>0.98530819999999997</v>
      </c>
      <c r="AB3397">
        <v>23</v>
      </c>
      <c r="AC3397">
        <v>-0.119299999999981</v>
      </c>
      <c r="AD3397">
        <v>-9.8845999999999698E-2</v>
      </c>
      <c r="AE3397">
        <v>-0.55479999999999996</v>
      </c>
      <c r="AF3397">
        <v>0.10205705352058</v>
      </c>
      <c r="AG3397">
        <v>-9.8845999999999698E-2</v>
      </c>
      <c r="AH3397">
        <v>0.541233292287289</v>
      </c>
      <c r="AI3397">
        <v>100.17446246125699</v>
      </c>
      <c r="AJ3397">
        <v>79.321470051081704</v>
      </c>
      <c r="AK3397">
        <v>0.55957095222093201</v>
      </c>
      <c r="AL3397">
        <v>68.257631947707196</v>
      </c>
      <c r="AM3397">
        <v>91.216829152570995</v>
      </c>
      <c r="AN3397">
        <v>0.99999996123257495</v>
      </c>
    </row>
    <row r="3398" spans="1:40" x14ac:dyDescent="0.25">
      <c r="A3398" t="str">
        <f>"20190304164710791"</f>
        <v>20190304164710791</v>
      </c>
      <c r="B3398" t="str">
        <f>"1551689230782064"</f>
        <v>1551689230782064</v>
      </c>
      <c r="C3398" t="s">
        <v>40</v>
      </c>
      <c r="D3398">
        <v>4.5887599999999997</v>
      </c>
      <c r="E3398">
        <v>0.57300220000000002</v>
      </c>
      <c r="F3398" t="s">
        <v>41</v>
      </c>
      <c r="G3398">
        <v>-189.21520000000001</v>
      </c>
      <c r="H3398">
        <v>1.0164629999999999</v>
      </c>
      <c r="I3398">
        <v>191.77330000000001</v>
      </c>
      <c r="J3398">
        <v>-189.09829999999999</v>
      </c>
      <c r="K3398">
        <v>1.111221</v>
      </c>
      <c r="L3398">
        <v>192.30840000000001</v>
      </c>
      <c r="M3398">
        <v>-2.5675420000000001E-2</v>
      </c>
      <c r="N3398">
        <v>-1.377402E-2</v>
      </c>
      <c r="O3398">
        <v>-0.9995754</v>
      </c>
      <c r="P3398">
        <v>-2.6170989999999999E-3</v>
      </c>
      <c r="Q3398">
        <v>0.358112599999999</v>
      </c>
      <c r="R3398">
        <v>-0.93367449999999996</v>
      </c>
      <c r="S3398">
        <v>-0.54454040000000004</v>
      </c>
      <c r="T3398">
        <v>-0.41901729999999998</v>
      </c>
      <c r="U3398">
        <v>-3.37059</v>
      </c>
      <c r="V3398">
        <v>-2.1326310000000001E-2</v>
      </c>
      <c r="W3398">
        <v>0.37093769999999998</v>
      </c>
      <c r="X3398">
        <v>0.92841289999999999</v>
      </c>
      <c r="Y3398">
        <v>0.1330239</v>
      </c>
      <c r="Z3398">
        <v>0.1083259</v>
      </c>
      <c r="AA3398">
        <v>0.98517520000000003</v>
      </c>
      <c r="AB3398">
        <v>23</v>
      </c>
      <c r="AC3398">
        <v>-0.11690000000001501</v>
      </c>
      <c r="AD3398">
        <v>-9.4758000000000106E-2</v>
      </c>
      <c r="AE3398">
        <v>-0.53509999999999902</v>
      </c>
      <c r="AF3398">
        <v>0.100124458270828</v>
      </c>
      <c r="AG3398">
        <v>-9.4758000000000106E-2</v>
      </c>
      <c r="AH3398">
        <v>0.52229281782709602</v>
      </c>
      <c r="AI3398">
        <v>100.103071495769</v>
      </c>
      <c r="AJ3398">
        <v>79.147955310972094</v>
      </c>
      <c r="AK3398">
        <v>0.54017938988987302</v>
      </c>
      <c r="AL3398">
        <v>68.226541869708697</v>
      </c>
      <c r="AM3398">
        <v>91.315893724510204</v>
      </c>
      <c r="AN3398">
        <v>1.0000000508329501</v>
      </c>
    </row>
    <row r="3399" spans="1:40" x14ac:dyDescent="0.25">
      <c r="A3399" t="str">
        <f>"20190304164710813"</f>
        <v>20190304164710813</v>
      </c>
      <c r="B3399" t="str">
        <f>"1551689230802559"</f>
        <v>1551689230802559</v>
      </c>
      <c r="C3399" t="s">
        <v>40</v>
      </c>
      <c r="D3399">
        <v>4.5394880000000004</v>
      </c>
      <c r="E3399">
        <v>0.57366049999999902</v>
      </c>
      <c r="F3399" t="s">
        <v>41</v>
      </c>
      <c r="G3399">
        <v>-189.21780000000001</v>
      </c>
      <c r="H3399">
        <v>1.018338</v>
      </c>
      <c r="I3399">
        <v>191.56809999999999</v>
      </c>
      <c r="J3399">
        <v>-189.10400000000001</v>
      </c>
      <c r="K3399">
        <v>1.1113299999999999</v>
      </c>
      <c r="L3399">
        <v>192.0926</v>
      </c>
      <c r="M3399">
        <v>-2.5756169999999998E-2</v>
      </c>
      <c r="N3399">
        <v>-1.3763310000000001E-2</v>
      </c>
      <c r="O3399">
        <v>-0.99957379999999996</v>
      </c>
      <c r="P3399">
        <v>-2.9839670000000001E-3</v>
      </c>
      <c r="Q3399">
        <v>0.35926580000000002</v>
      </c>
      <c r="R3399">
        <v>-0.93323100000000003</v>
      </c>
      <c r="S3399">
        <v>-0.54496769999999894</v>
      </c>
      <c r="T3399">
        <v>-0.4233499</v>
      </c>
      <c r="U3399">
        <v>-3.3739780000000001</v>
      </c>
      <c r="V3399">
        <v>-2.112255E-2</v>
      </c>
      <c r="W3399">
        <v>0.37206929999999999</v>
      </c>
      <c r="X3399">
        <v>0.92796460000000003</v>
      </c>
      <c r="Y3399">
        <v>0.13288910000000001</v>
      </c>
      <c r="Z3399">
        <v>0.10945969999999999</v>
      </c>
      <c r="AA3399">
        <v>0.98506800000000005</v>
      </c>
      <c r="AB3399">
        <v>23</v>
      </c>
      <c r="AC3399">
        <v>-0.113799999999997</v>
      </c>
      <c r="AD3399">
        <v>-9.2991999999999894E-2</v>
      </c>
      <c r="AE3399">
        <v>-0.52450000000001695</v>
      </c>
      <c r="AF3399">
        <v>9.7329931041409898E-2</v>
      </c>
      <c r="AG3399">
        <v>-9.2991999999999894E-2</v>
      </c>
      <c r="AH3399">
        <v>0.51188995006663196</v>
      </c>
      <c r="AI3399">
        <v>100.118854872735</v>
      </c>
      <c r="AJ3399">
        <v>79.234380203906497</v>
      </c>
      <c r="AK3399">
        <v>0.52929382059470897</v>
      </c>
      <c r="AL3399">
        <v>68.156707186011502</v>
      </c>
      <c r="AM3399">
        <v>91.3039549325877</v>
      </c>
      <c r="AN3399">
        <v>1.00000001248707</v>
      </c>
    </row>
    <row r="3400" spans="1:40" x14ac:dyDescent="0.25">
      <c r="A3400" t="str">
        <f>"20190304164710835"</f>
        <v>20190304164710835</v>
      </c>
      <c r="B3400" t="str">
        <f>"1551689230831840"</f>
        <v>1551689230831840</v>
      </c>
      <c r="C3400" t="s">
        <v>40</v>
      </c>
      <c r="D3400">
        <v>4.5208050000000002</v>
      </c>
      <c r="E3400">
        <v>0.57456090000000004</v>
      </c>
      <c r="F3400" t="s">
        <v>41</v>
      </c>
      <c r="G3400">
        <v>-189.22239999999999</v>
      </c>
      <c r="H3400">
        <v>1.019547</v>
      </c>
      <c r="I3400">
        <v>191.36359999999999</v>
      </c>
      <c r="J3400">
        <v>-189.10990000000001</v>
      </c>
      <c r="K3400">
        <v>1.111423</v>
      </c>
      <c r="L3400">
        <v>191.86779999999999</v>
      </c>
      <c r="M3400">
        <v>-2.5689779999999999E-2</v>
      </c>
      <c r="N3400">
        <v>-1.3753309999999999E-2</v>
      </c>
      <c r="O3400">
        <v>-0.99957530000000006</v>
      </c>
      <c r="P3400">
        <v>-2.8687090000000001E-3</v>
      </c>
      <c r="Q3400">
        <v>0.3598324</v>
      </c>
      <c r="R3400">
        <v>-0.93301270000000003</v>
      </c>
      <c r="S3400">
        <v>-0.54772949999999998</v>
      </c>
      <c r="T3400">
        <v>-0.4252224</v>
      </c>
      <c r="U3400">
        <v>-3.3766020000000001</v>
      </c>
      <c r="V3400">
        <v>-2.1252460000000001E-2</v>
      </c>
      <c r="W3400">
        <v>0.37261850000000002</v>
      </c>
      <c r="X3400">
        <v>0.92774120000000004</v>
      </c>
      <c r="Y3400">
        <v>0.1336108</v>
      </c>
      <c r="Z3400">
        <v>0.109899499999999</v>
      </c>
      <c r="AA3400">
        <v>0.98492150000000001</v>
      </c>
      <c r="AB3400">
        <v>23</v>
      </c>
      <c r="AC3400">
        <v>-0.112499999999982</v>
      </c>
      <c r="AD3400">
        <v>-9.1875999999999999E-2</v>
      </c>
      <c r="AE3400">
        <v>-0.50419999999999698</v>
      </c>
      <c r="AF3400">
        <v>9.6457895516411901E-2</v>
      </c>
      <c r="AG3400">
        <v>-9.1875999999999999E-2</v>
      </c>
      <c r="AH3400">
        <v>0.49138157843098401</v>
      </c>
      <c r="AI3400">
        <v>100.396618506257</v>
      </c>
      <c r="AJ3400">
        <v>78.894087179698204</v>
      </c>
      <c r="AK3400">
        <v>0.50911804191639098</v>
      </c>
      <c r="AL3400">
        <v>68.122801527489599</v>
      </c>
      <c r="AM3400">
        <v>91.312287663212601</v>
      </c>
      <c r="AN3400">
        <v>0.99999997388786999</v>
      </c>
    </row>
    <row r="3401" spans="1:40" x14ac:dyDescent="0.25">
      <c r="A3401" t="str">
        <f>"20190304164710859"</f>
        <v>20190304164710859</v>
      </c>
      <c r="B3401" t="str">
        <f>"1551689230852336"</f>
        <v>1551689230852336</v>
      </c>
      <c r="C3401" t="s">
        <v>40</v>
      </c>
      <c r="D3401">
        <v>4.2893999999999997</v>
      </c>
      <c r="E3401">
        <v>0.57558369999999903</v>
      </c>
      <c r="F3401" t="s">
        <v>41</v>
      </c>
      <c r="G3401">
        <v>-189.25749999999999</v>
      </c>
      <c r="H3401">
        <v>0.99706070000000002</v>
      </c>
      <c r="I3401">
        <v>190.96799999999999</v>
      </c>
      <c r="J3401">
        <v>-189.11600000000001</v>
      </c>
      <c r="K3401">
        <v>1.1114919999999999</v>
      </c>
      <c r="L3401">
        <v>191.626</v>
      </c>
      <c r="M3401">
        <v>-2.5462350000000002E-2</v>
      </c>
      <c r="N3401">
        <v>-1.374383E-2</v>
      </c>
      <c r="O3401">
        <v>-0.99958139999999995</v>
      </c>
      <c r="P3401">
        <v>-2.2632300000000002E-3</v>
      </c>
      <c r="Q3401">
        <v>0.35895529999999998</v>
      </c>
      <c r="R3401">
        <v>-0.93335219999999997</v>
      </c>
      <c r="S3401">
        <v>-0.55371090000000001</v>
      </c>
      <c r="T3401">
        <v>-0.42971009999999998</v>
      </c>
      <c r="U3401">
        <v>-3.37941</v>
      </c>
      <c r="V3401">
        <v>-2.1720840000000002E-2</v>
      </c>
      <c r="W3401">
        <v>0.3717338</v>
      </c>
      <c r="X3401">
        <v>0.9280853</v>
      </c>
      <c r="Y3401">
        <v>0.13538129999999901</v>
      </c>
      <c r="Z3401">
        <v>0.1110621</v>
      </c>
      <c r="AA3401">
        <v>0.98454920000000001</v>
      </c>
      <c r="AB3401">
        <v>23</v>
      </c>
      <c r="AC3401">
        <v>-0.14150000000000701</v>
      </c>
      <c r="AD3401">
        <v>-0.114431299999999</v>
      </c>
      <c r="AE3401">
        <v>-0.65799999999998704</v>
      </c>
      <c r="AF3401">
        <v>0.121194912810264</v>
      </c>
      <c r="AG3401">
        <v>-0.114431299999999</v>
      </c>
      <c r="AH3401">
        <v>0.64280816174722399</v>
      </c>
      <c r="AI3401">
        <v>99.922671769047895</v>
      </c>
      <c r="AJ3401">
        <v>79.322803583044006</v>
      </c>
      <c r="AK3401">
        <v>0.66406706146263805</v>
      </c>
      <c r="AL3401">
        <v>68.177416550763198</v>
      </c>
      <c r="AM3401">
        <v>91.340701452202893</v>
      </c>
      <c r="AN3401">
        <v>1.0000000685144099</v>
      </c>
    </row>
    <row r="3402" spans="1:40" x14ac:dyDescent="0.25">
      <c r="A3402" t="str">
        <f>"20190304164710883"</f>
        <v>20190304164710883</v>
      </c>
      <c r="B3402" t="str">
        <f>"1551689230871855"</f>
        <v>1551689230871855</v>
      </c>
      <c r="C3402" t="s">
        <v>40</v>
      </c>
      <c r="D3402">
        <v>4.6411179999999996</v>
      </c>
      <c r="E3402">
        <v>0.57642459999999995</v>
      </c>
      <c r="F3402" t="s">
        <v>41</v>
      </c>
      <c r="G3402">
        <v>-189.25989999999999</v>
      </c>
      <c r="H3402">
        <v>1.0019149999999999</v>
      </c>
      <c r="I3402">
        <v>190.76259999999999</v>
      </c>
      <c r="J3402">
        <v>-189.12180000000001</v>
      </c>
      <c r="K3402">
        <v>1.1115469999999901</v>
      </c>
      <c r="L3402">
        <v>191.38499999999999</v>
      </c>
      <c r="M3402">
        <v>-2.5131649999999998E-2</v>
      </c>
      <c r="N3402">
        <v>-1.3735509999999999E-2</v>
      </c>
      <c r="O3402">
        <v>-0.99958979999999997</v>
      </c>
      <c r="P3402">
        <v>-2.3854929999999998E-3</v>
      </c>
      <c r="Q3402">
        <v>0.35798859999999999</v>
      </c>
      <c r="R3402">
        <v>-0.93372290000000002</v>
      </c>
      <c r="S3402">
        <v>-0.56245419999999902</v>
      </c>
      <c r="T3402">
        <v>-0.42881859999999999</v>
      </c>
      <c r="U3402">
        <v>-3.3777309999999998</v>
      </c>
      <c r="V3402">
        <v>-2.134519E-2</v>
      </c>
      <c r="W3402">
        <v>0.37076179999999997</v>
      </c>
      <c r="X3402">
        <v>0.92848269999999999</v>
      </c>
      <c r="Y3402">
        <v>0.13826920000000001</v>
      </c>
      <c r="Z3402">
        <v>0.11082640000000001</v>
      </c>
      <c r="AA3402">
        <v>0.9841744</v>
      </c>
      <c r="AB3402">
        <v>23</v>
      </c>
      <c r="AC3402">
        <v>-0.13809999999997999</v>
      </c>
      <c r="AD3402">
        <v>-0.10963199999999899</v>
      </c>
      <c r="AE3402">
        <v>-0.62239999999999895</v>
      </c>
      <c r="AF3402">
        <v>0.118897069930856</v>
      </c>
      <c r="AG3402">
        <v>-0.10963199999999899</v>
      </c>
      <c r="AH3402">
        <v>0.60770405512196601</v>
      </c>
      <c r="AI3402">
        <v>100.03999707116699</v>
      </c>
      <c r="AJ3402">
        <v>78.929938131027797</v>
      </c>
      <c r="AK3402">
        <v>0.62885603064121498</v>
      </c>
      <c r="AL3402">
        <v>68.237393484439494</v>
      </c>
      <c r="AM3402">
        <v>91.316959286983206</v>
      </c>
      <c r="AN3402">
        <v>1.0000000268373299</v>
      </c>
    </row>
    <row r="3403" spans="1:40" x14ac:dyDescent="0.25">
      <c r="A3403" t="str">
        <f>"20190304164710902"</f>
        <v>20190304164710902</v>
      </c>
      <c r="B3403" t="str">
        <f>"1551689230892351"</f>
        <v>1551689230892351</v>
      </c>
      <c r="C3403" t="s">
        <v>40</v>
      </c>
      <c r="D3403">
        <v>4.6214329999999997</v>
      </c>
      <c r="E3403">
        <v>0.57673409999999903</v>
      </c>
      <c r="F3403" t="s">
        <v>41</v>
      </c>
      <c r="G3403">
        <v>-189.26179999999999</v>
      </c>
      <c r="H3403">
        <v>1.006251</v>
      </c>
      <c r="I3403">
        <v>190.55770000000001</v>
      </c>
      <c r="J3403">
        <v>-189.12649999999999</v>
      </c>
      <c r="K3403">
        <v>1.1115759999999999</v>
      </c>
      <c r="L3403">
        <v>191.1866</v>
      </c>
      <c r="M3403">
        <v>-2.4789970000000001E-2</v>
      </c>
      <c r="N3403">
        <v>-1.3729389999999999E-2</v>
      </c>
      <c r="O3403">
        <v>-0.99959869999999995</v>
      </c>
      <c r="P3403">
        <v>-1.9621500000000002E-3</v>
      </c>
      <c r="Q3403">
        <v>0.35813119999999998</v>
      </c>
      <c r="R3403">
        <v>-0.93366990000000005</v>
      </c>
      <c r="S3403">
        <v>-0.57087710000000003</v>
      </c>
      <c r="T3403">
        <v>-0.42986479999999999</v>
      </c>
      <c r="U3403">
        <v>-3.3762819999999998</v>
      </c>
      <c r="V3403">
        <v>-2.1480320000000001E-2</v>
      </c>
      <c r="W3403">
        <v>0.370896</v>
      </c>
      <c r="X3403">
        <v>0.92842590000000003</v>
      </c>
      <c r="Y3403">
        <v>0.14105500000000001</v>
      </c>
      <c r="Z3403">
        <v>0.1111357</v>
      </c>
      <c r="AA3403">
        <v>0.98374399999999995</v>
      </c>
      <c r="AB3403">
        <v>23</v>
      </c>
      <c r="AC3403">
        <v>-0.1353</v>
      </c>
      <c r="AD3403">
        <v>-0.105325</v>
      </c>
      <c r="AE3403">
        <v>-0.62889999999998702</v>
      </c>
      <c r="AF3403">
        <v>0.116542370113722</v>
      </c>
      <c r="AG3403">
        <v>-0.105325</v>
      </c>
      <c r="AH3403">
        <v>0.61555970858361098</v>
      </c>
      <c r="AI3403">
        <v>99.543204533321003</v>
      </c>
      <c r="AJ3403">
        <v>79.279227339572401</v>
      </c>
      <c r="AK3403">
        <v>0.63528673407231095</v>
      </c>
      <c r="AL3403">
        <v>68.229112306937097</v>
      </c>
      <c r="AM3403">
        <v>91.325374648333906</v>
      </c>
      <c r="AN3403">
        <v>0.99999994937705405</v>
      </c>
    </row>
    <row r="3404" spans="1:40" x14ac:dyDescent="0.25">
      <c r="A3404" t="str">
        <f>"20190304164710924"</f>
        <v>20190304164710924</v>
      </c>
      <c r="B3404" t="str">
        <f>"1551689230922608"</f>
        <v>1551689230922608</v>
      </c>
      <c r="C3404" t="s">
        <v>40</v>
      </c>
      <c r="D3404">
        <v>4.6062669999999999</v>
      </c>
      <c r="E3404">
        <v>0.57665339999999998</v>
      </c>
      <c r="F3404" t="s">
        <v>41</v>
      </c>
      <c r="G3404">
        <v>-189.26679999999999</v>
      </c>
      <c r="H3404">
        <v>1.004874</v>
      </c>
      <c r="I3404">
        <v>190.35589999999999</v>
      </c>
      <c r="J3404">
        <v>-189.13159999999999</v>
      </c>
      <c r="K3404">
        <v>1.1116269999999999</v>
      </c>
      <c r="L3404">
        <v>190.95939999999999</v>
      </c>
      <c r="M3404">
        <v>-2.4314769999999999E-2</v>
      </c>
      <c r="N3404">
        <v>-1.37231E-2</v>
      </c>
      <c r="O3404">
        <v>-0.99961029999999995</v>
      </c>
      <c r="P3404">
        <v>-5.1688029999999896E-4</v>
      </c>
      <c r="Q3404">
        <v>0.35878949999999998</v>
      </c>
      <c r="R3404">
        <v>-0.93341850000000004</v>
      </c>
      <c r="S3404">
        <v>-0.57066349999999999</v>
      </c>
      <c r="T3404">
        <v>-0.43394490000000002</v>
      </c>
      <c r="U3404">
        <v>-3.378403</v>
      </c>
      <c r="V3404">
        <v>-2.2515739999999999E-2</v>
      </c>
      <c r="W3404">
        <v>0.37154120000000002</v>
      </c>
      <c r="X3404">
        <v>0.92814339999999995</v>
      </c>
      <c r="Y3404">
        <v>0.14134169999999999</v>
      </c>
      <c r="Z3404">
        <v>0.1122319</v>
      </c>
      <c r="AA3404">
        <v>0.98357839999999996</v>
      </c>
      <c r="AB3404">
        <v>23</v>
      </c>
      <c r="AC3404">
        <v>-0.13519999999999699</v>
      </c>
      <c r="AD3404">
        <v>-0.106753</v>
      </c>
      <c r="AE3404">
        <v>-0.60349999999999604</v>
      </c>
      <c r="AF3404">
        <v>0.116998738196602</v>
      </c>
      <c r="AG3404">
        <v>-0.106753</v>
      </c>
      <c r="AH3404">
        <v>0.58905840631648099</v>
      </c>
      <c r="AI3404">
        <v>100.079290360736</v>
      </c>
      <c r="AJ3404">
        <v>78.766118728907898</v>
      </c>
      <c r="AK3404">
        <v>0.609979273255009</v>
      </c>
      <c r="AL3404">
        <v>68.189301399608098</v>
      </c>
      <c r="AM3404">
        <v>91.389660154034701</v>
      </c>
      <c r="AN3404">
        <v>0.99999999640437298</v>
      </c>
    </row>
    <row r="3405" spans="1:40" x14ac:dyDescent="0.25">
      <c r="A3405" t="str">
        <f>"20190304164710947"</f>
        <v>20190304164710947</v>
      </c>
      <c r="B3405" t="str">
        <f>"1551689230942128"</f>
        <v>1551689230942128</v>
      </c>
      <c r="C3405" t="s">
        <v>40</v>
      </c>
      <c r="D3405">
        <v>4.4546239999999999</v>
      </c>
      <c r="E3405">
        <v>0.51956990000000003</v>
      </c>
      <c r="F3405" t="s">
        <v>41</v>
      </c>
      <c r="G3405">
        <v>-189.2663</v>
      </c>
      <c r="H3405">
        <v>1.0081249999999999</v>
      </c>
      <c r="I3405">
        <v>190.15209999999999</v>
      </c>
      <c r="J3405">
        <v>-189.13659999999999</v>
      </c>
      <c r="K3405">
        <v>1.111683</v>
      </c>
      <c r="L3405">
        <v>190.72730000000001</v>
      </c>
      <c r="M3405">
        <v>-2.3729210000000001E-2</v>
      </c>
      <c r="N3405">
        <v>-1.371738E-2</v>
      </c>
      <c r="O3405">
        <v>-0.99962430000000002</v>
      </c>
      <c r="P3405">
        <v>2.6390150000000002E-3</v>
      </c>
      <c r="Q3405">
        <v>0.35915429999999998</v>
      </c>
      <c r="R3405">
        <v>-0.93327450000000001</v>
      </c>
      <c r="S3405">
        <v>-0.56304929999999997</v>
      </c>
      <c r="T3405">
        <v>-0.4335388</v>
      </c>
      <c r="U3405">
        <v>-3.380325</v>
      </c>
      <c r="V3405">
        <v>-2.5170370000000001E-2</v>
      </c>
      <c r="W3405">
        <v>0.37189220000000001</v>
      </c>
      <c r="X3405">
        <v>0.92793460000000005</v>
      </c>
      <c r="Y3405">
        <v>0.13967889999999999</v>
      </c>
      <c r="Z3405">
        <v>0.11209139999999999</v>
      </c>
      <c r="AA3405">
        <v>0.98383189999999998</v>
      </c>
      <c r="AB3405">
        <v>23</v>
      </c>
      <c r="AC3405">
        <v>-0.129700000000013</v>
      </c>
      <c r="AD3405">
        <v>-0.103558</v>
      </c>
      <c r="AE3405">
        <v>-0.57520000000002303</v>
      </c>
      <c r="AF3405">
        <v>0.112541745141754</v>
      </c>
      <c r="AG3405">
        <v>-0.103558</v>
      </c>
      <c r="AH3405">
        <v>0.56081730915569405</v>
      </c>
      <c r="AI3405">
        <v>100.262018728051</v>
      </c>
      <c r="AJ3405">
        <v>78.6529115500405</v>
      </c>
      <c r="AK3405">
        <v>0.58129678995516998</v>
      </c>
      <c r="AL3405">
        <v>68.167638168580496</v>
      </c>
      <c r="AM3405">
        <v>91.553775907846997</v>
      </c>
      <c r="AN3405">
        <v>0.99999998891196795</v>
      </c>
    </row>
    <row r="3406" spans="1:40" x14ac:dyDescent="0.25">
      <c r="A3406" t="str">
        <f>"20190304164710972"</f>
        <v>20190304164710972</v>
      </c>
      <c r="B3406" t="str">
        <f>"1551689230961647"</f>
        <v>1551689230961647</v>
      </c>
      <c r="C3406" t="s">
        <v>40</v>
      </c>
      <c r="D3406">
        <v>4.4332200000000004</v>
      </c>
      <c r="E3406">
        <v>0.50883789999999995</v>
      </c>
      <c r="F3406" t="s">
        <v>41</v>
      </c>
      <c r="G3406">
        <v>-189.16050000000001</v>
      </c>
      <c r="H3406">
        <v>1.035587</v>
      </c>
      <c r="I3406">
        <v>189.93260000000001</v>
      </c>
      <c r="J3406">
        <v>-189.14160000000001</v>
      </c>
      <c r="K3406">
        <v>1.111756</v>
      </c>
      <c r="L3406">
        <v>190.4837</v>
      </c>
      <c r="M3406">
        <v>-2.2995040000000001E-2</v>
      </c>
      <c r="N3406">
        <v>-1.371233E-2</v>
      </c>
      <c r="O3406">
        <v>-0.99964169999999997</v>
      </c>
      <c r="P3406">
        <v>5.6106810000000002E-3</v>
      </c>
      <c r="Q3406">
        <v>0.35922490000000001</v>
      </c>
      <c r="R3406">
        <v>-0.93323469999999997</v>
      </c>
      <c r="S3406">
        <v>-9.9472050000000006E-2</v>
      </c>
      <c r="T3406">
        <v>-0.3197526</v>
      </c>
      <c r="U3406">
        <v>-3.3378139999999998</v>
      </c>
      <c r="V3406">
        <v>-2.75187E-2</v>
      </c>
      <c r="W3406">
        <v>0.3719498</v>
      </c>
      <c r="X3406">
        <v>0.92784480000000003</v>
      </c>
      <c r="Y3406">
        <v>6.6888889999999999E-3</v>
      </c>
      <c r="Z3406">
        <v>8.1646540000000004E-2</v>
      </c>
      <c r="AA3406">
        <v>0.99663889999999999</v>
      </c>
      <c r="AB3406">
        <v>23</v>
      </c>
      <c r="AC3406">
        <v>-1.8900000000002099E-2</v>
      </c>
      <c r="AD3406">
        <v>-7.6168999999999903E-2</v>
      </c>
      <c r="AE3406">
        <v>-0.55109999999999004</v>
      </c>
      <c r="AF3406">
        <v>6.1047647362081599E-3</v>
      </c>
      <c r="AG3406">
        <v>-7.6168999999999903E-2</v>
      </c>
      <c r="AH3406">
        <v>0.54106521099138405</v>
      </c>
      <c r="AI3406">
        <v>98.012709591101697</v>
      </c>
      <c r="AJ3406">
        <v>89.353566990135903</v>
      </c>
      <c r="AK3406">
        <v>0.54643439428593399</v>
      </c>
      <c r="AL3406">
        <v>68.164082060948203</v>
      </c>
      <c r="AM3406">
        <v>91.698822152481199</v>
      </c>
      <c r="AN3406">
        <v>0.99999995272838305</v>
      </c>
    </row>
    <row r="3407" spans="1:40" x14ac:dyDescent="0.25">
      <c r="A3407" t="str">
        <f>"20190304164710991"</f>
        <v>20190304164710991</v>
      </c>
      <c r="B3407" t="str">
        <f>"1551689230982143"</f>
        <v>1551689230982143</v>
      </c>
      <c r="C3407" t="s">
        <v>40</v>
      </c>
      <c r="D3407">
        <v>4.4079129999999997</v>
      </c>
      <c r="E3407">
        <v>0.50582649999999996</v>
      </c>
      <c r="F3407" t="s">
        <v>42</v>
      </c>
      <c r="G3407">
        <v>-189.1575</v>
      </c>
      <c r="H3407" s="1">
        <v>-3.9394199999999996E-6</v>
      </c>
      <c r="I3407">
        <v>178.46729999999999</v>
      </c>
      <c r="J3407">
        <v>-189.1455</v>
      </c>
      <c r="K3407">
        <v>1.1118239999999999</v>
      </c>
      <c r="L3407">
        <v>190.28120000000001</v>
      </c>
      <c r="M3407">
        <v>-2.2262959999999998E-2</v>
      </c>
      <c r="N3407">
        <v>-1.370905E-2</v>
      </c>
      <c r="O3407">
        <v>-0.9996583</v>
      </c>
      <c r="P3407">
        <v>7.1894699999999999E-3</v>
      </c>
      <c r="Q3407">
        <v>0.35879899999999998</v>
      </c>
      <c r="R3407">
        <v>-0.93338750000000004</v>
      </c>
      <c r="S3407">
        <v>-4.3945310000000001E-3</v>
      </c>
      <c r="T3407">
        <v>-0.308403599999999</v>
      </c>
      <c r="U3407">
        <v>-3.3333740000000001</v>
      </c>
      <c r="V3407">
        <v>-2.8480979999999999E-2</v>
      </c>
      <c r="W3407">
        <v>0.37151679999999998</v>
      </c>
      <c r="X3407">
        <v>0.92798930000000002</v>
      </c>
      <c r="Y3407">
        <v>-2.0935840000000001E-2</v>
      </c>
      <c r="Z3407">
        <v>7.842296E-2</v>
      </c>
      <c r="AA3407">
        <v>0.99670029999999998</v>
      </c>
      <c r="AB3407">
        <v>23</v>
      </c>
      <c r="AC3407">
        <v>-1.2000000000000399E-2</v>
      </c>
      <c r="AD3407">
        <v>-1.1118279394199999</v>
      </c>
      <c r="AE3407">
        <v>-11.8139</v>
      </c>
      <c r="AF3407">
        <v>-0.24883608889248199</v>
      </c>
      <c r="AG3407">
        <v>-1.1118279394199999</v>
      </c>
      <c r="AH3407">
        <v>11.7075444731364</v>
      </c>
      <c r="AI3407">
        <v>95.423709199364296</v>
      </c>
      <c r="AJ3407">
        <v>91.217600446298107</v>
      </c>
      <c r="AK3407">
        <v>11.7628516252003</v>
      </c>
      <c r="AL3407">
        <v>68.190807738682494</v>
      </c>
      <c r="AM3407">
        <v>91.757916684882701</v>
      </c>
      <c r="AN3407">
        <v>1.00000001990924</v>
      </c>
    </row>
    <row r="3408" spans="1:40" x14ac:dyDescent="0.25">
      <c r="A3408" t="str">
        <f>"20190304164711013"</f>
        <v>20190304164711013</v>
      </c>
      <c r="B3408" t="str">
        <f>"1551689231002640"</f>
        <v>1551689231002640</v>
      </c>
      <c r="C3408" t="s">
        <v>40</v>
      </c>
      <c r="D3408">
        <v>4.3640379999999999</v>
      </c>
      <c r="E3408">
        <v>0.50514979999999998</v>
      </c>
      <c r="F3408" t="s">
        <v>42</v>
      </c>
      <c r="G3408">
        <v>-189.04820000000001</v>
      </c>
      <c r="H3408" s="1">
        <v>-3.8238149999999999E-6</v>
      </c>
      <c r="I3408">
        <v>178.15260000000001</v>
      </c>
      <c r="J3408">
        <v>-189.14930000000001</v>
      </c>
      <c r="K3408">
        <v>1.1119190000000001</v>
      </c>
      <c r="L3408">
        <v>190.06469999999999</v>
      </c>
      <c r="M3408">
        <v>-2.13379E-2</v>
      </c>
      <c r="N3408">
        <v>-1.3706370000000001E-2</v>
      </c>
      <c r="O3408">
        <v>-0.99967839999999997</v>
      </c>
      <c r="P3408">
        <v>8.6254869999999994E-3</v>
      </c>
      <c r="Q3408">
        <v>0.35888730000000002</v>
      </c>
      <c r="R3408">
        <v>-0.93334139999999999</v>
      </c>
      <c r="S3408">
        <v>2.6718140000000001E-2</v>
      </c>
      <c r="T3408">
        <v>-0.30537920000000002</v>
      </c>
      <c r="U3408">
        <v>-3.3312840000000001</v>
      </c>
      <c r="V3408">
        <v>-2.9133570000000001E-2</v>
      </c>
      <c r="W3408">
        <v>0.3715948</v>
      </c>
      <c r="X3408">
        <v>0.92793780000000003</v>
      </c>
      <c r="Y3408">
        <v>-2.931216E-2</v>
      </c>
      <c r="Z3408">
        <v>7.7576259999999994E-2</v>
      </c>
      <c r="AA3408">
        <v>0.99655539999999998</v>
      </c>
      <c r="AB3408">
        <v>23</v>
      </c>
      <c r="AC3408">
        <v>0.10110000000000199</v>
      </c>
      <c r="AD3408">
        <v>-1.1119228238150001</v>
      </c>
      <c r="AE3408">
        <v>-11.912099999999899</v>
      </c>
      <c r="AF3408">
        <v>-0.352211413786718</v>
      </c>
      <c r="AG3408">
        <v>-1.1119228238150001</v>
      </c>
      <c r="AH3408">
        <v>11.804384534187299</v>
      </c>
      <c r="AI3408">
        <v>95.378761240120298</v>
      </c>
      <c r="AJ3408">
        <v>91.709046502977301</v>
      </c>
      <c r="AK3408">
        <v>11.861868296229</v>
      </c>
      <c r="AL3408">
        <v>68.185993843433096</v>
      </c>
      <c r="AM3408">
        <v>91.798269741293595</v>
      </c>
      <c r="AN3408">
        <v>1.0000000104784099</v>
      </c>
    </row>
    <row r="3409" spans="1:40" x14ac:dyDescent="0.25">
      <c r="A3409" t="str">
        <f>"20190304164711037"</f>
        <v>20190304164711037</v>
      </c>
      <c r="B3409" t="str">
        <f>"1551689231031920"</f>
        <v>1551689231031920</v>
      </c>
      <c r="C3409" t="s">
        <v>40</v>
      </c>
      <c r="D3409">
        <v>4.3979080000000002</v>
      </c>
      <c r="E3409">
        <v>0.50482879999999997</v>
      </c>
      <c r="F3409" t="s">
        <v>42</v>
      </c>
      <c r="G3409">
        <v>-189.0093</v>
      </c>
      <c r="H3409" s="1">
        <v>-3.768392E-6</v>
      </c>
      <c r="I3409">
        <v>178.00739999999999</v>
      </c>
      <c r="J3409">
        <v>-189.15299999999999</v>
      </c>
      <c r="K3409">
        <v>1.1120350000000001</v>
      </c>
      <c r="L3409">
        <v>189.82990000000001</v>
      </c>
      <c r="M3409">
        <v>-2.0126979999999999E-2</v>
      </c>
      <c r="N3409">
        <v>-1.370449E-2</v>
      </c>
      <c r="O3409">
        <v>-0.99970380000000003</v>
      </c>
      <c r="P3409">
        <v>9.8590550000000002E-3</v>
      </c>
      <c r="Q3409">
        <v>0.35944540000000003</v>
      </c>
      <c r="R3409">
        <v>-0.93311429999999995</v>
      </c>
      <c r="S3409">
        <v>3.8681029999999998E-2</v>
      </c>
      <c r="T3409">
        <v>-0.30728050000000001</v>
      </c>
      <c r="U3409">
        <v>-3.3320620000000001</v>
      </c>
      <c r="V3409">
        <v>-2.9337729999999999E-2</v>
      </c>
      <c r="W3409">
        <v>0.37214009999999997</v>
      </c>
      <c r="X3409">
        <v>0.9277128</v>
      </c>
      <c r="Y3409">
        <v>-3.1674639999999997E-2</v>
      </c>
      <c r="Z3409">
        <v>7.8118919999999994E-2</v>
      </c>
      <c r="AA3409">
        <v>0.99644080000000002</v>
      </c>
      <c r="AB3409">
        <v>23</v>
      </c>
      <c r="AC3409">
        <v>0.143699999999995</v>
      </c>
      <c r="AD3409">
        <v>-1.1120387683920001</v>
      </c>
      <c r="AE3409">
        <v>-11.8225</v>
      </c>
      <c r="AF3409">
        <v>-0.37829788289071797</v>
      </c>
      <c r="AG3409">
        <v>-1.1120387683920001</v>
      </c>
      <c r="AH3409">
        <v>11.713591328369001</v>
      </c>
      <c r="AI3409">
        <v>95.420355915357803</v>
      </c>
      <c r="AJ3409">
        <v>91.849760718485001</v>
      </c>
      <c r="AK3409">
        <v>11.772338821094401</v>
      </c>
      <c r="AL3409">
        <v>68.152336475540096</v>
      </c>
      <c r="AM3409">
        <v>91.811302056705301</v>
      </c>
      <c r="AN3409">
        <v>0.99999999785670102</v>
      </c>
    </row>
    <row r="3410" spans="1:40" x14ac:dyDescent="0.25">
      <c r="A3410" t="str">
        <f>"20190304164711060"</f>
        <v>20190304164711060</v>
      </c>
      <c r="B3410" t="str">
        <f>"1551689231052416"</f>
        <v>1551689231052416</v>
      </c>
      <c r="C3410" t="s">
        <v>40</v>
      </c>
      <c r="D3410">
        <v>4.6132749999999998</v>
      </c>
      <c r="E3410">
        <v>0.50500909999999999</v>
      </c>
      <c r="F3410" t="s">
        <v>41</v>
      </c>
      <c r="G3410">
        <v>-189.14019999999999</v>
      </c>
      <c r="H3410">
        <v>1.0281070000000001</v>
      </c>
      <c r="I3410">
        <v>188.917</v>
      </c>
      <c r="J3410">
        <v>-189.15610000000001</v>
      </c>
      <c r="K3410">
        <v>1.112158</v>
      </c>
      <c r="L3410">
        <v>189.59829999999999</v>
      </c>
      <c r="M3410">
        <v>-1.8719349999999999E-2</v>
      </c>
      <c r="N3410">
        <v>-1.370383E-2</v>
      </c>
      <c r="O3410">
        <v>-0.99973109999999998</v>
      </c>
      <c r="P3410">
        <v>1.180056E-2</v>
      </c>
      <c r="Q3410">
        <v>0.35986400000000002</v>
      </c>
      <c r="R3410">
        <v>-0.93293040000000005</v>
      </c>
      <c r="S3410">
        <v>4.705811E-2</v>
      </c>
      <c r="T3410">
        <v>-0.30650759999999899</v>
      </c>
      <c r="U3410">
        <v>-3.3326419999999999</v>
      </c>
      <c r="V3410">
        <v>-3.0075629999999999E-2</v>
      </c>
      <c r="W3410">
        <v>0.37254500000000002</v>
      </c>
      <c r="X3410">
        <v>0.92752670000000004</v>
      </c>
      <c r="Y3410">
        <v>-3.2769090000000001E-2</v>
      </c>
      <c r="Z3410">
        <v>7.7875040000000006E-2</v>
      </c>
      <c r="AA3410">
        <v>0.99642439999999999</v>
      </c>
      <c r="AB3410">
        <v>22</v>
      </c>
      <c r="AC3410">
        <v>1.59000000000162E-2</v>
      </c>
      <c r="AD3410">
        <v>-8.4051000000000098E-2</v>
      </c>
      <c r="AE3410">
        <v>-0.68129999999999302</v>
      </c>
      <c r="AF3410">
        <v>-2.8222592775975299E-2</v>
      </c>
      <c r="AG3410">
        <v>-8.4051000000000098E-2</v>
      </c>
      <c r="AH3410">
        <v>0.67068085999529103</v>
      </c>
      <c r="AI3410">
        <v>97.136924509757307</v>
      </c>
      <c r="AJ3410">
        <v>92.409614015513995</v>
      </c>
      <c r="AK3410">
        <v>0.67651600225569097</v>
      </c>
      <c r="AL3410">
        <v>68.127341252472206</v>
      </c>
      <c r="AM3410">
        <v>91.857200560779006</v>
      </c>
      <c r="AN3410">
        <v>1.0000000498788899</v>
      </c>
    </row>
    <row r="3411" spans="1:40" x14ac:dyDescent="0.25">
      <c r="A3411" t="str">
        <f>"20190304164711083"</f>
        <v>20190304164711083</v>
      </c>
      <c r="B3411" t="str">
        <f>"1551689231071936"</f>
        <v>1551689231071936</v>
      </c>
      <c r="C3411" t="s">
        <v>40</v>
      </c>
      <c r="D3411">
        <v>4.459371</v>
      </c>
      <c r="E3411">
        <v>0.50516070000000002</v>
      </c>
      <c r="F3411" t="s">
        <v>42</v>
      </c>
      <c r="G3411">
        <v>-188.96209999999999</v>
      </c>
      <c r="H3411" s="1">
        <v>-3.5335850000000002E-6</v>
      </c>
      <c r="I3411">
        <v>177.44049999999999</v>
      </c>
      <c r="J3411">
        <v>-189.15870000000001</v>
      </c>
      <c r="K3411">
        <v>1.1122810000000001</v>
      </c>
      <c r="L3411">
        <v>189.36</v>
      </c>
      <c r="M3411">
        <v>-1.707794E-2</v>
      </c>
      <c r="N3411">
        <v>-1.370379E-2</v>
      </c>
      <c r="O3411">
        <v>-0.9997606</v>
      </c>
      <c r="P3411">
        <v>1.4462900000000001E-2</v>
      </c>
      <c r="Q3411">
        <v>0.36011369999999998</v>
      </c>
      <c r="R3411">
        <v>-0.93279679999999998</v>
      </c>
      <c r="S3411">
        <v>5.316162E-2</v>
      </c>
      <c r="T3411">
        <v>-0.30485580000000001</v>
      </c>
      <c r="U3411">
        <v>-3.3325809999999998</v>
      </c>
      <c r="V3411">
        <v>-3.1312109999999997E-2</v>
      </c>
      <c r="W3411">
        <v>0.37278129999999998</v>
      </c>
      <c r="X3411">
        <v>0.92739079999999996</v>
      </c>
      <c r="Y3411">
        <v>-3.2953490000000002E-2</v>
      </c>
      <c r="Z3411">
        <v>7.738942E-2</v>
      </c>
      <c r="AA3411">
        <v>0.99645620000000001</v>
      </c>
      <c r="AB3411">
        <v>22</v>
      </c>
      <c r="AC3411">
        <v>0.19660000000001701</v>
      </c>
      <c r="AD3411">
        <v>-1.11228453358499</v>
      </c>
      <c r="AE3411">
        <v>-11.919499999999999</v>
      </c>
      <c r="AF3411">
        <v>-0.39669739308259599</v>
      </c>
      <c r="AG3411">
        <v>-1.11228453358499</v>
      </c>
      <c r="AH3411">
        <v>11.811576915455801</v>
      </c>
      <c r="AI3411">
        <v>95.376608863961806</v>
      </c>
      <c r="AJ3411">
        <v>91.923582794598403</v>
      </c>
      <c r="AK3411">
        <v>11.8704631306053</v>
      </c>
      <c r="AL3411">
        <v>68.112750630579697</v>
      </c>
      <c r="AM3411">
        <v>91.933780759878303</v>
      </c>
      <c r="AN3411">
        <v>1.00000002089349</v>
      </c>
    </row>
    <row r="3412" spans="1:40" x14ac:dyDescent="0.25">
      <c r="A3412" t="str">
        <f>"20190304164711105"</f>
        <v>20190304164711105</v>
      </c>
      <c r="B3412" t="str">
        <f>"1551689231092432"</f>
        <v>1551689231092432</v>
      </c>
      <c r="C3412" t="s">
        <v>40</v>
      </c>
      <c r="D3412">
        <v>4.4605560000000004</v>
      </c>
      <c r="E3412">
        <v>0.50528530000000005</v>
      </c>
      <c r="F3412" t="s">
        <v>42</v>
      </c>
      <c r="G3412">
        <v>-188.93010000000001</v>
      </c>
      <c r="H3412" s="1">
        <v>-3.421239E-6</v>
      </c>
      <c r="I3412">
        <v>177.16540000000001</v>
      </c>
      <c r="J3412">
        <v>-189.16040000000001</v>
      </c>
      <c r="K3412">
        <v>1.1123809999999901</v>
      </c>
      <c r="L3412">
        <v>189.15</v>
      </c>
      <c r="M3412">
        <v>-1.5458690000000001E-2</v>
      </c>
      <c r="N3412">
        <v>-1.370386E-2</v>
      </c>
      <c r="O3412">
        <v>-0.99978670000000003</v>
      </c>
      <c r="P3412">
        <v>1.7484420000000001E-2</v>
      </c>
      <c r="Q3412">
        <v>0.35991960000000001</v>
      </c>
      <c r="R3412">
        <v>-0.93281999999999998</v>
      </c>
      <c r="S3412">
        <v>6.2454219999999998E-2</v>
      </c>
      <c r="T3412">
        <v>-0.30396069999999997</v>
      </c>
      <c r="U3412">
        <v>-3.3325040000000001</v>
      </c>
      <c r="V3412">
        <v>-3.2911820000000001E-2</v>
      </c>
      <c r="W3412">
        <v>0.37257600000000002</v>
      </c>
      <c r="X3412">
        <v>0.92741790000000002</v>
      </c>
      <c r="Y3412">
        <v>-3.4112459999999997E-2</v>
      </c>
      <c r="Z3412">
        <v>7.71255E-2</v>
      </c>
      <c r="AA3412">
        <v>0.99643769999999998</v>
      </c>
      <c r="AB3412">
        <v>22</v>
      </c>
      <c r="AC3412">
        <v>0.23029999999999901</v>
      </c>
      <c r="AD3412">
        <v>-1.1123844212389999</v>
      </c>
      <c r="AE3412">
        <v>-11.9846</v>
      </c>
      <c r="AF3412">
        <v>-0.41200787243384601</v>
      </c>
      <c r="AG3412">
        <v>-1.1123844212389999</v>
      </c>
      <c r="AH3412">
        <v>11.877320097686599</v>
      </c>
      <c r="AI3412">
        <v>95.347298726813605</v>
      </c>
      <c r="AJ3412">
        <v>91.986715046556895</v>
      </c>
      <c r="AK3412">
        <v>11.936409941455301</v>
      </c>
      <c r="AL3412">
        <v>68.125426432650002</v>
      </c>
      <c r="AM3412">
        <v>92.032435840502899</v>
      </c>
      <c r="AN3412">
        <v>1.00000001245606</v>
      </c>
    </row>
    <row r="3413" spans="1:40" x14ac:dyDescent="0.25">
      <c r="A3413" t="str">
        <f>"20190304164711128"</f>
        <v>20190304164711128</v>
      </c>
      <c r="B3413" t="str">
        <f>"1551689231121712"</f>
        <v>1551689231121712</v>
      </c>
      <c r="C3413" t="s">
        <v>40</v>
      </c>
      <c r="D3413">
        <v>4.4782510000000002</v>
      </c>
      <c r="E3413">
        <v>0.50559929999999997</v>
      </c>
      <c r="F3413" t="s">
        <v>42</v>
      </c>
      <c r="G3413">
        <v>-188.89850000000001</v>
      </c>
      <c r="H3413" s="1">
        <v>-3.3923180000000002E-6</v>
      </c>
      <c r="I3413">
        <v>177.0849</v>
      </c>
      <c r="J3413">
        <v>-189.1618</v>
      </c>
      <c r="K3413">
        <v>1.112482</v>
      </c>
      <c r="L3413">
        <v>188.92519999999999</v>
      </c>
      <c r="M3413">
        <v>-1.3533379999999999E-2</v>
      </c>
      <c r="N3413">
        <v>-1.37044E-2</v>
      </c>
      <c r="O3413">
        <v>-0.9998146</v>
      </c>
      <c r="P3413">
        <v>2.0544880000000001E-2</v>
      </c>
      <c r="Q3413">
        <v>0.35990800000000001</v>
      </c>
      <c r="R3413">
        <v>-0.93276199999999998</v>
      </c>
      <c r="S3413">
        <v>7.2372439999999996E-2</v>
      </c>
      <c r="T3413">
        <v>-0.30732290000000001</v>
      </c>
      <c r="U3413">
        <v>-3.3332820000000001</v>
      </c>
      <c r="V3413">
        <v>-3.4271549999999998E-2</v>
      </c>
      <c r="W3413">
        <v>0.3725521</v>
      </c>
      <c r="X3413">
        <v>0.92737820000000004</v>
      </c>
      <c r="Y3413">
        <v>-3.5144580000000002E-2</v>
      </c>
      <c r="Z3413">
        <v>7.8100030000000001E-2</v>
      </c>
      <c r="AA3413">
        <v>0.99632589999999999</v>
      </c>
      <c r="AB3413">
        <v>22</v>
      </c>
      <c r="AC3413">
        <v>0.26329999999998599</v>
      </c>
      <c r="AD3413">
        <v>-1.112485392318</v>
      </c>
      <c r="AE3413">
        <v>-11.8402999999999</v>
      </c>
      <c r="AF3413">
        <v>-0.41982579726955199</v>
      </c>
      <c r="AG3413">
        <v>-1.112485392318</v>
      </c>
      <c r="AH3413">
        <v>11.732131505164601</v>
      </c>
      <c r="AI3413">
        <v>95.413363368774398</v>
      </c>
      <c r="AJ3413">
        <v>92.049413349732902</v>
      </c>
      <c r="AK3413">
        <v>11.7922341862197</v>
      </c>
      <c r="AL3413">
        <v>68.126900969225005</v>
      </c>
      <c r="AM3413">
        <v>92.116420252609899</v>
      </c>
      <c r="AN3413">
        <v>0.99999996609452502</v>
      </c>
    </row>
    <row r="3414" spans="1:40" x14ac:dyDescent="0.25">
      <c r="A3414" t="str">
        <f>"20190304164711150"</f>
        <v>20190304164711150</v>
      </c>
      <c r="B3414" t="str">
        <f>"1551689231142207"</f>
        <v>1551689231142207</v>
      </c>
      <c r="C3414" t="s">
        <v>40</v>
      </c>
      <c r="D3414">
        <v>4.5031980000000003</v>
      </c>
      <c r="E3414">
        <v>0.50584439999999997</v>
      </c>
      <c r="F3414" t="s">
        <v>42</v>
      </c>
      <c r="G3414">
        <v>-188.88069999999999</v>
      </c>
      <c r="H3414" s="1">
        <v>-3.3729509999999999E-6</v>
      </c>
      <c r="I3414">
        <v>177.0324</v>
      </c>
      <c r="J3414">
        <v>-189.16249999999999</v>
      </c>
      <c r="K3414">
        <v>1.1125969999999901</v>
      </c>
      <c r="L3414">
        <v>188.7047</v>
      </c>
      <c r="M3414">
        <v>-1.145612E-2</v>
      </c>
      <c r="N3414">
        <v>-1.37059E-2</v>
      </c>
      <c r="O3414">
        <v>-0.99984050000000002</v>
      </c>
      <c r="P3414">
        <v>2.4142299999999998E-2</v>
      </c>
      <c r="Q3414">
        <v>0.36045820000000001</v>
      </c>
      <c r="R3414">
        <v>-0.93246309999999999</v>
      </c>
      <c r="S3414">
        <v>7.8811649999999997E-2</v>
      </c>
      <c r="T3414">
        <v>-0.31195289999999998</v>
      </c>
      <c r="U3414">
        <v>-3.3348849999999999</v>
      </c>
      <c r="V3414">
        <v>-3.6027120000000003E-2</v>
      </c>
      <c r="W3414">
        <v>0.37308609999999998</v>
      </c>
      <c r="X3414">
        <v>0.92709699999999995</v>
      </c>
      <c r="Y3414">
        <v>-3.4977969999999997E-2</v>
      </c>
      <c r="Z3414">
        <v>7.9428289999999999E-2</v>
      </c>
      <c r="AA3414">
        <v>0.99622670000000002</v>
      </c>
      <c r="AB3414">
        <v>22</v>
      </c>
      <c r="AC3414">
        <v>0.28180000000000399</v>
      </c>
      <c r="AD3414">
        <v>-1.1126003729509999</v>
      </c>
      <c r="AE3414">
        <v>-11.6723</v>
      </c>
      <c r="AF3414">
        <v>-0.41177418803507299</v>
      </c>
      <c r="AG3414">
        <v>-1.1126003729509999</v>
      </c>
      <c r="AH3414">
        <v>11.563304007673</v>
      </c>
      <c r="AI3414">
        <v>95.492518205141494</v>
      </c>
      <c r="AJ3414">
        <v>92.039465355586501</v>
      </c>
      <c r="AK3414">
        <v>11.6240026301481</v>
      </c>
      <c r="AL3414">
        <v>68.093929016313695</v>
      </c>
      <c r="AM3414">
        <v>92.225402311466397</v>
      </c>
      <c r="AN3414">
        <v>1.0000000193988501</v>
      </c>
    </row>
    <row r="3415" spans="1:40" x14ac:dyDescent="0.25">
      <c r="A3415" t="str">
        <f>"20190304164711171"</f>
        <v>20190304164711171</v>
      </c>
      <c r="B3415" t="str">
        <f>"1551689231161728"</f>
        <v>1551689231161728</v>
      </c>
      <c r="C3415" t="s">
        <v>40</v>
      </c>
      <c r="D3415">
        <v>4.9920460000000002</v>
      </c>
      <c r="E3415">
        <v>0.50598659999999995</v>
      </c>
      <c r="F3415" t="s">
        <v>42</v>
      </c>
      <c r="G3415">
        <v>-188.85169999999999</v>
      </c>
      <c r="H3415" s="1">
        <v>-3.2822760000000001E-6</v>
      </c>
      <c r="I3415">
        <v>176.809</v>
      </c>
      <c r="J3415">
        <v>-189.16249999999999</v>
      </c>
      <c r="K3415">
        <v>1.112706</v>
      </c>
      <c r="L3415">
        <v>188.4837</v>
      </c>
      <c r="M3415">
        <v>-9.2085899999999991E-3</v>
      </c>
      <c r="N3415">
        <v>-1.370823E-2</v>
      </c>
      <c r="O3415">
        <v>-0.99986399999999998</v>
      </c>
      <c r="P3415">
        <v>2.786808E-2</v>
      </c>
      <c r="Q3415">
        <v>0.36100149999999998</v>
      </c>
      <c r="R3415">
        <v>-0.93214920000000001</v>
      </c>
      <c r="S3415">
        <v>8.7142940000000002E-2</v>
      </c>
      <c r="T3415">
        <v>-0.31198110000000001</v>
      </c>
      <c r="U3415">
        <v>-3.3356170000000001</v>
      </c>
      <c r="V3415">
        <v>-3.7754019999999999E-2</v>
      </c>
      <c r="W3415">
        <v>0.3736121</v>
      </c>
      <c r="X3415">
        <v>0.92681639999999998</v>
      </c>
      <c r="Y3415">
        <v>-3.5212889999999997E-2</v>
      </c>
      <c r="Z3415">
        <v>7.9414209999999999E-2</v>
      </c>
      <c r="AA3415">
        <v>0.99621959999999998</v>
      </c>
      <c r="AB3415">
        <v>22</v>
      </c>
      <c r="AC3415">
        <v>0.31080000000000002</v>
      </c>
      <c r="AD3415">
        <v>-1.1127092822759901</v>
      </c>
      <c r="AE3415">
        <v>-11.6746999999999</v>
      </c>
      <c r="AF3415">
        <v>-0.41454142584760401</v>
      </c>
      <c r="AG3415">
        <v>-1.1127092822759901</v>
      </c>
      <c r="AH3415">
        <v>11.566349542502801</v>
      </c>
      <c r="AI3415">
        <v>95.491570266110202</v>
      </c>
      <c r="AJ3415">
        <v>92.052619287916599</v>
      </c>
      <c r="AK3415">
        <v>11.6271410191827</v>
      </c>
      <c r="AL3415">
        <v>68.061441984455797</v>
      </c>
      <c r="AM3415">
        <v>92.332663427891404</v>
      </c>
      <c r="AN3415">
        <v>1.0000000033007601</v>
      </c>
    </row>
    <row r="3416" spans="1:40" x14ac:dyDescent="0.25">
      <c r="A3416" t="str">
        <f>"20190304164711192"</f>
        <v>20190304164711192</v>
      </c>
      <c r="B3416" t="str">
        <f>"1551689231182224"</f>
        <v>1551689231182224</v>
      </c>
      <c r="C3416" t="s">
        <v>40</v>
      </c>
      <c r="D3416">
        <v>4.5119920000000002</v>
      </c>
      <c r="E3416">
        <v>0.50626210000000005</v>
      </c>
      <c r="F3416" t="s">
        <v>42</v>
      </c>
      <c r="G3416">
        <v>-188.81299999999999</v>
      </c>
      <c r="H3416" s="1">
        <v>-3.140888E-6</v>
      </c>
      <c r="I3416">
        <v>176.46340000000001</v>
      </c>
      <c r="J3416">
        <v>-189.1619</v>
      </c>
      <c r="K3416">
        <v>1.112795</v>
      </c>
      <c r="L3416">
        <v>188.27850000000001</v>
      </c>
      <c r="M3416">
        <v>-6.9843550000000003E-3</v>
      </c>
      <c r="N3416">
        <v>-1.3710389999999999E-2</v>
      </c>
      <c r="O3416">
        <v>-0.99988189999999999</v>
      </c>
      <c r="P3416">
        <v>3.1809940000000002E-2</v>
      </c>
      <c r="Q3416">
        <v>0.36086479999999999</v>
      </c>
      <c r="R3416">
        <v>-0.93207580000000001</v>
      </c>
      <c r="S3416">
        <v>9.6984860000000006E-2</v>
      </c>
      <c r="T3416">
        <v>-0.30872369999999999</v>
      </c>
      <c r="U3416">
        <v>-3.3350520000000001</v>
      </c>
      <c r="V3416">
        <v>-3.9705919999999999E-2</v>
      </c>
      <c r="W3416">
        <v>0.37346210000000002</v>
      </c>
      <c r="X3416">
        <v>0.92679529999999999</v>
      </c>
      <c r="Y3416">
        <v>-3.5933710000000001E-2</v>
      </c>
      <c r="Z3416">
        <v>7.8460740000000001E-2</v>
      </c>
      <c r="AA3416">
        <v>0.99626939999999997</v>
      </c>
      <c r="AB3416">
        <v>22</v>
      </c>
      <c r="AC3416">
        <v>0.34890000000001398</v>
      </c>
      <c r="AD3416">
        <v>-1.1127981408880001</v>
      </c>
      <c r="AE3416">
        <v>-11.815099999999999</v>
      </c>
      <c r="AF3416">
        <v>-0.42763000147686497</v>
      </c>
      <c r="AG3416">
        <v>-1.1127981408880001</v>
      </c>
      <c r="AH3416">
        <v>11.7086016737068</v>
      </c>
      <c r="AI3416">
        <v>95.425549329705703</v>
      </c>
      <c r="AJ3416">
        <v>92.091668113693302</v>
      </c>
      <c r="AK3416">
        <v>11.769135069071901</v>
      </c>
      <c r="AL3416">
        <v>68.070707247576607</v>
      </c>
      <c r="AM3416">
        <v>92.453175254330006</v>
      </c>
      <c r="AN3416">
        <v>1.0000000141607699</v>
      </c>
    </row>
    <row r="3417" spans="1:40" x14ac:dyDescent="0.25">
      <c r="A3417" t="str">
        <f>"20190304164711215"</f>
        <v>20190304164711215</v>
      </c>
      <c r="B3417" t="str">
        <f>"1551689231212480"</f>
        <v>1551689231212480</v>
      </c>
      <c r="C3417" t="s">
        <v>40</v>
      </c>
      <c r="D3417">
        <v>4.5200399999999998</v>
      </c>
      <c r="E3417">
        <v>0.50669549999999997</v>
      </c>
      <c r="F3417" t="s">
        <v>42</v>
      </c>
      <c r="G3417">
        <v>-188.77459999999999</v>
      </c>
      <c r="H3417" s="1">
        <v>-3.0427900000000001E-6</v>
      </c>
      <c r="I3417">
        <v>176.21889999999999</v>
      </c>
      <c r="J3417">
        <v>-189.16059999999999</v>
      </c>
      <c r="K3417">
        <v>1.1128769999999999</v>
      </c>
      <c r="L3417">
        <v>188.05860000000001</v>
      </c>
      <c r="M3417">
        <v>-4.4755230000000003E-3</v>
      </c>
      <c r="N3417">
        <v>-1.371225E-2</v>
      </c>
      <c r="O3417">
        <v>-0.99989620000000001</v>
      </c>
      <c r="P3417">
        <v>3.6063789999999998E-2</v>
      </c>
      <c r="Q3417">
        <v>0.3607263</v>
      </c>
      <c r="R3417">
        <v>-0.93197439999999998</v>
      </c>
      <c r="S3417">
        <v>0.1071014</v>
      </c>
      <c r="T3417">
        <v>-0.30765199999999998</v>
      </c>
      <c r="U3417">
        <v>-3.3340909999999999</v>
      </c>
      <c r="V3417">
        <v>-4.1695509999999998E-2</v>
      </c>
      <c r="W3417">
        <v>0.37330950000000002</v>
      </c>
      <c r="X3417">
        <v>0.92676939999999997</v>
      </c>
      <c r="Y3417">
        <v>-3.6455139999999997E-2</v>
      </c>
      <c r="Z3417">
        <v>7.8164990000000004E-2</v>
      </c>
      <c r="AA3417">
        <v>0.99627370000000004</v>
      </c>
      <c r="AB3417">
        <v>22</v>
      </c>
      <c r="AC3417">
        <v>0.38599999999999501</v>
      </c>
      <c r="AD3417">
        <v>-1.1128800427900001</v>
      </c>
      <c r="AE3417">
        <v>-11.839700000000001</v>
      </c>
      <c r="AF3417">
        <v>-0.43514941255842399</v>
      </c>
      <c r="AG3417">
        <v>-1.1128800427900001</v>
      </c>
      <c r="AH3417">
        <v>11.734289229578</v>
      </c>
      <c r="AI3417">
        <v>95.414028035857598</v>
      </c>
      <c r="AJ3417">
        <v>92.123759255295894</v>
      </c>
      <c r="AK3417">
        <v>11.794973536396</v>
      </c>
      <c r="AL3417">
        <v>68.080132128666705</v>
      </c>
      <c r="AM3417">
        <v>92.576009574459206</v>
      </c>
      <c r="AN3417">
        <v>1.00000000956038</v>
      </c>
    </row>
    <row r="3418" spans="1:40" x14ac:dyDescent="0.25">
      <c r="A3418" t="str">
        <f>"20190304164711237"</f>
        <v>20190304164711237</v>
      </c>
      <c r="B3418" t="str">
        <f>"1551689231232000"</f>
        <v>1551689231232000</v>
      </c>
      <c r="C3418" t="s">
        <v>40</v>
      </c>
      <c r="D3418">
        <v>4.9986670000000002</v>
      </c>
      <c r="E3418">
        <v>0.50705180000000005</v>
      </c>
      <c r="F3418" t="s">
        <v>42</v>
      </c>
      <c r="G3418">
        <v>-188.7355</v>
      </c>
      <c r="H3418" s="1">
        <v>-2.93605E-6</v>
      </c>
      <c r="I3418">
        <v>175.9539</v>
      </c>
      <c r="J3418">
        <v>-189.1585</v>
      </c>
      <c r="K3418">
        <v>1.112933</v>
      </c>
      <c r="L3418">
        <v>187.82830000000001</v>
      </c>
      <c r="M3418">
        <v>-1.7277289999999999E-3</v>
      </c>
      <c r="N3418">
        <v>-1.371373E-2</v>
      </c>
      <c r="O3418">
        <v>-0.99990460000000003</v>
      </c>
      <c r="P3418">
        <v>4.0149299999999999E-2</v>
      </c>
      <c r="Q3418">
        <v>0.36047240000000003</v>
      </c>
      <c r="R3418">
        <v>-0.93190550000000005</v>
      </c>
      <c r="S3418">
        <v>0.11705019999999999</v>
      </c>
      <c r="T3418">
        <v>-0.306434599999999</v>
      </c>
      <c r="U3418">
        <v>-3.3330540000000002</v>
      </c>
      <c r="V3418">
        <v>-4.327276E-2</v>
      </c>
      <c r="W3418">
        <v>0.37304500000000002</v>
      </c>
      <c r="X3418">
        <v>0.92680359999999995</v>
      </c>
      <c r="Y3418">
        <v>-3.6690090000000002E-2</v>
      </c>
      <c r="Z3418">
        <v>7.7827839999999995E-2</v>
      </c>
      <c r="AA3418">
        <v>0.9962915</v>
      </c>
      <c r="AB3418">
        <v>22</v>
      </c>
      <c r="AC3418">
        <v>0.42300000000000099</v>
      </c>
      <c r="AD3418">
        <v>-1.11293593605</v>
      </c>
      <c r="AE3418">
        <v>-11.8744</v>
      </c>
      <c r="AF3418">
        <v>-0.439659744945819</v>
      </c>
      <c r="AG3418">
        <v>-1.11293593605</v>
      </c>
      <c r="AH3418">
        <v>11.7703854830617</v>
      </c>
      <c r="AI3418">
        <v>95.397738778637006</v>
      </c>
      <c r="AJ3418">
        <v>92.139177335437395</v>
      </c>
      <c r="AK3418">
        <v>11.8310566522584</v>
      </c>
      <c r="AL3418">
        <v>68.096466856656605</v>
      </c>
      <c r="AM3418">
        <v>92.673217088925995</v>
      </c>
      <c r="AN3418">
        <v>1.0000000083779801</v>
      </c>
    </row>
    <row r="3419" spans="1:40" x14ac:dyDescent="0.25">
      <c r="A3419" t="str">
        <f>"20190304164711261"</f>
        <v>20190304164711261</v>
      </c>
      <c r="B3419" t="str">
        <f>"1551689231252499"</f>
        <v>1551689231252499</v>
      </c>
      <c r="C3419" t="s">
        <v>40</v>
      </c>
      <c r="D3419">
        <v>4.5208349999999999</v>
      </c>
      <c r="E3419">
        <v>0.50741029999999998</v>
      </c>
      <c r="F3419" t="s">
        <v>42</v>
      </c>
      <c r="G3419">
        <v>-188.6942</v>
      </c>
      <c r="H3419" s="1">
        <v>-2.85033E-6</v>
      </c>
      <c r="I3419">
        <v>175.73699999999999</v>
      </c>
      <c r="J3419">
        <v>-189.15559999999999</v>
      </c>
      <c r="K3419">
        <v>1.1129639999999901</v>
      </c>
      <c r="L3419">
        <v>187.60239999999999</v>
      </c>
      <c r="M3419">
        <v>1.0420939999999999E-3</v>
      </c>
      <c r="N3419">
        <v>-1.3714459999999999E-2</v>
      </c>
      <c r="O3419">
        <v>-0.9999055</v>
      </c>
      <c r="P3419">
        <v>4.4753550000000003E-2</v>
      </c>
      <c r="Q3419">
        <v>0.36010059999999999</v>
      </c>
      <c r="R3419">
        <v>-0.93183950000000004</v>
      </c>
      <c r="S3419">
        <v>0.1279602</v>
      </c>
      <c r="T3419">
        <v>-0.30672280000000002</v>
      </c>
      <c r="U3419">
        <v>-3.3323360000000002</v>
      </c>
      <c r="V3419">
        <v>-4.5321880000000002E-2</v>
      </c>
      <c r="W3419">
        <v>0.37266310000000002</v>
      </c>
      <c r="X3419">
        <v>0.92685930000000005</v>
      </c>
      <c r="Y3419">
        <v>-3.7186150000000001E-2</v>
      </c>
      <c r="Z3419">
        <v>7.7926570000000001E-2</v>
      </c>
      <c r="AA3419">
        <v>0.99626539999999997</v>
      </c>
      <c r="AB3419">
        <v>22</v>
      </c>
      <c r="AC3419">
        <v>0.46139999999999698</v>
      </c>
      <c r="AD3419">
        <v>-1.1129668503300001</v>
      </c>
      <c r="AE3419">
        <v>-11.8653999999999</v>
      </c>
      <c r="AF3419">
        <v>-0.44512330179964499</v>
      </c>
      <c r="AG3419">
        <v>-1.1129668503300001</v>
      </c>
      <c r="AH3419">
        <v>11.762540101873199</v>
      </c>
      <c r="AI3419">
        <v>95.401368163881202</v>
      </c>
      <c r="AJ3419">
        <v>92.167178397982497</v>
      </c>
      <c r="AK3419">
        <v>11.823458868364799</v>
      </c>
      <c r="AL3419">
        <v>68.120048641603802</v>
      </c>
      <c r="AM3419">
        <v>92.799438657929002</v>
      </c>
      <c r="AN3419">
        <v>1.00000001045241</v>
      </c>
    </row>
    <row r="3420" spans="1:40" x14ac:dyDescent="0.25">
      <c r="A3420" t="str">
        <f>"20190304164711284"</f>
        <v>20190304164711284</v>
      </c>
      <c r="B3420" t="str">
        <f>"1551689231272016"</f>
        <v>1551689231272016</v>
      </c>
      <c r="C3420" t="s">
        <v>40</v>
      </c>
      <c r="D3420">
        <v>4.5058600000000002</v>
      </c>
      <c r="E3420">
        <v>0.50783409999999995</v>
      </c>
      <c r="F3420" t="s">
        <v>42</v>
      </c>
      <c r="G3420">
        <v>-188.65260000000001</v>
      </c>
      <c r="H3420" s="1">
        <v>-2.7775449999999998E-6</v>
      </c>
      <c r="I3420">
        <v>175.55019999999999</v>
      </c>
      <c r="J3420">
        <v>-189.15209999999999</v>
      </c>
      <c r="K3420">
        <v>1.112981</v>
      </c>
      <c r="L3420">
        <v>187.37639999999999</v>
      </c>
      <c r="M3420">
        <v>3.8589000000000002E-3</v>
      </c>
      <c r="N3420">
        <v>-1.371465E-2</v>
      </c>
      <c r="O3420">
        <v>-0.99989859999999997</v>
      </c>
      <c r="P3420">
        <v>4.864798E-2</v>
      </c>
      <c r="Q3420">
        <v>0.36042990000000003</v>
      </c>
      <c r="R3420">
        <v>-0.93151709999999999</v>
      </c>
      <c r="S3420">
        <v>0.13905329999999999</v>
      </c>
      <c r="T3420">
        <v>-0.30766179999999999</v>
      </c>
      <c r="U3420">
        <v>-3.3316499999999998</v>
      </c>
      <c r="V3420">
        <v>-4.6601910000000003E-2</v>
      </c>
      <c r="W3420">
        <v>0.37298399999999998</v>
      </c>
      <c r="X3420">
        <v>0.92666669999999995</v>
      </c>
      <c r="Y3420">
        <v>-3.7689380000000001E-2</v>
      </c>
      <c r="Z3420">
        <v>7.8216469999999996E-2</v>
      </c>
      <c r="AA3420">
        <v>0.99622370000000005</v>
      </c>
      <c r="AB3420">
        <v>22</v>
      </c>
      <c r="AC3420">
        <v>0.49949999999998301</v>
      </c>
      <c r="AD3420">
        <v>-1.112983777545</v>
      </c>
      <c r="AE3420">
        <v>-11.8262</v>
      </c>
      <c r="AF3420">
        <v>-0.449878386325262</v>
      </c>
      <c r="AG3420">
        <v>-1.112983777545</v>
      </c>
      <c r="AH3420">
        <v>11.7243815646392</v>
      </c>
      <c r="AI3420">
        <v>95.418816701838793</v>
      </c>
      <c r="AJ3420">
        <v>92.197428783436706</v>
      </c>
      <c r="AK3420">
        <v>11.785679722647</v>
      </c>
      <c r="AL3420">
        <v>68.100233295516006</v>
      </c>
      <c r="AM3420">
        <v>92.878969560486794</v>
      </c>
      <c r="AN3420">
        <v>0.99999998758026798</v>
      </c>
    </row>
    <row r="3421" spans="1:40" x14ac:dyDescent="0.25">
      <c r="A3421" t="str">
        <f>"20190304164711306"</f>
        <v>20190304164711306</v>
      </c>
      <c r="B3421" t="str">
        <f>"1551689231302273"</f>
        <v>1551689231302273</v>
      </c>
      <c r="C3421" t="s">
        <v>40</v>
      </c>
      <c r="D3421">
        <v>4.4896770000000004</v>
      </c>
      <c r="E3421">
        <v>0.50821470000000002</v>
      </c>
      <c r="F3421" t="s">
        <v>42</v>
      </c>
      <c r="G3421">
        <v>-188.61519999999999</v>
      </c>
      <c r="H3421" s="1">
        <v>-2.6500029999999999E-6</v>
      </c>
      <c r="I3421">
        <v>175.23740000000001</v>
      </c>
      <c r="J3421">
        <v>-189.1482</v>
      </c>
      <c r="K3421">
        <v>1.1129789999999999</v>
      </c>
      <c r="L3421">
        <v>187.16329999999999</v>
      </c>
      <c r="M3421">
        <v>6.5337249999999998E-3</v>
      </c>
      <c r="N3421">
        <v>-1.3714270000000001E-2</v>
      </c>
      <c r="O3421">
        <v>-0.99988469999999996</v>
      </c>
      <c r="P3421">
        <v>5.1256320000000001E-2</v>
      </c>
      <c r="Q3421">
        <v>0.36033999999999999</v>
      </c>
      <c r="R3421">
        <v>-0.93141189999999996</v>
      </c>
      <c r="S3421">
        <v>0.14733889999999999</v>
      </c>
      <c r="T3421">
        <v>-0.30540929999999999</v>
      </c>
      <c r="U3421">
        <v>-3.3310240000000002</v>
      </c>
      <c r="V3421">
        <v>-4.6713329999999997E-2</v>
      </c>
      <c r="W3421">
        <v>0.37289369999999999</v>
      </c>
      <c r="X3421">
        <v>0.9266974</v>
      </c>
      <c r="Y3421">
        <v>-3.7499970000000001E-2</v>
      </c>
      <c r="Z3421">
        <v>7.7560480000000001E-2</v>
      </c>
      <c r="AA3421">
        <v>0.99628220000000001</v>
      </c>
      <c r="AB3421">
        <v>22</v>
      </c>
      <c r="AC3421">
        <v>0.53300000000001502</v>
      </c>
      <c r="AD3421">
        <v>-1.1129816500030001</v>
      </c>
      <c r="AE3421">
        <v>-11.925899999999899</v>
      </c>
      <c r="AF3421">
        <v>-0.45113937855009001</v>
      </c>
      <c r="AG3421">
        <v>-1.1129816500030001</v>
      </c>
      <c r="AH3421">
        <v>11.826331977916301</v>
      </c>
      <c r="AI3421">
        <v>95.372413124831596</v>
      </c>
      <c r="AJ3421">
        <v>92.184604254079701</v>
      </c>
      <c r="AK3421">
        <v>11.8871520114789</v>
      </c>
      <c r="AL3421">
        <v>68.105808726783195</v>
      </c>
      <c r="AM3421">
        <v>92.885745794167804</v>
      </c>
      <c r="AN3421">
        <v>0.99999995893306803</v>
      </c>
    </row>
    <row r="3422" spans="1:40" x14ac:dyDescent="0.25">
      <c r="A3422" t="str">
        <f>"20190304164711327"</f>
        <v>20190304164711327</v>
      </c>
      <c r="B3422" t="str">
        <f>"1551689231321792"</f>
        <v>1551689231321792</v>
      </c>
      <c r="C3422" t="s">
        <v>40</v>
      </c>
      <c r="D3422">
        <v>4.4606810000000001</v>
      </c>
      <c r="E3422">
        <v>0.51710100000000003</v>
      </c>
      <c r="F3422" t="s">
        <v>42</v>
      </c>
      <c r="G3422">
        <v>-188.59049999999999</v>
      </c>
      <c r="H3422" s="1">
        <v>-2.557146E-6</v>
      </c>
      <c r="I3422">
        <v>175.01079999999999</v>
      </c>
      <c r="J3422">
        <v>-189.1437</v>
      </c>
      <c r="K3422">
        <v>1.1129659999999999</v>
      </c>
      <c r="L3422">
        <v>186.95009999999999</v>
      </c>
      <c r="M3422">
        <v>9.207916E-3</v>
      </c>
      <c r="N3422">
        <v>-1.371343E-2</v>
      </c>
      <c r="O3422">
        <v>-0.99986370000000002</v>
      </c>
      <c r="P3422">
        <v>5.3787410000000001E-2</v>
      </c>
      <c r="Q3422">
        <v>0.3609115</v>
      </c>
      <c r="R3422">
        <v>-0.93104799999999999</v>
      </c>
      <c r="S3422">
        <v>0.152832</v>
      </c>
      <c r="T3422">
        <v>-0.30502360000000001</v>
      </c>
      <c r="U3422">
        <v>-3.3305210000000001</v>
      </c>
      <c r="V3422">
        <v>-4.6746419999999997E-2</v>
      </c>
      <c r="W3422">
        <v>0.37346259999999998</v>
      </c>
      <c r="X3422">
        <v>0.92646660000000003</v>
      </c>
      <c r="Y3422">
        <v>-3.6474979999999997E-2</v>
      </c>
      <c r="Z3422">
        <v>7.7457020000000001E-2</v>
      </c>
      <c r="AA3422">
        <v>0.9963282</v>
      </c>
      <c r="AB3422">
        <v>22</v>
      </c>
      <c r="AC3422">
        <v>0.55320000000000302</v>
      </c>
      <c r="AD3422">
        <v>-1.112968557146</v>
      </c>
      <c r="AE3422">
        <v>-11.939299999999999</v>
      </c>
      <c r="AF3422">
        <v>-0.43941987216024198</v>
      </c>
      <c r="AG3422">
        <v>-1.112968557146</v>
      </c>
      <c r="AH3422">
        <v>11.8412111362075</v>
      </c>
      <c r="AI3422">
        <v>95.365847042542697</v>
      </c>
      <c r="AJ3422">
        <v>92.125235018355795</v>
      </c>
      <c r="AK3422">
        <v>11.9015154499538</v>
      </c>
      <c r="AL3422">
        <v>68.070674911712004</v>
      </c>
      <c r="AM3422">
        <v>92.888504674153893</v>
      </c>
      <c r="AN3422">
        <v>0.99999995114856699</v>
      </c>
    </row>
    <row r="3423" spans="1:40" x14ac:dyDescent="0.25">
      <c r="A3423" t="str">
        <f>"20190304164711350"</f>
        <v>20190304164711350</v>
      </c>
      <c r="B3423" t="str">
        <f>"1551689231342288"</f>
        <v>1551689231342288</v>
      </c>
      <c r="C3423" t="s">
        <v>40</v>
      </c>
      <c r="D3423">
        <v>4.4832419999999997</v>
      </c>
      <c r="E3423">
        <v>0.51766069999999997</v>
      </c>
      <c r="F3423" t="s">
        <v>41</v>
      </c>
      <c r="G3423">
        <v>-189.12209999999999</v>
      </c>
      <c r="H3423">
        <v>1.0280560000000001</v>
      </c>
      <c r="I3423">
        <v>186.1591</v>
      </c>
      <c r="J3423">
        <v>-189.13839999999999</v>
      </c>
      <c r="K3423">
        <v>1.112948</v>
      </c>
      <c r="L3423">
        <v>186.72790000000001</v>
      </c>
      <c r="M3423">
        <v>1.1980299999999999E-2</v>
      </c>
      <c r="N3423">
        <v>-1.371207E-2</v>
      </c>
      <c r="O3423">
        <v>-0.99983440000000001</v>
      </c>
      <c r="P3423">
        <v>5.6616430000000002E-2</v>
      </c>
      <c r="Q3423">
        <v>0.3613922</v>
      </c>
      <c r="R3423">
        <v>-0.93069369999999996</v>
      </c>
      <c r="S3423">
        <v>9.2788700000000002E-2</v>
      </c>
      <c r="T3423">
        <v>-0.36072080000000001</v>
      </c>
      <c r="U3423">
        <v>-3.3566440000000002</v>
      </c>
      <c r="V3423">
        <v>-4.698186E-2</v>
      </c>
      <c r="W3423">
        <v>0.3739403</v>
      </c>
      <c r="X3423">
        <v>0.92626209999999998</v>
      </c>
      <c r="Y3423">
        <v>-1.552075E-2</v>
      </c>
      <c r="Z3423">
        <v>9.3170080000000002E-2</v>
      </c>
      <c r="AA3423">
        <v>0.9955292</v>
      </c>
      <c r="AB3423">
        <v>22</v>
      </c>
      <c r="AC3423">
        <v>1.6300000000001001E-2</v>
      </c>
      <c r="AD3423">
        <v>-8.4892000000000106E-2</v>
      </c>
      <c r="AE3423">
        <v>-0.56880000000000996</v>
      </c>
      <c r="AF3423">
        <v>-9.2773148885211092E-3</v>
      </c>
      <c r="AG3423">
        <v>-8.4892000000000106E-2</v>
      </c>
      <c r="AH3423">
        <v>0.55656720282787298</v>
      </c>
      <c r="AI3423">
        <v>98.6711747421962</v>
      </c>
      <c r="AJ3423">
        <v>90.954964222589695</v>
      </c>
      <c r="AK3423">
        <v>0.56308060834944695</v>
      </c>
      <c r="AL3423">
        <v>68.041169353313805</v>
      </c>
      <c r="AM3423">
        <v>92.903667740168103</v>
      </c>
      <c r="AN3423">
        <v>1.0000000605147701</v>
      </c>
    </row>
    <row r="3424" spans="1:40" x14ac:dyDescent="0.25">
      <c r="A3424" t="str">
        <f>"20190304164711371"</f>
        <v>20190304164711371</v>
      </c>
      <c r="B3424" t="str">
        <f>"1551689231361811"</f>
        <v>1551689231361811</v>
      </c>
      <c r="C3424" t="s">
        <v>40</v>
      </c>
      <c r="D3424">
        <v>4.4537230000000001</v>
      </c>
      <c r="E3424">
        <v>0.51782669999999997</v>
      </c>
      <c r="F3424" t="s">
        <v>41</v>
      </c>
      <c r="G3424">
        <v>-189.11619999999999</v>
      </c>
      <c r="H3424">
        <v>1.030918</v>
      </c>
      <c r="I3424">
        <v>185.96100000000001</v>
      </c>
      <c r="J3424">
        <v>-189.13300000000001</v>
      </c>
      <c r="K3424">
        <v>1.1129279999999999</v>
      </c>
      <c r="L3424">
        <v>186.52099999999999</v>
      </c>
      <c r="M3424">
        <v>1.454065E-2</v>
      </c>
      <c r="N3424">
        <v>-1.3710389999999999E-2</v>
      </c>
      <c r="O3424">
        <v>-0.99980020000000003</v>
      </c>
      <c r="P3424">
        <v>5.8700049999999997E-2</v>
      </c>
      <c r="Q3424">
        <v>0.36259789999999997</v>
      </c>
      <c r="R3424">
        <v>-0.93009529999999996</v>
      </c>
      <c r="S3424">
        <v>9.7366330000000001E-2</v>
      </c>
      <c r="T3424">
        <v>-0.35919319999999999</v>
      </c>
      <c r="U3424">
        <v>-3.3569490000000002</v>
      </c>
      <c r="V3424">
        <v>-4.6674739999999999E-2</v>
      </c>
      <c r="W3424">
        <v>0.37514199999999998</v>
      </c>
      <c r="X3424">
        <v>0.92579149999999999</v>
      </c>
      <c r="Y3424">
        <v>-1.431647E-2</v>
      </c>
      <c r="Z3424">
        <v>9.2708529999999997E-2</v>
      </c>
      <c r="AA3424">
        <v>0.99559039999999999</v>
      </c>
      <c r="AB3424">
        <v>22</v>
      </c>
      <c r="AC3424">
        <v>1.6799999999989199E-2</v>
      </c>
      <c r="AD3424">
        <v>-8.2010000000000097E-2</v>
      </c>
      <c r="AE3424">
        <v>-0.56000000000000205</v>
      </c>
      <c r="AF3424">
        <v>-8.4731372838005702E-3</v>
      </c>
      <c r="AG3424">
        <v>-8.2010000000000097E-2</v>
      </c>
      <c r="AH3424">
        <v>0.54843365406784195</v>
      </c>
      <c r="AI3424">
        <v>98.503704870621405</v>
      </c>
      <c r="AJ3424">
        <v>90.885132378324599</v>
      </c>
      <c r="AK3424">
        <v>0.55459616575453896</v>
      </c>
      <c r="AL3424">
        <v>67.966909881102495</v>
      </c>
      <c r="AM3424">
        <v>92.886182542759897</v>
      </c>
      <c r="AN3424">
        <v>0.99999997649515804</v>
      </c>
    </row>
    <row r="3425" spans="1:40" x14ac:dyDescent="0.25">
      <c r="A3425" t="str">
        <f>"20190304164711393"</f>
        <v>20190304164711393</v>
      </c>
      <c r="B3425" t="str">
        <f>"1551689231382304"</f>
        <v>1551689231382304</v>
      </c>
      <c r="C3425" t="s">
        <v>40</v>
      </c>
      <c r="D3425">
        <v>5.0627009999999997</v>
      </c>
      <c r="E3425">
        <v>0.53263459999999996</v>
      </c>
      <c r="F3425" t="s">
        <v>41</v>
      </c>
      <c r="G3425">
        <v>-189.10980000000001</v>
      </c>
      <c r="H3425">
        <v>1.0330170000000001</v>
      </c>
      <c r="I3425">
        <v>185.7638</v>
      </c>
      <c r="J3425">
        <v>-189.1267</v>
      </c>
      <c r="K3425">
        <v>1.1129009999999999</v>
      </c>
      <c r="L3425">
        <v>186.3057</v>
      </c>
      <c r="M3425">
        <v>1.7176529999999999E-2</v>
      </c>
      <c r="N3425">
        <v>-1.370823E-2</v>
      </c>
      <c r="O3425">
        <v>-0.9997587</v>
      </c>
      <c r="P3425">
        <v>5.9646680000000001E-2</v>
      </c>
      <c r="Q3425">
        <v>0.36334280000000002</v>
      </c>
      <c r="R3425">
        <v>-0.92974449999999997</v>
      </c>
      <c r="S3425">
        <v>0.10350040000000001</v>
      </c>
      <c r="T3425">
        <v>-0.35460619999999998</v>
      </c>
      <c r="U3425">
        <v>-3.3571930000000001</v>
      </c>
      <c r="V3425">
        <v>-4.5151009999999998E-2</v>
      </c>
      <c r="W3425">
        <v>0.37589070000000002</v>
      </c>
      <c r="X3425">
        <v>0.92556340000000004</v>
      </c>
      <c r="Y3425">
        <v>-1.350029E-2</v>
      </c>
      <c r="Z3425">
        <v>9.1350180000000003E-2</v>
      </c>
      <c r="AA3425">
        <v>0.99572729999999998</v>
      </c>
      <c r="AB3425">
        <v>22</v>
      </c>
      <c r="AC3425">
        <v>1.6899999999992501E-2</v>
      </c>
      <c r="AD3425">
        <v>-7.9883999999999802E-2</v>
      </c>
      <c r="AE3425">
        <v>-0.54189999999999805</v>
      </c>
      <c r="AF3425">
        <v>-7.4274228406239901E-3</v>
      </c>
      <c r="AG3425">
        <v>-7.9883999999999802E-2</v>
      </c>
      <c r="AH3425">
        <v>0.53059123359011595</v>
      </c>
      <c r="AI3425">
        <v>98.561124531627499</v>
      </c>
      <c r="AJ3425">
        <v>90.801996265484505</v>
      </c>
      <c r="AK3425">
        <v>0.53662247178881195</v>
      </c>
      <c r="AL3425">
        <v>67.920626225781803</v>
      </c>
      <c r="AM3425">
        <v>92.792799685268605</v>
      </c>
      <c r="AN3425">
        <v>1.0000000197350301</v>
      </c>
    </row>
    <row r="3426" spans="1:40" x14ac:dyDescent="0.25">
      <c r="A3426" t="str">
        <f>"20190304164711408"</f>
        <v>20190304164711408</v>
      </c>
      <c r="B3426" t="str">
        <f>"1551689231401824"</f>
        <v>1551689231401824</v>
      </c>
      <c r="C3426" t="s">
        <v>40</v>
      </c>
      <c r="D3426">
        <v>4.604527</v>
      </c>
      <c r="E3426">
        <v>0.54426580000000002</v>
      </c>
      <c r="F3426" t="s">
        <v>41</v>
      </c>
      <c r="G3426">
        <v>-189.12950000000001</v>
      </c>
      <c r="H3426">
        <v>1.0462400000000001</v>
      </c>
      <c r="I3426">
        <v>185.5609</v>
      </c>
      <c r="J3426">
        <v>-189.12219999999999</v>
      </c>
      <c r="K3426">
        <v>1.112881</v>
      </c>
      <c r="L3426">
        <v>186.1591</v>
      </c>
      <c r="M3426">
        <v>1.894494E-2</v>
      </c>
      <c r="N3426">
        <v>-1.370645E-2</v>
      </c>
      <c r="O3426">
        <v>-0.99972669999999997</v>
      </c>
      <c r="P3426">
        <v>5.9495119999999999E-2</v>
      </c>
      <c r="Q3426">
        <v>0.3640255</v>
      </c>
      <c r="R3426">
        <v>-0.9294869</v>
      </c>
      <c r="S3426">
        <v>-1.1993409999999999E-2</v>
      </c>
      <c r="T3426">
        <v>-0.29944609999999999</v>
      </c>
      <c r="U3426">
        <v>-3.3445130000000001</v>
      </c>
      <c r="V3426">
        <v>-4.3338069999999999E-2</v>
      </c>
      <c r="W3426">
        <v>0.37657849999999998</v>
      </c>
      <c r="X3426">
        <v>0.92537049999999998</v>
      </c>
      <c r="Y3426">
        <v>2.2505770000000001E-2</v>
      </c>
      <c r="Z3426">
        <v>7.5480580000000005E-2</v>
      </c>
      <c r="AA3426">
        <v>0.99689329999999998</v>
      </c>
      <c r="AB3426">
        <v>22</v>
      </c>
      <c r="AC3426">
        <v>-7.3000000000149603E-3</v>
      </c>
      <c r="AD3426">
        <v>-6.6640999999999895E-2</v>
      </c>
      <c r="AE3426">
        <v>-0.59819999999999096</v>
      </c>
      <c r="AF3426">
        <v>1.8404243637590099E-2</v>
      </c>
      <c r="AG3426">
        <v>-6.6640999999999895E-2</v>
      </c>
      <c r="AH3426">
        <v>0.59062542808260698</v>
      </c>
      <c r="AI3426">
        <v>96.434430659838199</v>
      </c>
      <c r="AJ3426">
        <v>88.215206561922002</v>
      </c>
      <c r="AK3426">
        <v>0.59465799865353997</v>
      </c>
      <c r="AL3426">
        <v>67.878093943836902</v>
      </c>
      <c r="AM3426">
        <v>92.681385954794095</v>
      </c>
      <c r="AN3426">
        <v>1.00000005862191</v>
      </c>
    </row>
    <row r="3427" spans="1:40" x14ac:dyDescent="0.25">
      <c r="A3427" t="str">
        <f>"20190304164711428"</f>
        <v>20190304164711428</v>
      </c>
      <c r="B3427" t="str">
        <f>"1551689231422322"</f>
        <v>1551689231422322</v>
      </c>
      <c r="C3427" t="s">
        <v>40</v>
      </c>
      <c r="D3427">
        <v>4.7775740000000004</v>
      </c>
      <c r="E3427">
        <v>0.58334419999999898</v>
      </c>
      <c r="F3427" t="s">
        <v>41</v>
      </c>
      <c r="G3427">
        <v>-189.1474</v>
      </c>
      <c r="H3427">
        <v>1.0500339999999999</v>
      </c>
      <c r="I3427">
        <v>185.36439999999999</v>
      </c>
      <c r="J3427">
        <v>-189.11590000000001</v>
      </c>
      <c r="K3427">
        <v>1.1128499999999999</v>
      </c>
      <c r="L3427">
        <v>185.9692</v>
      </c>
      <c r="M3427">
        <v>2.120408E-2</v>
      </c>
      <c r="N3427">
        <v>-1.3703770000000001E-2</v>
      </c>
      <c r="O3427">
        <v>-0.99968120000000005</v>
      </c>
      <c r="P3427">
        <v>5.6987110000000001E-2</v>
      </c>
      <c r="Q3427">
        <v>0.36438480000000001</v>
      </c>
      <c r="R3427">
        <v>-0.92950310000000003</v>
      </c>
      <c r="S3427">
        <v>-0.10548399999999999</v>
      </c>
      <c r="T3427">
        <v>-0.26414989999999999</v>
      </c>
      <c r="U3427">
        <v>-3.3378139999999998</v>
      </c>
      <c r="V3427">
        <v>-3.8694880000000001E-2</v>
      </c>
      <c r="W3427">
        <v>0.3769575</v>
      </c>
      <c r="X3427">
        <v>0.92542199999999997</v>
      </c>
      <c r="Y3427">
        <v>5.2674739999999998E-2</v>
      </c>
      <c r="Z3427">
        <v>6.5117960000000003E-2</v>
      </c>
      <c r="AA3427">
        <v>0.99648639999999999</v>
      </c>
      <c r="AB3427">
        <v>22</v>
      </c>
      <c r="AC3427">
        <v>-3.1499999999993998E-2</v>
      </c>
      <c r="AD3427">
        <v>-6.28159999999999E-2</v>
      </c>
      <c r="AE3427">
        <v>-0.604800000000011</v>
      </c>
      <c r="AF3427">
        <v>4.3846637124353403E-2</v>
      </c>
      <c r="AG3427">
        <v>-6.28159999999999E-2</v>
      </c>
      <c r="AH3427">
        <v>0.59756724406143102</v>
      </c>
      <c r="AI3427">
        <v>95.984895660590595</v>
      </c>
      <c r="AJ3427">
        <v>85.803429256552405</v>
      </c>
      <c r="AK3427">
        <v>0.60245745793233296</v>
      </c>
      <c r="AL3427">
        <v>67.854651434129906</v>
      </c>
      <c r="AM3427">
        <v>92.394326704720996</v>
      </c>
      <c r="AN3427">
        <v>1.0000000643142299</v>
      </c>
    </row>
    <row r="3428" spans="1:40" x14ac:dyDescent="0.25">
      <c r="A3428" t="str">
        <f>"20190304164711450"</f>
        <v>20190304164711450</v>
      </c>
      <c r="B3428" t="str">
        <f>"1551689231441840"</f>
        <v>1551689231441840</v>
      </c>
      <c r="C3428" t="s">
        <v>40</v>
      </c>
      <c r="D3428">
        <v>4.7760319999999998</v>
      </c>
      <c r="E3428">
        <v>0.58301099999999995</v>
      </c>
      <c r="F3428" t="s">
        <v>41</v>
      </c>
      <c r="G3428">
        <v>-189.20959999999999</v>
      </c>
      <c r="H3428">
        <v>1.0057780000000001</v>
      </c>
      <c r="I3428">
        <v>185.19239999999999</v>
      </c>
      <c r="J3428">
        <v>-189.10810000000001</v>
      </c>
      <c r="K3428">
        <v>1.1127940000000001</v>
      </c>
      <c r="L3428">
        <v>185.7475</v>
      </c>
      <c r="M3428">
        <v>2.378386E-2</v>
      </c>
      <c r="N3428">
        <v>-1.37001E-2</v>
      </c>
      <c r="O3428">
        <v>-0.99962320000000005</v>
      </c>
      <c r="P3428">
        <v>5.4370050000000003E-2</v>
      </c>
      <c r="Q3428">
        <v>0.36329</v>
      </c>
      <c r="R3428">
        <v>-0.93008829999999998</v>
      </c>
      <c r="S3428">
        <v>-0.41426089999999999</v>
      </c>
      <c r="T3428">
        <v>-0.47412199999999999</v>
      </c>
      <c r="U3428">
        <v>-3.4387819999999998</v>
      </c>
      <c r="V3428">
        <v>-3.3609310000000003E-2</v>
      </c>
      <c r="W3428">
        <v>0.375892</v>
      </c>
      <c r="X3428">
        <v>0.92605380000000004</v>
      </c>
      <c r="Y3428">
        <v>0.14214660000000001</v>
      </c>
      <c r="Z3428">
        <v>0.12174649999999999</v>
      </c>
      <c r="AA3428">
        <v>0.98233000000000004</v>
      </c>
      <c r="AB3428">
        <v>22</v>
      </c>
      <c r="AC3428">
        <v>-0.101499999999987</v>
      </c>
      <c r="AD3428">
        <v>-0.107016</v>
      </c>
      <c r="AE3428">
        <v>-0.55510000000001003</v>
      </c>
      <c r="AF3428">
        <v>0.110693908954062</v>
      </c>
      <c r="AG3428">
        <v>-0.107016</v>
      </c>
      <c r="AH3428">
        <v>0.53334717440078006</v>
      </c>
      <c r="AI3428">
        <v>101.114943121498</v>
      </c>
      <c r="AJ3428">
        <v>78.274969102126605</v>
      </c>
      <c r="AK3428">
        <v>0.55512590839991005</v>
      </c>
      <c r="AL3428">
        <v>67.920545642115698</v>
      </c>
      <c r="AM3428">
        <v>92.078525885177697</v>
      </c>
      <c r="AN3428">
        <v>1.0000000109385501</v>
      </c>
    </row>
    <row r="3429" spans="1:40" x14ac:dyDescent="0.25">
      <c r="A3429" t="str">
        <f>"20190304164711472"</f>
        <v>20190304164711472</v>
      </c>
      <c r="B3429" t="str">
        <f>"1551689231462336"</f>
        <v>1551689231462336</v>
      </c>
      <c r="C3429" t="s">
        <v>40</v>
      </c>
      <c r="D3429">
        <v>4.7741540000000002</v>
      </c>
      <c r="E3429">
        <v>0.58302739999999997</v>
      </c>
      <c r="F3429" t="s">
        <v>41</v>
      </c>
      <c r="G3429">
        <v>-189.1987</v>
      </c>
      <c r="H3429">
        <v>1.0013829999999999</v>
      </c>
      <c r="I3429">
        <v>184.99979999999999</v>
      </c>
      <c r="J3429">
        <v>-189.10040000000001</v>
      </c>
      <c r="K3429">
        <v>1.112724</v>
      </c>
      <c r="L3429">
        <v>185.5403</v>
      </c>
      <c r="M3429">
        <v>2.6117430000000001E-2</v>
      </c>
      <c r="N3429">
        <v>-1.3696130000000001E-2</v>
      </c>
      <c r="O3429">
        <v>-0.99956520000000004</v>
      </c>
      <c r="P3429">
        <v>5.1456340000000003E-2</v>
      </c>
      <c r="Q3429">
        <v>0.36165720000000001</v>
      </c>
      <c r="R3429">
        <v>-0.9308902</v>
      </c>
      <c r="S3429">
        <v>-0.41754150000000001</v>
      </c>
      <c r="T3429">
        <v>-0.51441239999999999</v>
      </c>
      <c r="U3429">
        <v>-3.4508510000000001</v>
      </c>
      <c r="V3429">
        <v>-2.843884E-2</v>
      </c>
      <c r="W3429">
        <v>0.3742896</v>
      </c>
      <c r="X3429">
        <v>0.92687569999999997</v>
      </c>
      <c r="Y3429">
        <v>0.14478949999999999</v>
      </c>
      <c r="Z3429">
        <v>0.13248289999999999</v>
      </c>
      <c r="AA3429">
        <v>0.98055309999999996</v>
      </c>
      <c r="AB3429">
        <v>22</v>
      </c>
      <c r="AC3429">
        <v>-9.8299999999994697E-2</v>
      </c>
      <c r="AD3429">
        <v>-0.111341</v>
      </c>
      <c r="AE3429">
        <v>-0.54050000000000797</v>
      </c>
      <c r="AF3429">
        <v>0.107950112984456</v>
      </c>
      <c r="AG3429">
        <v>-0.111341</v>
      </c>
      <c r="AH3429">
        <v>0.51653105873878502</v>
      </c>
      <c r="AI3429">
        <v>101.914461391949</v>
      </c>
      <c r="AJ3429">
        <v>78.195626134262696</v>
      </c>
      <c r="AK3429">
        <v>0.53930916904514703</v>
      </c>
      <c r="AL3429">
        <v>68.019587821682407</v>
      </c>
      <c r="AM3429">
        <v>91.757424942109296</v>
      </c>
      <c r="AN3429">
        <v>1.00000001776959</v>
      </c>
    </row>
    <row r="3430" spans="1:40" x14ac:dyDescent="0.25">
      <c r="A3430" t="str">
        <f>"20190304164711497"</f>
        <v>20190304164711497</v>
      </c>
      <c r="B3430" t="str">
        <f>"1551689231492592"</f>
        <v>1551689231492592</v>
      </c>
      <c r="C3430" t="s">
        <v>40</v>
      </c>
      <c r="D3430">
        <v>4.8065350000000002</v>
      </c>
      <c r="E3430">
        <v>0.58288709999999999</v>
      </c>
      <c r="F3430" t="s">
        <v>41</v>
      </c>
      <c r="G3430">
        <v>-189.19130000000001</v>
      </c>
      <c r="H3430">
        <v>0.9994326</v>
      </c>
      <c r="I3430">
        <v>184.80600000000001</v>
      </c>
      <c r="J3430">
        <v>-189.09190000000001</v>
      </c>
      <c r="K3430">
        <v>1.112635</v>
      </c>
      <c r="L3430">
        <v>185.32050000000001</v>
      </c>
      <c r="M3430">
        <v>2.8477209999999999E-2</v>
      </c>
      <c r="N3430">
        <v>-1.369133E-2</v>
      </c>
      <c r="O3430">
        <v>-0.99950059999999996</v>
      </c>
      <c r="P3430">
        <v>4.44453E-2</v>
      </c>
      <c r="Q3430">
        <v>0.36093839999999999</v>
      </c>
      <c r="R3430">
        <v>-0.93153010000000003</v>
      </c>
      <c r="S3430">
        <v>-0.42660520000000002</v>
      </c>
      <c r="T3430">
        <v>-0.53308750000000005</v>
      </c>
      <c r="U3430">
        <v>-3.4533999999999998</v>
      </c>
      <c r="V3430">
        <v>-1.9131820000000001E-2</v>
      </c>
      <c r="W3430">
        <v>0.37360939999999998</v>
      </c>
      <c r="X3430">
        <v>0.92738880000000001</v>
      </c>
      <c r="Y3430">
        <v>0.14947820000000001</v>
      </c>
      <c r="Z3430">
        <v>0.13747789999999999</v>
      </c>
      <c r="AA3430">
        <v>0.9791609</v>
      </c>
      <c r="AB3430">
        <v>22</v>
      </c>
      <c r="AC3430">
        <v>-9.9400000000002806E-2</v>
      </c>
      <c r="AD3430">
        <v>-0.11320239999999999</v>
      </c>
      <c r="AE3430">
        <v>-0.51450000000002605</v>
      </c>
      <c r="AF3430">
        <v>0.10892900530847301</v>
      </c>
      <c r="AG3430">
        <v>-0.11320239999999999</v>
      </c>
      <c r="AH3430">
        <v>0.48865549065090103</v>
      </c>
      <c r="AI3430">
        <v>102.740966880416</v>
      </c>
      <c r="AJ3430">
        <v>77.433331568406103</v>
      </c>
      <c r="AK3430">
        <v>0.51328793099636205</v>
      </c>
      <c r="AL3430">
        <v>68.061608645422197</v>
      </c>
      <c r="AM3430">
        <v>91.181831260328096</v>
      </c>
      <c r="AN3430">
        <v>0.99999999833515596</v>
      </c>
    </row>
    <row r="3431" spans="1:40" x14ac:dyDescent="0.25">
      <c r="A3431" t="str">
        <f>"20190304164711527"</f>
        <v>20190304164711527</v>
      </c>
      <c r="B3431" t="str">
        <f>"1551689231521872"</f>
        <v>1551689231521872</v>
      </c>
      <c r="C3431" t="s">
        <v>40</v>
      </c>
      <c r="D3431">
        <v>4.8234640000000004</v>
      </c>
      <c r="E3431">
        <v>0.58589550000000001</v>
      </c>
      <c r="F3431" t="s">
        <v>41</v>
      </c>
      <c r="G3431">
        <v>-189.2071</v>
      </c>
      <c r="H3431">
        <v>0.9715937</v>
      </c>
      <c r="I3431">
        <v>184.42910000000001</v>
      </c>
      <c r="J3431">
        <v>-189.07849999999999</v>
      </c>
      <c r="K3431">
        <v>1.112468</v>
      </c>
      <c r="L3431">
        <v>184.99420000000001</v>
      </c>
      <c r="M3431">
        <v>3.1643919999999999E-2</v>
      </c>
      <c r="N3431">
        <v>-1.3682369999999999E-2</v>
      </c>
      <c r="O3431">
        <v>-0.99940560000000001</v>
      </c>
      <c r="P3431">
        <v>3.229419E-2</v>
      </c>
      <c r="Q3431">
        <v>0.36224600000000001</v>
      </c>
      <c r="R3431">
        <v>-0.9315232</v>
      </c>
      <c r="S3431">
        <v>-0.44598389999999999</v>
      </c>
      <c r="T3431">
        <v>-0.54655500000000001</v>
      </c>
      <c r="U3431">
        <v>-3.4535369999999999</v>
      </c>
      <c r="V3431">
        <v>-3.8770330000000002E-3</v>
      </c>
      <c r="W3431">
        <v>0.37495539999999999</v>
      </c>
      <c r="X3431">
        <v>0.92703469999999999</v>
      </c>
      <c r="Y3431">
        <v>0.1579295</v>
      </c>
      <c r="Z3431">
        <v>0.1410315</v>
      </c>
      <c r="AA3431">
        <v>0.97732719999999995</v>
      </c>
      <c r="AB3431">
        <v>22</v>
      </c>
      <c r="AC3431">
        <v>-0.12860000000000499</v>
      </c>
      <c r="AD3431">
        <v>-0.14087429999999901</v>
      </c>
      <c r="AE3431">
        <v>-0.56510000000000005</v>
      </c>
      <c r="AF3431">
        <v>0.138250564947554</v>
      </c>
      <c r="AG3431">
        <v>-0.14087429999999901</v>
      </c>
      <c r="AH3431">
        <v>0.52946329005120296</v>
      </c>
      <c r="AI3431">
        <v>104.436661646144</v>
      </c>
      <c r="AJ3431">
        <v>75.365984953417097</v>
      </c>
      <c r="AK3431">
        <v>0.56505766309346905</v>
      </c>
      <c r="AL3431">
        <v>67.978442742023702</v>
      </c>
      <c r="AM3431">
        <v>90.239620299901205</v>
      </c>
      <c r="AN3431">
        <v>0.99999995918906504</v>
      </c>
    </row>
    <row r="3432" spans="1:40" x14ac:dyDescent="0.25">
      <c r="A3432" t="str">
        <f>"20190304164711551"</f>
        <v>20190304164711551</v>
      </c>
      <c r="B3432" t="str">
        <f>"1551689231542368"</f>
        <v>1551689231542368</v>
      </c>
      <c r="C3432" t="s">
        <v>40</v>
      </c>
      <c r="D3432">
        <v>4.8502890000000001</v>
      </c>
      <c r="E3432">
        <v>0.58525719999999903</v>
      </c>
      <c r="F3432" t="s">
        <v>41</v>
      </c>
      <c r="G3432">
        <v>-189.19200000000001</v>
      </c>
      <c r="H3432">
        <v>0.99669459999999999</v>
      </c>
      <c r="I3432">
        <v>184.22319999999999</v>
      </c>
      <c r="J3432">
        <v>-189.0693</v>
      </c>
      <c r="K3432">
        <v>1.1123379999999901</v>
      </c>
      <c r="L3432">
        <v>184.7757</v>
      </c>
      <c r="M3432">
        <v>3.3552390000000001E-2</v>
      </c>
      <c r="N3432">
        <v>-1.3675899999999901E-2</v>
      </c>
      <c r="O3432">
        <v>-0.99934350000000005</v>
      </c>
      <c r="P3432">
        <v>2.3713020000000001E-2</v>
      </c>
      <c r="Q3432">
        <v>0.36285699999999999</v>
      </c>
      <c r="R3432">
        <v>-0.93154340000000002</v>
      </c>
      <c r="S3432">
        <v>-0.5062103</v>
      </c>
      <c r="T3432">
        <v>-0.51647379999999998</v>
      </c>
      <c r="U3432">
        <v>-3.4389340000000002</v>
      </c>
      <c r="V3432">
        <v>6.599555E-3</v>
      </c>
      <c r="W3432">
        <v>0.3755849</v>
      </c>
      <c r="X3432">
        <v>0.92676449999999999</v>
      </c>
      <c r="Y3432">
        <v>0.1772551</v>
      </c>
      <c r="Z3432">
        <v>0.1328723</v>
      </c>
      <c r="AA3432">
        <v>0.97515410000000002</v>
      </c>
      <c r="AB3432">
        <v>22</v>
      </c>
      <c r="AC3432">
        <v>-0.122700000000008</v>
      </c>
      <c r="AD3432">
        <v>-0.11564339999999899</v>
      </c>
      <c r="AE3432">
        <v>-0.55250000000000898</v>
      </c>
      <c r="AF3432">
        <v>0.13551251705209799</v>
      </c>
      <c r="AG3432">
        <v>-0.11564339999999899</v>
      </c>
      <c r="AH3432">
        <v>0.52610603336073802</v>
      </c>
      <c r="AI3432">
        <v>102.016754516855</v>
      </c>
      <c r="AJ3432">
        <v>75.555927820973494</v>
      </c>
      <c r="AK3432">
        <v>0.55544990465380895</v>
      </c>
      <c r="AL3432">
        <v>67.9395322761834</v>
      </c>
      <c r="AM3432">
        <v>89.5919996322652</v>
      </c>
      <c r="AN3432">
        <v>1.00000000484722</v>
      </c>
    </row>
    <row r="3433" spans="1:40" x14ac:dyDescent="0.25">
      <c r="A3433" t="str">
        <f>"20190304164711572"</f>
        <v>20190304164711572</v>
      </c>
      <c r="B3433" t="str">
        <f>"1551689231561900"</f>
        <v>1551689231561900</v>
      </c>
      <c r="C3433" t="s">
        <v>40</v>
      </c>
      <c r="D3433">
        <v>4.847359</v>
      </c>
      <c r="E3433">
        <v>0.58480379999999998</v>
      </c>
      <c r="F3433" t="s">
        <v>41</v>
      </c>
      <c r="G3433">
        <v>-189.18520000000001</v>
      </c>
      <c r="H3433">
        <v>0.99883909999999998</v>
      </c>
      <c r="I3433">
        <v>184.0282</v>
      </c>
      <c r="J3433">
        <v>-189.06030000000001</v>
      </c>
      <c r="K3433">
        <v>1.1121749999999999</v>
      </c>
      <c r="L3433">
        <v>184.56630000000001</v>
      </c>
      <c r="M3433">
        <v>3.5107039999999999E-2</v>
      </c>
      <c r="N3433">
        <v>-1.366907E-2</v>
      </c>
      <c r="O3433">
        <v>-0.99929020000000002</v>
      </c>
      <c r="P3433">
        <v>1.474848E-2</v>
      </c>
      <c r="Q3433">
        <v>0.36218519999999998</v>
      </c>
      <c r="R3433">
        <v>-0.93198959999999997</v>
      </c>
      <c r="S3433">
        <v>-0.53224179999999999</v>
      </c>
      <c r="T3433">
        <v>-0.52201629999999999</v>
      </c>
      <c r="U3433">
        <v>-3.4373629999999999</v>
      </c>
      <c r="V3433">
        <v>1.7178909999999999E-2</v>
      </c>
      <c r="W3433">
        <v>0.37492760000000003</v>
      </c>
      <c r="X3433">
        <v>0.92689489999999997</v>
      </c>
      <c r="Y3433">
        <v>0.18602179999999999</v>
      </c>
      <c r="Z3433">
        <v>0.13426660000000001</v>
      </c>
      <c r="AA3433">
        <v>0.97332850000000004</v>
      </c>
      <c r="AB3433">
        <v>22</v>
      </c>
      <c r="AC3433">
        <v>-0.124899999999996</v>
      </c>
      <c r="AD3433">
        <v>-0.113335899999999</v>
      </c>
      <c r="AE3433">
        <v>-0.53810000000001401</v>
      </c>
      <c r="AF3433">
        <v>0.13791065366234201</v>
      </c>
      <c r="AG3433">
        <v>-0.113335899999999</v>
      </c>
      <c r="AH3433">
        <v>0.51183769970719495</v>
      </c>
      <c r="AI3433">
        <v>102.068384647305</v>
      </c>
      <c r="AJ3433">
        <v>74.920219410663407</v>
      </c>
      <c r="AK3433">
        <v>0.54207214046096996</v>
      </c>
      <c r="AL3433">
        <v>67.9801615732854</v>
      </c>
      <c r="AM3433">
        <v>88.938211482225697</v>
      </c>
      <c r="AN3433">
        <v>0.99999998791827804</v>
      </c>
    </row>
    <row r="3434" spans="1:40" x14ac:dyDescent="0.25">
      <c r="A3434" t="str">
        <f>"20190304164711595"</f>
        <v>20190304164711595</v>
      </c>
      <c r="B3434" t="str">
        <f>"1551689231592144"</f>
        <v>1551689231592144</v>
      </c>
      <c r="C3434" t="s">
        <v>40</v>
      </c>
      <c r="D3434">
        <v>4.3924409999999998</v>
      </c>
      <c r="E3434">
        <v>0.5865283</v>
      </c>
      <c r="F3434" t="s">
        <v>41</v>
      </c>
      <c r="G3434">
        <v>-189.18090000000001</v>
      </c>
      <c r="H3434">
        <v>0.99937869999999995</v>
      </c>
      <c r="I3434">
        <v>183.8339</v>
      </c>
      <c r="J3434">
        <v>-189.05119999999999</v>
      </c>
      <c r="K3434">
        <v>1.1119410000000001</v>
      </c>
      <c r="L3434">
        <v>184.35220000000001</v>
      </c>
      <c r="M3434">
        <v>3.6318940000000001E-2</v>
      </c>
      <c r="N3434">
        <v>-1.366152E-2</v>
      </c>
      <c r="O3434">
        <v>-0.99924690000000005</v>
      </c>
      <c r="P3434">
        <v>3.7180870000000001E-3</v>
      </c>
      <c r="Q3434">
        <v>0.36198069999999999</v>
      </c>
      <c r="R3434">
        <v>-0.93217830000000002</v>
      </c>
      <c r="S3434">
        <v>-0.56426999999999905</v>
      </c>
      <c r="T3434">
        <v>-0.52891869999999996</v>
      </c>
      <c r="U3434">
        <v>-3.4334259999999999</v>
      </c>
      <c r="V3434">
        <v>2.9554480000000001E-2</v>
      </c>
      <c r="W3434">
        <v>0.374722</v>
      </c>
      <c r="X3434">
        <v>0.92666599999999999</v>
      </c>
      <c r="Y3434">
        <v>0.19617019999999999</v>
      </c>
      <c r="Z3434">
        <v>0.13608429999999999</v>
      </c>
      <c r="AA3434">
        <v>0.97108099999999997</v>
      </c>
      <c r="AB3434">
        <v>22</v>
      </c>
      <c r="AC3434">
        <v>-0.129700000000013</v>
      </c>
      <c r="AD3434">
        <v>-0.1125623</v>
      </c>
      <c r="AE3434">
        <v>-0.51830000000000997</v>
      </c>
      <c r="AF3434">
        <v>0.142131633571524</v>
      </c>
      <c r="AG3434">
        <v>-0.1125623</v>
      </c>
      <c r="AH3434">
        <v>0.491434220370567</v>
      </c>
      <c r="AI3434">
        <v>102.40910609140001</v>
      </c>
      <c r="AJ3434">
        <v>73.869177906345996</v>
      </c>
      <c r="AK3434">
        <v>0.52381224269219495</v>
      </c>
      <c r="AL3434">
        <v>67.992867289566306</v>
      </c>
      <c r="AM3434">
        <v>88.173265048576496</v>
      </c>
      <c r="AN3434">
        <v>0.99999996006403402</v>
      </c>
    </row>
    <row r="3435" spans="1:40" x14ac:dyDescent="0.25">
      <c r="A3435" t="str">
        <f>"20190304164711618"</f>
        <v>20190304164711618</v>
      </c>
      <c r="B3435" t="str">
        <f>"1551689231612641"</f>
        <v>1551689231612641</v>
      </c>
      <c r="C3435" t="s">
        <v>40</v>
      </c>
      <c r="D3435">
        <v>4.8457290000000004</v>
      </c>
      <c r="E3435">
        <v>0.58812580000000003</v>
      </c>
      <c r="F3435" t="s">
        <v>41</v>
      </c>
      <c r="G3435">
        <v>-189.21469999999999</v>
      </c>
      <c r="H3435">
        <v>0.97789789999999999</v>
      </c>
      <c r="I3435">
        <v>183.45359999999999</v>
      </c>
      <c r="J3435">
        <v>-189.04169999999999</v>
      </c>
      <c r="K3435">
        <v>1.1116170000000001</v>
      </c>
      <c r="L3435">
        <v>184.12389999999999</v>
      </c>
      <c r="M3435">
        <v>3.7087500000000002E-2</v>
      </c>
      <c r="N3435">
        <v>-1.365481E-2</v>
      </c>
      <c r="O3435">
        <v>-0.99921890000000002</v>
      </c>
      <c r="P3435">
        <v>-7.64176E-3</v>
      </c>
      <c r="Q3435">
        <v>0.36193130000000001</v>
      </c>
      <c r="R3435">
        <v>-0.93217380000000005</v>
      </c>
      <c r="S3435">
        <v>-0.62161250000000001</v>
      </c>
      <c r="T3435">
        <v>-0.51002340000000002</v>
      </c>
      <c r="U3435">
        <v>-3.418793</v>
      </c>
      <c r="V3435">
        <v>4.1917999999999997E-2</v>
      </c>
      <c r="W3435">
        <v>0.3746469</v>
      </c>
      <c r="X3435">
        <v>0.92621949999999997</v>
      </c>
      <c r="Y3435">
        <v>0.21347969999999999</v>
      </c>
      <c r="Z3435">
        <v>0.13097010000000001</v>
      </c>
      <c r="AA3435">
        <v>0.96812869999999995</v>
      </c>
      <c r="AB3435">
        <v>22</v>
      </c>
      <c r="AC3435">
        <v>-0.17300000000000099</v>
      </c>
      <c r="AD3435">
        <v>-0.13371910000000001</v>
      </c>
      <c r="AE3435">
        <v>-0.67029999999999701</v>
      </c>
      <c r="AF3435">
        <v>0.19063033204534999</v>
      </c>
      <c r="AG3435">
        <v>-0.13371910000000001</v>
      </c>
      <c r="AH3435">
        <v>0.639559160431587</v>
      </c>
      <c r="AI3435">
        <v>101.330249477321</v>
      </c>
      <c r="AJ3435">
        <v>73.402512237671303</v>
      </c>
      <c r="AK3435">
        <v>0.68062959154924196</v>
      </c>
      <c r="AL3435">
        <v>67.997508988298705</v>
      </c>
      <c r="AM3435">
        <v>87.408727891152196</v>
      </c>
      <c r="AN3435">
        <v>0.99999999029192999</v>
      </c>
    </row>
    <row r="3436" spans="1:40" x14ac:dyDescent="0.25">
      <c r="A3436" t="str">
        <f>"20190304164711639"</f>
        <v>20190304164711639</v>
      </c>
      <c r="B3436" t="str">
        <f>"1551689231632160"</f>
        <v>1551689231632160</v>
      </c>
      <c r="C3436" t="s">
        <v>40</v>
      </c>
      <c r="D3436">
        <v>4.3264680000000002</v>
      </c>
      <c r="E3436">
        <v>0.58956149999999996</v>
      </c>
      <c r="F3436" t="s">
        <v>41</v>
      </c>
      <c r="G3436">
        <v>-189.215</v>
      </c>
      <c r="H3436">
        <v>0.98589789999999999</v>
      </c>
      <c r="I3436">
        <v>183.2543</v>
      </c>
      <c r="J3436">
        <v>-189.0333</v>
      </c>
      <c r="K3436">
        <v>1.1113059999999999</v>
      </c>
      <c r="L3436">
        <v>183.9109</v>
      </c>
      <c r="M3436">
        <v>3.7412199999999902E-2</v>
      </c>
      <c r="N3436">
        <v>-1.365095E-2</v>
      </c>
      <c r="O3436">
        <v>-0.99920690000000001</v>
      </c>
      <c r="P3436">
        <v>-2.102681E-2</v>
      </c>
      <c r="Q3436">
        <v>0.36203879999999999</v>
      </c>
      <c r="R3436">
        <v>-0.93192609999999998</v>
      </c>
      <c r="S3436">
        <v>-0.67810059999999905</v>
      </c>
      <c r="T3436">
        <v>-0.49211260000000001</v>
      </c>
      <c r="U3436">
        <v>-3.4037929999999998</v>
      </c>
      <c r="V3436">
        <v>5.5864469999999999E-2</v>
      </c>
      <c r="W3436">
        <v>0.37470920000000002</v>
      </c>
      <c r="X3436">
        <v>0.9254578</v>
      </c>
      <c r="Y3436">
        <v>0.23012940000000001</v>
      </c>
      <c r="Z3436">
        <v>0.12609819999999999</v>
      </c>
      <c r="AA3436">
        <v>0.96495580000000003</v>
      </c>
      <c r="AB3436">
        <v>22</v>
      </c>
      <c r="AC3436">
        <v>-0.181700000000006</v>
      </c>
      <c r="AD3436">
        <v>-0.12540809999999999</v>
      </c>
      <c r="AE3436">
        <v>-0.65659999999999696</v>
      </c>
      <c r="AF3436">
        <v>0.19938384417702401</v>
      </c>
      <c r="AG3436">
        <v>-0.12540809999999999</v>
      </c>
      <c r="AH3436">
        <v>0.62806018230979899</v>
      </c>
      <c r="AI3436">
        <v>100.775407292523</v>
      </c>
      <c r="AJ3436">
        <v>72.387450391000598</v>
      </c>
      <c r="AK3436">
        <v>0.67077619327718896</v>
      </c>
      <c r="AL3436">
        <v>67.993658807600696</v>
      </c>
      <c r="AM3436">
        <v>86.545580888141203</v>
      </c>
      <c r="AN3436">
        <v>0.99999998157693004</v>
      </c>
    </row>
    <row r="3437" spans="1:40" x14ac:dyDescent="0.25">
      <c r="A3437" t="str">
        <f>"20190304164711663"</f>
        <v>20190304164711663</v>
      </c>
      <c r="B3437" t="str">
        <f>"1551689231652656"</f>
        <v>1551689231652656</v>
      </c>
      <c r="C3437" t="s">
        <v>40</v>
      </c>
      <c r="D3437">
        <v>4.7672889999999999</v>
      </c>
      <c r="E3437">
        <v>0.58900920000000001</v>
      </c>
      <c r="F3437" t="s">
        <v>42</v>
      </c>
      <c r="G3437">
        <v>-190.7413</v>
      </c>
      <c r="H3437" s="1">
        <v>-2.9567750000000002E-6</v>
      </c>
      <c r="I3437">
        <v>176.02160000000001</v>
      </c>
      <c r="J3437">
        <v>-189.02510000000001</v>
      </c>
      <c r="K3437">
        <v>1.111</v>
      </c>
      <c r="L3437">
        <v>183.69390000000001</v>
      </c>
      <c r="M3437">
        <v>3.7304850000000001E-2</v>
      </c>
      <c r="N3437">
        <v>-1.364803E-2</v>
      </c>
      <c r="O3437">
        <v>-0.99921090000000001</v>
      </c>
      <c r="P3437">
        <v>-3.5288600000000003E-2</v>
      </c>
      <c r="Q3437">
        <v>0.3617416</v>
      </c>
      <c r="R3437">
        <v>-0.93161070000000001</v>
      </c>
      <c r="S3437">
        <v>-0.73350519999999997</v>
      </c>
      <c r="T3437">
        <v>-0.47724119999999998</v>
      </c>
      <c r="U3437">
        <v>-3.3879549999999998</v>
      </c>
      <c r="V3437">
        <v>7.0273569999999994E-2</v>
      </c>
      <c r="W3437">
        <v>0.37434849999999997</v>
      </c>
      <c r="X3437">
        <v>0.92462149999999999</v>
      </c>
      <c r="Y3437">
        <v>0.24607670000000001</v>
      </c>
      <c r="Z3437">
        <v>0.1220707</v>
      </c>
      <c r="AA3437">
        <v>0.96153259999999996</v>
      </c>
      <c r="AB3437">
        <v>22</v>
      </c>
      <c r="AC3437">
        <v>-1.71619999999998</v>
      </c>
      <c r="AD3437">
        <v>-1.1110029567749999</v>
      </c>
      <c r="AE3437">
        <v>-7.6722999999999999</v>
      </c>
      <c r="AF3437">
        <v>1.96206366322913</v>
      </c>
      <c r="AG3437">
        <v>-1.1110029567749999</v>
      </c>
      <c r="AH3437">
        <v>7.4540732379017598</v>
      </c>
      <c r="AI3437">
        <v>98.201941221477199</v>
      </c>
      <c r="AJ3437">
        <v>75.253091298254503</v>
      </c>
      <c r="AK3437">
        <v>7.78763309514067</v>
      </c>
      <c r="AL3437">
        <v>68.015949180350006</v>
      </c>
      <c r="AM3437">
        <v>85.653731722421099</v>
      </c>
      <c r="AN3437">
        <v>1.00000004617752</v>
      </c>
    </row>
    <row r="3438" spans="1:40" x14ac:dyDescent="0.25">
      <c r="A3438" t="str">
        <f>"20190304164711684"</f>
        <v>20190304164711684</v>
      </c>
      <c r="B3438" t="str">
        <f>"1551689231672177"</f>
        <v>1551689231672177</v>
      </c>
      <c r="C3438" t="s">
        <v>40</v>
      </c>
      <c r="D3438">
        <v>4.6684799999999997</v>
      </c>
      <c r="E3438">
        <v>0.58877069999999998</v>
      </c>
      <c r="F3438" t="s">
        <v>42</v>
      </c>
      <c r="G3438">
        <v>-190.80770000000001</v>
      </c>
      <c r="H3438" s="1">
        <v>-2.941919E-6</v>
      </c>
      <c r="I3438">
        <v>175.94579999999999</v>
      </c>
      <c r="J3438">
        <v>-189.01779999999999</v>
      </c>
      <c r="K3438">
        <v>1.110711</v>
      </c>
      <c r="L3438">
        <v>183.48570000000001</v>
      </c>
      <c r="M3438">
        <v>3.6716760000000001E-2</v>
      </c>
      <c r="N3438">
        <v>-1.364565E-2</v>
      </c>
      <c r="O3438">
        <v>-0.99923280000000003</v>
      </c>
      <c r="P3438">
        <v>-4.9683430000000001E-2</v>
      </c>
      <c r="Q3438">
        <v>0.36092000000000002</v>
      </c>
      <c r="R3438">
        <v>-0.93127269999999895</v>
      </c>
      <c r="S3438">
        <v>-0.77737429999999996</v>
      </c>
      <c r="T3438">
        <v>-0.48450949999999998</v>
      </c>
      <c r="U3438">
        <v>-3.3789220000000002</v>
      </c>
      <c r="V3438">
        <v>8.4353369999999997E-2</v>
      </c>
      <c r="W3438">
        <v>0.37344670000000002</v>
      </c>
      <c r="X3438">
        <v>0.92380850000000003</v>
      </c>
      <c r="Y3438">
        <v>0.25783660000000003</v>
      </c>
      <c r="Z3438">
        <v>0.1240541</v>
      </c>
      <c r="AA3438">
        <v>0.95819149999999997</v>
      </c>
      <c r="AB3438">
        <v>22</v>
      </c>
      <c r="AC3438">
        <v>-1.78990000000001</v>
      </c>
      <c r="AD3438">
        <v>-1.110713941919</v>
      </c>
      <c r="AE3438">
        <v>-7.53990000000001</v>
      </c>
      <c r="AF3438">
        <v>2.0239806547939101</v>
      </c>
      <c r="AG3438">
        <v>-1.110713941919</v>
      </c>
      <c r="AH3438">
        <v>7.3187407275775396</v>
      </c>
      <c r="AI3438">
        <v>98.321790789790796</v>
      </c>
      <c r="AJ3438">
        <v>74.541341308376602</v>
      </c>
      <c r="AK3438">
        <v>7.6742523407336201</v>
      </c>
      <c r="AL3438">
        <v>68.071658941765705</v>
      </c>
      <c r="AM3438">
        <v>84.7827642208252</v>
      </c>
      <c r="AN3438">
        <v>1.0000000367217401</v>
      </c>
    </row>
    <row r="3439" spans="1:40" x14ac:dyDescent="0.25">
      <c r="A3439" t="str">
        <f>"20190304164711709"</f>
        <v>20190304164711709</v>
      </c>
      <c r="B3439" t="str">
        <f>"1551689231702433"</f>
        <v>1551689231702433</v>
      </c>
      <c r="C3439" t="s">
        <v>40</v>
      </c>
      <c r="D3439">
        <v>4.2936449999999997</v>
      </c>
      <c r="E3439">
        <v>0.58972849999999999</v>
      </c>
      <c r="F3439" t="s">
        <v>42</v>
      </c>
      <c r="G3439">
        <v>-190.8862</v>
      </c>
      <c r="H3439" s="1">
        <v>-2.9245749999999999E-6</v>
      </c>
      <c r="I3439">
        <v>175.85669999999999</v>
      </c>
      <c r="J3439">
        <v>-189.0104</v>
      </c>
      <c r="K3439">
        <v>1.1103799999999999</v>
      </c>
      <c r="L3439">
        <v>183.25239999999999</v>
      </c>
      <c r="M3439">
        <v>3.5470849999999998E-2</v>
      </c>
      <c r="N3439">
        <v>-1.364575E-2</v>
      </c>
      <c r="O3439">
        <v>-0.99927770000000005</v>
      </c>
      <c r="P3439">
        <v>-6.5513099999999894E-2</v>
      </c>
      <c r="Q3439">
        <v>0.35952250000000002</v>
      </c>
      <c r="R3439">
        <v>-0.93083380000000004</v>
      </c>
      <c r="S3439">
        <v>-0.82467649999999904</v>
      </c>
      <c r="T3439">
        <v>-0.49026259999999999</v>
      </c>
      <c r="U3439">
        <v>-3.3674010000000001</v>
      </c>
      <c r="V3439">
        <v>9.9293320000000004E-2</v>
      </c>
      <c r="W3439">
        <v>0.3719383</v>
      </c>
      <c r="X3439">
        <v>0.92293159999999996</v>
      </c>
      <c r="Y3439">
        <v>0.27000109999999999</v>
      </c>
      <c r="Z3439">
        <v>0.12566640000000001</v>
      </c>
      <c r="AA3439">
        <v>0.95462420000000003</v>
      </c>
      <c r="AB3439">
        <v>22</v>
      </c>
      <c r="AC3439">
        <v>-1.8757999999999899</v>
      </c>
      <c r="AD3439">
        <v>-1.1103829245750001</v>
      </c>
      <c r="AE3439">
        <v>-7.3956999999999997</v>
      </c>
      <c r="AF3439">
        <v>2.0926546528763499</v>
      </c>
      <c r="AG3439">
        <v>-1.1103829245750001</v>
      </c>
      <c r="AH3439">
        <v>7.1725925541741802</v>
      </c>
      <c r="AI3439">
        <v>98.453038694475296</v>
      </c>
      <c r="AJ3439">
        <v>73.735021290779102</v>
      </c>
      <c r="AK3439">
        <v>7.5536903354312699</v>
      </c>
      <c r="AL3439">
        <v>68.164792982021197</v>
      </c>
      <c r="AM3439">
        <v>83.859469149163701</v>
      </c>
      <c r="AN3439">
        <v>1.0000000003410301</v>
      </c>
    </row>
    <row r="3440" spans="1:40" x14ac:dyDescent="0.25">
      <c r="A3440" t="str">
        <f>"20190304164711731"</f>
        <v>20190304164711731</v>
      </c>
      <c r="B3440" t="str">
        <f>"1551689231721952"</f>
        <v>1551689231721952</v>
      </c>
      <c r="C3440" t="s">
        <v>40</v>
      </c>
      <c r="D3440">
        <v>4.2520129999999998</v>
      </c>
      <c r="E3440">
        <v>0.59051500000000001</v>
      </c>
      <c r="F3440" t="s">
        <v>42</v>
      </c>
      <c r="G3440">
        <v>-191.03989999999999</v>
      </c>
      <c r="H3440" s="1">
        <v>-2.8450459999999999E-6</v>
      </c>
      <c r="I3440">
        <v>175.57599999999999</v>
      </c>
      <c r="J3440">
        <v>-189.00409999999999</v>
      </c>
      <c r="K3440">
        <v>1.11005</v>
      </c>
      <c r="L3440">
        <v>183.03030000000001</v>
      </c>
      <c r="M3440">
        <v>3.3743780000000001E-2</v>
      </c>
      <c r="N3440">
        <v>-1.365045E-2</v>
      </c>
      <c r="O3440">
        <v>-0.99933720000000004</v>
      </c>
      <c r="P3440">
        <v>-8.1985210000000003E-2</v>
      </c>
      <c r="Q3440">
        <v>0.35940139999999998</v>
      </c>
      <c r="R3440">
        <v>-0.92957460000000003</v>
      </c>
      <c r="S3440">
        <v>-0.88505549999999999</v>
      </c>
      <c r="T3440">
        <v>-0.48422900000000002</v>
      </c>
      <c r="U3440">
        <v>-3.347626</v>
      </c>
      <c r="V3440">
        <v>0.1144032</v>
      </c>
      <c r="W3440">
        <v>0.37167709999999998</v>
      </c>
      <c r="X3440">
        <v>0.9212861</v>
      </c>
      <c r="Y3440">
        <v>0.28580090000000002</v>
      </c>
      <c r="Z3440">
        <v>0.1241452</v>
      </c>
      <c r="AA3440">
        <v>0.95021359999999999</v>
      </c>
      <c r="AB3440">
        <v>22</v>
      </c>
      <c r="AC3440">
        <v>-2.0357999999999898</v>
      </c>
      <c r="AD3440">
        <v>-1.1100528450460001</v>
      </c>
      <c r="AE3440">
        <v>-7.4543000000000097</v>
      </c>
      <c r="AF3440">
        <v>2.2399752816904202</v>
      </c>
      <c r="AG3440">
        <v>-1.1100528450460001</v>
      </c>
      <c r="AH3440">
        <v>7.2321079495590403</v>
      </c>
      <c r="AI3440">
        <v>98.341161110001494</v>
      </c>
      <c r="AJ3440">
        <v>72.790862870472793</v>
      </c>
      <c r="AK3440">
        <v>7.6519992142873203</v>
      </c>
      <c r="AL3440">
        <v>68.180914802133401</v>
      </c>
      <c r="AM3440">
        <v>82.921377142754196</v>
      </c>
      <c r="AN3440">
        <v>1.0000000184439199</v>
      </c>
    </row>
    <row r="3441" spans="1:40" x14ac:dyDescent="0.25">
      <c r="A3441" t="str">
        <f>"20190304164711752"</f>
        <v>20190304164711752</v>
      </c>
      <c r="B3441" t="str">
        <f>"1551689231742452"</f>
        <v>1551689231742452</v>
      </c>
      <c r="C3441" t="s">
        <v>40</v>
      </c>
      <c r="D3441">
        <v>4.6489929999999999</v>
      </c>
      <c r="E3441">
        <v>0.58988200000000002</v>
      </c>
      <c r="F3441" t="s">
        <v>42</v>
      </c>
      <c r="G3441">
        <v>-191.2131</v>
      </c>
      <c r="H3441" s="1">
        <v>-2.750211E-6</v>
      </c>
      <c r="I3441">
        <v>175.2475</v>
      </c>
      <c r="J3441">
        <v>-188.99950000000001</v>
      </c>
      <c r="K3441">
        <v>1.109766</v>
      </c>
      <c r="L3441">
        <v>182.83430000000001</v>
      </c>
      <c r="M3441">
        <v>3.1806099999999997E-2</v>
      </c>
      <c r="N3441">
        <v>-1.365737E-2</v>
      </c>
      <c r="O3441">
        <v>-0.99940090000000004</v>
      </c>
      <c r="P3441">
        <v>-9.7066029999999998E-2</v>
      </c>
      <c r="Q3441">
        <v>0.35902600000000001</v>
      </c>
      <c r="R3441">
        <v>-0.92826690000000001</v>
      </c>
      <c r="S3441">
        <v>-0.94444269999999997</v>
      </c>
      <c r="T3441">
        <v>-0.4745953</v>
      </c>
      <c r="U3441">
        <v>-3.3274840000000001</v>
      </c>
      <c r="V3441">
        <v>0.1278936</v>
      </c>
      <c r="W3441">
        <v>0.37115949999999998</v>
      </c>
      <c r="X3441">
        <v>0.91971950000000002</v>
      </c>
      <c r="Y3441">
        <v>0.30116870000000001</v>
      </c>
      <c r="Z3441">
        <v>0.1215986</v>
      </c>
      <c r="AA3441">
        <v>0.94578600000000002</v>
      </c>
      <c r="AB3441">
        <v>22</v>
      </c>
      <c r="AC3441">
        <v>-2.21359999999998</v>
      </c>
      <c r="AD3441">
        <v>-1.1097687502110001</v>
      </c>
      <c r="AE3441">
        <v>-7.58680000000001</v>
      </c>
      <c r="AF3441">
        <v>2.4063598737855099</v>
      </c>
      <c r="AG3441">
        <v>-1.1097687502110001</v>
      </c>
      <c r="AH3441">
        <v>7.3672791819329104</v>
      </c>
      <c r="AI3441">
        <v>98.148800480311294</v>
      </c>
      <c r="AJ3441">
        <v>71.911511004727402</v>
      </c>
      <c r="AK3441">
        <v>7.82936504869022</v>
      </c>
      <c r="AL3441">
        <v>68.212856781810004</v>
      </c>
      <c r="AM3441">
        <v>82.083377629790704</v>
      </c>
      <c r="AN3441">
        <v>1.00000005302072</v>
      </c>
    </row>
    <row r="3442" spans="1:40" x14ac:dyDescent="0.25">
      <c r="A3442" t="str">
        <f>"20190304164711774"</f>
        <v>20190304164711774</v>
      </c>
      <c r="B3442" t="str">
        <f>"1551689231761973"</f>
        <v>1551689231761973</v>
      </c>
      <c r="C3442" t="s">
        <v>40</v>
      </c>
      <c r="D3442">
        <v>4.2775069999999999</v>
      </c>
      <c r="E3442">
        <v>0.6179076</v>
      </c>
      <c r="F3442" t="s">
        <v>42</v>
      </c>
      <c r="G3442">
        <v>-191.27690000000001</v>
      </c>
      <c r="H3442" s="1">
        <v>-2.7402520000000002E-6</v>
      </c>
      <c r="I3442">
        <v>175.18469999999999</v>
      </c>
      <c r="J3442">
        <v>-188.99529999999999</v>
      </c>
      <c r="K3442">
        <v>1.1094839999999999</v>
      </c>
      <c r="L3442">
        <v>182.61660000000001</v>
      </c>
      <c r="M3442">
        <v>2.9259520000000001E-2</v>
      </c>
      <c r="N3442">
        <v>-1.366583E-2</v>
      </c>
      <c r="O3442">
        <v>-0.99947859999999999</v>
      </c>
      <c r="P3442">
        <v>-0.11103830000000001</v>
      </c>
      <c r="Q3442">
        <v>0.3580874</v>
      </c>
      <c r="R3442">
        <v>-0.92706239999999995</v>
      </c>
      <c r="S3442">
        <v>-0.98683169999999998</v>
      </c>
      <c r="T3442">
        <v>-0.480875</v>
      </c>
      <c r="U3442">
        <v>-3.314651</v>
      </c>
      <c r="V3442">
        <v>0.1397254</v>
      </c>
      <c r="W3442">
        <v>0.37007050000000002</v>
      </c>
      <c r="X3442">
        <v>0.91843600000000003</v>
      </c>
      <c r="Y3442">
        <v>0.3107569</v>
      </c>
      <c r="Z3442">
        <v>0.1234141</v>
      </c>
      <c r="AA3442">
        <v>0.94244320000000004</v>
      </c>
      <c r="AB3442">
        <v>21</v>
      </c>
      <c r="AC3442">
        <v>-2.2816000000000201</v>
      </c>
      <c r="AD3442">
        <v>-1.1094867402519999</v>
      </c>
      <c r="AE3442">
        <v>-7.4319000000000104</v>
      </c>
      <c r="AF3442">
        <v>2.4482337444819802</v>
      </c>
      <c r="AG3442">
        <v>-1.1094867402519999</v>
      </c>
      <c r="AH3442">
        <v>7.2150043269608997</v>
      </c>
      <c r="AI3442">
        <v>98.285166058012294</v>
      </c>
      <c r="AJ3442">
        <v>71.256623937524495</v>
      </c>
      <c r="AK3442">
        <v>7.6994218440399704</v>
      </c>
      <c r="AL3442">
        <v>68.280035287719599</v>
      </c>
      <c r="AM3442">
        <v>81.349689802735099</v>
      </c>
      <c r="AN3442">
        <v>1.0000000242356999</v>
      </c>
    </row>
    <row r="3443" spans="1:40" x14ac:dyDescent="0.25">
      <c r="A3443" t="str">
        <f>"20190304164711797"</f>
        <v>20190304164711797</v>
      </c>
      <c r="B3443" t="str">
        <f>"1551689231792333"</f>
        <v>1551689231792333</v>
      </c>
      <c r="C3443" t="s">
        <v>40</v>
      </c>
      <c r="D3443">
        <v>4.6247259999999999</v>
      </c>
      <c r="E3443">
        <v>0.57721699999999998</v>
      </c>
      <c r="F3443" t="s">
        <v>42</v>
      </c>
      <c r="G3443">
        <v>-210.4494</v>
      </c>
      <c r="H3443">
        <v>1.6224539999999999E-2</v>
      </c>
      <c r="I3443">
        <v>129.6163</v>
      </c>
      <c r="J3443">
        <v>-188.9923</v>
      </c>
      <c r="K3443">
        <v>1.109256</v>
      </c>
      <c r="L3443">
        <v>182.40770000000001</v>
      </c>
      <c r="M3443">
        <v>2.6435799999999999E-2</v>
      </c>
      <c r="N3443">
        <v>-1.367369E-2</v>
      </c>
      <c r="O3443">
        <v>-0.99955720000000003</v>
      </c>
      <c r="P3443">
        <v>-0.1231365</v>
      </c>
      <c r="Q3443">
        <v>0.35714580000000001</v>
      </c>
      <c r="R3443">
        <v>-0.92589690000000002</v>
      </c>
      <c r="S3443">
        <v>-1.2589109999999999</v>
      </c>
      <c r="T3443">
        <v>-6.4151639999999996E-2</v>
      </c>
      <c r="U3443">
        <v>-3.1100159999999999</v>
      </c>
      <c r="V3443">
        <v>0.1493765</v>
      </c>
      <c r="W3443">
        <v>0.36899860000000001</v>
      </c>
      <c r="X3443">
        <v>0.91734760000000004</v>
      </c>
      <c r="Y3443">
        <v>0.3995012</v>
      </c>
      <c r="Z3443">
        <v>5.2615709999999996E-3</v>
      </c>
      <c r="AA3443">
        <v>0.91671760000000002</v>
      </c>
      <c r="AB3443">
        <v>21</v>
      </c>
      <c r="AC3443">
        <v>-21.457100000000001</v>
      </c>
      <c r="AD3443">
        <v>-1.09303146</v>
      </c>
      <c r="AE3443">
        <v>-52.791400000000003</v>
      </c>
      <c r="AF3443">
        <v>22.836910859310901</v>
      </c>
      <c r="AG3443">
        <v>-1.09303146</v>
      </c>
      <c r="AH3443">
        <v>52.186458389281697</v>
      </c>
      <c r="AI3443">
        <v>91.099253701144605</v>
      </c>
      <c r="AJ3443">
        <v>66.365705853464107</v>
      </c>
      <c r="AK3443">
        <v>56.974956380719497</v>
      </c>
      <c r="AL3443">
        <v>68.346127538190203</v>
      </c>
      <c r="AM3443">
        <v>80.751402081672893</v>
      </c>
      <c r="AN3443">
        <v>0.99999996238998401</v>
      </c>
    </row>
    <row r="3444" spans="1:40" x14ac:dyDescent="0.25">
      <c r="A3444" t="str">
        <f>"20190304164711821"</f>
        <v>20190304164711821</v>
      </c>
      <c r="B3444" t="str">
        <f>"1551689231811852"</f>
        <v>1551689231811852</v>
      </c>
      <c r="C3444" t="s">
        <v>40</v>
      </c>
      <c r="D3444">
        <v>4.5670419999999998</v>
      </c>
      <c r="E3444">
        <v>0.5778354</v>
      </c>
      <c r="F3444" t="s">
        <v>42</v>
      </c>
      <c r="G3444">
        <v>-191.06890000000001</v>
      </c>
      <c r="H3444" s="1">
        <v>-2.7527130000000001E-6</v>
      </c>
      <c r="I3444">
        <v>175.34280000000001</v>
      </c>
      <c r="J3444">
        <v>-188.99010000000001</v>
      </c>
      <c r="K3444">
        <v>1.1090949999999999</v>
      </c>
      <c r="L3444">
        <v>182.1737</v>
      </c>
      <c r="M3444">
        <v>2.296202E-2</v>
      </c>
      <c r="N3444">
        <v>-1.3680909999999999E-2</v>
      </c>
      <c r="O3444">
        <v>-0.99964280000000005</v>
      </c>
      <c r="P3444">
        <v>-0.13621659999999999</v>
      </c>
      <c r="Q3444">
        <v>0.35715859999999999</v>
      </c>
      <c r="R3444">
        <v>-0.92405769999999998</v>
      </c>
      <c r="S3444">
        <v>-0.97326659999999998</v>
      </c>
      <c r="T3444">
        <v>-0.51988900000000005</v>
      </c>
      <c r="U3444">
        <v>-3.3112029999999999</v>
      </c>
      <c r="V3444">
        <v>0.1593522</v>
      </c>
      <c r="W3444">
        <v>0.3688844</v>
      </c>
      <c r="X3444">
        <v>0.91571349999999996</v>
      </c>
      <c r="Y3444">
        <v>0.30104639999999999</v>
      </c>
      <c r="Z3444">
        <v>0.13480519999999999</v>
      </c>
      <c r="AA3444">
        <v>0.94403320000000002</v>
      </c>
      <c r="AB3444">
        <v>21</v>
      </c>
      <c r="AC3444">
        <v>-2.0788000000000002</v>
      </c>
      <c r="AD3444">
        <v>-1.1090977527129999</v>
      </c>
      <c r="AE3444">
        <v>-6.8308999999999802</v>
      </c>
      <c r="AF3444">
        <v>2.1824597861399901</v>
      </c>
      <c r="AG3444">
        <v>-1.1090977527129999</v>
      </c>
      <c r="AH3444">
        <v>6.6215961878629699</v>
      </c>
      <c r="AI3444">
        <v>99.038819724589601</v>
      </c>
      <c r="AJ3444">
        <v>71.757923093181802</v>
      </c>
      <c r="AK3444">
        <v>7.05965754256626</v>
      </c>
      <c r="AL3444">
        <v>68.353168647876799</v>
      </c>
      <c r="AM3444">
        <v>80.128260904754896</v>
      </c>
      <c r="AN3444">
        <v>1.0000000191452201</v>
      </c>
    </row>
    <row r="3445" spans="1:40" x14ac:dyDescent="0.25">
      <c r="A3445" t="str">
        <f>"20190304164711841"</f>
        <v>20190304164711841</v>
      </c>
      <c r="B3445" t="str">
        <f>"1551689231832365"</f>
        <v>1551689231832365</v>
      </c>
      <c r="C3445" t="s">
        <v>40</v>
      </c>
      <c r="D3445">
        <v>4.5586219999999997</v>
      </c>
      <c r="E3445">
        <v>0.57793059999999996</v>
      </c>
      <c r="F3445" t="s">
        <v>42</v>
      </c>
      <c r="G3445">
        <v>-191.17310000000001</v>
      </c>
      <c r="H3445" s="1">
        <v>-2.6801910000000002E-6</v>
      </c>
      <c r="I3445">
        <v>175.10910000000001</v>
      </c>
      <c r="J3445">
        <v>-188.989</v>
      </c>
      <c r="K3445">
        <v>1.109027</v>
      </c>
      <c r="L3445">
        <v>181.97470000000001</v>
      </c>
      <c r="M3445">
        <v>1.9821399999999999E-2</v>
      </c>
      <c r="N3445">
        <v>-1.368548E-2</v>
      </c>
      <c r="O3445">
        <v>-0.99970979999999998</v>
      </c>
      <c r="P3445">
        <v>-0.14819070000000001</v>
      </c>
      <c r="Q3445">
        <v>0.3591435</v>
      </c>
      <c r="R3445">
        <v>-0.92144230000000005</v>
      </c>
      <c r="S3445">
        <v>-1.018616</v>
      </c>
      <c r="T3445">
        <v>-0.51751530000000001</v>
      </c>
      <c r="U3445">
        <v>-3.2964169999999999</v>
      </c>
      <c r="V3445">
        <v>0.16846159999999999</v>
      </c>
      <c r="W3445">
        <v>0.37076009999999998</v>
      </c>
      <c r="X3445">
        <v>0.91332230000000003</v>
      </c>
      <c r="Y3445">
        <v>0.31109429999999999</v>
      </c>
      <c r="Z3445">
        <v>0.13425210000000001</v>
      </c>
      <c r="AA3445">
        <v>0.94084889999999999</v>
      </c>
      <c r="AB3445">
        <v>21</v>
      </c>
      <c r="AC3445">
        <v>-2.1840999999999999</v>
      </c>
      <c r="AD3445">
        <v>-1.109029680191</v>
      </c>
      <c r="AE3445">
        <v>-6.8655999999999997</v>
      </c>
      <c r="AF3445">
        <v>2.2660740491851898</v>
      </c>
      <c r="AG3445">
        <v>-1.109029680191</v>
      </c>
      <c r="AH3445">
        <v>6.6630713703631699</v>
      </c>
      <c r="AI3445">
        <v>98.955048415930804</v>
      </c>
      <c r="AJ3445">
        <v>71.217112570867002</v>
      </c>
      <c r="AK3445">
        <v>7.1247146268807402</v>
      </c>
      <c r="AL3445">
        <v>68.2374975892848</v>
      </c>
      <c r="AM3445">
        <v>79.549297060603294</v>
      </c>
      <c r="AN3445">
        <v>0.99999999305192999</v>
      </c>
    </row>
    <row r="3446" spans="1:40" x14ac:dyDescent="0.25">
      <c r="A3446" t="str">
        <f>"20190304164711862"</f>
        <v>20190304164711862</v>
      </c>
      <c r="B3446" t="str">
        <f>"1551689231851872"</f>
        <v>1551689231851872</v>
      </c>
      <c r="C3446" t="s">
        <v>40</v>
      </c>
      <c r="D3446">
        <v>4.5813079999999999</v>
      </c>
      <c r="E3446">
        <v>0.57779239999999998</v>
      </c>
      <c r="F3446" t="s">
        <v>42</v>
      </c>
      <c r="G3446">
        <v>-191.32320000000001</v>
      </c>
      <c r="H3446" s="1">
        <v>-2.5456799999999999E-6</v>
      </c>
      <c r="I3446">
        <v>174.70249999999999</v>
      </c>
      <c r="J3446">
        <v>-188.9888</v>
      </c>
      <c r="K3446">
        <v>1.109016</v>
      </c>
      <c r="L3446">
        <v>181.7679</v>
      </c>
      <c r="M3446">
        <v>1.6419389999999999E-2</v>
      </c>
      <c r="N3446">
        <v>-1.3689369999999999E-2</v>
      </c>
      <c r="O3446">
        <v>-0.99977159999999998</v>
      </c>
      <c r="P3446">
        <v>-0.158711299999999</v>
      </c>
      <c r="Q3446">
        <v>0.3630987</v>
      </c>
      <c r="R3446">
        <v>-0.91813429999999996</v>
      </c>
      <c r="S3446">
        <v>-1.053223</v>
      </c>
      <c r="T3446">
        <v>-0.50043009999999999</v>
      </c>
      <c r="U3446">
        <v>-3.2814329999999998</v>
      </c>
      <c r="V3446">
        <v>0.17585990000000001</v>
      </c>
      <c r="W3446">
        <v>0.37462030000000002</v>
      </c>
      <c r="X3446">
        <v>0.91034769999999998</v>
      </c>
      <c r="Y3446">
        <v>0.31827739999999999</v>
      </c>
      <c r="Z3446">
        <v>0.12970290000000001</v>
      </c>
      <c r="AA3446">
        <v>0.93908290000000005</v>
      </c>
      <c r="AB3446">
        <v>21</v>
      </c>
      <c r="AC3446">
        <v>-2.3344000000000098</v>
      </c>
      <c r="AD3446">
        <v>-1.1090185456799999</v>
      </c>
      <c r="AE3446">
        <v>-7.0654000000000101</v>
      </c>
      <c r="AF3446">
        <v>2.3968639560607001</v>
      </c>
      <c r="AG3446">
        <v>-1.1090185456799999</v>
      </c>
      <c r="AH3446">
        <v>6.8734342683368501</v>
      </c>
      <c r="AI3446">
        <v>98.6624662875697</v>
      </c>
      <c r="AJ3446">
        <v>70.7756124870523</v>
      </c>
      <c r="AK3446">
        <v>7.3633536924198104</v>
      </c>
      <c r="AL3446">
        <v>67.999153090740805</v>
      </c>
      <c r="AM3446">
        <v>79.066348482146296</v>
      </c>
      <c r="AN3446">
        <v>1.00000000424769</v>
      </c>
    </row>
    <row r="3447" spans="1:40" x14ac:dyDescent="0.25">
      <c r="A3447" t="str">
        <f>"20190304164711886"</f>
        <v>20190304164711886</v>
      </c>
      <c r="B3447" t="str">
        <f>"1551689231882125"</f>
        <v>1551689231882125</v>
      </c>
      <c r="C3447" t="s">
        <v>40</v>
      </c>
      <c r="D3447">
        <v>4.5983460000000003</v>
      </c>
      <c r="E3447">
        <v>0.57877019999999901</v>
      </c>
      <c r="F3447" t="s">
        <v>42</v>
      </c>
      <c r="G3447">
        <v>-191.49010000000001</v>
      </c>
      <c r="H3447" s="1">
        <v>-2.3795650000000001E-6</v>
      </c>
      <c r="I3447">
        <v>174.21170000000001</v>
      </c>
      <c r="J3447">
        <v>-188.98949999999999</v>
      </c>
      <c r="K3447">
        <v>1.1090180000000001</v>
      </c>
      <c r="L3447">
        <v>181.5498</v>
      </c>
      <c r="M3447">
        <v>1.2733619999999999E-2</v>
      </c>
      <c r="N3447">
        <v>-1.3693200000000001E-2</v>
      </c>
      <c r="O3447">
        <v>-0.99982539999999998</v>
      </c>
      <c r="P3447">
        <v>-0.16927010000000001</v>
      </c>
      <c r="Q3447">
        <v>0.36680570000000001</v>
      </c>
      <c r="R3447">
        <v>-0.91476860000000004</v>
      </c>
      <c r="S3447">
        <v>-1.082535</v>
      </c>
      <c r="T3447">
        <v>-0.47996939999999999</v>
      </c>
      <c r="U3447">
        <v>-3.270203</v>
      </c>
      <c r="V3447">
        <v>0.18303700000000001</v>
      </c>
      <c r="W3447">
        <v>0.37824289999999999</v>
      </c>
      <c r="X3447">
        <v>0.90743039999999997</v>
      </c>
      <c r="Y3447">
        <v>0.32355919999999999</v>
      </c>
      <c r="Z3447">
        <v>0.12409870000000001</v>
      </c>
      <c r="AA3447">
        <v>0.9380347</v>
      </c>
      <c r="AB3447">
        <v>21</v>
      </c>
      <c r="AC3447">
        <v>-2.5006000000000199</v>
      </c>
      <c r="AD3447">
        <v>-1.109020379565</v>
      </c>
      <c r="AE3447">
        <v>-7.3380999999999901</v>
      </c>
      <c r="AF3447">
        <v>2.5418294743296799</v>
      </c>
      <c r="AG3447">
        <v>-1.109020379565</v>
      </c>
      <c r="AH3447">
        <v>7.1591523780659596</v>
      </c>
      <c r="AI3447">
        <v>98.305452874769699</v>
      </c>
      <c r="AJ3447">
        <v>70.452789551810397</v>
      </c>
      <c r="AK3447">
        <v>7.6775182221359204</v>
      </c>
      <c r="AL3447">
        <v>67.775115705698397</v>
      </c>
      <c r="AM3447">
        <v>78.595938784082307</v>
      </c>
      <c r="AN3447">
        <v>1.0000000828067801</v>
      </c>
    </row>
    <row r="3448" spans="1:40" x14ac:dyDescent="0.25">
      <c r="A3448" t="str">
        <f>"20190304164711910"</f>
        <v>20190304164711910</v>
      </c>
      <c r="B3448" t="str">
        <f>"1551689231902621"</f>
        <v>1551689231902621</v>
      </c>
      <c r="C3448" t="s">
        <v>40</v>
      </c>
      <c r="D3448">
        <v>4.6091179999999996</v>
      </c>
      <c r="E3448">
        <v>0.5786095</v>
      </c>
      <c r="F3448" t="s">
        <v>42</v>
      </c>
      <c r="G3448">
        <v>-192.65649999999999</v>
      </c>
      <c r="H3448" s="1">
        <v>-1.3437639999999901E-6</v>
      </c>
      <c r="I3448">
        <v>171.07380000000001</v>
      </c>
      <c r="J3448">
        <v>-188.99119999999999</v>
      </c>
      <c r="K3448">
        <v>1.1090199999999999</v>
      </c>
      <c r="L3448">
        <v>181.31819999999999</v>
      </c>
      <c r="M3448">
        <v>8.76405699999999E-3</v>
      </c>
      <c r="N3448">
        <v>-1.369677E-2</v>
      </c>
      <c r="O3448">
        <v>-0.99986799999999998</v>
      </c>
      <c r="P3448">
        <v>-0.17979100000000001</v>
      </c>
      <c r="Q3448">
        <v>0.3702415</v>
      </c>
      <c r="R3448">
        <v>-0.91137089999999998</v>
      </c>
      <c r="S3448">
        <v>-1.1229100000000001</v>
      </c>
      <c r="T3448">
        <v>-0.33959879999999998</v>
      </c>
      <c r="U3448">
        <v>-3.207916</v>
      </c>
      <c r="V3448">
        <v>0.18992790000000001</v>
      </c>
      <c r="W3448">
        <v>0.3816021</v>
      </c>
      <c r="X3448">
        <v>0.90460339999999995</v>
      </c>
      <c r="Y3448">
        <v>0.33717740000000002</v>
      </c>
      <c r="Z3448">
        <v>8.5611729999999997E-2</v>
      </c>
      <c r="AA3448">
        <v>0.93754040000000005</v>
      </c>
      <c r="AB3448">
        <v>21</v>
      </c>
      <c r="AC3448">
        <v>-3.6652999999999998</v>
      </c>
      <c r="AD3448">
        <v>-1.109021343764</v>
      </c>
      <c r="AE3448">
        <v>-10.244399999999899</v>
      </c>
      <c r="AF3448">
        <v>3.7163393056133498</v>
      </c>
      <c r="AG3448">
        <v>-1.109021343764</v>
      </c>
      <c r="AH3448">
        <v>10.106875463350301</v>
      </c>
      <c r="AI3448">
        <v>95.880033430052507</v>
      </c>
      <c r="AJ3448">
        <v>69.811319173587293</v>
      </c>
      <c r="AK3448">
        <v>10.825434762957199</v>
      </c>
      <c r="AL3448">
        <v>67.567045181907005</v>
      </c>
      <c r="AM3448">
        <v>78.142575464578698</v>
      </c>
      <c r="AN3448">
        <v>1.0000000406071801</v>
      </c>
    </row>
    <row r="3449" spans="1:40" x14ac:dyDescent="0.25">
      <c r="A3449" t="str">
        <f>"20190304164711931"</f>
        <v>20190304164711931</v>
      </c>
      <c r="B3449" t="str">
        <f>"1551689231922141"</f>
        <v>1551689231922141</v>
      </c>
      <c r="C3449" t="s">
        <v>40</v>
      </c>
      <c r="D3449">
        <v>4.7287140000000001</v>
      </c>
      <c r="E3449">
        <v>0.57962190000000002</v>
      </c>
      <c r="F3449" t="s">
        <v>42</v>
      </c>
      <c r="G3449">
        <v>-192.7422</v>
      </c>
      <c r="H3449" s="1">
        <v>-1.3030479999999999E-6</v>
      </c>
      <c r="I3449">
        <v>170.92580000000001</v>
      </c>
      <c r="J3449">
        <v>-188.99359999999999</v>
      </c>
      <c r="K3449">
        <v>1.1090230000000001</v>
      </c>
      <c r="L3449">
        <v>181.1044</v>
      </c>
      <c r="M3449">
        <v>5.0794849999999999E-3</v>
      </c>
      <c r="N3449">
        <v>-1.3698979999999999E-2</v>
      </c>
      <c r="O3449">
        <v>-0.99989349999999999</v>
      </c>
      <c r="P3449">
        <v>-0.19242390000000001</v>
      </c>
      <c r="Q3449">
        <v>0.37210490000000002</v>
      </c>
      <c r="R3449">
        <v>-0.90802620000000001</v>
      </c>
      <c r="S3449">
        <v>-1.155899</v>
      </c>
      <c r="T3449">
        <v>-0.34175460000000002</v>
      </c>
      <c r="U3449">
        <v>-3.202515</v>
      </c>
      <c r="V3449">
        <v>0.1991965</v>
      </c>
      <c r="W3449">
        <v>0.3833799</v>
      </c>
      <c r="X3449">
        <v>0.90185400000000004</v>
      </c>
      <c r="Y3449">
        <v>0.34274909999999997</v>
      </c>
      <c r="Z3449">
        <v>8.6134169999999996E-2</v>
      </c>
      <c r="AA3449">
        <v>0.93546989999999997</v>
      </c>
      <c r="AB3449">
        <v>21</v>
      </c>
      <c r="AC3449">
        <v>-3.7486000000000002</v>
      </c>
      <c r="AD3449">
        <v>-1.10902430304799</v>
      </c>
      <c r="AE3449">
        <v>-10.1785999999999</v>
      </c>
      <c r="AF3449">
        <v>3.76094289473735</v>
      </c>
      <c r="AG3449">
        <v>-1.10902430304799</v>
      </c>
      <c r="AH3449">
        <v>10.054321455711699</v>
      </c>
      <c r="AI3449">
        <v>95.898413504186294</v>
      </c>
      <c r="AJ3449">
        <v>69.4910703330318</v>
      </c>
      <c r="AK3449">
        <v>10.791849067560801</v>
      </c>
      <c r="AL3449">
        <v>67.456801126301102</v>
      </c>
      <c r="AM3449">
        <v>77.5448013360663</v>
      </c>
      <c r="AN3449">
        <v>1.0000000153261299</v>
      </c>
    </row>
    <row r="3450" spans="1:40" x14ac:dyDescent="0.25">
      <c r="A3450" t="str">
        <f>"20190304164711952"</f>
        <v>20190304164711952</v>
      </c>
      <c r="B3450" t="str">
        <f>"1551689231942653"</f>
        <v>1551689231942653</v>
      </c>
      <c r="C3450" t="s">
        <v>40</v>
      </c>
      <c r="D3450">
        <v>4.6866009999999996</v>
      </c>
      <c r="E3450">
        <v>0.57688969999999995</v>
      </c>
      <c r="F3450" t="s">
        <v>42</v>
      </c>
      <c r="G3450">
        <v>-192.87700000000001</v>
      </c>
      <c r="H3450" s="1">
        <v>-1.283666E-6</v>
      </c>
      <c r="I3450">
        <v>170.797</v>
      </c>
      <c r="J3450">
        <v>-188.9966</v>
      </c>
      <c r="K3450">
        <v>1.10903</v>
      </c>
      <c r="L3450">
        <v>180.91079999999999</v>
      </c>
      <c r="M3450">
        <v>1.735051E-3</v>
      </c>
      <c r="N3450">
        <v>-1.369981E-2</v>
      </c>
      <c r="O3450">
        <v>-0.99990460000000003</v>
      </c>
      <c r="P3450">
        <v>-0.20534479999999999</v>
      </c>
      <c r="Q3450">
        <v>0.37273820000000002</v>
      </c>
      <c r="R3450">
        <v>-0.90493109999999999</v>
      </c>
      <c r="S3450">
        <v>-1.201797</v>
      </c>
      <c r="T3450">
        <v>-0.34321059999999998</v>
      </c>
      <c r="U3450">
        <v>-3.1898499999999999</v>
      </c>
      <c r="V3450">
        <v>0.20906910000000001</v>
      </c>
      <c r="W3450">
        <v>0.38393070000000001</v>
      </c>
      <c r="X3450">
        <v>0.899381599999999</v>
      </c>
      <c r="Y3450">
        <v>0.35259800000000002</v>
      </c>
      <c r="Z3450">
        <v>8.6505670000000007E-2</v>
      </c>
      <c r="AA3450">
        <v>0.93176789999999998</v>
      </c>
      <c r="AB3450">
        <v>21</v>
      </c>
      <c r="AC3450">
        <v>-3.8803999999999998</v>
      </c>
      <c r="AD3450">
        <v>-1.1090312836659999</v>
      </c>
      <c r="AE3450">
        <v>-10.1137999999999</v>
      </c>
      <c r="AF3450">
        <v>3.8575117964448</v>
      </c>
      <c r="AG3450">
        <v>-1.1090312836659999</v>
      </c>
      <c r="AH3450">
        <v>10.002214641277799</v>
      </c>
      <c r="AI3450">
        <v>95.906328274861593</v>
      </c>
      <c r="AJ3450">
        <v>68.910080354462906</v>
      </c>
      <c r="AK3450">
        <v>10.777506454558599</v>
      </c>
      <c r="AL3450">
        <v>67.4226263642052</v>
      </c>
      <c r="AM3450">
        <v>76.913510834768303</v>
      </c>
      <c r="AN3450">
        <v>0.99999996669792901</v>
      </c>
    </row>
    <row r="3451" spans="1:40" x14ac:dyDescent="0.25">
      <c r="A3451" t="str">
        <f>"20190304164711975"</f>
        <v>20190304164711975</v>
      </c>
      <c r="B3451" t="str">
        <f>"1551689231971917"</f>
        <v>1551689231971917</v>
      </c>
      <c r="C3451" t="s">
        <v>40</v>
      </c>
      <c r="D3451">
        <v>4.5061200000000001</v>
      </c>
      <c r="E3451">
        <v>0.58079419999999904</v>
      </c>
      <c r="F3451" t="s">
        <v>42</v>
      </c>
      <c r="G3451">
        <v>-191.41849999999999</v>
      </c>
      <c r="H3451" s="1">
        <v>-2.4536090000000001E-6</v>
      </c>
      <c r="I3451">
        <v>174.42869999999999</v>
      </c>
      <c r="J3451">
        <v>-189.00069999999999</v>
      </c>
      <c r="K3451">
        <v>1.1090519999999999</v>
      </c>
      <c r="L3451">
        <v>180.6942</v>
      </c>
      <c r="M3451">
        <v>-2.0141450000000002E-3</v>
      </c>
      <c r="N3451">
        <v>-1.369972E-2</v>
      </c>
      <c r="O3451">
        <v>-0.99990449999999997</v>
      </c>
      <c r="P3451">
        <v>-0.21748390000000001</v>
      </c>
      <c r="Q3451">
        <v>0.37184650000000002</v>
      </c>
      <c r="R3451">
        <v>-0.9024586</v>
      </c>
      <c r="S3451">
        <v>-1.2211909999999999</v>
      </c>
      <c r="T3451">
        <v>-0.55919810000000003</v>
      </c>
      <c r="U3451">
        <v>-3.268402</v>
      </c>
      <c r="V3451">
        <v>0.21779370000000001</v>
      </c>
      <c r="W3451">
        <v>0.3829786</v>
      </c>
      <c r="X3451">
        <v>0.89771559999999995</v>
      </c>
      <c r="Y3451">
        <v>0.34402959999999999</v>
      </c>
      <c r="Z3451">
        <v>0.14477689999999999</v>
      </c>
      <c r="AA3451">
        <v>0.9277301</v>
      </c>
      <c r="AB3451">
        <v>21</v>
      </c>
      <c r="AC3451">
        <v>-2.4178000000000002</v>
      </c>
      <c r="AD3451">
        <v>-1.1090544536089999</v>
      </c>
      <c r="AE3451">
        <v>-6.2655000000000003</v>
      </c>
      <c r="AF3451">
        <v>2.34132311186498</v>
      </c>
      <c r="AG3451">
        <v>-1.1090544536089999</v>
      </c>
      <c r="AH3451">
        <v>6.1038957134921903</v>
      </c>
      <c r="AI3451">
        <v>99.628230148890196</v>
      </c>
      <c r="AJ3451">
        <v>69.0142606549379</v>
      </c>
      <c r="AK3451">
        <v>6.6309379861684299</v>
      </c>
      <c r="AL3451">
        <v>67.481693550572103</v>
      </c>
      <c r="AM3451">
        <v>76.363018416236599</v>
      </c>
      <c r="AN3451">
        <v>1.0000000011504999</v>
      </c>
    </row>
    <row r="3452" spans="1:40" x14ac:dyDescent="0.25">
      <c r="A3452" t="str">
        <f>"20190304164711999"</f>
        <v>20190304164711999</v>
      </c>
      <c r="B3452" t="str">
        <f>"1551689231992413"</f>
        <v>1551689231992413</v>
      </c>
      <c r="C3452" t="s">
        <v>40</v>
      </c>
      <c r="D3452">
        <v>4.6764039999999998</v>
      </c>
      <c r="E3452">
        <v>0.57971530000000004</v>
      </c>
      <c r="F3452" t="s">
        <v>42</v>
      </c>
      <c r="G3452">
        <v>-191.86709999999999</v>
      </c>
      <c r="H3452" s="1">
        <v>-2.1926570000000001E-6</v>
      </c>
      <c r="I3452">
        <v>173.54220000000001</v>
      </c>
      <c r="J3452">
        <v>-189.00579999999999</v>
      </c>
      <c r="K3452">
        <v>1.1090789999999999</v>
      </c>
      <c r="L3452">
        <v>180.47020000000001</v>
      </c>
      <c r="M3452">
        <v>-5.9004060000000004E-3</v>
      </c>
      <c r="N3452">
        <v>-1.3699289999999999E-2</v>
      </c>
      <c r="O3452">
        <v>-0.99988880000000002</v>
      </c>
      <c r="P3452">
        <v>-0.22901740000000001</v>
      </c>
      <c r="Q3452">
        <v>0.3693977</v>
      </c>
      <c r="R3452">
        <v>-0.90060910000000005</v>
      </c>
      <c r="S3452">
        <v>-1.290146</v>
      </c>
      <c r="T3452">
        <v>-0.4991758</v>
      </c>
      <c r="U3452">
        <v>-3.2190400000000001</v>
      </c>
      <c r="V3452">
        <v>0.22578429999999999</v>
      </c>
      <c r="W3452">
        <v>0.38048929999999997</v>
      </c>
      <c r="X3452">
        <v>0.89679949999999997</v>
      </c>
      <c r="Y3452">
        <v>0.36304649999999999</v>
      </c>
      <c r="Z3452">
        <v>0.129076</v>
      </c>
      <c r="AA3452">
        <v>0.92278740000000004</v>
      </c>
      <c r="AB3452">
        <v>21</v>
      </c>
      <c r="AC3452">
        <v>-2.8613</v>
      </c>
      <c r="AD3452">
        <v>-1.1090811926569999</v>
      </c>
      <c r="AE3452">
        <v>-6.9279999999999902</v>
      </c>
      <c r="AF3452">
        <v>2.75994390457927</v>
      </c>
      <c r="AG3452">
        <v>-1.1090811926569999</v>
      </c>
      <c r="AH3452">
        <v>6.7959770571873497</v>
      </c>
      <c r="AI3452">
        <v>98.598189584807898</v>
      </c>
      <c r="AJ3452">
        <v>67.897222421530898</v>
      </c>
      <c r="AK3452">
        <v>7.4183998011799401</v>
      </c>
      <c r="AL3452">
        <v>67.6360056939711</v>
      </c>
      <c r="AM3452">
        <v>75.868523169091404</v>
      </c>
      <c r="AN3452">
        <v>1.00000000037061</v>
      </c>
    </row>
    <row r="3453" spans="1:40" x14ac:dyDescent="0.25">
      <c r="A3453" t="str">
        <f>"20190304164712020"</f>
        <v>20190304164712020</v>
      </c>
      <c r="B3453" t="str">
        <f>"1551689232011936"</f>
        <v>1551689232011936</v>
      </c>
      <c r="C3453" t="s">
        <v>40</v>
      </c>
      <c r="D3453">
        <v>4.649578</v>
      </c>
      <c r="E3453">
        <v>0.580094</v>
      </c>
      <c r="F3453" t="s">
        <v>42</v>
      </c>
      <c r="G3453">
        <v>-191.7912</v>
      </c>
      <c r="H3453" s="1">
        <v>-2.231894E-6</v>
      </c>
      <c r="I3453">
        <v>173.6808</v>
      </c>
      <c r="J3453">
        <v>-189.01140000000001</v>
      </c>
      <c r="K3453">
        <v>1.10911</v>
      </c>
      <c r="L3453">
        <v>180.2619</v>
      </c>
      <c r="M3453">
        <v>-9.5186820000000005E-3</v>
      </c>
      <c r="N3453">
        <v>-1.3698729999999999E-2</v>
      </c>
      <c r="O3453">
        <v>-0.99986090000000005</v>
      </c>
      <c r="P3453">
        <v>-0.23439760000000001</v>
      </c>
      <c r="Q3453">
        <v>0.36666159999999998</v>
      </c>
      <c r="R3453">
        <v>-0.900343</v>
      </c>
      <c r="S3453">
        <v>-1.3174129999999999</v>
      </c>
      <c r="T3453">
        <v>-0.52456630000000004</v>
      </c>
      <c r="U3453">
        <v>-3.2112430000000001</v>
      </c>
      <c r="V3453">
        <v>0.2278579</v>
      </c>
      <c r="W3453">
        <v>0.37776690000000002</v>
      </c>
      <c r="X3453">
        <v>0.89742569999999999</v>
      </c>
      <c r="Y3453">
        <v>0.36679529999999999</v>
      </c>
      <c r="Z3453">
        <v>0.1361706</v>
      </c>
      <c r="AA3453">
        <v>0.92028189999999999</v>
      </c>
      <c r="AB3453">
        <v>21</v>
      </c>
      <c r="AC3453">
        <v>-2.7797999999999901</v>
      </c>
      <c r="AD3453">
        <v>-1.1091122318940001</v>
      </c>
      <c r="AE3453">
        <v>-6.5810999999999904</v>
      </c>
      <c r="AF3453">
        <v>2.6530798171076202</v>
      </c>
      <c r="AG3453">
        <v>-1.1091122318940001</v>
      </c>
      <c r="AH3453">
        <v>6.4517628989112099</v>
      </c>
      <c r="AI3453">
        <v>99.033873235345993</v>
      </c>
      <c r="AJ3453">
        <v>67.646662254494004</v>
      </c>
      <c r="AK3453">
        <v>7.0635831532337603</v>
      </c>
      <c r="AL3453">
        <v>67.804571576698606</v>
      </c>
      <c r="AM3453">
        <v>75.753550219489199</v>
      </c>
      <c r="AN3453">
        <v>0.99999997017425402</v>
      </c>
    </row>
    <row r="3454" spans="1:40" x14ac:dyDescent="0.25">
      <c r="A3454" t="str">
        <f>"20190304164712042"</f>
        <v>20190304164712042</v>
      </c>
      <c r="B3454" t="str">
        <f>"1551689232032432"</f>
        <v>1551689232032432</v>
      </c>
      <c r="C3454" t="s">
        <v>40</v>
      </c>
      <c r="D3454">
        <v>4.6575030000000002</v>
      </c>
      <c r="E3454">
        <v>0.57942309999999997</v>
      </c>
      <c r="F3454" t="s">
        <v>42</v>
      </c>
      <c r="G3454">
        <v>-191.8605</v>
      </c>
      <c r="H3454" s="1">
        <v>-2.157351E-6</v>
      </c>
      <c r="I3454">
        <v>173.464</v>
      </c>
      <c r="J3454">
        <v>-189.01750000000001</v>
      </c>
      <c r="K3454">
        <v>1.1091359999999999</v>
      </c>
      <c r="L3454">
        <v>180.05869999999999</v>
      </c>
      <c r="M3454">
        <v>-1.3056089999999999E-2</v>
      </c>
      <c r="N3454">
        <v>-1.3697910000000001E-2</v>
      </c>
      <c r="O3454">
        <v>-0.99982110000000002</v>
      </c>
      <c r="P3454">
        <v>-0.24222569999999999</v>
      </c>
      <c r="Q3454">
        <v>0.3645254</v>
      </c>
      <c r="R3454">
        <v>-0.89913750000000003</v>
      </c>
      <c r="S3454">
        <v>-1.3393710000000001</v>
      </c>
      <c r="T3454">
        <v>-0.52139429999999998</v>
      </c>
      <c r="U3454">
        <v>-3.195694</v>
      </c>
      <c r="V3454">
        <v>0.23247139999999999</v>
      </c>
      <c r="W3454">
        <v>0.37561529999999999</v>
      </c>
      <c r="X3454">
        <v>0.89714559999999999</v>
      </c>
      <c r="Y3454">
        <v>0.37049549999999998</v>
      </c>
      <c r="Z3454">
        <v>0.13564379999999901</v>
      </c>
      <c r="AA3454">
        <v>0.91887640000000004</v>
      </c>
      <c r="AB3454">
        <v>21</v>
      </c>
      <c r="AC3454">
        <v>-2.84299999999998</v>
      </c>
      <c r="AD3454">
        <v>-1.109138157351</v>
      </c>
      <c r="AE3454">
        <v>-6.5946999999999596</v>
      </c>
      <c r="AF3454">
        <v>2.6924249365011002</v>
      </c>
      <c r="AG3454">
        <v>-1.109138157351</v>
      </c>
      <c r="AH3454">
        <v>6.4767664865469001</v>
      </c>
      <c r="AI3454">
        <v>98.985760930291306</v>
      </c>
      <c r="AJ3454">
        <v>67.427094249868802</v>
      </c>
      <c r="AK3454">
        <v>7.1012564812180896</v>
      </c>
      <c r="AL3454">
        <v>67.937653149164603</v>
      </c>
      <c r="AM3454">
        <v>75.472840147408505</v>
      </c>
      <c r="AN3454">
        <v>1.0000000165056999</v>
      </c>
    </row>
    <row r="3455" spans="1:40" x14ac:dyDescent="0.25">
      <c r="A3455" t="str">
        <f>"20190304164712064"</f>
        <v>20190304164712064</v>
      </c>
      <c r="B3455" t="str">
        <f>"1551689232051949"</f>
        <v>1551689232051949</v>
      </c>
      <c r="C3455" t="s">
        <v>40</v>
      </c>
      <c r="D3455">
        <v>4.6726720000000004</v>
      </c>
      <c r="E3455">
        <v>0.5789704</v>
      </c>
      <c r="F3455" t="s">
        <v>42</v>
      </c>
      <c r="G3455">
        <v>-191.85769999999999</v>
      </c>
      <c r="H3455" s="1">
        <v>-2.1415909999999999E-6</v>
      </c>
      <c r="I3455">
        <v>173.429</v>
      </c>
      <c r="J3455">
        <v>-189.02440000000001</v>
      </c>
      <c r="K3455">
        <v>1.1091580000000001</v>
      </c>
      <c r="L3455">
        <v>179.85409999999999</v>
      </c>
      <c r="M3455">
        <v>-1.663417E-2</v>
      </c>
      <c r="N3455">
        <v>-1.3697050000000001E-2</v>
      </c>
      <c r="O3455">
        <v>-0.99976779999999998</v>
      </c>
      <c r="P3455">
        <v>-0.2489845</v>
      </c>
      <c r="Q3455">
        <v>0.36321609999999999</v>
      </c>
      <c r="R3455">
        <v>-0.89782030000000002</v>
      </c>
      <c r="S3455">
        <v>-1.364471</v>
      </c>
      <c r="T3455">
        <v>-0.53284180000000003</v>
      </c>
      <c r="U3455">
        <v>-3.1849820000000002</v>
      </c>
      <c r="V3455">
        <v>0.23599999999999999</v>
      </c>
      <c r="W3455">
        <v>0.3742897</v>
      </c>
      <c r="X3455">
        <v>0.89677830000000003</v>
      </c>
      <c r="Y3455">
        <v>0.3742182</v>
      </c>
      <c r="Z3455">
        <v>0.13896749999999999</v>
      </c>
      <c r="AA3455">
        <v>0.91686900000000005</v>
      </c>
      <c r="AB3455">
        <v>21</v>
      </c>
      <c r="AC3455">
        <v>-2.8332999999999799</v>
      </c>
      <c r="AD3455">
        <v>-1.109160141591</v>
      </c>
      <c r="AE3455">
        <v>-6.42509999999998</v>
      </c>
      <c r="AF3455">
        <v>2.6596649724309498</v>
      </c>
      <c r="AG3455">
        <v>-1.109160141591</v>
      </c>
      <c r="AH3455">
        <v>6.3138196699869997</v>
      </c>
      <c r="AI3455">
        <v>99.196067075208902</v>
      </c>
      <c r="AJ3455">
        <v>67.156984293110298</v>
      </c>
      <c r="AK3455">
        <v>6.9403438539012701</v>
      </c>
      <c r="AL3455">
        <v>68.019582375368401</v>
      </c>
      <c r="AM3455">
        <v>75.256095944773094</v>
      </c>
      <c r="AN3455">
        <v>1.00000004943848</v>
      </c>
    </row>
    <row r="3456" spans="1:40" x14ac:dyDescent="0.25">
      <c r="A3456" t="str">
        <f>"20190304164712088"</f>
        <v>20190304164712088</v>
      </c>
      <c r="B3456" t="str">
        <f>"1551689232082205"</f>
        <v>1551689232082205</v>
      </c>
      <c r="C3456" t="s">
        <v>40</v>
      </c>
      <c r="D3456">
        <v>4.469951</v>
      </c>
      <c r="E3456">
        <v>0.5796618</v>
      </c>
      <c r="F3456" t="s">
        <v>42</v>
      </c>
      <c r="G3456">
        <v>-191.88300000000001</v>
      </c>
      <c r="H3456" s="1">
        <v>-2.0965390000000002E-6</v>
      </c>
      <c r="I3456">
        <v>173.3083</v>
      </c>
      <c r="J3456">
        <v>-189.03270000000001</v>
      </c>
      <c r="K3456">
        <v>1.109162</v>
      </c>
      <c r="L3456">
        <v>179.63120000000001</v>
      </c>
      <c r="M3456">
        <v>-2.056701E-2</v>
      </c>
      <c r="N3456">
        <v>-1.369652E-2</v>
      </c>
      <c r="O3456">
        <v>-0.99969479999999999</v>
      </c>
      <c r="P3456">
        <v>-0.25566309999999998</v>
      </c>
      <c r="Q3456">
        <v>0.36435329999999999</v>
      </c>
      <c r="R3456">
        <v>-0.89547949999999998</v>
      </c>
      <c r="S3456">
        <v>-1.386368</v>
      </c>
      <c r="T3456">
        <v>-0.53792249999999997</v>
      </c>
      <c r="U3456">
        <v>-3.1745760000000001</v>
      </c>
      <c r="V3456">
        <v>0.23918349999999999</v>
      </c>
      <c r="W3456">
        <v>0.37539080000000002</v>
      </c>
      <c r="X3456">
        <v>0.89547359999999898</v>
      </c>
      <c r="Y3456">
        <v>0.3768919</v>
      </c>
      <c r="Z3456">
        <v>0.1405516</v>
      </c>
      <c r="AA3456">
        <v>0.9155314</v>
      </c>
      <c r="AB3456">
        <v>21</v>
      </c>
      <c r="AC3456">
        <v>-2.8502999999999701</v>
      </c>
      <c r="AD3456">
        <v>-1.1091640965389999</v>
      </c>
      <c r="AE3456">
        <v>-6.3228999999999997</v>
      </c>
      <c r="AF3456">
        <v>2.6518211222111101</v>
      </c>
      <c r="AG3456">
        <v>-1.1091640965389999</v>
      </c>
      <c r="AH3456">
        <v>6.2210852091851798</v>
      </c>
      <c r="AI3456">
        <v>99.314275125709699</v>
      </c>
      <c r="AJ3456">
        <v>66.913221558429697</v>
      </c>
      <c r="AK3456">
        <v>6.8530505205491297</v>
      </c>
      <c r="AL3456">
        <v>67.951530907332796</v>
      </c>
      <c r="AM3456">
        <v>75.045256102399705</v>
      </c>
      <c r="AN3456">
        <v>0.99999998384692401</v>
      </c>
    </row>
    <row r="3457" spans="1:40" x14ac:dyDescent="0.25">
      <c r="A3457" t="str">
        <f>"20190304164712111"</f>
        <v>20190304164712111</v>
      </c>
      <c r="B3457" t="str">
        <f>"1551689232102700"</f>
        <v>1551689232102700</v>
      </c>
      <c r="C3457" t="s">
        <v>40</v>
      </c>
      <c r="D3457">
        <v>4.6412680000000002</v>
      </c>
      <c r="E3457">
        <v>0.57906250000000004</v>
      </c>
      <c r="F3457" t="s">
        <v>42</v>
      </c>
      <c r="G3457">
        <v>-192.0986</v>
      </c>
      <c r="H3457" s="1">
        <v>-1.9362990000000002E-6</v>
      </c>
      <c r="I3457">
        <v>172.80109999999999</v>
      </c>
      <c r="J3457">
        <v>-189.04220000000001</v>
      </c>
      <c r="K3457">
        <v>1.109148</v>
      </c>
      <c r="L3457">
        <v>179.40469999999999</v>
      </c>
      <c r="M3457">
        <v>-2.4631699999999999E-2</v>
      </c>
      <c r="N3457">
        <v>-1.369691E-2</v>
      </c>
      <c r="O3457">
        <v>-0.99960289999999996</v>
      </c>
      <c r="P3457">
        <v>-0.26156760000000001</v>
      </c>
      <c r="Q3457">
        <v>0.36656759999999999</v>
      </c>
      <c r="R3457">
        <v>-0.89286710000000002</v>
      </c>
      <c r="S3457">
        <v>-1.415878</v>
      </c>
      <c r="T3457">
        <v>-0.51223960000000002</v>
      </c>
      <c r="U3457">
        <v>-3.1543429999999999</v>
      </c>
      <c r="V3457">
        <v>0.24152219999999999</v>
      </c>
      <c r="W3457">
        <v>0.37755719999999998</v>
      </c>
      <c r="X3457">
        <v>0.8939338</v>
      </c>
      <c r="Y3457">
        <v>0.38282890000000003</v>
      </c>
      <c r="Z3457">
        <v>0.13374510000000001</v>
      </c>
      <c r="AA3457">
        <v>0.91408659999999997</v>
      </c>
      <c r="AB3457">
        <v>21</v>
      </c>
      <c r="AC3457">
        <v>-3.0563999999999898</v>
      </c>
      <c r="AD3457">
        <v>-1.1091499362989901</v>
      </c>
      <c r="AE3457">
        <v>-6.6036000000000001</v>
      </c>
      <c r="AF3457">
        <v>2.8271145129216002</v>
      </c>
      <c r="AG3457">
        <v>-1.1091499362989901</v>
      </c>
      <c r="AH3457">
        <v>6.5252798344186997</v>
      </c>
      <c r="AI3457">
        <v>98.864892564383894</v>
      </c>
      <c r="AJ3457">
        <v>66.575053410654604</v>
      </c>
      <c r="AK3457">
        <v>7.1973652795891496</v>
      </c>
      <c r="AL3457">
        <v>67.817548744000106</v>
      </c>
      <c r="AM3457">
        <v>74.880862646198693</v>
      </c>
      <c r="AN3457">
        <v>1.0000000255735499</v>
      </c>
    </row>
    <row r="3458" spans="1:40" x14ac:dyDescent="0.25">
      <c r="A3458" t="str">
        <f>"20190304164712133"</f>
        <v>20190304164712133</v>
      </c>
      <c r="B3458" t="str">
        <f>"1551689232122221"</f>
        <v>1551689232122221</v>
      </c>
      <c r="C3458" t="s">
        <v>40</v>
      </c>
      <c r="D3458">
        <v>4.6723689999999998</v>
      </c>
      <c r="E3458">
        <v>0.57848940000000004</v>
      </c>
      <c r="F3458" t="s">
        <v>42</v>
      </c>
      <c r="G3458">
        <v>-192.17250000000001</v>
      </c>
      <c r="H3458" s="1">
        <v>-1.837017E-6</v>
      </c>
      <c r="I3458">
        <v>172.52379999999999</v>
      </c>
      <c r="J3458">
        <v>-189.0515</v>
      </c>
      <c r="K3458">
        <v>1.1091120000000001</v>
      </c>
      <c r="L3458">
        <v>179.20160000000001</v>
      </c>
      <c r="M3458">
        <v>-2.8364170000000001E-2</v>
      </c>
      <c r="N3458">
        <v>-1.369829E-2</v>
      </c>
      <c r="O3458">
        <v>-0.99950399999999995</v>
      </c>
      <c r="P3458">
        <v>-0.26652150000000002</v>
      </c>
      <c r="Q3458">
        <v>0.36879800000000001</v>
      </c>
      <c r="R3458">
        <v>-0.8904803</v>
      </c>
      <c r="S3458">
        <v>-1.4324190000000001</v>
      </c>
      <c r="T3458">
        <v>-0.50754790000000005</v>
      </c>
      <c r="U3458">
        <v>-3.1487120000000002</v>
      </c>
      <c r="V3458">
        <v>0.24323649999999999</v>
      </c>
      <c r="W3458">
        <v>0.37973430000000002</v>
      </c>
      <c r="X3458">
        <v>0.8925457</v>
      </c>
      <c r="Y3458">
        <v>0.38405640000000002</v>
      </c>
      <c r="Z3458">
        <v>0.13246040000000001</v>
      </c>
      <c r="AA3458">
        <v>0.91375870000000003</v>
      </c>
      <c r="AB3458">
        <v>21</v>
      </c>
      <c r="AC3458">
        <v>-3.121</v>
      </c>
      <c r="AD3458">
        <v>-1.1091138370169999</v>
      </c>
      <c r="AE3458">
        <v>-6.6778000000000102</v>
      </c>
      <c r="AF3458">
        <v>2.8654414340915699</v>
      </c>
      <c r="AG3458">
        <v>-1.1091138370169999</v>
      </c>
      <c r="AH3458">
        <v>6.6139044075243802</v>
      </c>
      <c r="AI3458">
        <v>98.747708005478898</v>
      </c>
      <c r="AJ3458">
        <v>66.575565277166703</v>
      </c>
      <c r="AK3458">
        <v>7.2927785944413399</v>
      </c>
      <c r="AL3458">
        <v>67.682773968433906</v>
      </c>
      <c r="AM3458">
        <v>74.755938793119299</v>
      </c>
      <c r="AN3458">
        <v>0.99999998005861401</v>
      </c>
    </row>
    <row r="3459" spans="1:40" x14ac:dyDescent="0.25">
      <c r="A3459" t="str">
        <f>"20190304164712153"</f>
        <v>20190304164712153</v>
      </c>
      <c r="B3459" t="str">
        <f>"1551689232142717"</f>
        <v>1551689232142717</v>
      </c>
      <c r="C3459" t="s">
        <v>40</v>
      </c>
      <c r="D3459">
        <v>4.6511570000000004</v>
      </c>
      <c r="E3459">
        <v>0.57799990000000001</v>
      </c>
      <c r="F3459" t="s">
        <v>42</v>
      </c>
      <c r="G3459">
        <v>-192.25120000000001</v>
      </c>
      <c r="H3459" s="1">
        <v>-1.7442289999999999E-6</v>
      </c>
      <c r="I3459">
        <v>172.2587</v>
      </c>
      <c r="J3459">
        <v>-189.06120000000001</v>
      </c>
      <c r="K3459">
        <v>1.109067</v>
      </c>
      <c r="L3459">
        <v>179.0095</v>
      </c>
      <c r="M3459">
        <v>-3.1995679999999999E-2</v>
      </c>
      <c r="N3459">
        <v>-1.3700769999999999E-2</v>
      </c>
      <c r="O3459">
        <v>-0.99939420000000001</v>
      </c>
      <c r="P3459">
        <v>-0.27138250000000003</v>
      </c>
      <c r="Q3459">
        <v>0.37094189999999999</v>
      </c>
      <c r="R3459">
        <v>-0.88811799999999996</v>
      </c>
      <c r="S3459">
        <v>-1.4486239999999999</v>
      </c>
      <c r="T3459">
        <v>-0.50214219999999998</v>
      </c>
      <c r="U3459">
        <v>-3.1433559999999998</v>
      </c>
      <c r="V3459">
        <v>0.2449749</v>
      </c>
      <c r="W3459">
        <v>0.38181670000000001</v>
      </c>
      <c r="X3459">
        <v>0.89118090000000005</v>
      </c>
      <c r="Y3459">
        <v>0.3852739</v>
      </c>
      <c r="Z3459">
        <v>0.13095989999999999</v>
      </c>
      <c r="AA3459">
        <v>0.91346240000000001</v>
      </c>
      <c r="AB3459">
        <v>21</v>
      </c>
      <c r="AC3459">
        <v>-3.1899999999999902</v>
      </c>
      <c r="AD3459">
        <v>-1.1090687442289999</v>
      </c>
      <c r="AE3459">
        <v>-6.7507999999999901</v>
      </c>
      <c r="AF3459">
        <v>2.9081846707327599</v>
      </c>
      <c r="AG3459">
        <v>-1.1090687442289999</v>
      </c>
      <c r="AH3459">
        <v>6.7015581608379904</v>
      </c>
      <c r="AI3459">
        <v>98.632473463288605</v>
      </c>
      <c r="AJ3459">
        <v>66.541254224829899</v>
      </c>
      <c r="AK3459">
        <v>7.3890766230703697</v>
      </c>
      <c r="AL3459">
        <v>67.5537423518075</v>
      </c>
      <c r="AM3459">
        <v>74.629716980590501</v>
      </c>
      <c r="AN3459">
        <v>1.00000004527685</v>
      </c>
    </row>
    <row r="3460" spans="1:40" x14ac:dyDescent="0.25">
      <c r="A3460" t="str">
        <f>"20190304164712177"</f>
        <v>20190304164712177</v>
      </c>
      <c r="B3460" t="str">
        <f>"1551689232171998"</f>
        <v>1551689232171998</v>
      </c>
      <c r="C3460" t="s">
        <v>40</v>
      </c>
      <c r="D3460">
        <v>4.8704479999999997</v>
      </c>
      <c r="E3460">
        <v>0.57805050000000002</v>
      </c>
      <c r="F3460" t="s">
        <v>42</v>
      </c>
      <c r="G3460">
        <v>-192.32939999999999</v>
      </c>
      <c r="H3460" s="1">
        <v>-1.6564510000000001E-6</v>
      </c>
      <c r="I3460">
        <v>172.00559999999999</v>
      </c>
      <c r="J3460">
        <v>-189.07329999999999</v>
      </c>
      <c r="K3460">
        <v>1.108989</v>
      </c>
      <c r="L3460">
        <v>178.7902</v>
      </c>
      <c r="M3460">
        <v>-3.6284070000000002E-2</v>
      </c>
      <c r="N3460">
        <v>-1.370501E-2</v>
      </c>
      <c r="O3460">
        <v>-0.99924769999999896</v>
      </c>
      <c r="P3460">
        <v>-0.27854089999999998</v>
      </c>
      <c r="Q3460">
        <v>0.37254110000000001</v>
      </c>
      <c r="R3460">
        <v>-0.88522789999999996</v>
      </c>
      <c r="S3460">
        <v>-1.464264</v>
      </c>
      <c r="T3460">
        <v>-0.49691000000000002</v>
      </c>
      <c r="U3460">
        <v>-3.1380460000000001</v>
      </c>
      <c r="V3460">
        <v>0.24847</v>
      </c>
      <c r="W3460">
        <v>0.38332919999999998</v>
      </c>
      <c r="X3460">
        <v>0.88956250000000003</v>
      </c>
      <c r="Y3460">
        <v>0.38573800000000003</v>
      </c>
      <c r="Z3460">
        <v>0.1295241</v>
      </c>
      <c r="AA3460">
        <v>0.91347129999999999</v>
      </c>
      <c r="AB3460">
        <v>21</v>
      </c>
      <c r="AC3460">
        <v>-3.2561</v>
      </c>
      <c r="AD3460">
        <v>-1.1089906564509999</v>
      </c>
      <c r="AE3460">
        <v>-6.78460000000001</v>
      </c>
      <c r="AF3460">
        <v>2.9438303501055998</v>
      </c>
      <c r="AG3460">
        <v>-1.1089906564509999</v>
      </c>
      <c r="AH3460">
        <v>6.7516658831210004</v>
      </c>
      <c r="AI3460">
        <v>98.562412401571095</v>
      </c>
      <c r="AJ3460">
        <v>66.442056549730196</v>
      </c>
      <c r="AK3460">
        <v>7.4485562093333604</v>
      </c>
      <c r="AL3460">
        <v>67.459946634087501</v>
      </c>
      <c r="AM3460">
        <v>74.394043756432495</v>
      </c>
      <c r="AN3460">
        <v>1.00000002893944</v>
      </c>
    </row>
    <row r="3461" spans="1:40" x14ac:dyDescent="0.25">
      <c r="A3461" t="str">
        <f>"20190304164712200"</f>
        <v>20190304164712200</v>
      </c>
      <c r="B3461" t="str">
        <f>"1551689232192493"</f>
        <v>1551689232192493</v>
      </c>
      <c r="C3461" t="s">
        <v>40</v>
      </c>
      <c r="D3461">
        <v>4.9387369999999997</v>
      </c>
      <c r="E3461">
        <v>0.57820000000000005</v>
      </c>
      <c r="F3461" t="s">
        <v>42</v>
      </c>
      <c r="G3461">
        <v>-192.4169</v>
      </c>
      <c r="H3461" s="1">
        <v>-1.5857619999999999E-6</v>
      </c>
      <c r="I3461">
        <v>171.78649999999999</v>
      </c>
      <c r="J3461">
        <v>-189.08629999999999</v>
      </c>
      <c r="K3461">
        <v>1.108905</v>
      </c>
      <c r="L3461">
        <v>178.57429999999999</v>
      </c>
      <c r="M3461">
        <v>-4.0654059999999999E-2</v>
      </c>
      <c r="N3461">
        <v>-1.370994E-2</v>
      </c>
      <c r="O3461">
        <v>-0.9990793</v>
      </c>
      <c r="P3461">
        <v>-0.28661249999999999</v>
      </c>
      <c r="Q3461">
        <v>0.37398120000000001</v>
      </c>
      <c r="R3461">
        <v>-0.88203829999999905</v>
      </c>
      <c r="S3461">
        <v>-1.4931179999999999</v>
      </c>
      <c r="T3461">
        <v>-0.49522329999999998</v>
      </c>
      <c r="U3461">
        <v>-3.1275330000000001</v>
      </c>
      <c r="V3461">
        <v>0.25283440000000001</v>
      </c>
      <c r="W3461">
        <v>0.38467289999999998</v>
      </c>
      <c r="X3461">
        <v>0.88775079999999995</v>
      </c>
      <c r="Y3461">
        <v>0.38979409999999998</v>
      </c>
      <c r="Z3461">
        <v>0.12905929999999999</v>
      </c>
      <c r="AA3461">
        <v>0.91181369999999895</v>
      </c>
      <c r="AB3461">
        <v>21</v>
      </c>
      <c r="AC3461">
        <v>-3.3306</v>
      </c>
      <c r="AD3461">
        <v>-1.108906585762</v>
      </c>
      <c r="AE3461">
        <v>-6.7877999999999998</v>
      </c>
      <c r="AF3461">
        <v>2.9876046281477402</v>
      </c>
      <c r="AG3461">
        <v>-1.108906585762</v>
      </c>
      <c r="AH3461">
        <v>6.7719370506626104</v>
      </c>
      <c r="AI3461">
        <v>98.5205762502722</v>
      </c>
      <c r="AJ3461">
        <v>66.194160300312504</v>
      </c>
      <c r="AK3461">
        <v>7.4842893215196602</v>
      </c>
      <c r="AL3461">
        <v>67.376564484358994</v>
      </c>
      <c r="AM3461">
        <v>74.102869503959994</v>
      </c>
      <c r="AN3461">
        <v>0.99999997835920396</v>
      </c>
    </row>
    <row r="3462" spans="1:40" x14ac:dyDescent="0.25">
      <c r="A3462" t="str">
        <f>"20190304164712221"</f>
        <v>20190304164712221</v>
      </c>
      <c r="B3462" t="str">
        <f>"1551689232212017"</f>
        <v>1551689232212017</v>
      </c>
      <c r="C3462" t="s">
        <v>40</v>
      </c>
      <c r="D3462">
        <v>4.9527130000000001</v>
      </c>
      <c r="E3462">
        <v>0.57832490000000003</v>
      </c>
      <c r="F3462" t="s">
        <v>42</v>
      </c>
      <c r="G3462">
        <v>-192.489</v>
      </c>
      <c r="H3462" s="1">
        <v>-1.5322510000000001E-6</v>
      </c>
      <c r="I3462">
        <v>171.61709999999999</v>
      </c>
      <c r="J3462">
        <v>-189.0994</v>
      </c>
      <c r="K3462">
        <v>1.108841</v>
      </c>
      <c r="L3462">
        <v>178.37289999999999</v>
      </c>
      <c r="M3462">
        <v>-4.4839129999999998E-2</v>
      </c>
      <c r="N3462">
        <v>-1.3714530000000001E-2</v>
      </c>
      <c r="O3462">
        <v>-0.99890009999999996</v>
      </c>
      <c r="P3462">
        <v>-0.29435149999999999</v>
      </c>
      <c r="Q3462">
        <v>0.37446170000000001</v>
      </c>
      <c r="R3462">
        <v>-0.8792818</v>
      </c>
      <c r="S3462">
        <v>-1.5242610000000001</v>
      </c>
      <c r="T3462">
        <v>-0.4967453</v>
      </c>
      <c r="U3462">
        <v>-3.1165310000000002</v>
      </c>
      <c r="V3462">
        <v>0.25701020000000002</v>
      </c>
      <c r="W3462">
        <v>0.38507340000000001</v>
      </c>
      <c r="X3462">
        <v>0.88637699999999997</v>
      </c>
      <c r="Y3462">
        <v>0.3945419</v>
      </c>
      <c r="Z3462">
        <v>0.12946630000000001</v>
      </c>
      <c r="AA3462">
        <v>0.90971159999999995</v>
      </c>
      <c r="AB3462">
        <v>21</v>
      </c>
      <c r="AC3462">
        <v>-3.3896000000000002</v>
      </c>
      <c r="AD3462">
        <v>-1.108842532251</v>
      </c>
      <c r="AE3462">
        <v>-6.75579999999999</v>
      </c>
      <c r="AF3462">
        <v>3.0182793931360199</v>
      </c>
      <c r="AG3462">
        <v>-1.108842532251</v>
      </c>
      <c r="AH3462">
        <v>6.7556135098930099</v>
      </c>
      <c r="AI3462">
        <v>98.522896027197007</v>
      </c>
      <c r="AJ3462">
        <v>65.925818281770702</v>
      </c>
      <c r="AK3462">
        <v>7.4818350791371602</v>
      </c>
      <c r="AL3462">
        <v>67.351702331817805</v>
      </c>
      <c r="AM3462">
        <v>73.830174172496299</v>
      </c>
      <c r="AN3462">
        <v>0.99999997621029901</v>
      </c>
    </row>
    <row r="3463" spans="1:40" x14ac:dyDescent="0.25">
      <c r="A3463" t="str">
        <f>"20190304164712243"</f>
        <v>20190304164712243</v>
      </c>
      <c r="B3463" t="str">
        <f>"1551689232232512"</f>
        <v>1551689232232512</v>
      </c>
      <c r="C3463" t="s">
        <v>40</v>
      </c>
      <c r="D3463">
        <v>4.9509740000000004</v>
      </c>
      <c r="E3463">
        <v>0.57845299999999999</v>
      </c>
      <c r="F3463" t="s">
        <v>42</v>
      </c>
      <c r="G3463">
        <v>-192.541</v>
      </c>
      <c r="H3463" s="1">
        <v>-1.4953739999999901E-6</v>
      </c>
      <c r="I3463">
        <v>171.49889999999999</v>
      </c>
      <c r="J3463">
        <v>-189.11359999999999</v>
      </c>
      <c r="K3463">
        <v>1.1087830000000001</v>
      </c>
      <c r="L3463">
        <v>178.1696</v>
      </c>
      <c r="M3463">
        <v>-4.9170270000000002E-2</v>
      </c>
      <c r="N3463">
        <v>-1.371847E-2</v>
      </c>
      <c r="O3463">
        <v>-0.99869629999999998</v>
      </c>
      <c r="P3463">
        <v>-0.30092609999999997</v>
      </c>
      <c r="Q3463">
        <v>0.37393749999999998</v>
      </c>
      <c r="R3463">
        <v>-0.87727659999999996</v>
      </c>
      <c r="S3463">
        <v>-1.5544739999999999</v>
      </c>
      <c r="T3463">
        <v>-0.50083389999999905</v>
      </c>
      <c r="U3463">
        <v>-3.104813</v>
      </c>
      <c r="V3463">
        <v>0.25985380000000002</v>
      </c>
      <c r="W3463">
        <v>0.38449369999999999</v>
      </c>
      <c r="X3463">
        <v>0.88579940000000001</v>
      </c>
      <c r="Y3463">
        <v>0.39894499999999999</v>
      </c>
      <c r="Z3463">
        <v>0.13063259999999999</v>
      </c>
      <c r="AA3463">
        <v>0.90762220000000005</v>
      </c>
      <c r="AB3463">
        <v>21</v>
      </c>
      <c r="AC3463">
        <v>-3.4274</v>
      </c>
      <c r="AD3463">
        <v>-1.108784495374</v>
      </c>
      <c r="AE3463">
        <v>-6.6707000000000098</v>
      </c>
      <c r="AF3463">
        <v>3.0290146889618899</v>
      </c>
      <c r="AG3463">
        <v>-1.108784495374</v>
      </c>
      <c r="AH3463">
        <v>6.6850506843177602</v>
      </c>
      <c r="AI3463">
        <v>98.591030419756194</v>
      </c>
      <c r="AJ3463">
        <v>65.624590198103903</v>
      </c>
      <c r="AK3463">
        <v>7.4225491372591197</v>
      </c>
      <c r="AL3463">
        <v>67.387687619121294</v>
      </c>
      <c r="AM3463">
        <v>73.650678435345</v>
      </c>
      <c r="AN3463">
        <v>0.99999998987724503</v>
      </c>
    </row>
    <row r="3464" spans="1:40" x14ac:dyDescent="0.25">
      <c r="A3464" t="str">
        <f>"20190304164712265"</f>
        <v>20190304164712265</v>
      </c>
      <c r="B3464" t="str">
        <f>"1551689232261789"</f>
        <v>1551689232261789</v>
      </c>
      <c r="C3464" t="s">
        <v>40</v>
      </c>
      <c r="D3464">
        <v>4.9698599999999997</v>
      </c>
      <c r="E3464">
        <v>0.57822240000000003</v>
      </c>
      <c r="F3464" t="s">
        <v>42</v>
      </c>
      <c r="G3464">
        <v>-192.55850000000001</v>
      </c>
      <c r="H3464" s="1">
        <v>-1.4638859999999999E-6</v>
      </c>
      <c r="I3464">
        <v>171.41460000000001</v>
      </c>
      <c r="J3464">
        <v>-189.12889999999999</v>
      </c>
      <c r="K3464">
        <v>1.108738</v>
      </c>
      <c r="L3464">
        <v>177.96430000000001</v>
      </c>
      <c r="M3464">
        <v>-5.3649120000000002E-2</v>
      </c>
      <c r="N3464">
        <v>-1.3722130000000001E-2</v>
      </c>
      <c r="O3464">
        <v>-0.99846559999999995</v>
      </c>
      <c r="P3464">
        <v>-0.30817749999999999</v>
      </c>
      <c r="Q3464">
        <v>0.3720213</v>
      </c>
      <c r="R3464">
        <v>-0.87557260000000003</v>
      </c>
      <c r="S3464">
        <v>-1.578308</v>
      </c>
      <c r="T3464">
        <v>-0.507992</v>
      </c>
      <c r="U3464">
        <v>-3.0948329999999999</v>
      </c>
      <c r="V3464">
        <v>0.2632178</v>
      </c>
      <c r="W3464">
        <v>0.38252789999999998</v>
      </c>
      <c r="X3464">
        <v>0.88565729999999998</v>
      </c>
      <c r="Y3464">
        <v>0.40144220000000003</v>
      </c>
      <c r="Z3464">
        <v>0.13270399999999999</v>
      </c>
      <c r="AA3464">
        <v>0.90621949999999996</v>
      </c>
      <c r="AB3464">
        <v>21</v>
      </c>
      <c r="AC3464">
        <v>-3.4296000000000202</v>
      </c>
      <c r="AD3464">
        <v>-1.108739463886</v>
      </c>
      <c r="AE3464">
        <v>-6.5496999999999996</v>
      </c>
      <c r="AF3464">
        <v>3.0056451625429599</v>
      </c>
      <c r="AG3464">
        <v>-1.108739463886</v>
      </c>
      <c r="AH3464">
        <v>6.5763772700985204</v>
      </c>
      <c r="AI3464">
        <v>98.717737046708905</v>
      </c>
      <c r="AJ3464">
        <v>65.437864210080505</v>
      </c>
      <c r="AK3464">
        <v>7.3151858514028598</v>
      </c>
      <c r="AL3464">
        <v>67.509645920127099</v>
      </c>
      <c r="AM3464">
        <v>73.448023997165706</v>
      </c>
      <c r="AN3464">
        <v>1.0000000287792601</v>
      </c>
    </row>
    <row r="3465" spans="1:40" x14ac:dyDescent="0.25">
      <c r="A3465" t="str">
        <f>"20190304164712289"</f>
        <v>20190304164712289</v>
      </c>
      <c r="B3465" t="str">
        <f>"1551689232282285"</f>
        <v>1551689232282285</v>
      </c>
      <c r="C3465" t="s">
        <v>40</v>
      </c>
      <c r="D3465">
        <v>4.9683109999999999</v>
      </c>
      <c r="E3465">
        <v>0.57808689999999996</v>
      </c>
      <c r="F3465" t="s">
        <v>42</v>
      </c>
      <c r="G3465">
        <v>-192.50839999999999</v>
      </c>
      <c r="H3465" s="1">
        <v>-1.4680050000000001E-6</v>
      </c>
      <c r="I3465">
        <v>171.45529999999999</v>
      </c>
      <c r="J3465">
        <v>-189.14660000000001</v>
      </c>
      <c r="K3465">
        <v>1.108689</v>
      </c>
      <c r="L3465">
        <v>177.74260000000001</v>
      </c>
      <c r="M3465">
        <v>-5.8590259999999998E-2</v>
      </c>
      <c r="N3465">
        <v>-1.3726540000000001E-2</v>
      </c>
      <c r="O3465">
        <v>-0.99818770000000001</v>
      </c>
      <c r="P3465">
        <v>-0.31488890000000003</v>
      </c>
      <c r="Q3465">
        <v>0.37036370000000002</v>
      </c>
      <c r="R3465">
        <v>-0.87388549999999998</v>
      </c>
      <c r="S3465">
        <v>-1.6021270000000001</v>
      </c>
      <c r="T3465">
        <v>-0.52562619999999904</v>
      </c>
      <c r="U3465">
        <v>-3.0857700000000001</v>
      </c>
      <c r="V3465">
        <v>0.26563680000000001</v>
      </c>
      <c r="W3465">
        <v>0.38082840000000001</v>
      </c>
      <c r="X3465">
        <v>0.88566739999999999</v>
      </c>
      <c r="Y3465">
        <v>0.40319470000000002</v>
      </c>
      <c r="Z3465">
        <v>0.13769229999999999</v>
      </c>
      <c r="AA3465">
        <v>0.90469599999999994</v>
      </c>
      <c r="AB3465">
        <v>21</v>
      </c>
      <c r="AC3465">
        <v>-3.3617999999999801</v>
      </c>
      <c r="AD3465">
        <v>-1.108690468005</v>
      </c>
      <c r="AE3465">
        <v>-6.2873000000000099</v>
      </c>
      <c r="AF3465">
        <v>2.9170749588779299</v>
      </c>
      <c r="AG3465">
        <v>-1.108690468005</v>
      </c>
      <c r="AH3465">
        <v>6.3206412729205201</v>
      </c>
      <c r="AI3465">
        <v>99.049190779237904</v>
      </c>
      <c r="AJ3465">
        <v>65.225936224681703</v>
      </c>
      <c r="AK3465">
        <v>7.04904440122945</v>
      </c>
      <c r="AL3465">
        <v>67.614993994429597</v>
      </c>
      <c r="AM3465">
        <v>73.304519858369304</v>
      </c>
      <c r="AN3465">
        <v>0.99999996159177895</v>
      </c>
    </row>
    <row r="3466" spans="1:40" x14ac:dyDescent="0.25">
      <c r="A3466" t="str">
        <f>"20190304164712311"</f>
        <v>20190304164712311</v>
      </c>
      <c r="B3466" t="str">
        <f>"1551689232301805"</f>
        <v>1551689232301805</v>
      </c>
      <c r="C3466" t="s">
        <v>40</v>
      </c>
      <c r="D3466">
        <v>4.9922649999999997</v>
      </c>
      <c r="E3466">
        <v>0.5779126</v>
      </c>
      <c r="F3466" t="s">
        <v>42</v>
      </c>
      <c r="G3466">
        <v>-192.50470000000001</v>
      </c>
      <c r="H3466" s="1">
        <v>-1.4422989999999999E-6</v>
      </c>
      <c r="I3466">
        <v>171.39760000000001</v>
      </c>
      <c r="J3466">
        <v>-189.16460000000001</v>
      </c>
      <c r="K3466">
        <v>1.108633</v>
      </c>
      <c r="L3466">
        <v>177.5318</v>
      </c>
      <c r="M3466">
        <v>-6.3383930000000005E-2</v>
      </c>
      <c r="N3466">
        <v>-1.373127E-2</v>
      </c>
      <c r="O3466">
        <v>-0.99789479999999997</v>
      </c>
      <c r="P3466">
        <v>-0.32132100000000002</v>
      </c>
      <c r="Q3466">
        <v>0.36916650000000001</v>
      </c>
      <c r="R3466">
        <v>-0.87204899999999996</v>
      </c>
      <c r="S3466">
        <v>-1.6270899999999999</v>
      </c>
      <c r="T3466">
        <v>-0.53718359999999998</v>
      </c>
      <c r="U3466">
        <v>-3.0742950000000002</v>
      </c>
      <c r="V3466">
        <v>0.26792510000000003</v>
      </c>
      <c r="W3466">
        <v>0.3795887</v>
      </c>
      <c r="X3466">
        <v>0.88551029999999997</v>
      </c>
      <c r="Y3466">
        <v>0.40571620000000003</v>
      </c>
      <c r="Z3466">
        <v>0.14102229999999999</v>
      </c>
      <c r="AA3466">
        <v>0.90305429999999998</v>
      </c>
      <c r="AB3466">
        <v>21</v>
      </c>
      <c r="AC3466">
        <v>-3.3401000000000001</v>
      </c>
      <c r="AD3466">
        <v>-1.108634442299</v>
      </c>
      <c r="AE3466">
        <v>-6.1341999999999901</v>
      </c>
      <c r="AF3466">
        <v>2.8721752291153999</v>
      </c>
      <c r="AG3466">
        <v>-1.108634442299</v>
      </c>
      <c r="AH3466">
        <v>6.1779459462976902</v>
      </c>
      <c r="AI3466">
        <v>99.242410727023795</v>
      </c>
      <c r="AJ3466">
        <v>65.065916219081501</v>
      </c>
      <c r="AK3466">
        <v>6.9025703175535797</v>
      </c>
      <c r="AL3466">
        <v>67.691791077816006</v>
      </c>
      <c r="AM3466">
        <v>73.1659819963443</v>
      </c>
      <c r="AN3466">
        <v>0.99999996589189399</v>
      </c>
    </row>
    <row r="3467" spans="1:40" x14ac:dyDescent="0.25">
      <c r="A3467" t="str">
        <f>"20190304164712335"</f>
        <v>20190304164712335</v>
      </c>
      <c r="B3467" t="str">
        <f>"1551689232332061"</f>
        <v>1551689232332061</v>
      </c>
      <c r="C3467" t="s">
        <v>40</v>
      </c>
      <c r="D3467">
        <v>4.9624110000000003</v>
      </c>
      <c r="E3467">
        <v>0.57774619999999999</v>
      </c>
      <c r="F3467" t="s">
        <v>42</v>
      </c>
      <c r="G3467">
        <v>-192.49940000000001</v>
      </c>
      <c r="H3467" s="1">
        <v>-1.411402E-6</v>
      </c>
      <c r="I3467">
        <v>171.3289</v>
      </c>
      <c r="J3467">
        <v>-189.184</v>
      </c>
      <c r="K3467">
        <v>1.108573</v>
      </c>
      <c r="L3467">
        <v>177.3167</v>
      </c>
      <c r="M3467">
        <v>-6.8360309999999994E-2</v>
      </c>
      <c r="N3467">
        <v>-1.373602E-2</v>
      </c>
      <c r="O3467">
        <v>-0.99756619999999996</v>
      </c>
      <c r="P3467">
        <v>-0.3270518</v>
      </c>
      <c r="Q3467">
        <v>0.3669849</v>
      </c>
      <c r="R3467">
        <v>-0.87083860000000002</v>
      </c>
      <c r="S3467">
        <v>-1.647797</v>
      </c>
      <c r="T3467">
        <v>-0.54778660000000001</v>
      </c>
      <c r="U3467">
        <v>-3.0648960000000001</v>
      </c>
      <c r="V3467">
        <v>0.26930989999999999</v>
      </c>
      <c r="W3467">
        <v>0.37737749999999998</v>
      </c>
      <c r="X3467">
        <v>0.88603519999999902</v>
      </c>
      <c r="Y3467">
        <v>0.4068426</v>
      </c>
      <c r="Z3467">
        <v>0.1440757</v>
      </c>
      <c r="AA3467">
        <v>0.90206500000000001</v>
      </c>
      <c r="AB3467">
        <v>21</v>
      </c>
      <c r="AC3467">
        <v>-3.3153999999999799</v>
      </c>
      <c r="AD3467">
        <v>-1.108574411402</v>
      </c>
      <c r="AE3467">
        <v>-5.9877999999999902</v>
      </c>
      <c r="AF3467">
        <v>2.8241872848873601</v>
      </c>
      <c r="AG3467">
        <v>-1.108574411402</v>
      </c>
      <c r="AH3467">
        <v>6.0419501128230797</v>
      </c>
      <c r="AI3467">
        <v>99.437278037302605</v>
      </c>
      <c r="AJ3467">
        <v>64.9472139467603</v>
      </c>
      <c r="AK3467">
        <v>6.7609268751834302</v>
      </c>
      <c r="AL3467">
        <v>67.828666430517401</v>
      </c>
      <c r="AM3467">
        <v>73.093380201454906</v>
      </c>
      <c r="AN3467">
        <v>0.99999998769164899</v>
      </c>
    </row>
    <row r="3468" spans="1:40" x14ac:dyDescent="0.25">
      <c r="A3468" t="str">
        <f>"20190304164712354"</f>
        <v>20190304164712354</v>
      </c>
      <c r="B3468" t="str">
        <f>"1551689232341821"</f>
        <v>1551689232341821</v>
      </c>
      <c r="C3468" t="s">
        <v>40</v>
      </c>
      <c r="D3468">
        <v>4.9752879999999999</v>
      </c>
      <c r="E3468">
        <v>0.57770589999999999</v>
      </c>
      <c r="F3468" t="s">
        <v>42</v>
      </c>
      <c r="G3468">
        <v>-192.4547</v>
      </c>
      <c r="H3468" s="1">
        <v>-1.3888579999999899E-6</v>
      </c>
      <c r="I3468">
        <v>171.30410000000001</v>
      </c>
      <c r="J3468">
        <v>-189.20140000000001</v>
      </c>
      <c r="K3468">
        <v>1.108522</v>
      </c>
      <c r="L3468">
        <v>177.13489999999999</v>
      </c>
      <c r="M3468">
        <v>-7.2635899999999906E-2</v>
      </c>
      <c r="N3468">
        <v>-1.373983E-2</v>
      </c>
      <c r="O3468">
        <v>-0.99726409999999999</v>
      </c>
      <c r="P3468">
        <v>-0.33014320000000003</v>
      </c>
      <c r="Q3468">
        <v>0.36566080000000001</v>
      </c>
      <c r="R3468">
        <v>-0.87022889999999997</v>
      </c>
      <c r="S3468">
        <v>-1.66337599999999</v>
      </c>
      <c r="T3468">
        <v>-0.56378719999999904</v>
      </c>
      <c r="U3468">
        <v>-3.0578310000000002</v>
      </c>
      <c r="V3468">
        <v>0.26864339999999998</v>
      </c>
      <c r="W3468">
        <v>0.37604520000000002</v>
      </c>
      <c r="X3468">
        <v>0.88680360000000003</v>
      </c>
      <c r="Y3468">
        <v>0.40702719999999998</v>
      </c>
      <c r="Z3468">
        <v>0.14862719999999999</v>
      </c>
      <c r="AA3468">
        <v>0.90124289999999996</v>
      </c>
      <c r="AB3468">
        <v>21</v>
      </c>
      <c r="AC3468">
        <v>-3.2532999999999901</v>
      </c>
      <c r="AD3468">
        <v>-1.1085233888579999</v>
      </c>
      <c r="AE3468">
        <v>-5.8307999999999804</v>
      </c>
      <c r="AF3468">
        <v>2.74546597163569</v>
      </c>
      <c r="AG3468">
        <v>-1.1085233888579999</v>
      </c>
      <c r="AH3468">
        <v>5.88939375917235</v>
      </c>
      <c r="AI3468">
        <v>99.681314867542994</v>
      </c>
      <c r="AJ3468">
        <v>65.006420660248295</v>
      </c>
      <c r="AK3468">
        <v>6.5917650409911399</v>
      </c>
      <c r="AL3468">
        <v>67.911071450066103</v>
      </c>
      <c r="AM3468">
        <v>73.146629123204093</v>
      </c>
      <c r="AN3468">
        <v>0.999999946889778</v>
      </c>
    </row>
    <row r="3469" spans="1:40" x14ac:dyDescent="0.25">
      <c r="A3469" t="str">
        <f>"20190304164712378"</f>
        <v>20190304164712378</v>
      </c>
      <c r="B3469" t="str">
        <f>"1551689232372078"</f>
        <v>1551689232372078</v>
      </c>
      <c r="C3469" t="s">
        <v>40</v>
      </c>
      <c r="D3469">
        <v>5.3117349999999997</v>
      </c>
      <c r="E3469">
        <v>0.57750729999999995</v>
      </c>
      <c r="F3469" t="s">
        <v>42</v>
      </c>
      <c r="G3469">
        <v>-192.44560000000001</v>
      </c>
      <c r="H3469" s="1">
        <v>-1.34559E-6</v>
      </c>
      <c r="I3469">
        <v>171.2088</v>
      </c>
      <c r="J3469">
        <v>-189.22460000000001</v>
      </c>
      <c r="K3469">
        <v>1.1084750000000001</v>
      </c>
      <c r="L3469">
        <v>176.90690000000001</v>
      </c>
      <c r="M3469">
        <v>-7.8077530000000006E-2</v>
      </c>
      <c r="N3469">
        <v>-1.374414E-2</v>
      </c>
      <c r="O3469">
        <v>-0.99685259999999998</v>
      </c>
      <c r="P3469">
        <v>-0.33263029999999999</v>
      </c>
      <c r="Q3469">
        <v>0.3656317</v>
      </c>
      <c r="R3469">
        <v>-0.86929299999999998</v>
      </c>
      <c r="S3469">
        <v>-1.67149399999999</v>
      </c>
      <c r="T3469">
        <v>-0.57113740000000002</v>
      </c>
      <c r="U3469">
        <v>-3.0532530000000002</v>
      </c>
      <c r="V3469">
        <v>0.26635999999999999</v>
      </c>
      <c r="W3469">
        <v>0.37602059999999998</v>
      </c>
      <c r="X3469">
        <v>0.88750269999999998</v>
      </c>
      <c r="Y3469">
        <v>0.404306</v>
      </c>
      <c r="Z3469">
        <v>0.15081329999999901</v>
      </c>
      <c r="AA3469">
        <v>0.90210420000000002</v>
      </c>
      <c r="AB3469">
        <v>21</v>
      </c>
      <c r="AC3469">
        <v>-3.2210000000000001</v>
      </c>
      <c r="AD3469">
        <v>-1.10847634559</v>
      </c>
      <c r="AE3469">
        <v>-5.6981000000000099</v>
      </c>
      <c r="AF3469">
        <v>2.6891076061691899</v>
      </c>
      <c r="AG3469">
        <v>-1.10847634559</v>
      </c>
      <c r="AH3469">
        <v>5.7668240758365599</v>
      </c>
      <c r="AI3469">
        <v>99.882154758267205</v>
      </c>
      <c r="AJ3469">
        <v>65.000054054685705</v>
      </c>
      <c r="AK3469">
        <v>6.4588140899036404</v>
      </c>
      <c r="AL3469">
        <v>67.912595937486898</v>
      </c>
      <c r="AM3469">
        <v>73.294288888868806</v>
      </c>
      <c r="AN3469">
        <v>1.0000000918658201</v>
      </c>
    </row>
    <row r="3470" spans="1:40" x14ac:dyDescent="0.25">
      <c r="A3470" t="str">
        <f>"20190304164712401"</f>
        <v>20190304164712401</v>
      </c>
      <c r="B3470" t="str">
        <f>"1551689232391880"</f>
        <v>1551689232391880</v>
      </c>
      <c r="C3470" t="s">
        <v>40</v>
      </c>
      <c r="D3470">
        <v>4.6797399999999998</v>
      </c>
      <c r="E3470">
        <v>0.55125019999999902</v>
      </c>
      <c r="F3470" t="s">
        <v>42</v>
      </c>
      <c r="G3470">
        <v>-192.4529</v>
      </c>
      <c r="H3470" s="1">
        <v>-1.2725309999999999E-6</v>
      </c>
      <c r="I3470">
        <v>171.0341</v>
      </c>
      <c r="J3470">
        <v>-189.2467</v>
      </c>
      <c r="K3470">
        <v>1.108457</v>
      </c>
      <c r="L3470">
        <v>176.69990000000001</v>
      </c>
      <c r="M3470">
        <v>-8.3073010000000003E-2</v>
      </c>
      <c r="N3470">
        <v>-1.374717E-2</v>
      </c>
      <c r="O3470">
        <v>-0.99644880000000002</v>
      </c>
      <c r="P3470">
        <v>-0.3330438</v>
      </c>
      <c r="Q3470">
        <v>0.3665814</v>
      </c>
      <c r="R3470">
        <v>-0.86873500000000003</v>
      </c>
      <c r="S3470">
        <v>-1.6773830000000001</v>
      </c>
      <c r="T3470">
        <v>-0.57595779999999996</v>
      </c>
      <c r="U3470">
        <v>-3.051498</v>
      </c>
      <c r="V3470">
        <v>0.26236700000000002</v>
      </c>
      <c r="W3470">
        <v>0.37699820000000001</v>
      </c>
      <c r="X3470">
        <v>0.88827690000000004</v>
      </c>
      <c r="Y3470">
        <v>0.40118670000000001</v>
      </c>
      <c r="Z3470">
        <v>0.152203799999999</v>
      </c>
      <c r="AA3470">
        <v>0.90326260000000003</v>
      </c>
      <c r="AB3470">
        <v>21</v>
      </c>
      <c r="AC3470">
        <v>-3.2061999999999902</v>
      </c>
      <c r="AD3470">
        <v>-1.1084582725309999</v>
      </c>
      <c r="AE3470">
        <v>-5.6658000000000097</v>
      </c>
      <c r="AF3470">
        <v>2.6476376825727801</v>
      </c>
      <c r="AG3470">
        <v>-1.1084582725309999</v>
      </c>
      <c r="AH3470">
        <v>5.7460021027122998</v>
      </c>
      <c r="AI3470">
        <v>99.937617207057698</v>
      </c>
      <c r="AJ3470">
        <v>65.260737495729799</v>
      </c>
      <c r="AK3470">
        <v>6.4230215011703002</v>
      </c>
      <c r="AL3470">
        <v>67.852131507270997</v>
      </c>
      <c r="AM3470">
        <v>73.544639101432097</v>
      </c>
      <c r="AN3470">
        <v>0.99999996828292403</v>
      </c>
    </row>
    <row r="3471" spans="1:40" x14ac:dyDescent="0.25">
      <c r="A3471" t="str">
        <f>"20190304164712424"</f>
        <v>20190304164712424</v>
      </c>
      <c r="B3471" t="str">
        <f>"1551689232412373"</f>
        <v>1551689232412373</v>
      </c>
      <c r="C3471" t="s">
        <v>40</v>
      </c>
      <c r="D3471">
        <v>4.735773</v>
      </c>
      <c r="E3471">
        <v>0.54027190000000003</v>
      </c>
      <c r="F3471" t="s">
        <v>42</v>
      </c>
      <c r="G3471">
        <v>-192.36429999999999</v>
      </c>
      <c r="H3471" s="1">
        <v>-8.7207590000000001E-7</v>
      </c>
      <c r="I3471">
        <v>170.15549999999999</v>
      </c>
      <c r="J3471">
        <v>-189.2697</v>
      </c>
      <c r="K3471">
        <v>1.1084529999999999</v>
      </c>
      <c r="L3471">
        <v>176.4957</v>
      </c>
      <c r="M3471">
        <v>-8.8043700000000003E-2</v>
      </c>
      <c r="N3471">
        <v>-1.374916E-2</v>
      </c>
      <c r="O3471">
        <v>-0.99602190000000002</v>
      </c>
      <c r="P3471">
        <v>-0.33384930000000002</v>
      </c>
      <c r="Q3471">
        <v>0.36647479999999999</v>
      </c>
      <c r="R3471">
        <v>-0.86847070000000004</v>
      </c>
      <c r="S3471">
        <v>-1.480499</v>
      </c>
      <c r="T3471">
        <v>-0.52639029999999998</v>
      </c>
      <c r="U3471">
        <v>-3.1078489999999999</v>
      </c>
      <c r="V3471">
        <v>0.25873600000000002</v>
      </c>
      <c r="W3471">
        <v>0.3769306</v>
      </c>
      <c r="X3471">
        <v>0.88936999999999999</v>
      </c>
      <c r="Y3471">
        <v>0.34432879999999999</v>
      </c>
      <c r="Z3471">
        <v>0.13961699999999999</v>
      </c>
      <c r="AA3471">
        <v>0.92840979999999995</v>
      </c>
      <c r="AB3471">
        <v>21</v>
      </c>
      <c r="AC3471">
        <v>-3.0945999999999798</v>
      </c>
      <c r="AD3471">
        <v>-1.1084538720758901</v>
      </c>
      <c r="AE3471">
        <v>-6.3402000000000003</v>
      </c>
      <c r="AF3471">
        <v>2.4635022066690002</v>
      </c>
      <c r="AG3471">
        <v>-1.1084538720758901</v>
      </c>
      <c r="AH3471">
        <v>6.4293533884191998</v>
      </c>
      <c r="AI3471">
        <v>99.145672379105903</v>
      </c>
      <c r="AJ3471">
        <v>69.034923817876603</v>
      </c>
      <c r="AK3471">
        <v>6.97381517549473</v>
      </c>
      <c r="AL3471">
        <v>67.856313838674595</v>
      </c>
      <c r="AM3471">
        <v>73.779201544047993</v>
      </c>
      <c r="AN3471">
        <v>0.99999999590618005</v>
      </c>
    </row>
    <row r="3472" spans="1:40" x14ac:dyDescent="0.25">
      <c r="A3472" t="str">
        <f>"20190304164712444"</f>
        <v>20190304164712444</v>
      </c>
      <c r="B3472" t="str">
        <f>"1551689232431893"</f>
        <v>1551689232431893</v>
      </c>
      <c r="C3472" t="s">
        <v>40</v>
      </c>
      <c r="D3472">
        <v>4.6967509999999999</v>
      </c>
      <c r="E3472">
        <v>0.53704439999999998</v>
      </c>
      <c r="F3472" t="s">
        <v>42</v>
      </c>
      <c r="G3472">
        <v>-192.41800000000001</v>
      </c>
      <c r="H3472" s="1">
        <v>-5.106917E-6</v>
      </c>
      <c r="I3472">
        <v>169.46789999999999</v>
      </c>
      <c r="J3472">
        <v>-189.29140000000001</v>
      </c>
      <c r="K3472">
        <v>1.1084639999999999</v>
      </c>
      <c r="L3472">
        <v>176.3098</v>
      </c>
      <c r="M3472">
        <v>-9.2583979999999996E-2</v>
      </c>
      <c r="N3472">
        <v>-1.374996E-2</v>
      </c>
      <c r="O3472">
        <v>-0.99560990000000005</v>
      </c>
      <c r="P3472">
        <v>-0.33487670000000003</v>
      </c>
      <c r="Q3472">
        <v>0.36511510000000003</v>
      </c>
      <c r="R3472">
        <v>-0.86864750000000002</v>
      </c>
      <c r="S3472">
        <v>-1.3996280000000001</v>
      </c>
      <c r="T3472">
        <v>-0.49277130000000002</v>
      </c>
      <c r="U3472">
        <v>-3.1242369999999999</v>
      </c>
      <c r="V3472">
        <v>0.2556446</v>
      </c>
      <c r="W3472">
        <v>0.37561840000000002</v>
      </c>
      <c r="X3472">
        <v>0.890818</v>
      </c>
      <c r="Y3472">
        <v>0.31875170000000003</v>
      </c>
      <c r="Z3472">
        <v>0.13068289999999999</v>
      </c>
      <c r="AA3472">
        <v>0.93878609999999896</v>
      </c>
      <c r="AB3472">
        <v>21</v>
      </c>
      <c r="AC3472">
        <v>-3.1265999999999901</v>
      </c>
      <c r="AD3472">
        <v>-1.1084691069169901</v>
      </c>
      <c r="AE3472">
        <v>-6.8419000000000096</v>
      </c>
      <c r="AF3472">
        <v>2.4269604051036899</v>
      </c>
      <c r="AG3472">
        <v>-1.1084691069169901</v>
      </c>
      <c r="AH3472">
        <v>6.9510762559536499</v>
      </c>
      <c r="AI3472">
        <v>98.561830043110007</v>
      </c>
      <c r="AJ3472">
        <v>70.753409652531602</v>
      </c>
      <c r="AK3472">
        <v>7.4455558345239101</v>
      </c>
      <c r="AL3472">
        <v>67.937461731336896</v>
      </c>
      <c r="AM3472">
        <v>73.987719291464202</v>
      </c>
      <c r="AN3472">
        <v>1.00000002652585</v>
      </c>
    </row>
    <row r="3473" spans="1:40" x14ac:dyDescent="0.25">
      <c r="A3473" t="str">
        <f>"20190304164712467"</f>
        <v>20190304164712467</v>
      </c>
      <c r="B3473" t="str">
        <f>"1551689232462149"</f>
        <v>1551689232462149</v>
      </c>
      <c r="C3473" t="s">
        <v>40</v>
      </c>
      <c r="D3473">
        <v>5.0469809999999997</v>
      </c>
      <c r="E3473">
        <v>0.53517029999999999</v>
      </c>
      <c r="F3473" t="s">
        <v>42</v>
      </c>
      <c r="G3473">
        <v>-192.39230000000001</v>
      </c>
      <c r="H3473" s="1">
        <v>-5.0240950000000004E-6</v>
      </c>
      <c r="I3473">
        <v>169.26410000000001</v>
      </c>
      <c r="J3473">
        <v>-189.31700000000001</v>
      </c>
      <c r="K3473">
        <v>1.1084879999999999</v>
      </c>
      <c r="L3473">
        <v>176.09979999999999</v>
      </c>
      <c r="M3473">
        <v>-9.7706420000000002E-2</v>
      </c>
      <c r="N3473">
        <v>-1.374968E-2</v>
      </c>
      <c r="O3473">
        <v>-0.99512049999999996</v>
      </c>
      <c r="P3473">
        <v>-0.33607550000000003</v>
      </c>
      <c r="Q3473">
        <v>0.36325790000000002</v>
      </c>
      <c r="R3473">
        <v>-0.86896329999999999</v>
      </c>
      <c r="S3473">
        <v>-1.3773959999999901</v>
      </c>
      <c r="T3473">
        <v>-0.49236990000000003</v>
      </c>
      <c r="U3473">
        <v>-3.129623</v>
      </c>
      <c r="V3473">
        <v>0.25215720000000003</v>
      </c>
      <c r="W3473">
        <v>0.3738244</v>
      </c>
      <c r="X3473">
        <v>0.89256489999999999</v>
      </c>
      <c r="Y3473">
        <v>0.3076914</v>
      </c>
      <c r="Z3473">
        <v>0.13071450000000001</v>
      </c>
      <c r="AA3473">
        <v>0.94246470000000004</v>
      </c>
      <c r="AB3473">
        <v>20</v>
      </c>
      <c r="AC3473">
        <v>-3.0752999999999902</v>
      </c>
      <c r="AD3473">
        <v>-1.1084930240949999</v>
      </c>
      <c r="AE3473">
        <v>-6.8356999999999699</v>
      </c>
      <c r="AF3473">
        <v>2.3414208271210701</v>
      </c>
      <c r="AG3473">
        <v>-1.1084930240949999</v>
      </c>
      <c r="AH3473">
        <v>6.9514624692782103</v>
      </c>
      <c r="AI3473">
        <v>98.593502203183604</v>
      </c>
      <c r="AJ3473">
        <v>71.385229042693098</v>
      </c>
      <c r="AK3473">
        <v>7.4184795434055797</v>
      </c>
      <c r="AL3473">
        <v>68.0483282141183</v>
      </c>
      <c r="AM3473">
        <v>74.224561304758495</v>
      </c>
      <c r="AN3473">
        <v>1.0000000181296</v>
      </c>
    </row>
    <row r="3474" spans="1:40" x14ac:dyDescent="0.25">
      <c r="A3474" t="str">
        <f>"20190304164712490"</f>
        <v>20190304164712490</v>
      </c>
      <c r="B3474" t="str">
        <f>"1551689232482645"</f>
        <v>1551689232482645</v>
      </c>
      <c r="C3474" t="s">
        <v>40</v>
      </c>
      <c r="D3474">
        <v>4.6921010000000001</v>
      </c>
      <c r="E3474">
        <v>0.53508769999999894</v>
      </c>
      <c r="F3474" t="s">
        <v>42</v>
      </c>
      <c r="G3474">
        <v>-192.4529</v>
      </c>
      <c r="H3474" s="1">
        <v>-4.9034399999999998E-6</v>
      </c>
      <c r="I3474">
        <v>168.92189999999999</v>
      </c>
      <c r="J3474">
        <v>-189.34450000000001</v>
      </c>
      <c r="K3474">
        <v>1.10853</v>
      </c>
      <c r="L3474">
        <v>175.8837</v>
      </c>
      <c r="M3474">
        <v>-0.1029344</v>
      </c>
      <c r="N3474">
        <v>-1.374761E-2</v>
      </c>
      <c r="O3474">
        <v>-0.99459310000000001</v>
      </c>
      <c r="P3474">
        <v>-0.33705400000000002</v>
      </c>
      <c r="Q3474">
        <v>0.36147069999999998</v>
      </c>
      <c r="R3474">
        <v>-0.86932960000000004</v>
      </c>
      <c r="S3474">
        <v>-1.365677</v>
      </c>
      <c r="T3474">
        <v>-0.48275509999999999</v>
      </c>
      <c r="U3474">
        <v>-3.126007</v>
      </c>
      <c r="V3474">
        <v>0.24831929999999999</v>
      </c>
      <c r="W3474">
        <v>0.37211349999999999</v>
      </c>
      <c r="X3474">
        <v>0.89435399999999998</v>
      </c>
      <c r="Y3474">
        <v>0.30026540000000002</v>
      </c>
      <c r="Z3474">
        <v>0.1282769</v>
      </c>
      <c r="AA3474">
        <v>0.9451908</v>
      </c>
      <c r="AB3474">
        <v>20</v>
      </c>
      <c r="AC3474">
        <v>-3.1083999999999801</v>
      </c>
      <c r="AD3474">
        <v>-1.1085349034400001</v>
      </c>
      <c r="AE3474">
        <v>-6.96180000000001</v>
      </c>
      <c r="AF3474">
        <v>2.3260363700558999</v>
      </c>
      <c r="AG3474">
        <v>-1.1085349034400001</v>
      </c>
      <c r="AH3474">
        <v>7.0948191873238002</v>
      </c>
      <c r="AI3474">
        <v>98.445018348693594</v>
      </c>
      <c r="AJ3474">
        <v>71.8482701729571</v>
      </c>
      <c r="AK3474">
        <v>7.5482285423657904</v>
      </c>
      <c r="AL3474">
        <v>68.153978620088495</v>
      </c>
      <c r="AM3474">
        <v>74.482572201264105</v>
      </c>
      <c r="AN3474">
        <v>1.0000000044753701</v>
      </c>
    </row>
    <row r="3475" spans="1:40" x14ac:dyDescent="0.25">
      <c r="A3475" t="str">
        <f>"20190304164712512"</f>
        <v>20190304164712512</v>
      </c>
      <c r="B3475" t="str">
        <f>"1551689232502165"</f>
        <v>1551689232502165</v>
      </c>
      <c r="C3475" t="s">
        <v>40</v>
      </c>
      <c r="D3475">
        <v>4.6813560000000001</v>
      </c>
      <c r="E3475">
        <v>0.53534789999999999</v>
      </c>
      <c r="F3475" t="s">
        <v>42</v>
      </c>
      <c r="G3475">
        <v>-192.41810000000001</v>
      </c>
      <c r="H3475" s="1">
        <v>-4.8726949999999996E-6</v>
      </c>
      <c r="I3475">
        <v>168.8579</v>
      </c>
      <c r="J3475">
        <v>-189.37129999999999</v>
      </c>
      <c r="K3475">
        <v>1.1085959999999999</v>
      </c>
      <c r="L3475">
        <v>175.68010000000001</v>
      </c>
      <c r="M3475">
        <v>-0.1077814</v>
      </c>
      <c r="N3475">
        <v>-1.374356E-2</v>
      </c>
      <c r="O3475">
        <v>-0.99407959999999995</v>
      </c>
      <c r="P3475">
        <v>-0.3379356</v>
      </c>
      <c r="Q3475">
        <v>0.36252069999999997</v>
      </c>
      <c r="R3475">
        <v>-0.86854969999999998</v>
      </c>
      <c r="S3475">
        <v>-1.367462</v>
      </c>
      <c r="T3475">
        <v>-0.4931933</v>
      </c>
      <c r="U3475">
        <v>-3.1258089999999998</v>
      </c>
      <c r="V3475">
        <v>0.24484149999999999</v>
      </c>
      <c r="W3475">
        <v>0.37322860000000002</v>
      </c>
      <c r="X3475">
        <v>0.89484799999999998</v>
      </c>
      <c r="Y3475">
        <v>0.29593340000000001</v>
      </c>
      <c r="Z3475">
        <v>0.1312769</v>
      </c>
      <c r="AA3475">
        <v>0.94614469999999995</v>
      </c>
      <c r="AB3475">
        <v>20</v>
      </c>
      <c r="AC3475">
        <v>-3.0468000000000099</v>
      </c>
      <c r="AD3475">
        <v>-1.1086008726950001</v>
      </c>
      <c r="AE3475">
        <v>-6.8221999999999996</v>
      </c>
      <c r="AF3475">
        <v>2.244264655032</v>
      </c>
      <c r="AG3475">
        <v>-1.1086008726950001</v>
      </c>
      <c r="AH3475">
        <v>6.9576962965744498</v>
      </c>
      <c r="AI3475">
        <v>98.622695060086201</v>
      </c>
      <c r="AJ3475">
        <v>72.122448365774602</v>
      </c>
      <c r="AK3475">
        <v>7.3942719379349198</v>
      </c>
      <c r="AL3475">
        <v>68.085127001992007</v>
      </c>
      <c r="AM3475">
        <v>74.697689358302199</v>
      </c>
      <c r="AN3475">
        <v>0.99999994554210303</v>
      </c>
    </row>
    <row r="3476" spans="1:40" x14ac:dyDescent="0.25">
      <c r="A3476" t="str">
        <f>"20190304164712535"</f>
        <v>20190304164712535</v>
      </c>
      <c r="B3476" t="str">
        <f>"1551689232532421"</f>
        <v>1551689232532421</v>
      </c>
      <c r="C3476" t="s">
        <v>40</v>
      </c>
      <c r="D3476">
        <v>4.6440279999999996</v>
      </c>
      <c r="E3476">
        <v>0.53577940000000002</v>
      </c>
      <c r="F3476" t="s">
        <v>42</v>
      </c>
      <c r="G3476">
        <v>-192.48330000000001</v>
      </c>
      <c r="H3476" s="1">
        <v>-4.784119E-6</v>
      </c>
      <c r="I3476">
        <v>168.59710000000001</v>
      </c>
      <c r="J3476">
        <v>-189.39930000000001</v>
      </c>
      <c r="K3476">
        <v>1.1086929999999999</v>
      </c>
      <c r="L3476">
        <v>175.47489999999999</v>
      </c>
      <c r="M3476">
        <v>-0.1125415</v>
      </c>
      <c r="N3476">
        <v>-1.373685E-2</v>
      </c>
      <c r="O3476">
        <v>-0.99355199999999999</v>
      </c>
      <c r="P3476">
        <v>-0.33893259999999997</v>
      </c>
      <c r="Q3476">
        <v>0.36465920000000002</v>
      </c>
      <c r="R3476">
        <v>-0.86726510000000001</v>
      </c>
      <c r="S3476">
        <v>-1.3725889999999901</v>
      </c>
      <c r="T3476">
        <v>-0.48896529999999999</v>
      </c>
      <c r="U3476">
        <v>-3.1240540000000001</v>
      </c>
      <c r="V3476">
        <v>0.24159369999999999</v>
      </c>
      <c r="W3476">
        <v>0.37543549999999998</v>
      </c>
      <c r="X3476">
        <v>0.89480759999999904</v>
      </c>
      <c r="Y3476">
        <v>0.29292829999999997</v>
      </c>
      <c r="Z3476">
        <v>0.13006489999999901</v>
      </c>
      <c r="AA3476">
        <v>0.94724660000000005</v>
      </c>
      <c r="AB3476">
        <v>20</v>
      </c>
      <c r="AC3476">
        <v>-3.0840000000000001</v>
      </c>
      <c r="AD3476">
        <v>-1.108697784119</v>
      </c>
      <c r="AE3476">
        <v>-6.8777999999999704</v>
      </c>
      <c r="AF3476">
        <v>2.2417909852387301</v>
      </c>
      <c r="AG3476">
        <v>-1.108697784119</v>
      </c>
      <c r="AH3476">
        <v>7.0291309904127299</v>
      </c>
      <c r="AI3476">
        <v>98.545982375027606</v>
      </c>
      <c r="AJ3476">
        <v>72.311029690014493</v>
      </c>
      <c r="AK3476">
        <v>7.4607988900913798</v>
      </c>
      <c r="AL3476">
        <v>67.948767721380193</v>
      </c>
      <c r="AM3476">
        <v>74.890684608272906</v>
      </c>
      <c r="AN3476">
        <v>0.99999998577884897</v>
      </c>
    </row>
    <row r="3477" spans="1:40" x14ac:dyDescent="0.25">
      <c r="A3477" t="str">
        <f>"20190304164712568"</f>
        <v>20190304164712568</v>
      </c>
      <c r="B3477" t="str">
        <f>"1551689232562677"</f>
        <v>1551689232562677</v>
      </c>
      <c r="C3477" t="s">
        <v>40</v>
      </c>
      <c r="D3477">
        <v>4.6552709999999999</v>
      </c>
      <c r="E3477">
        <v>0.536103199999999</v>
      </c>
      <c r="F3477" t="s">
        <v>42</v>
      </c>
      <c r="G3477">
        <v>-192.56800000000001</v>
      </c>
      <c r="H3477" s="1">
        <v>-4.6691809999999998E-6</v>
      </c>
      <c r="I3477">
        <v>168.2587</v>
      </c>
      <c r="J3477">
        <v>-189.44149999999999</v>
      </c>
      <c r="K3477">
        <v>1.1088739999999999</v>
      </c>
      <c r="L3477">
        <v>175.17699999999999</v>
      </c>
      <c r="M3477">
        <v>-0.11916110000000001</v>
      </c>
      <c r="N3477">
        <v>-1.372308E-2</v>
      </c>
      <c r="O3477">
        <v>-0.9927802</v>
      </c>
      <c r="P3477">
        <v>-0.34049970000000002</v>
      </c>
      <c r="Q3477">
        <v>0.36473169999999999</v>
      </c>
      <c r="R3477">
        <v>-0.86662079999999997</v>
      </c>
      <c r="S3477">
        <v>-1.372101</v>
      </c>
      <c r="T3477">
        <v>-0.48008889999999999</v>
      </c>
      <c r="U3477">
        <v>-3.1247560000000001</v>
      </c>
      <c r="V3477">
        <v>0.23706369999999999</v>
      </c>
      <c r="W3477">
        <v>0.37564049999999999</v>
      </c>
      <c r="X3477">
        <v>0.89593250000000002</v>
      </c>
      <c r="Y3477">
        <v>0.28649760000000002</v>
      </c>
      <c r="Z3477">
        <v>0.12749639999999901</v>
      </c>
      <c r="AA3477">
        <v>0.94955979999999995</v>
      </c>
      <c r="AB3477">
        <v>20</v>
      </c>
      <c r="AC3477">
        <v>-3.1264999999999898</v>
      </c>
      <c r="AD3477">
        <v>-1.108878669181</v>
      </c>
      <c r="AE3477">
        <v>-6.9183000000000101</v>
      </c>
      <c r="AF3477">
        <v>2.2321305509029301</v>
      </c>
      <c r="AG3477">
        <v>-1.108878669181</v>
      </c>
      <c r="AH3477">
        <v>7.0903287436869302</v>
      </c>
      <c r="AI3477">
        <v>98.484560592356303</v>
      </c>
      <c r="AJ3477">
        <v>72.525299114914404</v>
      </c>
      <c r="AK3477">
        <v>7.5156357277872301</v>
      </c>
      <c r="AL3477">
        <v>67.936095146222897</v>
      </c>
      <c r="AM3477">
        <v>75.1791919030196</v>
      </c>
      <c r="AN3477">
        <v>1.0000000138270899</v>
      </c>
    </row>
    <row r="3478" spans="1:40" x14ac:dyDescent="0.25">
      <c r="A3478" t="str">
        <f>"20190304164712590"</f>
        <v>20190304164712590</v>
      </c>
      <c r="B3478" t="str">
        <f>"1551689232582197"</f>
        <v>1551689232582197</v>
      </c>
      <c r="C3478" t="s">
        <v>40</v>
      </c>
      <c r="D3478">
        <v>4.6936730000000004</v>
      </c>
      <c r="E3478">
        <v>0.536609</v>
      </c>
      <c r="F3478" t="s">
        <v>42</v>
      </c>
      <c r="G3478">
        <v>-192.6113</v>
      </c>
      <c r="H3478" s="1">
        <v>-4.5756309999999997E-6</v>
      </c>
      <c r="I3478">
        <v>167.99510000000001</v>
      </c>
      <c r="J3478">
        <v>-189.4709</v>
      </c>
      <c r="K3478">
        <v>1.1090100000000001</v>
      </c>
      <c r="L3478">
        <v>174.97479999999999</v>
      </c>
      <c r="M3478">
        <v>-0.12346550000000001</v>
      </c>
      <c r="N3478">
        <v>-1.371262E-2</v>
      </c>
      <c r="O3478">
        <v>-0.99225430000000003</v>
      </c>
      <c r="P3478">
        <v>-0.33840679999999901</v>
      </c>
      <c r="Q3478">
        <v>0.36387629999999999</v>
      </c>
      <c r="R3478">
        <v>-0.86779930000000005</v>
      </c>
      <c r="S3478">
        <v>-1.378403</v>
      </c>
      <c r="T3478">
        <v>-0.48220540000000001</v>
      </c>
      <c r="U3478">
        <v>-3.1230929999999999</v>
      </c>
      <c r="V3478">
        <v>0.23081209999999999</v>
      </c>
      <c r="W3478">
        <v>0.37490990000000002</v>
      </c>
      <c r="X3478">
        <v>0.89786880000000002</v>
      </c>
      <c r="Y3478">
        <v>0.284107</v>
      </c>
      <c r="Z3478">
        <v>0.1280819</v>
      </c>
      <c r="AA3478">
        <v>0.95019909999999996</v>
      </c>
      <c r="AB3478">
        <v>20</v>
      </c>
      <c r="AC3478">
        <v>-3.1404000000000001</v>
      </c>
      <c r="AD3478">
        <v>-1.1090145756309999</v>
      </c>
      <c r="AE3478">
        <v>-6.9796999999999798</v>
      </c>
      <c r="AF3478">
        <v>2.20817193777967</v>
      </c>
      <c r="AG3478">
        <v>-1.1090145756309999</v>
      </c>
      <c r="AH3478">
        <v>7.1636464885571698</v>
      </c>
      <c r="AI3478">
        <v>98.415436860747405</v>
      </c>
      <c r="AJ3478">
        <v>72.868247096428703</v>
      </c>
      <c r="AK3478">
        <v>7.5778471645169203</v>
      </c>
      <c r="AL3478">
        <v>67.981256253074903</v>
      </c>
      <c r="AM3478">
        <v>75.583323958082204</v>
      </c>
      <c r="AN3478">
        <v>1.0000000203189201</v>
      </c>
    </row>
    <row r="3479" spans="1:40" x14ac:dyDescent="0.25">
      <c r="A3479" t="str">
        <f>"20190304164712612"</f>
        <v>20190304164712612</v>
      </c>
      <c r="B3479" t="str">
        <f>"1551689232602693"</f>
        <v>1551689232602693</v>
      </c>
      <c r="C3479" t="s">
        <v>40</v>
      </c>
      <c r="D3479">
        <v>4.6836970000000004</v>
      </c>
      <c r="E3479">
        <v>0.53650959999999903</v>
      </c>
      <c r="F3479" t="s">
        <v>42</v>
      </c>
      <c r="G3479">
        <v>-192.63489999999999</v>
      </c>
      <c r="H3479" s="1">
        <v>-4.5192319999999999E-6</v>
      </c>
      <c r="I3479">
        <v>167.8374</v>
      </c>
      <c r="J3479">
        <v>-189.4999</v>
      </c>
      <c r="K3479">
        <v>1.109146</v>
      </c>
      <c r="L3479">
        <v>174.7807</v>
      </c>
      <c r="M3479">
        <v>-0.12738859999999999</v>
      </c>
      <c r="N3479">
        <v>-1.370129E-2</v>
      </c>
      <c r="O3479">
        <v>-0.99175849999999999</v>
      </c>
      <c r="P3479">
        <v>-0.33806849999999999</v>
      </c>
      <c r="Q3479">
        <v>0.36685220000000002</v>
      </c>
      <c r="R3479">
        <v>-0.86667749999999999</v>
      </c>
      <c r="S3479">
        <v>-1.3834379999999999</v>
      </c>
      <c r="T3479">
        <v>-0.48492380000000002</v>
      </c>
      <c r="U3479">
        <v>-3.120895</v>
      </c>
      <c r="V3479">
        <v>0.2269378</v>
      </c>
      <c r="W3479">
        <v>0.37796859999999999</v>
      </c>
      <c r="X3479">
        <v>0.89757389999999904</v>
      </c>
      <c r="Y3479">
        <v>0.2818059</v>
      </c>
      <c r="Z3479">
        <v>0.12887589999999999</v>
      </c>
      <c r="AA3479">
        <v>0.95077679999999998</v>
      </c>
      <c r="AB3479">
        <v>20</v>
      </c>
      <c r="AC3479">
        <v>-3.13499999999999</v>
      </c>
      <c r="AD3479">
        <v>-1.1091505192319999</v>
      </c>
      <c r="AE3479">
        <v>-6.94329999999999</v>
      </c>
      <c r="AF3479">
        <v>2.1786925058370699</v>
      </c>
      <c r="AG3479">
        <v>-1.1091505192319999</v>
      </c>
      <c r="AH3479">
        <v>7.1348850925938603</v>
      </c>
      <c r="AI3479">
        <v>98.456641726972194</v>
      </c>
      <c r="AJ3479">
        <v>73.019542575877196</v>
      </c>
      <c r="AK3479">
        <v>7.5421151671014197</v>
      </c>
      <c r="AL3479">
        <v>67.792089519693903</v>
      </c>
      <c r="AM3479">
        <v>75.810998004082293</v>
      </c>
      <c r="AN3479">
        <v>0.99999996680800396</v>
      </c>
    </row>
    <row r="3480" spans="1:40" x14ac:dyDescent="0.25">
      <c r="A3480" t="str">
        <f>"20190304164712633"</f>
        <v>20190304164712633</v>
      </c>
      <c r="B3480" t="str">
        <f>"1551689232622213"</f>
        <v>1551689232622213</v>
      </c>
      <c r="C3480" t="s">
        <v>40</v>
      </c>
      <c r="D3480">
        <v>4.7165619999999997</v>
      </c>
      <c r="E3480">
        <v>0.53684960000000004</v>
      </c>
      <c r="F3480" t="s">
        <v>42</v>
      </c>
      <c r="G3480">
        <v>-192.72040000000001</v>
      </c>
      <c r="H3480" s="1">
        <v>-4.4122069999999999E-6</v>
      </c>
      <c r="I3480">
        <v>167.51910000000001</v>
      </c>
      <c r="J3480">
        <v>-189.52930000000001</v>
      </c>
      <c r="K3480">
        <v>1.109313</v>
      </c>
      <c r="L3480">
        <v>174.58699999999999</v>
      </c>
      <c r="M3480">
        <v>-0.13104839999999901</v>
      </c>
      <c r="N3480">
        <v>-1.3687960000000001E-2</v>
      </c>
      <c r="O3480">
        <v>-0.99128170000000004</v>
      </c>
      <c r="P3480">
        <v>-0.33947630000000001</v>
      </c>
      <c r="Q3480">
        <v>0.36935449999999997</v>
      </c>
      <c r="R3480">
        <v>-0.86506269999999996</v>
      </c>
      <c r="S3480">
        <v>-1.3851169999999999</v>
      </c>
      <c r="T3480">
        <v>-0.47703790000000001</v>
      </c>
      <c r="U3480">
        <v>-3.1231230000000001</v>
      </c>
      <c r="V3480">
        <v>0.22507479999999999</v>
      </c>
      <c r="W3480">
        <v>0.38054890000000002</v>
      </c>
      <c r="X3480">
        <v>0.89695259999999999</v>
      </c>
      <c r="Y3480">
        <v>0.27857349999999997</v>
      </c>
      <c r="Z3480">
        <v>0.12649549999999901</v>
      </c>
      <c r="AA3480">
        <v>0.95204820000000001</v>
      </c>
      <c r="AB3480">
        <v>20</v>
      </c>
      <c r="AC3480">
        <v>-3.1911</v>
      </c>
      <c r="AD3480">
        <v>-1.109317412207</v>
      </c>
      <c r="AE3480">
        <v>-7.0678999999999998</v>
      </c>
      <c r="AF3480">
        <v>2.1923892064102199</v>
      </c>
      <c r="AG3480">
        <v>-1.109317412207</v>
      </c>
      <c r="AH3480">
        <v>7.2762711711111496</v>
      </c>
      <c r="AI3480">
        <v>98.305069062479205</v>
      </c>
      <c r="AJ3480">
        <v>73.232094241442695</v>
      </c>
      <c r="AK3480">
        <v>7.6799269338290497</v>
      </c>
      <c r="AL3480">
        <v>67.632314222656007</v>
      </c>
      <c r="AM3480">
        <v>75.9134675785849</v>
      </c>
      <c r="AN3480">
        <v>1.0000000487664999</v>
      </c>
    </row>
    <row r="3481" spans="1:40" x14ac:dyDescent="0.25">
      <c r="A3481" t="str">
        <f>"20190304164712657"</f>
        <v>20190304164712657</v>
      </c>
      <c r="B3481" t="str">
        <f>"1551689232652470"</f>
        <v>1551689232652470</v>
      </c>
      <c r="C3481" t="s">
        <v>40</v>
      </c>
      <c r="D3481">
        <v>4.703786</v>
      </c>
      <c r="E3481">
        <v>0.53734630000000005</v>
      </c>
      <c r="F3481" t="s">
        <v>42</v>
      </c>
      <c r="G3481">
        <v>-192.80500000000001</v>
      </c>
      <c r="H3481" s="1">
        <v>-4.3108560000000002E-6</v>
      </c>
      <c r="I3481">
        <v>167.21610000000001</v>
      </c>
      <c r="J3481">
        <v>-189.56110000000001</v>
      </c>
      <c r="K3481">
        <v>1.109526</v>
      </c>
      <c r="L3481">
        <v>174.38050000000001</v>
      </c>
      <c r="M3481">
        <v>-0.13463269999999999</v>
      </c>
      <c r="N3481">
        <v>-1.367138E-2</v>
      </c>
      <c r="O3481">
        <v>-0.9908013</v>
      </c>
      <c r="P3481">
        <v>-0.33840940000000003</v>
      </c>
      <c r="Q3481">
        <v>0.37019920000000001</v>
      </c>
      <c r="R3481">
        <v>-0.86511970000000005</v>
      </c>
      <c r="S3481">
        <v>-1.3883209999999999</v>
      </c>
      <c r="T3481">
        <v>-0.47014679999999998</v>
      </c>
      <c r="U3481">
        <v>-3.123901</v>
      </c>
      <c r="V3481">
        <v>0.2205608</v>
      </c>
      <c r="W3481">
        <v>0.3815192</v>
      </c>
      <c r="X3481">
        <v>0.89766139999999905</v>
      </c>
      <c r="Y3481">
        <v>0.27594180000000001</v>
      </c>
      <c r="Z3481">
        <v>0.1244373</v>
      </c>
      <c r="AA3481">
        <v>0.95308519999999997</v>
      </c>
      <c r="AB3481">
        <v>20</v>
      </c>
      <c r="AC3481">
        <v>-3.2438999999999898</v>
      </c>
      <c r="AD3481">
        <v>-1.109530310856</v>
      </c>
      <c r="AE3481">
        <v>-7.1643999999999997</v>
      </c>
      <c r="AF3481">
        <v>2.2058048852621299</v>
      </c>
      <c r="AG3481">
        <v>-1.109530310856</v>
      </c>
      <c r="AH3481">
        <v>7.38887189313468</v>
      </c>
      <c r="AI3481">
        <v>98.187948192019206</v>
      </c>
      <c r="AJ3481">
        <v>73.378022142142001</v>
      </c>
      <c r="AK3481">
        <v>7.7905109303376401</v>
      </c>
      <c r="AL3481">
        <v>67.572182281371695</v>
      </c>
      <c r="AM3481">
        <v>76.195544810060198</v>
      </c>
      <c r="AN3481">
        <v>0.99999997775761895</v>
      </c>
    </row>
    <row r="3482" spans="1:40" x14ac:dyDescent="0.25">
      <c r="A3482" t="str">
        <f>"20190304164712680"</f>
        <v>20190304164712680</v>
      </c>
      <c r="B3482" t="str">
        <f>"1551689232671989"</f>
        <v>1551689232671989</v>
      </c>
      <c r="C3482" t="s">
        <v>40</v>
      </c>
      <c r="D3482">
        <v>4.7056149999999999</v>
      </c>
      <c r="E3482">
        <v>0.5376147</v>
      </c>
      <c r="F3482" t="s">
        <v>42</v>
      </c>
      <c r="G3482">
        <v>-192.8518</v>
      </c>
      <c r="H3482" s="1">
        <v>-4.2325560000000004E-6</v>
      </c>
      <c r="I3482">
        <v>166.9906</v>
      </c>
      <c r="J3482">
        <v>-189.59479999999999</v>
      </c>
      <c r="K3482">
        <v>1.1097669999999999</v>
      </c>
      <c r="L3482">
        <v>174.16470000000001</v>
      </c>
      <c r="M3482">
        <v>-0.13802500000000001</v>
      </c>
      <c r="N3482">
        <v>-1.365354E-2</v>
      </c>
      <c r="O3482">
        <v>-0.99033490000000002</v>
      </c>
      <c r="P3482">
        <v>-0.33745419999999998</v>
      </c>
      <c r="Q3482">
        <v>0.37266820000000001</v>
      </c>
      <c r="R3482">
        <v>-0.86443250000000005</v>
      </c>
      <c r="S3482">
        <v>-1.391235</v>
      </c>
      <c r="T3482">
        <v>-0.46908060000000001</v>
      </c>
      <c r="U3482">
        <v>-3.1242369999999999</v>
      </c>
      <c r="V3482">
        <v>0.2164111</v>
      </c>
      <c r="W3482">
        <v>0.38411119999999999</v>
      </c>
      <c r="X3482">
        <v>0.89756599999999997</v>
      </c>
      <c r="Y3482">
        <v>0.2733775</v>
      </c>
      <c r="Z3482">
        <v>0.12407550000000001</v>
      </c>
      <c r="AA3482">
        <v>0.95387109999999997</v>
      </c>
      <c r="AB3482">
        <v>20</v>
      </c>
      <c r="AC3482">
        <v>-3.2570000000000001</v>
      </c>
      <c r="AD3482">
        <v>-1.1097712325560001</v>
      </c>
      <c r="AE3482">
        <v>-7.1741000000000099</v>
      </c>
      <c r="AF3482">
        <v>2.1920331424517099</v>
      </c>
      <c r="AG3482">
        <v>-1.1097712325560001</v>
      </c>
      <c r="AH3482">
        <v>7.4080347491050604</v>
      </c>
      <c r="AI3482">
        <v>98.174596075002995</v>
      </c>
      <c r="AJ3482">
        <v>73.516545315985795</v>
      </c>
      <c r="AK3482">
        <v>7.8048433892143896</v>
      </c>
      <c r="AL3482">
        <v>67.411425286253106</v>
      </c>
      <c r="AM3482">
        <v>76.444209956140099</v>
      </c>
      <c r="AN3482">
        <v>0.99999995126232299</v>
      </c>
    </row>
    <row r="3483" spans="1:40" x14ac:dyDescent="0.25">
      <c r="A3483" t="str">
        <f>"20190304164712703"</f>
        <v>20190304164712703</v>
      </c>
      <c r="B3483" t="str">
        <f>"1551689232692485"</f>
        <v>1551689232692485</v>
      </c>
      <c r="C3483" t="s">
        <v>40</v>
      </c>
      <c r="D3483">
        <v>4.7694169999999998</v>
      </c>
      <c r="E3483">
        <v>0.53782220000000003</v>
      </c>
      <c r="F3483" t="s">
        <v>42</v>
      </c>
      <c r="G3483">
        <v>-192.9272</v>
      </c>
      <c r="H3483" s="1">
        <v>-4.1223250000000004E-6</v>
      </c>
      <c r="I3483">
        <v>166.6687</v>
      </c>
      <c r="J3483">
        <v>-189.6268</v>
      </c>
      <c r="K3483">
        <v>1.1099699999999999</v>
      </c>
      <c r="L3483">
        <v>173.9615</v>
      </c>
      <c r="M3483">
        <v>-0.1409397</v>
      </c>
      <c r="N3483">
        <v>-1.3637740000000001E-2</v>
      </c>
      <c r="O3483">
        <v>-0.98992429999999998</v>
      </c>
      <c r="P3483">
        <v>-0.3381962</v>
      </c>
      <c r="Q3483">
        <v>0.37449900000000003</v>
      </c>
      <c r="R3483">
        <v>-0.86335069999999903</v>
      </c>
      <c r="S3483">
        <v>-1.3903049999999999</v>
      </c>
      <c r="T3483">
        <v>-0.4630049</v>
      </c>
      <c r="U3483">
        <v>-3.1273499999999999</v>
      </c>
      <c r="V3483">
        <v>0.21445919999999999</v>
      </c>
      <c r="W3483">
        <v>0.38603379999999998</v>
      </c>
      <c r="X3483">
        <v>0.89720959999999905</v>
      </c>
      <c r="Y3483">
        <v>0.27005649999999998</v>
      </c>
      <c r="Z3483">
        <v>0.1222202</v>
      </c>
      <c r="AA3483">
        <v>0.95505589999999996</v>
      </c>
      <c r="AB3483">
        <v>20</v>
      </c>
      <c r="AC3483">
        <v>-3.30039999999999</v>
      </c>
      <c r="AD3483">
        <v>-1.1099741223249999</v>
      </c>
      <c r="AE3483">
        <v>-7.2927999999999997</v>
      </c>
      <c r="AF3483">
        <v>2.19726172416506</v>
      </c>
      <c r="AG3483">
        <v>-1.1099741223249999</v>
      </c>
      <c r="AH3483">
        <v>7.5402132255221499</v>
      </c>
      <c r="AI3483">
        <v>98.044272052096304</v>
      </c>
      <c r="AJ3483">
        <v>73.753572007662598</v>
      </c>
      <c r="AK3483">
        <v>7.9318861012404298</v>
      </c>
      <c r="AL3483">
        <v>67.292064080360305</v>
      </c>
      <c r="AM3483">
        <v>76.556877271540998</v>
      </c>
      <c r="AN3483">
        <v>0.999999954769618</v>
      </c>
    </row>
    <row r="3484" spans="1:40" x14ac:dyDescent="0.25">
      <c r="A3484" t="str">
        <f>"20190304164712726"</f>
        <v>20190304164712726</v>
      </c>
      <c r="B3484" t="str">
        <f>"1551689232722742"</f>
        <v>1551689232722742</v>
      </c>
      <c r="C3484" t="s">
        <v>40</v>
      </c>
      <c r="D3484">
        <v>4.6663040000000002</v>
      </c>
      <c r="E3484">
        <v>0.5378811</v>
      </c>
      <c r="F3484" t="s">
        <v>42</v>
      </c>
      <c r="G3484">
        <v>-192.9819</v>
      </c>
      <c r="H3484" s="1">
        <v>-4.0152089999999997E-6</v>
      </c>
      <c r="I3484">
        <v>166.40729999999999</v>
      </c>
      <c r="J3484">
        <v>-189.65950000000001</v>
      </c>
      <c r="K3484">
        <v>1.110155</v>
      </c>
      <c r="L3484">
        <v>173.75530000000001</v>
      </c>
      <c r="M3484">
        <v>-0.1435843</v>
      </c>
      <c r="N3484">
        <v>-1.3622250000000001E-2</v>
      </c>
      <c r="O3484">
        <v>-0.98954430000000004</v>
      </c>
      <c r="P3484">
        <v>-0.33598270000000002</v>
      </c>
      <c r="Q3484">
        <v>0.37495450000000002</v>
      </c>
      <c r="R3484">
        <v>-0.86401649999999997</v>
      </c>
      <c r="S3484">
        <v>-1.390045</v>
      </c>
      <c r="T3484">
        <v>-0.45987420000000001</v>
      </c>
      <c r="U3484">
        <v>-3.129807</v>
      </c>
      <c r="V3484">
        <v>0.20958550000000001</v>
      </c>
      <c r="W3484">
        <v>0.38660030000000001</v>
      </c>
      <c r="X3484">
        <v>0.8981169</v>
      </c>
      <c r="Y3484">
        <v>0.26719379999999998</v>
      </c>
      <c r="Z3484">
        <v>0.121228</v>
      </c>
      <c r="AA3484">
        <v>0.95598700000000003</v>
      </c>
      <c r="AB3484">
        <v>20</v>
      </c>
      <c r="AC3484">
        <v>-3.32239999999998</v>
      </c>
      <c r="AD3484">
        <v>-1.110159015209</v>
      </c>
      <c r="AE3484">
        <v>-7.3480000000000096</v>
      </c>
      <c r="AF3484">
        <v>2.1912833608467199</v>
      </c>
      <c r="AG3484">
        <v>-1.110159015209</v>
      </c>
      <c r="AH3484">
        <v>7.6048115267453698</v>
      </c>
      <c r="AI3484">
        <v>97.985004892952006</v>
      </c>
      <c r="AJ3484">
        <v>73.925963359952902</v>
      </c>
      <c r="AK3484">
        <v>7.9917040838542501</v>
      </c>
      <c r="AL3484">
        <v>67.256873243106497</v>
      </c>
      <c r="AM3484">
        <v>76.864471820786093</v>
      </c>
      <c r="AN3484">
        <v>0.99999991991797099</v>
      </c>
    </row>
    <row r="3485" spans="1:40" x14ac:dyDescent="0.25">
      <c r="A3485" t="str">
        <f>"20190304164712747"</f>
        <v>20190304164712747</v>
      </c>
      <c r="B3485" t="str">
        <f>"1551689232742261"</f>
        <v>1551689232742261</v>
      </c>
      <c r="C3485" t="s">
        <v>40</v>
      </c>
      <c r="D3485">
        <v>4.6372289999999996</v>
      </c>
      <c r="E3485">
        <v>0.53820939999999995</v>
      </c>
      <c r="F3485" t="s">
        <v>42</v>
      </c>
      <c r="G3485">
        <v>-192.9845</v>
      </c>
      <c r="H3485" s="1">
        <v>-3.9391820000000003E-6</v>
      </c>
      <c r="I3485">
        <v>166.2449</v>
      </c>
      <c r="J3485">
        <v>-189.68879999999999</v>
      </c>
      <c r="K3485">
        <v>1.1103270000000001</v>
      </c>
      <c r="L3485">
        <v>173.57159999999999</v>
      </c>
      <c r="M3485">
        <v>-0.14562</v>
      </c>
      <c r="N3485">
        <v>-1.3608169999999999E-2</v>
      </c>
      <c r="O3485">
        <v>-0.98924710000000005</v>
      </c>
      <c r="P3485">
        <v>-0.33408100000000002</v>
      </c>
      <c r="Q3485">
        <v>0.3760191</v>
      </c>
      <c r="R3485">
        <v>-0.86429129999999998</v>
      </c>
      <c r="S3485">
        <v>-1.3873599999999999</v>
      </c>
      <c r="T3485">
        <v>-0.46321459999999998</v>
      </c>
      <c r="U3485">
        <v>-3.1336979999999999</v>
      </c>
      <c r="V3485">
        <v>0.20564379999999999</v>
      </c>
      <c r="W3485">
        <v>0.38775660000000001</v>
      </c>
      <c r="X3485">
        <v>0.89852960000000004</v>
      </c>
      <c r="Y3485">
        <v>0.26404490000000003</v>
      </c>
      <c r="Z3485">
        <v>0.12207560000000001</v>
      </c>
      <c r="AA3485">
        <v>0.95675379999999999</v>
      </c>
      <c r="AB3485">
        <v>20</v>
      </c>
      <c r="AC3485">
        <v>-3.2957000000000098</v>
      </c>
      <c r="AD3485">
        <v>-1.110330939182</v>
      </c>
      <c r="AE3485">
        <v>-7.3266999999999802</v>
      </c>
      <c r="AF3485">
        <v>2.1524363367851298</v>
      </c>
      <c r="AG3485">
        <v>-1.110330939182</v>
      </c>
      <c r="AH3485">
        <v>7.5836935822244698</v>
      </c>
      <c r="AI3485">
        <v>98.017208397587297</v>
      </c>
      <c r="AJ3485">
        <v>74.154770811610007</v>
      </c>
      <c r="AK3485">
        <v>7.9610442359963303</v>
      </c>
      <c r="AL3485">
        <v>67.185019610286503</v>
      </c>
      <c r="AM3485">
        <v>77.108903738665205</v>
      </c>
      <c r="AN3485">
        <v>0.99999999769907999</v>
      </c>
    </row>
    <row r="3486" spans="1:40" x14ac:dyDescent="0.25">
      <c r="A3486" t="str">
        <f>"20190304164712769"</f>
        <v>20190304164712769</v>
      </c>
      <c r="B3486" t="str">
        <f>"1551689232762757"</f>
        <v>1551689232762757</v>
      </c>
      <c r="C3486" t="s">
        <v>40</v>
      </c>
      <c r="D3486">
        <v>4.6383789999999996</v>
      </c>
      <c r="E3486">
        <v>0.53852109999999997</v>
      </c>
      <c r="F3486" t="s">
        <v>42</v>
      </c>
      <c r="G3486">
        <v>-193.04259999999999</v>
      </c>
      <c r="H3486" s="1">
        <v>-3.8421949999999999E-6</v>
      </c>
      <c r="I3486">
        <v>166.00710000000001</v>
      </c>
      <c r="J3486">
        <v>-189.72139999999999</v>
      </c>
      <c r="K3486">
        <v>1.110544</v>
      </c>
      <c r="L3486">
        <v>173.36770000000001</v>
      </c>
      <c r="M3486">
        <v>-0.14751149999999999</v>
      </c>
      <c r="N3486">
        <v>-1.359251E-2</v>
      </c>
      <c r="O3486">
        <v>-0.98896700000000004</v>
      </c>
      <c r="P3486">
        <v>-0.3344645</v>
      </c>
      <c r="Q3486">
        <v>0.37745020000000001</v>
      </c>
      <c r="R3486">
        <v>-0.86351919999999904</v>
      </c>
      <c r="S3486">
        <v>-1.3895109999999999</v>
      </c>
      <c r="T3486">
        <v>-0.46002880000000002</v>
      </c>
      <c r="U3486">
        <v>-3.134109</v>
      </c>
      <c r="V3486">
        <v>0.20420579999999999</v>
      </c>
      <c r="W3486">
        <v>0.38928079999999998</v>
      </c>
      <c r="X3486">
        <v>0.89819839999999995</v>
      </c>
      <c r="Y3486">
        <v>0.2627546</v>
      </c>
      <c r="Z3486">
        <v>0.1211169</v>
      </c>
      <c r="AA3486">
        <v>0.95723069999999999</v>
      </c>
      <c r="AB3486">
        <v>20</v>
      </c>
      <c r="AC3486">
        <v>-3.3212000000000002</v>
      </c>
      <c r="AD3486">
        <v>-1.1105478421949999</v>
      </c>
      <c r="AE3486">
        <v>-7.3605999999999998</v>
      </c>
      <c r="AF3486">
        <v>2.15816887206506</v>
      </c>
      <c r="AG3486">
        <v>-1.1105478421949999</v>
      </c>
      <c r="AH3486">
        <v>7.6257937561709799</v>
      </c>
      <c r="AI3486">
        <v>97.976739489964302</v>
      </c>
      <c r="AJ3486">
        <v>74.198005286831304</v>
      </c>
      <c r="AK3486">
        <v>8.0027332706901397</v>
      </c>
      <c r="AL3486">
        <v>67.0902429004543</v>
      </c>
      <c r="AM3486">
        <v>77.191500176395195</v>
      </c>
      <c r="AN3486">
        <v>0.99999995788241902</v>
      </c>
    </row>
    <row r="3487" spans="1:40" x14ac:dyDescent="0.25">
      <c r="A3487" t="str">
        <f>"20190304164712791"</f>
        <v>20190304164712791</v>
      </c>
      <c r="B3487" t="str">
        <f>"1551689232782277"</f>
        <v>1551689232782277</v>
      </c>
      <c r="C3487" t="s">
        <v>40</v>
      </c>
      <c r="D3487">
        <v>4.6518179999999996</v>
      </c>
      <c r="E3487">
        <v>0.53874599999999995</v>
      </c>
      <c r="F3487" t="s">
        <v>42</v>
      </c>
      <c r="G3487">
        <v>-193.0975</v>
      </c>
      <c r="H3487" s="1">
        <v>-3.7462799999999999E-6</v>
      </c>
      <c r="I3487">
        <v>165.77330000000001</v>
      </c>
      <c r="J3487">
        <v>-189.7518</v>
      </c>
      <c r="K3487">
        <v>1.110779</v>
      </c>
      <c r="L3487">
        <v>173.17699999999999</v>
      </c>
      <c r="M3487">
        <v>-0.14893219999999999</v>
      </c>
      <c r="N3487">
        <v>-1.357886E-2</v>
      </c>
      <c r="O3487">
        <v>-0.98875429999999997</v>
      </c>
      <c r="P3487">
        <v>-0.3335381</v>
      </c>
      <c r="Q3487">
        <v>0.377494</v>
      </c>
      <c r="R3487">
        <v>-0.86385829999999997</v>
      </c>
      <c r="S3487">
        <v>-1.3935390000000001</v>
      </c>
      <c r="T3487">
        <v>-0.45839980000000002</v>
      </c>
      <c r="U3487">
        <v>-3.1347499999999999</v>
      </c>
      <c r="V3487">
        <v>0.20172619999999999</v>
      </c>
      <c r="W3487">
        <v>0.38943499999999998</v>
      </c>
      <c r="X3487">
        <v>0.89869179999999904</v>
      </c>
      <c r="Y3487">
        <v>0.26235269999999999</v>
      </c>
      <c r="Z3487">
        <v>0.12057519999999999</v>
      </c>
      <c r="AA3487">
        <v>0.95740939999999997</v>
      </c>
      <c r="AB3487">
        <v>20</v>
      </c>
      <c r="AC3487">
        <v>-3.3456999999999901</v>
      </c>
      <c r="AD3487">
        <v>-1.11078274628</v>
      </c>
      <c r="AE3487">
        <v>-7.4037000000000104</v>
      </c>
      <c r="AF3487">
        <v>2.1651576264937602</v>
      </c>
      <c r="AG3487">
        <v>-1.11078274628</v>
      </c>
      <c r="AH3487">
        <v>7.6759626225592097</v>
      </c>
      <c r="AI3487">
        <v>97.928847952695094</v>
      </c>
      <c r="AJ3487">
        <v>74.247840866592497</v>
      </c>
      <c r="AK3487">
        <v>8.0524622346164207</v>
      </c>
      <c r="AL3487">
        <v>67.080652345736496</v>
      </c>
      <c r="AM3487">
        <v>77.348714402352897</v>
      </c>
      <c r="AN3487">
        <v>1.00000001518933</v>
      </c>
    </row>
    <row r="3488" spans="1:40" x14ac:dyDescent="0.25">
      <c r="A3488" t="str">
        <f>"20190304164712812"</f>
        <v>20190304164712812</v>
      </c>
      <c r="B3488" t="str">
        <f>"1551689232801801"</f>
        <v>1551689232801801</v>
      </c>
      <c r="C3488" t="s">
        <v>40</v>
      </c>
      <c r="D3488">
        <v>4.6325310000000002</v>
      </c>
      <c r="E3488">
        <v>0.53838520000000001</v>
      </c>
      <c r="F3488" t="s">
        <v>42</v>
      </c>
      <c r="G3488">
        <v>-193.1217</v>
      </c>
      <c r="H3488" s="1">
        <v>-3.6744989999999999E-6</v>
      </c>
      <c r="I3488">
        <v>165.6078</v>
      </c>
      <c r="J3488">
        <v>-189.78129999999999</v>
      </c>
      <c r="K3488">
        <v>1.1110100000000001</v>
      </c>
      <c r="L3488">
        <v>172.99100000000001</v>
      </c>
      <c r="M3488">
        <v>-0.15000069999999999</v>
      </c>
      <c r="N3488">
        <v>-1.3567259999999999E-2</v>
      </c>
      <c r="O3488">
        <v>-0.98859300000000006</v>
      </c>
      <c r="P3488">
        <v>-0.33043210000000001</v>
      </c>
      <c r="Q3488">
        <v>0.37677919999999998</v>
      </c>
      <c r="R3488">
        <v>-0.86536250000000003</v>
      </c>
      <c r="S3488">
        <v>-1.3957059999999999</v>
      </c>
      <c r="T3488">
        <v>-0.4600513</v>
      </c>
      <c r="U3488">
        <v>-3.1349179999999999</v>
      </c>
      <c r="V3488">
        <v>0.1972343</v>
      </c>
      <c r="W3488">
        <v>0.3888433</v>
      </c>
      <c r="X3488">
        <v>0.89994419999999897</v>
      </c>
      <c r="Y3488">
        <v>0.26182179999999999</v>
      </c>
      <c r="Z3488">
        <v>0.1210162</v>
      </c>
      <c r="AA3488">
        <v>0.95749910000000005</v>
      </c>
      <c r="AB3488">
        <v>20</v>
      </c>
      <c r="AC3488">
        <v>-3.34040000000001</v>
      </c>
      <c r="AD3488">
        <v>-1.111013674499</v>
      </c>
      <c r="AE3488">
        <v>-7.38319999999998</v>
      </c>
      <c r="AF3488">
        <v>2.1545155576850799</v>
      </c>
      <c r="AG3488">
        <v>-1.111013674499</v>
      </c>
      <c r="AH3488">
        <v>7.6568383650111196</v>
      </c>
      <c r="AI3488">
        <v>97.951434217348407</v>
      </c>
      <c r="AJ3488">
        <v>74.284221569454601</v>
      </c>
      <c r="AK3488">
        <v>8.0314047601361196</v>
      </c>
      <c r="AL3488">
        <v>67.117455254986396</v>
      </c>
      <c r="AM3488">
        <v>77.638342492880795</v>
      </c>
      <c r="AN3488">
        <v>1.0000000220825001</v>
      </c>
    </row>
    <row r="3489" spans="1:40" x14ac:dyDescent="0.25">
      <c r="A3489" t="str">
        <f>"20190304164712835"</f>
        <v>20190304164712835</v>
      </c>
      <c r="B3489" t="str">
        <f>"1551689232832054"</f>
        <v>1551689232832054</v>
      </c>
      <c r="C3489" t="s">
        <v>40</v>
      </c>
      <c r="D3489">
        <v>5.1099600000000001</v>
      </c>
      <c r="E3489">
        <v>0.53773509999999902</v>
      </c>
      <c r="F3489" t="s">
        <v>42</v>
      </c>
      <c r="G3489">
        <v>-193.1326</v>
      </c>
      <c r="H3489" s="1">
        <v>-3.596361E-6</v>
      </c>
      <c r="I3489">
        <v>165.43639999999999</v>
      </c>
      <c r="J3489">
        <v>-189.8135</v>
      </c>
      <c r="K3489">
        <v>1.1112580000000001</v>
      </c>
      <c r="L3489">
        <v>172.7868</v>
      </c>
      <c r="M3489">
        <v>-0.1508167</v>
      </c>
      <c r="N3489">
        <v>-1.3556159999999999E-2</v>
      </c>
      <c r="O3489">
        <v>-0.98846889999999998</v>
      </c>
      <c r="P3489">
        <v>-0.3274164</v>
      </c>
      <c r="Q3489">
        <v>0.37778040000000002</v>
      </c>
      <c r="R3489">
        <v>-0.86607190000000001</v>
      </c>
      <c r="S3489">
        <v>-1.3912960000000001</v>
      </c>
      <c r="T3489">
        <v>-0.46123969999999997</v>
      </c>
      <c r="U3489">
        <v>-3.1363219999999998</v>
      </c>
      <c r="V3489">
        <v>0.19317319999999999</v>
      </c>
      <c r="W3489">
        <v>0.38995580000000002</v>
      </c>
      <c r="X3489">
        <v>0.90034360000000002</v>
      </c>
      <c r="Y3489">
        <v>0.25972529999999999</v>
      </c>
      <c r="Z3489">
        <v>0.121363899999999</v>
      </c>
      <c r="AA3489">
        <v>0.95802589999999999</v>
      </c>
      <c r="AB3489">
        <v>20</v>
      </c>
      <c r="AC3489">
        <v>-3.3190999999999899</v>
      </c>
      <c r="AD3489">
        <v>-1.111261596361</v>
      </c>
      <c r="AE3489">
        <v>-7.3503999999999996</v>
      </c>
      <c r="AF3489">
        <v>2.1319868035587501</v>
      </c>
      <c r="AG3489">
        <v>-1.111261596361</v>
      </c>
      <c r="AH3489">
        <v>7.6222194144847002</v>
      </c>
      <c r="AI3489">
        <v>97.992284110812307</v>
      </c>
      <c r="AJ3489">
        <v>74.3733311398708</v>
      </c>
      <c r="AK3489">
        <v>7.9924025717329199</v>
      </c>
      <c r="AL3489">
        <v>67.048250935022196</v>
      </c>
      <c r="AM3489">
        <v>77.890493453627499</v>
      </c>
      <c r="AN3489">
        <v>1.0000000046064199</v>
      </c>
    </row>
    <row r="3490" spans="1:40" x14ac:dyDescent="0.25">
      <c r="A3490" t="str">
        <f>"20190304164712859"</f>
        <v>20190304164712859</v>
      </c>
      <c r="B3490" t="str">
        <f>"1551689232852550"</f>
        <v>1551689232852550</v>
      </c>
      <c r="C3490" t="s">
        <v>40</v>
      </c>
      <c r="D3490">
        <v>4.5836360000000003</v>
      </c>
      <c r="E3490">
        <v>0.53737279999999998</v>
      </c>
      <c r="F3490" t="s">
        <v>42</v>
      </c>
      <c r="G3490">
        <v>-193.19909999999999</v>
      </c>
      <c r="H3490" s="1">
        <v>-3.4601799999999998E-6</v>
      </c>
      <c r="I3490">
        <v>165.11089999999999</v>
      </c>
      <c r="J3490">
        <v>-189.846</v>
      </c>
      <c r="K3490">
        <v>1.11147</v>
      </c>
      <c r="L3490">
        <v>172.5788</v>
      </c>
      <c r="M3490">
        <v>-0.15126999999999999</v>
      </c>
      <c r="N3490">
        <v>-1.3545929999999999E-2</v>
      </c>
      <c r="O3490">
        <v>-0.98839969999999999</v>
      </c>
      <c r="P3490">
        <v>-0.32491769999999998</v>
      </c>
      <c r="Q3490">
        <v>0.37989319999999999</v>
      </c>
      <c r="R3490">
        <v>-0.86608879999999999</v>
      </c>
      <c r="S3490">
        <v>-1.3843989999999999</v>
      </c>
      <c r="T3490">
        <v>-0.45440789999999998</v>
      </c>
      <c r="U3490">
        <v>-3.138763</v>
      </c>
      <c r="V3490">
        <v>0.19009809999999999</v>
      </c>
      <c r="W3490">
        <v>0.39214749999999998</v>
      </c>
      <c r="X3490">
        <v>0.90004609999999996</v>
      </c>
      <c r="Y3490">
        <v>0.25734649999999998</v>
      </c>
      <c r="Z3490">
        <v>0.119408</v>
      </c>
      <c r="AA3490">
        <v>0.95891320000000002</v>
      </c>
      <c r="AB3490">
        <v>20</v>
      </c>
      <c r="AC3490">
        <v>-3.3531000000000102</v>
      </c>
      <c r="AD3490">
        <v>-1.11147346018</v>
      </c>
      <c r="AE3490">
        <v>-7.46790000000001</v>
      </c>
      <c r="AF3490">
        <v>2.1451878865858398</v>
      </c>
      <c r="AG3490">
        <v>-1.11147346018</v>
      </c>
      <c r="AH3490">
        <v>7.7464129018303396</v>
      </c>
      <c r="AI3490">
        <v>97.872827316844194</v>
      </c>
      <c r="AJ3490">
        <v>74.521173671068198</v>
      </c>
      <c r="AK3490">
        <v>8.1144388078956293</v>
      </c>
      <c r="AL3490">
        <v>66.911809882901693</v>
      </c>
      <c r="AM3490">
        <v>78.0738762020504</v>
      </c>
      <c r="AN3490">
        <v>0.99999996575253403</v>
      </c>
    </row>
    <row r="3491" spans="1:40" x14ac:dyDescent="0.25">
      <c r="A3491" t="str">
        <f>"20190304164712881"</f>
        <v>20190304164712881</v>
      </c>
      <c r="B3491" t="str">
        <f>"1551689232872071"</f>
        <v>1551689232872071</v>
      </c>
      <c r="C3491" t="s">
        <v>40</v>
      </c>
      <c r="D3491">
        <v>4.6046750000000003</v>
      </c>
      <c r="E3491">
        <v>0.53715829999999998</v>
      </c>
      <c r="F3491" t="s">
        <v>42</v>
      </c>
      <c r="G3491">
        <v>-193.27</v>
      </c>
      <c r="H3491" s="1">
        <v>-3.307848E-6</v>
      </c>
      <c r="I3491">
        <v>164.74870000000001</v>
      </c>
      <c r="J3491">
        <v>-189.87719999999999</v>
      </c>
      <c r="K3491">
        <v>1.1116079999999999</v>
      </c>
      <c r="L3491">
        <v>172.37729999999999</v>
      </c>
      <c r="M3491">
        <v>-0.15144949999999999</v>
      </c>
      <c r="N3491">
        <v>-1.353674E-2</v>
      </c>
      <c r="O3491">
        <v>-0.98837269999999999</v>
      </c>
      <c r="P3491">
        <v>-0.32153039999999999</v>
      </c>
      <c r="Q3491">
        <v>0.38161099999999998</v>
      </c>
      <c r="R3491">
        <v>-0.86659809999999904</v>
      </c>
      <c r="S3491">
        <v>-1.374771</v>
      </c>
      <c r="T3491">
        <v>-0.44625880000000001</v>
      </c>
      <c r="U3491">
        <v>-3.1438290000000002</v>
      </c>
      <c r="V3491">
        <v>0.18638589999999999</v>
      </c>
      <c r="W3491">
        <v>0.39391500000000002</v>
      </c>
      <c r="X3491">
        <v>0.90005069999999998</v>
      </c>
      <c r="Y3491">
        <v>0.25425789999999998</v>
      </c>
      <c r="Z3491">
        <v>0.1170134</v>
      </c>
      <c r="AA3491">
        <v>0.96003170000000004</v>
      </c>
      <c r="AB3491">
        <v>20</v>
      </c>
      <c r="AC3491">
        <v>-3.3928000000000198</v>
      </c>
      <c r="AD3491">
        <v>-1.1116113078480001</v>
      </c>
      <c r="AE3491">
        <v>-7.6285999999999703</v>
      </c>
      <c r="AF3491">
        <v>2.1599152698744</v>
      </c>
      <c r="AG3491">
        <v>-1.1116113078480001</v>
      </c>
      <c r="AH3491">
        <v>7.9141791162536403</v>
      </c>
      <c r="AI3491">
        <v>97.716718912140493</v>
      </c>
      <c r="AJ3491">
        <v>74.734755381620005</v>
      </c>
      <c r="AK3491">
        <v>8.2785955787752705</v>
      </c>
      <c r="AL3491">
        <v>66.801677362475203</v>
      </c>
      <c r="AM3491">
        <v>78.300344235791101</v>
      </c>
      <c r="AN3491">
        <v>0.99999999675715001</v>
      </c>
    </row>
    <row r="3492" spans="1:40" x14ac:dyDescent="0.25">
      <c r="A3492" t="str">
        <f>"20190304164712902"</f>
        <v>20190304164712902</v>
      </c>
      <c r="B3492" t="str">
        <f>"1551689232892569"</f>
        <v>1551689232892569</v>
      </c>
      <c r="C3492" t="s">
        <v>40</v>
      </c>
      <c r="D3492">
        <v>4.575234</v>
      </c>
      <c r="E3492">
        <v>0.53681859999999904</v>
      </c>
      <c r="F3492" t="s">
        <v>42</v>
      </c>
      <c r="G3492">
        <v>-193.33349999999999</v>
      </c>
      <c r="H3492" s="1">
        <v>-3.1634940000000001E-6</v>
      </c>
      <c r="I3492">
        <v>164.4076</v>
      </c>
      <c r="J3492">
        <v>-189.90459999999999</v>
      </c>
      <c r="K3492">
        <v>1.1116889999999999</v>
      </c>
      <c r="L3492">
        <v>172.19909999999999</v>
      </c>
      <c r="M3492">
        <v>-0.15144050000000001</v>
      </c>
      <c r="N3492">
        <v>-1.3529309999999999E-2</v>
      </c>
      <c r="O3492">
        <v>-0.98837410000000003</v>
      </c>
      <c r="P3492">
        <v>-0.31714870000000001</v>
      </c>
      <c r="Q3492">
        <v>0.38316719999999999</v>
      </c>
      <c r="R3492">
        <v>-0.86752530000000005</v>
      </c>
      <c r="S3492">
        <v>-1.3654630000000001</v>
      </c>
      <c r="T3492">
        <v>-0.43916179999999999</v>
      </c>
      <c r="U3492">
        <v>-3.1485599999999998</v>
      </c>
      <c r="V3492">
        <v>0.18185799999999999</v>
      </c>
      <c r="W3492">
        <v>0.39549479999999998</v>
      </c>
      <c r="X3492">
        <v>0.90028410000000003</v>
      </c>
      <c r="Y3492">
        <v>0.25145289999999998</v>
      </c>
      <c r="Z3492">
        <v>0.114928</v>
      </c>
      <c r="AA3492">
        <v>0.96102180000000004</v>
      </c>
      <c r="AB3492">
        <v>20</v>
      </c>
      <c r="AC3492">
        <v>-3.4288999999999898</v>
      </c>
      <c r="AD3492">
        <v>-1.111692163494</v>
      </c>
      <c r="AE3492">
        <v>-7.7914999999999797</v>
      </c>
      <c r="AF3492">
        <v>2.1722420628168102</v>
      </c>
      <c r="AG3492">
        <v>-1.111692163494</v>
      </c>
      <c r="AH3492">
        <v>8.0830870616642994</v>
      </c>
      <c r="AI3492">
        <v>97.565772788346294</v>
      </c>
      <c r="AJ3492">
        <v>74.957778268866306</v>
      </c>
      <c r="AK3492">
        <v>8.4433874417966504</v>
      </c>
      <c r="AL3492">
        <v>66.703162091933905</v>
      </c>
      <c r="AM3492">
        <v>78.5798884228833</v>
      </c>
      <c r="AN3492">
        <v>0.99999996485192399</v>
      </c>
    </row>
    <row r="3493" spans="1:40" x14ac:dyDescent="0.25">
      <c r="A3493" t="str">
        <f>"20190304164712925"</f>
        <v>20190304164712925</v>
      </c>
      <c r="B3493" t="str">
        <f>"1551689232921845"</f>
        <v>1551689232921845</v>
      </c>
      <c r="C3493" t="s">
        <v>40</v>
      </c>
      <c r="D3493">
        <v>4.5945720000000003</v>
      </c>
      <c r="E3493">
        <v>0.53651879999999996</v>
      </c>
      <c r="F3493" t="s">
        <v>42</v>
      </c>
      <c r="G3493">
        <v>-193.38749999999999</v>
      </c>
      <c r="H3493" s="1">
        <v>-3.0195430000000002E-6</v>
      </c>
      <c r="I3493">
        <v>164.0727</v>
      </c>
      <c r="J3493">
        <v>-189.9359</v>
      </c>
      <c r="K3493">
        <v>1.1117360000000001</v>
      </c>
      <c r="L3493">
        <v>171.99449999999999</v>
      </c>
      <c r="M3493">
        <v>-0.1512955</v>
      </c>
      <c r="N3493">
        <v>-1.352167E-2</v>
      </c>
      <c r="O3493">
        <v>-0.98839619999999995</v>
      </c>
      <c r="P3493">
        <v>-0.31348540000000003</v>
      </c>
      <c r="Q3493">
        <v>0.38491999999999998</v>
      </c>
      <c r="R3493">
        <v>-0.86808030000000003</v>
      </c>
      <c r="S3493">
        <v>-1.351944</v>
      </c>
      <c r="T3493">
        <v>-0.43153200000000003</v>
      </c>
      <c r="U3493">
        <v>-3.15448</v>
      </c>
      <c r="V3493">
        <v>0.1782492</v>
      </c>
      <c r="W3493">
        <v>0.39725379999999999</v>
      </c>
      <c r="X3493">
        <v>0.90023149999999996</v>
      </c>
      <c r="Y3493">
        <v>0.24756800000000001</v>
      </c>
      <c r="Z3493">
        <v>0.1126972</v>
      </c>
      <c r="AA3493">
        <v>0.96229390000000004</v>
      </c>
      <c r="AB3493">
        <v>20</v>
      </c>
      <c r="AC3493">
        <v>-3.45159999999998</v>
      </c>
      <c r="AD3493">
        <v>-1.1117390195429999</v>
      </c>
      <c r="AE3493">
        <v>-7.9217999999999904</v>
      </c>
      <c r="AF3493">
        <v>2.1771795611452802</v>
      </c>
      <c r="AG3493">
        <v>-1.1117390195429999</v>
      </c>
      <c r="AH3493">
        <v>8.2168405199687893</v>
      </c>
      <c r="AI3493">
        <v>97.451242803174296</v>
      </c>
      <c r="AJ3493">
        <v>75.159617973749405</v>
      </c>
      <c r="AK3493">
        <v>8.5727791654541203</v>
      </c>
      <c r="AL3493">
        <v>66.5933892670717</v>
      </c>
      <c r="AM3493">
        <v>78.800088010851297</v>
      </c>
      <c r="AN3493">
        <v>1.00000005625366</v>
      </c>
    </row>
    <row r="3494" spans="1:40" x14ac:dyDescent="0.25">
      <c r="A3494" t="str">
        <f>"20190304164712950"</f>
        <v>20190304164712950</v>
      </c>
      <c r="B3494" t="str">
        <f>"1551689232942341"</f>
        <v>1551689232942341</v>
      </c>
      <c r="C3494" t="s">
        <v>40</v>
      </c>
      <c r="D3494">
        <v>4.5541660000000004</v>
      </c>
      <c r="E3494">
        <v>0.53642239999999997</v>
      </c>
      <c r="F3494" t="s">
        <v>42</v>
      </c>
      <c r="G3494">
        <v>-193.43729999999999</v>
      </c>
      <c r="H3494" s="1">
        <v>-2.8758040000000002E-6</v>
      </c>
      <c r="I3494">
        <v>163.7405</v>
      </c>
      <c r="J3494">
        <v>-189.96799999999999</v>
      </c>
      <c r="K3494">
        <v>1.1117509999999999</v>
      </c>
      <c r="L3494">
        <v>171.7842</v>
      </c>
      <c r="M3494">
        <v>-0.15107579999999901</v>
      </c>
      <c r="N3494">
        <v>-1.3514979999999999E-2</v>
      </c>
      <c r="O3494">
        <v>-0.98843000000000003</v>
      </c>
      <c r="P3494">
        <v>-0.31064930000000002</v>
      </c>
      <c r="Q3494">
        <v>0.38531209999999999</v>
      </c>
      <c r="R3494">
        <v>-0.86892559999999996</v>
      </c>
      <c r="S3494">
        <v>-1.340714</v>
      </c>
      <c r="T3494">
        <v>-0.4256954</v>
      </c>
      <c r="U3494">
        <v>-3.1605219999999998</v>
      </c>
      <c r="V3494">
        <v>0.17550569999999999</v>
      </c>
      <c r="W3494">
        <v>0.39764899999999997</v>
      </c>
      <c r="X3494">
        <v>0.90059599999999995</v>
      </c>
      <c r="Y3494">
        <v>0.24430389999999999</v>
      </c>
      <c r="Z3494">
        <v>0.1109494</v>
      </c>
      <c r="AA3494">
        <v>0.96333060000000004</v>
      </c>
      <c r="AB3494">
        <v>20</v>
      </c>
      <c r="AC3494">
        <v>-3.4693000000000001</v>
      </c>
      <c r="AD3494">
        <v>-1.111753875804</v>
      </c>
      <c r="AE3494">
        <v>-8.0436999999999994</v>
      </c>
      <c r="AF3494">
        <v>2.17905574114975</v>
      </c>
      <c r="AG3494">
        <v>-1.111753875804</v>
      </c>
      <c r="AH3494">
        <v>8.3411834760615093</v>
      </c>
      <c r="AI3494">
        <v>97.348142769364799</v>
      </c>
      <c r="AJ3494">
        <v>75.359223851148897</v>
      </c>
      <c r="AK3494">
        <v>8.6925038041248204</v>
      </c>
      <c r="AL3494">
        <v>66.568713501449295</v>
      </c>
      <c r="AM3494">
        <v>78.972564848565</v>
      </c>
      <c r="AN3494">
        <v>1.0000000665747399</v>
      </c>
    </row>
    <row r="3495" spans="1:40" x14ac:dyDescent="0.25">
      <c r="A3495" t="str">
        <f>"20190304164712970"</f>
        <v>20190304164712970</v>
      </c>
      <c r="B3495" t="str">
        <f>"1551689232962838"</f>
        <v>1551689232962838</v>
      </c>
      <c r="C3495" t="s">
        <v>40</v>
      </c>
      <c r="D3495">
        <v>4.5436019999999999</v>
      </c>
      <c r="E3495">
        <v>0.53635310000000003</v>
      </c>
      <c r="F3495" t="s">
        <v>42</v>
      </c>
      <c r="G3495">
        <v>-193.43879999999999</v>
      </c>
      <c r="H3495" s="1">
        <v>-2.7766670000000002E-6</v>
      </c>
      <c r="I3495">
        <v>163.53</v>
      </c>
      <c r="J3495">
        <v>-189.99549999999999</v>
      </c>
      <c r="K3495">
        <v>1.111748</v>
      </c>
      <c r="L3495">
        <v>171.6027</v>
      </c>
      <c r="M3495">
        <v>-0.15085609999999999</v>
      </c>
      <c r="N3495">
        <v>-1.3509999999999999E-2</v>
      </c>
      <c r="O3495">
        <v>-0.98846350000000005</v>
      </c>
      <c r="P3495">
        <v>-0.30818250000000003</v>
      </c>
      <c r="Q3495">
        <v>0.38510179999999999</v>
      </c>
      <c r="R3495">
        <v>-0.86989709999999998</v>
      </c>
      <c r="S3495">
        <v>-1.3311459999999999</v>
      </c>
      <c r="T3495">
        <v>-0.42639110000000002</v>
      </c>
      <c r="U3495">
        <v>-3.1657259999999998</v>
      </c>
      <c r="V3495">
        <v>0.1731154</v>
      </c>
      <c r="W3495">
        <v>0.39744239999999997</v>
      </c>
      <c r="X3495">
        <v>0.9011496</v>
      </c>
      <c r="Y3495">
        <v>0.24147379999999999</v>
      </c>
      <c r="Z3495">
        <v>0.11108510000000001</v>
      </c>
      <c r="AA3495">
        <v>0.96402829999999995</v>
      </c>
      <c r="AB3495">
        <v>20</v>
      </c>
      <c r="AC3495">
        <v>-3.44329999999999</v>
      </c>
      <c r="AD3495">
        <v>-1.1117507766670001</v>
      </c>
      <c r="AE3495">
        <v>-8.0726999999999904</v>
      </c>
      <c r="AF3495">
        <v>2.1514363017733502</v>
      </c>
      <c r="AG3495">
        <v>-1.1117507766670001</v>
      </c>
      <c r="AH3495">
        <v>8.3655480947086591</v>
      </c>
      <c r="AI3495">
        <v>97.334108531206297</v>
      </c>
      <c r="AJ3495">
        <v>75.577329407668302</v>
      </c>
      <c r="AK3495">
        <v>8.7090219241250999</v>
      </c>
      <c r="AL3495">
        <v>66.581612445517706</v>
      </c>
      <c r="AM3495">
        <v>79.125669167411502</v>
      </c>
      <c r="AN3495">
        <v>1.0000000023075399</v>
      </c>
    </row>
    <row r="3496" spans="1:40" x14ac:dyDescent="0.25">
      <c r="A3496" t="str">
        <f>"20190304164712993"</f>
        <v>20190304164712993</v>
      </c>
      <c r="B3496" t="str">
        <f>"1551689232982362"</f>
        <v>1551689232982362</v>
      </c>
      <c r="C3496" t="s">
        <v>40</v>
      </c>
      <c r="D3496">
        <v>4.7463139999999999</v>
      </c>
      <c r="E3496">
        <v>0.53625590000000001</v>
      </c>
      <c r="F3496" t="s">
        <v>42</v>
      </c>
      <c r="G3496">
        <v>-193.41909999999999</v>
      </c>
      <c r="H3496" s="1">
        <v>-2.7058509999999999E-6</v>
      </c>
      <c r="I3496">
        <v>163.3913</v>
      </c>
      <c r="J3496">
        <v>-190.0249</v>
      </c>
      <c r="K3496">
        <v>1.1117539999999999</v>
      </c>
      <c r="L3496">
        <v>171.40799999999999</v>
      </c>
      <c r="M3496">
        <v>-0.150580399999999</v>
      </c>
      <c r="N3496">
        <v>-1.350522E-2</v>
      </c>
      <c r="O3496">
        <v>-0.98850570000000004</v>
      </c>
      <c r="P3496">
        <v>-0.3062512</v>
      </c>
      <c r="Q3496">
        <v>0.38478040000000002</v>
      </c>
      <c r="R3496">
        <v>-0.87072090000000002</v>
      </c>
      <c r="S3496">
        <v>-1.321823</v>
      </c>
      <c r="T3496">
        <v>-0.42924119999999999</v>
      </c>
      <c r="U3496">
        <v>-3.1703950000000001</v>
      </c>
      <c r="V3496">
        <v>0.1713208</v>
      </c>
      <c r="W3496">
        <v>0.39712819999999999</v>
      </c>
      <c r="X3496">
        <v>0.90163090000000001</v>
      </c>
      <c r="Y3496">
        <v>0.238791</v>
      </c>
      <c r="Z3496">
        <v>0.11185349999999999</v>
      </c>
      <c r="AA3496">
        <v>0.96460749999999995</v>
      </c>
      <c r="AB3496">
        <v>20</v>
      </c>
      <c r="AC3496">
        <v>-3.3941999999999801</v>
      </c>
      <c r="AD3496">
        <v>-1.1117567058510001</v>
      </c>
      <c r="AE3496">
        <v>-8.0166999999999806</v>
      </c>
      <c r="AF3496">
        <v>2.11375119816157</v>
      </c>
      <c r="AG3496">
        <v>-1.1117567058510001</v>
      </c>
      <c r="AH3496">
        <v>8.3010424938216794</v>
      </c>
      <c r="AI3496">
        <v>97.394974019308606</v>
      </c>
      <c r="AJ3496">
        <v>75.713987186806193</v>
      </c>
      <c r="AK3496">
        <v>8.6377805937038801</v>
      </c>
      <c r="AL3496">
        <v>66.601228093088906</v>
      </c>
      <c r="AM3496">
        <v>79.241362607886003</v>
      </c>
      <c r="AN3496">
        <v>0.99999995179134304</v>
      </c>
    </row>
    <row r="3497" spans="1:40" x14ac:dyDescent="0.25">
      <c r="A3497" t="str">
        <f>"20190304164713013"</f>
        <v>20190304164713013</v>
      </c>
      <c r="B3497" t="str">
        <f>"1551689233001878"</f>
        <v>1551689233001878</v>
      </c>
      <c r="C3497" t="s">
        <v>40</v>
      </c>
      <c r="D3497">
        <v>4.5478009999999998</v>
      </c>
      <c r="E3497">
        <v>0.53621549999999996</v>
      </c>
      <c r="F3497" t="s">
        <v>41</v>
      </c>
      <c r="G3497">
        <v>-190.31610000000001</v>
      </c>
      <c r="H3497">
        <v>1.015911</v>
      </c>
      <c r="I3497">
        <v>170.70599999999999</v>
      </c>
      <c r="J3497">
        <v>-190.05240000000001</v>
      </c>
      <c r="K3497">
        <v>1.1117699999999999</v>
      </c>
      <c r="L3497">
        <v>171.22470000000001</v>
      </c>
      <c r="M3497">
        <v>-0.15025520000000001</v>
      </c>
      <c r="N3497">
        <v>-1.350118E-2</v>
      </c>
      <c r="O3497">
        <v>-0.98855499999999996</v>
      </c>
      <c r="P3497">
        <v>-0.30350919999999998</v>
      </c>
      <c r="Q3497">
        <v>0.3838454</v>
      </c>
      <c r="R3497">
        <v>-0.87209219999999898</v>
      </c>
      <c r="S3497">
        <v>-1.316238</v>
      </c>
      <c r="T3497">
        <v>-0.43338870000000002</v>
      </c>
      <c r="U3497">
        <v>-3.1740110000000001</v>
      </c>
      <c r="V3497">
        <v>0.1686761</v>
      </c>
      <c r="W3497">
        <v>0.39621119999999999</v>
      </c>
      <c r="X3497">
        <v>0.90253260000000002</v>
      </c>
      <c r="Y3497">
        <v>0.2372224</v>
      </c>
      <c r="Z3497">
        <v>0.1129869</v>
      </c>
      <c r="AA3497">
        <v>0.96486240000000001</v>
      </c>
      <c r="AB3497">
        <v>20</v>
      </c>
      <c r="AC3497">
        <v>-0.26369999999999999</v>
      </c>
      <c r="AD3497">
        <v>-9.5859000000000097E-2</v>
      </c>
      <c r="AE3497">
        <v>-0.51870000000002303</v>
      </c>
      <c r="AF3497">
        <v>0.177932330014966</v>
      </c>
      <c r="AG3497">
        <v>-9.5859000000000097E-2</v>
      </c>
      <c r="AH3497">
        <v>0.53783968470604604</v>
      </c>
      <c r="AI3497">
        <v>99.604063264359496</v>
      </c>
      <c r="AJ3497">
        <v>71.694347986807202</v>
      </c>
      <c r="AK3497">
        <v>0.57456103974273698</v>
      </c>
      <c r="AL3497">
        <v>66.658465506210703</v>
      </c>
      <c r="AM3497">
        <v>79.414002547809503</v>
      </c>
      <c r="AN3497">
        <v>1.0000000178896999</v>
      </c>
    </row>
    <row r="3498" spans="1:40" x14ac:dyDescent="0.25">
      <c r="A3498" t="str">
        <f>"20190304164713037"</f>
        <v>20190304164713037</v>
      </c>
      <c r="B3498" t="str">
        <f>"1551689233032134"</f>
        <v>1551689233032134</v>
      </c>
      <c r="C3498" t="s">
        <v>40</v>
      </c>
      <c r="D3498">
        <v>4.5366629999999999</v>
      </c>
      <c r="E3498">
        <v>0.53623599999999905</v>
      </c>
      <c r="F3498" t="s">
        <v>41</v>
      </c>
      <c r="G3498">
        <v>-190.3389</v>
      </c>
      <c r="H3498">
        <v>1.016445</v>
      </c>
      <c r="I3498">
        <v>170.53149999999999</v>
      </c>
      <c r="J3498">
        <v>-190.08250000000001</v>
      </c>
      <c r="K3498">
        <v>1.1118079999999999</v>
      </c>
      <c r="L3498">
        <v>171.0231</v>
      </c>
      <c r="M3498">
        <v>-0.14978229999999901</v>
      </c>
      <c r="N3498">
        <v>-1.34976E-2</v>
      </c>
      <c r="O3498">
        <v>-0.98862680000000003</v>
      </c>
      <c r="P3498">
        <v>-0.30097469999999998</v>
      </c>
      <c r="Q3498">
        <v>0.38247199999999998</v>
      </c>
      <c r="R3498">
        <v>-0.87357299999999904</v>
      </c>
      <c r="S3498">
        <v>-1.3116460000000001</v>
      </c>
      <c r="T3498">
        <v>-0.43676500000000001</v>
      </c>
      <c r="U3498">
        <v>-3.1757659999999999</v>
      </c>
      <c r="V3498">
        <v>0.16633529999999999</v>
      </c>
      <c r="W3498">
        <v>0.39486660000000001</v>
      </c>
      <c r="X3498">
        <v>0.90355569999999996</v>
      </c>
      <c r="Y3498">
        <v>0.23626359999999999</v>
      </c>
      <c r="Z3498">
        <v>0.1139527</v>
      </c>
      <c r="AA3498">
        <v>0.96498410000000001</v>
      </c>
      <c r="AB3498">
        <v>20</v>
      </c>
      <c r="AC3498">
        <v>-0.25639999999998497</v>
      </c>
      <c r="AD3498">
        <v>-9.5362999999999795E-2</v>
      </c>
      <c r="AE3498">
        <v>-0.49160000000000498</v>
      </c>
      <c r="AF3498">
        <v>0.17469923251032701</v>
      </c>
      <c r="AG3498">
        <v>-9.5362999999999795E-2</v>
      </c>
      <c r="AH3498">
        <v>0.50939168088652698</v>
      </c>
      <c r="AI3498">
        <v>100.042101502639</v>
      </c>
      <c r="AJ3498">
        <v>71.070257313889101</v>
      </c>
      <c r="AK3498">
        <v>0.546894695681992</v>
      </c>
      <c r="AL3498">
        <v>66.742345085333596</v>
      </c>
      <c r="AM3498">
        <v>79.569220286377501</v>
      </c>
      <c r="AN3498">
        <v>0.99999998341206897</v>
      </c>
    </row>
    <row r="3499" spans="1:40" x14ac:dyDescent="0.25">
      <c r="A3499" t="str">
        <f>"20190304164713059"</f>
        <v>20190304164713059</v>
      </c>
      <c r="B3499" t="str">
        <f>"1551689233052630"</f>
        <v>1551689233052630</v>
      </c>
      <c r="C3499" t="s">
        <v>40</v>
      </c>
      <c r="D3499">
        <v>4.7032400000000001</v>
      </c>
      <c r="E3499">
        <v>0.53629110000000002</v>
      </c>
      <c r="F3499" t="s">
        <v>42</v>
      </c>
      <c r="G3499">
        <v>-193.36529999999999</v>
      </c>
      <c r="H3499" s="1">
        <v>-2.5253720000000001E-6</v>
      </c>
      <c r="I3499">
        <v>163.03970000000001</v>
      </c>
      <c r="J3499">
        <v>-190.11150000000001</v>
      </c>
      <c r="K3499">
        <v>1.1118709999999901</v>
      </c>
      <c r="L3499">
        <v>170.82660000000001</v>
      </c>
      <c r="M3499">
        <v>-0.1491856</v>
      </c>
      <c r="N3499">
        <v>-1.349473E-2</v>
      </c>
      <c r="O3499">
        <v>-0.98871739999999997</v>
      </c>
      <c r="P3499">
        <v>-0.29998789999999997</v>
      </c>
      <c r="Q3499">
        <v>0.38122539999999999</v>
      </c>
      <c r="R3499">
        <v>-0.87445699999999904</v>
      </c>
      <c r="S3499">
        <v>-1.306702</v>
      </c>
      <c r="T3499">
        <v>-0.44254670000000002</v>
      </c>
      <c r="U3499">
        <v>-3.1777039999999999</v>
      </c>
      <c r="V3499">
        <v>0.16571520000000001</v>
      </c>
      <c r="W3499">
        <v>0.39365149999999999</v>
      </c>
      <c r="X3499">
        <v>0.90419959999999999</v>
      </c>
      <c r="Y3499">
        <v>0.23528389999999999</v>
      </c>
      <c r="Z3499">
        <v>0.11560479999999999</v>
      </c>
      <c r="AA3499">
        <v>0.96502699999999997</v>
      </c>
      <c r="AB3499">
        <v>20</v>
      </c>
      <c r="AC3499">
        <v>-3.25379999999998</v>
      </c>
      <c r="AD3499">
        <v>-1.11187352537199</v>
      </c>
      <c r="AE3499">
        <v>-7.7869000000000002</v>
      </c>
      <c r="AF3499">
        <v>2.0205106703292901</v>
      </c>
      <c r="AG3499">
        <v>-1.11187352537199</v>
      </c>
      <c r="AH3499">
        <v>8.0455549688523291</v>
      </c>
      <c r="AI3499">
        <v>97.634150558208006</v>
      </c>
      <c r="AJ3499">
        <v>75.902633016439495</v>
      </c>
      <c r="AK3499">
        <v>8.3695687381227692</v>
      </c>
      <c r="AL3499">
        <v>66.818101280793599</v>
      </c>
      <c r="AM3499">
        <v>79.614497279447406</v>
      </c>
      <c r="AN3499">
        <v>0.99999997380172401</v>
      </c>
    </row>
    <row r="3500" spans="1:40" x14ac:dyDescent="0.25">
      <c r="A3500" t="str">
        <f>"20190304164713080"</f>
        <v>20190304164713080</v>
      </c>
      <c r="B3500" t="str">
        <f>"1551689233072150"</f>
        <v>1551689233072150</v>
      </c>
      <c r="C3500" t="s">
        <v>40</v>
      </c>
      <c r="D3500">
        <v>4.5113699999999897</v>
      </c>
      <c r="E3500">
        <v>0.53639440000000005</v>
      </c>
      <c r="F3500" t="s">
        <v>42</v>
      </c>
      <c r="G3500">
        <v>-193.3365</v>
      </c>
      <c r="H3500" s="1">
        <v>-2.4822550000000002E-6</v>
      </c>
      <c r="I3500">
        <v>162.9648</v>
      </c>
      <c r="J3500">
        <v>-190.13910000000001</v>
      </c>
      <c r="K3500">
        <v>1.1119209999999999</v>
      </c>
      <c r="L3500">
        <v>170.63800000000001</v>
      </c>
      <c r="M3500">
        <v>-0.1484934</v>
      </c>
      <c r="N3500">
        <v>-1.349264E-2</v>
      </c>
      <c r="O3500">
        <v>-0.98882159999999997</v>
      </c>
      <c r="P3500">
        <v>-0.29807230000000001</v>
      </c>
      <c r="Q3500">
        <v>0.38025700000000001</v>
      </c>
      <c r="R3500">
        <v>-0.87553320000000001</v>
      </c>
      <c r="S3500">
        <v>-1.3041529999999999</v>
      </c>
      <c r="T3500">
        <v>-0.44963940000000002</v>
      </c>
      <c r="U3500">
        <v>-3.1793209999999998</v>
      </c>
      <c r="V3500">
        <v>0.16424059999999999</v>
      </c>
      <c r="W3500">
        <v>0.39271279999999997</v>
      </c>
      <c r="X3500">
        <v>0.90487660000000003</v>
      </c>
      <c r="Y3500">
        <v>0.23503640000000001</v>
      </c>
      <c r="Z3500">
        <v>0.1176152</v>
      </c>
      <c r="AA3500">
        <v>0.96484429999999999</v>
      </c>
      <c r="AB3500">
        <v>20</v>
      </c>
      <c r="AC3500">
        <v>-3.19739999999998</v>
      </c>
      <c r="AD3500">
        <v>-1.1119234822549999</v>
      </c>
      <c r="AE3500">
        <v>-7.6731999999999996</v>
      </c>
      <c r="AF3500">
        <v>1.98687274605658</v>
      </c>
      <c r="AG3500">
        <v>-1.1119234822549999</v>
      </c>
      <c r="AH3500">
        <v>7.9212227433519997</v>
      </c>
      <c r="AI3500">
        <v>97.753425892718695</v>
      </c>
      <c r="AJ3500">
        <v>75.9190585755142</v>
      </c>
      <c r="AK3500">
        <v>8.2419540698313494</v>
      </c>
      <c r="AL3500">
        <v>66.876596347187402</v>
      </c>
      <c r="AM3500">
        <v>79.712464649703406</v>
      </c>
      <c r="AN3500">
        <v>0.99999998959988001</v>
      </c>
    </row>
    <row r="3501" spans="1:40" x14ac:dyDescent="0.25">
      <c r="A3501" t="str">
        <f>"20190304164713102"</f>
        <v>20190304164713102</v>
      </c>
      <c r="B3501" t="str">
        <f>"1551689233092660"</f>
        <v>1551689233092660</v>
      </c>
      <c r="C3501" t="s">
        <v>40</v>
      </c>
      <c r="D3501">
        <v>4.5187080000000002</v>
      </c>
      <c r="E3501">
        <v>0.53649809999999998</v>
      </c>
      <c r="F3501" t="s">
        <v>41</v>
      </c>
      <c r="G3501">
        <v>-190.46209999999999</v>
      </c>
      <c r="H3501">
        <v>0.99856979999999995</v>
      </c>
      <c r="I3501">
        <v>169.84639999999999</v>
      </c>
      <c r="J3501">
        <v>-190.16640000000001</v>
      </c>
      <c r="K3501">
        <v>1.11198</v>
      </c>
      <c r="L3501">
        <v>170.4502</v>
      </c>
      <c r="M3501">
        <v>-0.14767559999999999</v>
      </c>
      <c r="N3501">
        <v>-1.349087E-2</v>
      </c>
      <c r="O3501">
        <v>-0.98894400000000005</v>
      </c>
      <c r="P3501">
        <v>-0.29674050000000002</v>
      </c>
      <c r="Q3501">
        <v>0.379355</v>
      </c>
      <c r="R3501">
        <v>-0.87637600000000004</v>
      </c>
      <c r="S3501">
        <v>-1.2978970000000001</v>
      </c>
      <c r="T3501">
        <v>-0.45580120000000002</v>
      </c>
      <c r="U3501">
        <v>-3.1825869999999998</v>
      </c>
      <c r="V3501">
        <v>0.16349939999999999</v>
      </c>
      <c r="W3501">
        <v>0.3918373</v>
      </c>
      <c r="X3501">
        <v>0.90539029999999998</v>
      </c>
      <c r="Y3501">
        <v>0.2337872</v>
      </c>
      <c r="Z3501">
        <v>0.119341</v>
      </c>
      <c r="AA3501">
        <v>0.96493589999999996</v>
      </c>
      <c r="AB3501">
        <v>20</v>
      </c>
      <c r="AC3501">
        <v>-0.29569999999998198</v>
      </c>
      <c r="AD3501">
        <v>-0.113410199999999</v>
      </c>
      <c r="AE3501">
        <v>-0.603800000000006</v>
      </c>
      <c r="AF3501">
        <v>0.19765837912824999</v>
      </c>
      <c r="AG3501">
        <v>-0.113410199999999</v>
      </c>
      <c r="AH3501">
        <v>0.62311962427384304</v>
      </c>
      <c r="AI3501">
        <v>99.841998063074598</v>
      </c>
      <c r="AJ3501">
        <v>72.400568850918404</v>
      </c>
      <c r="AK3501">
        <v>0.66348230907750905</v>
      </c>
      <c r="AL3501">
        <v>66.931131473673005</v>
      </c>
      <c r="AM3501">
        <v>79.763594555496596</v>
      </c>
      <c r="AN3501">
        <v>1.00000005940286</v>
      </c>
    </row>
    <row r="3502" spans="1:40" x14ac:dyDescent="0.25">
      <c r="A3502" t="str">
        <f>"20190304164713126"</f>
        <v>20190304164713126</v>
      </c>
      <c r="B3502" t="str">
        <f>"1551689233121926"</f>
        <v>1551689233121926</v>
      </c>
      <c r="C3502" t="s">
        <v>40</v>
      </c>
      <c r="D3502">
        <v>4.7531470000000002</v>
      </c>
      <c r="E3502">
        <v>0.53658680000000003</v>
      </c>
      <c r="F3502" t="s">
        <v>41</v>
      </c>
      <c r="G3502">
        <v>-190.48159999999999</v>
      </c>
      <c r="H3502">
        <v>0.99935280000000004</v>
      </c>
      <c r="I3502">
        <v>169.67320000000001</v>
      </c>
      <c r="J3502">
        <v>-190.196</v>
      </c>
      <c r="K3502">
        <v>1.1120399999999999</v>
      </c>
      <c r="L3502">
        <v>170.24350000000001</v>
      </c>
      <c r="M3502">
        <v>-0.1466228</v>
      </c>
      <c r="N3502">
        <v>-1.3489309999999999E-2</v>
      </c>
      <c r="O3502">
        <v>-0.98910070000000005</v>
      </c>
      <c r="P3502">
        <v>-0.29605619999999999</v>
      </c>
      <c r="Q3502">
        <v>0.37888840000000001</v>
      </c>
      <c r="R3502">
        <v>-0.87680949999999902</v>
      </c>
      <c r="S3502">
        <v>-1.29216</v>
      </c>
      <c r="T3502">
        <v>-0.46174660000000001</v>
      </c>
      <c r="U3502">
        <v>-3.1855319999999998</v>
      </c>
      <c r="V3502">
        <v>0.16367370000000001</v>
      </c>
      <c r="W3502">
        <v>0.3913951</v>
      </c>
      <c r="X3502">
        <v>0.90554999999999997</v>
      </c>
      <c r="Y3502">
        <v>0.23294000000000001</v>
      </c>
      <c r="Z3502">
        <v>0.1210107</v>
      </c>
      <c r="AA3502">
        <v>0.96493280000000003</v>
      </c>
      <c r="AB3502">
        <v>20</v>
      </c>
      <c r="AC3502">
        <v>-0.28559999999998797</v>
      </c>
      <c r="AD3502">
        <v>-0.112687199999999</v>
      </c>
      <c r="AE3502">
        <v>-0.57030000000000303</v>
      </c>
      <c r="AF3502">
        <v>0.19286599283636399</v>
      </c>
      <c r="AG3502">
        <v>-0.112687199999999</v>
      </c>
      <c r="AH3502">
        <v>0.58767069603786104</v>
      </c>
      <c r="AI3502">
        <v>100.325550764113</v>
      </c>
      <c r="AJ3502">
        <v>71.830826789453596</v>
      </c>
      <c r="AK3502">
        <v>0.62869113499254903</v>
      </c>
      <c r="AL3502">
        <v>66.958665598500701</v>
      </c>
      <c r="AM3502">
        <v>79.754681903998602</v>
      </c>
      <c r="AN3502">
        <v>1.00000000343784</v>
      </c>
    </row>
    <row r="3503" spans="1:40" x14ac:dyDescent="0.25">
      <c r="A3503" t="str">
        <f>"20190304164713150"</f>
        <v>20190304164713150</v>
      </c>
      <c r="B3503" t="str">
        <f>"1551689233142422"</f>
        <v>1551689233142422</v>
      </c>
      <c r="C3503" t="s">
        <v>40</v>
      </c>
      <c r="D3503">
        <v>4.5263169999999997</v>
      </c>
      <c r="E3503">
        <v>0.53682129999999995</v>
      </c>
      <c r="F3503" t="s">
        <v>41</v>
      </c>
      <c r="G3503">
        <v>-190.49780000000001</v>
      </c>
      <c r="H3503">
        <v>1.0035810000000001</v>
      </c>
      <c r="I3503">
        <v>169.49799999999999</v>
      </c>
      <c r="J3503">
        <v>-190.2242</v>
      </c>
      <c r="K3503">
        <v>1.1121000000000001</v>
      </c>
      <c r="L3503">
        <v>170.04480000000001</v>
      </c>
      <c r="M3503">
        <v>-0.14548059999999999</v>
      </c>
      <c r="N3503">
        <v>-1.3488119999999999E-2</v>
      </c>
      <c r="O3503">
        <v>-0.98926939999999997</v>
      </c>
      <c r="P3503">
        <v>-0.29641479999999998</v>
      </c>
      <c r="Q3503">
        <v>0.3796139</v>
      </c>
      <c r="R3503">
        <v>-0.87637419999999999</v>
      </c>
      <c r="S3503">
        <v>-1.289291</v>
      </c>
      <c r="T3503">
        <v>-0.46369929999999898</v>
      </c>
      <c r="U3503">
        <v>-3.1865230000000002</v>
      </c>
      <c r="V3503">
        <v>0.1650935</v>
      </c>
      <c r="W3503">
        <v>0.39213429999999999</v>
      </c>
      <c r="X3503">
        <v>0.90497229999999995</v>
      </c>
      <c r="Y3503">
        <v>0.23318439999999999</v>
      </c>
      <c r="Z3503">
        <v>0.1215786</v>
      </c>
      <c r="AA3503">
        <v>0.96480239999999995</v>
      </c>
      <c r="AB3503">
        <v>20</v>
      </c>
      <c r="AC3503">
        <v>-0.273600000000016</v>
      </c>
      <c r="AD3503">
        <v>-0.108519</v>
      </c>
      <c r="AE3503">
        <v>-0.54680000000001805</v>
      </c>
      <c r="AF3503">
        <v>0.18529574844101199</v>
      </c>
      <c r="AG3503">
        <v>-0.108519</v>
      </c>
      <c r="AH3503">
        <v>0.56305226691822297</v>
      </c>
      <c r="AI3503">
        <v>100.374516418881</v>
      </c>
      <c r="AJ3503">
        <v>71.784060987858993</v>
      </c>
      <c r="AK3503">
        <v>0.60260994269350099</v>
      </c>
      <c r="AL3503">
        <v>66.912633322754601</v>
      </c>
      <c r="AM3503">
        <v>79.661260897156694</v>
      </c>
      <c r="AN3503">
        <v>1.00000001837301</v>
      </c>
    </row>
    <row r="3504" spans="1:40" x14ac:dyDescent="0.25">
      <c r="A3504" t="str">
        <f>"20190304164713171"</f>
        <v>20190304164713171</v>
      </c>
      <c r="B3504" t="str">
        <f>"1551689233161941"</f>
        <v>1551689233161941</v>
      </c>
      <c r="C3504" t="s">
        <v>40</v>
      </c>
      <c r="D3504">
        <v>4.4729650000000003</v>
      </c>
      <c r="E3504">
        <v>0.53699560000000002</v>
      </c>
      <c r="F3504" t="s">
        <v>41</v>
      </c>
      <c r="G3504">
        <v>-190.51650000000001</v>
      </c>
      <c r="H3504">
        <v>1.00725</v>
      </c>
      <c r="I3504">
        <v>169.32310000000001</v>
      </c>
      <c r="J3504">
        <v>-190.25040000000001</v>
      </c>
      <c r="K3504">
        <v>1.112139</v>
      </c>
      <c r="L3504">
        <v>169.8578</v>
      </c>
      <c r="M3504">
        <v>-0.14432439999999999</v>
      </c>
      <c r="N3504">
        <v>-1.348713E-2</v>
      </c>
      <c r="O3504">
        <v>-0.98943859999999995</v>
      </c>
      <c r="P3504">
        <v>-0.297510099999999</v>
      </c>
      <c r="Q3504">
        <v>0.38017709999999999</v>
      </c>
      <c r="R3504">
        <v>-0.87575890000000001</v>
      </c>
      <c r="S3504">
        <v>-1.2909090000000001</v>
      </c>
      <c r="T3504">
        <v>-0.46296880000000001</v>
      </c>
      <c r="U3504">
        <v>-3.187103</v>
      </c>
      <c r="V3504">
        <v>0.16729240000000001</v>
      </c>
      <c r="W3504">
        <v>0.39270719999999998</v>
      </c>
      <c r="X3504">
        <v>0.90431980000000001</v>
      </c>
      <c r="Y3504">
        <v>0.2346897</v>
      </c>
      <c r="Z3504">
        <v>0.1213436</v>
      </c>
      <c r="AA3504">
        <v>0.96446690000000002</v>
      </c>
      <c r="AB3504">
        <v>20</v>
      </c>
      <c r="AC3504">
        <v>-0.26609999999999401</v>
      </c>
      <c r="AD3504">
        <v>-0.104889</v>
      </c>
      <c r="AE3504">
        <v>-0.53469999999998596</v>
      </c>
      <c r="AF3504">
        <v>0.18056723847393799</v>
      </c>
      <c r="AG3504">
        <v>-0.104889</v>
      </c>
      <c r="AH3504">
        <v>0.55052974731301996</v>
      </c>
      <c r="AI3504">
        <v>100.26139865136599</v>
      </c>
      <c r="AJ3504">
        <v>71.8411220584739</v>
      </c>
      <c r="AK3504">
        <v>0.58880322061588697</v>
      </c>
      <c r="AL3504">
        <v>66.876945397319702</v>
      </c>
      <c r="AM3504">
        <v>79.519196165977405</v>
      </c>
      <c r="AN3504">
        <v>0.99999999635082004</v>
      </c>
    </row>
    <row r="3505" spans="1:40" x14ac:dyDescent="0.25">
      <c r="A3505" t="str">
        <f>"20190304164713193"</f>
        <v>20190304164713193</v>
      </c>
      <c r="B3505" t="str">
        <f>"1551689233182441"</f>
        <v>1551689233182441</v>
      </c>
      <c r="C3505" t="s">
        <v>40</v>
      </c>
      <c r="D3505">
        <v>4.5058749999999996</v>
      </c>
      <c r="E3505">
        <v>0.53712599999999999</v>
      </c>
      <c r="F3505" t="s">
        <v>41</v>
      </c>
      <c r="G3505">
        <v>-190.53819999999999</v>
      </c>
      <c r="H3505">
        <v>1.009223</v>
      </c>
      <c r="I3505">
        <v>169.1491</v>
      </c>
      <c r="J3505">
        <v>-190.27600000000001</v>
      </c>
      <c r="K3505">
        <v>1.112163</v>
      </c>
      <c r="L3505">
        <v>169.67269999999999</v>
      </c>
      <c r="M3505">
        <v>-0.14313419999999999</v>
      </c>
      <c r="N3505">
        <v>-1.3485840000000001E-2</v>
      </c>
      <c r="O3505">
        <v>-0.98961140000000003</v>
      </c>
      <c r="P3505">
        <v>-0.29849360000000003</v>
      </c>
      <c r="Q3505">
        <v>0.3803763</v>
      </c>
      <c r="R3505">
        <v>-0.87533739999999904</v>
      </c>
      <c r="S3505">
        <v>-1.29393</v>
      </c>
      <c r="T3505">
        <v>-0.46291320000000002</v>
      </c>
      <c r="U3505">
        <v>-3.186966</v>
      </c>
      <c r="V3505">
        <v>0.16939969999999999</v>
      </c>
      <c r="W3505">
        <v>0.39291150000000002</v>
      </c>
      <c r="X3505">
        <v>0.90383860000000005</v>
      </c>
      <c r="Y3505">
        <v>0.2366576</v>
      </c>
      <c r="Z3505">
        <v>0.12131160000000001</v>
      </c>
      <c r="AA3505">
        <v>0.96399000000000001</v>
      </c>
      <c r="AB3505">
        <v>20</v>
      </c>
      <c r="AC3505">
        <v>-0.26220000000000698</v>
      </c>
      <c r="AD3505">
        <v>-0.10294</v>
      </c>
      <c r="AE3505">
        <v>-0.52359999999998696</v>
      </c>
      <c r="AF3505">
        <v>0.17901579131242901</v>
      </c>
      <c r="AG3505">
        <v>-0.10294</v>
      </c>
      <c r="AH3505">
        <v>0.53908188365985099</v>
      </c>
      <c r="AI3505">
        <v>100.271856514859</v>
      </c>
      <c r="AJ3505">
        <v>71.629946391042495</v>
      </c>
      <c r="AK3505">
        <v>0.57728032569062004</v>
      </c>
      <c r="AL3505">
        <v>66.864215849637404</v>
      </c>
      <c r="AM3505">
        <v>79.384633788267095</v>
      </c>
      <c r="AN3505">
        <v>0.99999996002114899</v>
      </c>
    </row>
    <row r="3506" spans="1:40" x14ac:dyDescent="0.25">
      <c r="A3506" t="str">
        <f>"20190304164713214"</f>
        <v>20190304164713214</v>
      </c>
      <c r="B3506" t="str">
        <f>"1551689233212694"</f>
        <v>1551689233212694</v>
      </c>
      <c r="C3506" t="s">
        <v>40</v>
      </c>
      <c r="D3506">
        <v>4.610392</v>
      </c>
      <c r="E3506">
        <v>0.53733569999999997</v>
      </c>
      <c r="F3506" t="s">
        <v>41</v>
      </c>
      <c r="G3506">
        <v>-190.55969999999999</v>
      </c>
      <c r="H3506">
        <v>1.0106999999999999</v>
      </c>
      <c r="I3506">
        <v>168.97569999999999</v>
      </c>
      <c r="J3506">
        <v>-190.3015</v>
      </c>
      <c r="K3506">
        <v>1.1121650000000001</v>
      </c>
      <c r="L3506">
        <v>169.48679999999999</v>
      </c>
      <c r="M3506">
        <v>-0.1419184</v>
      </c>
      <c r="N3506">
        <v>-1.3484060000000001E-2</v>
      </c>
      <c r="O3506">
        <v>-0.98978670000000002</v>
      </c>
      <c r="P3506">
        <v>-0.29972559999999998</v>
      </c>
      <c r="Q3506">
        <v>0.38010290000000002</v>
      </c>
      <c r="R3506">
        <v>-0.87503519999999901</v>
      </c>
      <c r="S3506">
        <v>-1.2965549999999999</v>
      </c>
      <c r="T3506">
        <v>-0.46396169999999998</v>
      </c>
      <c r="U3506">
        <v>-3.1867220000000001</v>
      </c>
      <c r="V3506">
        <v>0.17177770000000001</v>
      </c>
      <c r="W3506">
        <v>0.39263700000000001</v>
      </c>
      <c r="X3506">
        <v>0.90350909999999995</v>
      </c>
      <c r="Y3506">
        <v>0.2385417</v>
      </c>
      <c r="Z3506">
        <v>0.1216034</v>
      </c>
      <c r="AA3506">
        <v>0.96348869999999998</v>
      </c>
      <c r="AB3506">
        <v>20</v>
      </c>
      <c r="AC3506">
        <v>-0.25819999999998799</v>
      </c>
      <c r="AD3506">
        <v>-0.101465</v>
      </c>
      <c r="AE3506">
        <v>-0.511099999999999</v>
      </c>
      <c r="AF3506">
        <v>0.17747272839446501</v>
      </c>
      <c r="AG3506">
        <v>-0.101465</v>
      </c>
      <c r="AH3506">
        <v>0.52605538782032002</v>
      </c>
      <c r="AI3506">
        <v>100.35700473764599</v>
      </c>
      <c r="AJ3506">
        <v>71.357400366681006</v>
      </c>
      <c r="AK3506">
        <v>0.56438106506469798</v>
      </c>
      <c r="AL3506">
        <v>66.881319980807504</v>
      </c>
      <c r="AM3506">
        <v>79.235241060705107</v>
      </c>
      <c r="AN3506">
        <v>1.0000000428845399</v>
      </c>
    </row>
    <row r="3507" spans="1:40" x14ac:dyDescent="0.25">
      <c r="A3507" t="str">
        <f>"20190304164713238"</f>
        <v>20190304164713238</v>
      </c>
      <c r="B3507" t="str">
        <f>"1551689233232214"</f>
        <v>1551689233232214</v>
      </c>
      <c r="C3507" t="s">
        <v>40</v>
      </c>
      <c r="D3507">
        <v>4.6061750000000004</v>
      </c>
      <c r="E3507">
        <v>0.53749820000000004</v>
      </c>
      <c r="F3507" t="s">
        <v>42</v>
      </c>
      <c r="G3507">
        <v>-193.39070000000001</v>
      </c>
      <c r="H3507" s="1">
        <v>-2.0000419999999998E-6</v>
      </c>
      <c r="I3507">
        <v>161.91409999999999</v>
      </c>
      <c r="J3507">
        <v>-190.3287</v>
      </c>
      <c r="K3507">
        <v>1.112141</v>
      </c>
      <c r="L3507">
        <v>169.28579999999999</v>
      </c>
      <c r="M3507">
        <v>-0.14060320000000001</v>
      </c>
      <c r="N3507">
        <v>-1.3481899999999899E-2</v>
      </c>
      <c r="O3507">
        <v>-0.98997420000000003</v>
      </c>
      <c r="P3507">
        <v>-0.30030190000000001</v>
      </c>
      <c r="Q3507">
        <v>0.37947700000000001</v>
      </c>
      <c r="R3507">
        <v>-0.87510919999999903</v>
      </c>
      <c r="S3507">
        <v>-1.2998959999999999</v>
      </c>
      <c r="T3507">
        <v>-0.46798519999999999</v>
      </c>
      <c r="U3507">
        <v>-3.1864780000000001</v>
      </c>
      <c r="V3507">
        <v>0.17356429999999901</v>
      </c>
      <c r="W3507">
        <v>0.3920032</v>
      </c>
      <c r="X3507">
        <v>0.90344279999999999</v>
      </c>
      <c r="Y3507">
        <v>0.24066670000000001</v>
      </c>
      <c r="Z3507">
        <v>0.1227361</v>
      </c>
      <c r="AA3507">
        <v>0.96281640000000002</v>
      </c>
      <c r="AB3507">
        <v>19</v>
      </c>
      <c r="AC3507">
        <v>-3.06200000000001</v>
      </c>
      <c r="AD3507">
        <v>-1.1121430000420001</v>
      </c>
      <c r="AE3507">
        <v>-7.3716999999999997</v>
      </c>
      <c r="AF3507">
        <v>1.9570091652573001</v>
      </c>
      <c r="AG3507">
        <v>-1.1121430000420001</v>
      </c>
      <c r="AH3507">
        <v>7.5818470140370797</v>
      </c>
      <c r="AI3507">
        <v>98.083647466992204</v>
      </c>
      <c r="AJ3507">
        <v>75.526847203137905</v>
      </c>
      <c r="AK3507">
        <v>7.9089285664814604</v>
      </c>
      <c r="AL3507">
        <v>66.920797699695498</v>
      </c>
      <c r="AM3507">
        <v>79.125157566387301</v>
      </c>
      <c r="AN3507">
        <v>0.99999998395828404</v>
      </c>
    </row>
    <row r="3508" spans="1:40" x14ac:dyDescent="0.25">
      <c r="A3508" t="str">
        <f>"20190304164713260"</f>
        <v>20190304164713260</v>
      </c>
      <c r="B3508" t="str">
        <f>"1551689233252709"</f>
        <v>1551689233252709</v>
      </c>
      <c r="C3508" t="s">
        <v>40</v>
      </c>
      <c r="D3508">
        <v>4.708507</v>
      </c>
      <c r="E3508">
        <v>0.53763729999999998</v>
      </c>
      <c r="F3508" t="s">
        <v>42</v>
      </c>
      <c r="G3508">
        <v>-193.3877</v>
      </c>
      <c r="H3508" s="1">
        <v>-1.9397050000000002E-6</v>
      </c>
      <c r="I3508">
        <v>161.78819999999999</v>
      </c>
      <c r="J3508">
        <v>-190.35480000000001</v>
      </c>
      <c r="K3508">
        <v>1.1121080000000001</v>
      </c>
      <c r="L3508">
        <v>169.0917</v>
      </c>
      <c r="M3508">
        <v>-0.139351799999999</v>
      </c>
      <c r="N3508">
        <v>-1.347979E-2</v>
      </c>
      <c r="O3508">
        <v>-0.99015129999999996</v>
      </c>
      <c r="P3508">
        <v>-0.30048829999999999</v>
      </c>
      <c r="Q3508">
        <v>0.37901380000000001</v>
      </c>
      <c r="R3508">
        <v>-0.87524619999999997</v>
      </c>
      <c r="S3508">
        <v>-1.300262</v>
      </c>
      <c r="T3508">
        <v>-0.47273029999999999</v>
      </c>
      <c r="U3508">
        <v>-3.186966</v>
      </c>
      <c r="V3508">
        <v>0.17490710000000001</v>
      </c>
      <c r="W3508">
        <v>0.39152720000000002</v>
      </c>
      <c r="X3508">
        <v>0.90339020000000003</v>
      </c>
      <c r="Y3508">
        <v>0.24186949999999999</v>
      </c>
      <c r="Z3508">
        <v>0.1240806</v>
      </c>
      <c r="AA3508">
        <v>0.96234260000000005</v>
      </c>
      <c r="AB3508">
        <v>19</v>
      </c>
      <c r="AC3508">
        <v>-3.0328999999999802</v>
      </c>
      <c r="AD3508">
        <v>-1.1121099397050001</v>
      </c>
      <c r="AE3508">
        <v>-7.3035000000000103</v>
      </c>
      <c r="AF3508">
        <v>1.94695109776332</v>
      </c>
      <c r="AG3508">
        <v>-1.1121099397050001</v>
      </c>
      <c r="AH3508">
        <v>7.5064563863779004</v>
      </c>
      <c r="AI3508">
        <v>98.1610608567442</v>
      </c>
      <c r="AJ3508">
        <v>75.459588959580103</v>
      </c>
      <c r="AK3508">
        <v>7.8341747858766899</v>
      </c>
      <c r="AL3508">
        <v>66.950439053528896</v>
      </c>
      <c r="AM3508">
        <v>79.042429351785202</v>
      </c>
      <c r="AN3508">
        <v>0.99999994771314304</v>
      </c>
    </row>
    <row r="3509" spans="1:40" x14ac:dyDescent="0.25">
      <c r="A3509" t="str">
        <f>"20190304164713281"</f>
        <v>20190304164713281</v>
      </c>
      <c r="B3509" t="str">
        <f>"1551689233272230"</f>
        <v>1551689233272230</v>
      </c>
      <c r="C3509" t="s">
        <v>40</v>
      </c>
      <c r="D3509">
        <v>4.5336470000000002</v>
      </c>
      <c r="E3509">
        <v>0.5378174</v>
      </c>
      <c r="F3509" t="s">
        <v>42</v>
      </c>
      <c r="G3509">
        <v>-193.38910000000001</v>
      </c>
      <c r="H3509" s="1">
        <v>-1.873011E-6</v>
      </c>
      <c r="I3509">
        <v>161.6463</v>
      </c>
      <c r="J3509">
        <v>-190.37970000000001</v>
      </c>
      <c r="K3509">
        <v>1.1120650000000001</v>
      </c>
      <c r="L3509">
        <v>168.90459999999999</v>
      </c>
      <c r="M3509">
        <v>-0.13818139999999901</v>
      </c>
      <c r="N3509">
        <v>-1.347756E-2</v>
      </c>
      <c r="O3509">
        <v>-0.99031530000000001</v>
      </c>
      <c r="P3509">
        <v>-0.29992940000000001</v>
      </c>
      <c r="Q3509">
        <v>0.37900279999999997</v>
      </c>
      <c r="R3509">
        <v>-0.87544239999999995</v>
      </c>
      <c r="S3509">
        <v>-1.2991330000000001</v>
      </c>
      <c r="T3509">
        <v>-0.47615150000000001</v>
      </c>
      <c r="U3509">
        <v>-3.1877589999999998</v>
      </c>
      <c r="V3509">
        <v>0.1754327</v>
      </c>
      <c r="W3509">
        <v>0.3914995</v>
      </c>
      <c r="X3509">
        <v>0.90330029999999994</v>
      </c>
      <c r="Y3509">
        <v>0.24259120000000001</v>
      </c>
      <c r="Z3509">
        <v>0.12505239999999901</v>
      </c>
      <c r="AA3509">
        <v>0.96203510000000003</v>
      </c>
      <c r="AB3509">
        <v>19</v>
      </c>
      <c r="AC3509">
        <v>-3.0093999999999901</v>
      </c>
      <c r="AD3509">
        <v>-1.1120668730109999</v>
      </c>
      <c r="AE3509">
        <v>-7.2582999999999904</v>
      </c>
      <c r="AF3509">
        <v>1.93863968087571</v>
      </c>
      <c r="AG3509">
        <v>-1.1120668730109999</v>
      </c>
      <c r="AH3509">
        <v>7.4552047393311902</v>
      </c>
      <c r="AI3509">
        <v>98.214770308086699</v>
      </c>
      <c r="AJ3509">
        <v>75.423721761381501</v>
      </c>
      <c r="AK3509">
        <v>7.7830003371232497</v>
      </c>
      <c r="AL3509">
        <v>66.952164164106904</v>
      </c>
      <c r="AM3509">
        <v>79.009235011351905</v>
      </c>
      <c r="AN3509">
        <v>0.99999996135481395</v>
      </c>
    </row>
    <row r="3510" spans="1:40" x14ac:dyDescent="0.25">
      <c r="A3510" t="str">
        <f>"20190304164713303"</f>
        <v>20190304164713303</v>
      </c>
      <c r="B3510" t="str">
        <f>"1551689233292726"</f>
        <v>1551689233292726</v>
      </c>
      <c r="C3510" t="s">
        <v>40</v>
      </c>
      <c r="D3510">
        <v>4.4027890000000003</v>
      </c>
      <c r="E3510">
        <v>0.53787189999999996</v>
      </c>
      <c r="F3510" t="s">
        <v>42</v>
      </c>
      <c r="G3510">
        <v>-193.40260000000001</v>
      </c>
      <c r="H3510" s="1">
        <v>-1.7975350000000001E-6</v>
      </c>
      <c r="I3510">
        <v>161.47899999999899</v>
      </c>
      <c r="J3510">
        <v>-190.404</v>
      </c>
      <c r="K3510">
        <v>1.1120219999999901</v>
      </c>
      <c r="L3510">
        <v>168.72059999999999</v>
      </c>
      <c r="M3510">
        <v>-0.13708190000000001</v>
      </c>
      <c r="N3510">
        <v>-1.34752E-2</v>
      </c>
      <c r="O3510">
        <v>-0.99046820000000002</v>
      </c>
      <c r="P3510">
        <v>-0.29939900000000003</v>
      </c>
      <c r="Q3510">
        <v>0.37874730000000001</v>
      </c>
      <c r="R3510">
        <v>-0.87573440000000002</v>
      </c>
      <c r="S3510">
        <v>-1.298157</v>
      </c>
      <c r="T3510">
        <v>-0.47756890000000002</v>
      </c>
      <c r="U3510">
        <v>-3.1888580000000002</v>
      </c>
      <c r="V3510">
        <v>0.17591309999999999</v>
      </c>
      <c r="W3510">
        <v>0.39122610000000002</v>
      </c>
      <c r="X3510">
        <v>0.9033253</v>
      </c>
      <c r="Y3510">
        <v>0.24327940000000001</v>
      </c>
      <c r="Z3510">
        <v>0.12543879999999999</v>
      </c>
      <c r="AA3510">
        <v>0.96181090000000002</v>
      </c>
      <c r="AB3510">
        <v>19</v>
      </c>
      <c r="AC3510">
        <v>-2.9985999999999802</v>
      </c>
      <c r="AD3510">
        <v>-1.11202379753499</v>
      </c>
      <c r="AE3510">
        <v>-7.2416</v>
      </c>
      <c r="AF3510">
        <v>1.9384843922081301</v>
      </c>
      <c r="AG3510">
        <v>-1.11202379753499</v>
      </c>
      <c r="AH3510">
        <v>7.4346605704606503</v>
      </c>
      <c r="AI3510">
        <v>98.2354623943653</v>
      </c>
      <c r="AJ3510">
        <v>75.386286066740794</v>
      </c>
      <c r="AK3510">
        <v>7.7632787186266201</v>
      </c>
      <c r="AL3510">
        <v>66.9691860524416</v>
      </c>
      <c r="AM3510">
        <v>78.980171551668107</v>
      </c>
      <c r="AN3510">
        <v>0.999999938846453</v>
      </c>
    </row>
    <row r="3511" spans="1:40" x14ac:dyDescent="0.25">
      <c r="A3511" t="str">
        <f>"20190304164713327"</f>
        <v>20190304164713327</v>
      </c>
      <c r="B3511" t="str">
        <f>"1551689233322006"</f>
        <v>1551689233322006</v>
      </c>
      <c r="C3511" t="s">
        <v>40</v>
      </c>
      <c r="D3511">
        <v>4.6183649999999998</v>
      </c>
      <c r="E3511">
        <v>0.5382053</v>
      </c>
      <c r="F3511" t="s">
        <v>41</v>
      </c>
      <c r="G3511">
        <v>-190.7201</v>
      </c>
      <c r="H3511">
        <v>0.99537419999999999</v>
      </c>
      <c r="I3511">
        <v>167.94380000000001</v>
      </c>
      <c r="J3511">
        <v>-190.4307</v>
      </c>
      <c r="K3511">
        <v>1.1119749999999999</v>
      </c>
      <c r="L3511">
        <v>168.51730000000001</v>
      </c>
      <c r="M3511">
        <v>-0.1359427</v>
      </c>
      <c r="N3511">
        <v>-1.3472319999999999E-2</v>
      </c>
      <c r="O3511">
        <v>-0.99062519999999998</v>
      </c>
      <c r="P3511">
        <v>-0.2991124</v>
      </c>
      <c r="Q3511">
        <v>0.37828679999999998</v>
      </c>
      <c r="R3511">
        <v>-0.87603159999999902</v>
      </c>
      <c r="S3511">
        <v>-1.2977289999999999</v>
      </c>
      <c r="T3511">
        <v>-0.47889080000000001</v>
      </c>
      <c r="U3511">
        <v>-3.189117</v>
      </c>
      <c r="V3511">
        <v>0.17668329999999999</v>
      </c>
      <c r="W3511">
        <v>0.39074249999999999</v>
      </c>
      <c r="X3511">
        <v>0.90338430000000003</v>
      </c>
      <c r="Y3511">
        <v>0.2442366</v>
      </c>
      <c r="Z3511">
        <v>0.12582360000000001</v>
      </c>
      <c r="AA3511">
        <v>0.96151799999999998</v>
      </c>
      <c r="AB3511">
        <v>19</v>
      </c>
      <c r="AC3511">
        <v>-0.28939999999999999</v>
      </c>
      <c r="AD3511">
        <v>-0.11660079999999901</v>
      </c>
      <c r="AE3511">
        <v>-0.57349999999999501</v>
      </c>
      <c r="AF3511">
        <v>0.20208462770334601</v>
      </c>
      <c r="AG3511">
        <v>-0.11660079999999901</v>
      </c>
      <c r="AH3511">
        <v>0.58814287747829397</v>
      </c>
      <c r="AI3511">
        <v>100.619295915557</v>
      </c>
      <c r="AJ3511">
        <v>71.037388908209493</v>
      </c>
      <c r="AK3511">
        <v>0.63272900015969502</v>
      </c>
      <c r="AL3511">
        <v>66.999290772110996</v>
      </c>
      <c r="AM3511">
        <v>78.933817013403996</v>
      </c>
      <c r="AN3511">
        <v>0.99999994164581296</v>
      </c>
    </row>
    <row r="3512" spans="1:40" x14ac:dyDescent="0.25">
      <c r="A3512" t="str">
        <f>"20190304164713351"</f>
        <v>20190304164713351</v>
      </c>
      <c r="B3512" t="str">
        <f>"1551689233342501"</f>
        <v>1551689233342501</v>
      </c>
      <c r="C3512" t="s">
        <v>40</v>
      </c>
      <c r="D3512">
        <v>4.5568720000000003</v>
      </c>
      <c r="E3512">
        <v>0.53845739999999997</v>
      </c>
      <c r="F3512" t="s">
        <v>41</v>
      </c>
      <c r="G3512">
        <v>-190.73230000000001</v>
      </c>
      <c r="H3512">
        <v>1.000861</v>
      </c>
      <c r="I3512">
        <v>167.77770000000001</v>
      </c>
      <c r="J3512">
        <v>-190.4572</v>
      </c>
      <c r="K3512">
        <v>1.1119110000000001</v>
      </c>
      <c r="L3512">
        <v>168.31450000000001</v>
      </c>
      <c r="M3512">
        <v>-0.13489760000000001</v>
      </c>
      <c r="N3512">
        <v>-1.346908E-2</v>
      </c>
      <c r="O3512">
        <v>-0.99076810000000004</v>
      </c>
      <c r="P3512">
        <v>-0.29943439999999999</v>
      </c>
      <c r="Q3512">
        <v>0.3783106</v>
      </c>
      <c r="R3512">
        <v>-0.875911199999999</v>
      </c>
      <c r="S3512">
        <v>-1.2993619999999999</v>
      </c>
      <c r="T3512">
        <v>-0.47898829999999998</v>
      </c>
      <c r="U3512">
        <v>-3.1876980000000001</v>
      </c>
      <c r="V3512">
        <v>0.17803820000000001</v>
      </c>
      <c r="W3512">
        <v>0.39073370000000002</v>
      </c>
      <c r="X3512">
        <v>0.90312210000000004</v>
      </c>
      <c r="Y3512">
        <v>0.2458255</v>
      </c>
      <c r="Z3512">
        <v>0.12589719999999999</v>
      </c>
      <c r="AA3512">
        <v>0.96110340000000005</v>
      </c>
      <c r="AB3512">
        <v>19</v>
      </c>
      <c r="AC3512">
        <v>-0.275100000000009</v>
      </c>
      <c r="AD3512">
        <v>-0.11105</v>
      </c>
      <c r="AE3512">
        <v>-0.53679999999999894</v>
      </c>
      <c r="AF3512">
        <v>0.19360325855344501</v>
      </c>
      <c r="AG3512">
        <v>-0.11105</v>
      </c>
      <c r="AH3512">
        <v>0.55035210800684198</v>
      </c>
      <c r="AI3512">
        <v>100.777084580359</v>
      </c>
      <c r="AJ3512">
        <v>70.619111194997899</v>
      </c>
      <c r="AK3512">
        <v>0.59388699851915205</v>
      </c>
      <c r="AL3512">
        <v>66.999839361317697</v>
      </c>
      <c r="AM3512">
        <v>78.847918193407196</v>
      </c>
      <c r="AN3512">
        <v>0.99999997624166903</v>
      </c>
    </row>
    <row r="3513" spans="1:40" x14ac:dyDescent="0.25">
      <c r="A3513" t="str">
        <f>"20190304164713371"</f>
        <v>20190304164713371</v>
      </c>
      <c r="B3513" t="str">
        <f>"1551689233362026"</f>
        <v>1551689233362026</v>
      </c>
      <c r="C3513" t="s">
        <v>40</v>
      </c>
      <c r="D3513">
        <v>4.601019</v>
      </c>
      <c r="E3513">
        <v>0.53872430000000004</v>
      </c>
      <c r="F3513" t="s">
        <v>41</v>
      </c>
      <c r="G3513">
        <v>-190.7475</v>
      </c>
      <c r="H3513">
        <v>1.005363</v>
      </c>
      <c r="I3513">
        <v>167.6046</v>
      </c>
      <c r="J3513">
        <v>-190.4803</v>
      </c>
      <c r="K3513">
        <v>1.1118399999999999</v>
      </c>
      <c r="L3513">
        <v>168.13669999999999</v>
      </c>
      <c r="M3513">
        <v>-0.13407439999999901</v>
      </c>
      <c r="N3513">
        <v>-1.346609E-2</v>
      </c>
      <c r="O3513">
        <v>-0.99087970000000003</v>
      </c>
      <c r="P3513">
        <v>-0.30024190000000001</v>
      </c>
      <c r="Q3513">
        <v>0.37868449999999998</v>
      </c>
      <c r="R3513">
        <v>-0.875472899999999</v>
      </c>
      <c r="S3513">
        <v>-1.302597</v>
      </c>
      <c r="T3513">
        <v>-0.47828389999999998</v>
      </c>
      <c r="U3513">
        <v>-3.1862949999999999</v>
      </c>
      <c r="V3513">
        <v>0.17971699999999999</v>
      </c>
      <c r="W3513">
        <v>0.39107029999999998</v>
      </c>
      <c r="X3513">
        <v>0.9026438</v>
      </c>
      <c r="Y3513">
        <v>0.2476218</v>
      </c>
      <c r="Z3513">
        <v>0.12571979999999999</v>
      </c>
      <c r="AA3513">
        <v>0.9606654</v>
      </c>
      <c r="AB3513">
        <v>19</v>
      </c>
      <c r="AC3513">
        <v>-0.26720000000000199</v>
      </c>
      <c r="AD3513">
        <v>-0.106476999999999</v>
      </c>
      <c r="AE3513">
        <v>-0.53209999999998503</v>
      </c>
      <c r="AF3513">
        <v>0.18744532942905401</v>
      </c>
      <c r="AG3513">
        <v>-0.106476999999999</v>
      </c>
      <c r="AH3513">
        <v>0.54567286124040504</v>
      </c>
      <c r="AI3513">
        <v>100.45601235309501</v>
      </c>
      <c r="AJ3513">
        <v>71.041774009664294</v>
      </c>
      <c r="AK3513">
        <v>0.58671285527765304</v>
      </c>
      <c r="AL3513">
        <v>66.978887116038507</v>
      </c>
      <c r="AM3513">
        <v>78.739621164023006</v>
      </c>
      <c r="AN3513">
        <v>1.0000000046547599</v>
      </c>
    </row>
    <row r="3514" spans="1:40" x14ac:dyDescent="0.25">
      <c r="A3514" t="str">
        <f>"20190304164713393"</f>
        <v>20190304164713393</v>
      </c>
      <c r="B3514" t="str">
        <f>"1551689233382521"</f>
        <v>1551689233382521</v>
      </c>
      <c r="C3514" t="s">
        <v>40</v>
      </c>
      <c r="D3514">
        <v>4.5886529999999999</v>
      </c>
      <c r="E3514">
        <v>0.53898829999999998</v>
      </c>
      <c r="F3514" t="s">
        <v>41</v>
      </c>
      <c r="G3514">
        <v>-190.76900000000001</v>
      </c>
      <c r="H3514">
        <v>1.0065</v>
      </c>
      <c r="I3514">
        <v>167.4331</v>
      </c>
      <c r="J3514">
        <v>-190.50399999999999</v>
      </c>
      <c r="K3514">
        <v>1.1117589999999999</v>
      </c>
      <c r="L3514">
        <v>167.9547</v>
      </c>
      <c r="M3514">
        <v>-0.13333149999999999</v>
      </c>
      <c r="N3514">
        <v>-1.3463009999999999E-2</v>
      </c>
      <c r="O3514">
        <v>-0.99098030000000004</v>
      </c>
      <c r="P3514">
        <v>-0.30102390000000001</v>
      </c>
      <c r="Q3514">
        <v>0.37905499999999998</v>
      </c>
      <c r="R3514">
        <v>-0.8750443</v>
      </c>
      <c r="S3514">
        <v>-1.306122</v>
      </c>
      <c r="T3514">
        <v>-0.47695779999999899</v>
      </c>
      <c r="U3514">
        <v>-3.1850890000000001</v>
      </c>
      <c r="V3514">
        <v>0.1813061</v>
      </c>
      <c r="W3514">
        <v>0.39139770000000002</v>
      </c>
      <c r="X3514">
        <v>0.90218399999999999</v>
      </c>
      <c r="Y3514">
        <v>0.24940200000000001</v>
      </c>
      <c r="Z3514">
        <v>0.12535289999999999</v>
      </c>
      <c r="AA3514">
        <v>0.96025280000000002</v>
      </c>
      <c r="AB3514">
        <v>19</v>
      </c>
      <c r="AC3514">
        <v>-0.26499999999998602</v>
      </c>
      <c r="AD3514">
        <v>-0.10525900000000001</v>
      </c>
      <c r="AE3514">
        <v>-0.52160000000000595</v>
      </c>
      <c r="AF3514">
        <v>0.18702771752428299</v>
      </c>
      <c r="AG3514">
        <v>-0.10525900000000001</v>
      </c>
      <c r="AH3514">
        <v>0.53496217623248699</v>
      </c>
      <c r="AI3514">
        <v>100.5219820348</v>
      </c>
      <c r="AJ3514">
        <v>70.729902000389004</v>
      </c>
      <c r="AK3514">
        <v>0.57640554664467003</v>
      </c>
      <c r="AL3514">
        <v>66.958504012571595</v>
      </c>
      <c r="AM3514">
        <v>78.636993349860305</v>
      </c>
      <c r="AN3514">
        <v>1.0000000156592499</v>
      </c>
    </row>
    <row r="3515" spans="1:40" x14ac:dyDescent="0.25">
      <c r="A3515" t="str">
        <f>"20190304164713416"</f>
        <v>20190304164713416</v>
      </c>
      <c r="B3515" t="str">
        <f>"1551689233412773"</f>
        <v>1551689233412773</v>
      </c>
      <c r="C3515" t="s">
        <v>40</v>
      </c>
      <c r="D3515">
        <v>4.5867170000000002</v>
      </c>
      <c r="E3515">
        <v>0.54968119999999998</v>
      </c>
      <c r="F3515" t="s">
        <v>41</v>
      </c>
      <c r="G3515">
        <v>-190.78919999999999</v>
      </c>
      <c r="H3515">
        <v>1.0081910000000001</v>
      </c>
      <c r="I3515">
        <v>167.26140000000001</v>
      </c>
      <c r="J3515">
        <v>-190.52889999999999</v>
      </c>
      <c r="K3515">
        <v>1.111666</v>
      </c>
      <c r="L3515">
        <v>167.76320000000001</v>
      </c>
      <c r="M3515">
        <v>-0.1326736</v>
      </c>
      <c r="N3515">
        <v>-1.3459749999999999E-2</v>
      </c>
      <c r="O3515">
        <v>-0.99106870000000002</v>
      </c>
      <c r="P3515">
        <v>-0.30284119999999998</v>
      </c>
      <c r="Q3515">
        <v>0.37939270000000003</v>
      </c>
      <c r="R3515">
        <v>-0.87427060000000001</v>
      </c>
      <c r="S3515">
        <v>-1.309814</v>
      </c>
      <c r="T3515">
        <v>-0.47560239999999998</v>
      </c>
      <c r="U3515">
        <v>-3.1838229999999998</v>
      </c>
      <c r="V3515">
        <v>0.18389659999999999</v>
      </c>
      <c r="W3515">
        <v>0.39168639999999999</v>
      </c>
      <c r="X3515">
        <v>0.9015341</v>
      </c>
      <c r="Y3515">
        <v>0.25114839999999999</v>
      </c>
      <c r="Z3515">
        <v>0.1249769</v>
      </c>
      <c r="AA3515">
        <v>0.95984639999999999</v>
      </c>
      <c r="AB3515">
        <v>19</v>
      </c>
      <c r="AC3515">
        <v>-0.26029999999999998</v>
      </c>
      <c r="AD3515">
        <v>-0.103474999999999</v>
      </c>
      <c r="AE3515">
        <v>-0.50180000000000202</v>
      </c>
      <c r="AF3515">
        <v>0.18521121000079699</v>
      </c>
      <c r="AG3515">
        <v>-0.103474999999999</v>
      </c>
      <c r="AH3515">
        <v>0.51465725248113503</v>
      </c>
      <c r="AI3515">
        <v>100.712551124483</v>
      </c>
      <c r="AJ3515">
        <v>70.207569509100196</v>
      </c>
      <c r="AK3515">
        <v>0.55667077834783996</v>
      </c>
      <c r="AL3515">
        <v>66.9405262295965</v>
      </c>
      <c r="AM3515">
        <v>78.470867591795098</v>
      </c>
      <c r="AN3515">
        <v>0.99999996444966399</v>
      </c>
    </row>
    <row r="3516" spans="1:40" x14ac:dyDescent="0.25">
      <c r="A3516" t="str">
        <f>"20190304164713439"</f>
        <v>20190304164713439</v>
      </c>
      <c r="B3516" t="str">
        <f>"1551689233432295"</f>
        <v>1551689233432295</v>
      </c>
      <c r="C3516" t="s">
        <v>40</v>
      </c>
      <c r="D3516">
        <v>4.5961800000000004</v>
      </c>
      <c r="E3516">
        <v>0.55231779999999997</v>
      </c>
      <c r="F3516" t="s">
        <v>51</v>
      </c>
      <c r="G3516">
        <v>-195.1174</v>
      </c>
      <c r="H3516" s="1">
        <v>-1.444539E-5</v>
      </c>
      <c r="I3516">
        <v>157.5016</v>
      </c>
      <c r="J3516">
        <v>-190.554</v>
      </c>
      <c r="K3516">
        <v>1.1115790000000001</v>
      </c>
      <c r="L3516">
        <v>167.56989999999999</v>
      </c>
      <c r="M3516">
        <v>-0.1321348</v>
      </c>
      <c r="N3516">
        <v>-1.3456559999999999E-2</v>
      </c>
      <c r="O3516">
        <v>-0.99114040000000003</v>
      </c>
      <c r="P3516">
        <v>-0.30450729999999998</v>
      </c>
      <c r="Q3516">
        <v>0.37880229999999998</v>
      </c>
      <c r="R3516">
        <v>-0.87394749999999999</v>
      </c>
      <c r="S3516">
        <v>-1.3849640000000001</v>
      </c>
      <c r="T3516">
        <v>-0.33554210000000001</v>
      </c>
      <c r="U3516">
        <v>-3.097321</v>
      </c>
      <c r="V3516">
        <v>0.18616460000000001</v>
      </c>
      <c r="W3516">
        <v>0.3910537</v>
      </c>
      <c r="X3516">
        <v>0.90134329999999996</v>
      </c>
      <c r="Y3516">
        <v>0.28225040000000001</v>
      </c>
      <c r="Z3516">
        <v>8.6408970000000002E-2</v>
      </c>
      <c r="AA3516">
        <v>0.9554414</v>
      </c>
      <c r="AB3516">
        <v>19</v>
      </c>
      <c r="AC3516">
        <v>-4.5633999999999997</v>
      </c>
      <c r="AD3516">
        <v>-1.1115934453899901</v>
      </c>
      <c r="AE3516">
        <v>-10.068299999999899</v>
      </c>
      <c r="AF3516">
        <v>3.1609231391828199</v>
      </c>
      <c r="AG3516">
        <v>-1.1115934453899901</v>
      </c>
      <c r="AH3516">
        <v>10.4770966740272</v>
      </c>
      <c r="AI3516">
        <v>95.799945850507299</v>
      </c>
      <c r="AJ3516">
        <v>73.211522086767403</v>
      </c>
      <c r="AK3516">
        <v>10.999846807868099</v>
      </c>
      <c r="AL3516">
        <v>66.979920396834601</v>
      </c>
      <c r="AM3516">
        <v>78.330152126774607</v>
      </c>
      <c r="AN3516">
        <v>0.99999999951586904</v>
      </c>
    </row>
    <row r="3517" spans="1:40" x14ac:dyDescent="0.25">
      <c r="A3517" t="str">
        <f>"20190304164713461"</f>
        <v>20190304164713461</v>
      </c>
      <c r="B3517" t="str">
        <f>"1551689233452790"</f>
        <v>1551689233452790</v>
      </c>
      <c r="C3517" t="s">
        <v>40</v>
      </c>
      <c r="D3517">
        <v>4.5963510000000003</v>
      </c>
      <c r="E3517">
        <v>0.55255310000000002</v>
      </c>
      <c r="F3517" t="s">
        <v>42</v>
      </c>
      <c r="G3517">
        <v>-193.9469</v>
      </c>
      <c r="H3517" s="1">
        <v>-1.2666759999999899E-6</v>
      </c>
      <c r="I3517">
        <v>160.0496</v>
      </c>
      <c r="J3517">
        <v>-190.57900000000001</v>
      </c>
      <c r="K3517">
        <v>1.1115010000000001</v>
      </c>
      <c r="L3517">
        <v>167.3777</v>
      </c>
      <c r="M3517">
        <v>-0.1317015</v>
      </c>
      <c r="N3517">
        <v>-1.3453349999999999E-2</v>
      </c>
      <c r="O3517">
        <v>-0.99119820000000003</v>
      </c>
      <c r="P3517">
        <v>-0.30630770000000002</v>
      </c>
      <c r="Q3517">
        <v>0.37772430000000001</v>
      </c>
      <c r="R3517">
        <v>-0.87378489999999998</v>
      </c>
      <c r="S3517">
        <v>-1.416779</v>
      </c>
      <c r="T3517">
        <v>-0.46416400000000002</v>
      </c>
      <c r="U3517">
        <v>-3.140244</v>
      </c>
      <c r="V3517">
        <v>0.18843099999999999</v>
      </c>
      <c r="W3517">
        <v>0.3899435</v>
      </c>
      <c r="X3517">
        <v>0.90135339999999997</v>
      </c>
      <c r="Y3517">
        <v>0.28426059999999997</v>
      </c>
      <c r="Z3517">
        <v>0.12196650000000001</v>
      </c>
      <c r="AA3517">
        <v>0.95095739999999995</v>
      </c>
      <c r="AB3517">
        <v>19</v>
      </c>
      <c r="AC3517">
        <v>-3.3678999999999899</v>
      </c>
      <c r="AD3517">
        <v>-1.1115022666759999</v>
      </c>
      <c r="AE3517">
        <v>-7.3281000000000001</v>
      </c>
      <c r="AF3517">
        <v>2.3291103125756201</v>
      </c>
      <c r="AG3517">
        <v>-1.1115022666759999</v>
      </c>
      <c r="AH3517">
        <v>7.5641804956167196</v>
      </c>
      <c r="AI3517">
        <v>97.994119574022605</v>
      </c>
      <c r="AJ3517">
        <v>72.885715048715895</v>
      </c>
      <c r="AK3517">
        <v>7.9923099731704799</v>
      </c>
      <c r="AL3517">
        <v>67.049017683695894</v>
      </c>
      <c r="AM3517">
        <v>78.192175715466604</v>
      </c>
      <c r="AN3517">
        <v>1.0000000633224</v>
      </c>
    </row>
    <row r="3518" spans="1:40" x14ac:dyDescent="0.25">
      <c r="A3518" t="str">
        <f>"20190304164713482"</f>
        <v>20190304164713482</v>
      </c>
      <c r="B3518" t="str">
        <f>"1551689233472310"</f>
        <v>1551689233472310</v>
      </c>
      <c r="C3518" t="s">
        <v>40</v>
      </c>
      <c r="D3518">
        <v>4.6146419999999999</v>
      </c>
      <c r="E3518">
        <v>0.55190450000000002</v>
      </c>
      <c r="F3518" t="s">
        <v>42</v>
      </c>
      <c r="G3518">
        <v>-193.94909999999999</v>
      </c>
      <c r="H3518" s="1">
        <v>-1.2175720000000001E-6</v>
      </c>
      <c r="I3518">
        <v>159.94450000000001</v>
      </c>
      <c r="J3518">
        <v>-190.60249999999999</v>
      </c>
      <c r="K3518">
        <v>1.1114550000000001</v>
      </c>
      <c r="L3518">
        <v>167.1978</v>
      </c>
      <c r="M3518">
        <v>-0.13138039999999901</v>
      </c>
      <c r="N3518">
        <v>-1.345039E-2</v>
      </c>
      <c r="O3518">
        <v>-0.99124100000000004</v>
      </c>
      <c r="P3518">
        <v>-0.30814449999999999</v>
      </c>
      <c r="Q3518">
        <v>0.37719409999999998</v>
      </c>
      <c r="R3518">
        <v>-0.87336819999999904</v>
      </c>
      <c r="S3518">
        <v>-1.422485</v>
      </c>
      <c r="T3518">
        <v>-0.46916029999999997</v>
      </c>
      <c r="U3518">
        <v>-3.1374970000000002</v>
      </c>
      <c r="V3518">
        <v>0.1906458</v>
      </c>
      <c r="W3518">
        <v>0.3893858</v>
      </c>
      <c r="X3518">
        <v>0.9011287</v>
      </c>
      <c r="Y3518">
        <v>0.28623929999999997</v>
      </c>
      <c r="Z3518">
        <v>0.1234233</v>
      </c>
      <c r="AA3518">
        <v>0.95017560000000001</v>
      </c>
      <c r="AB3518">
        <v>19</v>
      </c>
      <c r="AC3518">
        <v>-3.3465999999999898</v>
      </c>
      <c r="AD3518">
        <v>-1.11145621757199</v>
      </c>
      <c r="AE3518">
        <v>-7.2532999999999896</v>
      </c>
      <c r="AF3518">
        <v>2.3196516306321899</v>
      </c>
      <c r="AG3518">
        <v>-1.11145621757199</v>
      </c>
      <c r="AH3518">
        <v>7.4852239336483697</v>
      </c>
      <c r="AI3518">
        <v>98.072547949619405</v>
      </c>
      <c r="AJ3518">
        <v>72.781925749818498</v>
      </c>
      <c r="AK3518">
        <v>7.9148402351491898</v>
      </c>
      <c r="AL3518">
        <v>67.083713197059595</v>
      </c>
      <c r="AM3518">
        <v>78.054458291833697</v>
      </c>
      <c r="AN3518">
        <v>1.00000002813148</v>
      </c>
    </row>
    <row r="3519" spans="1:40" x14ac:dyDescent="0.25">
      <c r="A3519" t="str">
        <f>"20190304164713505"</f>
        <v>20190304164713505</v>
      </c>
      <c r="B3519" t="str">
        <f>"1551689233502566"</f>
        <v>1551689233502566</v>
      </c>
      <c r="C3519" t="s">
        <v>40</v>
      </c>
      <c r="D3519">
        <v>4.4567829999999997</v>
      </c>
      <c r="E3519">
        <v>0.45933780000000002</v>
      </c>
      <c r="F3519" t="s">
        <v>42</v>
      </c>
      <c r="G3519">
        <v>-193.9513</v>
      </c>
      <c r="H3519" s="1">
        <v>-1.1526739999999999E-6</v>
      </c>
      <c r="I3519">
        <v>159.80600000000001</v>
      </c>
      <c r="J3519">
        <v>-190.62710000000001</v>
      </c>
      <c r="K3519">
        <v>1.1114109999999999</v>
      </c>
      <c r="L3519">
        <v>167.00909999999999</v>
      </c>
      <c r="M3519">
        <v>-0.13112850000000001</v>
      </c>
      <c r="N3519">
        <v>-1.344733E-2</v>
      </c>
      <c r="O3519">
        <v>-0.9912744</v>
      </c>
      <c r="P3519">
        <v>-0.30985600000000002</v>
      </c>
      <c r="Q3519">
        <v>0.37687379999999998</v>
      </c>
      <c r="R3519">
        <v>-0.87290100000000004</v>
      </c>
      <c r="S3519">
        <v>-1.4213100000000001</v>
      </c>
      <c r="T3519">
        <v>-0.4717288</v>
      </c>
      <c r="U3519">
        <v>-3.137238</v>
      </c>
      <c r="V3519">
        <v>0.1926735</v>
      </c>
      <c r="W3519">
        <v>0.3890401</v>
      </c>
      <c r="X3519">
        <v>0.9008467</v>
      </c>
      <c r="Y3519">
        <v>0.28617619999999999</v>
      </c>
      <c r="Z3519">
        <v>0.1241868</v>
      </c>
      <c r="AA3519">
        <v>0.95009520000000003</v>
      </c>
      <c r="AB3519">
        <v>19</v>
      </c>
      <c r="AC3519">
        <v>-3.3241999999999901</v>
      </c>
      <c r="AD3519">
        <v>-1.111412152674</v>
      </c>
      <c r="AE3519">
        <v>-7.2030999999999699</v>
      </c>
      <c r="AF3519">
        <v>2.3056217967023702</v>
      </c>
      <c r="AG3519">
        <v>-1.111412152674</v>
      </c>
      <c r="AH3519">
        <v>7.4309800430910098</v>
      </c>
      <c r="AI3519">
        <v>98.129522969187406</v>
      </c>
      <c r="AJ3519">
        <v>72.762369620185595</v>
      </c>
      <c r="AK3519">
        <v>7.8594270302202904</v>
      </c>
      <c r="AL3519">
        <v>67.105215852954899</v>
      </c>
      <c r="AM3519">
        <v>77.927445139426894</v>
      </c>
      <c r="AN3519">
        <v>1.00000002695557</v>
      </c>
    </row>
    <row r="3520" spans="1:40" x14ac:dyDescent="0.25">
      <c r="A3520" t="str">
        <f>"20190304164713528"</f>
        <v>20190304164713528</v>
      </c>
      <c r="B3520" t="str">
        <f>"1551689233522087"</f>
        <v>1551689233522087</v>
      </c>
      <c r="C3520" t="s">
        <v>40</v>
      </c>
      <c r="D3520">
        <v>4.4665869999999996</v>
      </c>
      <c r="E3520">
        <v>0.45007409999999998</v>
      </c>
      <c r="F3520" t="s">
        <v>51</v>
      </c>
      <c r="G3520">
        <v>-194.54830000000001</v>
      </c>
      <c r="H3520" s="1">
        <v>-1.1326040000000001E-5</v>
      </c>
      <c r="I3520">
        <v>148.94970000000001</v>
      </c>
      <c r="J3520">
        <v>-190.65389999999999</v>
      </c>
      <c r="K3520">
        <v>1.1113679999999999</v>
      </c>
      <c r="L3520">
        <v>166.8039</v>
      </c>
      <c r="M3520">
        <v>-0.13094459999999999</v>
      </c>
      <c r="N3520">
        <v>-1.344424E-2</v>
      </c>
      <c r="O3520">
        <v>-0.99129860000000003</v>
      </c>
      <c r="P3520">
        <v>-0.31074889999999999</v>
      </c>
      <c r="Q3520">
        <v>0.37727080000000002</v>
      </c>
      <c r="R3520">
        <v>-0.87241170000000001</v>
      </c>
      <c r="S3520">
        <v>-0.71035769999999998</v>
      </c>
      <c r="T3520">
        <v>-0.20134270000000001</v>
      </c>
      <c r="U3520">
        <v>-3.2715909999999999</v>
      </c>
      <c r="V3520">
        <v>0.1938328</v>
      </c>
      <c r="W3520">
        <v>0.38940819999999998</v>
      </c>
      <c r="X3520">
        <v>0.90043879999999998</v>
      </c>
      <c r="Y3520">
        <v>8.2110589999999997E-2</v>
      </c>
      <c r="Z3520">
        <v>4.660272E-2</v>
      </c>
      <c r="AA3520">
        <v>0.995533</v>
      </c>
      <c r="AB3520">
        <v>19</v>
      </c>
      <c r="AC3520">
        <v>-3.8944000000000099</v>
      </c>
      <c r="AD3520">
        <v>-1.11137932604</v>
      </c>
      <c r="AE3520">
        <v>-17.854199999999899</v>
      </c>
      <c r="AF3520">
        <v>1.51712818464467</v>
      </c>
      <c r="AG3520">
        <v>-1.11137932604</v>
      </c>
      <c r="AH3520">
        <v>18.1433304978057</v>
      </c>
      <c r="AI3520">
        <v>93.4931428079136</v>
      </c>
      <c r="AJ3520">
        <v>85.220100843316303</v>
      </c>
      <c r="AK3520">
        <v>18.2405395613068</v>
      </c>
      <c r="AL3520">
        <v>67.082318298674394</v>
      </c>
      <c r="AM3520">
        <v>77.851617706112094</v>
      </c>
      <c r="AN3520">
        <v>0.99999996656425905</v>
      </c>
    </row>
    <row r="3521" spans="1:40" x14ac:dyDescent="0.25">
      <c r="A3521" t="str">
        <f>"20190304164713553"</f>
        <v>20190304164713553</v>
      </c>
      <c r="B3521" t="str">
        <f>"1551689233542582"</f>
        <v>1551689233542582</v>
      </c>
      <c r="C3521" t="s">
        <v>40</v>
      </c>
      <c r="D3521">
        <v>4.4404050000000002</v>
      </c>
      <c r="E3521">
        <v>0.44895560000000001</v>
      </c>
      <c r="F3521" t="s">
        <v>51</v>
      </c>
      <c r="G3521">
        <v>-194.1001</v>
      </c>
      <c r="H3521" s="1">
        <v>-1.130484E-5</v>
      </c>
      <c r="I3521">
        <v>149.17080000000001</v>
      </c>
      <c r="J3521">
        <v>-190.6799</v>
      </c>
      <c r="K3521">
        <v>1.1113230000000001</v>
      </c>
      <c r="L3521">
        <v>166.60599999999999</v>
      </c>
      <c r="M3521">
        <v>-0.13084999999999999</v>
      </c>
      <c r="N3521">
        <v>-1.3441379999999999E-2</v>
      </c>
      <c r="O3521">
        <v>-0.99131130000000001</v>
      </c>
      <c r="P3521">
        <v>-0.31132349999999998</v>
      </c>
      <c r="Q3521">
        <v>0.3777355</v>
      </c>
      <c r="R3521">
        <v>-0.87200560000000005</v>
      </c>
      <c r="S3521">
        <v>-0.64476009999999995</v>
      </c>
      <c r="T3521">
        <v>-0.2079308</v>
      </c>
      <c r="U3521">
        <v>-3.2990110000000001</v>
      </c>
      <c r="V3521">
        <v>0.1945867</v>
      </c>
      <c r="W3521">
        <v>0.38984249999999998</v>
      </c>
      <c r="X3521">
        <v>0.90008829999999995</v>
      </c>
      <c r="Y3521">
        <v>6.1474279999999999E-2</v>
      </c>
      <c r="Z3521">
        <v>4.8206649999999997E-2</v>
      </c>
      <c r="AA3521">
        <v>0.99694380000000005</v>
      </c>
      <c r="AB3521">
        <v>19</v>
      </c>
      <c r="AC3521">
        <v>-3.4201999999999901</v>
      </c>
      <c r="AD3521">
        <v>-1.11133430484</v>
      </c>
      <c r="AE3521">
        <v>-17.435199999999899</v>
      </c>
      <c r="AF3521">
        <v>1.10486431353861</v>
      </c>
      <c r="AG3521">
        <v>-1.11133430484</v>
      </c>
      <c r="AH3521">
        <v>17.663735017992099</v>
      </c>
      <c r="AI3521">
        <v>93.593081323617298</v>
      </c>
      <c r="AJ3521">
        <v>86.420819461620795</v>
      </c>
      <c r="AK3521">
        <v>17.733113767025898</v>
      </c>
      <c r="AL3521">
        <v>67.055301642582805</v>
      </c>
      <c r="AM3521">
        <v>77.801172405732302</v>
      </c>
      <c r="AN3521">
        <v>1.00000005321001</v>
      </c>
    </row>
    <row r="3522" spans="1:40" x14ac:dyDescent="0.25">
      <c r="A3522" t="str">
        <f>"20190304164713572"</f>
        <v>20190304164713572</v>
      </c>
      <c r="B3522" t="str">
        <f>"1551689233562102"</f>
        <v>1551689233562102</v>
      </c>
      <c r="C3522" t="s">
        <v>40</v>
      </c>
      <c r="D3522">
        <v>4.3812709999999999</v>
      </c>
      <c r="E3522">
        <v>0.44920759999999998</v>
      </c>
      <c r="F3522" t="s">
        <v>51</v>
      </c>
      <c r="G3522">
        <v>-194.0128</v>
      </c>
      <c r="H3522" s="1">
        <v>-1.1355220000000001E-5</v>
      </c>
      <c r="I3522">
        <v>149.42060000000001</v>
      </c>
      <c r="J3522">
        <v>-190.70179999999999</v>
      </c>
      <c r="K3522">
        <v>1.1112879999999901</v>
      </c>
      <c r="L3522">
        <v>166.4393</v>
      </c>
      <c r="M3522">
        <v>-0.1308298</v>
      </c>
      <c r="N3522">
        <v>-1.343921E-2</v>
      </c>
      <c r="O3522">
        <v>-0.99131380000000002</v>
      </c>
      <c r="P3522">
        <v>-0.3126794</v>
      </c>
      <c r="Q3522">
        <v>0.3783667</v>
      </c>
      <c r="R3522">
        <v>-0.87124659999999998</v>
      </c>
      <c r="S3522">
        <v>-0.64079280000000005</v>
      </c>
      <c r="T3522">
        <v>-0.21366969999999999</v>
      </c>
      <c r="U3522">
        <v>-3.3041230000000001</v>
      </c>
      <c r="V3522">
        <v>0.19608690000000001</v>
      </c>
      <c r="W3522">
        <v>0.39044489999999998</v>
      </c>
      <c r="X3522">
        <v>0.89950140000000001</v>
      </c>
      <c r="Y3522">
        <v>6.0035720000000001E-2</v>
      </c>
      <c r="Z3522">
        <v>4.9812799999999997E-2</v>
      </c>
      <c r="AA3522">
        <v>0.99695250000000002</v>
      </c>
      <c r="AB3522">
        <v>19</v>
      </c>
      <c r="AC3522">
        <v>-3.3109999999999999</v>
      </c>
      <c r="AD3522">
        <v>-1.1112993552199999</v>
      </c>
      <c r="AE3522">
        <v>-17.0186999999999</v>
      </c>
      <c r="AF3522">
        <v>1.0514623219458901</v>
      </c>
      <c r="AG3522">
        <v>-1.1112993552199999</v>
      </c>
      <c r="AH3522">
        <v>17.234803849499698</v>
      </c>
      <c r="AI3522">
        <v>93.6824940437522</v>
      </c>
      <c r="AJ3522">
        <v>86.508821482276602</v>
      </c>
      <c r="AK3522">
        <v>17.302572727837699</v>
      </c>
      <c r="AL3522">
        <v>67.017815531826599</v>
      </c>
      <c r="AM3522">
        <v>77.702196473337395</v>
      </c>
      <c r="AN3522">
        <v>1.00000003044478</v>
      </c>
    </row>
    <row r="3523" spans="1:40" x14ac:dyDescent="0.25">
      <c r="A3523" t="str">
        <f>"20190304164713606"</f>
        <v>20190304164713606</v>
      </c>
      <c r="B3523" t="str">
        <f>"1551689233602118"</f>
        <v>1551689233602118</v>
      </c>
      <c r="C3523" t="s">
        <v>40</v>
      </c>
      <c r="D3523">
        <v>4.3848539999999998</v>
      </c>
      <c r="E3523">
        <v>0.44977139999999999</v>
      </c>
      <c r="F3523" t="s">
        <v>51</v>
      </c>
      <c r="G3523">
        <v>-194.04310000000001</v>
      </c>
      <c r="H3523" s="1">
        <v>-1.1358639999999999E-5</v>
      </c>
      <c r="I3523">
        <v>149.41319999999999</v>
      </c>
      <c r="J3523">
        <v>-190.73859999999999</v>
      </c>
      <c r="K3523">
        <v>1.1112249999999999</v>
      </c>
      <c r="L3523">
        <v>166.16079999999999</v>
      </c>
      <c r="M3523">
        <v>-0.1309283</v>
      </c>
      <c r="N3523">
        <v>-1.3435580000000001E-2</v>
      </c>
      <c r="O3523">
        <v>-0.99130090000000004</v>
      </c>
      <c r="P3523">
        <v>-0.31331720000000002</v>
      </c>
      <c r="Q3523">
        <v>0.37822270000000002</v>
      </c>
      <c r="R3523">
        <v>-0.87107999999999997</v>
      </c>
      <c r="S3523">
        <v>-0.64845280000000005</v>
      </c>
      <c r="T3523">
        <v>-0.2156718</v>
      </c>
      <c r="U3523">
        <v>-3.3042910000000001</v>
      </c>
      <c r="V3523">
        <v>0.1967111</v>
      </c>
      <c r="W3523">
        <v>0.39026620000000001</v>
      </c>
      <c r="X3523">
        <v>0.89944259999999998</v>
      </c>
      <c r="Y3523">
        <v>6.2146519999999997E-2</v>
      </c>
      <c r="Z3523">
        <v>5.038492E-2</v>
      </c>
      <c r="AA3523">
        <v>0.99679450000000003</v>
      </c>
      <c r="AB3523">
        <v>19</v>
      </c>
      <c r="AC3523">
        <v>-3.3045000000000102</v>
      </c>
      <c r="AD3523">
        <v>-1.11123635863999</v>
      </c>
      <c r="AE3523">
        <v>-16.747599999999998</v>
      </c>
      <c r="AF3523">
        <v>1.07854622316058</v>
      </c>
      <c r="AG3523">
        <v>-1.11123635863999</v>
      </c>
      <c r="AH3523">
        <v>16.964211791635101</v>
      </c>
      <c r="AI3523">
        <v>93.740260902196695</v>
      </c>
      <c r="AJ3523">
        <v>86.362160173049503</v>
      </c>
      <c r="AK3523">
        <v>17.034746546741101</v>
      </c>
      <c r="AL3523">
        <v>67.028935292208004</v>
      </c>
      <c r="AM3523">
        <v>77.663464128296695</v>
      </c>
      <c r="AN3523">
        <v>0.99999997721020395</v>
      </c>
    </row>
    <row r="3524" spans="1:40" x14ac:dyDescent="0.25">
      <c r="A3524" t="str">
        <f>"20190304164713629"</f>
        <v>20190304164713629</v>
      </c>
      <c r="B3524" t="str">
        <f>"1551689233622614"</f>
        <v>1551689233622614</v>
      </c>
      <c r="C3524" t="s">
        <v>40</v>
      </c>
      <c r="D3524">
        <v>4.425427</v>
      </c>
      <c r="E3524">
        <v>0.44989479999999998</v>
      </c>
      <c r="F3524" t="s">
        <v>51</v>
      </c>
      <c r="G3524">
        <v>-193.98310000000001</v>
      </c>
      <c r="H3524" s="1">
        <v>-1.1481530000000001E-5</v>
      </c>
      <c r="I3524">
        <v>149.80269999999999</v>
      </c>
      <c r="J3524">
        <v>-190.76499999999999</v>
      </c>
      <c r="K3524">
        <v>1.1111759999999999</v>
      </c>
      <c r="L3524">
        <v>165.96270000000001</v>
      </c>
      <c r="M3524">
        <v>-0.13109660000000001</v>
      </c>
      <c r="N3524">
        <v>-1.343315E-2</v>
      </c>
      <c r="O3524">
        <v>-0.99127869999999996</v>
      </c>
      <c r="P3524">
        <v>-0.31419999999999998</v>
      </c>
      <c r="Q3524">
        <v>0.37735920000000001</v>
      </c>
      <c r="R3524">
        <v>-0.87113660000000004</v>
      </c>
      <c r="S3524">
        <v>-0.65563959999999999</v>
      </c>
      <c r="T3524">
        <v>-0.22455849999999999</v>
      </c>
      <c r="U3524">
        <v>-3.3056489999999998</v>
      </c>
      <c r="V3524">
        <v>0.19746140000000001</v>
      </c>
      <c r="W3524">
        <v>0.38938489999999998</v>
      </c>
      <c r="X3524">
        <v>0.89966019999999902</v>
      </c>
      <c r="Y3524">
        <v>6.3957369999999999E-2</v>
      </c>
      <c r="Z3524">
        <v>5.2955309999999998E-2</v>
      </c>
      <c r="AA3524">
        <v>0.99654659999999995</v>
      </c>
      <c r="AB3524">
        <v>19</v>
      </c>
      <c r="AC3524">
        <v>-3.2181000000000202</v>
      </c>
      <c r="AD3524">
        <v>-1.11118748153</v>
      </c>
      <c r="AE3524">
        <v>-16.16</v>
      </c>
      <c r="AF3524">
        <v>1.0667580859527599</v>
      </c>
      <c r="AG3524">
        <v>-1.11118748153</v>
      </c>
      <c r="AH3524">
        <v>16.3679890038511</v>
      </c>
      <c r="AI3524">
        <v>93.875530908150097</v>
      </c>
      <c r="AJ3524">
        <v>86.271110787497307</v>
      </c>
      <c r="AK3524">
        <v>16.4403094394006</v>
      </c>
      <c r="AL3524">
        <v>67.083769472997801</v>
      </c>
      <c r="AM3524">
        <v>77.620761149493205</v>
      </c>
      <c r="AN3524">
        <v>1.0000000401510001</v>
      </c>
    </row>
    <row r="3525" spans="1:40" x14ac:dyDescent="0.25">
      <c r="A3525" t="str">
        <f>"20190304164713650"</f>
        <v>20190304164713650</v>
      </c>
      <c r="B3525" t="str">
        <f>"1551689233642134"</f>
        <v>1551689233642134</v>
      </c>
      <c r="C3525" t="s">
        <v>40</v>
      </c>
      <c r="D3525">
        <v>4.414021</v>
      </c>
      <c r="E3525">
        <v>0.44983840000000003</v>
      </c>
      <c r="F3525" t="s">
        <v>51</v>
      </c>
      <c r="G3525">
        <v>-193.91659999999999</v>
      </c>
      <c r="H3525" s="1">
        <v>-1.162854E-5</v>
      </c>
      <c r="I3525">
        <v>150.1729</v>
      </c>
      <c r="J3525">
        <v>-190.7895</v>
      </c>
      <c r="K3525">
        <v>1.111145</v>
      </c>
      <c r="L3525">
        <v>165.77940000000001</v>
      </c>
      <c r="M3525">
        <v>-0.1313317</v>
      </c>
      <c r="N3525">
        <v>-1.3430930000000001E-2</v>
      </c>
      <c r="O3525">
        <v>-0.99124769999999895</v>
      </c>
      <c r="P3525">
        <v>-0.31506149999999999</v>
      </c>
      <c r="Q3525">
        <v>0.37593090000000001</v>
      </c>
      <c r="R3525">
        <v>-0.87144299999999997</v>
      </c>
      <c r="S3525">
        <v>-0.65997309999999998</v>
      </c>
      <c r="T3525">
        <v>-0.23269329999999999</v>
      </c>
      <c r="U3525">
        <v>-3.3065340000000001</v>
      </c>
      <c r="V3525">
        <v>0.1980915</v>
      </c>
      <c r="W3525">
        <v>0.38794469999999998</v>
      </c>
      <c r="X3525">
        <v>0.90014369999999999</v>
      </c>
      <c r="Y3525">
        <v>6.489934E-2</v>
      </c>
      <c r="Z3525">
        <v>5.5315549999999998E-2</v>
      </c>
      <c r="AA3525">
        <v>0.99635750000000001</v>
      </c>
      <c r="AB3525">
        <v>19</v>
      </c>
      <c r="AC3525">
        <v>-3.12709999999998</v>
      </c>
      <c r="AD3525">
        <v>-1.1111566285400001</v>
      </c>
      <c r="AE3525">
        <v>-15.6065</v>
      </c>
      <c r="AF3525">
        <v>1.04510367009448</v>
      </c>
      <c r="AG3525">
        <v>-1.1111566285400001</v>
      </c>
      <c r="AH3525">
        <v>15.804997687123899</v>
      </c>
      <c r="AI3525">
        <v>94.012778382975</v>
      </c>
      <c r="AJ3525">
        <v>86.216830667515495</v>
      </c>
      <c r="AK3525">
        <v>15.8784401823475</v>
      </c>
      <c r="AL3525">
        <v>67.173327218518097</v>
      </c>
      <c r="AM3525">
        <v>77.588945647225103</v>
      </c>
      <c r="AN3525">
        <v>1.0000000066400101</v>
      </c>
    </row>
    <row r="3526" spans="1:40" x14ac:dyDescent="0.25">
      <c r="A3526" t="str">
        <f>"20190304164713674"</f>
        <v>20190304164713674</v>
      </c>
      <c r="B3526" t="str">
        <f>"1551689233662630"</f>
        <v>1551689233662630</v>
      </c>
      <c r="C3526" t="s">
        <v>40</v>
      </c>
      <c r="D3526">
        <v>4.437284</v>
      </c>
      <c r="E3526">
        <v>0.44962679999999999</v>
      </c>
      <c r="F3526" t="s">
        <v>51</v>
      </c>
      <c r="G3526">
        <v>-193.84710000000001</v>
      </c>
      <c r="H3526" s="1">
        <v>-1.1758E-5</v>
      </c>
      <c r="I3526">
        <v>150.5034</v>
      </c>
      <c r="J3526">
        <v>-190.81530000000001</v>
      </c>
      <c r="K3526">
        <v>1.111103</v>
      </c>
      <c r="L3526">
        <v>165.58770000000001</v>
      </c>
      <c r="M3526">
        <v>-0.13166889999999901</v>
      </c>
      <c r="N3526">
        <v>-1.3428829999999999E-2</v>
      </c>
      <c r="O3526">
        <v>-0.99120299999999995</v>
      </c>
      <c r="P3526">
        <v>-0.31641940000000002</v>
      </c>
      <c r="Q3526">
        <v>0.37546930000000001</v>
      </c>
      <c r="R3526">
        <v>-0.87114969999999903</v>
      </c>
      <c r="S3526">
        <v>-0.66192629999999997</v>
      </c>
      <c r="T3526">
        <v>-0.24054629999999999</v>
      </c>
      <c r="U3526">
        <v>-3.3069920000000002</v>
      </c>
      <c r="V3526">
        <v>0.19920650000000001</v>
      </c>
      <c r="W3526">
        <v>0.38745990000000002</v>
      </c>
      <c r="X3526">
        <v>0.90010639999999997</v>
      </c>
      <c r="Y3526">
        <v>6.5072599999999994E-2</v>
      </c>
      <c r="Z3526">
        <v>5.7603460000000002E-2</v>
      </c>
      <c r="AA3526">
        <v>0.99621649999999995</v>
      </c>
      <c r="AB3526">
        <v>19</v>
      </c>
      <c r="AC3526">
        <v>-3.0318000000000001</v>
      </c>
      <c r="AD3526">
        <v>-1.111114758</v>
      </c>
      <c r="AE3526">
        <v>-15.084300000000001</v>
      </c>
      <c r="AF3526">
        <v>1.01380060402174</v>
      </c>
      <c r="AG3526">
        <v>-1.111114758</v>
      </c>
      <c r="AH3526">
        <v>15.272529462361399</v>
      </c>
      <c r="AI3526">
        <v>94.151974820800504</v>
      </c>
      <c r="AJ3526">
        <v>86.202239872263902</v>
      </c>
      <c r="AK3526">
        <v>15.3464172968435</v>
      </c>
      <c r="AL3526">
        <v>67.203460207174004</v>
      </c>
      <c r="AM3526">
        <v>77.520768931983795</v>
      </c>
      <c r="AN3526">
        <v>0.99999996753560905</v>
      </c>
    </row>
    <row r="3527" spans="1:40" x14ac:dyDescent="0.25">
      <c r="A3527" t="str">
        <f>"20190304164713695"</f>
        <v>20190304164713695</v>
      </c>
      <c r="B3527" t="str">
        <f>"1551689233691911"</f>
        <v>1551689233691911</v>
      </c>
      <c r="C3527" t="s">
        <v>40</v>
      </c>
      <c r="D3527">
        <v>4.4604299999999997</v>
      </c>
      <c r="E3527">
        <v>0.44926509999999997</v>
      </c>
      <c r="F3527" t="s">
        <v>51</v>
      </c>
      <c r="G3527">
        <v>-193.8511</v>
      </c>
      <c r="H3527" s="1">
        <v>-1.173865E-5</v>
      </c>
      <c r="I3527">
        <v>150.45670000000001</v>
      </c>
      <c r="J3527">
        <v>-190.83930000000001</v>
      </c>
      <c r="K3527">
        <v>1.1110599999999999</v>
      </c>
      <c r="L3527">
        <v>165.40989999999999</v>
      </c>
      <c r="M3527">
        <v>-0.13207729999999901</v>
      </c>
      <c r="N3527">
        <v>-1.3427140000000001E-2</v>
      </c>
      <c r="O3527">
        <v>-0.99114849999999999</v>
      </c>
      <c r="P3527">
        <v>-0.31844420000000001</v>
      </c>
      <c r="Q3527">
        <v>0.3755037</v>
      </c>
      <c r="R3527">
        <v>-0.87039659999999996</v>
      </c>
      <c r="S3527">
        <v>-0.663574199999999</v>
      </c>
      <c r="T3527">
        <v>-0.24287159999999999</v>
      </c>
      <c r="U3527">
        <v>-3.307388</v>
      </c>
      <c r="V3527">
        <v>0.20098559999999999</v>
      </c>
      <c r="W3527">
        <v>0.387463</v>
      </c>
      <c r="X3527">
        <v>0.89970949999999905</v>
      </c>
      <c r="Y3527">
        <v>6.5107609999999996E-2</v>
      </c>
      <c r="Z3527">
        <v>5.827003E-2</v>
      </c>
      <c r="AA3527">
        <v>0.99617549999999999</v>
      </c>
      <c r="AB3527">
        <v>19</v>
      </c>
      <c r="AC3527">
        <v>-3.0117999999999898</v>
      </c>
      <c r="AD3527">
        <v>-1.11107173865</v>
      </c>
      <c r="AE3527">
        <v>-14.953199999999899</v>
      </c>
      <c r="AF3527">
        <v>1.0049219687775801</v>
      </c>
      <c r="AG3527">
        <v>-1.11107173865</v>
      </c>
      <c r="AH3527">
        <v>15.1396767429757</v>
      </c>
      <c r="AI3527">
        <v>94.188119379652406</v>
      </c>
      <c r="AJ3527">
        <v>86.202465130579398</v>
      </c>
      <c r="AK3527">
        <v>15.2136175991629</v>
      </c>
      <c r="AL3527">
        <v>67.203267986897103</v>
      </c>
      <c r="AM3527">
        <v>77.407478632698499</v>
      </c>
      <c r="AN3527">
        <v>0.99999998608330398</v>
      </c>
    </row>
    <row r="3528" spans="1:40" x14ac:dyDescent="0.25">
      <c r="A3528" t="str">
        <f>"20190304164713718"</f>
        <v>20190304164713718</v>
      </c>
      <c r="B3528" t="str">
        <f>"1551689233712406"</f>
        <v>1551689233712406</v>
      </c>
      <c r="C3528" t="s">
        <v>40</v>
      </c>
      <c r="D3528">
        <v>4.4528660000000002</v>
      </c>
      <c r="E3528">
        <v>0.44902510000000001</v>
      </c>
      <c r="F3528" t="s">
        <v>41</v>
      </c>
      <c r="G3528">
        <v>-191.0164</v>
      </c>
      <c r="H3528">
        <v>1.046378</v>
      </c>
      <c r="I3528">
        <v>164.5318</v>
      </c>
      <c r="J3528">
        <v>-190.8656</v>
      </c>
      <c r="K3528">
        <v>1.1109960000000001</v>
      </c>
      <c r="L3528">
        <v>165.21700000000001</v>
      </c>
      <c r="M3528">
        <v>-0.13262189999999999</v>
      </c>
      <c r="N3528">
        <v>-1.342552E-2</v>
      </c>
      <c r="O3528">
        <v>-0.99107599999999996</v>
      </c>
      <c r="P3528">
        <v>-0.31963209999999997</v>
      </c>
      <c r="Q3528">
        <v>0.37632379999999999</v>
      </c>
      <c r="R3528">
        <v>-0.86960700000000002</v>
      </c>
      <c r="S3528">
        <v>-0.66690059999999995</v>
      </c>
      <c r="T3528">
        <v>-0.24368390000000001</v>
      </c>
      <c r="U3528">
        <v>-3.3078159999999999</v>
      </c>
      <c r="V3528">
        <v>0.20182739999999999</v>
      </c>
      <c r="W3528">
        <v>0.38824439999999999</v>
      </c>
      <c r="X3528">
        <v>0.89918399999999998</v>
      </c>
      <c r="Y3528">
        <v>6.5494540000000004E-2</v>
      </c>
      <c r="Z3528">
        <v>5.8486440000000001E-2</v>
      </c>
      <c r="AA3528">
        <v>0.99613739999999995</v>
      </c>
      <c r="AB3528">
        <v>19</v>
      </c>
      <c r="AC3528">
        <v>-0.15080000000000299</v>
      </c>
      <c r="AD3528">
        <v>-6.4617999999999801E-2</v>
      </c>
      <c r="AE3528">
        <v>-0.68520000000000802</v>
      </c>
      <c r="AF3528">
        <v>5.80942103926455E-2</v>
      </c>
      <c r="AG3528">
        <v>-6.4617999999999801E-2</v>
      </c>
      <c r="AH3528">
        <v>0.69326678773369099</v>
      </c>
      <c r="AI3528">
        <v>95.306546726162495</v>
      </c>
      <c r="AJ3528">
        <v>85.209932620699007</v>
      </c>
      <c r="AK3528">
        <v>0.69869110641236598</v>
      </c>
      <c r="AL3528">
        <v>67.154693679053594</v>
      </c>
      <c r="AM3528">
        <v>77.349277504464197</v>
      </c>
      <c r="AN3528">
        <v>0.99999993968905798</v>
      </c>
    </row>
    <row r="3529" spans="1:40" x14ac:dyDescent="0.25">
      <c r="A3529" t="str">
        <f>"20190304164713741"</f>
        <v>20190304164713741</v>
      </c>
      <c r="B3529" t="str">
        <f>"1551689233731926"</f>
        <v>1551689233731926</v>
      </c>
      <c r="C3529" t="s">
        <v>40</v>
      </c>
      <c r="D3529">
        <v>4.4611109999999998</v>
      </c>
      <c r="E3529">
        <v>0.44892310000000002</v>
      </c>
      <c r="F3529" t="s">
        <v>41</v>
      </c>
      <c r="G3529">
        <v>-191.03919999999999</v>
      </c>
      <c r="H3529">
        <v>1.0486679999999999</v>
      </c>
      <c r="I3529">
        <v>164.3629</v>
      </c>
      <c r="J3529">
        <v>-190.89230000000001</v>
      </c>
      <c r="K3529">
        <v>1.110941</v>
      </c>
      <c r="L3529">
        <v>165.02350000000001</v>
      </c>
      <c r="M3529">
        <v>-0.13325429999999999</v>
      </c>
      <c r="N3529">
        <v>-1.342408E-2</v>
      </c>
      <c r="O3529">
        <v>-0.99099099999999996</v>
      </c>
      <c r="P3529">
        <v>-0.32075350000000002</v>
      </c>
      <c r="Q3529">
        <v>0.37619449999999999</v>
      </c>
      <c r="R3529">
        <v>-0.86924990000000002</v>
      </c>
      <c r="S3529">
        <v>-0.67135619999999996</v>
      </c>
      <c r="T3529">
        <v>-0.24138029999999999</v>
      </c>
      <c r="U3529">
        <v>-3.3075100000000002</v>
      </c>
      <c r="V3529">
        <v>0.2024601</v>
      </c>
      <c r="W3529">
        <v>0.38808579999999998</v>
      </c>
      <c r="X3529">
        <v>0.89911030000000003</v>
      </c>
      <c r="Y3529">
        <v>6.617257E-2</v>
      </c>
      <c r="Z3529">
        <v>5.78013E-2</v>
      </c>
      <c r="AA3529">
        <v>0.99613260000000003</v>
      </c>
      <c r="AB3529">
        <v>19</v>
      </c>
      <c r="AC3529">
        <v>-0.14689999999998801</v>
      </c>
      <c r="AD3529">
        <v>-6.2273000000000002E-2</v>
      </c>
      <c r="AE3529">
        <v>-0.66060000000001595</v>
      </c>
      <c r="AF3529">
        <v>5.70707187347771E-2</v>
      </c>
      <c r="AG3529">
        <v>-6.2273000000000002E-2</v>
      </c>
      <c r="AH3529">
        <v>0.66862280826629195</v>
      </c>
      <c r="AI3529">
        <v>95.301794536873004</v>
      </c>
      <c r="AJ3529">
        <v>85.1213079475732</v>
      </c>
      <c r="AK3529">
        <v>0.67393727690327898</v>
      </c>
      <c r="AL3529">
        <v>67.164555532117404</v>
      </c>
      <c r="AM3529">
        <v>77.309895049103403</v>
      </c>
      <c r="AN3529">
        <v>1.0000000059098699</v>
      </c>
    </row>
    <row r="3530" spans="1:40" x14ac:dyDescent="0.25">
      <c r="A3530" t="str">
        <f>"20190304164713764"</f>
        <v>20190304164713764</v>
      </c>
      <c r="B3530" t="str">
        <f>"1551689233752422"</f>
        <v>1551689233752422</v>
      </c>
      <c r="C3530" t="s">
        <v>40</v>
      </c>
      <c r="D3530">
        <v>4.4532410000000002</v>
      </c>
      <c r="E3530">
        <v>0.44870719999999997</v>
      </c>
      <c r="F3530" t="s">
        <v>41</v>
      </c>
      <c r="G3530">
        <v>-191.06200000000001</v>
      </c>
      <c r="H3530">
        <v>1.0500499999999999</v>
      </c>
      <c r="I3530">
        <v>164.1951</v>
      </c>
      <c r="J3530">
        <v>-190.9178</v>
      </c>
      <c r="K3530">
        <v>1.110894</v>
      </c>
      <c r="L3530">
        <v>164.84</v>
      </c>
      <c r="M3530">
        <v>-0.13393840000000001</v>
      </c>
      <c r="N3530">
        <v>-1.3422709999999999E-2</v>
      </c>
      <c r="O3530">
        <v>-0.99089879999999997</v>
      </c>
      <c r="P3530">
        <v>-0.32326169999999999</v>
      </c>
      <c r="Q3530">
        <v>0.37591419999999998</v>
      </c>
      <c r="R3530">
        <v>-0.86844149999999998</v>
      </c>
      <c r="S3530">
        <v>-0.67709350000000001</v>
      </c>
      <c r="T3530">
        <v>-0.2430948</v>
      </c>
      <c r="U3530">
        <v>-3.3065950000000002</v>
      </c>
      <c r="V3530">
        <v>0.2044697</v>
      </c>
      <c r="W3530">
        <v>0.38777689999999998</v>
      </c>
      <c r="X3530">
        <v>0.89878880000000005</v>
      </c>
      <c r="Y3530">
        <v>6.7190180000000002E-2</v>
      </c>
      <c r="Z3530">
        <v>5.8302069999999998E-2</v>
      </c>
      <c r="AA3530">
        <v>0.99603529999999996</v>
      </c>
      <c r="AB3530">
        <v>19</v>
      </c>
      <c r="AC3530">
        <v>-0.14420000000001201</v>
      </c>
      <c r="AD3530">
        <v>-6.0844000000000099E-2</v>
      </c>
      <c r="AE3530">
        <v>-0.64490000000000602</v>
      </c>
      <c r="AF3530">
        <v>5.6040741800504702E-2</v>
      </c>
      <c r="AG3530">
        <v>-6.0844000000000099E-2</v>
      </c>
      <c r="AH3530">
        <v>0.65286920386300895</v>
      </c>
      <c r="AI3530">
        <v>95.304892945152304</v>
      </c>
      <c r="AJ3530">
        <v>85.093892348434807</v>
      </c>
      <c r="AK3530">
        <v>0.65808871319167195</v>
      </c>
      <c r="AL3530">
        <v>67.183758909886805</v>
      </c>
      <c r="AM3530">
        <v>77.183640373762501</v>
      </c>
      <c r="AN3530">
        <v>1.00000004469856</v>
      </c>
    </row>
    <row r="3531" spans="1:40" x14ac:dyDescent="0.25">
      <c r="A3531" t="str">
        <f>"20190304164713784"</f>
        <v>20190304164713784</v>
      </c>
      <c r="B3531" t="str">
        <f>"1551689233771943"</f>
        <v>1551689233771943</v>
      </c>
      <c r="C3531" t="s">
        <v>40</v>
      </c>
      <c r="D3531">
        <v>4.3563450000000001</v>
      </c>
      <c r="E3531">
        <v>0.44863789999999998</v>
      </c>
      <c r="F3531" t="s">
        <v>41</v>
      </c>
      <c r="G3531">
        <v>-191.0856</v>
      </c>
      <c r="H3531">
        <v>1.05101</v>
      </c>
      <c r="I3531">
        <v>164.02799999999999</v>
      </c>
      <c r="J3531">
        <v>-190.9418</v>
      </c>
      <c r="K3531">
        <v>1.1108579999999999</v>
      </c>
      <c r="L3531">
        <v>164.66820000000001</v>
      </c>
      <c r="M3531">
        <v>-0.13466349999999999</v>
      </c>
      <c r="N3531">
        <v>-1.3421489999999999E-2</v>
      </c>
      <c r="O3531">
        <v>-0.99080060000000003</v>
      </c>
      <c r="P3531">
        <v>-0.32622610000000002</v>
      </c>
      <c r="Q3531">
        <v>0.37529020000000002</v>
      </c>
      <c r="R3531">
        <v>-0.86760249999999906</v>
      </c>
      <c r="S3531">
        <v>-0.6830444</v>
      </c>
      <c r="T3531">
        <v>-0.24384639999999999</v>
      </c>
      <c r="U3531">
        <v>-3.3057560000000001</v>
      </c>
      <c r="V3531">
        <v>0.2068922</v>
      </c>
      <c r="W3531">
        <v>0.3871272</v>
      </c>
      <c r="X3531">
        <v>0.89851440000000005</v>
      </c>
      <c r="Y3531">
        <v>6.8226709999999996E-2</v>
      </c>
      <c r="Z3531">
        <v>5.8517800000000002E-2</v>
      </c>
      <c r="AA3531">
        <v>0.99595219999999995</v>
      </c>
      <c r="AB3531">
        <v>19</v>
      </c>
      <c r="AC3531">
        <v>-0.14379999999999801</v>
      </c>
      <c r="AD3531">
        <v>-5.9847999999999901E-2</v>
      </c>
      <c r="AE3531">
        <v>-0.64020000000002097</v>
      </c>
      <c r="AF3531">
        <v>5.5806341141714101E-2</v>
      </c>
      <c r="AG3531">
        <v>-5.9847999999999901E-2</v>
      </c>
      <c r="AH3531">
        <v>0.64834017259544197</v>
      </c>
      <c r="AI3531">
        <v>95.254681658535304</v>
      </c>
      <c r="AJ3531">
        <v>85.080351083802498</v>
      </c>
      <c r="AK3531">
        <v>0.653483825520352</v>
      </c>
      <c r="AL3531">
        <v>67.224136657996098</v>
      </c>
      <c r="AM3531">
        <v>77.033071232754395</v>
      </c>
      <c r="AN3531">
        <v>0.999999989204019</v>
      </c>
    </row>
    <row r="3532" spans="1:40" x14ac:dyDescent="0.25">
      <c r="A3532" t="str">
        <f>"20190304164713807"</f>
        <v>20190304164713807</v>
      </c>
      <c r="B3532" t="str">
        <f>"1551689233802298"</f>
        <v>1551689233802298</v>
      </c>
      <c r="C3532" t="s">
        <v>40</v>
      </c>
      <c r="D3532">
        <v>4.4376629999999997</v>
      </c>
      <c r="E3532">
        <v>0.44819819999999999</v>
      </c>
      <c r="F3532" t="s">
        <v>41</v>
      </c>
      <c r="G3532">
        <v>-191.11019999999999</v>
      </c>
      <c r="H3532">
        <v>1.050989</v>
      </c>
      <c r="I3532">
        <v>163.8622</v>
      </c>
      <c r="J3532">
        <v>-190.96850000000001</v>
      </c>
      <c r="K3532">
        <v>1.1108169999999999</v>
      </c>
      <c r="L3532">
        <v>164.47980000000001</v>
      </c>
      <c r="M3532">
        <v>-0.13555599999999901</v>
      </c>
      <c r="N3532">
        <v>-1.342045E-2</v>
      </c>
      <c r="O3532">
        <v>-0.99067899999999998</v>
      </c>
      <c r="P3532">
        <v>-0.32946130000000001</v>
      </c>
      <c r="Q3532">
        <v>0.37361349999999999</v>
      </c>
      <c r="R3532">
        <v>-0.86710350000000003</v>
      </c>
      <c r="S3532">
        <v>-0.69038389999999905</v>
      </c>
      <c r="T3532">
        <v>-0.24542149999999999</v>
      </c>
      <c r="U3532">
        <v>-3.3043819999999999</v>
      </c>
      <c r="V3532">
        <v>0.20938899999999999</v>
      </c>
      <c r="W3532">
        <v>0.3854264</v>
      </c>
      <c r="X3532">
        <v>0.898667199999999</v>
      </c>
      <c r="Y3532">
        <v>6.9523860000000007E-2</v>
      </c>
      <c r="Z3532">
        <v>5.8980030000000003E-2</v>
      </c>
      <c r="AA3532">
        <v>0.99583520000000003</v>
      </c>
      <c r="AB3532">
        <v>19</v>
      </c>
      <c r="AC3532">
        <v>-0.141699999999985</v>
      </c>
      <c r="AD3532">
        <v>-5.9827999999999902E-2</v>
      </c>
      <c r="AE3532">
        <v>-0.61760000000001003</v>
      </c>
      <c r="AF3532">
        <v>5.61642243208881E-2</v>
      </c>
      <c r="AG3532">
        <v>-5.9827999999999902E-2</v>
      </c>
      <c r="AH3532">
        <v>0.625531817393436</v>
      </c>
      <c r="AI3532">
        <v>95.441587870418601</v>
      </c>
      <c r="AJ3532">
        <v>84.869378048068796</v>
      </c>
      <c r="AK3532">
        <v>0.63089132522892</v>
      </c>
      <c r="AL3532">
        <v>67.329785749834699</v>
      </c>
      <c r="AM3532">
        <v>76.884119171533101</v>
      </c>
      <c r="AN3532">
        <v>0.99999999974689902</v>
      </c>
    </row>
    <row r="3533" spans="1:40" x14ac:dyDescent="0.25">
      <c r="A3533" t="str">
        <f>"20190304164713831"</f>
        <v>20190304164713831</v>
      </c>
      <c r="B3533" t="str">
        <f>"1551689233822793"</f>
        <v>1551689233822793</v>
      </c>
      <c r="C3533" t="s">
        <v>40</v>
      </c>
      <c r="D3533">
        <v>4.513649</v>
      </c>
      <c r="E3533">
        <v>0.44817180000000001</v>
      </c>
      <c r="F3533" t="s">
        <v>41</v>
      </c>
      <c r="G3533">
        <v>-191.13399999999999</v>
      </c>
      <c r="H3533">
        <v>1.051374</v>
      </c>
      <c r="I3533">
        <v>163.6961</v>
      </c>
      <c r="J3533">
        <v>-190.9973</v>
      </c>
      <c r="K3533">
        <v>1.1107670000000001</v>
      </c>
      <c r="L3533">
        <v>164.27789999999999</v>
      </c>
      <c r="M3533">
        <v>-0.13661579999999901</v>
      </c>
      <c r="N3533">
        <v>-1.341967E-2</v>
      </c>
      <c r="O3533">
        <v>-0.99053329999999995</v>
      </c>
      <c r="P3533">
        <v>-0.332623</v>
      </c>
      <c r="Q3533">
        <v>0.3729152</v>
      </c>
      <c r="R3533">
        <v>-0.86619650000000004</v>
      </c>
      <c r="S3533">
        <v>-0.69667049999999997</v>
      </c>
      <c r="T3533">
        <v>-0.25055359999999999</v>
      </c>
      <c r="U3533">
        <v>-3.3030699999999902</v>
      </c>
      <c r="V3533">
        <v>0.21172650000000001</v>
      </c>
      <c r="W3533">
        <v>0.38469360000000002</v>
      </c>
      <c r="X3533">
        <v>0.898433499999999</v>
      </c>
      <c r="Y3533">
        <v>7.033122E-2</v>
      </c>
      <c r="Z3533">
        <v>6.0482609999999999E-2</v>
      </c>
      <c r="AA3533">
        <v>0.99568840000000003</v>
      </c>
      <c r="AB3533">
        <v>19</v>
      </c>
      <c r="AC3533">
        <v>-0.136700000000018</v>
      </c>
      <c r="AD3533">
        <v>-5.9393000000000001E-2</v>
      </c>
      <c r="AE3533">
        <v>-0.58179999999998699</v>
      </c>
      <c r="AF3533">
        <v>5.5380913069950903E-2</v>
      </c>
      <c r="AG3533">
        <v>-5.9393000000000001E-2</v>
      </c>
      <c r="AH3533">
        <v>0.58920215784777796</v>
      </c>
      <c r="AI3533">
        <v>95.7310182880735</v>
      </c>
      <c r="AJ3533">
        <v>84.630370357827601</v>
      </c>
      <c r="AK3533">
        <v>0.59477202085668002</v>
      </c>
      <c r="AL3533">
        <v>67.375280469277797</v>
      </c>
      <c r="AM3533">
        <v>76.739517539345499</v>
      </c>
      <c r="AN3533">
        <v>1.00000001530272</v>
      </c>
    </row>
    <row r="3534" spans="1:40" x14ac:dyDescent="0.25">
      <c r="A3534" t="str">
        <f>"20190304164713853"</f>
        <v>20190304164713853</v>
      </c>
      <c r="B3534" t="str">
        <f>"1551689233842313"</f>
        <v>1551689233842313</v>
      </c>
      <c r="C3534" t="s">
        <v>40</v>
      </c>
      <c r="D3534">
        <v>4.538646</v>
      </c>
      <c r="E3534">
        <v>0.49245870000000003</v>
      </c>
      <c r="F3534" t="s">
        <v>41</v>
      </c>
      <c r="G3534">
        <v>-191.15799999999999</v>
      </c>
      <c r="H3534">
        <v>1.0533129999999999</v>
      </c>
      <c r="I3534">
        <v>163.52879999999999</v>
      </c>
      <c r="J3534">
        <v>-191.02269999999999</v>
      </c>
      <c r="K3534">
        <v>1.110706</v>
      </c>
      <c r="L3534">
        <v>164.10239999999999</v>
      </c>
      <c r="M3534">
        <v>-0.13762569999999999</v>
      </c>
      <c r="N3534">
        <v>-1.3419270000000001E-2</v>
      </c>
      <c r="O3534">
        <v>-0.99039350000000004</v>
      </c>
      <c r="P3534">
        <v>-0.33566079999999998</v>
      </c>
      <c r="Q3534">
        <v>0.37213239999999997</v>
      </c>
      <c r="R3534">
        <v>-0.86536069999999998</v>
      </c>
      <c r="S3534">
        <v>-0.707901</v>
      </c>
      <c r="T3534">
        <v>-0.25313210000000003</v>
      </c>
      <c r="U3534">
        <v>-3.3005680000000002</v>
      </c>
      <c r="V3534">
        <v>0.21397530000000001</v>
      </c>
      <c r="W3534">
        <v>0.3838782</v>
      </c>
      <c r="X3534">
        <v>0.89824939999999998</v>
      </c>
      <c r="Y3534">
        <v>7.2695869999999996E-2</v>
      </c>
      <c r="Z3534">
        <v>6.1249230000000002E-2</v>
      </c>
      <c r="AA3534">
        <v>0.99547169999999896</v>
      </c>
      <c r="AB3534">
        <v>19</v>
      </c>
      <c r="AC3534">
        <v>-0.1353</v>
      </c>
      <c r="AD3534">
        <v>-5.7393E-2</v>
      </c>
      <c r="AE3534">
        <v>-0.573599999999999</v>
      </c>
      <c r="AF3534">
        <v>5.4545788117468103E-2</v>
      </c>
      <c r="AG3534">
        <v>-5.7393E-2</v>
      </c>
      <c r="AH3534">
        <v>0.58125075568886397</v>
      </c>
      <c r="AI3534">
        <v>95.614626365880099</v>
      </c>
      <c r="AJ3534">
        <v>84.638944370392593</v>
      </c>
      <c r="AK3534">
        <v>0.58661882039296298</v>
      </c>
      <c r="AL3534">
        <v>67.425883453589194</v>
      </c>
      <c r="AM3534">
        <v>76.601079970217498</v>
      </c>
      <c r="AN3534">
        <v>0.99999994302284301</v>
      </c>
    </row>
    <row r="3535" spans="1:40" x14ac:dyDescent="0.25">
      <c r="A3535" t="str">
        <f>"20190304164713875"</f>
        <v>20190304164713875</v>
      </c>
      <c r="B3535" t="str">
        <f>"1551689233862810"</f>
        <v>1551689233862810</v>
      </c>
      <c r="C3535" t="s">
        <v>40</v>
      </c>
      <c r="D3535">
        <v>4.5651780000000004</v>
      </c>
      <c r="E3535">
        <v>0.51723679999999905</v>
      </c>
      <c r="F3535" t="s">
        <v>41</v>
      </c>
      <c r="G3535">
        <v>-191.26070000000001</v>
      </c>
      <c r="H3535">
        <v>1.0382389999999999</v>
      </c>
      <c r="I3535">
        <v>163.3819</v>
      </c>
      <c r="J3535">
        <v>-191.04900000000001</v>
      </c>
      <c r="K3535">
        <v>1.1106400000000001</v>
      </c>
      <c r="L3535">
        <v>163.9228</v>
      </c>
      <c r="M3535">
        <v>-0.13875100000000001</v>
      </c>
      <c r="N3535">
        <v>-1.3412479999999999E-2</v>
      </c>
      <c r="O3535">
        <v>-0.99023629999999996</v>
      </c>
      <c r="P3535">
        <v>-0.3381459</v>
      </c>
      <c r="Q3535">
        <v>0.37246449999999998</v>
      </c>
      <c r="R3535">
        <v>-0.86424979999999996</v>
      </c>
      <c r="S3535">
        <v>-1.0550379999999999</v>
      </c>
      <c r="T3535">
        <v>-0.32144420000000001</v>
      </c>
      <c r="U3535">
        <v>-3.1957239999999998</v>
      </c>
      <c r="V3535">
        <v>0.21561739999999999</v>
      </c>
      <c r="W3535">
        <v>0.38416539999999999</v>
      </c>
      <c r="X3535">
        <v>0.89773389999999997</v>
      </c>
      <c r="Y3535">
        <v>0.17750050000000001</v>
      </c>
      <c r="Z3535">
        <v>8.228423E-2</v>
      </c>
      <c r="AA3535">
        <v>0.98067470000000001</v>
      </c>
      <c r="AB3535">
        <v>19</v>
      </c>
      <c r="AC3535">
        <v>-0.21170000000000699</v>
      </c>
      <c r="AD3535">
        <v>-7.2401000000000104E-2</v>
      </c>
      <c r="AE3535">
        <v>-0.54089999999999305</v>
      </c>
      <c r="AF3535">
        <v>0.132535579802603</v>
      </c>
      <c r="AG3535">
        <v>-7.2401000000000104E-2</v>
      </c>
      <c r="AH3535">
        <v>0.55639875138212402</v>
      </c>
      <c r="AI3535">
        <v>97.214284166411701</v>
      </c>
      <c r="AJ3535">
        <v>76.601685828120694</v>
      </c>
      <c r="AK3535">
        <v>0.57653027262599099</v>
      </c>
      <c r="AL3535">
        <v>67.408063824176494</v>
      </c>
      <c r="AM3535">
        <v>76.494535364887795</v>
      </c>
      <c r="AN3535">
        <v>1.00000003647456</v>
      </c>
    </row>
    <row r="3536" spans="1:40" x14ac:dyDescent="0.25">
      <c r="A3536" t="str">
        <f>"20190304164713896"</f>
        <v>20190304164713896</v>
      </c>
      <c r="B3536" t="str">
        <f>"1551689233892090"</f>
        <v>1551689233892090</v>
      </c>
      <c r="C3536" t="s">
        <v>40</v>
      </c>
      <c r="D3536">
        <v>4.4850529999999997</v>
      </c>
      <c r="E3536">
        <v>0.53094949999999996</v>
      </c>
      <c r="F3536" t="s">
        <v>51</v>
      </c>
      <c r="G3536">
        <v>-194.69409999999999</v>
      </c>
      <c r="H3536" s="1">
        <v>-1.3322679999999901E-5</v>
      </c>
      <c r="I3536">
        <v>154.77969999999999</v>
      </c>
      <c r="J3536">
        <v>-191.07560000000001</v>
      </c>
      <c r="K3536">
        <v>1.1105640000000001</v>
      </c>
      <c r="L3536">
        <v>163.7439</v>
      </c>
      <c r="M3536">
        <v>-0.13998350000000001</v>
      </c>
      <c r="N3536">
        <v>-1.338745E-2</v>
      </c>
      <c r="O3536">
        <v>-0.99006340000000004</v>
      </c>
      <c r="P3536">
        <v>-0.34061209999999997</v>
      </c>
      <c r="Q3536">
        <v>0.3723725</v>
      </c>
      <c r="R3536">
        <v>-0.86332050000000005</v>
      </c>
      <c r="S3536">
        <v>-1.2539370000000001</v>
      </c>
      <c r="T3536">
        <v>-0.38207459999999999</v>
      </c>
      <c r="U3536">
        <v>-3.1453090000000001</v>
      </c>
      <c r="V3536">
        <v>0.21711939999999999</v>
      </c>
      <c r="W3536">
        <v>0.38401390000000002</v>
      </c>
      <c r="X3536">
        <v>0.89743660000000003</v>
      </c>
      <c r="Y3536">
        <v>0.2345814</v>
      </c>
      <c r="Z3536">
        <v>9.9942329999999996E-2</v>
      </c>
      <c r="AA3536">
        <v>0.96694519999999995</v>
      </c>
      <c r="AB3536">
        <v>19</v>
      </c>
      <c r="AC3536">
        <v>-3.6184999999999801</v>
      </c>
      <c r="AD3536">
        <v>-1.11057732268</v>
      </c>
      <c r="AE3536">
        <v>-8.9641999999999999</v>
      </c>
      <c r="AF3536">
        <v>2.2975886296860599</v>
      </c>
      <c r="AG3536">
        <v>-1.11057732268</v>
      </c>
      <c r="AH3536">
        <v>9.2602773400856506</v>
      </c>
      <c r="AI3536">
        <v>96.639345026703694</v>
      </c>
      <c r="AJ3536">
        <v>76.065597176022806</v>
      </c>
      <c r="AK3536">
        <v>9.6054688545753706</v>
      </c>
      <c r="AL3536">
        <v>67.417463921778193</v>
      </c>
      <c r="AM3536">
        <v>76.399599706554994</v>
      </c>
      <c r="AN3536">
        <v>0.99999998013456404</v>
      </c>
    </row>
    <row r="3537" spans="1:40" x14ac:dyDescent="0.25">
      <c r="A3537" t="str">
        <f>"20190304164713919"</f>
        <v>20190304164713919</v>
      </c>
      <c r="B3537" t="str">
        <f>"1551689233912587"</f>
        <v>1551689233912587</v>
      </c>
      <c r="C3537" t="s">
        <v>40</v>
      </c>
      <c r="D3537">
        <v>4.4795540000000003</v>
      </c>
      <c r="E3537">
        <v>0.53463019999999895</v>
      </c>
      <c r="F3537" t="s">
        <v>51</v>
      </c>
      <c r="G3537">
        <v>-194.7551</v>
      </c>
      <c r="H3537" s="1">
        <v>-1.3577659999999999E-5</v>
      </c>
      <c r="I3537">
        <v>155.36150000000001</v>
      </c>
      <c r="J3537">
        <v>-191.1045</v>
      </c>
      <c r="K3537">
        <v>1.1105069999999999</v>
      </c>
      <c r="L3537">
        <v>163.55170000000001</v>
      </c>
      <c r="M3537">
        <v>-0.14140539999999999</v>
      </c>
      <c r="N3537">
        <v>-1.334626E-2</v>
      </c>
      <c r="O3537">
        <v>-0.98986180000000001</v>
      </c>
      <c r="P3537">
        <v>-0.34336650000000002</v>
      </c>
      <c r="Q3537">
        <v>0.37134099999999998</v>
      </c>
      <c r="R3537">
        <v>-0.86267329999999998</v>
      </c>
      <c r="S3537">
        <v>-1.36676</v>
      </c>
      <c r="T3537">
        <v>-0.41252329999999998</v>
      </c>
      <c r="U3537">
        <v>-3.1136469999999998</v>
      </c>
      <c r="V3537">
        <v>0.21868860000000001</v>
      </c>
      <c r="W3537">
        <v>0.3829147</v>
      </c>
      <c r="X3537">
        <v>0.89752529999999997</v>
      </c>
      <c r="Y3537">
        <v>0.26579029999999998</v>
      </c>
      <c r="Z3537">
        <v>0.10867259999999999</v>
      </c>
      <c r="AA3537">
        <v>0.95788609999999996</v>
      </c>
      <c r="AB3537">
        <v>19</v>
      </c>
      <c r="AC3537">
        <v>-3.6505999999999901</v>
      </c>
      <c r="AD3537">
        <v>-1.11052057766</v>
      </c>
      <c r="AE3537">
        <v>-8.1902000000000008</v>
      </c>
      <c r="AF3537">
        <v>2.4185740719676101</v>
      </c>
      <c r="AG3537">
        <v>-1.11052057766</v>
      </c>
      <c r="AH3537">
        <v>8.4938714172026195</v>
      </c>
      <c r="AI3537">
        <v>97.167066024165706</v>
      </c>
      <c r="AJ3537">
        <v>74.106045086900195</v>
      </c>
      <c r="AK3537">
        <v>8.90104534012562</v>
      </c>
      <c r="AL3537">
        <v>67.485657266011401</v>
      </c>
      <c r="AM3537">
        <v>76.306296023715404</v>
      </c>
      <c r="AN3537">
        <v>1.0000000176930699</v>
      </c>
    </row>
    <row r="3538" spans="1:40" x14ac:dyDescent="0.25">
      <c r="A3538" t="str">
        <f>"20190304164713942"</f>
        <v>20190304164713942</v>
      </c>
      <c r="B3538" t="str">
        <f>"1551689233932105"</f>
        <v>1551689233932105</v>
      </c>
      <c r="C3538" t="s">
        <v>40</v>
      </c>
      <c r="D3538">
        <v>4.5131569999999996</v>
      </c>
      <c r="E3538">
        <v>0.53680680000000003</v>
      </c>
      <c r="F3538" t="s">
        <v>51</v>
      </c>
      <c r="G3538">
        <v>-194.79990000000001</v>
      </c>
      <c r="H3538" s="1">
        <v>-1.358568E-5</v>
      </c>
      <c r="I3538">
        <v>155.37090000000001</v>
      </c>
      <c r="J3538">
        <v>-191.13329999999999</v>
      </c>
      <c r="K3538">
        <v>1.1104540000000001</v>
      </c>
      <c r="L3538">
        <v>163.3621</v>
      </c>
      <c r="M3538">
        <v>-0.1429077</v>
      </c>
      <c r="N3538">
        <v>-1.328555E-2</v>
      </c>
      <c r="O3538">
        <v>-0.98964669999999999</v>
      </c>
      <c r="P3538">
        <v>-0.34557490000000002</v>
      </c>
      <c r="Q3538">
        <v>0.37067070000000002</v>
      </c>
      <c r="R3538">
        <v>-0.86207929999999999</v>
      </c>
      <c r="S3538">
        <v>-1.400879</v>
      </c>
      <c r="T3538">
        <v>-0.4209774</v>
      </c>
      <c r="U3538">
        <v>-3.1012119999999999</v>
      </c>
      <c r="V3538">
        <v>0.2196292</v>
      </c>
      <c r="W3538">
        <v>0.38216529999999999</v>
      </c>
      <c r="X3538">
        <v>0.89761499999999905</v>
      </c>
      <c r="Y3538">
        <v>0.27439350000000001</v>
      </c>
      <c r="Z3538">
        <v>0.111191899999999</v>
      </c>
      <c r="AA3538">
        <v>0.95516730000000005</v>
      </c>
      <c r="AB3538">
        <v>19</v>
      </c>
      <c r="AC3538">
        <v>-3.6666000000000101</v>
      </c>
      <c r="AD3538">
        <v>-1.1104675856799999</v>
      </c>
      <c r="AE3538">
        <v>-7.9911999999999903</v>
      </c>
      <c r="AF3538">
        <v>2.4478070971702999</v>
      </c>
      <c r="AG3538">
        <v>-1.1104675856799999</v>
      </c>
      <c r="AH3538">
        <v>8.3007818437394398</v>
      </c>
      <c r="AI3538">
        <v>97.311999514165393</v>
      </c>
      <c r="AJ3538">
        <v>73.569805344197505</v>
      </c>
      <c r="AK3538">
        <v>8.7251290569915199</v>
      </c>
      <c r="AL3538">
        <v>67.532128913049803</v>
      </c>
      <c r="AM3538">
        <v>76.250951144720005</v>
      </c>
      <c r="AN3538">
        <v>0.99999999512086402</v>
      </c>
    </row>
    <row r="3539" spans="1:40" x14ac:dyDescent="0.25">
      <c r="A3539" t="str">
        <f>"20190304164713964"</f>
        <v>20190304164713964</v>
      </c>
      <c r="B3539" t="str">
        <f>"1551689233952602"</f>
        <v>1551689233952602</v>
      </c>
      <c r="C3539" t="s">
        <v>40</v>
      </c>
      <c r="D3539">
        <v>4.4797640000000003</v>
      </c>
      <c r="E3539">
        <v>0.5381437</v>
      </c>
      <c r="F3539" t="s">
        <v>51</v>
      </c>
      <c r="G3539">
        <v>-194.8064</v>
      </c>
      <c r="H3539" s="1">
        <v>-1.359094E-5</v>
      </c>
      <c r="I3539">
        <v>155.3818</v>
      </c>
      <c r="J3539">
        <v>-191.16079999999999</v>
      </c>
      <c r="K3539">
        <v>1.110393</v>
      </c>
      <c r="L3539">
        <v>163.18469999999999</v>
      </c>
      <c r="M3539">
        <v>-0.14441019999999999</v>
      </c>
      <c r="N3539">
        <v>-1.319854E-2</v>
      </c>
      <c r="O3539">
        <v>-0.98943009999999998</v>
      </c>
      <c r="P3539">
        <v>-0.34751090000000001</v>
      </c>
      <c r="Q3539">
        <v>0.37083110000000002</v>
      </c>
      <c r="R3539">
        <v>-0.86123229999999995</v>
      </c>
      <c r="S3539">
        <v>-1.4241490000000001</v>
      </c>
      <c r="T3539">
        <v>-0.430562</v>
      </c>
      <c r="U3539">
        <v>-3.0942080000000001</v>
      </c>
      <c r="V3539">
        <v>0.22033530000000001</v>
      </c>
      <c r="W3539">
        <v>0.38222089999999997</v>
      </c>
      <c r="X3539">
        <v>0.8974183</v>
      </c>
      <c r="Y3539">
        <v>0.27954509999999899</v>
      </c>
      <c r="Z3539">
        <v>0.1139994</v>
      </c>
      <c r="AA3539">
        <v>0.95334079999999999</v>
      </c>
      <c r="AB3539">
        <v>19</v>
      </c>
      <c r="AC3539">
        <v>-3.6456</v>
      </c>
      <c r="AD3539">
        <v>-1.11040659094</v>
      </c>
      <c r="AE3539">
        <v>-7.8028999999999904</v>
      </c>
      <c r="AF3539">
        <v>2.4399056227626201</v>
      </c>
      <c r="AG3539">
        <v>-1.11040659094</v>
      </c>
      <c r="AH3539">
        <v>8.1127464750042293</v>
      </c>
      <c r="AI3539">
        <v>97.467325429764102</v>
      </c>
      <c r="AJ3539">
        <v>73.261358857022799</v>
      </c>
      <c r="AK3539">
        <v>8.5441674616597503</v>
      </c>
      <c r="AL3539">
        <v>67.528682450320801</v>
      </c>
      <c r="AM3539">
        <v>76.205526205178302</v>
      </c>
      <c r="AN3539">
        <v>1.0000000329988901</v>
      </c>
    </row>
    <row r="3540" spans="1:40" x14ac:dyDescent="0.25">
      <c r="A3540" t="str">
        <f>"20190304164713985"</f>
        <v>20190304164713985</v>
      </c>
      <c r="B3540" t="str">
        <f>"1551689233982858"</f>
        <v>1551689233982858</v>
      </c>
      <c r="C3540" t="s">
        <v>40</v>
      </c>
      <c r="D3540">
        <v>4.5061239999999998</v>
      </c>
      <c r="E3540">
        <v>0.53979379999999999</v>
      </c>
      <c r="F3540" t="s">
        <v>51</v>
      </c>
      <c r="G3540">
        <v>-194.86879999999999</v>
      </c>
      <c r="H3540" s="1">
        <v>-1.353483E-5</v>
      </c>
      <c r="I3540">
        <v>155.2381</v>
      </c>
      <c r="J3540">
        <v>-191.18899999999999</v>
      </c>
      <c r="K3540">
        <v>1.1103270000000001</v>
      </c>
      <c r="L3540">
        <v>163.00409999999999</v>
      </c>
      <c r="M3540">
        <v>-0.14604210000000001</v>
      </c>
      <c r="N3540">
        <v>-1.307438E-2</v>
      </c>
      <c r="O3540">
        <v>-0.98919210000000002</v>
      </c>
      <c r="P3540">
        <v>-0.34960039999999998</v>
      </c>
      <c r="Q3540">
        <v>0.37198160000000002</v>
      </c>
      <c r="R3540">
        <v>-0.85988909999999996</v>
      </c>
      <c r="S3540">
        <v>-1.440842</v>
      </c>
      <c r="T3540">
        <v>-0.43146679999999998</v>
      </c>
      <c r="U3540">
        <v>-3.0877840000000001</v>
      </c>
      <c r="V3540">
        <v>0.22115599999999999</v>
      </c>
      <c r="W3540">
        <v>0.38322430000000002</v>
      </c>
      <c r="X3540">
        <v>0.89678819999999904</v>
      </c>
      <c r="Y3540">
        <v>0.28293600000000002</v>
      </c>
      <c r="Z3540">
        <v>0.11438</v>
      </c>
      <c r="AA3540">
        <v>0.95229430000000004</v>
      </c>
      <c r="AB3540">
        <v>19</v>
      </c>
      <c r="AC3540">
        <v>-3.67979999999997</v>
      </c>
      <c r="AD3540">
        <v>-1.1103405348299999</v>
      </c>
      <c r="AE3540">
        <v>-7.7659999999999902</v>
      </c>
      <c r="AF3540">
        <v>2.46493127230984</v>
      </c>
      <c r="AG3540">
        <v>-1.1103405348299999</v>
      </c>
      <c r="AH3540">
        <v>8.0852014315278602</v>
      </c>
      <c r="AI3540">
        <v>97.483576717872495</v>
      </c>
      <c r="AJ3540">
        <v>73.045135397129997</v>
      </c>
      <c r="AK3540">
        <v>8.5252111099302308</v>
      </c>
      <c r="AL3540">
        <v>67.466452212678306</v>
      </c>
      <c r="AM3540">
        <v>76.146765575602899</v>
      </c>
      <c r="AN3540">
        <v>0.99999995805286401</v>
      </c>
    </row>
    <row r="3541" spans="1:40" x14ac:dyDescent="0.25">
      <c r="A3541" t="str">
        <f>"20190304164714009"</f>
        <v>20190304164714009</v>
      </c>
      <c r="B3541" t="str">
        <f>"1551689234001908"</f>
        <v>1551689234001908</v>
      </c>
      <c r="C3541" t="s">
        <v>40</v>
      </c>
      <c r="D3541">
        <v>4.48569</v>
      </c>
      <c r="E3541">
        <v>0.54061040000000005</v>
      </c>
      <c r="F3541" t="s">
        <v>51</v>
      </c>
      <c r="G3541">
        <v>-194.91040000000001</v>
      </c>
      <c r="H3541" s="1">
        <v>-1.350091E-5</v>
      </c>
      <c r="I3541">
        <v>155.15039999999999</v>
      </c>
      <c r="J3541">
        <v>-191.2199</v>
      </c>
      <c r="K3541">
        <v>1.1102449999999999</v>
      </c>
      <c r="L3541">
        <v>162.81020000000001</v>
      </c>
      <c r="M3541">
        <v>-0.14790629999999999</v>
      </c>
      <c r="N3541">
        <v>-1.2916520000000001E-2</v>
      </c>
      <c r="O3541">
        <v>-0.98891719999999905</v>
      </c>
      <c r="P3541">
        <v>-0.35264250000000003</v>
      </c>
      <c r="Q3541">
        <v>0.3728921</v>
      </c>
      <c r="R3541">
        <v>-0.85825090000000004</v>
      </c>
      <c r="S3541">
        <v>-1.4610289999999999</v>
      </c>
      <c r="T3541">
        <v>-0.43592209999999998</v>
      </c>
      <c r="U3541">
        <v>-3.0833740000000001</v>
      </c>
      <c r="V3541">
        <v>0.22276109999999999</v>
      </c>
      <c r="W3541">
        <v>0.38394919999999999</v>
      </c>
      <c r="X3541">
        <v>0.8960806</v>
      </c>
      <c r="Y3541">
        <v>0.28668630000000001</v>
      </c>
      <c r="Z3541">
        <v>0.1157017</v>
      </c>
      <c r="AA3541">
        <v>0.95101210000000003</v>
      </c>
      <c r="AB3541">
        <v>19</v>
      </c>
      <c r="AC3541">
        <v>-3.6905000000000099</v>
      </c>
      <c r="AD3541">
        <v>-1.1102585009099999</v>
      </c>
      <c r="AE3541">
        <v>-7.6598000000000104</v>
      </c>
      <c r="AF3541">
        <v>2.47467942851444</v>
      </c>
      <c r="AG3541">
        <v>-1.1102585009099999</v>
      </c>
      <c r="AH3541">
        <v>7.9852734687431299</v>
      </c>
      <c r="AI3541">
        <v>97.565009252068606</v>
      </c>
      <c r="AJ3541">
        <v>72.781508517090501</v>
      </c>
      <c r="AK3541">
        <v>8.4333448040127195</v>
      </c>
      <c r="AL3541">
        <v>67.421478460365705</v>
      </c>
      <c r="AM3541">
        <v>76.039550203651203</v>
      </c>
      <c r="AN3541">
        <v>0.999999968775104</v>
      </c>
    </row>
    <row r="3542" spans="1:40" x14ac:dyDescent="0.25">
      <c r="A3542" t="str">
        <f>"20190304164714030"</f>
        <v>20190304164714030</v>
      </c>
      <c r="B3542" t="str">
        <f>"1551689234022408"</f>
        <v>1551689234022408</v>
      </c>
      <c r="C3542" t="s">
        <v>40</v>
      </c>
      <c r="D3542">
        <v>4.4849629999999996</v>
      </c>
      <c r="E3542">
        <v>0.54125780000000001</v>
      </c>
      <c r="F3542" t="s">
        <v>51</v>
      </c>
      <c r="G3542">
        <v>-194.97</v>
      </c>
      <c r="H3542" s="1">
        <v>-1.343385E-5</v>
      </c>
      <c r="I3542">
        <v>154.98179999999999</v>
      </c>
      <c r="J3542">
        <v>-191.2484</v>
      </c>
      <c r="K3542">
        <v>1.110171</v>
      </c>
      <c r="L3542">
        <v>162.6336</v>
      </c>
      <c r="M3542">
        <v>-0.14970449999999999</v>
      </c>
      <c r="N3542">
        <v>-1.2770760000000001E-2</v>
      </c>
      <c r="O3542">
        <v>-0.98864850000000004</v>
      </c>
      <c r="P3542">
        <v>-0.35526160000000001</v>
      </c>
      <c r="Q3542">
        <v>0.37349860000000001</v>
      </c>
      <c r="R3542">
        <v>-0.85690669999999902</v>
      </c>
      <c r="S3542">
        <v>-1.475052</v>
      </c>
      <c r="T3542">
        <v>-0.43669799999999998</v>
      </c>
      <c r="U3542">
        <v>-3.0791469999999999</v>
      </c>
      <c r="V3542">
        <v>0.22396540000000001</v>
      </c>
      <c r="W3542">
        <v>0.3843859</v>
      </c>
      <c r="X3542">
        <v>0.89559310000000003</v>
      </c>
      <c r="Y3542">
        <v>0.28896379999999999</v>
      </c>
      <c r="Z3542">
        <v>0.1160162</v>
      </c>
      <c r="AA3542">
        <v>0.95028420000000002</v>
      </c>
      <c r="AB3542">
        <v>19</v>
      </c>
      <c r="AC3542">
        <v>-3.7215999999999898</v>
      </c>
      <c r="AD3542">
        <v>-1.11018443385</v>
      </c>
      <c r="AE3542">
        <v>-7.6517999999999997</v>
      </c>
      <c r="AF3542">
        <v>2.4916351025338401</v>
      </c>
      <c r="AG3542">
        <v>-1.11018443385</v>
      </c>
      <c r="AH3542">
        <v>7.9867785377431399</v>
      </c>
      <c r="AI3542">
        <v>97.558726795031504</v>
      </c>
      <c r="AJ3542">
        <v>72.673645924108698</v>
      </c>
      <c r="AK3542">
        <v>8.4397503738141495</v>
      </c>
      <c r="AL3542">
        <v>67.394378776554504</v>
      </c>
      <c r="AM3542">
        <v>75.959714873770395</v>
      </c>
      <c r="AN3542">
        <v>1.0000000106417899</v>
      </c>
    </row>
    <row r="3543" spans="1:40" x14ac:dyDescent="0.25">
      <c r="A3543" t="str">
        <f>"20190304164714052"</f>
        <v>20190304164714052</v>
      </c>
      <c r="B3543" t="str">
        <f>"1551689234041927"</f>
        <v>1551689234041927</v>
      </c>
      <c r="C3543" t="s">
        <v>40</v>
      </c>
      <c r="D3543">
        <v>4.4977010000000002</v>
      </c>
      <c r="E3543">
        <v>0.54171990000000003</v>
      </c>
      <c r="F3543" t="s">
        <v>51</v>
      </c>
      <c r="G3543">
        <v>-195.0377</v>
      </c>
      <c r="H3543" s="1">
        <v>-1.3366469999999999E-5</v>
      </c>
      <c r="I3543">
        <v>154.8107</v>
      </c>
      <c r="J3543">
        <v>-191.27760000000001</v>
      </c>
      <c r="K3543">
        <v>1.1101049999999999</v>
      </c>
      <c r="L3543">
        <v>162.45570000000001</v>
      </c>
      <c r="M3543">
        <v>-0.15160969999999999</v>
      </c>
      <c r="N3543">
        <v>-1.263222E-2</v>
      </c>
      <c r="O3543">
        <v>-0.98835989999999996</v>
      </c>
      <c r="P3543">
        <v>-0.35699360000000002</v>
      </c>
      <c r="Q3543">
        <v>0.37394290000000002</v>
      </c>
      <c r="R3543">
        <v>-0.85599259999999999</v>
      </c>
      <c r="S3543">
        <v>-1.4889220000000001</v>
      </c>
      <c r="T3543">
        <v>-0.43622030000000001</v>
      </c>
      <c r="U3543">
        <v>-3.0737920000000001</v>
      </c>
      <c r="V3543">
        <v>0.2241339</v>
      </c>
      <c r="W3543">
        <v>0.38467200000000001</v>
      </c>
      <c r="X3543">
        <v>0.89542809999999995</v>
      </c>
      <c r="Y3543">
        <v>0.29124620000000001</v>
      </c>
      <c r="Z3543">
        <v>0.11599909999999999</v>
      </c>
      <c r="AA3543">
        <v>0.94958929999999997</v>
      </c>
      <c r="AB3543">
        <v>19</v>
      </c>
      <c r="AC3543">
        <v>-3.7600999999999898</v>
      </c>
      <c r="AD3543">
        <v>-1.1101183664699901</v>
      </c>
      <c r="AE3543">
        <v>-7.6449999999999996</v>
      </c>
      <c r="AF3543">
        <v>2.51478264185014</v>
      </c>
      <c r="AG3543">
        <v>-1.1101183664699901</v>
      </c>
      <c r="AH3543">
        <v>7.9910511649530704</v>
      </c>
      <c r="AI3543">
        <v>97.5484737692518</v>
      </c>
      <c r="AJ3543">
        <v>72.531218725739606</v>
      </c>
      <c r="AK3543">
        <v>8.4506445460818291</v>
      </c>
      <c r="AL3543">
        <v>67.376621283558606</v>
      </c>
      <c r="AM3543">
        <v>75.947083479874905</v>
      </c>
      <c r="AN3543">
        <v>1.0000000174914001</v>
      </c>
    </row>
    <row r="3544" spans="1:40" x14ac:dyDescent="0.25">
      <c r="A3544" t="str">
        <f>"20190304164714074"</f>
        <v>20190304164714074</v>
      </c>
      <c r="B3544" t="str">
        <f>"1551689234062421"</f>
        <v>1551689234062421</v>
      </c>
      <c r="C3544" t="s">
        <v>40</v>
      </c>
      <c r="D3544">
        <v>4.5294369999999997</v>
      </c>
      <c r="E3544">
        <v>0.54218389999999905</v>
      </c>
      <c r="F3544" t="s">
        <v>51</v>
      </c>
      <c r="G3544">
        <v>-195.0986</v>
      </c>
      <c r="H3544" s="1">
        <v>-1.329676E-5</v>
      </c>
      <c r="I3544">
        <v>154.63560000000001</v>
      </c>
      <c r="J3544">
        <v>-191.3074</v>
      </c>
      <c r="K3544">
        <v>1.110034</v>
      </c>
      <c r="L3544">
        <v>162.27670000000001</v>
      </c>
      <c r="M3544">
        <v>-0.15362129999999999</v>
      </c>
      <c r="N3544">
        <v>-1.249757E-2</v>
      </c>
      <c r="O3544">
        <v>-0.98805080000000001</v>
      </c>
      <c r="P3544">
        <v>-0.35904509999999901</v>
      </c>
      <c r="Q3544">
        <v>0.3743148</v>
      </c>
      <c r="R3544">
        <v>-0.85497069999999997</v>
      </c>
      <c r="S3544">
        <v>-1.4998469999999999</v>
      </c>
      <c r="T3544">
        <v>-0.43574499999999999</v>
      </c>
      <c r="U3544">
        <v>-3.069534</v>
      </c>
      <c r="V3544">
        <v>0.22453819999999999</v>
      </c>
      <c r="W3544">
        <v>0.38488939999999999</v>
      </c>
      <c r="X3544">
        <v>0.89523330000000001</v>
      </c>
      <c r="Y3544">
        <v>0.29255229999999999</v>
      </c>
      <c r="Z3544">
        <v>0.1159771</v>
      </c>
      <c r="AA3544">
        <v>0.94919039999999999</v>
      </c>
      <c r="AB3544">
        <v>19</v>
      </c>
      <c r="AC3544">
        <v>-3.7911999999999999</v>
      </c>
      <c r="AD3544">
        <v>-1.1100472967599999</v>
      </c>
      <c r="AE3544">
        <v>-7.64109999999999</v>
      </c>
      <c r="AF3544">
        <v>2.5294266937089702</v>
      </c>
      <c r="AG3544">
        <v>-1.1100472967599999</v>
      </c>
      <c r="AH3544">
        <v>7.9974005912680797</v>
      </c>
      <c r="AI3544">
        <v>97.538690696527198</v>
      </c>
      <c r="AJ3544">
        <v>72.448821173132501</v>
      </c>
      <c r="AK3544">
        <v>8.4610058868379703</v>
      </c>
      <c r="AL3544">
        <v>67.363124731165797</v>
      </c>
      <c r="AM3544">
        <v>75.919800086764099</v>
      </c>
      <c r="AN3544">
        <v>0.99999995746024395</v>
      </c>
    </row>
    <row r="3545" spans="1:40" x14ac:dyDescent="0.25">
      <c r="A3545" t="str">
        <f>"20190304164714098"</f>
        <v>20190304164714098</v>
      </c>
      <c r="B3545" t="str">
        <f>"1551689234092676"</f>
        <v>1551689234092676</v>
      </c>
      <c r="C3545" t="s">
        <v>40</v>
      </c>
      <c r="D3545">
        <v>4.7051959999999999</v>
      </c>
      <c r="E3545">
        <v>0.54261800000000004</v>
      </c>
      <c r="F3545" t="s">
        <v>51</v>
      </c>
      <c r="G3545">
        <v>-195.13900000000001</v>
      </c>
      <c r="H3545" s="1">
        <v>-1.32614299999999E-5</v>
      </c>
      <c r="I3545">
        <v>154.49459999999999</v>
      </c>
      <c r="J3545">
        <v>-191.34020000000001</v>
      </c>
      <c r="K3545">
        <v>1.1099559999999999</v>
      </c>
      <c r="L3545">
        <v>162.08330000000001</v>
      </c>
      <c r="M3545">
        <v>-0.1559073</v>
      </c>
      <c r="N3545">
        <v>-1.2355349999999999E-2</v>
      </c>
      <c r="O3545">
        <v>-0.98769430000000003</v>
      </c>
      <c r="P3545">
        <v>-0.36039939999999998</v>
      </c>
      <c r="Q3545">
        <v>0.37409140000000002</v>
      </c>
      <c r="R3545">
        <v>-0.8544988</v>
      </c>
      <c r="S3545">
        <v>-1.5097499999999999</v>
      </c>
      <c r="T3545">
        <v>-0.43739</v>
      </c>
      <c r="U3545">
        <v>-3.066376</v>
      </c>
      <c r="V3545">
        <v>0.22391659999999999</v>
      </c>
      <c r="W3545">
        <v>0.38451400000000002</v>
      </c>
      <c r="X3545">
        <v>0.89555030000000002</v>
      </c>
      <c r="Y3545">
        <v>0.29316950000000003</v>
      </c>
      <c r="Z3545">
        <v>0.1165474</v>
      </c>
      <c r="AA3545">
        <v>0.9489301</v>
      </c>
      <c r="AB3545">
        <v>19</v>
      </c>
      <c r="AC3545">
        <v>-3.7988</v>
      </c>
      <c r="AD3545">
        <v>-1.1099692614300001</v>
      </c>
      <c r="AE3545">
        <v>-7.58870000000001</v>
      </c>
      <c r="AF3545">
        <v>2.5259051686770899</v>
      </c>
      <c r="AG3545">
        <v>-1.1099692614300001</v>
      </c>
      <c r="AH3545">
        <v>7.9521572996627699</v>
      </c>
      <c r="AI3545">
        <v>97.577630362545506</v>
      </c>
      <c r="AJ3545">
        <v>72.378188447597793</v>
      </c>
      <c r="AK3545">
        <v>8.4171868460340704</v>
      </c>
      <c r="AL3545">
        <v>67.386427891827296</v>
      </c>
      <c r="AM3545">
        <v>75.962008808973707</v>
      </c>
      <c r="AN3545">
        <v>0.999999999890825</v>
      </c>
    </row>
    <row r="3546" spans="1:40" x14ac:dyDescent="0.25">
      <c r="A3546" t="str">
        <f>"20190304164714120"</f>
        <v>20190304164714120</v>
      </c>
      <c r="B3546" t="str">
        <f>"1551689234112708"</f>
        <v>1551689234112708</v>
      </c>
      <c r="C3546" t="s">
        <v>40</v>
      </c>
      <c r="D3546">
        <v>4.5902830000000003</v>
      </c>
      <c r="E3546">
        <v>0.56755319999999898</v>
      </c>
      <c r="F3546" t="s">
        <v>51</v>
      </c>
      <c r="G3546">
        <v>-195.18279999999999</v>
      </c>
      <c r="H3546" s="1">
        <v>-1.32223E-5</v>
      </c>
      <c r="I3546">
        <v>154.3237</v>
      </c>
      <c r="J3546">
        <v>-191.37280000000001</v>
      </c>
      <c r="K3546">
        <v>1.1098969999999999</v>
      </c>
      <c r="L3546">
        <v>161.89449999999999</v>
      </c>
      <c r="M3546">
        <v>-0.15822839999999999</v>
      </c>
      <c r="N3546">
        <v>-1.222124E-2</v>
      </c>
      <c r="O3546">
        <v>-0.98732690000000001</v>
      </c>
      <c r="P3546">
        <v>-0.36206060000000001</v>
      </c>
      <c r="Q3546">
        <v>0.37468659999999998</v>
      </c>
      <c r="R3546">
        <v>-0.85353480000000004</v>
      </c>
      <c r="S3546">
        <v>-1.5167539999999999</v>
      </c>
      <c r="T3546">
        <v>-0.43813069999999998</v>
      </c>
      <c r="U3546">
        <v>-3.062897</v>
      </c>
      <c r="V3546">
        <v>0.22363640000000001</v>
      </c>
      <c r="W3546">
        <v>0.38496380000000002</v>
      </c>
      <c r="X3546">
        <v>0.89542699999999997</v>
      </c>
      <c r="Y3546">
        <v>0.2930796</v>
      </c>
      <c r="Z3546">
        <v>0.11689629999999999</v>
      </c>
      <c r="AA3546">
        <v>0.94891490000000001</v>
      </c>
      <c r="AB3546">
        <v>19</v>
      </c>
      <c r="AC3546">
        <v>-3.8099999999999699</v>
      </c>
      <c r="AD3546">
        <v>-1.1099102222999999</v>
      </c>
      <c r="AE3546">
        <v>-7.5707999999999904</v>
      </c>
      <c r="AF3546">
        <v>2.5207616543161699</v>
      </c>
      <c r="AG3546">
        <v>-1.1099102222999999</v>
      </c>
      <c r="AH3546">
        <v>7.94210504249466</v>
      </c>
      <c r="AI3546">
        <v>97.587241981865603</v>
      </c>
      <c r="AJ3546">
        <v>72.390971272713401</v>
      </c>
      <c r="AK3546">
        <v>8.4061389784761502</v>
      </c>
      <c r="AL3546">
        <v>67.358505613272001</v>
      </c>
      <c r="AM3546">
        <v>75.977027472585405</v>
      </c>
      <c r="AN3546">
        <v>0.99999993952219801</v>
      </c>
    </row>
    <row r="3547" spans="1:40" x14ac:dyDescent="0.25">
      <c r="A3547" t="str">
        <f>"20190304164714143"</f>
        <v>20190304164714143</v>
      </c>
      <c r="B3547" t="str">
        <f>"1551689234132224"</f>
        <v>1551689234132224</v>
      </c>
      <c r="C3547" t="s">
        <v>40</v>
      </c>
      <c r="D3547">
        <v>4.59579</v>
      </c>
      <c r="E3547">
        <v>0.56871319999999903</v>
      </c>
      <c r="F3547" t="s">
        <v>51</v>
      </c>
      <c r="G3547">
        <v>-194.9264</v>
      </c>
      <c r="H3547" s="1">
        <v>-1.370192E-5</v>
      </c>
      <c r="I3547">
        <v>155.6157</v>
      </c>
      <c r="J3547">
        <v>-191.40620000000001</v>
      </c>
      <c r="K3547">
        <v>1.109855</v>
      </c>
      <c r="L3547">
        <v>161.70419999999999</v>
      </c>
      <c r="M3547">
        <v>-0.16064020000000001</v>
      </c>
      <c r="N3547">
        <v>-1.209441E-2</v>
      </c>
      <c r="O3547">
        <v>-0.98693900000000001</v>
      </c>
      <c r="P3547">
        <v>-0.36330659999999998</v>
      </c>
      <c r="Q3547">
        <v>0.37442019999999998</v>
      </c>
      <c r="R3547">
        <v>-0.85312269999999901</v>
      </c>
      <c r="S3547">
        <v>-1.711212</v>
      </c>
      <c r="T3547">
        <v>-0.53447480000000003</v>
      </c>
      <c r="U3547">
        <v>-3.0235599999999998</v>
      </c>
      <c r="V3547">
        <v>0.2227613</v>
      </c>
      <c r="W3547">
        <v>0.38457340000000001</v>
      </c>
      <c r="X3547">
        <v>0.89581290000000002</v>
      </c>
      <c r="Y3547">
        <v>0.34094170000000001</v>
      </c>
      <c r="Z3547">
        <v>0.142952</v>
      </c>
      <c r="AA3547">
        <v>0.92915199999999998</v>
      </c>
      <c r="AB3547">
        <v>19</v>
      </c>
      <c r="AC3547">
        <v>-3.52019999999998</v>
      </c>
      <c r="AD3547">
        <v>-1.10986870192</v>
      </c>
      <c r="AE3547">
        <v>-6.0884999999999803</v>
      </c>
      <c r="AF3547">
        <v>2.4356880645258001</v>
      </c>
      <c r="AG3547">
        <v>-1.10986870192</v>
      </c>
      <c r="AH3547">
        <v>6.4151785097073004</v>
      </c>
      <c r="AI3547">
        <v>99.187523838735402</v>
      </c>
      <c r="AJ3547">
        <v>69.209441954623102</v>
      </c>
      <c r="AK3547">
        <v>6.9511797699804498</v>
      </c>
      <c r="AL3547">
        <v>67.382741610012602</v>
      </c>
      <c r="AM3547">
        <v>76.035529527141193</v>
      </c>
      <c r="AN3547">
        <v>1.00000002428583</v>
      </c>
    </row>
    <row r="3548" spans="1:40" x14ac:dyDescent="0.25">
      <c r="A3548" t="str">
        <f>"20190304164714165"</f>
        <v>20190304164714165</v>
      </c>
      <c r="B3548" t="str">
        <f>"1551689234152721"</f>
        <v>1551689234152721</v>
      </c>
      <c r="C3548" t="s">
        <v>40</v>
      </c>
      <c r="D3548">
        <v>4.5868640000000003</v>
      </c>
      <c r="E3548">
        <v>0.56956830000000003</v>
      </c>
      <c r="F3548" t="s">
        <v>51</v>
      </c>
      <c r="G3548">
        <v>-194.7235</v>
      </c>
      <c r="H3548" s="1">
        <v>-1.3790909999999999E-5</v>
      </c>
      <c r="I3548">
        <v>155.86510000000001</v>
      </c>
      <c r="J3548">
        <v>-191.43780000000001</v>
      </c>
      <c r="K3548">
        <v>1.1098239999999999</v>
      </c>
      <c r="L3548">
        <v>161.52670000000001</v>
      </c>
      <c r="M3548">
        <v>-0.16294510000000001</v>
      </c>
      <c r="N3548">
        <v>-1.198138E-2</v>
      </c>
      <c r="O3548">
        <v>-0.98656239999999995</v>
      </c>
      <c r="P3548">
        <v>-0.36378529999999998</v>
      </c>
      <c r="Q3548">
        <v>0.3739634</v>
      </c>
      <c r="R3548">
        <v>-0.85311899999999996</v>
      </c>
      <c r="S3548">
        <v>-1.724472</v>
      </c>
      <c r="T3548">
        <v>-0.57694639999999997</v>
      </c>
      <c r="U3548">
        <v>-3.035355</v>
      </c>
      <c r="V3548">
        <v>0.2211485</v>
      </c>
      <c r="W3548">
        <v>0.38401610000000003</v>
      </c>
      <c r="X3548">
        <v>0.89645129999999995</v>
      </c>
      <c r="Y3548">
        <v>0.3394144</v>
      </c>
      <c r="Z3548">
        <v>0.15425249999999999</v>
      </c>
      <c r="AA3548">
        <v>0.92790300000000003</v>
      </c>
      <c r="AB3548">
        <v>19</v>
      </c>
      <c r="AC3548">
        <v>-3.2856999999999901</v>
      </c>
      <c r="AD3548">
        <v>-1.1098377909099999</v>
      </c>
      <c r="AE3548">
        <v>-5.6615999999999902</v>
      </c>
      <c r="AF3548">
        <v>2.2543807863572498</v>
      </c>
      <c r="AG3548">
        <v>-1.1098377909099999</v>
      </c>
      <c r="AH3548">
        <v>5.9503040537601697</v>
      </c>
      <c r="AI3548">
        <v>99.893957651377406</v>
      </c>
      <c r="AJ3548">
        <v>69.249896901171994</v>
      </c>
      <c r="AK3548">
        <v>6.4591091478797198</v>
      </c>
      <c r="AL3548">
        <v>67.417327369411396</v>
      </c>
      <c r="AM3548">
        <v>76.1422118281195</v>
      </c>
      <c r="AN3548">
        <v>0.99999997869157398</v>
      </c>
    </row>
    <row r="3549" spans="1:40" x14ac:dyDescent="0.25">
      <c r="A3549" t="str">
        <f>"20190304164714186"</f>
        <v>20190304164714186</v>
      </c>
      <c r="B3549" t="str">
        <f>"1551689234182977"</f>
        <v>1551689234182977</v>
      </c>
      <c r="C3549" t="s">
        <v>40</v>
      </c>
      <c r="D3549">
        <v>4.5569670000000002</v>
      </c>
      <c r="E3549">
        <v>0.5703222</v>
      </c>
      <c r="F3549" t="s">
        <v>51</v>
      </c>
      <c r="G3549">
        <v>-194.68870000000001</v>
      </c>
      <c r="H3549" s="1">
        <v>-1.3773229999999999E-5</v>
      </c>
      <c r="I3549">
        <v>155.83109999999999</v>
      </c>
      <c r="J3549">
        <v>-191.46960000000001</v>
      </c>
      <c r="K3549">
        <v>1.109801</v>
      </c>
      <c r="L3549">
        <v>161.35079999999999</v>
      </c>
      <c r="M3549">
        <v>-0.16527929999999999</v>
      </c>
      <c r="N3549">
        <v>-1.1870449999999999E-2</v>
      </c>
      <c r="O3549">
        <v>-0.98617540000000004</v>
      </c>
      <c r="P3549">
        <v>-0.36414550000000001</v>
      </c>
      <c r="Q3549">
        <v>0.37399320000000003</v>
      </c>
      <c r="R3549">
        <v>-0.85295189999999999</v>
      </c>
      <c r="S3549">
        <v>-1.733322</v>
      </c>
      <c r="T3549">
        <v>-0.59173989999999999</v>
      </c>
      <c r="U3549">
        <v>-3.0367579999999998</v>
      </c>
      <c r="V3549">
        <v>0.21941550000000001</v>
      </c>
      <c r="W3549">
        <v>0.38394739999999999</v>
      </c>
      <c r="X3549">
        <v>0.89690650000000005</v>
      </c>
      <c r="Y3549">
        <v>0.33873309999999901</v>
      </c>
      <c r="Z3549">
        <v>0.1582354</v>
      </c>
      <c r="AA3549">
        <v>0.92748120000000001</v>
      </c>
      <c r="AB3549">
        <v>19</v>
      </c>
      <c r="AC3549">
        <v>-3.2190999999999899</v>
      </c>
      <c r="AD3549">
        <v>-1.1098147732299899</v>
      </c>
      <c r="AE3549">
        <v>-5.5197000000000003</v>
      </c>
      <c r="AF3549">
        <v>2.1962123639475601</v>
      </c>
      <c r="AG3549">
        <v>-1.1098147732299899</v>
      </c>
      <c r="AH3549">
        <v>5.8008717811317903</v>
      </c>
      <c r="AI3549">
        <v>100.14427606824999</v>
      </c>
      <c r="AJ3549">
        <v>69.263314321296903</v>
      </c>
      <c r="AK3549">
        <v>6.30120234555016</v>
      </c>
      <c r="AL3549">
        <v>67.421591342378093</v>
      </c>
      <c r="AM3549">
        <v>76.253382804138994</v>
      </c>
      <c r="AN3549">
        <v>1.0000000186746201</v>
      </c>
    </row>
    <row r="3550" spans="1:40" x14ac:dyDescent="0.25">
      <c r="A3550" t="str">
        <f>"20190304164714209"</f>
        <v>20190304164714209</v>
      </c>
      <c r="B3550" t="str">
        <f>"1551689234202497"</f>
        <v>1551689234202497</v>
      </c>
      <c r="C3550" t="s">
        <v>40</v>
      </c>
      <c r="D3550">
        <v>4.5975149999999996</v>
      </c>
      <c r="E3550">
        <v>0.57070149999999997</v>
      </c>
      <c r="F3550" t="s">
        <v>51</v>
      </c>
      <c r="G3550">
        <v>-194.6987</v>
      </c>
      <c r="H3550" s="1">
        <v>-1.372905E-5</v>
      </c>
      <c r="I3550">
        <v>155.726</v>
      </c>
      <c r="J3550">
        <v>-191.50550000000001</v>
      </c>
      <c r="K3550">
        <v>1.109766</v>
      </c>
      <c r="L3550">
        <v>161.1557</v>
      </c>
      <c r="M3550">
        <v>-0.1679234</v>
      </c>
      <c r="N3550">
        <v>-1.1750719999999999E-2</v>
      </c>
      <c r="O3550">
        <v>-0.98573029999999995</v>
      </c>
      <c r="P3550">
        <v>-0.36568420000000001</v>
      </c>
      <c r="Q3550">
        <v>0.3754595</v>
      </c>
      <c r="R3550">
        <v>-0.85164889999999904</v>
      </c>
      <c r="S3550">
        <v>-1.7427979999999901</v>
      </c>
      <c r="T3550">
        <v>-0.59899530000000001</v>
      </c>
      <c r="U3550">
        <v>-3.035828</v>
      </c>
      <c r="V3550">
        <v>0.2187588</v>
      </c>
      <c r="W3550">
        <v>0.3852912</v>
      </c>
      <c r="X3550">
        <v>0.89649049999999997</v>
      </c>
      <c r="Y3550">
        <v>0.33835969999999999</v>
      </c>
      <c r="Z3550">
        <v>0.16019520000000001</v>
      </c>
      <c r="AA3550">
        <v>0.92728109999999997</v>
      </c>
      <c r="AB3550">
        <v>19</v>
      </c>
      <c r="AC3550">
        <v>-3.1931999999999898</v>
      </c>
      <c r="AD3550">
        <v>-1.10977972905</v>
      </c>
      <c r="AE3550">
        <v>-5.4296999999999898</v>
      </c>
      <c r="AF3550">
        <v>2.16869763551956</v>
      </c>
      <c r="AG3550">
        <v>-1.10977972905</v>
      </c>
      <c r="AH3550">
        <v>5.7115510581704996</v>
      </c>
      <c r="AI3550">
        <v>100.295543952809</v>
      </c>
      <c r="AJ3550">
        <v>69.208040104581599</v>
      </c>
      <c r="AK3550">
        <v>6.2094022233550801</v>
      </c>
      <c r="AL3550">
        <v>67.3381797559435</v>
      </c>
      <c r="AM3550">
        <v>76.286851227479502</v>
      </c>
      <c r="AN3550">
        <v>0.99999996898256405</v>
      </c>
    </row>
    <row r="3551" spans="1:40" x14ac:dyDescent="0.25">
      <c r="A3551" t="str">
        <f>"20190304164714231"</f>
        <v>20190304164714231</v>
      </c>
      <c r="B3551" t="str">
        <f>"1551689234222021"</f>
        <v>1551689234222021</v>
      </c>
      <c r="C3551" t="s">
        <v>40</v>
      </c>
      <c r="D3551">
        <v>4.4255000000000004</v>
      </c>
      <c r="E3551">
        <v>0.57244729999999999</v>
      </c>
      <c r="F3551" t="s">
        <v>51</v>
      </c>
      <c r="G3551">
        <v>-194.76499999999999</v>
      </c>
      <c r="H3551" s="1">
        <v>-1.36449E-5</v>
      </c>
      <c r="I3551">
        <v>155.51609999999999</v>
      </c>
      <c r="J3551">
        <v>-191.53880000000001</v>
      </c>
      <c r="K3551">
        <v>1.1097300000000001</v>
      </c>
      <c r="L3551">
        <v>160.97710000000001</v>
      </c>
      <c r="M3551">
        <v>-0.1703943</v>
      </c>
      <c r="N3551">
        <v>-1.164753E-2</v>
      </c>
      <c r="O3551">
        <v>-0.98530709999999999</v>
      </c>
      <c r="P3551">
        <v>-0.3684267</v>
      </c>
      <c r="Q3551">
        <v>0.37647419999999998</v>
      </c>
      <c r="R3551">
        <v>-0.85001740000000003</v>
      </c>
      <c r="S3551">
        <v>-1.7530060000000001</v>
      </c>
      <c r="T3551">
        <v>-0.59685219999999894</v>
      </c>
      <c r="U3551">
        <v>-3.03302</v>
      </c>
      <c r="V3551">
        <v>0.2195068</v>
      </c>
      <c r="W3551">
        <v>0.38619039999999999</v>
      </c>
      <c r="X3551">
        <v>0.89592059999999996</v>
      </c>
      <c r="Y3551">
        <v>0.33877180000000001</v>
      </c>
      <c r="Z3551">
        <v>0.1595886</v>
      </c>
      <c r="AA3551">
        <v>0.92723520000000004</v>
      </c>
      <c r="AB3551">
        <v>19</v>
      </c>
      <c r="AC3551">
        <v>-3.2261999999999702</v>
      </c>
      <c r="AD3551">
        <v>-1.1097436449</v>
      </c>
      <c r="AE3551">
        <v>-5.4610000000000101</v>
      </c>
      <c r="AF3551">
        <v>2.18164350524891</v>
      </c>
      <c r="AG3551">
        <v>-1.1097436449</v>
      </c>
      <c r="AH3551">
        <v>5.7547292475017704</v>
      </c>
      <c r="AI3551">
        <v>100.221593251298</v>
      </c>
      <c r="AJ3551">
        <v>69.238058777117104</v>
      </c>
      <c r="AK3551">
        <v>6.25363958454939</v>
      </c>
      <c r="AL3551">
        <v>67.282338131103899</v>
      </c>
      <c r="AM3551">
        <v>76.233322068458605</v>
      </c>
      <c r="AN3551">
        <v>0.99999999090138003</v>
      </c>
    </row>
    <row r="3552" spans="1:40" x14ac:dyDescent="0.25">
      <c r="A3552" t="str">
        <f>"20190304164714253"</f>
        <v>20190304164714253</v>
      </c>
      <c r="B3552" t="str">
        <f>"1551689234242516"</f>
        <v>1551689234242516</v>
      </c>
      <c r="C3552" t="s">
        <v>40</v>
      </c>
      <c r="D3552">
        <v>4.5966610000000001</v>
      </c>
      <c r="E3552">
        <v>0.57218769999999997</v>
      </c>
      <c r="F3552" t="s">
        <v>51</v>
      </c>
      <c r="G3552">
        <v>-194.977</v>
      </c>
      <c r="H3552" s="1">
        <v>-1.3497860000000001E-5</v>
      </c>
      <c r="I3552">
        <v>155.12950000000001</v>
      </c>
      <c r="J3552">
        <v>-191.5735</v>
      </c>
      <c r="K3552">
        <v>1.109685</v>
      </c>
      <c r="L3552">
        <v>160.79429999999999</v>
      </c>
      <c r="M3552">
        <v>-0.1729754</v>
      </c>
      <c r="N3552">
        <v>-1.154051E-2</v>
      </c>
      <c r="O3552">
        <v>-0.98485860000000003</v>
      </c>
      <c r="P3552">
        <v>-0.37134590000000001</v>
      </c>
      <c r="Q3552">
        <v>0.37634230000000002</v>
      </c>
      <c r="R3552">
        <v>-0.84880469999999897</v>
      </c>
      <c r="S3552">
        <v>-1.7724299999999999</v>
      </c>
      <c r="T3552">
        <v>-0.57208930000000002</v>
      </c>
      <c r="U3552">
        <v>-3.014481</v>
      </c>
      <c r="V3552">
        <v>0.22026200000000001</v>
      </c>
      <c r="W3552">
        <v>0.38594109999999998</v>
      </c>
      <c r="X3552">
        <v>0.89584269999999999</v>
      </c>
      <c r="Y3552">
        <v>0.34375800000000001</v>
      </c>
      <c r="Z3552">
        <v>0.15316189999999999</v>
      </c>
      <c r="AA3552">
        <v>0.92648359999999996</v>
      </c>
      <c r="AB3552">
        <v>19</v>
      </c>
      <c r="AC3552">
        <v>-3.4035000000000002</v>
      </c>
      <c r="AD3552">
        <v>-1.10969849786</v>
      </c>
      <c r="AE3552">
        <v>-5.6647999999999801</v>
      </c>
      <c r="AF3552">
        <v>2.3071989658665499</v>
      </c>
      <c r="AG3552">
        <v>-1.10969849786</v>
      </c>
      <c r="AH3552">
        <v>5.9990103228193803</v>
      </c>
      <c r="AI3552">
        <v>99.795638547085503</v>
      </c>
      <c r="AJ3552">
        <v>68.963426627578002</v>
      </c>
      <c r="AK3552">
        <v>6.5224782619447597</v>
      </c>
      <c r="AL3552">
        <v>67.297822959897502</v>
      </c>
      <c r="AM3552">
        <v>76.186614425804194</v>
      </c>
      <c r="AN3552">
        <v>1.00000001222825</v>
      </c>
    </row>
    <row r="3553" spans="1:40" x14ac:dyDescent="0.25">
      <c r="A3553" t="str">
        <f>"20190304164714276"</f>
        <v>20190304164714276</v>
      </c>
      <c r="B3553" t="str">
        <f>"1551689234272769"</f>
        <v>1551689234272769</v>
      </c>
      <c r="C3553" t="s">
        <v>40</v>
      </c>
      <c r="D3553">
        <v>4.6078049999999999</v>
      </c>
      <c r="E3553">
        <v>0.57186479999999995</v>
      </c>
      <c r="F3553" t="s">
        <v>51</v>
      </c>
      <c r="G3553">
        <v>-194.96960000000001</v>
      </c>
      <c r="H3553" s="1">
        <v>-1.3462820000000001E-5</v>
      </c>
      <c r="I3553">
        <v>155.04939999999999</v>
      </c>
      <c r="J3553">
        <v>-191.6097</v>
      </c>
      <c r="K3553">
        <v>1.109631</v>
      </c>
      <c r="L3553">
        <v>160.607</v>
      </c>
      <c r="M3553">
        <v>-0.17568800000000001</v>
      </c>
      <c r="N3553">
        <v>-1.1423579999999999E-2</v>
      </c>
      <c r="O3553">
        <v>-0.98437960000000002</v>
      </c>
      <c r="P3553">
        <v>-0.373998</v>
      </c>
      <c r="Q3553">
        <v>0.37522889999999998</v>
      </c>
      <c r="R3553">
        <v>-0.84813240000000001</v>
      </c>
      <c r="S3553">
        <v>-1.7812190000000001</v>
      </c>
      <c r="T3553">
        <v>-0.58203130000000003</v>
      </c>
      <c r="U3553">
        <v>-3.0131679999999998</v>
      </c>
      <c r="V3553">
        <v>0.22054309999999999</v>
      </c>
      <c r="W3553">
        <v>0.38470549999999998</v>
      </c>
      <c r="X3553">
        <v>0.89630489999999996</v>
      </c>
      <c r="Y3553">
        <v>0.34313670000000002</v>
      </c>
      <c r="Z3553">
        <v>0.15590090000000001</v>
      </c>
      <c r="AA3553">
        <v>0.926257</v>
      </c>
      <c r="AB3553">
        <v>19</v>
      </c>
      <c r="AC3553">
        <v>-3.3599000000000099</v>
      </c>
      <c r="AD3553">
        <v>-1.10964446282</v>
      </c>
      <c r="AE3553">
        <v>-5.5575999999999999</v>
      </c>
      <c r="AF3553">
        <v>2.26503843752849</v>
      </c>
      <c r="AG3553">
        <v>-1.10964446282</v>
      </c>
      <c r="AH3553">
        <v>5.8895346399092396</v>
      </c>
      <c r="AI3553">
        <v>99.973653048531901</v>
      </c>
      <c r="AJ3553">
        <v>68.963905907798406</v>
      </c>
      <c r="AK3553">
        <v>6.4068969269092699</v>
      </c>
      <c r="AL3553">
        <v>67.374542087857407</v>
      </c>
      <c r="AM3553">
        <v>76.176520423529894</v>
      </c>
      <c r="AN3553">
        <v>1.00000002722593</v>
      </c>
    </row>
    <row r="3554" spans="1:40" x14ac:dyDescent="0.25">
      <c r="A3554" t="str">
        <f>"20190304164714299"</f>
        <v>20190304164714299</v>
      </c>
      <c r="B3554" t="str">
        <f>"1551689234292289"</f>
        <v>1551689234292289</v>
      </c>
      <c r="C3554" t="s">
        <v>40</v>
      </c>
      <c r="D3554">
        <v>4.8740399999999999</v>
      </c>
      <c r="E3554">
        <v>0.57132150000000004</v>
      </c>
      <c r="F3554" t="s">
        <v>51</v>
      </c>
      <c r="G3554">
        <v>-194.93600000000001</v>
      </c>
      <c r="H3554" s="1">
        <v>-1.344542E-5</v>
      </c>
      <c r="I3554">
        <v>155.01580000000001</v>
      </c>
      <c r="J3554">
        <v>-191.6473</v>
      </c>
      <c r="K3554">
        <v>1.1095729999999999</v>
      </c>
      <c r="L3554">
        <v>160.41560000000001</v>
      </c>
      <c r="M3554">
        <v>-0.1785388</v>
      </c>
      <c r="N3554">
        <v>-1.1303509999999999E-2</v>
      </c>
      <c r="O3554">
        <v>-0.98386810000000002</v>
      </c>
      <c r="P3554">
        <v>-0.37669979999999997</v>
      </c>
      <c r="Q3554">
        <v>0.3742163</v>
      </c>
      <c r="R3554">
        <v>-0.84738419999999903</v>
      </c>
      <c r="S3554">
        <v>-1.7916259999999999</v>
      </c>
      <c r="T3554">
        <v>-0.59768469999999996</v>
      </c>
      <c r="U3554">
        <v>-3.0115660000000002</v>
      </c>
      <c r="V3554">
        <v>0.22076280000000001</v>
      </c>
      <c r="W3554">
        <v>0.3835652</v>
      </c>
      <c r="X3554">
        <v>0.89673939999999996</v>
      </c>
      <c r="Y3554">
        <v>0.34264660000000002</v>
      </c>
      <c r="Z3554">
        <v>0.1601987</v>
      </c>
      <c r="AA3554">
        <v>0.925705</v>
      </c>
      <c r="AB3554">
        <v>19</v>
      </c>
      <c r="AC3554">
        <v>-3.2886999999999702</v>
      </c>
      <c r="AD3554">
        <v>-1.10958644542</v>
      </c>
      <c r="AE3554">
        <v>-5.3997999999999902</v>
      </c>
      <c r="AF3554">
        <v>2.2038396314925799</v>
      </c>
      <c r="AG3554">
        <v>-1.10958644542</v>
      </c>
      <c r="AH3554">
        <v>5.7239302471300499</v>
      </c>
      <c r="AI3554">
        <v>100.254180128991</v>
      </c>
      <c r="AJ3554">
        <v>68.942191749003797</v>
      </c>
      <c r="AK3554">
        <v>6.2330946306956898</v>
      </c>
      <c r="AL3554">
        <v>67.445305364858001</v>
      </c>
      <c r="AM3554">
        <v>76.169725623386796</v>
      </c>
      <c r="AN3554">
        <v>1.00000001401362</v>
      </c>
    </row>
    <row r="3555" spans="1:40" x14ac:dyDescent="0.25">
      <c r="A3555" t="str">
        <f>"20190304164714321"</f>
        <v>20190304164714321</v>
      </c>
      <c r="B3555" t="str">
        <f>"1551689234312784"</f>
        <v>1551689234312784</v>
      </c>
      <c r="C3555" t="s">
        <v>40</v>
      </c>
      <c r="D3555">
        <v>4.8594400000000002</v>
      </c>
      <c r="E3555">
        <v>0.57007430000000003</v>
      </c>
      <c r="F3555" t="s">
        <v>51</v>
      </c>
      <c r="G3555">
        <v>-194.9153</v>
      </c>
      <c r="H3555" s="1">
        <v>-1.341617E-5</v>
      </c>
      <c r="I3555">
        <v>154.95189999999999</v>
      </c>
      <c r="J3555">
        <v>-191.68440000000001</v>
      </c>
      <c r="K3555">
        <v>1.1095200000000001</v>
      </c>
      <c r="L3555">
        <v>160.22989999999999</v>
      </c>
      <c r="M3555">
        <v>-0.1813718</v>
      </c>
      <c r="N3555">
        <v>-1.119327E-2</v>
      </c>
      <c r="O3555">
        <v>-0.98335099999999998</v>
      </c>
      <c r="P3555">
        <v>-0.37869029999999998</v>
      </c>
      <c r="Q3555">
        <v>0.3736893</v>
      </c>
      <c r="R3555">
        <v>-0.84672919999999996</v>
      </c>
      <c r="S3555">
        <v>-1.8003229999999999</v>
      </c>
      <c r="T3555">
        <v>-0.61126879999999995</v>
      </c>
      <c r="U3555">
        <v>-3.0099330000000002</v>
      </c>
      <c r="V3555">
        <v>0.22027820000000001</v>
      </c>
      <c r="W3555">
        <v>0.38292349999999997</v>
      </c>
      <c r="X3555">
        <v>0.89713269999999901</v>
      </c>
      <c r="Y3555">
        <v>0.34181980000000001</v>
      </c>
      <c r="Z3555">
        <v>0.16392899999999999</v>
      </c>
      <c r="AA3555">
        <v>0.92535750000000005</v>
      </c>
      <c r="AB3555">
        <v>19</v>
      </c>
      <c r="AC3555">
        <v>-3.2308999999999899</v>
      </c>
      <c r="AD3555">
        <v>-1.1095334161699999</v>
      </c>
      <c r="AE3555">
        <v>-5.2779999999999898</v>
      </c>
      <c r="AF3555">
        <v>2.1508266843319399</v>
      </c>
      <c r="AG3555">
        <v>-1.1095334161699999</v>
      </c>
      <c r="AH3555">
        <v>5.59657434416438</v>
      </c>
      <c r="AI3555">
        <v>100.48435974729701</v>
      </c>
      <c r="AJ3555">
        <v>68.977668774728301</v>
      </c>
      <c r="AK3555">
        <v>6.0974391524140001</v>
      </c>
      <c r="AL3555">
        <v>67.485110730049598</v>
      </c>
      <c r="AM3555">
        <v>76.204741901968205</v>
      </c>
      <c r="AN3555">
        <v>0.99999998682838898</v>
      </c>
    </row>
    <row r="3556" spans="1:40" x14ac:dyDescent="0.25">
      <c r="A3556" t="str">
        <f>"20190304164714344"</f>
        <v>20190304164714344</v>
      </c>
      <c r="B3556" t="str">
        <f>"1551689234332305"</f>
        <v>1551689234332305</v>
      </c>
      <c r="C3556" t="s">
        <v>40</v>
      </c>
      <c r="D3556">
        <v>4.8522759999999998</v>
      </c>
      <c r="E3556">
        <v>0.56959079999999995</v>
      </c>
      <c r="F3556" t="s">
        <v>51</v>
      </c>
      <c r="G3556">
        <v>-194.8477</v>
      </c>
      <c r="H3556" s="1">
        <v>-1.3404630000000001E-5</v>
      </c>
      <c r="I3556">
        <v>154.93899999999999</v>
      </c>
      <c r="J3556">
        <v>-191.7216</v>
      </c>
      <c r="K3556">
        <v>1.10947</v>
      </c>
      <c r="L3556">
        <v>160.0471</v>
      </c>
      <c r="M3556">
        <v>-0.18423410000000001</v>
      </c>
      <c r="N3556">
        <v>-1.1084409999999999E-2</v>
      </c>
      <c r="O3556">
        <v>-0.98281989999999997</v>
      </c>
      <c r="P3556">
        <v>-0.38073069999999998</v>
      </c>
      <c r="Q3556">
        <v>0.37360169999999998</v>
      </c>
      <c r="R3556">
        <v>-0.8458523</v>
      </c>
      <c r="S3556">
        <v>-1.8030550000000001</v>
      </c>
      <c r="T3556">
        <v>-0.63242229999999999</v>
      </c>
      <c r="U3556">
        <v>-3.0157470000000002</v>
      </c>
      <c r="V3556">
        <v>0.2198563</v>
      </c>
      <c r="W3556">
        <v>0.38272050000000002</v>
      </c>
      <c r="X3556">
        <v>0.89732279999999998</v>
      </c>
      <c r="Y3556">
        <v>0.33842509999999998</v>
      </c>
      <c r="Z3556">
        <v>0.16952239999999999</v>
      </c>
      <c r="AA3556">
        <v>0.92559740000000001</v>
      </c>
      <c r="AB3556">
        <v>19</v>
      </c>
      <c r="AC3556">
        <v>-3.1261000000000001</v>
      </c>
      <c r="AD3556">
        <v>-1.1094834046299999</v>
      </c>
      <c r="AE3556">
        <v>-5.1081000000000003</v>
      </c>
      <c r="AF3556">
        <v>2.0607109415134</v>
      </c>
      <c r="AG3556">
        <v>-1.1094834046299999</v>
      </c>
      <c r="AH3556">
        <v>5.4109088323330603</v>
      </c>
      <c r="AI3556">
        <v>100.847502466618</v>
      </c>
      <c r="AJ3556">
        <v>69.150976245210103</v>
      </c>
      <c r="AK3556">
        <v>5.8953725413617803</v>
      </c>
      <c r="AL3556">
        <v>67.497700952265504</v>
      </c>
      <c r="AM3556">
        <v>76.232963591469499</v>
      </c>
      <c r="AN3556">
        <v>0.99999999058488998</v>
      </c>
    </row>
    <row r="3557" spans="1:40" x14ac:dyDescent="0.25">
      <c r="A3557" t="str">
        <f>"20190304164714367"</f>
        <v>20190304164714367</v>
      </c>
      <c r="B3557" t="str">
        <f>"1551689234362561"</f>
        <v>1551689234362561</v>
      </c>
      <c r="C3557" t="s">
        <v>40</v>
      </c>
      <c r="D3557">
        <v>4.877847</v>
      </c>
      <c r="E3557">
        <v>0.56835279999999999</v>
      </c>
      <c r="F3557" t="s">
        <v>51</v>
      </c>
      <c r="G3557">
        <v>-194.85740000000001</v>
      </c>
      <c r="H3557" s="1">
        <v>-1.335568E-5</v>
      </c>
      <c r="I3557">
        <v>154.8229</v>
      </c>
      <c r="J3557">
        <v>-191.76140000000001</v>
      </c>
      <c r="K3557">
        <v>1.1094010000000001</v>
      </c>
      <c r="L3557">
        <v>159.8544</v>
      </c>
      <c r="M3557">
        <v>-0.1873486</v>
      </c>
      <c r="N3557">
        <v>-1.096223E-2</v>
      </c>
      <c r="O3557">
        <v>-0.98223229999999995</v>
      </c>
      <c r="P3557">
        <v>-0.3835576</v>
      </c>
      <c r="Q3557">
        <v>0.37309880000000001</v>
      </c>
      <c r="R3557">
        <v>-0.8447964</v>
      </c>
      <c r="S3557">
        <v>-1.809723</v>
      </c>
      <c r="T3557">
        <v>-0.64029459999999905</v>
      </c>
      <c r="U3557">
        <v>-3.0149840000000001</v>
      </c>
      <c r="V3557">
        <v>0.2200155</v>
      </c>
      <c r="W3557">
        <v>0.38208330000000001</v>
      </c>
      <c r="X3557">
        <v>0.89755529999999994</v>
      </c>
      <c r="Y3557">
        <v>0.33686759999999999</v>
      </c>
      <c r="Z3557">
        <v>0.17164769999999999</v>
      </c>
      <c r="AA3557">
        <v>0.92577390000000004</v>
      </c>
      <c r="AB3557">
        <v>19</v>
      </c>
      <c r="AC3557">
        <v>-3.0960000000000001</v>
      </c>
      <c r="AD3557">
        <v>-1.10941435567999</v>
      </c>
      <c r="AE3557">
        <v>-5.0314999999999896</v>
      </c>
      <c r="AF3557">
        <v>2.0269905044988099</v>
      </c>
      <c r="AG3557">
        <v>-1.10941435567999</v>
      </c>
      <c r="AH3557">
        <v>5.3343478547980396</v>
      </c>
      <c r="AI3557">
        <v>101.001802110909</v>
      </c>
      <c r="AJ3557">
        <v>69.193787898242903</v>
      </c>
      <c r="AK3557">
        <v>5.8133258771468901</v>
      </c>
      <c r="AL3557">
        <v>67.537212930251897</v>
      </c>
      <c r="AM3557">
        <v>76.226807176033404</v>
      </c>
      <c r="AN3557">
        <v>0.99999999246861404</v>
      </c>
    </row>
    <row r="3558" spans="1:40" x14ac:dyDescent="0.25">
      <c r="A3558" t="str">
        <f>"20190304164714387"</f>
        <v>20190304164714387</v>
      </c>
      <c r="B3558" t="str">
        <f>"1551689234382081"</f>
        <v>1551689234382081</v>
      </c>
      <c r="C3558" t="s">
        <v>40</v>
      </c>
      <c r="D3558">
        <v>4.8512029999999999</v>
      </c>
      <c r="E3558">
        <v>0.5678552</v>
      </c>
      <c r="F3558" t="s">
        <v>51</v>
      </c>
      <c r="G3558">
        <v>-194.79470000000001</v>
      </c>
      <c r="H3558" s="1">
        <v>-1.333996E-5</v>
      </c>
      <c r="I3558">
        <v>154.79920000000001</v>
      </c>
      <c r="J3558">
        <v>-191.7988</v>
      </c>
      <c r="K3558">
        <v>1.1093249999999999</v>
      </c>
      <c r="L3558">
        <v>159.67699999999999</v>
      </c>
      <c r="M3558">
        <v>-0.19031039999999999</v>
      </c>
      <c r="N3558">
        <v>-1.0840010000000001E-2</v>
      </c>
      <c r="O3558">
        <v>-0.98166410000000004</v>
      </c>
      <c r="P3558">
        <v>-0.3857815</v>
      </c>
      <c r="Q3558">
        <v>0.37194919999999998</v>
      </c>
      <c r="R3558">
        <v>-0.844290599999999</v>
      </c>
      <c r="S3558">
        <v>-1.8126370000000001</v>
      </c>
      <c r="T3558">
        <v>-0.66296350000000004</v>
      </c>
      <c r="U3558">
        <v>-3.0209199999999998</v>
      </c>
      <c r="V3558">
        <v>0.21961929999999999</v>
      </c>
      <c r="W3558">
        <v>0.38080330000000001</v>
      </c>
      <c r="X3558">
        <v>0.89819609999999905</v>
      </c>
      <c r="Y3558">
        <v>0.33333380000000001</v>
      </c>
      <c r="Z3558">
        <v>0.17759430000000001</v>
      </c>
      <c r="AA3558">
        <v>0.92593130000000001</v>
      </c>
      <c r="AB3558">
        <v>19</v>
      </c>
      <c r="AC3558">
        <v>-2.9958999999999998</v>
      </c>
      <c r="AD3558">
        <v>-1.1093383399600001</v>
      </c>
      <c r="AE3558">
        <v>-4.8777999999999997</v>
      </c>
      <c r="AF3558">
        <v>1.9399345111336499</v>
      </c>
      <c r="AG3558">
        <v>-1.1093383399600001</v>
      </c>
      <c r="AH3558">
        <v>5.1648582374937702</v>
      </c>
      <c r="AI3558">
        <v>101.368889132644</v>
      </c>
      <c r="AJ3558">
        <v>69.413687832558395</v>
      </c>
      <c r="AK3558">
        <v>5.6275872337441202</v>
      </c>
      <c r="AL3558">
        <v>67.6165505029347</v>
      </c>
      <c r="AM3558">
        <v>76.260104915023803</v>
      </c>
      <c r="AN3558">
        <v>1.00000001213929</v>
      </c>
    </row>
    <row r="3559" spans="1:40" x14ac:dyDescent="0.25">
      <c r="A3559" t="str">
        <f>"20190304164714411"</f>
        <v>20190304164714411</v>
      </c>
      <c r="B3559" t="str">
        <f>"1551689234402580"</f>
        <v>1551689234402580</v>
      </c>
      <c r="C3559" t="s">
        <v>40</v>
      </c>
      <c r="D3559">
        <v>4.7548000000000004</v>
      </c>
      <c r="E3559">
        <v>0.56795699999999905</v>
      </c>
      <c r="F3559" t="s">
        <v>51</v>
      </c>
      <c r="G3559">
        <v>-194.7807</v>
      </c>
      <c r="H3559" s="1">
        <v>-1.3304180000000001E-5</v>
      </c>
      <c r="I3559">
        <v>154.71870000000001</v>
      </c>
      <c r="J3559">
        <v>-191.8416</v>
      </c>
      <c r="K3559">
        <v>1.1092249999999999</v>
      </c>
      <c r="L3559">
        <v>159.47720000000001</v>
      </c>
      <c r="M3559">
        <v>-0.19374930000000001</v>
      </c>
      <c r="N3559">
        <v>-1.069586E-2</v>
      </c>
      <c r="O3559">
        <v>-0.98099289999999995</v>
      </c>
      <c r="P3559">
        <v>-0.38873970000000002</v>
      </c>
      <c r="Q3559">
        <v>0.3706392</v>
      </c>
      <c r="R3559">
        <v>-0.84350970000000003</v>
      </c>
      <c r="S3559">
        <v>-1.8167720000000001</v>
      </c>
      <c r="T3559">
        <v>-0.67587830000000004</v>
      </c>
      <c r="U3559">
        <v>-3.020905</v>
      </c>
      <c r="V3559">
        <v>0.2195686</v>
      </c>
      <c r="W3559">
        <v>0.37933329999999998</v>
      </c>
      <c r="X3559">
        <v>0.89883029999999997</v>
      </c>
      <c r="Y3559">
        <v>0.33063670000000001</v>
      </c>
      <c r="Z3559">
        <v>0.18110090000000001</v>
      </c>
      <c r="AA3559">
        <v>0.92621909999999996</v>
      </c>
      <c r="AB3559">
        <v>19</v>
      </c>
      <c r="AC3559">
        <v>-2.9390999999999901</v>
      </c>
      <c r="AD3559">
        <v>-1.10923830417999</v>
      </c>
      <c r="AE3559">
        <v>-4.75849999999999</v>
      </c>
      <c r="AF3559">
        <v>1.8871637586976799</v>
      </c>
      <c r="AG3559">
        <v>-1.10923830417999</v>
      </c>
      <c r="AH3559">
        <v>5.0395789643623896</v>
      </c>
      <c r="AI3559">
        <v>101.647083751012</v>
      </c>
      <c r="AJ3559">
        <v>69.470655880559605</v>
      </c>
      <c r="AK3559">
        <v>5.4944656524220798</v>
      </c>
      <c r="AL3559">
        <v>67.707608518697299</v>
      </c>
      <c r="AM3559">
        <v>76.272482334798696</v>
      </c>
      <c r="AN3559">
        <v>1.0000000153964601</v>
      </c>
    </row>
    <row r="3560" spans="1:40" x14ac:dyDescent="0.25">
      <c r="A3560" t="str">
        <f>"20190304164714431"</f>
        <v>20190304164714431</v>
      </c>
      <c r="B3560" t="str">
        <f>"1551689234422096"</f>
        <v>1551689234422096</v>
      </c>
      <c r="C3560" t="s">
        <v>40</v>
      </c>
      <c r="D3560">
        <v>4.5223950000000004</v>
      </c>
      <c r="E3560">
        <v>0.56790130000000005</v>
      </c>
      <c r="F3560" t="s">
        <v>51</v>
      </c>
      <c r="G3560">
        <v>-194.82830000000001</v>
      </c>
      <c r="H3560" s="1">
        <v>-1.324649E-5</v>
      </c>
      <c r="I3560">
        <v>154.54470000000001</v>
      </c>
      <c r="J3560">
        <v>-191.87899999999999</v>
      </c>
      <c r="K3560">
        <v>1.1091340000000001</v>
      </c>
      <c r="L3560">
        <v>159.30619999999999</v>
      </c>
      <c r="M3560">
        <v>-0.19679350000000001</v>
      </c>
      <c r="N3560">
        <v>-1.057321E-2</v>
      </c>
      <c r="O3560">
        <v>-0.98038800000000004</v>
      </c>
      <c r="P3560">
        <v>-0.39159929999999998</v>
      </c>
      <c r="Q3560">
        <v>0.36877130000000002</v>
      </c>
      <c r="R3560">
        <v>-0.84300509999999995</v>
      </c>
      <c r="S3560">
        <v>-1.824692</v>
      </c>
      <c r="T3560">
        <v>-0.67767599999999995</v>
      </c>
      <c r="U3560">
        <v>-3.0134430000000001</v>
      </c>
      <c r="V3560">
        <v>0.21972050000000001</v>
      </c>
      <c r="W3560">
        <v>0.37732710000000003</v>
      </c>
      <c r="X3560">
        <v>0.89963719999999903</v>
      </c>
      <c r="Y3560">
        <v>0.33044230000000002</v>
      </c>
      <c r="Z3560">
        <v>0.1818217</v>
      </c>
      <c r="AA3560">
        <v>0.92614730000000001</v>
      </c>
      <c r="AB3560">
        <v>19</v>
      </c>
      <c r="AC3560">
        <v>-2.9492999999999898</v>
      </c>
      <c r="AD3560">
        <v>-1.1091472464899901</v>
      </c>
      <c r="AE3560">
        <v>-4.7614999999999803</v>
      </c>
      <c r="AF3560">
        <v>1.88077908993737</v>
      </c>
      <c r="AG3560">
        <v>-1.1091472464899901</v>
      </c>
      <c r="AH3560">
        <v>5.0507449625263297</v>
      </c>
      <c r="AI3560">
        <v>101.628860945564</v>
      </c>
      <c r="AJ3560">
        <v>69.575848173264802</v>
      </c>
      <c r="AK3560">
        <v>5.5025050909587598</v>
      </c>
      <c r="AL3560">
        <v>67.831784141850505</v>
      </c>
      <c r="AM3560">
        <v>76.275199638161595</v>
      </c>
      <c r="AN3560">
        <v>0.99999996506924904</v>
      </c>
    </row>
    <row r="3561" spans="1:40" x14ac:dyDescent="0.25">
      <c r="A3561" t="str">
        <f>"20190304164714455"</f>
        <v>20190304164714455</v>
      </c>
      <c r="B3561" t="str">
        <f>"1551689234452354"</f>
        <v>1551689234452354</v>
      </c>
      <c r="C3561" t="s">
        <v>40</v>
      </c>
      <c r="D3561">
        <v>4.5373330000000003</v>
      </c>
      <c r="E3561">
        <v>0.56610539999999998</v>
      </c>
      <c r="F3561" t="s">
        <v>51</v>
      </c>
      <c r="G3561">
        <v>-194.85849999999999</v>
      </c>
      <c r="H3561" s="1">
        <v>-1.321461E-5</v>
      </c>
      <c r="I3561">
        <v>154.4074</v>
      </c>
      <c r="J3561">
        <v>-191.92099999999999</v>
      </c>
      <c r="K3561">
        <v>1.10903</v>
      </c>
      <c r="L3561">
        <v>159.11760000000001</v>
      </c>
      <c r="M3561">
        <v>-0.20025979999999999</v>
      </c>
      <c r="N3561">
        <v>-1.0445970000000001E-2</v>
      </c>
      <c r="O3561">
        <v>-0.97968730000000004</v>
      </c>
      <c r="P3561">
        <v>-0.39526329999999998</v>
      </c>
      <c r="Q3561">
        <v>0.36634440000000001</v>
      </c>
      <c r="R3561">
        <v>-0.84235360000000004</v>
      </c>
      <c r="S3561">
        <v>-1.828857</v>
      </c>
      <c r="T3561">
        <v>-0.6808189</v>
      </c>
      <c r="U3561">
        <v>-3.006958</v>
      </c>
      <c r="V3561">
        <v>0.2203039</v>
      </c>
      <c r="W3561">
        <v>0.37475029999999998</v>
      </c>
      <c r="X3561">
        <v>0.90057119999999902</v>
      </c>
      <c r="Y3561">
        <v>0.32882660000000002</v>
      </c>
      <c r="Z3561">
        <v>0.1829385</v>
      </c>
      <c r="AA3561">
        <v>0.9265023</v>
      </c>
      <c r="AB3561">
        <v>19</v>
      </c>
      <c r="AC3561">
        <v>-2.9375</v>
      </c>
      <c r="AD3561">
        <v>-1.10904321461</v>
      </c>
      <c r="AE3561">
        <v>-4.7102000000000102</v>
      </c>
      <c r="AF3561">
        <v>1.860414513514</v>
      </c>
      <c r="AG3561">
        <v>-1.10904321461</v>
      </c>
      <c r="AH3561">
        <v>5.0033601524862004</v>
      </c>
      <c r="AI3561">
        <v>101.736909119869</v>
      </c>
      <c r="AJ3561">
        <v>69.603203676213994</v>
      </c>
      <c r="AK3561">
        <v>5.4520392358687904</v>
      </c>
      <c r="AL3561">
        <v>67.991120252526898</v>
      </c>
      <c r="AM3561">
        <v>76.2538700649052</v>
      </c>
      <c r="AN3561">
        <v>1.00000004098736</v>
      </c>
    </row>
    <row r="3562" spans="1:40" x14ac:dyDescent="0.25">
      <c r="A3562" t="str">
        <f>"20190304164714477"</f>
        <v>20190304164714477</v>
      </c>
      <c r="B3562" t="str">
        <f>"1551689234472849"</f>
        <v>1551689234472849</v>
      </c>
      <c r="C3562" t="s">
        <v>40</v>
      </c>
      <c r="D3562">
        <v>4.5047040000000003</v>
      </c>
      <c r="E3562">
        <v>0.56635819999999903</v>
      </c>
      <c r="F3562" t="s">
        <v>51</v>
      </c>
      <c r="G3562">
        <v>-196.26150000000001</v>
      </c>
      <c r="H3562" s="1">
        <v>-1.2758129999999999E-5</v>
      </c>
      <c r="I3562">
        <v>152.09870000000001</v>
      </c>
      <c r="J3562">
        <v>-191.96520000000001</v>
      </c>
      <c r="K3562">
        <v>1.108932</v>
      </c>
      <c r="L3562">
        <v>158.92339999999999</v>
      </c>
      <c r="M3562">
        <v>-0.2039725</v>
      </c>
      <c r="N3562">
        <v>-1.032333E-2</v>
      </c>
      <c r="O3562">
        <v>-0.97892239999999997</v>
      </c>
      <c r="P3562">
        <v>-0.39905469999999998</v>
      </c>
      <c r="Q3562">
        <v>0.36410399999999998</v>
      </c>
      <c r="R3562">
        <v>-0.84153679999999997</v>
      </c>
      <c r="S3562">
        <v>-1.80307</v>
      </c>
      <c r="T3562">
        <v>-0.46070410000000001</v>
      </c>
      <c r="U3562">
        <v>-2.9157259999999998</v>
      </c>
      <c r="V3562">
        <v>0.2208164</v>
      </c>
      <c r="W3562">
        <v>0.37236140000000001</v>
      </c>
      <c r="X3562">
        <v>0.90143620000000002</v>
      </c>
      <c r="Y3562">
        <v>0.33697300000000002</v>
      </c>
      <c r="Z3562">
        <v>0.12549379999999999</v>
      </c>
      <c r="AA3562">
        <v>0.93311330000000003</v>
      </c>
      <c r="AB3562">
        <v>19</v>
      </c>
      <c r="AC3562">
        <v>-4.2962999999999996</v>
      </c>
      <c r="AD3562">
        <v>-1.10894475813</v>
      </c>
      <c r="AE3562">
        <v>-6.8246999999999698</v>
      </c>
      <c r="AF3562">
        <v>2.7616223074872699</v>
      </c>
      <c r="AG3562">
        <v>-1.10894475813</v>
      </c>
      <c r="AH3562">
        <v>7.4173237980095799</v>
      </c>
      <c r="AI3562">
        <v>97.975857639980404</v>
      </c>
      <c r="AJ3562">
        <v>69.578665540192105</v>
      </c>
      <c r="AK3562">
        <v>7.9920590945209202</v>
      </c>
      <c r="AL3562">
        <v>68.138676505473796</v>
      </c>
      <c r="AM3562">
        <v>76.235826103622699</v>
      </c>
      <c r="AN3562">
        <v>1.00000005869467</v>
      </c>
    </row>
    <row r="3563" spans="1:40" x14ac:dyDescent="0.25">
      <c r="A3563" t="str">
        <f>"20190304164714500"</f>
        <v>20190304164714500</v>
      </c>
      <c r="B3563" t="str">
        <f>"1551689234492372"</f>
        <v>1551689234492372</v>
      </c>
      <c r="C3563" t="s">
        <v>40</v>
      </c>
      <c r="D3563">
        <v>4.4486049999999997</v>
      </c>
      <c r="E3563">
        <v>0.56696849999999999</v>
      </c>
      <c r="F3563" t="s">
        <v>51</v>
      </c>
      <c r="G3563">
        <v>-196.16800000000001</v>
      </c>
      <c r="H3563" s="1">
        <v>-1.277357E-5</v>
      </c>
      <c r="I3563">
        <v>152.19299999999899</v>
      </c>
      <c r="J3563">
        <v>-192.00989999999999</v>
      </c>
      <c r="K3563">
        <v>1.1088499999999999</v>
      </c>
      <c r="L3563">
        <v>158.73079999999999</v>
      </c>
      <c r="M3563">
        <v>-0.207758</v>
      </c>
      <c r="N3563">
        <v>-1.0209090000000001E-2</v>
      </c>
      <c r="O3563">
        <v>-0.97812699999999997</v>
      </c>
      <c r="P3563">
        <v>-0.40290189999999998</v>
      </c>
      <c r="Q3563">
        <v>0.36461640000000001</v>
      </c>
      <c r="R3563">
        <v>-0.83947909999999903</v>
      </c>
      <c r="S3563">
        <v>-1.81749</v>
      </c>
      <c r="T3563">
        <v>-0.47956130000000002</v>
      </c>
      <c r="U3563">
        <v>-2.9105379999999998</v>
      </c>
      <c r="V3563">
        <v>0.22157160000000001</v>
      </c>
      <c r="W3563">
        <v>0.37272430000000001</v>
      </c>
      <c r="X3563">
        <v>0.90110080000000004</v>
      </c>
      <c r="Y3563">
        <v>0.33703090000000002</v>
      </c>
      <c r="Z3563">
        <v>0.13090869999999999</v>
      </c>
      <c r="AA3563">
        <v>0.93234819999999996</v>
      </c>
      <c r="AB3563">
        <v>19</v>
      </c>
      <c r="AC3563">
        <v>-4.1581000000000099</v>
      </c>
      <c r="AD3563">
        <v>-1.1088627735699901</v>
      </c>
      <c r="AE3563">
        <v>-6.5377999999999998</v>
      </c>
      <c r="AF3563">
        <v>2.6546389459744599</v>
      </c>
      <c r="AG3563">
        <v>-1.1088627735699901</v>
      </c>
      <c r="AH3563">
        <v>7.1133609057973004</v>
      </c>
      <c r="AI3563">
        <v>98.309070837676003</v>
      </c>
      <c r="AJ3563">
        <v>69.534901816015903</v>
      </c>
      <c r="AK3563">
        <v>7.67310810299315</v>
      </c>
      <c r="AL3563">
        <v>68.116269997055596</v>
      </c>
      <c r="AM3563">
        <v>76.185608059707505</v>
      </c>
      <c r="AN3563">
        <v>1.0000000147488399</v>
      </c>
    </row>
    <row r="3564" spans="1:40" x14ac:dyDescent="0.25">
      <c r="A3564" t="str">
        <f>"20190304164714521"</f>
        <v>20190304164714521</v>
      </c>
      <c r="B3564" t="str">
        <f>"1551689234512865"</f>
        <v>1551689234512865</v>
      </c>
      <c r="C3564" t="s">
        <v>40</v>
      </c>
      <c r="D3564">
        <v>4.4806999999999997</v>
      </c>
      <c r="E3564">
        <v>0.56761159999999999</v>
      </c>
      <c r="F3564" t="s">
        <v>51</v>
      </c>
      <c r="G3564">
        <v>-196.28440000000001</v>
      </c>
      <c r="H3564" s="1">
        <v>-1.2732239999999999E-5</v>
      </c>
      <c r="I3564">
        <v>151.98769999999999</v>
      </c>
      <c r="J3564">
        <v>-192.0522</v>
      </c>
      <c r="K3564">
        <v>1.108781</v>
      </c>
      <c r="L3564">
        <v>158.55199999999999</v>
      </c>
      <c r="M3564">
        <v>-0.21136559999999999</v>
      </c>
      <c r="N3564">
        <v>-1.01122E-2</v>
      </c>
      <c r="O3564">
        <v>-0.97735490000000003</v>
      </c>
      <c r="P3564">
        <v>-0.40716400000000003</v>
      </c>
      <c r="Q3564">
        <v>0.36566949999999998</v>
      </c>
      <c r="R3564">
        <v>-0.83696099999999996</v>
      </c>
      <c r="S3564">
        <v>-1.8375699999999999</v>
      </c>
      <c r="T3564">
        <v>-0.47668700000000003</v>
      </c>
      <c r="U3564">
        <v>-2.8987729999999998</v>
      </c>
      <c r="V3564">
        <v>0.22298960000000001</v>
      </c>
      <c r="W3564">
        <v>0.37364310000000001</v>
      </c>
      <c r="X3564">
        <v>0.90037019999999901</v>
      </c>
      <c r="Y3564">
        <v>0.33993309999999999</v>
      </c>
      <c r="Z3564">
        <v>0.13018750000000001</v>
      </c>
      <c r="AA3564">
        <v>0.93139510000000003</v>
      </c>
      <c r="AB3564">
        <v>19</v>
      </c>
      <c r="AC3564">
        <v>-4.2321999999999997</v>
      </c>
      <c r="AD3564">
        <v>-1.1087937322399899</v>
      </c>
      <c r="AE3564">
        <v>-6.5643000000000296</v>
      </c>
      <c r="AF3564">
        <v>2.6947249692514199</v>
      </c>
      <c r="AG3564">
        <v>-1.1087937322399899</v>
      </c>
      <c r="AH3564">
        <v>7.1661388865533002</v>
      </c>
      <c r="AI3564">
        <v>98.240613667733996</v>
      </c>
      <c r="AJ3564">
        <v>69.391940886081798</v>
      </c>
      <c r="AK3564">
        <v>7.7359235222391698</v>
      </c>
      <c r="AL3564">
        <v>68.059527351498701</v>
      </c>
      <c r="AM3564">
        <v>76.089776558512497</v>
      </c>
      <c r="AN3564">
        <v>1.0000000124669</v>
      </c>
    </row>
    <row r="3565" spans="1:40" x14ac:dyDescent="0.25">
      <c r="A3565" t="str">
        <f>"20190304164714545"</f>
        <v>20190304164714545</v>
      </c>
      <c r="B3565" t="str">
        <f>"1551689234532388"</f>
        <v>1551689234532388</v>
      </c>
      <c r="C3565" t="s">
        <v>40</v>
      </c>
      <c r="D3565">
        <v>4.4468500000000004</v>
      </c>
      <c r="E3565">
        <v>0.56793059999999995</v>
      </c>
      <c r="F3565" t="s">
        <v>51</v>
      </c>
      <c r="G3565">
        <v>-196.44380000000001</v>
      </c>
      <c r="H3565" s="1">
        <v>-1.268076E-5</v>
      </c>
      <c r="I3565">
        <v>151.7269</v>
      </c>
      <c r="J3565">
        <v>-192.09829999999999</v>
      </c>
      <c r="K3565">
        <v>1.1087180000000001</v>
      </c>
      <c r="L3565">
        <v>158.36060000000001</v>
      </c>
      <c r="M3565">
        <v>-0.21533669999999999</v>
      </c>
      <c r="N3565">
        <v>-1.0020680000000001E-2</v>
      </c>
      <c r="O3565">
        <v>-0.97648840000000003</v>
      </c>
      <c r="P3565">
        <v>-0.41161379999999997</v>
      </c>
      <c r="Q3565">
        <v>0.36668060000000002</v>
      </c>
      <c r="R3565">
        <v>-0.83433760000000001</v>
      </c>
      <c r="S3565">
        <v>-1.8569340000000001</v>
      </c>
      <c r="T3565">
        <v>-0.46883560000000002</v>
      </c>
      <c r="U3565">
        <v>-2.8858799999999998</v>
      </c>
      <c r="V3565">
        <v>0.2242864</v>
      </c>
      <c r="W3565">
        <v>0.3745231</v>
      </c>
      <c r="X3565">
        <v>0.89968219999999999</v>
      </c>
      <c r="Y3565">
        <v>0.342582</v>
      </c>
      <c r="Z3565">
        <v>0.1280683</v>
      </c>
      <c r="AA3565">
        <v>0.93071809999999999</v>
      </c>
      <c r="AB3565">
        <v>19</v>
      </c>
      <c r="AC3565">
        <v>-4.3455000000000101</v>
      </c>
      <c r="AD3565">
        <v>-1.1087306807599999</v>
      </c>
      <c r="AE3565">
        <v>-6.6337000000000002</v>
      </c>
      <c r="AF3565">
        <v>2.76102364643359</v>
      </c>
      <c r="AG3565">
        <v>-1.1087306807599999</v>
      </c>
      <c r="AH3565">
        <v>7.27171084656307</v>
      </c>
      <c r="AI3565">
        <v>98.112440119410394</v>
      </c>
      <c r="AJ3565">
        <v>69.208539977342397</v>
      </c>
      <c r="AK3565">
        <v>7.8568641285596197</v>
      </c>
      <c r="AL3565">
        <v>68.005159453327593</v>
      </c>
      <c r="AM3565">
        <v>76.001772717043195</v>
      </c>
      <c r="AN3565">
        <v>1.0000000013276999</v>
      </c>
    </row>
    <row r="3566" spans="1:40" x14ac:dyDescent="0.25">
      <c r="A3566" t="str">
        <f>"20190304164714568"</f>
        <v>20190304164714568</v>
      </c>
      <c r="B3566" t="str">
        <f>"1551689234562641"</f>
        <v>1551689234562641</v>
      </c>
      <c r="C3566" t="s">
        <v>40</v>
      </c>
      <c r="D3566">
        <v>4.5828680000000004</v>
      </c>
      <c r="E3566">
        <v>0.568025</v>
      </c>
      <c r="F3566" t="s">
        <v>51</v>
      </c>
      <c r="G3566">
        <v>-196.56720000000001</v>
      </c>
      <c r="H3566" s="1">
        <v>-1.263483E-5</v>
      </c>
      <c r="I3566">
        <v>151.5008</v>
      </c>
      <c r="J3566">
        <v>-192.1472</v>
      </c>
      <c r="K3566">
        <v>1.1086389999999999</v>
      </c>
      <c r="L3566">
        <v>158.16210000000001</v>
      </c>
      <c r="M3566">
        <v>-0.219583</v>
      </c>
      <c r="N3566">
        <v>-9.9385810000000002E-3</v>
      </c>
      <c r="O3566">
        <v>-0.9755433</v>
      </c>
      <c r="P3566">
        <v>-0.41549160000000002</v>
      </c>
      <c r="Q3566">
        <v>0.36709839999999999</v>
      </c>
      <c r="R3566">
        <v>-0.83222949999999996</v>
      </c>
      <c r="S3566">
        <v>-1.873413</v>
      </c>
      <c r="T3566">
        <v>-0.46479169999999997</v>
      </c>
      <c r="U3566">
        <v>-2.875702</v>
      </c>
      <c r="V3566">
        <v>0.22466910000000001</v>
      </c>
      <c r="W3566">
        <v>0.3748224</v>
      </c>
      <c r="X3566">
        <v>0.89946199999999998</v>
      </c>
      <c r="Y3566">
        <v>0.34383150000000001</v>
      </c>
      <c r="Z3566">
        <v>0.12697639999999999</v>
      </c>
      <c r="AA3566">
        <v>0.93040690000000004</v>
      </c>
      <c r="AB3566">
        <v>19</v>
      </c>
      <c r="AC3566">
        <v>-4.4200000000000097</v>
      </c>
      <c r="AD3566">
        <v>-1.10865163483</v>
      </c>
      <c r="AE3566">
        <v>-6.6613000000000104</v>
      </c>
      <c r="AF3566">
        <v>2.79556901155622</v>
      </c>
      <c r="AG3566">
        <v>-1.10865163483</v>
      </c>
      <c r="AH3566">
        <v>7.3283718430415901</v>
      </c>
      <c r="AI3566">
        <v>98.045280955542296</v>
      </c>
      <c r="AJ3566">
        <v>69.119545185600202</v>
      </c>
      <c r="AK3566">
        <v>7.9214486311324004</v>
      </c>
      <c r="AL3566">
        <v>67.986662636317803</v>
      </c>
      <c r="AM3566">
        <v>75.975531904838107</v>
      </c>
      <c r="AN3566">
        <v>0.99999996274028402</v>
      </c>
    </row>
    <row r="3567" spans="1:40" x14ac:dyDescent="0.25">
      <c r="A3567" t="str">
        <f>"20190304164714589"</f>
        <v>20190304164714589</v>
      </c>
      <c r="B3567" t="str">
        <f>"1551689234582161"</f>
        <v>1551689234582161</v>
      </c>
      <c r="C3567" t="s">
        <v>40</v>
      </c>
      <c r="D3567">
        <v>4.62798</v>
      </c>
      <c r="E3567">
        <v>0.56388340000000003</v>
      </c>
      <c r="F3567" t="s">
        <v>51</v>
      </c>
      <c r="G3567">
        <v>-196.68279999999999</v>
      </c>
      <c r="H3567" s="1">
        <v>-1.258753E-5</v>
      </c>
      <c r="I3567">
        <v>151.27209999999999</v>
      </c>
      <c r="J3567">
        <v>-192.19479999999999</v>
      </c>
      <c r="K3567">
        <v>1.108544</v>
      </c>
      <c r="L3567">
        <v>157.9727</v>
      </c>
      <c r="M3567">
        <v>-0.22376299999999999</v>
      </c>
      <c r="N3567">
        <v>-9.8713429999999994E-3</v>
      </c>
      <c r="O3567">
        <v>-0.97459359999999995</v>
      </c>
      <c r="P3567">
        <v>-0.41805379999999998</v>
      </c>
      <c r="Q3567">
        <v>0.36752210000000002</v>
      </c>
      <c r="R3567">
        <v>-0.830758</v>
      </c>
      <c r="S3567">
        <v>-1.8868100000000001</v>
      </c>
      <c r="T3567">
        <v>-0.46119690000000002</v>
      </c>
      <c r="U3567">
        <v>-2.8662260000000002</v>
      </c>
      <c r="V3567">
        <v>0.22369939999999999</v>
      </c>
      <c r="W3567">
        <v>0.37514730000000002</v>
      </c>
      <c r="X3567">
        <v>0.89956829999999999</v>
      </c>
      <c r="Y3567">
        <v>0.34432689999999999</v>
      </c>
      <c r="Z3567">
        <v>0.126024</v>
      </c>
      <c r="AA3567">
        <v>0.93035310000000004</v>
      </c>
      <c r="AB3567">
        <v>19</v>
      </c>
      <c r="AC3567">
        <v>-4.4880000000000004</v>
      </c>
      <c r="AD3567">
        <v>-1.1085565875299901</v>
      </c>
      <c r="AE3567">
        <v>-6.7005999999999997</v>
      </c>
      <c r="AF3567">
        <v>2.8214598758440799</v>
      </c>
      <c r="AG3567">
        <v>-1.1085565875299901</v>
      </c>
      <c r="AH3567">
        <v>7.3952482560785198</v>
      </c>
      <c r="AI3567">
        <v>97.972656821542998</v>
      </c>
      <c r="AJ3567">
        <v>69.116979306190103</v>
      </c>
      <c r="AK3567">
        <v>7.9924483300041897</v>
      </c>
      <c r="AL3567">
        <v>67.966583350509097</v>
      </c>
      <c r="AM3567">
        <v>76.035274792921598</v>
      </c>
      <c r="AN3567">
        <v>1.00000002231126</v>
      </c>
    </row>
    <row r="3568" spans="1:40" x14ac:dyDescent="0.25">
      <c r="A3568" t="str">
        <f>"20190304164714611"</f>
        <v>20190304164714611</v>
      </c>
      <c r="B3568" t="str">
        <f>"1551689234602657"</f>
        <v>1551689234602657</v>
      </c>
      <c r="C3568" t="s">
        <v>40</v>
      </c>
      <c r="D3568">
        <v>4.5409420000000003</v>
      </c>
      <c r="E3568">
        <v>0.48789860000000002</v>
      </c>
      <c r="F3568" t="s">
        <v>51</v>
      </c>
      <c r="G3568">
        <v>-196.6994</v>
      </c>
      <c r="H3568" s="1">
        <v>-1.2492379999999999E-5</v>
      </c>
      <c r="I3568">
        <v>151.0359</v>
      </c>
      <c r="J3568">
        <v>-192.24170000000001</v>
      </c>
      <c r="K3568">
        <v>1.108452</v>
      </c>
      <c r="L3568">
        <v>157.7901</v>
      </c>
      <c r="M3568">
        <v>-0.2279235</v>
      </c>
      <c r="N3568">
        <v>-9.8123510000000004E-3</v>
      </c>
      <c r="O3568">
        <v>-0.97362959999999998</v>
      </c>
      <c r="P3568">
        <v>-0.41960710000000001</v>
      </c>
      <c r="Q3568">
        <v>0.36873909999999999</v>
      </c>
      <c r="R3568">
        <v>-0.82943440000000002</v>
      </c>
      <c r="S3568">
        <v>-1.866913</v>
      </c>
      <c r="T3568">
        <v>-0.45943669999999998</v>
      </c>
      <c r="U3568">
        <v>-2.8749389999999999</v>
      </c>
      <c r="V3568">
        <v>0.22174669999999999</v>
      </c>
      <c r="W3568">
        <v>0.3762723</v>
      </c>
      <c r="X3568">
        <v>0.89958179999999999</v>
      </c>
      <c r="Y3568">
        <v>0.33453149999999998</v>
      </c>
      <c r="Z3568">
        <v>0.12552240000000001</v>
      </c>
      <c r="AA3568">
        <v>0.93398760000000003</v>
      </c>
      <c r="AB3568">
        <v>19</v>
      </c>
      <c r="AC3568">
        <v>-4.4576999999999796</v>
      </c>
      <c r="AD3568">
        <v>-1.10846449238</v>
      </c>
      <c r="AE3568">
        <v>-6.7541999999999902</v>
      </c>
      <c r="AF3568">
        <v>2.7492624332698901</v>
      </c>
      <c r="AG3568">
        <v>-1.10846449238</v>
      </c>
      <c r="AH3568">
        <v>7.4526466369854898</v>
      </c>
      <c r="AI3568">
        <v>97.943886838625403</v>
      </c>
      <c r="AJ3568">
        <v>69.751110247047905</v>
      </c>
      <c r="AK3568">
        <v>8.0205410885817106</v>
      </c>
      <c r="AL3568">
        <v>67.8970277514549</v>
      </c>
      <c r="AM3568">
        <v>76.152663277594996</v>
      </c>
      <c r="AN3568">
        <v>0.99999992879970701</v>
      </c>
    </row>
    <row r="3569" spans="1:40" x14ac:dyDescent="0.25">
      <c r="A3569" t="str">
        <f>"20190304164714626"</f>
        <v>20190304164714626</v>
      </c>
      <c r="B3569" t="str">
        <f>"1551689234622178"</f>
        <v>1551689234622178</v>
      </c>
      <c r="C3569" t="s">
        <v>40</v>
      </c>
      <c r="D3569">
        <v>4.6297160000000002</v>
      </c>
      <c r="E3569">
        <v>0.47289049999999999</v>
      </c>
      <c r="F3569" t="s">
        <v>41</v>
      </c>
      <c r="G3569">
        <v>-192.52119999999999</v>
      </c>
      <c r="H3569">
        <v>0.9594239</v>
      </c>
      <c r="I3569">
        <v>157.12299999999999</v>
      </c>
      <c r="J3569">
        <v>-192.2724</v>
      </c>
      <c r="K3569">
        <v>1.108382</v>
      </c>
      <c r="L3569">
        <v>157.67259999999999</v>
      </c>
      <c r="M3569">
        <v>-0.23068900000000001</v>
      </c>
      <c r="N3569">
        <v>-9.7767940000000001E-3</v>
      </c>
      <c r="O3569">
        <v>-0.97297860000000003</v>
      </c>
      <c r="P3569">
        <v>-0.42063990000000001</v>
      </c>
      <c r="Q3569">
        <v>0.36967100000000003</v>
      </c>
      <c r="R3569">
        <v>-0.82849599999999901</v>
      </c>
      <c r="S3569">
        <v>-1.361191</v>
      </c>
      <c r="T3569">
        <v>-0.72580500000000003</v>
      </c>
      <c r="U3569">
        <v>-3.2509920000000001</v>
      </c>
      <c r="V3569">
        <v>0.22046869999999999</v>
      </c>
      <c r="W3569">
        <v>0.37714300000000001</v>
      </c>
      <c r="X3569">
        <v>0.89953139999999998</v>
      </c>
      <c r="Y3569">
        <v>0.1555589</v>
      </c>
      <c r="Z3569">
        <v>0.19089210000000001</v>
      </c>
      <c r="AA3569">
        <v>0.96920669999999998</v>
      </c>
      <c r="AB3569">
        <v>19</v>
      </c>
      <c r="AC3569">
        <v>-0.248799999999988</v>
      </c>
      <c r="AD3569">
        <v>-0.14895809999999901</v>
      </c>
      <c r="AE3569">
        <v>-0.54959999999999798</v>
      </c>
      <c r="AF3569">
        <v>0.10867089076689899</v>
      </c>
      <c r="AG3569">
        <v>-0.14895809999999901</v>
      </c>
      <c r="AH3569">
        <v>0.55814591160863702</v>
      </c>
      <c r="AI3569">
        <v>104.679418339256</v>
      </c>
      <c r="AJ3569">
        <v>78.982362697402706</v>
      </c>
      <c r="AK3569">
        <v>0.587813522046846</v>
      </c>
      <c r="AL3569">
        <v>67.843174952090706</v>
      </c>
      <c r="AM3569">
        <v>76.228681625312703</v>
      </c>
      <c r="AN3569">
        <v>1.00000001485732</v>
      </c>
    </row>
    <row r="3570" spans="1:40" x14ac:dyDescent="0.25">
      <c r="A3570" t="str">
        <f>"20190304164714644"</f>
        <v>20190304164714644</v>
      </c>
      <c r="B3570" t="str">
        <f>"1551689234632913"</f>
        <v>1551689234632913</v>
      </c>
      <c r="C3570" t="s">
        <v>40</v>
      </c>
      <c r="D3570">
        <v>4.5846280000000004</v>
      </c>
      <c r="E3570">
        <v>0.47060010000000002</v>
      </c>
      <c r="F3570" t="s">
        <v>41</v>
      </c>
      <c r="G3570">
        <v>-192.54329999999999</v>
      </c>
      <c r="H3570">
        <v>0.93270339999999996</v>
      </c>
      <c r="I3570">
        <v>156.96180000000001</v>
      </c>
      <c r="J3570">
        <v>-192.31460000000001</v>
      </c>
      <c r="K3570">
        <v>1.1082749999999999</v>
      </c>
      <c r="L3570">
        <v>157.51390000000001</v>
      </c>
      <c r="M3570">
        <v>-0.2345159</v>
      </c>
      <c r="N3570">
        <v>-9.7323529999999991E-3</v>
      </c>
      <c r="O3570">
        <v>-0.97206360000000003</v>
      </c>
      <c r="P3570">
        <v>-0.42196830000000002</v>
      </c>
      <c r="Q3570">
        <v>0.37102299999999999</v>
      </c>
      <c r="R3570">
        <v>-0.82721540000000005</v>
      </c>
      <c r="S3570">
        <v>-1.2736970000000001</v>
      </c>
      <c r="T3570">
        <v>-0.82617969999999896</v>
      </c>
      <c r="U3570">
        <v>-3.3429720000000001</v>
      </c>
      <c r="V3570">
        <v>0.21860289999999999</v>
      </c>
      <c r="W3570">
        <v>0.37841409999999998</v>
      </c>
      <c r="X3570">
        <v>0.8994529</v>
      </c>
      <c r="Y3570">
        <v>0.1184238</v>
      </c>
      <c r="Z3570">
        <v>0.21297740000000001</v>
      </c>
      <c r="AA3570">
        <v>0.96985379999999999</v>
      </c>
      <c r="AB3570">
        <v>19</v>
      </c>
      <c r="AC3570">
        <v>-0.22869999999997501</v>
      </c>
      <c r="AD3570">
        <v>-0.175571599999999</v>
      </c>
      <c r="AE3570">
        <v>-0.55209999999999504</v>
      </c>
      <c r="AF3570">
        <v>8.5462259161222701E-2</v>
      </c>
      <c r="AG3570">
        <v>-0.175571599999999</v>
      </c>
      <c r="AH3570">
        <v>0.54343069500969499</v>
      </c>
      <c r="AI3570">
        <v>107.700868656757</v>
      </c>
      <c r="AJ3570">
        <v>81.062618382309495</v>
      </c>
      <c r="AK3570">
        <v>0.57744792383921495</v>
      </c>
      <c r="AL3570">
        <v>67.764516839459205</v>
      </c>
      <c r="AM3570">
        <v>76.3396958368414</v>
      </c>
      <c r="AN3570">
        <v>0.99999998914281396</v>
      </c>
    </row>
    <row r="3571" spans="1:40" x14ac:dyDescent="0.25">
      <c r="A3571" t="str">
        <f>"20190304164714668"</f>
        <v>20190304164714668</v>
      </c>
      <c r="B3571" t="str">
        <f>"1551689234662193"</f>
        <v>1551689234662193</v>
      </c>
      <c r="C3571" t="s">
        <v>40</v>
      </c>
      <c r="D3571">
        <v>4.524089</v>
      </c>
      <c r="E3571">
        <v>0.46813640000000001</v>
      </c>
      <c r="F3571" t="s">
        <v>41</v>
      </c>
      <c r="G3571">
        <v>-192.5874</v>
      </c>
      <c r="H3571">
        <v>0.92576720000000001</v>
      </c>
      <c r="I3571">
        <v>156.79499999999999</v>
      </c>
      <c r="J3571">
        <v>-192.36869999999999</v>
      </c>
      <c r="K3571">
        <v>1.1081369999999999</v>
      </c>
      <c r="L3571">
        <v>157.31460000000001</v>
      </c>
      <c r="M3571">
        <v>-0.2394944</v>
      </c>
      <c r="N3571">
        <v>-9.6850259999999994E-3</v>
      </c>
      <c r="O3571">
        <v>-0.97084959999999998</v>
      </c>
      <c r="P3571">
        <v>-0.4254926</v>
      </c>
      <c r="Q3571">
        <v>0.37087550000000002</v>
      </c>
      <c r="R3571">
        <v>-0.82547420000000005</v>
      </c>
      <c r="S3571">
        <v>-1.2741849999999999</v>
      </c>
      <c r="T3571">
        <v>-0.85248289999999904</v>
      </c>
      <c r="U3571">
        <v>-3.358994</v>
      </c>
      <c r="V3571">
        <v>0.21792700000000001</v>
      </c>
      <c r="W3571">
        <v>0.3781641</v>
      </c>
      <c r="X3571">
        <v>0.89972199999999902</v>
      </c>
      <c r="Y3571">
        <v>0.1114734</v>
      </c>
      <c r="Z3571">
        <v>0.2184326</v>
      </c>
      <c r="AA3571">
        <v>0.9694642</v>
      </c>
      <c r="AB3571">
        <v>19</v>
      </c>
      <c r="AC3571">
        <v>-0.218700000000012</v>
      </c>
      <c r="AD3571">
        <v>-0.1823698</v>
      </c>
      <c r="AE3571">
        <v>-0.51960000000002504</v>
      </c>
      <c r="AF3571">
        <v>7.9561620925929902E-2</v>
      </c>
      <c r="AG3571">
        <v>-0.1823698</v>
      </c>
      <c r="AH3571">
        <v>0.50410325578554604</v>
      </c>
      <c r="AI3571">
        <v>109.66421685884799</v>
      </c>
      <c r="AJ3571">
        <v>81.031102792068594</v>
      </c>
      <c r="AK3571">
        <v>0.54194915625913598</v>
      </c>
      <c r="AL3571">
        <v>67.7799902499452</v>
      </c>
      <c r="AM3571">
        <v>76.384278654886202</v>
      </c>
      <c r="AN3571">
        <v>0.99999997057090395</v>
      </c>
    </row>
    <row r="3572" spans="1:40" x14ac:dyDescent="0.25">
      <c r="A3572" t="str">
        <f>"20190304164714690"</f>
        <v>20190304164714690</v>
      </c>
      <c r="B3572" t="str">
        <f>"1551689234682689"</f>
        <v>1551689234682689</v>
      </c>
      <c r="C3572" t="s">
        <v>40</v>
      </c>
      <c r="D3572">
        <v>4.4851409999999996</v>
      </c>
      <c r="E3572">
        <v>0.46809000000000001</v>
      </c>
      <c r="F3572" t="s">
        <v>41</v>
      </c>
      <c r="G3572">
        <v>-192.63040000000001</v>
      </c>
      <c r="H3572">
        <v>0.92448070000000004</v>
      </c>
      <c r="I3572">
        <v>156.62479999999999</v>
      </c>
      <c r="J3572">
        <v>-192.42359999999999</v>
      </c>
      <c r="K3572">
        <v>1.1080080000000001</v>
      </c>
      <c r="L3572">
        <v>157.11750000000001</v>
      </c>
      <c r="M3572">
        <v>-0.244612</v>
      </c>
      <c r="N3572">
        <v>-9.647625E-3</v>
      </c>
      <c r="O3572">
        <v>-0.96957309999999997</v>
      </c>
      <c r="P3572">
        <v>-0.43091689999999999</v>
      </c>
      <c r="Q3572">
        <v>0.36918030000000002</v>
      </c>
      <c r="R3572">
        <v>-0.82341759999999997</v>
      </c>
      <c r="S3572">
        <v>-1.2813110000000001</v>
      </c>
      <c r="T3572">
        <v>-0.89920069999999996</v>
      </c>
      <c r="U3572">
        <v>-3.377853</v>
      </c>
      <c r="V3572">
        <v>0.21902540000000001</v>
      </c>
      <c r="W3572">
        <v>0.37636599999999998</v>
      </c>
      <c r="X3572">
        <v>0.90020909999999998</v>
      </c>
      <c r="Y3572">
        <v>0.1053634</v>
      </c>
      <c r="Z3572">
        <v>0.2285972</v>
      </c>
      <c r="AA3572">
        <v>0.96780259999999996</v>
      </c>
      <c r="AB3572">
        <v>20</v>
      </c>
      <c r="AC3572">
        <v>-0.206800000000015</v>
      </c>
      <c r="AD3572">
        <v>-0.18352729999999901</v>
      </c>
      <c r="AE3572">
        <v>-0.49270000000001302</v>
      </c>
      <c r="AF3572">
        <v>7.1550418024416196E-2</v>
      </c>
      <c r="AG3572">
        <v>-0.18352729999999901</v>
      </c>
      <c r="AH3572">
        <v>0.47257060988356597</v>
      </c>
      <c r="AI3572">
        <v>111.005952906554</v>
      </c>
      <c r="AJ3572">
        <v>81.390418994059502</v>
      </c>
      <c r="AK3572">
        <v>0.51198116517161496</v>
      </c>
      <c r="AL3572">
        <v>67.891233852034304</v>
      </c>
      <c r="AM3572">
        <v>76.325350678385504</v>
      </c>
      <c r="AN3572">
        <v>0.99999995776198403</v>
      </c>
    </row>
    <row r="3573" spans="1:40" x14ac:dyDescent="0.25">
      <c r="A3573" t="str">
        <f>"20190304164714712"</f>
        <v>20190304164714712</v>
      </c>
      <c r="B3573" t="str">
        <f>"1551689234702209"</f>
        <v>1551689234702209</v>
      </c>
      <c r="C3573" t="s">
        <v>40</v>
      </c>
      <c r="D3573">
        <v>4.4966160000000004</v>
      </c>
      <c r="E3573">
        <v>0.46770879999999998</v>
      </c>
      <c r="F3573" t="s">
        <v>41</v>
      </c>
      <c r="G3573">
        <v>-192.68049999999999</v>
      </c>
      <c r="H3573">
        <v>0.92540940000000005</v>
      </c>
      <c r="I3573">
        <v>156.4546</v>
      </c>
      <c r="J3573">
        <v>-192.47710000000001</v>
      </c>
      <c r="K3573">
        <v>1.1078730000000001</v>
      </c>
      <c r="L3573">
        <v>156.92949999999999</v>
      </c>
      <c r="M3573">
        <v>-0.2496959</v>
      </c>
      <c r="N3573">
        <v>-9.6191230000000003E-3</v>
      </c>
      <c r="O3573">
        <v>-0.96827649999999998</v>
      </c>
      <c r="P3573">
        <v>-0.43777129999999997</v>
      </c>
      <c r="Q3573">
        <v>0.36724329999999999</v>
      </c>
      <c r="R3573">
        <v>-0.82066360000000005</v>
      </c>
      <c r="S3573">
        <v>-1.3078459999999901</v>
      </c>
      <c r="T3573">
        <v>-0.9295795</v>
      </c>
      <c r="U3573">
        <v>-3.3756870000000001</v>
      </c>
      <c r="V3573">
        <v>0.22170429999999999</v>
      </c>
      <c r="W3573">
        <v>0.37432009999999899</v>
      </c>
      <c r="X3573">
        <v>0.90040640000000005</v>
      </c>
      <c r="Y3573">
        <v>0.1063558</v>
      </c>
      <c r="Z3573">
        <v>0.2355189</v>
      </c>
      <c r="AA3573">
        <v>0.96603269999999997</v>
      </c>
      <c r="AB3573">
        <v>20</v>
      </c>
      <c r="AC3573">
        <v>-0.20339999999998701</v>
      </c>
      <c r="AD3573">
        <v>-0.182463599999999</v>
      </c>
      <c r="AE3573">
        <v>-0.474899999999991</v>
      </c>
      <c r="AF3573">
        <v>6.96788349146613E-2</v>
      </c>
      <c r="AG3573">
        <v>-0.182463599999999</v>
      </c>
      <c r="AH3573">
        <v>0.45401325280379401</v>
      </c>
      <c r="AI3573">
        <v>111.664926263862</v>
      </c>
      <c r="AJ3573">
        <v>81.274717439551694</v>
      </c>
      <c r="AK3573">
        <v>0.49424299598629201</v>
      </c>
      <c r="AL3573">
        <v>68.017703116456104</v>
      </c>
      <c r="AM3573">
        <v>76.167401142573993</v>
      </c>
      <c r="AN3573">
        <v>1.0000000095317201</v>
      </c>
    </row>
    <row r="3574" spans="1:40" x14ac:dyDescent="0.25">
      <c r="A3574" t="str">
        <f>"20190304164714733"</f>
        <v>20190304164714733</v>
      </c>
      <c r="B3574" t="str">
        <f>"1551689234722705"</f>
        <v>1551689234722705</v>
      </c>
      <c r="C3574" t="s">
        <v>40</v>
      </c>
      <c r="D3574">
        <v>4.5030510000000001</v>
      </c>
      <c r="E3574">
        <v>0.46769319999999998</v>
      </c>
      <c r="F3574" t="s">
        <v>41</v>
      </c>
      <c r="G3574">
        <v>-192.73259999999999</v>
      </c>
      <c r="H3574">
        <v>0.92589880000000002</v>
      </c>
      <c r="I3574">
        <v>156.28469999999999</v>
      </c>
      <c r="J3574">
        <v>-192.52930000000001</v>
      </c>
      <c r="K3574">
        <v>1.1077410000000001</v>
      </c>
      <c r="L3574">
        <v>156.7509</v>
      </c>
      <c r="M3574">
        <v>-0.25473319999999999</v>
      </c>
      <c r="N3574">
        <v>-9.5983730000000003E-3</v>
      </c>
      <c r="O3574">
        <v>-0.96696389999999999</v>
      </c>
      <c r="P3574">
        <v>-0.44470720000000002</v>
      </c>
      <c r="Q3574">
        <v>0.36659360000000002</v>
      </c>
      <c r="R3574">
        <v>-0.81721790000000005</v>
      </c>
      <c r="S3574">
        <v>-1.3344879999999999</v>
      </c>
      <c r="T3574">
        <v>-0.95052809999999999</v>
      </c>
      <c r="U3574">
        <v>-3.369049</v>
      </c>
      <c r="V3574">
        <v>0.22469220000000001</v>
      </c>
      <c r="W3574">
        <v>0.37355630000000001</v>
      </c>
      <c r="X3574">
        <v>0.89998279999999997</v>
      </c>
      <c r="Y3574">
        <v>0.1079826</v>
      </c>
      <c r="Z3574">
        <v>0.24030770000000001</v>
      </c>
      <c r="AA3574">
        <v>0.96467190000000003</v>
      </c>
      <c r="AB3574">
        <v>20</v>
      </c>
      <c r="AC3574">
        <v>-0.20329999999998399</v>
      </c>
      <c r="AD3574">
        <v>-0.18184219999999901</v>
      </c>
      <c r="AE3574">
        <v>-0.46620000000001399</v>
      </c>
      <c r="AF3574">
        <v>6.9009173623480302E-2</v>
      </c>
      <c r="AG3574">
        <v>-0.18184219999999901</v>
      </c>
      <c r="AH3574">
        <v>0.44564186008817502</v>
      </c>
      <c r="AI3574">
        <v>111.961238034075</v>
      </c>
      <c r="AJ3574">
        <v>81.197467632306299</v>
      </c>
      <c r="AK3574">
        <v>0.48623607353618298</v>
      </c>
      <c r="AL3574">
        <v>68.064887805567906</v>
      </c>
      <c r="AM3574">
        <v>75.981943178631397</v>
      </c>
      <c r="AN3574">
        <v>0.99999996715318396</v>
      </c>
    </row>
    <row r="3575" spans="1:40" x14ac:dyDescent="0.25">
      <c r="A3575" t="str">
        <f>"20190304164714757"</f>
        <v>20190304164714757</v>
      </c>
      <c r="B3575" t="str">
        <f>"1551689234751985"</f>
        <v>1551689234751985</v>
      </c>
      <c r="C3575" t="s">
        <v>40</v>
      </c>
      <c r="D3575">
        <v>4.5228820000000001</v>
      </c>
      <c r="E3575">
        <v>0.46764240000000001</v>
      </c>
      <c r="F3575" t="s">
        <v>41</v>
      </c>
      <c r="G3575">
        <v>-192.7876</v>
      </c>
      <c r="H3575">
        <v>0.92553010000000002</v>
      </c>
      <c r="I3575">
        <v>156.11539999999999</v>
      </c>
      <c r="J3575">
        <v>-192.5908</v>
      </c>
      <c r="K3575">
        <v>1.1075740000000001</v>
      </c>
      <c r="L3575">
        <v>156.54560000000001</v>
      </c>
      <c r="M3575">
        <v>-0.26079819999999998</v>
      </c>
      <c r="N3575">
        <v>-9.5834089999999993E-3</v>
      </c>
      <c r="O3575">
        <v>-0.96534589999999998</v>
      </c>
      <c r="P3575">
        <v>-0.45218429999999998</v>
      </c>
      <c r="Q3575">
        <v>0.36732490000000001</v>
      </c>
      <c r="R3575">
        <v>-0.812774199999999</v>
      </c>
      <c r="S3575">
        <v>-1.365326</v>
      </c>
      <c r="T3575">
        <v>-0.96290900000000001</v>
      </c>
      <c r="U3575">
        <v>-3.3599700000000001</v>
      </c>
      <c r="V3575">
        <v>0.2275499</v>
      </c>
      <c r="W3575">
        <v>0.37415209999999999</v>
      </c>
      <c r="X3575">
        <v>0.89901679999999995</v>
      </c>
      <c r="Y3575">
        <v>0.1099875</v>
      </c>
      <c r="Z3575">
        <v>0.24294270000000001</v>
      </c>
      <c r="AA3575">
        <v>0.96378509999999995</v>
      </c>
      <c r="AB3575">
        <v>20</v>
      </c>
      <c r="AC3575">
        <v>-0.19679999999999601</v>
      </c>
      <c r="AD3575">
        <v>-0.18204390000000001</v>
      </c>
      <c r="AE3575">
        <v>-0.43020000000001302</v>
      </c>
      <c r="AF3575">
        <v>6.7755252075122702E-2</v>
      </c>
      <c r="AG3575">
        <v>-0.18204390000000001</v>
      </c>
      <c r="AH3575">
        <v>0.40645204294274201</v>
      </c>
      <c r="AI3575">
        <v>113.835315035449</v>
      </c>
      <c r="AJ3575">
        <v>80.535861184582203</v>
      </c>
      <c r="AK3575">
        <v>0.45048198512626703</v>
      </c>
      <c r="AL3575">
        <v>68.028082373326299</v>
      </c>
      <c r="AM3575">
        <v>75.796186035463705</v>
      </c>
      <c r="AN3575">
        <v>0.99999997880332903</v>
      </c>
    </row>
    <row r="3576" spans="1:40" x14ac:dyDescent="0.25">
      <c r="A3576" t="str">
        <f>"20190304164714780"</f>
        <v>20190304164714780</v>
      </c>
      <c r="B3576" t="str">
        <f>"1551689234772481"</f>
        <v>1551689234772481</v>
      </c>
      <c r="C3576" t="s">
        <v>40</v>
      </c>
      <c r="D3576">
        <v>4.5419559999999999</v>
      </c>
      <c r="E3576">
        <v>0.46739789999999998</v>
      </c>
      <c r="F3576" t="s">
        <v>41</v>
      </c>
      <c r="G3576">
        <v>-192.90530000000001</v>
      </c>
      <c r="H3576">
        <v>0.88980149999999902</v>
      </c>
      <c r="I3576">
        <v>155.7936</v>
      </c>
      <c r="J3576">
        <v>-192.65170000000001</v>
      </c>
      <c r="K3576">
        <v>1.1073959999999901</v>
      </c>
      <c r="L3576">
        <v>156.34799999999899</v>
      </c>
      <c r="M3576">
        <v>-0.26689580000000002</v>
      </c>
      <c r="N3576">
        <v>-9.5764869999999998E-3</v>
      </c>
      <c r="O3576">
        <v>-0.96367809999999998</v>
      </c>
      <c r="P3576">
        <v>-0.45855839999999998</v>
      </c>
      <c r="Q3576">
        <v>0.36851889999999998</v>
      </c>
      <c r="R3576">
        <v>-0.80865200000000004</v>
      </c>
      <c r="S3576">
        <v>-1.4002380000000001</v>
      </c>
      <c r="T3576">
        <v>-0.96967939999999997</v>
      </c>
      <c r="U3576">
        <v>-3.3502809999999998</v>
      </c>
      <c r="V3576">
        <v>0.2292469</v>
      </c>
      <c r="W3576">
        <v>0.37522509999999998</v>
      </c>
      <c r="X3576">
        <v>0.89813809999999905</v>
      </c>
      <c r="Y3576">
        <v>0.11312270000000001</v>
      </c>
      <c r="Z3576">
        <v>0.24413019999999999</v>
      </c>
      <c r="AA3576">
        <v>0.96312180000000003</v>
      </c>
      <c r="AB3576">
        <v>20</v>
      </c>
      <c r="AC3576">
        <v>-0.25360000000000499</v>
      </c>
      <c r="AD3576">
        <v>-0.217594499999999</v>
      </c>
      <c r="AE3576">
        <v>-0.55439999999998602</v>
      </c>
      <c r="AF3576">
        <v>8.5530404408525496E-2</v>
      </c>
      <c r="AG3576">
        <v>-0.217594499999999</v>
      </c>
      <c r="AH3576">
        <v>0.53395480457234701</v>
      </c>
      <c r="AI3576">
        <v>111.91912515291099</v>
      </c>
      <c r="AJ3576">
        <v>80.899508128592998</v>
      </c>
      <c r="AK3576">
        <v>0.58289840438487195</v>
      </c>
      <c r="AL3576">
        <v>67.961774664868301</v>
      </c>
      <c r="AM3576">
        <v>75.681170254227197</v>
      </c>
      <c r="AN3576">
        <v>1.0000000317506099</v>
      </c>
    </row>
    <row r="3577" spans="1:40" x14ac:dyDescent="0.25">
      <c r="A3577" t="str">
        <f>"20190304164714801"</f>
        <v>20190304164714801</v>
      </c>
      <c r="B3577" t="str">
        <f>"1551689234792005"</f>
        <v>1551689234792005</v>
      </c>
      <c r="C3577" t="s">
        <v>40</v>
      </c>
      <c r="D3577">
        <v>4.5309049999999997</v>
      </c>
      <c r="E3577">
        <v>0.46701700000000002</v>
      </c>
      <c r="F3577" t="s">
        <v>41</v>
      </c>
      <c r="G3577">
        <v>-192.96270000000001</v>
      </c>
      <c r="H3577">
        <v>0.89665039999999996</v>
      </c>
      <c r="I3577">
        <v>155.6207</v>
      </c>
      <c r="J3577">
        <v>-192.70910000000001</v>
      </c>
      <c r="K3577">
        <v>1.1072390000000001</v>
      </c>
      <c r="L3577">
        <v>156.16669999999999</v>
      </c>
      <c r="M3577">
        <v>-0.27268550000000003</v>
      </c>
      <c r="N3577">
        <v>-9.5734730000000007E-3</v>
      </c>
      <c r="O3577">
        <v>-0.96205569999999896</v>
      </c>
      <c r="P3577">
        <v>-0.46456130000000001</v>
      </c>
      <c r="Q3577">
        <v>0.36955290000000002</v>
      </c>
      <c r="R3577">
        <v>-0.80474460000000003</v>
      </c>
      <c r="S3577">
        <v>-1.4278869999999999</v>
      </c>
      <c r="T3577">
        <v>-0.9678388</v>
      </c>
      <c r="U3577">
        <v>-3.3412320000000002</v>
      </c>
      <c r="V3577">
        <v>0.2308036</v>
      </c>
      <c r="W3577">
        <v>0.37615530000000003</v>
      </c>
      <c r="X3577">
        <v>0.89734990000000003</v>
      </c>
      <c r="Y3577">
        <v>0.114909</v>
      </c>
      <c r="Z3577">
        <v>0.2432897</v>
      </c>
      <c r="AA3577">
        <v>0.96312310000000001</v>
      </c>
      <c r="AB3577">
        <v>20</v>
      </c>
      <c r="AC3577">
        <v>-0.25360000000000499</v>
      </c>
      <c r="AD3577">
        <v>-0.21058859999999899</v>
      </c>
      <c r="AE3577">
        <v>-0.54599999999999205</v>
      </c>
      <c r="AF3577">
        <v>8.4727908358343401E-2</v>
      </c>
      <c r="AG3577">
        <v>-0.21058859999999899</v>
      </c>
      <c r="AH3577">
        <v>0.52965317680256296</v>
      </c>
      <c r="AI3577">
        <v>111.435245521293</v>
      </c>
      <c r="AJ3577">
        <v>80.911473979491205</v>
      </c>
      <c r="AK3577">
        <v>0.576245489875441</v>
      </c>
      <c r="AL3577">
        <v>67.904264031268298</v>
      </c>
      <c r="AM3577">
        <v>75.575844170111395</v>
      </c>
      <c r="AN3577">
        <v>0.99999997726052903</v>
      </c>
    </row>
    <row r="3578" spans="1:40" x14ac:dyDescent="0.25">
      <c r="A3578" t="str">
        <f>"20190304164714824"</f>
        <v>20190304164714824</v>
      </c>
      <c r="B3578" t="str">
        <f>"1551689234812501"</f>
        <v>1551689234812501</v>
      </c>
      <c r="C3578" t="s">
        <v>40</v>
      </c>
      <c r="D3578">
        <v>4.5297190000000001</v>
      </c>
      <c r="E3578">
        <v>0.46722649999999999</v>
      </c>
      <c r="F3578" t="s">
        <v>41</v>
      </c>
      <c r="G3578">
        <v>-193.0213</v>
      </c>
      <c r="H3578">
        <v>0.89943399999999996</v>
      </c>
      <c r="I3578">
        <v>155.4496</v>
      </c>
      <c r="J3578">
        <v>-192.76910000000001</v>
      </c>
      <c r="K3578">
        <v>1.1070850000000001</v>
      </c>
      <c r="L3578">
        <v>155.98150000000001</v>
      </c>
      <c r="M3578">
        <v>-0.27879680000000001</v>
      </c>
      <c r="N3578">
        <v>-9.5728340000000006E-3</v>
      </c>
      <c r="O3578">
        <v>-0.96030249999999995</v>
      </c>
      <c r="P3578">
        <v>-0.47108680000000003</v>
      </c>
      <c r="Q3578">
        <v>0.36974240000000003</v>
      </c>
      <c r="R3578">
        <v>-0.80085450000000002</v>
      </c>
      <c r="S3578">
        <v>-1.4512940000000001</v>
      </c>
      <c r="T3578">
        <v>-0.96590019999999999</v>
      </c>
      <c r="U3578">
        <v>-3.3336640000000002</v>
      </c>
      <c r="V3578">
        <v>0.2325506</v>
      </c>
      <c r="W3578">
        <v>0.37624679999999999</v>
      </c>
      <c r="X3578">
        <v>0.896860399999999</v>
      </c>
      <c r="Y3578">
        <v>0.115167699999999</v>
      </c>
      <c r="Z3578">
        <v>0.24234990000000001</v>
      </c>
      <c r="AA3578">
        <v>0.96332910000000005</v>
      </c>
      <c r="AB3578">
        <v>20</v>
      </c>
      <c r="AC3578">
        <v>-0.25219999999998699</v>
      </c>
      <c r="AD3578">
        <v>-0.207651</v>
      </c>
      <c r="AE3578">
        <v>-0.53190000000000703</v>
      </c>
      <c r="AF3578">
        <v>8.35092352830408E-2</v>
      </c>
      <c r="AG3578">
        <v>-0.207651</v>
      </c>
      <c r="AH3578">
        <v>0.51681501903493898</v>
      </c>
      <c r="AI3578">
        <v>111.635507499619</v>
      </c>
      <c r="AJ3578">
        <v>80.821232558896398</v>
      </c>
      <c r="AK3578">
        <v>0.56319667442079402</v>
      </c>
      <c r="AL3578">
        <v>67.898606485005999</v>
      </c>
      <c r="AM3578">
        <v>75.463675047483505</v>
      </c>
      <c r="AN3578">
        <v>1.0000000065793699</v>
      </c>
    </row>
    <row r="3579" spans="1:40" x14ac:dyDescent="0.25">
      <c r="A3579" t="str">
        <f>"20190304164714846"</f>
        <v>20190304164714846</v>
      </c>
      <c r="B3579" t="str">
        <f>"1551689234842753"</f>
        <v>1551689234842753</v>
      </c>
      <c r="C3579" t="s">
        <v>40</v>
      </c>
      <c r="D3579">
        <v>4.5418000000000003</v>
      </c>
      <c r="E3579">
        <v>0.4687384</v>
      </c>
      <c r="F3579" t="s">
        <v>41</v>
      </c>
      <c r="G3579">
        <v>-193.08179999999999</v>
      </c>
      <c r="H3579">
        <v>0.90257869999999996</v>
      </c>
      <c r="I3579">
        <v>155.2784</v>
      </c>
      <c r="J3579">
        <v>-192.83410000000001</v>
      </c>
      <c r="K3579">
        <v>1.106941</v>
      </c>
      <c r="L3579">
        <v>155.78630000000001</v>
      </c>
      <c r="M3579">
        <v>-0.28547359999999999</v>
      </c>
      <c r="N3579">
        <v>-9.5760689999999996E-3</v>
      </c>
      <c r="O3579">
        <v>-0.95833889999999999</v>
      </c>
      <c r="P3579">
        <v>-0.47740440000000001</v>
      </c>
      <c r="Q3579">
        <v>0.36994650000000001</v>
      </c>
      <c r="R3579">
        <v>-0.7970102</v>
      </c>
      <c r="S3579">
        <v>-1.4776149999999999</v>
      </c>
      <c r="T3579">
        <v>-0.96637890000000004</v>
      </c>
      <c r="U3579">
        <v>-3.323013</v>
      </c>
      <c r="V3579">
        <v>0.2335622</v>
      </c>
      <c r="W3579">
        <v>0.37636209999999998</v>
      </c>
      <c r="X3579">
        <v>0.89654909999999999</v>
      </c>
      <c r="Y3579">
        <v>0.115788</v>
      </c>
      <c r="Z3579">
        <v>0.2420658</v>
      </c>
      <c r="AA3579">
        <v>0.96332620000000002</v>
      </c>
      <c r="AB3579">
        <v>20</v>
      </c>
      <c r="AC3579">
        <v>-0.24769999999997999</v>
      </c>
      <c r="AD3579">
        <v>-0.204362299999999</v>
      </c>
      <c r="AE3579">
        <v>-0.50790000000000601</v>
      </c>
      <c r="AF3579">
        <v>8.1706263981662405E-2</v>
      </c>
      <c r="AG3579">
        <v>-0.204362299999999</v>
      </c>
      <c r="AH3579">
        <v>0.49299782473652398</v>
      </c>
      <c r="AI3579">
        <v>112.242176524915</v>
      </c>
      <c r="AJ3579">
        <v>80.589706104184401</v>
      </c>
      <c r="AK3579">
        <v>0.53989509946847603</v>
      </c>
      <c r="AL3579">
        <v>67.891476258966605</v>
      </c>
      <c r="AM3579">
        <v>75.398285309193597</v>
      </c>
      <c r="AN3579">
        <v>1.00000001014803</v>
      </c>
    </row>
    <row r="3580" spans="1:40" x14ac:dyDescent="0.25">
      <c r="A3580" t="str">
        <f>"20190304164714869"</f>
        <v>20190304164714869</v>
      </c>
      <c r="B3580" t="str">
        <f>"1551689234862273"</f>
        <v>1551689234862273</v>
      </c>
      <c r="C3580" t="s">
        <v>40</v>
      </c>
      <c r="D3580">
        <v>4.5020720000000001</v>
      </c>
      <c r="E3580">
        <v>0.46959459999999997</v>
      </c>
      <c r="F3580" t="s">
        <v>41</v>
      </c>
      <c r="G3580">
        <v>-193.14510000000001</v>
      </c>
      <c r="H3580">
        <v>0.90753530000000004</v>
      </c>
      <c r="I3580">
        <v>155.1069</v>
      </c>
      <c r="J3580">
        <v>-192.90090000000001</v>
      </c>
      <c r="K3580">
        <v>1.1068039999999999</v>
      </c>
      <c r="L3580">
        <v>155.5909</v>
      </c>
      <c r="M3580">
        <v>-0.292402299999999</v>
      </c>
      <c r="N3580">
        <v>-9.5847099999999998E-3</v>
      </c>
      <c r="O3580">
        <v>-0.95624750000000003</v>
      </c>
      <c r="P3580">
        <v>-0.48403289999999999</v>
      </c>
      <c r="Q3580">
        <v>0.3699614</v>
      </c>
      <c r="R3580">
        <v>-0.79299500000000001</v>
      </c>
      <c r="S3580">
        <v>-1.514084</v>
      </c>
      <c r="T3580">
        <v>-0.97044989999999998</v>
      </c>
      <c r="U3580">
        <v>-3.3075869999999998</v>
      </c>
      <c r="V3580">
        <v>0.2346869</v>
      </c>
      <c r="W3580">
        <v>0.37629010000000002</v>
      </c>
      <c r="X3580">
        <v>0.89628560000000002</v>
      </c>
      <c r="Y3580">
        <v>0.1189923</v>
      </c>
      <c r="Z3580">
        <v>0.24272360000000001</v>
      </c>
      <c r="AA3580">
        <v>0.96277000000000001</v>
      </c>
      <c r="AB3580">
        <v>20</v>
      </c>
      <c r="AC3580">
        <v>-0.244200000000006</v>
      </c>
      <c r="AD3580">
        <v>-0.19926869999999999</v>
      </c>
      <c r="AE3580">
        <v>-0.48400000000000798</v>
      </c>
      <c r="AF3580">
        <v>8.1046752314659798E-2</v>
      </c>
      <c r="AG3580">
        <v>-0.19926869999999999</v>
      </c>
      <c r="AH3580">
        <v>0.47066096407236802</v>
      </c>
      <c r="AI3580">
        <v>112.647836501079</v>
      </c>
      <c r="AJ3580">
        <v>80.229615211481601</v>
      </c>
      <c r="AK3580">
        <v>0.51749235159756202</v>
      </c>
      <c r="AL3580">
        <v>67.895929308188897</v>
      </c>
      <c r="AM3580">
        <v>75.326871217263701</v>
      </c>
      <c r="AN3580">
        <v>1.00000002857848</v>
      </c>
    </row>
    <row r="3581" spans="1:40" x14ac:dyDescent="0.25">
      <c r="A3581" t="str">
        <f>"20190304164714891"</f>
        <v>20190304164714891</v>
      </c>
      <c r="B3581" t="str">
        <f>"1551689234882772"</f>
        <v>1551689234882772</v>
      </c>
      <c r="C3581" t="s">
        <v>40</v>
      </c>
      <c r="D3581">
        <v>4.4639340000000001</v>
      </c>
      <c r="E3581">
        <v>0.47027479999999999</v>
      </c>
      <c r="F3581" t="s">
        <v>41</v>
      </c>
      <c r="G3581">
        <v>-193.20939999999999</v>
      </c>
      <c r="H3581">
        <v>0.91293170000000001</v>
      </c>
      <c r="I3581">
        <v>154.935</v>
      </c>
      <c r="J3581">
        <v>-192.97110000000001</v>
      </c>
      <c r="K3581">
        <v>1.1066549999999999</v>
      </c>
      <c r="L3581">
        <v>155.39099999999999</v>
      </c>
      <c r="M3581">
        <v>-0.29972379999999998</v>
      </c>
      <c r="N3581">
        <v>-9.5985020000000001E-3</v>
      </c>
      <c r="O3581">
        <v>-0.95397779999999999</v>
      </c>
      <c r="P3581">
        <v>-0.49178680000000002</v>
      </c>
      <c r="Q3581">
        <v>0.36981809999999998</v>
      </c>
      <c r="R3581">
        <v>-0.78827689999999995</v>
      </c>
      <c r="S3581">
        <v>-1.548767</v>
      </c>
      <c r="T3581">
        <v>-0.97326599999999996</v>
      </c>
      <c r="U3581">
        <v>-3.2918699999999999</v>
      </c>
      <c r="V3581">
        <v>0.23673230000000001</v>
      </c>
      <c r="W3581">
        <v>0.3760484</v>
      </c>
      <c r="X3581">
        <v>0.89584900000000001</v>
      </c>
      <c r="Y3581">
        <v>0.1214018</v>
      </c>
      <c r="Z3581">
        <v>0.24304400000000001</v>
      </c>
      <c r="AA3581">
        <v>0.96238829999999997</v>
      </c>
      <c r="AB3581">
        <v>20</v>
      </c>
      <c r="AC3581">
        <v>-0.238299999999981</v>
      </c>
      <c r="AD3581">
        <v>-0.19372329999999999</v>
      </c>
      <c r="AE3581">
        <v>-0.45599999999998803</v>
      </c>
      <c r="AF3581">
        <v>7.9405958883977598E-2</v>
      </c>
      <c r="AG3581">
        <v>-0.19372329999999999</v>
      </c>
      <c r="AH3581">
        <v>0.443577174863867</v>
      </c>
      <c r="AI3581">
        <v>113.262667552683</v>
      </c>
      <c r="AJ3581">
        <v>79.850827134390599</v>
      </c>
      <c r="AK3581">
        <v>0.49050457014117999</v>
      </c>
      <c r="AL3581">
        <v>67.910874952261494</v>
      </c>
      <c r="AM3581">
        <v>75.197681352714696</v>
      </c>
      <c r="AN3581">
        <v>1.00000000590342</v>
      </c>
    </row>
    <row r="3582" spans="1:40" x14ac:dyDescent="0.25">
      <c r="A3582" t="str">
        <f>"20190304164714913"</f>
        <v>20190304164714913</v>
      </c>
      <c r="B3582" t="str">
        <f>"1551689234902289"</f>
        <v>1551689234902289</v>
      </c>
      <c r="C3582" t="s">
        <v>40</v>
      </c>
      <c r="D3582">
        <v>4.4315220000000002</v>
      </c>
      <c r="E3582">
        <v>0.4707943</v>
      </c>
      <c r="F3582" t="s">
        <v>41</v>
      </c>
      <c r="G3582">
        <v>-193.2747</v>
      </c>
      <c r="H3582">
        <v>0.9192477</v>
      </c>
      <c r="I3582">
        <v>154.76259999999999</v>
      </c>
      <c r="J3582">
        <v>-193.03489999999999</v>
      </c>
      <c r="K3582">
        <v>1.106519</v>
      </c>
      <c r="L3582">
        <v>155.21430000000001</v>
      </c>
      <c r="M3582">
        <v>-0.30639929999999999</v>
      </c>
      <c r="N3582">
        <v>-9.6131589999999996E-3</v>
      </c>
      <c r="O3582">
        <v>-0.95185450000000005</v>
      </c>
      <c r="P3582">
        <v>-0.49937809999999999</v>
      </c>
      <c r="Q3582">
        <v>0.37013030000000002</v>
      </c>
      <c r="R3582">
        <v>-0.78334239999999999</v>
      </c>
      <c r="S3582">
        <v>-1.5821379999999901</v>
      </c>
      <c r="T3582">
        <v>-0.97614959999999995</v>
      </c>
      <c r="U3582">
        <v>-3.276688</v>
      </c>
      <c r="V3582">
        <v>0.23929130000000001</v>
      </c>
      <c r="W3582">
        <v>0.37626219999999999</v>
      </c>
      <c r="X3582">
        <v>0.89507899999999996</v>
      </c>
      <c r="Y3582">
        <v>0.1240836</v>
      </c>
      <c r="Z3582">
        <v>0.2433989</v>
      </c>
      <c r="AA3582">
        <v>0.96195640000000004</v>
      </c>
      <c r="AB3582">
        <v>20</v>
      </c>
      <c r="AC3582">
        <v>-0.23980000000000201</v>
      </c>
      <c r="AD3582">
        <v>-0.1872713</v>
      </c>
      <c r="AE3582">
        <v>-0.45170000000001598</v>
      </c>
      <c r="AF3582">
        <v>7.9233554177081902E-2</v>
      </c>
      <c r="AG3582">
        <v>-0.1872713</v>
      </c>
      <c r="AH3582">
        <v>0.44392307730543801</v>
      </c>
      <c r="AI3582">
        <v>112.552730788956</v>
      </c>
      <c r="AJ3582">
        <v>79.880134419643895</v>
      </c>
      <c r="AK3582">
        <v>0.48827880813685998</v>
      </c>
      <c r="AL3582">
        <v>67.897653828784797</v>
      </c>
      <c r="AM3582">
        <v>75.032518395695902</v>
      </c>
      <c r="AN3582">
        <v>0.99999999282276497</v>
      </c>
    </row>
    <row r="3583" spans="1:40" x14ac:dyDescent="0.25">
      <c r="A3583" t="str">
        <f>"20190304164714935"</f>
        <v>20190304164714935</v>
      </c>
      <c r="B3583" t="str">
        <f>"1551689234932545"</f>
        <v>1551689234932545</v>
      </c>
      <c r="C3583" t="s">
        <v>40</v>
      </c>
      <c r="D3583">
        <v>4.4019469999999998</v>
      </c>
      <c r="E3583">
        <v>0.47958279999999998</v>
      </c>
      <c r="F3583" t="s">
        <v>41</v>
      </c>
      <c r="G3583">
        <v>-193.34219999999999</v>
      </c>
      <c r="H3583">
        <v>0.92041470000000003</v>
      </c>
      <c r="I3583">
        <v>154.59289999999999</v>
      </c>
      <c r="J3583">
        <v>-193.1046</v>
      </c>
      <c r="K3583">
        <v>1.106374</v>
      </c>
      <c r="L3583">
        <v>155.0264</v>
      </c>
      <c r="M3583">
        <v>-0.31368239999999997</v>
      </c>
      <c r="N3583">
        <v>-9.6295740000000001E-3</v>
      </c>
      <c r="O3583">
        <v>-0.94947919999999997</v>
      </c>
      <c r="P3583">
        <v>-0.50759169999999998</v>
      </c>
      <c r="Q3583">
        <v>0.36955320000000003</v>
      </c>
      <c r="R3583">
        <v>-0.77831980000000001</v>
      </c>
      <c r="S3583">
        <v>-1.6134489999999999</v>
      </c>
      <c r="T3583">
        <v>-0.97711749999999997</v>
      </c>
      <c r="U3583">
        <v>-3.2628629999999998</v>
      </c>
      <c r="V3583">
        <v>0.241895</v>
      </c>
      <c r="W3583">
        <v>0.3755888</v>
      </c>
      <c r="X3583">
        <v>0.89466190000000001</v>
      </c>
      <c r="Y3583">
        <v>0.12553039999999999</v>
      </c>
      <c r="Z3583">
        <v>0.24314350000000001</v>
      </c>
      <c r="AA3583">
        <v>0.96183339999999995</v>
      </c>
      <c r="AB3583">
        <v>20</v>
      </c>
      <c r="AC3583">
        <v>-0.23759999999998599</v>
      </c>
      <c r="AD3583">
        <v>-0.18595929999999999</v>
      </c>
      <c r="AE3583">
        <v>-0.43350000000000899</v>
      </c>
      <c r="AF3583">
        <v>7.8509465656656299E-2</v>
      </c>
      <c r="AG3583">
        <v>-0.18595929999999999</v>
      </c>
      <c r="AH3583">
        <v>0.42588681145732499</v>
      </c>
      <c r="AI3583">
        <v>113.238928099744</v>
      </c>
      <c r="AJ3583">
        <v>79.555156011539296</v>
      </c>
      <c r="AK3583">
        <v>0.47130051307787801</v>
      </c>
      <c r="AL3583">
        <v>67.939291673658204</v>
      </c>
      <c r="AM3583">
        <v>74.870353673596696</v>
      </c>
      <c r="AN3583">
        <v>1.00000002651102</v>
      </c>
    </row>
    <row r="3584" spans="1:40" x14ac:dyDescent="0.25">
      <c r="A3584" t="str">
        <f>"20190304164714958"</f>
        <v>20190304164714958</v>
      </c>
      <c r="B3584" t="str">
        <f>"1551689234952065"</f>
        <v>1551689234952065</v>
      </c>
      <c r="C3584" t="s">
        <v>40</v>
      </c>
      <c r="D3584">
        <v>4.4039929999999998</v>
      </c>
      <c r="E3584">
        <v>0.47944009999999998</v>
      </c>
      <c r="F3584" t="s">
        <v>41</v>
      </c>
      <c r="G3584">
        <v>-193.4948</v>
      </c>
      <c r="H3584">
        <v>0.85711610000000005</v>
      </c>
      <c r="I3584">
        <v>154.28630000000001</v>
      </c>
      <c r="J3584">
        <v>-193.18360000000001</v>
      </c>
      <c r="K3584">
        <v>1.106228</v>
      </c>
      <c r="L3584">
        <v>154.8194</v>
      </c>
      <c r="M3584">
        <v>-0.32192500000000002</v>
      </c>
      <c r="N3584">
        <v>-9.6482689999999992E-3</v>
      </c>
      <c r="O3584">
        <v>-0.94671620000000001</v>
      </c>
      <c r="P3584">
        <v>-0.5165227</v>
      </c>
      <c r="Q3584">
        <v>0.36870530000000001</v>
      </c>
      <c r="R3584">
        <v>-0.77282689999999998</v>
      </c>
      <c r="S3584">
        <v>-1.7159420000000001</v>
      </c>
      <c r="T3584">
        <v>-1.0957380000000001</v>
      </c>
      <c r="U3584">
        <v>-3.255646</v>
      </c>
      <c r="V3584">
        <v>0.24441350000000001</v>
      </c>
      <c r="W3584">
        <v>0.37464910000000001</v>
      </c>
      <c r="X3584">
        <v>0.89437140000000004</v>
      </c>
      <c r="Y3584">
        <v>0.13835349999999999</v>
      </c>
      <c r="Z3584">
        <v>0.26871790000000001</v>
      </c>
      <c r="AA3584">
        <v>0.95323080000000004</v>
      </c>
      <c r="AB3584">
        <v>20</v>
      </c>
      <c r="AC3584">
        <v>-0.31119999999998499</v>
      </c>
      <c r="AD3584">
        <v>-0.249111899999999</v>
      </c>
      <c r="AE3584">
        <v>-0.53309999999999003</v>
      </c>
      <c r="AF3584">
        <v>0.105778389575837</v>
      </c>
      <c r="AG3584">
        <v>-0.249111899999999</v>
      </c>
      <c r="AH3584">
        <v>0.52018727678170396</v>
      </c>
      <c r="AI3584">
        <v>115.139947570045</v>
      </c>
      <c r="AJ3584">
        <v>78.505807550955694</v>
      </c>
      <c r="AK3584">
        <v>0.58637923679853499</v>
      </c>
      <c r="AL3584">
        <v>67.997374513647003</v>
      </c>
      <c r="AM3584">
        <v>74.715427808313905</v>
      </c>
      <c r="AN3584">
        <v>1.0000000541255001</v>
      </c>
    </row>
    <row r="3585" spans="1:40" x14ac:dyDescent="0.25">
      <c r="A3585" t="str">
        <f>"20190304164714982"</f>
        <v>20190304164714982</v>
      </c>
      <c r="B3585" t="str">
        <f>"1551689234972561"</f>
        <v>1551689234972561</v>
      </c>
      <c r="C3585" t="s">
        <v>40</v>
      </c>
      <c r="D3585">
        <v>4.3612080000000004</v>
      </c>
      <c r="E3585">
        <v>0.47897339999999999</v>
      </c>
      <c r="F3585" t="s">
        <v>41</v>
      </c>
      <c r="G3585">
        <v>-193.56450000000001</v>
      </c>
      <c r="H3585">
        <v>0.86671160000000003</v>
      </c>
      <c r="I3585">
        <v>154.11320000000001</v>
      </c>
      <c r="J3585">
        <v>-193.26169999999999</v>
      </c>
      <c r="K3585">
        <v>1.106115</v>
      </c>
      <c r="L3585">
        <v>154.6206</v>
      </c>
      <c r="M3585">
        <v>-0.329991799999999</v>
      </c>
      <c r="N3585">
        <v>-9.6647620000000004E-3</v>
      </c>
      <c r="O3585">
        <v>-0.94393459999999996</v>
      </c>
      <c r="P3585">
        <v>-0.5245187</v>
      </c>
      <c r="Q3585">
        <v>0.3678129</v>
      </c>
      <c r="R3585">
        <v>-0.76785040000000004</v>
      </c>
      <c r="S3585">
        <v>-1.74609399999999</v>
      </c>
      <c r="T3585">
        <v>-1.097942</v>
      </c>
      <c r="U3585">
        <v>-3.2386469999999998</v>
      </c>
      <c r="V3585">
        <v>0.2460118</v>
      </c>
      <c r="W3585">
        <v>0.37369520000000001</v>
      </c>
      <c r="X3585">
        <v>0.89433220000000002</v>
      </c>
      <c r="Y3585">
        <v>0.1388336</v>
      </c>
      <c r="Z3585">
        <v>0.26872869999999999</v>
      </c>
      <c r="AA3585">
        <v>0.95315799999999995</v>
      </c>
      <c r="AB3585">
        <v>20</v>
      </c>
      <c r="AC3585">
        <v>-0.302800000000019</v>
      </c>
      <c r="AD3585">
        <v>-0.23940339999999999</v>
      </c>
      <c r="AE3585">
        <v>-0.50739999999998897</v>
      </c>
      <c r="AF3585">
        <v>0.101696865825389</v>
      </c>
      <c r="AG3585">
        <v>-0.23940339999999999</v>
      </c>
      <c r="AH3585">
        <v>0.49727066304016598</v>
      </c>
      <c r="AI3585">
        <v>115.25194575665</v>
      </c>
      <c r="AJ3585">
        <v>78.441814333780101</v>
      </c>
      <c r="AK3585">
        <v>0.56119012176861605</v>
      </c>
      <c r="AL3585">
        <v>68.056308741486802</v>
      </c>
      <c r="AM3585">
        <v>74.619553052370307</v>
      </c>
      <c r="AN3585">
        <v>0.99999999609956003</v>
      </c>
    </row>
    <row r="3586" spans="1:40" x14ac:dyDescent="0.25">
      <c r="A3586" t="str">
        <f>"20190304164715002"</f>
        <v>20190304164715002</v>
      </c>
      <c r="B3586" t="str">
        <f>"1551689234992081"</f>
        <v>1551689234992081</v>
      </c>
      <c r="C3586" t="s">
        <v>40</v>
      </c>
      <c r="D3586">
        <v>4.7574040000000002</v>
      </c>
      <c r="E3586">
        <v>0.47890909999999898</v>
      </c>
      <c r="F3586" t="s">
        <v>41</v>
      </c>
      <c r="G3586">
        <v>-193.63560000000001</v>
      </c>
      <c r="H3586">
        <v>0.87395990000000001</v>
      </c>
      <c r="I3586">
        <v>153.94120000000001</v>
      </c>
      <c r="J3586">
        <v>-193.3314</v>
      </c>
      <c r="K3586">
        <v>1.1060380000000001</v>
      </c>
      <c r="L3586">
        <v>154.44720000000001</v>
      </c>
      <c r="M3586">
        <v>-0.33714290000000002</v>
      </c>
      <c r="N3586">
        <v>-9.6747329999999996E-3</v>
      </c>
      <c r="O3586">
        <v>-0.94140369999999995</v>
      </c>
      <c r="P3586">
        <v>-0.53136640000000002</v>
      </c>
      <c r="Q3586">
        <v>0.36616520000000002</v>
      </c>
      <c r="R3586">
        <v>-0.76391960000000003</v>
      </c>
      <c r="S3586">
        <v>-1.773712</v>
      </c>
      <c r="T3586">
        <v>-1.101046</v>
      </c>
      <c r="U3586">
        <v>-3.2227939999999999</v>
      </c>
      <c r="V3586">
        <v>0.247007</v>
      </c>
      <c r="W3586">
        <v>0.37201000000000001</v>
      </c>
      <c r="X3586">
        <v>0.89476039999999901</v>
      </c>
      <c r="Y3586">
        <v>0.1395006</v>
      </c>
      <c r="Z3586">
        <v>0.26900410000000002</v>
      </c>
      <c r="AA3586">
        <v>0.95298289999999997</v>
      </c>
      <c r="AB3586">
        <v>20</v>
      </c>
      <c r="AC3586">
        <v>-0.30420000000000802</v>
      </c>
      <c r="AD3586">
        <v>-0.23207809999999901</v>
      </c>
      <c r="AE3586">
        <v>-0.50600000000000001</v>
      </c>
      <c r="AF3586">
        <v>0.10028974357258399</v>
      </c>
      <c r="AG3586">
        <v>-0.23207809999999901</v>
      </c>
      <c r="AH3586">
        <v>0.50145361337265304</v>
      </c>
      <c r="AI3586">
        <v>114.40965896825099</v>
      </c>
      <c r="AJ3586">
        <v>78.690175094849295</v>
      </c>
      <c r="AK3586">
        <v>0.56158169800123903</v>
      </c>
      <c r="AL3586">
        <v>68.160368115203298</v>
      </c>
      <c r="AM3586">
        <v>74.567333674875201</v>
      </c>
      <c r="AN3586">
        <v>1.0000000357785701</v>
      </c>
    </row>
    <row r="3587" spans="1:40" x14ac:dyDescent="0.25">
      <c r="A3587" t="str">
        <f>"20190304164715025"</f>
        <v>20190304164715025</v>
      </c>
      <c r="B3587" t="str">
        <f>"1551689235012577"</f>
        <v>1551689235012577</v>
      </c>
      <c r="C3587" t="s">
        <v>40</v>
      </c>
      <c r="D3587">
        <v>4.7593839999999998</v>
      </c>
      <c r="E3587">
        <v>0.50838090000000002</v>
      </c>
      <c r="F3587" t="s">
        <v>41</v>
      </c>
      <c r="G3587">
        <v>-193.7106</v>
      </c>
      <c r="H3587">
        <v>0.87278880000000003</v>
      </c>
      <c r="I3587">
        <v>153.77359999999999</v>
      </c>
      <c r="J3587">
        <v>-193.40889999999999</v>
      </c>
      <c r="K3587">
        <v>1.1059650000000001</v>
      </c>
      <c r="L3587">
        <v>154.25919999999999</v>
      </c>
      <c r="M3587">
        <v>-0.3450125</v>
      </c>
      <c r="N3587">
        <v>-9.6754219999999995E-3</v>
      </c>
      <c r="O3587">
        <v>-0.9385483</v>
      </c>
      <c r="P3587">
        <v>-0.53851530000000003</v>
      </c>
      <c r="Q3587">
        <v>0.36552590000000001</v>
      </c>
      <c r="R3587">
        <v>-0.75920519999999903</v>
      </c>
      <c r="S3587">
        <v>-1.8032379999999999</v>
      </c>
      <c r="T3587">
        <v>-1.1088279999999999</v>
      </c>
      <c r="U3587">
        <v>-3.2042999999999999</v>
      </c>
      <c r="V3587">
        <v>0.2478641</v>
      </c>
      <c r="W3587">
        <v>0.37132419999999999</v>
      </c>
      <c r="X3587">
        <v>0.89480820000000005</v>
      </c>
      <c r="Y3587">
        <v>0.139991</v>
      </c>
      <c r="Z3587">
        <v>0.27037030000000001</v>
      </c>
      <c r="AA3587">
        <v>0.95252420000000004</v>
      </c>
      <c r="AB3587">
        <v>20</v>
      </c>
      <c r="AC3587">
        <v>-0.30170000000001002</v>
      </c>
      <c r="AD3587">
        <v>-0.233176199999999</v>
      </c>
      <c r="AE3587">
        <v>-0.48560000000000503</v>
      </c>
      <c r="AF3587">
        <v>9.9135308886919099E-2</v>
      </c>
      <c r="AG3587">
        <v>-0.233176199999999</v>
      </c>
      <c r="AH3587">
        <v>0.480019882241492</v>
      </c>
      <c r="AI3587">
        <v>115.441567890776</v>
      </c>
      <c r="AJ3587">
        <v>78.331138081320603</v>
      </c>
      <c r="AK3587">
        <v>0.54278728528004505</v>
      </c>
      <c r="AL3587">
        <v>68.202692540364495</v>
      </c>
      <c r="AM3587">
        <v>74.517135929038901</v>
      </c>
      <c r="AN3587">
        <v>0.99999999418084495</v>
      </c>
    </row>
    <row r="3588" spans="1:40" x14ac:dyDescent="0.25">
      <c r="A3588" t="str">
        <f>"20190304164715048"</f>
        <v>20190304164715048</v>
      </c>
      <c r="B3588" t="str">
        <f>"1551689235042834"</f>
        <v>1551689235042834</v>
      </c>
      <c r="C3588" t="s">
        <v>40</v>
      </c>
      <c r="D3588">
        <v>4.5850200000000001</v>
      </c>
      <c r="E3588">
        <v>0.57674289999999995</v>
      </c>
      <c r="F3588" t="s">
        <v>41</v>
      </c>
      <c r="G3588">
        <v>-193.8451</v>
      </c>
      <c r="H3588">
        <v>0.9049374</v>
      </c>
      <c r="I3588">
        <v>153.6097</v>
      </c>
      <c r="J3588">
        <v>-193.49639999999999</v>
      </c>
      <c r="K3588">
        <v>1.1058790000000001</v>
      </c>
      <c r="L3588">
        <v>154.0523</v>
      </c>
      <c r="M3588">
        <v>-0.3537942</v>
      </c>
      <c r="N3588">
        <v>-9.6672279999999999E-3</v>
      </c>
      <c r="O3588">
        <v>-0.93527360000000004</v>
      </c>
      <c r="P3588">
        <v>-0.54694730000000003</v>
      </c>
      <c r="Q3588">
        <v>0.36480509999999999</v>
      </c>
      <c r="R3588">
        <v>-0.75350269999999897</v>
      </c>
      <c r="S3588">
        <v>-1.998947</v>
      </c>
      <c r="T3588">
        <v>-0.9210815</v>
      </c>
      <c r="U3588">
        <v>-2.9770970000000001</v>
      </c>
      <c r="V3588">
        <v>0.249393</v>
      </c>
      <c r="W3588">
        <v>0.37053419999999998</v>
      </c>
      <c r="X3588">
        <v>0.89471080000000003</v>
      </c>
      <c r="Y3588">
        <v>0.21090590000000001</v>
      </c>
      <c r="Z3588">
        <v>0.2342909</v>
      </c>
      <c r="AA3588">
        <v>0.94901340000000001</v>
      </c>
      <c r="AB3588">
        <v>20</v>
      </c>
      <c r="AC3588">
        <v>-0.348700000000007</v>
      </c>
      <c r="AD3588">
        <v>-0.2009416</v>
      </c>
      <c r="AE3588">
        <v>-0.442599999999998</v>
      </c>
      <c r="AF3588">
        <v>0.150418443830698</v>
      </c>
      <c r="AG3588">
        <v>-0.2009416</v>
      </c>
      <c r="AH3588">
        <v>0.47671685914455603</v>
      </c>
      <c r="AI3588">
        <v>111.898939820637</v>
      </c>
      <c r="AJ3588">
        <v>72.487954184555093</v>
      </c>
      <c r="AK3588">
        <v>0.53875987104428902</v>
      </c>
      <c r="AL3588">
        <v>68.251432052232104</v>
      </c>
      <c r="AM3588">
        <v>74.424641735437703</v>
      </c>
      <c r="AN3588">
        <v>0.99999993872763804</v>
      </c>
    </row>
    <row r="3589" spans="1:40" x14ac:dyDescent="0.25">
      <c r="A3589" t="str">
        <f>"20190304164715070"</f>
        <v>20190304164715070</v>
      </c>
      <c r="B3589" t="str">
        <f>"1551689235062353"</f>
        <v>1551689235062353</v>
      </c>
      <c r="C3589" t="s">
        <v>40</v>
      </c>
      <c r="D3589">
        <v>4.4187880000000002</v>
      </c>
      <c r="E3589">
        <v>0.58571280000000003</v>
      </c>
      <c r="F3589" t="s">
        <v>51</v>
      </c>
      <c r="G3589">
        <v>-200.77969999999999</v>
      </c>
      <c r="H3589" s="1">
        <v>-1.1209249999999999E-5</v>
      </c>
      <c r="I3589">
        <v>146.6327</v>
      </c>
      <c r="J3589">
        <v>-193.57769999999999</v>
      </c>
      <c r="K3589">
        <v>1.1057969999999999</v>
      </c>
      <c r="L3589">
        <v>153.86519999999999</v>
      </c>
      <c r="M3589">
        <v>-0.3618382</v>
      </c>
      <c r="N3589">
        <v>-9.6566289999999999E-3</v>
      </c>
      <c r="O3589">
        <v>-0.93219110000000005</v>
      </c>
      <c r="P3589">
        <v>-0.55415080000000005</v>
      </c>
      <c r="Q3589">
        <v>0.36429210000000001</v>
      </c>
      <c r="R3589">
        <v>-0.74847079999999999</v>
      </c>
      <c r="S3589">
        <v>-2.3825229999999999</v>
      </c>
      <c r="T3589">
        <v>-0.36176000000000003</v>
      </c>
      <c r="U3589">
        <v>-2.4271240000000001</v>
      </c>
      <c r="V3589">
        <v>0.25023859999999998</v>
      </c>
      <c r="W3589">
        <v>0.3699597</v>
      </c>
      <c r="X3589">
        <v>0.89471250000000002</v>
      </c>
      <c r="Y3589">
        <v>0.39107199999999998</v>
      </c>
      <c r="Z3589">
        <v>9.8213019999999998E-2</v>
      </c>
      <c r="AA3589">
        <v>0.9151049</v>
      </c>
      <c r="AB3589">
        <v>20</v>
      </c>
      <c r="AC3589">
        <v>-7.2019999999999902</v>
      </c>
      <c r="AD3589">
        <v>-1.1058082092499999</v>
      </c>
      <c r="AE3589">
        <v>-7.2324999999999804</v>
      </c>
      <c r="AF3589">
        <v>4.0493060925164697</v>
      </c>
      <c r="AG3589">
        <v>-1.1058082092499999</v>
      </c>
      <c r="AH3589">
        <v>9.2400082143129403</v>
      </c>
      <c r="AI3589">
        <v>96.255360272348398</v>
      </c>
      <c r="AJ3589">
        <v>66.335227309464301</v>
      </c>
      <c r="AK3589">
        <v>10.1487656110044</v>
      </c>
      <c r="AL3589">
        <v>68.2868680339473</v>
      </c>
      <c r="AM3589">
        <v>74.374435476034407</v>
      </c>
      <c r="AN3589">
        <v>0.99999999710514997</v>
      </c>
    </row>
    <row r="3590" spans="1:40" x14ac:dyDescent="0.25">
      <c r="A3590" t="str">
        <f>"20190304164715092"</f>
        <v>20190304164715092</v>
      </c>
      <c r="B3590" t="str">
        <f>"1551689235082849"</f>
        <v>1551689235082849</v>
      </c>
      <c r="C3590" t="s">
        <v>40</v>
      </c>
      <c r="D3590">
        <v>4.7359260000000001</v>
      </c>
      <c r="E3590">
        <v>0.58641339999999997</v>
      </c>
      <c r="F3590" t="s">
        <v>51</v>
      </c>
      <c r="G3590">
        <v>-201.98820000000001</v>
      </c>
      <c r="H3590" s="1">
        <v>-1.044107E-5</v>
      </c>
      <c r="I3590">
        <v>145.8519</v>
      </c>
      <c r="J3590">
        <v>-193.66220000000001</v>
      </c>
      <c r="K3590">
        <v>1.1057189999999999</v>
      </c>
      <c r="L3590">
        <v>153.67529999999999</v>
      </c>
      <c r="M3590">
        <v>-0.3700966</v>
      </c>
      <c r="N3590">
        <v>-9.6467029999999995E-3</v>
      </c>
      <c r="O3590">
        <v>-0.92894330000000003</v>
      </c>
      <c r="P3590">
        <v>-0.56142019999999904</v>
      </c>
      <c r="Q3590">
        <v>0.3641162</v>
      </c>
      <c r="R3590">
        <v>-0.74311990000000006</v>
      </c>
      <c r="S3590">
        <v>-2.4602810000000002</v>
      </c>
      <c r="T3590">
        <v>-0.32347419999999999</v>
      </c>
      <c r="U3590">
        <v>-2.3440699999999999</v>
      </c>
      <c r="V3590">
        <v>0.25105820000000001</v>
      </c>
      <c r="W3590">
        <v>0.36971739999999997</v>
      </c>
      <c r="X3590">
        <v>0.89458300000000002</v>
      </c>
      <c r="Y3590">
        <v>0.4141821</v>
      </c>
      <c r="Z3590">
        <v>8.7533490000000005E-2</v>
      </c>
      <c r="AA3590">
        <v>0.90597519999999998</v>
      </c>
      <c r="AB3590">
        <v>20</v>
      </c>
      <c r="AC3590">
        <v>-8.3259999999999899</v>
      </c>
      <c r="AD3590">
        <v>-1.10572944107</v>
      </c>
      <c r="AE3590">
        <v>-7.8233999999999897</v>
      </c>
      <c r="AF3590">
        <v>4.7942853945587904</v>
      </c>
      <c r="AG3590">
        <v>-1.10572944107</v>
      </c>
      <c r="AH3590">
        <v>10.2533579214694</v>
      </c>
      <c r="AI3590">
        <v>95.579471990269397</v>
      </c>
      <c r="AJ3590">
        <v>64.940056655964696</v>
      </c>
      <c r="AK3590">
        <v>11.3727375203637</v>
      </c>
      <c r="AL3590">
        <v>68.301809413601006</v>
      </c>
      <c r="AM3590">
        <v>74.323611679009602</v>
      </c>
      <c r="AN3590">
        <v>0.99999995976949896</v>
      </c>
    </row>
    <row r="3591" spans="1:40" x14ac:dyDescent="0.25">
      <c r="A3591" t="str">
        <f>"20190304164715114"</f>
        <v>20190304164715114</v>
      </c>
      <c r="B3591" t="str">
        <f>"1551689235102369"</f>
        <v>1551689235102369</v>
      </c>
      <c r="C3591" t="s">
        <v>40</v>
      </c>
      <c r="D3591">
        <v>4.7350089999999998</v>
      </c>
      <c r="E3591">
        <v>0.58628059999999904</v>
      </c>
      <c r="F3591" t="s">
        <v>51</v>
      </c>
      <c r="G3591">
        <v>-201.59180000000001</v>
      </c>
      <c r="H3591" s="1">
        <v>-1.074822E-5</v>
      </c>
      <c r="I3591">
        <v>146.29339999999999</v>
      </c>
      <c r="J3591">
        <v>-193.7422</v>
      </c>
      <c r="K3591">
        <v>1.105648</v>
      </c>
      <c r="L3591">
        <v>153.4999</v>
      </c>
      <c r="M3591">
        <v>-0.37781530000000002</v>
      </c>
      <c r="N3591">
        <v>-9.635266E-3</v>
      </c>
      <c r="O3591">
        <v>-0.92583090000000001</v>
      </c>
      <c r="P3591">
        <v>-0.56764700000000001</v>
      </c>
      <c r="Q3591">
        <v>0.36544900000000002</v>
      </c>
      <c r="R3591">
        <v>-0.73771580000000003</v>
      </c>
      <c r="S3591">
        <v>-2.4949340000000002</v>
      </c>
      <c r="T3591">
        <v>-0.34790270000000001</v>
      </c>
      <c r="U3591">
        <v>-2.3226010000000001</v>
      </c>
      <c r="V3591">
        <v>0.25146629999999998</v>
      </c>
      <c r="W3591">
        <v>0.3709828</v>
      </c>
      <c r="X3591">
        <v>0.89394430000000003</v>
      </c>
      <c r="Y3591">
        <v>0.41659990000000002</v>
      </c>
      <c r="Z3591">
        <v>9.4357289999999996E-2</v>
      </c>
      <c r="AA3591">
        <v>0.90417990000000004</v>
      </c>
      <c r="AB3591">
        <v>20</v>
      </c>
      <c r="AC3591">
        <v>-7.8495999999999997</v>
      </c>
      <c r="AD3591">
        <v>-1.10565874822</v>
      </c>
      <c r="AE3591">
        <v>-7.2065000000000001</v>
      </c>
      <c r="AF3591">
        <v>4.4964778161378502</v>
      </c>
      <c r="AG3591">
        <v>-1.10565874822</v>
      </c>
      <c r="AH3591">
        <v>9.5354869664266992</v>
      </c>
      <c r="AI3591">
        <v>95.987097452317499</v>
      </c>
      <c r="AJ3591">
        <v>64.753685646375203</v>
      </c>
      <c r="AK3591">
        <v>10.6002974347623</v>
      </c>
      <c r="AL3591">
        <v>68.223757547398293</v>
      </c>
      <c r="AM3591">
        <v>74.288721169641605</v>
      </c>
      <c r="AN3591">
        <v>0.99999997471700897</v>
      </c>
    </row>
    <row r="3592" spans="1:40" x14ac:dyDescent="0.25">
      <c r="A3592" t="str">
        <f>"20190304164715137"</f>
        <v>20190304164715137</v>
      </c>
      <c r="B3592" t="str">
        <f>"1551689235132625"</f>
        <v>1551689235132625</v>
      </c>
      <c r="C3592" t="s">
        <v>40</v>
      </c>
      <c r="D3592">
        <v>4.6987809999999897</v>
      </c>
      <c r="E3592">
        <v>0.5856557</v>
      </c>
      <c r="F3592" t="s">
        <v>51</v>
      </c>
      <c r="G3592">
        <v>-201.4503</v>
      </c>
      <c r="H3592" s="1">
        <v>-1.085163E-5</v>
      </c>
      <c r="I3592">
        <v>146.43020000000001</v>
      </c>
      <c r="J3592">
        <v>-193.83199999999999</v>
      </c>
      <c r="K3592">
        <v>1.1055649999999999</v>
      </c>
      <c r="L3592">
        <v>153.30799999999999</v>
      </c>
      <c r="M3592">
        <v>-0.38636949999999998</v>
      </c>
      <c r="N3592">
        <v>-9.6139160000000001E-3</v>
      </c>
      <c r="O3592">
        <v>-0.92229430000000001</v>
      </c>
      <c r="P3592">
        <v>-0.57454430000000001</v>
      </c>
      <c r="Q3592">
        <v>0.36654629999999999</v>
      </c>
      <c r="R3592">
        <v>-0.73180829999999997</v>
      </c>
      <c r="S3592">
        <v>-2.51709</v>
      </c>
      <c r="T3592">
        <v>-0.3610564</v>
      </c>
      <c r="U3592">
        <v>-2.30864</v>
      </c>
      <c r="V3592">
        <v>0.2518821</v>
      </c>
      <c r="W3592">
        <v>0.3720002</v>
      </c>
      <c r="X3592">
        <v>0.89340429999999904</v>
      </c>
      <c r="Y3592">
        <v>0.41462280000000001</v>
      </c>
      <c r="Z3592">
        <v>9.7832849999999999E-2</v>
      </c>
      <c r="AA3592">
        <v>0.9047191</v>
      </c>
      <c r="AB3592">
        <v>20</v>
      </c>
      <c r="AC3592">
        <v>-7.6182999999999996</v>
      </c>
      <c r="AD3592">
        <v>-1.1055758516299901</v>
      </c>
      <c r="AE3592">
        <v>-6.8777999999999704</v>
      </c>
      <c r="AF3592">
        <v>4.3190291396662701</v>
      </c>
      <c r="AG3592">
        <v>-1.1055758516299901</v>
      </c>
      <c r="AH3592">
        <v>9.1807362177768095</v>
      </c>
      <c r="AI3592">
        <v>96.218835943287203</v>
      </c>
      <c r="AJ3592">
        <v>64.805607394260704</v>
      </c>
      <c r="AK3592">
        <v>10.2059898184053</v>
      </c>
      <c r="AL3592">
        <v>68.160972026874603</v>
      </c>
      <c r="AM3592">
        <v>74.254988606090805</v>
      </c>
      <c r="AN3592">
        <v>0.999999992179469</v>
      </c>
    </row>
    <row r="3593" spans="1:40" x14ac:dyDescent="0.25">
      <c r="A3593" t="str">
        <f>"20190304164715159"</f>
        <v>20190304164715159</v>
      </c>
      <c r="B3593" t="str">
        <f>"1551689235152146"</f>
        <v>1551689235152146</v>
      </c>
      <c r="C3593" t="s">
        <v>40</v>
      </c>
      <c r="D3593">
        <v>4.639697</v>
      </c>
      <c r="E3593">
        <v>0.5851383</v>
      </c>
      <c r="F3593" t="s">
        <v>51</v>
      </c>
      <c r="G3593">
        <v>-201.25579999999999</v>
      </c>
      <c r="H3593" s="1">
        <v>-1.0986769999999999E-5</v>
      </c>
      <c r="I3593">
        <v>146.59450000000001</v>
      </c>
      <c r="J3593">
        <v>-193.92859999999999</v>
      </c>
      <c r="K3593">
        <v>1.105478</v>
      </c>
      <c r="L3593">
        <v>153.107</v>
      </c>
      <c r="M3593">
        <v>-0.3954435</v>
      </c>
      <c r="N3593">
        <v>-9.5815459999999998E-3</v>
      </c>
      <c r="O3593">
        <v>-0.91844040000000005</v>
      </c>
      <c r="P3593">
        <v>-0.58060679999999998</v>
      </c>
      <c r="Q3593">
        <v>0.36720789999999998</v>
      </c>
      <c r="R3593">
        <v>-0.72667369999999898</v>
      </c>
      <c r="S3593">
        <v>-2.5386199999999999</v>
      </c>
      <c r="T3593">
        <v>-0.3780596</v>
      </c>
      <c r="U3593">
        <v>-2.295715</v>
      </c>
      <c r="V3593">
        <v>0.25071199999999999</v>
      </c>
      <c r="W3593">
        <v>0.37259680000000001</v>
      </c>
      <c r="X3593">
        <v>0.89348479999999997</v>
      </c>
      <c r="Y3593">
        <v>0.41165410000000002</v>
      </c>
      <c r="Z3593">
        <v>0.1023367</v>
      </c>
      <c r="AA3593">
        <v>0.90557609999999999</v>
      </c>
      <c r="AB3593">
        <v>21</v>
      </c>
      <c r="AC3593">
        <v>-7.3272000000000004</v>
      </c>
      <c r="AD3593">
        <v>-1.10548898677</v>
      </c>
      <c r="AE3593">
        <v>-6.5124999999999797</v>
      </c>
      <c r="AF3593">
        <v>4.1022924621428496</v>
      </c>
      <c r="AG3593">
        <v>-1.10548898677</v>
      </c>
      <c r="AH3593">
        <v>8.7677446962448506</v>
      </c>
      <c r="AI3593">
        <v>96.515155289294299</v>
      </c>
      <c r="AJ3593">
        <v>64.925831558028605</v>
      </c>
      <c r="AK3593">
        <v>9.7429080054855106</v>
      </c>
      <c r="AL3593">
        <v>68.124141583524207</v>
      </c>
      <c r="AM3593">
        <v>74.325870480225205</v>
      </c>
      <c r="AN3593">
        <v>0.99999998507263899</v>
      </c>
    </row>
    <row r="3594" spans="1:40" x14ac:dyDescent="0.25">
      <c r="A3594" t="str">
        <f>"20190304164715183"</f>
        <v>20190304164715183</v>
      </c>
      <c r="B3594" t="str">
        <f>"1551689235172641"</f>
        <v>1551689235172641</v>
      </c>
      <c r="C3594" t="s">
        <v>40</v>
      </c>
      <c r="D3594">
        <v>4.6348549999999999</v>
      </c>
      <c r="E3594">
        <v>0.58462080000000005</v>
      </c>
      <c r="F3594" t="s">
        <v>51</v>
      </c>
      <c r="G3594">
        <v>-201.25149999999999</v>
      </c>
      <c r="H3594" s="1">
        <v>-1.098378E-5</v>
      </c>
      <c r="I3594">
        <v>146.578</v>
      </c>
      <c r="J3594">
        <v>-194.0257</v>
      </c>
      <c r="K3594">
        <v>1.105402</v>
      </c>
      <c r="L3594">
        <v>152.91</v>
      </c>
      <c r="M3594">
        <v>-0.40442879999999998</v>
      </c>
      <c r="N3594">
        <v>-9.5475660000000004E-3</v>
      </c>
      <c r="O3594">
        <v>-0.91451970000000005</v>
      </c>
      <c r="P3594">
        <v>-0.58526659999999997</v>
      </c>
      <c r="Q3594">
        <v>0.36836340000000001</v>
      </c>
      <c r="R3594">
        <v>-0.72233749999999997</v>
      </c>
      <c r="S3594">
        <v>-2.557388</v>
      </c>
      <c r="T3594">
        <v>-0.3860712</v>
      </c>
      <c r="U3594">
        <v>-2.2801209999999998</v>
      </c>
      <c r="V3594">
        <v>0.24800249999999999</v>
      </c>
      <c r="W3594">
        <v>0.3737161</v>
      </c>
      <c r="X3594">
        <v>0.8937735</v>
      </c>
      <c r="Y3594">
        <v>0.4089392</v>
      </c>
      <c r="Z3594">
        <v>0.1043226</v>
      </c>
      <c r="AA3594">
        <v>0.90657900000000002</v>
      </c>
      <c r="AB3594">
        <v>21</v>
      </c>
      <c r="AC3594">
        <v>-7.2257999999999898</v>
      </c>
      <c r="AD3594">
        <v>-1.10541298378</v>
      </c>
      <c r="AE3594">
        <v>-6.3319999999999901</v>
      </c>
      <c r="AF3594">
        <v>3.9945977186558999</v>
      </c>
      <c r="AG3594">
        <v>-1.10541298378</v>
      </c>
      <c r="AH3594">
        <v>8.5996167278085505</v>
      </c>
      <c r="AI3594">
        <v>96.649465090878195</v>
      </c>
      <c r="AJ3594">
        <v>65.084716493144697</v>
      </c>
      <c r="AK3594">
        <v>9.5463163923999996</v>
      </c>
      <c r="AL3594">
        <v>68.055018189470601</v>
      </c>
      <c r="AM3594">
        <v>74.491834866477205</v>
      </c>
      <c r="AN3594">
        <v>1.0000000163538501</v>
      </c>
    </row>
    <row r="3595" spans="1:40" x14ac:dyDescent="0.25">
      <c r="A3595" t="str">
        <f>"20190304164715203"</f>
        <v>20190304164715203</v>
      </c>
      <c r="B3595" t="str">
        <f>"1551689235192161"</f>
        <v>1551689235192161</v>
      </c>
      <c r="C3595" t="s">
        <v>40</v>
      </c>
      <c r="D3595">
        <v>4.7004440000000001</v>
      </c>
      <c r="E3595">
        <v>0.58405090000000004</v>
      </c>
      <c r="F3595" t="s">
        <v>51</v>
      </c>
      <c r="G3595">
        <v>-201.321</v>
      </c>
      <c r="H3595" s="1">
        <v>-1.0926370000000001E-5</v>
      </c>
      <c r="I3595">
        <v>146.48859999999999</v>
      </c>
      <c r="J3595">
        <v>-194.11369999999999</v>
      </c>
      <c r="K3595">
        <v>1.1053440000000001</v>
      </c>
      <c r="L3595">
        <v>152.73570000000001</v>
      </c>
      <c r="M3595">
        <v>-0.41244720000000001</v>
      </c>
      <c r="N3595">
        <v>-9.5184840000000007E-3</v>
      </c>
      <c r="O3595">
        <v>-0.91093190000000002</v>
      </c>
      <c r="P3595">
        <v>-0.5894665</v>
      </c>
      <c r="Q3595">
        <v>0.3694424</v>
      </c>
      <c r="R3595">
        <v>-0.71836060000000002</v>
      </c>
      <c r="S3595">
        <v>-2.574554</v>
      </c>
      <c r="T3595">
        <v>-0.39010689999999998</v>
      </c>
      <c r="U3595">
        <v>-2.2661289999999998</v>
      </c>
      <c r="V3595">
        <v>0.24564359999999999</v>
      </c>
      <c r="W3595">
        <v>0.37476759999999998</v>
      </c>
      <c r="X3595">
        <v>0.89398459999999902</v>
      </c>
      <c r="Y3595">
        <v>0.4066324</v>
      </c>
      <c r="Z3595">
        <v>0.1051648</v>
      </c>
      <c r="AA3595">
        <v>0.90751890000000002</v>
      </c>
      <c r="AB3595">
        <v>21</v>
      </c>
      <c r="AC3595">
        <v>-7.2073</v>
      </c>
      <c r="AD3595">
        <v>-1.10535492637</v>
      </c>
      <c r="AE3595">
        <v>-6.2471000000000103</v>
      </c>
      <c r="AF3595">
        <v>3.9360766029682401</v>
      </c>
      <c r="AG3595">
        <v>-1.10535492637</v>
      </c>
      <c r="AH3595">
        <v>8.5488874064548703</v>
      </c>
      <c r="AI3595">
        <v>96.698551327100006</v>
      </c>
      <c r="AJ3595">
        <v>65.277723227298694</v>
      </c>
      <c r="AK3595">
        <v>9.4761798434773894</v>
      </c>
      <c r="AL3595">
        <v>67.990050138694798</v>
      </c>
      <c r="AM3595">
        <v>74.635795303759494</v>
      </c>
      <c r="AN3595">
        <v>0.99999999863393896</v>
      </c>
    </row>
    <row r="3596" spans="1:40" x14ac:dyDescent="0.25">
      <c r="A3596" t="str">
        <f>"20190304164715226"</f>
        <v>20190304164715226</v>
      </c>
      <c r="B3596" t="str">
        <f>"1551689235222418"</f>
        <v>1551689235222418</v>
      </c>
      <c r="C3596" t="s">
        <v>40</v>
      </c>
      <c r="D3596">
        <v>4.6858979999999999</v>
      </c>
      <c r="E3596">
        <v>0.58389659999999999</v>
      </c>
      <c r="F3596" t="s">
        <v>51</v>
      </c>
      <c r="G3596">
        <v>-201.3913</v>
      </c>
      <c r="H3596" s="1">
        <v>-1.0869419999999999E-5</v>
      </c>
      <c r="I3596">
        <v>146.40199999999999</v>
      </c>
      <c r="J3596">
        <v>-194.21129999999999</v>
      </c>
      <c r="K3596">
        <v>1.1052729999999999</v>
      </c>
      <c r="L3596">
        <v>152.54669999999999</v>
      </c>
      <c r="M3596">
        <v>-0.42122520000000002</v>
      </c>
      <c r="N3596">
        <v>-9.4836620000000003E-3</v>
      </c>
      <c r="O3596">
        <v>-0.90690669999999995</v>
      </c>
      <c r="P3596">
        <v>-0.59496680000000002</v>
      </c>
      <c r="Q3596">
        <v>0.37094719999999998</v>
      </c>
      <c r="R3596">
        <v>-0.71303109999999903</v>
      </c>
      <c r="S3596">
        <v>-2.5894469999999998</v>
      </c>
      <c r="T3596">
        <v>-0.3932948</v>
      </c>
      <c r="U3596">
        <v>-2.253571</v>
      </c>
      <c r="V3596">
        <v>0.24427489999999999</v>
      </c>
      <c r="W3596">
        <v>0.37622109999999997</v>
      </c>
      <c r="X3596">
        <v>0.89374909999999996</v>
      </c>
      <c r="Y3596">
        <v>0.40285500000000002</v>
      </c>
      <c r="Z3596">
        <v>0.1057106</v>
      </c>
      <c r="AA3596">
        <v>0.90913869999999997</v>
      </c>
      <c r="AB3596">
        <v>21</v>
      </c>
      <c r="AC3596">
        <v>-7.18</v>
      </c>
      <c r="AD3596">
        <v>-1.10528386942</v>
      </c>
      <c r="AE3596">
        <v>-6.1446999999999701</v>
      </c>
      <c r="AF3596">
        <v>3.87051917154694</v>
      </c>
      <c r="AG3596">
        <v>-1.10528386942</v>
      </c>
      <c r="AH3596">
        <v>8.48143548762053</v>
      </c>
      <c r="AI3596">
        <v>96.761218354050399</v>
      </c>
      <c r="AJ3596">
        <v>65.470324966956298</v>
      </c>
      <c r="AK3596">
        <v>9.3881477949583605</v>
      </c>
      <c r="AL3596">
        <v>67.900195566358093</v>
      </c>
      <c r="AM3596">
        <v>74.713551049238006</v>
      </c>
      <c r="AN3596">
        <v>0.999999998303015</v>
      </c>
    </row>
    <row r="3597" spans="1:40" x14ac:dyDescent="0.25">
      <c r="A3597" t="str">
        <f>"20190304164715250"</f>
        <v>20190304164715250</v>
      </c>
      <c r="B3597" t="str">
        <f>"1551689235242914"</f>
        <v>1551689235242914</v>
      </c>
      <c r="C3597" t="s">
        <v>40</v>
      </c>
      <c r="D3597">
        <v>4.6636110000000004</v>
      </c>
      <c r="E3597">
        <v>0.58323019999999903</v>
      </c>
      <c r="F3597" t="s">
        <v>51</v>
      </c>
      <c r="G3597">
        <v>-201.65860000000001</v>
      </c>
      <c r="H3597" s="1">
        <v>-1.0682299999999999E-5</v>
      </c>
      <c r="I3597">
        <v>146.17140000000001</v>
      </c>
      <c r="J3597">
        <v>-194.32259999999999</v>
      </c>
      <c r="K3597">
        <v>1.1051799999999901</v>
      </c>
      <c r="L3597">
        <v>152.3365</v>
      </c>
      <c r="M3597">
        <v>-0.43108269999999999</v>
      </c>
      <c r="N3597">
        <v>-9.436771E-3</v>
      </c>
      <c r="O3597">
        <v>-0.90226309999999998</v>
      </c>
      <c r="P3597">
        <v>-0.60172609999999904</v>
      </c>
      <c r="Q3597">
        <v>0.3720291</v>
      </c>
      <c r="R3597">
        <v>-0.7067677</v>
      </c>
      <c r="S3597">
        <v>-2.6079859999999999</v>
      </c>
      <c r="T3597">
        <v>-0.38706590000000002</v>
      </c>
      <c r="U3597">
        <v>-2.232605</v>
      </c>
      <c r="V3597">
        <v>0.24336630000000001</v>
      </c>
      <c r="W3597">
        <v>0.37722689999999998</v>
      </c>
      <c r="X3597">
        <v>0.89357299999999995</v>
      </c>
      <c r="Y3597">
        <v>0.40047460000000001</v>
      </c>
      <c r="Z3597">
        <v>0.1036666</v>
      </c>
      <c r="AA3597">
        <v>0.91042480000000003</v>
      </c>
      <c r="AB3597">
        <v>21</v>
      </c>
      <c r="AC3597">
        <v>-7.3360000000000101</v>
      </c>
      <c r="AD3597">
        <v>-1.10519068229999</v>
      </c>
      <c r="AE3597">
        <v>-6.16509999999999</v>
      </c>
      <c r="AF3597">
        <v>3.9095068014106999</v>
      </c>
      <c r="AG3597">
        <v>-1.10519068229999</v>
      </c>
      <c r="AH3597">
        <v>8.6108135399488592</v>
      </c>
      <c r="AI3597">
        <v>96.665792192964702</v>
      </c>
      <c r="AJ3597">
        <v>65.580862061159806</v>
      </c>
      <c r="AK3597">
        <v>9.5211238671853202</v>
      </c>
      <c r="AL3597">
        <v>67.837984066709495</v>
      </c>
      <c r="AM3597">
        <v>74.764901770740593</v>
      </c>
      <c r="AN3597">
        <v>0.99999999819414997</v>
      </c>
    </row>
    <row r="3598" spans="1:40" x14ac:dyDescent="0.25">
      <c r="A3598" t="str">
        <f>"20190304164715273"</f>
        <v>20190304164715273</v>
      </c>
      <c r="B3598" t="str">
        <f>"1551689235262437"</f>
        <v>1551689235262437</v>
      </c>
      <c r="C3598" t="s">
        <v>40</v>
      </c>
      <c r="D3598">
        <v>4.3835300000000004</v>
      </c>
      <c r="E3598">
        <v>0.58332309999999998</v>
      </c>
      <c r="F3598" t="s">
        <v>51</v>
      </c>
      <c r="G3598">
        <v>-201.71080000000001</v>
      </c>
      <c r="H3598" s="1">
        <v>-1.064114E-5</v>
      </c>
      <c r="I3598">
        <v>146.11099999999999</v>
      </c>
      <c r="J3598">
        <v>-194.42439999999999</v>
      </c>
      <c r="K3598">
        <v>1.105092</v>
      </c>
      <c r="L3598">
        <v>152.14940000000001</v>
      </c>
      <c r="M3598">
        <v>-0.43995289999999998</v>
      </c>
      <c r="N3598">
        <v>-9.3921419999999992E-3</v>
      </c>
      <c r="O3598">
        <v>-0.89797169999999904</v>
      </c>
      <c r="P3598">
        <v>-0.60823799999999995</v>
      </c>
      <c r="Q3598">
        <v>0.37372499999999997</v>
      </c>
      <c r="R3598">
        <v>-0.70026889999999997</v>
      </c>
      <c r="S3598">
        <v>-2.6278380000000001</v>
      </c>
      <c r="T3598">
        <v>-0.39309620000000001</v>
      </c>
      <c r="U3598">
        <v>-2.2143250000000001</v>
      </c>
      <c r="V3598">
        <v>0.2433168</v>
      </c>
      <c r="W3598">
        <v>0.37883159999999999</v>
      </c>
      <c r="X3598">
        <v>0.89290740000000002</v>
      </c>
      <c r="Y3598">
        <v>0.39842480000000002</v>
      </c>
      <c r="Z3598">
        <v>0.10503170000000001</v>
      </c>
      <c r="AA3598">
        <v>0.91116739999999996</v>
      </c>
      <c r="AB3598">
        <v>21</v>
      </c>
      <c r="AC3598">
        <v>-7.2864000000000102</v>
      </c>
      <c r="AD3598">
        <v>-1.10510264114</v>
      </c>
      <c r="AE3598">
        <v>-6.0384000000000198</v>
      </c>
      <c r="AF3598">
        <v>3.83425300722782</v>
      </c>
      <c r="AG3598">
        <v>-1.10510264114</v>
      </c>
      <c r="AH3598">
        <v>8.5122834379658592</v>
      </c>
      <c r="AI3598">
        <v>96.750707833988997</v>
      </c>
      <c r="AJ3598">
        <v>65.751404960916602</v>
      </c>
      <c r="AK3598">
        <v>9.4011551045155102</v>
      </c>
      <c r="AL3598">
        <v>67.738672798580495</v>
      </c>
      <c r="AM3598">
        <v>74.757030122161197</v>
      </c>
      <c r="AN3598">
        <v>1.0000000356477701</v>
      </c>
    </row>
    <row r="3599" spans="1:40" x14ac:dyDescent="0.25">
      <c r="A3599" t="str">
        <f>"20190304164715292"</f>
        <v>20190304164715292</v>
      </c>
      <c r="B3599" t="str">
        <f>"1551689235281957"</f>
        <v>1551689235281957</v>
      </c>
      <c r="C3599" t="s">
        <v>40</v>
      </c>
      <c r="D3599">
        <v>4.5130549999999996</v>
      </c>
      <c r="E3599">
        <v>0.5830109</v>
      </c>
      <c r="F3599" t="s">
        <v>51</v>
      </c>
      <c r="G3599">
        <v>-202.06460000000001</v>
      </c>
      <c r="H3599" s="1">
        <v>-1.0405380000000001E-5</v>
      </c>
      <c r="I3599">
        <v>145.8459</v>
      </c>
      <c r="J3599">
        <v>-194.51599999999999</v>
      </c>
      <c r="K3599">
        <v>1.105013</v>
      </c>
      <c r="L3599">
        <v>151.98480000000001</v>
      </c>
      <c r="M3599">
        <v>-0.44782830000000001</v>
      </c>
      <c r="N3599">
        <v>-9.3574560000000001E-3</v>
      </c>
      <c r="O3599">
        <v>-0.8940707</v>
      </c>
      <c r="P3599">
        <v>-0.61339309999999903</v>
      </c>
      <c r="Q3599">
        <v>0.37558920000000001</v>
      </c>
      <c r="R3599">
        <v>-0.69475319999999996</v>
      </c>
      <c r="S3599">
        <v>-2.6503139999999998</v>
      </c>
      <c r="T3599">
        <v>-0.3833474</v>
      </c>
      <c r="U3599">
        <v>-2.1866150000000002</v>
      </c>
      <c r="V3599">
        <v>0.2426063</v>
      </c>
      <c r="W3599">
        <v>0.38062380000000001</v>
      </c>
      <c r="X3599">
        <v>0.89233830000000003</v>
      </c>
      <c r="Y3599">
        <v>0.40008129999999997</v>
      </c>
      <c r="Z3599">
        <v>0.10216459999999999</v>
      </c>
      <c r="AA3599">
        <v>0.9107674</v>
      </c>
      <c r="AB3599">
        <v>21</v>
      </c>
      <c r="AC3599">
        <v>-7.54860000000002</v>
      </c>
      <c r="AD3599">
        <v>-1.1050234053799901</v>
      </c>
      <c r="AE3599">
        <v>-6.1388999999999996</v>
      </c>
      <c r="AF3599">
        <v>3.9490465980448399</v>
      </c>
      <c r="AG3599">
        <v>-1.1050234053799901</v>
      </c>
      <c r="AH3599">
        <v>8.7565280489202308</v>
      </c>
      <c r="AI3599">
        <v>96.562281848030096</v>
      </c>
      <c r="AJ3599">
        <v>65.725427583176696</v>
      </c>
      <c r="AK3599">
        <v>9.6691690041851004</v>
      </c>
      <c r="AL3599">
        <v>67.627671626156896</v>
      </c>
      <c r="AM3599">
        <v>74.790233005056507</v>
      </c>
      <c r="AN3599">
        <v>0.99999996778650901</v>
      </c>
    </row>
    <row r="3600" spans="1:40" x14ac:dyDescent="0.25">
      <c r="A3600" t="str">
        <f>"20190304164715316"</f>
        <v>20190304164715316</v>
      </c>
      <c r="B3600" t="str">
        <f>"1551689235312210"</f>
        <v>1551689235312210</v>
      </c>
      <c r="C3600" t="s">
        <v>40</v>
      </c>
      <c r="D3600">
        <v>4.5935480000000002</v>
      </c>
      <c r="E3600">
        <v>0.58233880000000005</v>
      </c>
      <c r="F3600" t="s">
        <v>51</v>
      </c>
      <c r="G3600">
        <v>-202.29159999999999</v>
      </c>
      <c r="H3600" s="1">
        <v>-1.0255070000000001E-5</v>
      </c>
      <c r="I3600">
        <v>145.679</v>
      </c>
      <c r="J3600">
        <v>-194.62309999999999</v>
      </c>
      <c r="K3600">
        <v>1.1049059999999999</v>
      </c>
      <c r="L3600">
        <v>151.79679999999999</v>
      </c>
      <c r="M3600">
        <v>-0.4569278</v>
      </c>
      <c r="N3600">
        <v>-9.3203750000000005E-3</v>
      </c>
      <c r="O3600">
        <v>-0.88945509999999905</v>
      </c>
      <c r="P3600">
        <v>-0.61896819999999997</v>
      </c>
      <c r="Q3600">
        <v>0.37772630000000001</v>
      </c>
      <c r="R3600">
        <v>-0.68862309999999904</v>
      </c>
      <c r="S3600">
        <v>-2.6703489999999999</v>
      </c>
      <c r="T3600">
        <v>-0.37949290000000002</v>
      </c>
      <c r="U3600">
        <v>-2.1656040000000001</v>
      </c>
      <c r="V3600">
        <v>0.24133669999999999</v>
      </c>
      <c r="W3600">
        <v>0.38268210000000003</v>
      </c>
      <c r="X3600">
        <v>0.89180210000000004</v>
      </c>
      <c r="Y3600">
        <v>0.39852660000000001</v>
      </c>
      <c r="Z3600">
        <v>0.10075050000000001</v>
      </c>
      <c r="AA3600">
        <v>0.91160629999999998</v>
      </c>
      <c r="AB3600">
        <v>21</v>
      </c>
      <c r="AC3600">
        <v>-7.6684999999999901</v>
      </c>
      <c r="AD3600">
        <v>-1.10491625507</v>
      </c>
      <c r="AE3600">
        <v>-6.1177999999999804</v>
      </c>
      <c r="AF3600">
        <v>3.9751383003525498</v>
      </c>
      <c r="AG3600">
        <v>-1.10491625507</v>
      </c>
      <c r="AH3600">
        <v>8.8337791846530394</v>
      </c>
      <c r="AI3600">
        <v>96.507155425207102</v>
      </c>
      <c r="AJ3600">
        <v>65.772590890308095</v>
      </c>
      <c r="AK3600">
        <v>9.7497804652646902</v>
      </c>
      <c r="AL3600">
        <v>67.500082367444406</v>
      </c>
      <c r="AM3600">
        <v>74.857487036486802</v>
      </c>
      <c r="AN3600">
        <v>0.99999998899585396</v>
      </c>
    </row>
    <row r="3601" spans="1:40" x14ac:dyDescent="0.25">
      <c r="A3601" t="str">
        <f>"20190304164715340"</f>
        <v>20190304164715340</v>
      </c>
      <c r="B3601" t="str">
        <f>"1551689235332706"</f>
        <v>1551689235332706</v>
      </c>
      <c r="C3601" t="s">
        <v>40</v>
      </c>
      <c r="D3601">
        <v>4.5823099999999997</v>
      </c>
      <c r="E3601">
        <v>0.58154459999999997</v>
      </c>
      <c r="F3601" t="s">
        <v>51</v>
      </c>
      <c r="G3601">
        <v>-202.4599</v>
      </c>
      <c r="H3601" s="1">
        <v>-1.0141300000000001E-5</v>
      </c>
      <c r="I3601">
        <v>145.54740000000001</v>
      </c>
      <c r="J3601">
        <v>-194.74719999999999</v>
      </c>
      <c r="K3601">
        <v>1.104779</v>
      </c>
      <c r="L3601">
        <v>151.58510000000001</v>
      </c>
      <c r="M3601">
        <v>-0.46731980000000001</v>
      </c>
      <c r="N3601">
        <v>-9.2811160000000007E-3</v>
      </c>
      <c r="O3601">
        <v>-0.88403980000000004</v>
      </c>
      <c r="P3601">
        <v>-0.62596390000000002</v>
      </c>
      <c r="Q3601">
        <v>0.38073709999999999</v>
      </c>
      <c r="R3601">
        <v>-0.680594699999999</v>
      </c>
      <c r="S3601">
        <v>-2.6909480000000001</v>
      </c>
      <c r="T3601">
        <v>-0.37939919999999999</v>
      </c>
      <c r="U3601">
        <v>-2.1458740000000001</v>
      </c>
      <c r="V3601">
        <v>0.24092160000000001</v>
      </c>
      <c r="W3601">
        <v>0.38558340000000002</v>
      </c>
      <c r="X3601">
        <v>0.89066389999999995</v>
      </c>
      <c r="Y3601">
        <v>0.39531529999999998</v>
      </c>
      <c r="Z3601">
        <v>0.1002551</v>
      </c>
      <c r="AA3601">
        <v>0.91305789999999998</v>
      </c>
      <c r="AB3601">
        <v>21</v>
      </c>
      <c r="AC3601">
        <v>-7.7127000000000097</v>
      </c>
      <c r="AD3601">
        <v>-1.1047891412999999</v>
      </c>
      <c r="AE3601">
        <v>-6.0377000000000001</v>
      </c>
      <c r="AF3601">
        <v>3.9467572544802398</v>
      </c>
      <c r="AG3601">
        <v>-1.1047891412999999</v>
      </c>
      <c r="AH3601">
        <v>8.8299127003443001</v>
      </c>
      <c r="AI3601">
        <v>96.516511886907793</v>
      </c>
      <c r="AJ3601">
        <v>65.916512562032096</v>
      </c>
      <c r="AK3601">
        <v>9.7347218844828092</v>
      </c>
      <c r="AL3601">
        <v>67.320036281761602</v>
      </c>
      <c r="AM3601">
        <v>74.8639058060579</v>
      </c>
      <c r="AN3601">
        <v>0.99999997923266404</v>
      </c>
    </row>
    <row r="3602" spans="1:40" x14ac:dyDescent="0.25">
      <c r="A3602" t="str">
        <f>"20190304164715362"</f>
        <v>20190304164715362</v>
      </c>
      <c r="B3602" t="str">
        <f>"1551689235352225"</f>
        <v>1551689235352225</v>
      </c>
      <c r="C3602" t="s">
        <v>40</v>
      </c>
      <c r="D3602">
        <v>4.3750450000000001</v>
      </c>
      <c r="E3602">
        <v>0.58143319999999998</v>
      </c>
      <c r="F3602" t="s">
        <v>51</v>
      </c>
      <c r="G3602">
        <v>-202.6806</v>
      </c>
      <c r="H3602" s="1">
        <v>-9.9955249999999995E-6</v>
      </c>
      <c r="I3602">
        <v>145.38630000000001</v>
      </c>
      <c r="J3602">
        <v>-194.85589999999999</v>
      </c>
      <c r="K3602">
        <v>1.104689</v>
      </c>
      <c r="L3602">
        <v>151.4041</v>
      </c>
      <c r="M3602">
        <v>-0.47629759999999999</v>
      </c>
      <c r="N3602">
        <v>-9.2508160000000002E-3</v>
      </c>
      <c r="O3602">
        <v>-0.87923560000000001</v>
      </c>
      <c r="P3602">
        <v>-0.63230069999999905</v>
      </c>
      <c r="Q3602">
        <v>0.38418999999999998</v>
      </c>
      <c r="R3602">
        <v>-0.67275109999999905</v>
      </c>
      <c r="S3602">
        <v>-2.7156069999999999</v>
      </c>
      <c r="T3602">
        <v>-0.37817079999999997</v>
      </c>
      <c r="U3602">
        <v>-2.1218569999999999</v>
      </c>
      <c r="V3602">
        <v>0.24125559999999999</v>
      </c>
      <c r="W3602">
        <v>0.38893290000000003</v>
      </c>
      <c r="X3602">
        <v>0.88911580000000001</v>
      </c>
      <c r="Y3602">
        <v>0.3950747</v>
      </c>
      <c r="Z3602">
        <v>9.9530350000000004E-2</v>
      </c>
      <c r="AA3602">
        <v>0.91324130000000003</v>
      </c>
      <c r="AB3602">
        <v>21</v>
      </c>
      <c r="AC3602">
        <v>-7.8247</v>
      </c>
      <c r="AD3602">
        <v>-1.1046989955249999</v>
      </c>
      <c r="AE3602">
        <v>-6.0177999999999896</v>
      </c>
      <c r="AF3602">
        <v>3.9640161178286499</v>
      </c>
      <c r="AG3602">
        <v>-1.1046989955249999</v>
      </c>
      <c r="AH3602">
        <v>8.9067840303724104</v>
      </c>
      <c r="AI3602">
        <v>96.464801829147802</v>
      </c>
      <c r="AJ3602">
        <v>66.008266187671296</v>
      </c>
      <c r="AK3602">
        <v>9.8114517486871602</v>
      </c>
      <c r="AL3602">
        <v>67.111882043139701</v>
      </c>
      <c r="AM3602">
        <v>74.8187141973076</v>
      </c>
      <c r="AN3602">
        <v>0.99999998552170499</v>
      </c>
    </row>
    <row r="3603" spans="1:40" x14ac:dyDescent="0.25">
      <c r="A3603" t="str">
        <f>"20190304164715386"</f>
        <v>20190304164715386</v>
      </c>
      <c r="B3603" t="str">
        <f>"1551689235372722"</f>
        <v>1551689235372722</v>
      </c>
      <c r="C3603" t="s">
        <v>40</v>
      </c>
      <c r="D3603">
        <v>4.4382599999999996</v>
      </c>
      <c r="E3603">
        <v>0.58114759999999999</v>
      </c>
      <c r="F3603" t="s">
        <v>51</v>
      </c>
      <c r="G3603">
        <v>-203.10509999999999</v>
      </c>
      <c r="H3603" s="1">
        <v>-9.7475510000000006E-6</v>
      </c>
      <c r="I3603">
        <v>145.09350000000001</v>
      </c>
      <c r="J3603">
        <v>-194.97280000000001</v>
      </c>
      <c r="K3603">
        <v>1.1045929999999999</v>
      </c>
      <c r="L3603">
        <v>151.21430000000001</v>
      </c>
      <c r="M3603">
        <v>-0.48582059999999999</v>
      </c>
      <c r="N3603">
        <v>-9.2245490000000003E-3</v>
      </c>
      <c r="O3603">
        <v>-0.87400990000000001</v>
      </c>
      <c r="P3603">
        <v>-0.63916379999999995</v>
      </c>
      <c r="Q3603">
        <v>0.38690790000000003</v>
      </c>
      <c r="R3603">
        <v>-0.66465929999999995</v>
      </c>
      <c r="S3603">
        <v>-2.7384490000000001</v>
      </c>
      <c r="T3603">
        <v>-0.36672320000000003</v>
      </c>
      <c r="U3603">
        <v>-2.0949249999999999</v>
      </c>
      <c r="V3603">
        <v>0.24161150000000001</v>
      </c>
      <c r="W3603">
        <v>0.39155220000000002</v>
      </c>
      <c r="X3603">
        <v>0.88786869999999996</v>
      </c>
      <c r="Y3603">
        <v>0.39475179999999999</v>
      </c>
      <c r="Z3603">
        <v>9.6013909999999994E-2</v>
      </c>
      <c r="AA3603">
        <v>0.91375729999999999</v>
      </c>
      <c r="AB3603">
        <v>21</v>
      </c>
      <c r="AC3603">
        <v>-8.1322999999999794</v>
      </c>
      <c r="AD3603">
        <v>-1.1046027475510001</v>
      </c>
      <c r="AE3603">
        <v>-6.1208</v>
      </c>
      <c r="AF3603">
        <v>4.0861505065623103</v>
      </c>
      <c r="AG3603">
        <v>-1.1046027475510001</v>
      </c>
      <c r="AH3603">
        <v>9.1926067983688693</v>
      </c>
      <c r="AI3603">
        <v>96.266149810948207</v>
      </c>
      <c r="AJ3603">
        <v>66.0346615828431</v>
      </c>
      <c r="AK3603">
        <v>10.120315851869099</v>
      </c>
      <c r="AL3603">
        <v>66.948884512318301</v>
      </c>
      <c r="AM3603">
        <v>74.776991076822199</v>
      </c>
      <c r="AN3603">
        <v>1.00000003534838</v>
      </c>
    </row>
    <row r="3604" spans="1:40" x14ac:dyDescent="0.25">
      <c r="A3604" t="str">
        <f>"20190304164715406"</f>
        <v>20190304164715406</v>
      </c>
      <c r="B3604" t="str">
        <f>"1551689235402001"</f>
        <v>1551689235402001</v>
      </c>
      <c r="C3604" t="s">
        <v>40</v>
      </c>
      <c r="D3604">
        <v>4.4010899999999999</v>
      </c>
      <c r="E3604">
        <v>0.58101309999999995</v>
      </c>
      <c r="F3604" t="s">
        <v>51</v>
      </c>
      <c r="G3604">
        <v>-203.4289</v>
      </c>
      <c r="H3604" s="1">
        <v>-9.5692490000000005E-6</v>
      </c>
      <c r="I3604">
        <v>144.87979999999999</v>
      </c>
      <c r="J3604">
        <v>-195.0812</v>
      </c>
      <c r="K3604">
        <v>1.104508</v>
      </c>
      <c r="L3604">
        <v>151.04249999999999</v>
      </c>
      <c r="M3604">
        <v>-0.4945389</v>
      </c>
      <c r="N3604">
        <v>-9.2062240000000007E-3</v>
      </c>
      <c r="O3604">
        <v>-0.86910669999999901</v>
      </c>
      <c r="P3604">
        <v>-0.64555479999999998</v>
      </c>
      <c r="Q3604">
        <v>0.38805299999999998</v>
      </c>
      <c r="R3604">
        <v>-0.65777980000000003</v>
      </c>
      <c r="S3604">
        <v>-2.7610929999999998</v>
      </c>
      <c r="T3604">
        <v>-0.36067860000000002</v>
      </c>
      <c r="U3604">
        <v>-2.0683750000000001</v>
      </c>
      <c r="V3604">
        <v>0.2417444</v>
      </c>
      <c r="W3604">
        <v>0.39262200000000003</v>
      </c>
      <c r="X3604">
        <v>0.88735989999999998</v>
      </c>
      <c r="Y3604">
        <v>0.39496199999999998</v>
      </c>
      <c r="Z3604">
        <v>9.40304E-2</v>
      </c>
      <c r="AA3604">
        <v>0.91387269999999998</v>
      </c>
      <c r="AB3604">
        <v>21</v>
      </c>
      <c r="AC3604">
        <v>-8.3476999999999997</v>
      </c>
      <c r="AD3604">
        <v>-1.1045175692489999</v>
      </c>
      <c r="AE3604">
        <v>-6.1627000000000001</v>
      </c>
      <c r="AF3604">
        <v>4.1603831066112402</v>
      </c>
      <c r="AG3604">
        <v>-1.1045175692489999</v>
      </c>
      <c r="AH3604">
        <v>9.3784387905101507</v>
      </c>
      <c r="AI3604">
        <v>96.144494210968503</v>
      </c>
      <c r="AJ3604">
        <v>66.0773764952325</v>
      </c>
      <c r="AK3604">
        <v>10.3191017439456</v>
      </c>
      <c r="AL3604">
        <v>66.882253189347693</v>
      </c>
      <c r="AM3604">
        <v>74.760679146297605</v>
      </c>
      <c r="AN3604">
        <v>0.99999999097168502</v>
      </c>
    </row>
    <row r="3605" spans="1:40" x14ac:dyDescent="0.25">
      <c r="A3605" t="str">
        <f>"20190304164715428"</f>
        <v>20190304164715428</v>
      </c>
      <c r="B3605" t="str">
        <f>"1551689235422499"</f>
        <v>1551689235422499</v>
      </c>
      <c r="C3605" t="s">
        <v>40</v>
      </c>
      <c r="D3605">
        <v>4.6380039999999996</v>
      </c>
      <c r="E3605">
        <v>0.5687816</v>
      </c>
      <c r="F3605" t="s">
        <v>51</v>
      </c>
      <c r="G3605">
        <v>-203.61879999999999</v>
      </c>
      <c r="H3605" s="1">
        <v>-9.467364E-6</v>
      </c>
      <c r="I3605">
        <v>144.7646</v>
      </c>
      <c r="J3605">
        <v>-195.2</v>
      </c>
      <c r="K3605">
        <v>1.104409</v>
      </c>
      <c r="L3605">
        <v>150.8586</v>
      </c>
      <c r="M3605">
        <v>-0.50397199999999998</v>
      </c>
      <c r="N3605">
        <v>-9.191744E-3</v>
      </c>
      <c r="O3605">
        <v>-0.86367139999999998</v>
      </c>
      <c r="P3605">
        <v>-0.65227279999999999</v>
      </c>
      <c r="Q3605">
        <v>0.38814029999999999</v>
      </c>
      <c r="R3605">
        <v>-0.65106679999999995</v>
      </c>
      <c r="S3605">
        <v>-2.7802730000000002</v>
      </c>
      <c r="T3605">
        <v>-0.3596876</v>
      </c>
      <c r="U3605">
        <v>-2.044403</v>
      </c>
      <c r="V3605">
        <v>0.24130989999999999</v>
      </c>
      <c r="W3605">
        <v>0.39264789999999999</v>
      </c>
      <c r="X3605">
        <v>0.88746669999999905</v>
      </c>
      <c r="Y3605">
        <v>0.3931383</v>
      </c>
      <c r="Z3605">
        <v>9.3382640000000003E-2</v>
      </c>
      <c r="AA3605">
        <v>0.91472509999999996</v>
      </c>
      <c r="AB3605">
        <v>21</v>
      </c>
      <c r="AC3605">
        <v>-8.4187999999999992</v>
      </c>
      <c r="AD3605">
        <v>-1.1044184673639901</v>
      </c>
      <c r="AE3605">
        <v>-6.0939999999999896</v>
      </c>
      <c r="AF3605">
        <v>4.1531481443100002</v>
      </c>
      <c r="AG3605">
        <v>-1.1044184673639901</v>
      </c>
      <c r="AH3605">
        <v>9.4002988235743601</v>
      </c>
      <c r="AI3605">
        <v>96.133825762381804</v>
      </c>
      <c r="AJ3605">
        <v>66.1636681715554</v>
      </c>
      <c r="AK3605">
        <v>10.3360532908907</v>
      </c>
      <c r="AL3605">
        <v>66.880639687812106</v>
      </c>
      <c r="AM3605">
        <v>74.788545151254596</v>
      </c>
      <c r="AN3605">
        <v>0.99999999241065496</v>
      </c>
    </row>
    <row r="3606" spans="1:40" x14ac:dyDescent="0.25">
      <c r="A3606" t="str">
        <f>"20190304164715450"</f>
        <v>20190304164715450</v>
      </c>
      <c r="B3606" t="str">
        <f>"1551689235442994"</f>
        <v>1551689235442994</v>
      </c>
      <c r="C3606" t="s">
        <v>40</v>
      </c>
      <c r="D3606">
        <v>4.581925</v>
      </c>
      <c r="E3606">
        <v>0.56520749999999997</v>
      </c>
      <c r="F3606" t="s">
        <v>51</v>
      </c>
      <c r="G3606">
        <v>-200.10059999999999</v>
      </c>
      <c r="H3606" s="1">
        <v>-1.163271E-5</v>
      </c>
      <c r="I3606">
        <v>147.0437</v>
      </c>
      <c r="J3606">
        <v>-195.31960000000001</v>
      </c>
      <c r="K3606">
        <v>1.104314</v>
      </c>
      <c r="L3606">
        <v>150.67789999999999</v>
      </c>
      <c r="M3606">
        <v>-0.51332140000000004</v>
      </c>
      <c r="N3606">
        <v>-9.1810669999999994E-3</v>
      </c>
      <c r="O3606">
        <v>-0.85814760000000001</v>
      </c>
      <c r="P3606">
        <v>-0.65920719999999899</v>
      </c>
      <c r="Q3606">
        <v>0.38701400000000002</v>
      </c>
      <c r="R3606">
        <v>-0.64472200000000002</v>
      </c>
      <c r="S3606">
        <v>-2.7995000000000001</v>
      </c>
      <c r="T3606">
        <v>-0.63091330000000001</v>
      </c>
      <c r="U3606">
        <v>-2.1792760000000002</v>
      </c>
      <c r="V3606">
        <v>0.24089459999999999</v>
      </c>
      <c r="W3606">
        <v>0.39147320000000002</v>
      </c>
      <c r="X3606">
        <v>0.88809819999999995</v>
      </c>
      <c r="Y3606">
        <v>0.35001320000000002</v>
      </c>
      <c r="Z3606">
        <v>0.1600567</v>
      </c>
      <c r="AA3606">
        <v>0.9229695</v>
      </c>
      <c r="AB3606">
        <v>21</v>
      </c>
      <c r="AC3606">
        <v>-4.7809999999999704</v>
      </c>
      <c r="AD3606">
        <v>-1.1043256327099999</v>
      </c>
      <c r="AE3606">
        <v>-3.6341999999999901</v>
      </c>
      <c r="AF3606">
        <v>2.1642032257571802</v>
      </c>
      <c r="AG3606">
        <v>-1.1043256327099999</v>
      </c>
      <c r="AH3606">
        <v>5.3908151311110499</v>
      </c>
      <c r="AI3606">
        <v>100.763799155364</v>
      </c>
      <c r="AJ3606">
        <v>68.126452927939496</v>
      </c>
      <c r="AK3606">
        <v>5.9130532285151904</v>
      </c>
      <c r="AL3606">
        <v>66.953801319295593</v>
      </c>
      <c r="AM3606">
        <v>74.823814894110299</v>
      </c>
      <c r="AN3606">
        <v>0.99999994373531798</v>
      </c>
    </row>
    <row r="3607" spans="1:40" x14ac:dyDescent="0.25">
      <c r="A3607" t="str">
        <f>"20190304164715473"</f>
        <v>20190304164715473</v>
      </c>
      <c r="B3607" t="str">
        <f>"1551689235462517"</f>
        <v>1551689235462517</v>
      </c>
      <c r="C3607" t="s">
        <v>40</v>
      </c>
      <c r="D3607">
        <v>4.5790769999999998</v>
      </c>
      <c r="E3607">
        <v>0.57434839999999998</v>
      </c>
      <c r="F3607" t="s">
        <v>51</v>
      </c>
      <c r="G3607">
        <v>-199.94540000000001</v>
      </c>
      <c r="H3607" s="1">
        <v>-1.1705079999999999E-5</v>
      </c>
      <c r="I3607">
        <v>147.08009999999999</v>
      </c>
      <c r="J3607">
        <v>-195.4443</v>
      </c>
      <c r="K3607">
        <v>1.1042240000000001</v>
      </c>
      <c r="L3607">
        <v>150.4939</v>
      </c>
      <c r="M3607">
        <v>-0.5228988</v>
      </c>
      <c r="N3607">
        <v>-9.1716850000000006E-3</v>
      </c>
      <c r="O3607">
        <v>-0.85234560000000004</v>
      </c>
      <c r="P3607">
        <v>-0.66693179999999996</v>
      </c>
      <c r="Q3607">
        <v>0.38510850000000002</v>
      </c>
      <c r="R3607">
        <v>-0.63788250000000002</v>
      </c>
      <c r="S3607">
        <v>-2.808319</v>
      </c>
      <c r="T3607">
        <v>-0.670440699999999</v>
      </c>
      <c r="U3607">
        <v>-2.1842190000000001</v>
      </c>
      <c r="V3607">
        <v>0.24109900000000001</v>
      </c>
      <c r="W3607">
        <v>0.38951930000000001</v>
      </c>
      <c r="X3607">
        <v>0.88890159999999996</v>
      </c>
      <c r="Y3607">
        <v>0.33858189999999999</v>
      </c>
      <c r="Z3607">
        <v>0.1684503</v>
      </c>
      <c r="AA3607">
        <v>0.9257358</v>
      </c>
      <c r="AB3607">
        <v>21</v>
      </c>
      <c r="AC3607">
        <v>-4.5011000000000001</v>
      </c>
      <c r="AD3607">
        <v>-1.10423570507999</v>
      </c>
      <c r="AE3607">
        <v>-3.4138000000000002</v>
      </c>
      <c r="AF3607">
        <v>1.9760093933940699</v>
      </c>
      <c r="AG3607">
        <v>-1.10423570507999</v>
      </c>
      <c r="AH3607">
        <v>5.06987302478072</v>
      </c>
      <c r="AI3607">
        <v>101.471501143808</v>
      </c>
      <c r="AJ3607">
        <v>68.706391504344793</v>
      </c>
      <c r="AK3607">
        <v>5.5522573879958399</v>
      </c>
      <c r="AL3607">
        <v>67.075408662730197</v>
      </c>
      <c r="AM3607">
        <v>74.824626654537894</v>
      </c>
      <c r="AN3607">
        <v>1.0000000336780199</v>
      </c>
    </row>
    <row r="3608" spans="1:40" x14ac:dyDescent="0.25">
      <c r="A3608" t="str">
        <f>"20190304164715497"</f>
        <v>20190304164715497</v>
      </c>
      <c r="B3608" t="str">
        <f>"1551689235492769"</f>
        <v>1551689235492769</v>
      </c>
      <c r="C3608" t="s">
        <v>40</v>
      </c>
      <c r="D3608">
        <v>4.534408</v>
      </c>
      <c r="E3608">
        <v>0.56968289999999999</v>
      </c>
      <c r="F3608" t="s">
        <v>51</v>
      </c>
      <c r="G3608">
        <v>-200.7037</v>
      </c>
      <c r="H3608" s="1">
        <v>-1.125551E-5</v>
      </c>
      <c r="I3608">
        <v>146.67490000000001</v>
      </c>
      <c r="J3608">
        <v>-195.57820000000001</v>
      </c>
      <c r="K3608">
        <v>1.10415</v>
      </c>
      <c r="L3608">
        <v>150.30170000000001</v>
      </c>
      <c r="M3608">
        <v>-0.53296080000000001</v>
      </c>
      <c r="N3608">
        <v>-9.1623309999999993E-3</v>
      </c>
      <c r="O3608">
        <v>-0.84609040000000002</v>
      </c>
      <c r="P3608">
        <v>-0.67563149999999905</v>
      </c>
      <c r="Q3608">
        <v>0.38256499999999999</v>
      </c>
      <c r="R3608">
        <v>-0.63021119999999997</v>
      </c>
      <c r="S3608">
        <v>-2.8591160000000002</v>
      </c>
      <c r="T3608">
        <v>-0.60028349999999997</v>
      </c>
      <c r="U3608">
        <v>-2.0760960000000002</v>
      </c>
      <c r="V3608">
        <v>0.24197479999999999</v>
      </c>
      <c r="W3608">
        <v>0.38692660000000001</v>
      </c>
      <c r="X3608">
        <v>0.88979549999999996</v>
      </c>
      <c r="Y3608">
        <v>0.36040470000000002</v>
      </c>
      <c r="Z3608">
        <v>0.15206310000000001</v>
      </c>
      <c r="AA3608">
        <v>0.92031799999999997</v>
      </c>
      <c r="AB3608">
        <v>22</v>
      </c>
      <c r="AC3608">
        <v>-5.1254999999999802</v>
      </c>
      <c r="AD3608">
        <v>-1.10416125551</v>
      </c>
      <c r="AE3608">
        <v>-3.6267999999999998</v>
      </c>
      <c r="AF3608">
        <v>2.3316890557599299</v>
      </c>
      <c r="AG3608">
        <v>-1.10416125551</v>
      </c>
      <c r="AH3608">
        <v>5.6265377208892398</v>
      </c>
      <c r="AI3608">
        <v>100.275612546465</v>
      </c>
      <c r="AJ3608">
        <v>67.490432480231803</v>
      </c>
      <c r="AK3608">
        <v>6.1898200826445304</v>
      </c>
      <c r="AL3608">
        <v>67.236602217955607</v>
      </c>
      <c r="AM3608">
        <v>74.786645722022996</v>
      </c>
      <c r="AN3608">
        <v>1.0000000147214201</v>
      </c>
    </row>
    <row r="3609" spans="1:40" x14ac:dyDescent="0.25">
      <c r="A3609" t="str">
        <f>"20190304164715517"</f>
        <v>20190304164715517</v>
      </c>
      <c r="B3609" t="str">
        <f>"1551689235512291"</f>
        <v>1551689235512291</v>
      </c>
      <c r="C3609" t="s">
        <v>40</v>
      </c>
      <c r="D3609">
        <v>4.5385669999999996</v>
      </c>
      <c r="E3609">
        <v>0.56841239999999904</v>
      </c>
      <c r="F3609" t="s">
        <v>51</v>
      </c>
      <c r="G3609">
        <v>-200.43190000000001</v>
      </c>
      <c r="H3609" s="1">
        <v>-1.1406460000000001E-5</v>
      </c>
      <c r="I3609">
        <v>146.77709999999999</v>
      </c>
      <c r="J3609">
        <v>-195.6951</v>
      </c>
      <c r="K3609">
        <v>1.104096</v>
      </c>
      <c r="L3609">
        <v>150.13749999999999</v>
      </c>
      <c r="M3609">
        <v>-0.54157100000000002</v>
      </c>
      <c r="N3609">
        <v>-9.1547690000000001E-3</v>
      </c>
      <c r="O3609">
        <v>-0.8406053</v>
      </c>
      <c r="P3609">
        <v>-0.68324649999999998</v>
      </c>
      <c r="Q3609">
        <v>0.38030459999999999</v>
      </c>
      <c r="R3609">
        <v>-0.62333190000000005</v>
      </c>
      <c r="S3609">
        <v>-2.867432</v>
      </c>
      <c r="T3609">
        <v>-0.65230379999999999</v>
      </c>
      <c r="U3609">
        <v>-2.0821839999999998</v>
      </c>
      <c r="V3609">
        <v>0.24296799999999999</v>
      </c>
      <c r="W3609">
        <v>0.3846289</v>
      </c>
      <c r="X3609">
        <v>0.8905208</v>
      </c>
      <c r="Y3609">
        <v>0.34904629999999998</v>
      </c>
      <c r="Z3609">
        <v>0.1637295</v>
      </c>
      <c r="AA3609">
        <v>0.92269129999999999</v>
      </c>
      <c r="AB3609">
        <v>22</v>
      </c>
      <c r="AC3609">
        <v>-4.7368000000000103</v>
      </c>
      <c r="AD3609">
        <v>-1.1041074064600001</v>
      </c>
      <c r="AE3609">
        <v>-3.3603999999999901</v>
      </c>
      <c r="AF3609">
        <v>2.08656187197729</v>
      </c>
      <c r="AG3609">
        <v>-1.1041074064600001</v>
      </c>
      <c r="AH3609">
        <v>5.2022878501529402</v>
      </c>
      <c r="AI3609">
        <v>101.143535842183</v>
      </c>
      <c r="AJ3609">
        <v>68.144997918562794</v>
      </c>
      <c r="AK3609">
        <v>5.7128445179645997</v>
      </c>
      <c r="AL3609">
        <v>67.379297754869498</v>
      </c>
      <c r="AM3609">
        <v>74.738971323720193</v>
      </c>
      <c r="AN3609">
        <v>1.00000006748592</v>
      </c>
    </row>
    <row r="3610" spans="1:40" x14ac:dyDescent="0.25">
      <c r="A3610" t="str">
        <f>"20190304164715542"</f>
        <v>20190304164715542</v>
      </c>
      <c r="B3610" t="str">
        <f>"1551689235532786"</f>
        <v>1551689235532786</v>
      </c>
      <c r="C3610" t="s">
        <v>40</v>
      </c>
      <c r="D3610">
        <v>4.485074</v>
      </c>
      <c r="E3610">
        <v>0.56825159999999997</v>
      </c>
      <c r="F3610" t="s">
        <v>51</v>
      </c>
      <c r="G3610">
        <v>-200.434</v>
      </c>
      <c r="H3610" s="1">
        <v>-1.139948E-5</v>
      </c>
      <c r="I3610">
        <v>146.7567</v>
      </c>
      <c r="J3610">
        <v>-195.84129999999999</v>
      </c>
      <c r="K3610">
        <v>1.1040509999999999</v>
      </c>
      <c r="L3610">
        <v>149.9374</v>
      </c>
      <c r="M3610">
        <v>-0.5520853</v>
      </c>
      <c r="N3610">
        <v>-9.1467440000000001E-3</v>
      </c>
      <c r="O3610">
        <v>-0.83373759999999997</v>
      </c>
      <c r="P3610">
        <v>-0.69295479999999998</v>
      </c>
      <c r="Q3610">
        <v>0.37800820000000002</v>
      </c>
      <c r="R3610">
        <v>-0.61394119999999996</v>
      </c>
      <c r="S3610">
        <v>-2.8864589999999999</v>
      </c>
      <c r="T3610">
        <v>-0.67251660000000002</v>
      </c>
      <c r="U3610">
        <v>-2.0592649999999999</v>
      </c>
      <c r="V3610">
        <v>0.2449925</v>
      </c>
      <c r="W3610">
        <v>0.38227810000000001</v>
      </c>
      <c r="X3610">
        <v>0.89097819999999905</v>
      </c>
      <c r="Y3610">
        <v>0.34433180000000002</v>
      </c>
      <c r="Z3610">
        <v>0.16766510000000001</v>
      </c>
      <c r="AA3610">
        <v>0.9237554</v>
      </c>
      <c r="AB3610">
        <v>22</v>
      </c>
      <c r="AC3610">
        <v>-4.59270000000003</v>
      </c>
      <c r="AD3610">
        <v>-1.1040623994800001</v>
      </c>
      <c r="AE3610">
        <v>-3.1806999999999999</v>
      </c>
      <c r="AF3610">
        <v>1.99524741031659</v>
      </c>
      <c r="AG3610">
        <v>-1.1040623994800001</v>
      </c>
      <c r="AH3610">
        <v>4.9926506489840197</v>
      </c>
      <c r="AI3610">
        <v>101.604190265518</v>
      </c>
      <c r="AJ3610">
        <v>68.216527502123299</v>
      </c>
      <c r="AK3610">
        <v>5.4887636597981802</v>
      </c>
      <c r="AL3610">
        <v>67.525135294282407</v>
      </c>
      <c r="AM3610">
        <v>74.625333373527894</v>
      </c>
      <c r="AN3610">
        <v>1.0000000118355401</v>
      </c>
    </row>
    <row r="3611" spans="1:40" x14ac:dyDescent="0.25">
      <c r="A3611" t="str">
        <f>"20190304164715564"</f>
        <v>20190304164715564</v>
      </c>
      <c r="B3611" t="str">
        <f>"1551689235552306"</f>
        <v>1551689235552306</v>
      </c>
      <c r="C3611" t="s">
        <v>40</v>
      </c>
      <c r="D3611">
        <v>4.4973929999999998</v>
      </c>
      <c r="E3611">
        <v>0.56845690000000004</v>
      </c>
      <c r="F3611" t="s">
        <v>51</v>
      </c>
      <c r="G3611">
        <v>-200.55459999999999</v>
      </c>
      <c r="H3611" s="1">
        <v>-1.1322600000000001E-5</v>
      </c>
      <c r="I3611">
        <v>146.6781</v>
      </c>
      <c r="J3611">
        <v>-195.9682</v>
      </c>
      <c r="K3611">
        <v>1.1040219999999901</v>
      </c>
      <c r="L3611">
        <v>149.76769999999999</v>
      </c>
      <c r="M3611">
        <v>-0.56099290000000002</v>
      </c>
      <c r="N3611">
        <v>-9.1409479999999994E-3</v>
      </c>
      <c r="O3611">
        <v>-0.82777009999999995</v>
      </c>
      <c r="P3611">
        <v>-0.7021695</v>
      </c>
      <c r="Q3611">
        <v>0.37525930000000002</v>
      </c>
      <c r="R3611">
        <v>-0.60509369999999996</v>
      </c>
      <c r="S3611">
        <v>-2.9155880000000001</v>
      </c>
      <c r="T3611">
        <v>-0.68296000000000001</v>
      </c>
      <c r="U3611">
        <v>-2.016159</v>
      </c>
      <c r="V3611">
        <v>0.24795300000000001</v>
      </c>
      <c r="W3611">
        <v>0.37946780000000002</v>
      </c>
      <c r="X3611">
        <v>0.8913605</v>
      </c>
      <c r="Y3611">
        <v>0.3474295</v>
      </c>
      <c r="Z3611">
        <v>0.16979549999999999</v>
      </c>
      <c r="AA3611">
        <v>0.9222051</v>
      </c>
      <c r="AB3611">
        <v>22</v>
      </c>
      <c r="AC3611">
        <v>-4.5863999999999896</v>
      </c>
      <c r="AD3611">
        <v>-1.1040333226000001</v>
      </c>
      <c r="AE3611">
        <v>-3.0895999999999901</v>
      </c>
      <c r="AF3611">
        <v>1.98423931011607</v>
      </c>
      <c r="AG3611">
        <v>-1.1040333226000001</v>
      </c>
      <c r="AH3611">
        <v>4.9339719248876497</v>
      </c>
      <c r="AI3611">
        <v>101.728152209269</v>
      </c>
      <c r="AJ3611">
        <v>68.092049712953596</v>
      </c>
      <c r="AK3611">
        <v>5.4314062794823803</v>
      </c>
      <c r="AL3611">
        <v>67.699279632962998</v>
      </c>
      <c r="AM3611">
        <v>74.454834341170198</v>
      </c>
      <c r="AN3611">
        <v>1.00000002120304</v>
      </c>
    </row>
    <row r="3612" spans="1:40" x14ac:dyDescent="0.25">
      <c r="A3612" t="str">
        <f>"20190304164715588"</f>
        <v>20190304164715588</v>
      </c>
      <c r="B3612" t="str">
        <f>"1551689235582564"</f>
        <v>1551689235582564</v>
      </c>
      <c r="C3612" t="s">
        <v>40</v>
      </c>
      <c r="D3612">
        <v>4.2854970000000003</v>
      </c>
      <c r="E3612">
        <v>0.57080909999999996</v>
      </c>
      <c r="F3612" t="s">
        <v>51</v>
      </c>
      <c r="G3612">
        <v>-200.6593</v>
      </c>
      <c r="H3612" s="1">
        <v>-1.1258840000000001E-5</v>
      </c>
      <c r="I3612">
        <v>146.6198</v>
      </c>
      <c r="J3612">
        <v>-196.11349999999999</v>
      </c>
      <c r="K3612">
        <v>1.1039939999999999</v>
      </c>
      <c r="L3612">
        <v>149.57769999999999</v>
      </c>
      <c r="M3612">
        <v>-0.57094560000000005</v>
      </c>
      <c r="N3612">
        <v>-9.1349789999999997E-3</v>
      </c>
      <c r="O3612">
        <v>-0.82093729999999998</v>
      </c>
      <c r="P3612">
        <v>-0.7114395</v>
      </c>
      <c r="Q3612">
        <v>0.37307309999999999</v>
      </c>
      <c r="R3612">
        <v>-0.59554209999999996</v>
      </c>
      <c r="S3612">
        <v>-2.9414829999999998</v>
      </c>
      <c r="T3612">
        <v>-0.69226739999999998</v>
      </c>
      <c r="U3612">
        <v>-1.973862</v>
      </c>
      <c r="V3612">
        <v>0.2501756</v>
      </c>
      <c r="W3612">
        <v>0.37723400000000001</v>
      </c>
      <c r="X3612">
        <v>0.89168760000000002</v>
      </c>
      <c r="Y3612">
        <v>0.34867199999999998</v>
      </c>
      <c r="Z3612">
        <v>0.1714627</v>
      </c>
      <c r="AA3612">
        <v>0.92142740000000001</v>
      </c>
      <c r="AB3612">
        <v>22</v>
      </c>
      <c r="AC3612">
        <v>-4.5458000000000096</v>
      </c>
      <c r="AD3612">
        <v>-1.10400525884</v>
      </c>
      <c r="AE3612">
        <v>-2.9578999999999902</v>
      </c>
      <c r="AF3612">
        <v>1.9618087385196801</v>
      </c>
      <c r="AG3612">
        <v>-1.10400525884</v>
      </c>
      <c r="AH3612">
        <v>4.8239692566372696</v>
      </c>
      <c r="AI3612">
        <v>101.96936484760801</v>
      </c>
      <c r="AJ3612">
        <v>67.869439116124298</v>
      </c>
      <c r="AK3612">
        <v>5.3233636478320898</v>
      </c>
      <c r="AL3612">
        <v>67.837545995340406</v>
      </c>
      <c r="AM3612">
        <v>74.327782868151999</v>
      </c>
      <c r="AN3612">
        <v>1.00000004879255</v>
      </c>
    </row>
    <row r="3613" spans="1:40" x14ac:dyDescent="0.25">
      <c r="A3613" t="str">
        <f>"20190304164715607"</f>
        <v>20190304164715607</v>
      </c>
      <c r="B3613" t="str">
        <f>"1551689235603058"</f>
        <v>1551689235603058</v>
      </c>
      <c r="C3613" t="s">
        <v>40</v>
      </c>
      <c r="D3613">
        <v>4.432353</v>
      </c>
      <c r="E3613">
        <v>0.57094719999999999</v>
      </c>
      <c r="F3613" t="s">
        <v>51</v>
      </c>
      <c r="G3613">
        <v>-200.964</v>
      </c>
      <c r="H3613" s="1">
        <v>-1.10782399999999E-5</v>
      </c>
      <c r="I3613">
        <v>146.46700000000001</v>
      </c>
      <c r="J3613">
        <v>-196.2379</v>
      </c>
      <c r="K3613">
        <v>1.1039730000000001</v>
      </c>
      <c r="L3613">
        <v>149.4187</v>
      </c>
      <c r="M3613">
        <v>-0.57925039999999905</v>
      </c>
      <c r="N3613">
        <v>-9.1296620000000002E-3</v>
      </c>
      <c r="O3613">
        <v>-0.81509860000000001</v>
      </c>
      <c r="P3613">
        <v>-0.71921999999999997</v>
      </c>
      <c r="Q3613">
        <v>0.37079869999999998</v>
      </c>
      <c r="R3613">
        <v>-0.58756359999999996</v>
      </c>
      <c r="S3613">
        <v>-2.974869</v>
      </c>
      <c r="T3613">
        <v>-0.67709030000000003</v>
      </c>
      <c r="U3613">
        <v>-1.9078059999999999</v>
      </c>
      <c r="V3613">
        <v>0.2520097</v>
      </c>
      <c r="W3613">
        <v>0.37492360000000002</v>
      </c>
      <c r="X3613">
        <v>0.89214539999999998</v>
      </c>
      <c r="Y3613">
        <v>0.3588788</v>
      </c>
      <c r="Z3613">
        <v>0.16798660000000001</v>
      </c>
      <c r="AA3613">
        <v>0.91814300000000004</v>
      </c>
      <c r="AB3613">
        <v>22</v>
      </c>
      <c r="AC3613">
        <v>-4.7261000000000299</v>
      </c>
      <c r="AD3613">
        <v>-1.1039840782400001</v>
      </c>
      <c r="AE3613">
        <v>-2.9516999999999798</v>
      </c>
      <c r="AF3613">
        <v>2.06162613722773</v>
      </c>
      <c r="AG3613">
        <v>-1.1039840782400001</v>
      </c>
      <c r="AH3613">
        <v>4.9494500982082501</v>
      </c>
      <c r="AI3613">
        <v>101.63479917066999</v>
      </c>
      <c r="AJ3613">
        <v>67.386494862310101</v>
      </c>
      <c r="AK3613">
        <v>5.4741336711265696</v>
      </c>
      <c r="AL3613">
        <v>67.980409179325605</v>
      </c>
      <c r="AM3613">
        <v>74.226285380042896</v>
      </c>
      <c r="AN3613">
        <v>1.0000000047361</v>
      </c>
    </row>
    <row r="3614" spans="1:40" x14ac:dyDescent="0.25">
      <c r="A3614" t="str">
        <f>"20190304164715630"</f>
        <v>20190304164715630</v>
      </c>
      <c r="B3614" t="str">
        <f>"1551689235622400"</f>
        <v>1551689235622400</v>
      </c>
      <c r="C3614" t="s">
        <v>40</v>
      </c>
      <c r="D3614">
        <v>4.4983309999999896</v>
      </c>
      <c r="E3614">
        <v>0.57139229999999996</v>
      </c>
      <c r="F3614" t="s">
        <v>51</v>
      </c>
      <c r="G3614">
        <v>-201.0684</v>
      </c>
      <c r="H3614" s="1">
        <v>-1.1013579999999999E-5</v>
      </c>
      <c r="I3614">
        <v>146.40520000000001</v>
      </c>
      <c r="J3614">
        <v>-196.38319999999999</v>
      </c>
      <c r="K3614">
        <v>1.1039589999999999</v>
      </c>
      <c r="L3614">
        <v>149.23699999999999</v>
      </c>
      <c r="M3614">
        <v>-0.58869799999999906</v>
      </c>
      <c r="N3614">
        <v>-9.1228999999999998E-3</v>
      </c>
      <c r="O3614">
        <v>-0.80830170000000001</v>
      </c>
      <c r="P3614">
        <v>-0.72813519999999998</v>
      </c>
      <c r="Q3614">
        <v>0.36777209999999999</v>
      </c>
      <c r="R3614">
        <v>-0.5784144</v>
      </c>
      <c r="S3614">
        <v>-2.9969329999999998</v>
      </c>
      <c r="T3614">
        <v>-0.68493459999999995</v>
      </c>
      <c r="U3614">
        <v>-1.869629</v>
      </c>
      <c r="V3614">
        <v>0.2541158</v>
      </c>
      <c r="W3614">
        <v>0.3718612</v>
      </c>
      <c r="X3614">
        <v>0.89282950000000005</v>
      </c>
      <c r="Y3614">
        <v>0.35920819999999998</v>
      </c>
      <c r="Z3614">
        <v>0.16919879999999901</v>
      </c>
      <c r="AA3614">
        <v>0.91779149999999998</v>
      </c>
      <c r="AB3614">
        <v>22</v>
      </c>
      <c r="AC3614">
        <v>-4.6852</v>
      </c>
      <c r="AD3614">
        <v>-1.1039700135799999</v>
      </c>
      <c r="AE3614">
        <v>-2.8317999999999799</v>
      </c>
      <c r="AF3614">
        <v>2.03722362657457</v>
      </c>
      <c r="AG3614">
        <v>-1.1039700135799999</v>
      </c>
      <c r="AH3614">
        <v>4.8500950994118597</v>
      </c>
      <c r="AI3614">
        <v>101.851936499415</v>
      </c>
      <c r="AJ3614">
        <v>67.2157497436054</v>
      </c>
      <c r="AK3614">
        <v>5.3751699851164103</v>
      </c>
      <c r="AL3614">
        <v>68.169553055554999</v>
      </c>
      <c r="AM3614">
        <v>74.112665962046094</v>
      </c>
      <c r="AN3614">
        <v>1.0000000539726599</v>
      </c>
    </row>
    <row r="3615" spans="1:40" x14ac:dyDescent="0.25">
      <c r="A3615" t="str">
        <f>"20190304164715664"</f>
        <v>20190304164715664</v>
      </c>
      <c r="B3615" t="str">
        <f>"1551689235652656"</f>
        <v>1551689235652656</v>
      </c>
      <c r="C3615" t="s">
        <v>40</v>
      </c>
      <c r="D3615">
        <v>4.4471230000000004</v>
      </c>
      <c r="E3615">
        <v>0.58467930000000001</v>
      </c>
      <c r="F3615" t="s">
        <v>51</v>
      </c>
      <c r="G3615">
        <v>-201.2122</v>
      </c>
      <c r="H3615" s="1">
        <v>-1.092581E-5</v>
      </c>
      <c r="I3615">
        <v>146.32470000000001</v>
      </c>
      <c r="J3615">
        <v>-196.5993</v>
      </c>
      <c r="K3615">
        <v>1.103953</v>
      </c>
      <c r="L3615">
        <v>148.9744</v>
      </c>
      <c r="M3615">
        <v>-0.60226389999999996</v>
      </c>
      <c r="N3615">
        <v>-9.1121350000000004E-3</v>
      </c>
      <c r="O3615">
        <v>-0.79824530000000005</v>
      </c>
      <c r="P3615">
        <v>-0.73878369999999904</v>
      </c>
      <c r="Q3615">
        <v>0.3672608</v>
      </c>
      <c r="R3615">
        <v>-0.5650828</v>
      </c>
      <c r="S3615">
        <v>-3.0214840000000001</v>
      </c>
      <c r="T3615">
        <v>-0.69073709999999999</v>
      </c>
      <c r="U3615">
        <v>-1.8221890000000001</v>
      </c>
      <c r="V3615">
        <v>0.25546029999999997</v>
      </c>
      <c r="W3615">
        <v>0.37132110000000002</v>
      </c>
      <c r="X3615">
        <v>0.89267050000000003</v>
      </c>
      <c r="Y3615">
        <v>0.35718850000000002</v>
      </c>
      <c r="Z3615">
        <v>0.1693935</v>
      </c>
      <c r="AA3615">
        <v>0.91854349999999996</v>
      </c>
      <c r="AB3615">
        <v>22</v>
      </c>
      <c r="AC3615">
        <v>-4.61289999999999</v>
      </c>
      <c r="AD3615">
        <v>-1.10396392581</v>
      </c>
      <c r="AE3615">
        <v>-2.64969999999999</v>
      </c>
      <c r="AF3615">
        <v>2.0003478031567301</v>
      </c>
      <c r="AG3615">
        <v>-1.10396392581</v>
      </c>
      <c r="AH3615">
        <v>4.6914570930118398</v>
      </c>
      <c r="AI3615">
        <v>102.213739986005</v>
      </c>
      <c r="AJ3615">
        <v>66.907525094335099</v>
      </c>
      <c r="AK3615">
        <v>5.2182274134666597</v>
      </c>
      <c r="AL3615">
        <v>68.202883345863597</v>
      </c>
      <c r="AM3615">
        <v>74.030183346957699</v>
      </c>
      <c r="AN3615">
        <v>0.99999997287577402</v>
      </c>
    </row>
    <row r="3616" spans="1:40" x14ac:dyDescent="0.25">
      <c r="A3616" t="str">
        <f>"20190304164715685"</f>
        <v>20190304164715685</v>
      </c>
      <c r="B3616" t="str">
        <f>"1551689235672177"</f>
        <v>1551689235672177</v>
      </c>
      <c r="C3616" t="s">
        <v>40</v>
      </c>
      <c r="D3616">
        <v>4.0430820000000001</v>
      </c>
      <c r="E3616">
        <v>0.58518130000000002</v>
      </c>
      <c r="F3616" t="s">
        <v>51</v>
      </c>
      <c r="G3616">
        <v>-203.89109999999999</v>
      </c>
      <c r="H3616" s="1">
        <v>-9.4579570000000006E-6</v>
      </c>
      <c r="I3616">
        <v>145.1174</v>
      </c>
      <c r="J3616">
        <v>-196.73840000000001</v>
      </c>
      <c r="K3616">
        <v>1.1039559999999999</v>
      </c>
      <c r="L3616">
        <v>148.8099</v>
      </c>
      <c r="M3616">
        <v>-0.61071209999999998</v>
      </c>
      <c r="N3616">
        <v>-9.1061240000000002E-3</v>
      </c>
      <c r="O3616">
        <v>-0.79180030000000001</v>
      </c>
      <c r="P3616">
        <v>-0.7446024</v>
      </c>
      <c r="Q3616">
        <v>0.36760910000000002</v>
      </c>
      <c r="R3616">
        <v>-0.55716339999999998</v>
      </c>
      <c r="S3616">
        <v>-3.0547330000000001</v>
      </c>
      <c r="T3616">
        <v>-0.46248129999999998</v>
      </c>
      <c r="U3616">
        <v>-1.6158140000000001</v>
      </c>
      <c r="V3616">
        <v>0.25537029999999999</v>
      </c>
      <c r="W3616">
        <v>0.37166729999999998</v>
      </c>
      <c r="X3616">
        <v>0.89255219999999902</v>
      </c>
      <c r="Y3616">
        <v>0.40683429999999998</v>
      </c>
      <c r="Z3616">
        <v>0.11656900000000001</v>
      </c>
      <c r="AA3616">
        <v>0.90603389999999995</v>
      </c>
      <c r="AB3616">
        <v>22</v>
      </c>
      <c r="AC3616">
        <v>-7.1526999999999799</v>
      </c>
      <c r="AD3616">
        <v>-1.103965457957</v>
      </c>
      <c r="AE3616">
        <v>-3.6924999999999901</v>
      </c>
      <c r="AF3616">
        <v>3.3456684925629401</v>
      </c>
      <c r="AG3616">
        <v>-1.103965457957</v>
      </c>
      <c r="AH3616">
        <v>7.1576379571352202</v>
      </c>
      <c r="AI3616">
        <v>97.954176634639495</v>
      </c>
      <c r="AJ3616">
        <v>64.947374849640099</v>
      </c>
      <c r="AK3616">
        <v>7.9777201329649001</v>
      </c>
      <c r="AL3616">
        <v>68.181519224894501</v>
      </c>
      <c r="AM3616">
        <v>74.033514734752899</v>
      </c>
      <c r="AN3616">
        <v>1.0000000008681</v>
      </c>
    </row>
    <row r="3617" spans="1:40" x14ac:dyDescent="0.25">
      <c r="A3617" t="str">
        <f>"20190304164715708"</f>
        <v>20190304164715708</v>
      </c>
      <c r="B3617" t="str">
        <f>"1551689235702433"</f>
        <v>1551689235702433</v>
      </c>
      <c r="C3617" t="s">
        <v>40</v>
      </c>
      <c r="D3617">
        <v>4.4123099999999997</v>
      </c>
      <c r="E3617">
        <v>0.58512390000000003</v>
      </c>
      <c r="F3617" t="s">
        <v>51</v>
      </c>
      <c r="G3617">
        <v>-204.2688</v>
      </c>
      <c r="H3617" s="1">
        <v>-9.2691659999999996E-6</v>
      </c>
      <c r="I3617">
        <v>144.9408</v>
      </c>
      <c r="J3617">
        <v>-196.89340000000001</v>
      </c>
      <c r="K3617">
        <v>1.103958</v>
      </c>
      <c r="L3617">
        <v>148.63030000000001</v>
      </c>
      <c r="M3617">
        <v>-0.61989539999999999</v>
      </c>
      <c r="N3617">
        <v>-9.1013410000000006E-3</v>
      </c>
      <c r="O3617">
        <v>-0.78463179999999999</v>
      </c>
      <c r="P3617">
        <v>-0.75004919999999997</v>
      </c>
      <c r="Q3617">
        <v>0.36825239999999998</v>
      </c>
      <c r="R3617">
        <v>-0.54937819999999904</v>
      </c>
      <c r="S3617">
        <v>-3.070694</v>
      </c>
      <c r="T3617">
        <v>-0.45016630000000002</v>
      </c>
      <c r="U3617">
        <v>-1.577698</v>
      </c>
      <c r="V3617">
        <v>0.25402829999999998</v>
      </c>
      <c r="W3617">
        <v>0.37232769999999998</v>
      </c>
      <c r="X3617">
        <v>0.89265989999999995</v>
      </c>
      <c r="Y3617">
        <v>0.40744249999999999</v>
      </c>
      <c r="Z3617">
        <v>0.1129083</v>
      </c>
      <c r="AA3617">
        <v>0.90622429999999998</v>
      </c>
      <c r="AB3617">
        <v>22</v>
      </c>
      <c r="AC3617">
        <v>-7.3753999999999804</v>
      </c>
      <c r="AD3617">
        <v>-1.1039672691660001</v>
      </c>
      <c r="AE3617">
        <v>-3.6894999999999998</v>
      </c>
      <c r="AF3617">
        <v>3.4383966465626901</v>
      </c>
      <c r="AG3617">
        <v>-1.1039672691660001</v>
      </c>
      <c r="AH3617">
        <v>7.3357253333761303</v>
      </c>
      <c r="AI3617">
        <v>97.759665042235795</v>
      </c>
      <c r="AJ3617">
        <v>64.8866033779411</v>
      </c>
      <c r="AK3617">
        <v>8.1764406313028193</v>
      </c>
      <c r="AL3617">
        <v>68.140755510980696</v>
      </c>
      <c r="AM3617">
        <v>74.114995215639397</v>
      </c>
      <c r="AN3617">
        <v>0.99999999522809502</v>
      </c>
    </row>
    <row r="3618" spans="1:40" x14ac:dyDescent="0.25">
      <c r="A3618" t="str">
        <f>"20190304164715732"</f>
        <v>20190304164715732</v>
      </c>
      <c r="B3618" t="str">
        <f>"1551689235722363"</f>
        <v>1551689235722363</v>
      </c>
      <c r="C3618" t="s">
        <v>40</v>
      </c>
      <c r="D3618">
        <v>4.386565</v>
      </c>
      <c r="E3618">
        <v>0.58487019999999901</v>
      </c>
      <c r="F3618" t="s">
        <v>51</v>
      </c>
      <c r="G3618">
        <v>-204.68289999999999</v>
      </c>
      <c r="H3618" s="1">
        <v>-9.0591749999999995E-6</v>
      </c>
      <c r="I3618">
        <v>144.73580000000001</v>
      </c>
      <c r="J3618">
        <v>-197.05199999999999</v>
      </c>
      <c r="K3618">
        <v>1.1039479999999999</v>
      </c>
      <c r="L3618">
        <v>148.45089999999999</v>
      </c>
      <c r="M3618">
        <v>-0.62904919999999998</v>
      </c>
      <c r="N3618">
        <v>-9.0987659999999995E-3</v>
      </c>
      <c r="O3618">
        <v>-0.77731219999999901</v>
      </c>
      <c r="P3618">
        <v>-0.75489269999999997</v>
      </c>
      <c r="Q3618">
        <v>0.36934139999999999</v>
      </c>
      <c r="R3618">
        <v>-0.54196309999999903</v>
      </c>
      <c r="S3618">
        <v>-3.0847169999999999</v>
      </c>
      <c r="T3618">
        <v>-0.43718230000000002</v>
      </c>
      <c r="U3618">
        <v>-1.5422670000000001</v>
      </c>
      <c r="V3618">
        <v>0.25196929999999901</v>
      </c>
      <c r="W3618">
        <v>0.37344050000000001</v>
      </c>
      <c r="X3618">
        <v>0.89277859999999998</v>
      </c>
      <c r="Y3618">
        <v>0.407169</v>
      </c>
      <c r="Z3618">
        <v>0.1090363</v>
      </c>
      <c r="AA3618">
        <v>0.90682110000000005</v>
      </c>
      <c r="AB3618">
        <v>22</v>
      </c>
      <c r="AC3618">
        <v>-7.6308999999999596</v>
      </c>
      <c r="AD3618">
        <v>-1.1039570591750001</v>
      </c>
      <c r="AE3618">
        <v>-3.7150999999999699</v>
      </c>
      <c r="AF3618">
        <v>3.53495196603882</v>
      </c>
      <c r="AG3618">
        <v>-1.1039570591750001</v>
      </c>
      <c r="AH3618">
        <v>7.5604078742540199</v>
      </c>
      <c r="AI3618">
        <v>97.534991580234006</v>
      </c>
      <c r="AJ3618">
        <v>64.941042428857003</v>
      </c>
      <c r="AK3618">
        <v>8.4186919302101995</v>
      </c>
      <c r="AL3618">
        <v>68.072040615595498</v>
      </c>
      <c r="AM3618">
        <v>74.239318048823606</v>
      </c>
      <c r="AN3618">
        <v>0.999999981900349</v>
      </c>
    </row>
    <row r="3619" spans="1:40" x14ac:dyDescent="0.25">
      <c r="A3619" t="str">
        <f>"20190304164715753"</f>
        <v>20190304164715753</v>
      </c>
      <c r="B3619" t="str">
        <f>"1551689235742861"</f>
        <v>1551689235742861</v>
      </c>
      <c r="C3619" t="s">
        <v>40</v>
      </c>
      <c r="D3619">
        <v>4.397227</v>
      </c>
      <c r="E3619">
        <v>0.58472769999999996</v>
      </c>
      <c r="F3619" t="s">
        <v>51</v>
      </c>
      <c r="G3619">
        <v>-204.99889999999999</v>
      </c>
      <c r="H3619" s="1">
        <v>-8.8944309999999904E-6</v>
      </c>
      <c r="I3619">
        <v>144.5728</v>
      </c>
      <c r="J3619">
        <v>-197.1994</v>
      </c>
      <c r="K3619">
        <v>1.1039239999999999</v>
      </c>
      <c r="L3619">
        <v>148.2877</v>
      </c>
      <c r="M3619">
        <v>-0.63735379999999997</v>
      </c>
      <c r="N3619">
        <v>-9.0983079999999994E-3</v>
      </c>
      <c r="O3619">
        <v>-0.77051780000000003</v>
      </c>
      <c r="P3619">
        <v>-0.7588916</v>
      </c>
      <c r="Q3619">
        <v>0.37077789999999999</v>
      </c>
      <c r="R3619">
        <v>-0.53535710000000003</v>
      </c>
      <c r="S3619">
        <v>-3.0989529999999998</v>
      </c>
      <c r="T3619">
        <v>-0.43049690000000002</v>
      </c>
      <c r="U3619">
        <v>-1.5122990000000001</v>
      </c>
      <c r="V3619">
        <v>0.2496765</v>
      </c>
      <c r="W3619">
        <v>0.37490020000000002</v>
      </c>
      <c r="X3619">
        <v>0.89281100000000002</v>
      </c>
      <c r="Y3619">
        <v>0.40635650000000001</v>
      </c>
      <c r="Z3619">
        <v>0.10673390000000001</v>
      </c>
      <c r="AA3619">
        <v>0.90745920000000002</v>
      </c>
      <c r="AB3619">
        <v>22</v>
      </c>
      <c r="AC3619">
        <v>-7.7994999999999903</v>
      </c>
      <c r="AD3619">
        <v>-1.1039328944309901</v>
      </c>
      <c r="AE3619">
        <v>-3.7149000000000001</v>
      </c>
      <c r="AF3619">
        <v>3.5835822335126699</v>
      </c>
      <c r="AG3619">
        <v>-1.1039328944309901</v>
      </c>
      <c r="AH3619">
        <v>7.7078991734801896</v>
      </c>
      <c r="AI3619">
        <v>97.399647559730695</v>
      </c>
      <c r="AJ3619">
        <v>65.065183833441296</v>
      </c>
      <c r="AK3619">
        <v>8.5716065663498</v>
      </c>
      <c r="AL3619">
        <v>67.981855234034398</v>
      </c>
      <c r="AM3619">
        <v>74.376237541067496</v>
      </c>
      <c r="AN3619">
        <v>0.99999999816664498</v>
      </c>
    </row>
    <row r="3620" spans="1:40" x14ac:dyDescent="0.25">
      <c r="A3620" t="str">
        <f>"20190304164715774"</f>
        <v>20190304164715774</v>
      </c>
      <c r="B3620" t="str">
        <f>"1551689235762378"</f>
        <v>1551689235762378</v>
      </c>
      <c r="C3620" t="s">
        <v>40</v>
      </c>
      <c r="D3620">
        <v>4.3696789999999996</v>
      </c>
      <c r="E3620">
        <v>0.58444499999999999</v>
      </c>
      <c r="F3620" t="s">
        <v>51</v>
      </c>
      <c r="G3620">
        <v>-205.30719999999999</v>
      </c>
      <c r="H3620" s="1">
        <v>-8.7165329999999904E-6</v>
      </c>
      <c r="I3620">
        <v>144.4169</v>
      </c>
      <c r="J3620">
        <v>-197.34440000000001</v>
      </c>
      <c r="K3620">
        <v>1.1038920000000001</v>
      </c>
      <c r="L3620">
        <v>148.13059999999999</v>
      </c>
      <c r="M3620">
        <v>-0.64534820000000004</v>
      </c>
      <c r="N3620">
        <v>-9.0991519999999992E-3</v>
      </c>
      <c r="O3620">
        <v>-0.76383420000000002</v>
      </c>
      <c r="P3620">
        <v>-0.76301169999999996</v>
      </c>
      <c r="Q3620">
        <v>0.37178939999999999</v>
      </c>
      <c r="R3620">
        <v>-0.52875879999999997</v>
      </c>
      <c r="S3620">
        <v>-3.1120299999999999</v>
      </c>
      <c r="T3620">
        <v>-0.42372080000000001</v>
      </c>
      <c r="U3620">
        <v>-1.4857479999999901</v>
      </c>
      <c r="V3620">
        <v>0.24777550000000001</v>
      </c>
      <c r="W3620">
        <v>0.37592599999999998</v>
      </c>
      <c r="X3620">
        <v>0.89290930000000002</v>
      </c>
      <c r="Y3620">
        <v>0.4048911</v>
      </c>
      <c r="Z3620">
        <v>0.1043731</v>
      </c>
      <c r="AA3620">
        <v>0.90838839999999998</v>
      </c>
      <c r="AB3620">
        <v>22</v>
      </c>
      <c r="AC3620">
        <v>-7.9627999999999801</v>
      </c>
      <c r="AD3620">
        <v>-1.1039007165329999</v>
      </c>
      <c r="AE3620">
        <v>-3.7136999999999798</v>
      </c>
      <c r="AF3620">
        <v>3.6285049749720999</v>
      </c>
      <c r="AG3620">
        <v>-1.1039007165329999</v>
      </c>
      <c r="AH3620">
        <v>7.8518167709869102</v>
      </c>
      <c r="AI3620">
        <v>97.272954643850596</v>
      </c>
      <c r="AJ3620">
        <v>65.197256317312593</v>
      </c>
      <c r="AK3620">
        <v>8.7198435622728194</v>
      </c>
      <c r="AL3620">
        <v>67.918444004658994</v>
      </c>
      <c r="AM3620">
        <v>74.491072450991993</v>
      </c>
      <c r="AN3620">
        <v>1.00000003695136</v>
      </c>
    </row>
    <row r="3621" spans="1:40" x14ac:dyDescent="0.25">
      <c r="A3621" t="str">
        <f>"20190304164715799"</f>
        <v>20190304164715799</v>
      </c>
      <c r="B3621" t="str">
        <f>"1551689235792634"</f>
        <v>1551689235792634</v>
      </c>
      <c r="C3621" t="s">
        <v>40</v>
      </c>
      <c r="D3621">
        <v>4.1178019999999904</v>
      </c>
      <c r="E3621">
        <v>0.58418130000000001</v>
      </c>
      <c r="F3621" t="s">
        <v>51</v>
      </c>
      <c r="G3621">
        <v>-205.60159999999999</v>
      </c>
      <c r="H3621" s="1">
        <v>-8.5467069999999998E-6</v>
      </c>
      <c r="I3621">
        <v>144.268</v>
      </c>
      <c r="J3621">
        <v>-197.51589999999999</v>
      </c>
      <c r="K3621">
        <v>1.103855</v>
      </c>
      <c r="L3621">
        <v>147.94919999999999</v>
      </c>
      <c r="M3621">
        <v>-0.65458450000000001</v>
      </c>
      <c r="N3621">
        <v>-9.1017279999999999E-3</v>
      </c>
      <c r="O3621">
        <v>-0.75593429999999995</v>
      </c>
      <c r="P3621">
        <v>-0.7690823</v>
      </c>
      <c r="Q3621">
        <v>0.37172959999999999</v>
      </c>
      <c r="R3621">
        <v>-0.51993270000000003</v>
      </c>
      <c r="S3621">
        <v>-3.1228639999999999</v>
      </c>
      <c r="T3621">
        <v>-0.41749629999999999</v>
      </c>
      <c r="U3621">
        <v>-1.460831</v>
      </c>
      <c r="V3621">
        <v>0.24726860000000001</v>
      </c>
      <c r="W3621">
        <v>0.37585259999999998</v>
      </c>
      <c r="X3621">
        <v>0.89308069999999895</v>
      </c>
      <c r="Y3621">
        <v>0.4011903</v>
      </c>
      <c r="Z3621">
        <v>0.1019948</v>
      </c>
      <c r="AA3621">
        <v>0.91029850000000001</v>
      </c>
      <c r="AB3621">
        <v>22</v>
      </c>
      <c r="AC3621">
        <v>-8.0856999999999992</v>
      </c>
      <c r="AD3621">
        <v>-1.1038635467069999</v>
      </c>
      <c r="AE3621">
        <v>-3.6811999999999898</v>
      </c>
      <c r="AF3621">
        <v>3.6464602809264699</v>
      </c>
      <c r="AG3621">
        <v>-1.1038635467069999</v>
      </c>
      <c r="AH3621">
        <v>7.9530730164685002</v>
      </c>
      <c r="AI3621">
        <v>97.190884453984907</v>
      </c>
      <c r="AJ3621">
        <v>65.368685249094</v>
      </c>
      <c r="AK3621">
        <v>8.8185348961946204</v>
      </c>
      <c r="AL3621">
        <v>67.922982338369806</v>
      </c>
      <c r="AM3621">
        <v>74.524106117473906</v>
      </c>
      <c r="AN3621">
        <v>1.0000000370926001</v>
      </c>
    </row>
    <row r="3622" spans="1:40" x14ac:dyDescent="0.25">
      <c r="A3622" t="str">
        <f>"20190304164715822"</f>
        <v>20190304164715822</v>
      </c>
      <c r="B3622" t="str">
        <f>"1551689235812662"</f>
        <v>1551689235812662</v>
      </c>
      <c r="C3622" t="s">
        <v>40</v>
      </c>
      <c r="D3622">
        <v>4.410272</v>
      </c>
      <c r="E3622">
        <v>0.59876529999999994</v>
      </c>
      <c r="F3622" t="s">
        <v>51</v>
      </c>
      <c r="G3622">
        <v>-205.81020000000001</v>
      </c>
      <c r="H3622" s="1">
        <v>-8.4291720000000006E-6</v>
      </c>
      <c r="I3622">
        <v>144.17310000000001</v>
      </c>
      <c r="J3622">
        <v>-197.6842</v>
      </c>
      <c r="K3622">
        <v>1.10381</v>
      </c>
      <c r="L3622">
        <v>147.77520000000001</v>
      </c>
      <c r="M3622">
        <v>-0.66344720000000001</v>
      </c>
      <c r="N3622">
        <v>-9.1053780000000008E-3</v>
      </c>
      <c r="O3622">
        <v>-0.7481679</v>
      </c>
      <c r="P3622">
        <v>-0.77487259999999902</v>
      </c>
      <c r="Q3622">
        <v>0.37257499999999999</v>
      </c>
      <c r="R3622">
        <v>-0.51064739999999997</v>
      </c>
      <c r="S3622">
        <v>-3.137054</v>
      </c>
      <c r="T3622">
        <v>-0.41750290000000001</v>
      </c>
      <c r="U3622">
        <v>-1.428177</v>
      </c>
      <c r="V3622">
        <v>0.2472337</v>
      </c>
      <c r="W3622">
        <v>0.37667390000000001</v>
      </c>
      <c r="X3622">
        <v>0.89274419999999899</v>
      </c>
      <c r="Y3622">
        <v>0.39985029999999999</v>
      </c>
      <c r="Z3622">
        <v>0.10133300000000001</v>
      </c>
      <c r="AA3622">
        <v>0.91096180000000004</v>
      </c>
      <c r="AB3622">
        <v>23</v>
      </c>
      <c r="AC3622">
        <v>-8.1259999999999994</v>
      </c>
      <c r="AD3622">
        <v>-1.1038184291719999</v>
      </c>
      <c r="AE3622">
        <v>-3.6021000000000001</v>
      </c>
      <c r="AF3622">
        <v>3.6339206995795599</v>
      </c>
      <c r="AG3622">
        <v>-1.1038184291719999</v>
      </c>
      <c r="AH3622">
        <v>7.9636689491484001</v>
      </c>
      <c r="AI3622">
        <v>97.187000924370807</v>
      </c>
      <c r="AJ3622">
        <v>65.472199075920102</v>
      </c>
      <c r="AK3622">
        <v>8.8229143658455005</v>
      </c>
      <c r="AL3622">
        <v>67.872191334133305</v>
      </c>
      <c r="AM3622">
        <v>74.520632874105502</v>
      </c>
      <c r="AN3622">
        <v>0.99999996799526902</v>
      </c>
    </row>
    <row r="3623" spans="1:40" x14ac:dyDescent="0.25">
      <c r="A3623" t="str">
        <f>"20190304164715843"</f>
        <v>20190304164715843</v>
      </c>
      <c r="B3623" t="str">
        <f>"1551689235832182"</f>
        <v>1551689235832182</v>
      </c>
      <c r="C3623" t="s">
        <v>40</v>
      </c>
      <c r="D3623">
        <v>4.4341290000000004</v>
      </c>
      <c r="E3623">
        <v>0.59876529999999994</v>
      </c>
      <c r="F3623" t="s">
        <v>42</v>
      </c>
      <c r="G3623">
        <v>-222.27809999999999</v>
      </c>
      <c r="H3623" s="1">
        <v>-3.545501E-6</v>
      </c>
      <c r="I3623">
        <v>138.20400000000001</v>
      </c>
      <c r="J3623">
        <v>-197.84049999999999</v>
      </c>
      <c r="K3623">
        <v>1.1037680000000001</v>
      </c>
      <c r="L3623">
        <v>147.61709999999999</v>
      </c>
      <c r="M3623">
        <v>-0.67150959999999904</v>
      </c>
      <c r="N3623">
        <v>-9.107782E-3</v>
      </c>
      <c r="O3623">
        <v>-0.74094019999999905</v>
      </c>
      <c r="P3623">
        <v>-0.78029230000000005</v>
      </c>
      <c r="Q3623">
        <v>0.37283660000000002</v>
      </c>
      <c r="R3623">
        <v>-0.50213269999999999</v>
      </c>
      <c r="S3623">
        <v>-3.1351930000000001</v>
      </c>
      <c r="T3623">
        <v>-0.14071259999999999</v>
      </c>
      <c r="U3623">
        <v>-1.2201229999999901</v>
      </c>
      <c r="V3623">
        <v>0.24729080000000001</v>
      </c>
      <c r="W3623">
        <v>0.37691239999999998</v>
      </c>
      <c r="X3623">
        <v>0.89262770000000002</v>
      </c>
      <c r="Y3623">
        <v>0.44627869999999997</v>
      </c>
      <c r="Z3623">
        <v>3.2279849999999999E-2</v>
      </c>
      <c r="AA3623">
        <v>0.89431170000000004</v>
      </c>
      <c r="AB3623">
        <v>23</v>
      </c>
      <c r="AC3623">
        <v>-24.4376</v>
      </c>
      <c r="AD3623">
        <v>-1.103771545501</v>
      </c>
      <c r="AE3623">
        <v>-9.4130999999999805</v>
      </c>
      <c r="AF3623">
        <v>11.765398336548101</v>
      </c>
      <c r="AG3623">
        <v>-1.103771545501</v>
      </c>
      <c r="AH3623">
        <v>23.344121351193799</v>
      </c>
      <c r="AI3623">
        <v>92.417770972754596</v>
      </c>
      <c r="AJ3623">
        <v>63.251971825542299</v>
      </c>
      <c r="AK3623">
        <v>26.164688251564701</v>
      </c>
      <c r="AL3623">
        <v>67.8574386774727</v>
      </c>
      <c r="AM3623">
        <v>74.515305573573997</v>
      </c>
      <c r="AN3623">
        <v>0.99999995392284302</v>
      </c>
    </row>
    <row r="3624" spans="1:40" x14ac:dyDescent="0.25">
      <c r="A3624" t="str">
        <f>"20190304164715864"</f>
        <v>20190304164715864</v>
      </c>
      <c r="B3624" t="str">
        <f>"1551689235852681"</f>
        <v>1551689235852681</v>
      </c>
      <c r="C3624" t="s">
        <v>40</v>
      </c>
      <c r="D3624">
        <v>4.3401560000000003</v>
      </c>
      <c r="E3624">
        <v>0.590669</v>
      </c>
      <c r="F3624" t="s">
        <v>42</v>
      </c>
      <c r="G3624">
        <v>-222.7201</v>
      </c>
      <c r="H3624" s="1">
        <v>-3.3480540000000002E-6</v>
      </c>
      <c r="I3624">
        <v>138.2482</v>
      </c>
      <c r="J3624">
        <v>-197.9949</v>
      </c>
      <c r="K3624">
        <v>1.1037189999999999</v>
      </c>
      <c r="L3624">
        <v>147.46430000000001</v>
      </c>
      <c r="M3624">
        <v>-0.67931430000000004</v>
      </c>
      <c r="N3624">
        <v>-9.1063389999999998E-3</v>
      </c>
      <c r="O3624">
        <v>-0.73379110000000003</v>
      </c>
      <c r="P3624">
        <v>-0.78533830000000004</v>
      </c>
      <c r="Q3624">
        <v>0.37284709999999899</v>
      </c>
      <c r="R3624">
        <v>-0.494195</v>
      </c>
      <c r="S3624">
        <v>-3.1484679999999998</v>
      </c>
      <c r="T3624">
        <v>-0.13968069999999999</v>
      </c>
      <c r="U3624">
        <v>-1.1856230000000001</v>
      </c>
      <c r="V3624">
        <v>0.24692459999999999</v>
      </c>
      <c r="W3624">
        <v>0.3769054</v>
      </c>
      <c r="X3624">
        <v>0.89273210000000003</v>
      </c>
      <c r="Y3624">
        <v>0.44664789999999999</v>
      </c>
      <c r="Z3624">
        <v>3.1873749999999999E-2</v>
      </c>
      <c r="AA3624">
        <v>0.89414189999999905</v>
      </c>
      <c r="AB3624">
        <v>23</v>
      </c>
      <c r="AC3624">
        <v>-24.725200000000001</v>
      </c>
      <c r="AD3624">
        <v>-1.1037223480539999</v>
      </c>
      <c r="AE3624">
        <v>-9.2161000000000097</v>
      </c>
      <c r="AF3624">
        <v>11.8622403080977</v>
      </c>
      <c r="AG3624">
        <v>-1.1037223480539999</v>
      </c>
      <c r="AH3624">
        <v>23.5186998435058</v>
      </c>
      <c r="AI3624">
        <v>92.399375413598193</v>
      </c>
      <c r="AJ3624">
        <v>63.2347723564937</v>
      </c>
      <c r="AK3624">
        <v>26.363994205688499</v>
      </c>
      <c r="AL3624">
        <v>67.857873234149096</v>
      </c>
      <c r="AM3624">
        <v>74.538859764404805</v>
      </c>
      <c r="AN3624">
        <v>1.00000002050236</v>
      </c>
    </row>
    <row r="3625" spans="1:40" x14ac:dyDescent="0.25">
      <c r="A3625" t="str">
        <f>"20190304164715886"</f>
        <v>20190304164715886</v>
      </c>
      <c r="B3625" t="str">
        <f>"1551689235882934"</f>
        <v>1551689235882934</v>
      </c>
      <c r="C3625" t="s">
        <v>40</v>
      </c>
      <c r="D3625">
        <v>4.439927</v>
      </c>
      <c r="E3625">
        <v>0.58880559999999904</v>
      </c>
      <c r="F3625" t="s">
        <v>42</v>
      </c>
      <c r="G3625">
        <v>-212.4802</v>
      </c>
      <c r="H3625" s="1">
        <v>-4.1192999999999997E-6</v>
      </c>
      <c r="I3625">
        <v>141.81180000000001</v>
      </c>
      <c r="J3625">
        <v>-198.16290000000001</v>
      </c>
      <c r="K3625">
        <v>1.1036820000000001</v>
      </c>
      <c r="L3625">
        <v>147.3015</v>
      </c>
      <c r="M3625">
        <v>-0.68763719999999995</v>
      </c>
      <c r="N3625">
        <v>-9.1023849999999993E-3</v>
      </c>
      <c r="O3625">
        <v>-0.72599740000000001</v>
      </c>
      <c r="P3625">
        <v>-0.79073749999999998</v>
      </c>
      <c r="Q3625">
        <v>0.37290250000000003</v>
      </c>
      <c r="R3625">
        <v>-0.48546679999999998</v>
      </c>
      <c r="S3625">
        <v>-3.15863</v>
      </c>
      <c r="T3625">
        <v>-0.24067620000000001</v>
      </c>
      <c r="U3625">
        <v>-1.2325900000000001</v>
      </c>
      <c r="V3625">
        <v>0.2466516</v>
      </c>
      <c r="W3625">
        <v>0.3769381</v>
      </c>
      <c r="X3625">
        <v>0.89279379999999997</v>
      </c>
      <c r="Y3625">
        <v>0.42426209999999998</v>
      </c>
      <c r="Z3625">
        <v>5.7094600000000002E-2</v>
      </c>
      <c r="AA3625">
        <v>0.90373769999999998</v>
      </c>
      <c r="AB3625">
        <v>23</v>
      </c>
      <c r="AC3625">
        <v>-14.3172999999999</v>
      </c>
      <c r="AD3625">
        <v>-1.1036861193</v>
      </c>
      <c r="AE3625">
        <v>-5.4896999999999903</v>
      </c>
      <c r="AF3625">
        <v>6.5855563342729297</v>
      </c>
      <c r="AG3625">
        <v>-1.1036861193</v>
      </c>
      <c r="AH3625">
        <v>13.7599015156203</v>
      </c>
      <c r="AI3625">
        <v>94.138184013275193</v>
      </c>
      <c r="AJ3625">
        <v>64.423994700821595</v>
      </c>
      <c r="AK3625">
        <v>15.2945272892426</v>
      </c>
      <c r="AL3625">
        <v>67.855851305290997</v>
      </c>
      <c r="AM3625">
        <v>74.556153488566693</v>
      </c>
      <c r="AN3625">
        <v>1.0000000561663001</v>
      </c>
    </row>
    <row r="3626" spans="1:40" x14ac:dyDescent="0.25">
      <c r="A3626" t="str">
        <f>"20190304164715908"</f>
        <v>20190304164715908</v>
      </c>
      <c r="B3626" t="str">
        <f>"1551689235902454"</f>
        <v>1551689235902454</v>
      </c>
      <c r="C3626" t="s">
        <v>40</v>
      </c>
      <c r="D3626">
        <v>4.4802049999999998</v>
      </c>
      <c r="E3626">
        <v>0.58957179999999998</v>
      </c>
      <c r="F3626" t="s">
        <v>51</v>
      </c>
      <c r="G3626">
        <v>-208.44560000000001</v>
      </c>
      <c r="H3626" s="1">
        <v>-7.0397919999999997E-6</v>
      </c>
      <c r="I3626">
        <v>143.3372</v>
      </c>
      <c r="J3626">
        <v>-198.33680000000001</v>
      </c>
      <c r="K3626">
        <v>1.1036300000000001</v>
      </c>
      <c r="L3626">
        <v>147.1369</v>
      </c>
      <c r="M3626">
        <v>-0.69606190000000001</v>
      </c>
      <c r="N3626">
        <v>-9.0957750000000004E-3</v>
      </c>
      <c r="O3626">
        <v>-0.71792409999999995</v>
      </c>
      <c r="P3626">
        <v>-0.79593429999999998</v>
      </c>
      <c r="Q3626">
        <v>0.37327700000000003</v>
      </c>
      <c r="R3626">
        <v>-0.47660609999999998</v>
      </c>
      <c r="S3626">
        <v>-3.1987299999999999</v>
      </c>
      <c r="T3626">
        <v>-0.34333590000000003</v>
      </c>
      <c r="U3626">
        <v>-1.233215</v>
      </c>
      <c r="V3626">
        <v>0.2461217</v>
      </c>
      <c r="W3626">
        <v>0.37729049999999997</v>
      </c>
      <c r="X3626">
        <v>0.89279109999999995</v>
      </c>
      <c r="Y3626">
        <v>0.41520200000000002</v>
      </c>
      <c r="Z3626">
        <v>8.1640050000000006E-2</v>
      </c>
      <c r="AA3626">
        <v>0.90605860000000005</v>
      </c>
      <c r="AB3626">
        <v>23</v>
      </c>
      <c r="AC3626">
        <v>-10.1088</v>
      </c>
      <c r="AD3626">
        <v>-1.1036370397919999</v>
      </c>
      <c r="AE3626">
        <v>-3.7997000000000001</v>
      </c>
      <c r="AF3626">
        <v>4.5650393663355002</v>
      </c>
      <c r="AG3626">
        <v>-1.1036370397919999</v>
      </c>
      <c r="AH3626">
        <v>9.6637250194940698</v>
      </c>
      <c r="AI3626">
        <v>95.895595049319596</v>
      </c>
      <c r="AJ3626">
        <v>64.714455390790604</v>
      </c>
      <c r="AK3626">
        <v>10.744541888055901</v>
      </c>
      <c r="AL3626">
        <v>67.834048892688799</v>
      </c>
      <c r="AM3626">
        <v>74.587709173907001</v>
      </c>
      <c r="AN3626">
        <v>0.99999998042017402</v>
      </c>
    </row>
    <row r="3627" spans="1:40" x14ac:dyDescent="0.25">
      <c r="A3627" t="str">
        <f>"20190304164715933"</f>
        <v>20190304164715933</v>
      </c>
      <c r="B3627" t="str">
        <f>"1551689235922480"</f>
        <v>1551689235922480</v>
      </c>
      <c r="C3627" t="s">
        <v>40</v>
      </c>
      <c r="D3627">
        <v>4.5677370000000002</v>
      </c>
      <c r="E3627">
        <v>0.58915419999999996</v>
      </c>
      <c r="F3627" t="s">
        <v>51</v>
      </c>
      <c r="G3627">
        <v>-207.89940000000001</v>
      </c>
      <c r="H3627" s="1">
        <v>-7.3472379999999902E-6</v>
      </c>
      <c r="I3627">
        <v>143.58439999999999</v>
      </c>
      <c r="J3627">
        <v>-198.52080000000001</v>
      </c>
      <c r="K3627">
        <v>1.1035729999999999</v>
      </c>
      <c r="L3627">
        <v>146.9665</v>
      </c>
      <c r="M3627">
        <v>-0.70478790000000002</v>
      </c>
      <c r="N3627">
        <v>-9.0849260000000001E-3</v>
      </c>
      <c r="O3627">
        <v>-0.70936009999999905</v>
      </c>
      <c r="P3627">
        <v>-0.80119790000000002</v>
      </c>
      <c r="Q3627">
        <v>0.37317929999999999</v>
      </c>
      <c r="R3627">
        <v>-0.46778110000000001</v>
      </c>
      <c r="S3627">
        <v>-3.2261199999999999</v>
      </c>
      <c r="T3627">
        <v>-0.37232999999999999</v>
      </c>
      <c r="U3627">
        <v>-1.198502</v>
      </c>
      <c r="V3627">
        <v>0.24513969999999999</v>
      </c>
      <c r="W3627">
        <v>0.37717659999999997</v>
      </c>
      <c r="X3627">
        <v>0.89310940000000005</v>
      </c>
      <c r="Y3627">
        <v>0.41449609999999898</v>
      </c>
      <c r="Z3627">
        <v>8.7908459999999994E-2</v>
      </c>
      <c r="AA3627">
        <v>0.90579529999999997</v>
      </c>
      <c r="AB3627">
        <v>23</v>
      </c>
      <c r="AC3627">
        <v>-9.3786000000000005</v>
      </c>
      <c r="AD3627">
        <v>-1.1035803472379999</v>
      </c>
      <c r="AE3627">
        <v>-3.3820999999999999</v>
      </c>
      <c r="AF3627">
        <v>4.2176391465921599</v>
      </c>
      <c r="AG3627">
        <v>-1.1035803472379999</v>
      </c>
      <c r="AH3627">
        <v>8.9003666562947696</v>
      </c>
      <c r="AI3627">
        <v>96.393251926258301</v>
      </c>
      <c r="AJ3627">
        <v>64.645012750014004</v>
      </c>
      <c r="AK3627">
        <v>9.9107464991372005</v>
      </c>
      <c r="AL3627">
        <v>67.841096660715195</v>
      </c>
      <c r="AM3627">
        <v>74.651509251784901</v>
      </c>
      <c r="AN3627">
        <v>1.0000000302359999</v>
      </c>
    </row>
    <row r="3628" spans="1:40" x14ac:dyDescent="0.25">
      <c r="A3628" t="str">
        <f>"20190304164715953"</f>
        <v>20190304164715953</v>
      </c>
      <c r="B3628" t="str">
        <f>"1551689235942977"</f>
        <v>1551689235942977</v>
      </c>
      <c r="C3628" t="s">
        <v>40</v>
      </c>
      <c r="D3628">
        <v>4.2495580000000004</v>
      </c>
      <c r="E3628">
        <v>0.5913292</v>
      </c>
      <c r="F3628" t="s">
        <v>51</v>
      </c>
      <c r="G3628">
        <v>-207.499</v>
      </c>
      <c r="H3628" s="1">
        <v>-7.56365E-6</v>
      </c>
      <c r="I3628">
        <v>143.73150000000001</v>
      </c>
      <c r="J3628">
        <v>-198.6799</v>
      </c>
      <c r="K3628">
        <v>1.103521</v>
      </c>
      <c r="L3628">
        <v>146.8227</v>
      </c>
      <c r="M3628">
        <v>-0.71216789999999996</v>
      </c>
      <c r="N3628">
        <v>-9.0667720000000007E-3</v>
      </c>
      <c r="O3628">
        <v>-0.70195059999999998</v>
      </c>
      <c r="P3628">
        <v>-0.80526239999999905</v>
      </c>
      <c r="Q3628">
        <v>0.37298579999999998</v>
      </c>
      <c r="R3628">
        <v>-0.46090599999999998</v>
      </c>
      <c r="S3628">
        <v>-3.2471619999999999</v>
      </c>
      <c r="T3628">
        <v>-0.39913650000000001</v>
      </c>
      <c r="U3628">
        <v>-1.1700440000000001</v>
      </c>
      <c r="V3628">
        <v>0.2435339</v>
      </c>
      <c r="W3628">
        <v>0.37697599999999998</v>
      </c>
      <c r="X3628">
        <v>0.89363320000000002</v>
      </c>
      <c r="Y3628">
        <v>0.41320420000000002</v>
      </c>
      <c r="Z3628">
        <v>9.3622479999999994E-2</v>
      </c>
      <c r="AA3628">
        <v>0.90581299999999998</v>
      </c>
      <c r="AB3628">
        <v>23</v>
      </c>
      <c r="AC3628">
        <v>-8.8191000000000095</v>
      </c>
      <c r="AD3628">
        <v>-1.1035285636499901</v>
      </c>
      <c r="AE3628">
        <v>-3.0911999999999802</v>
      </c>
      <c r="AF3628">
        <v>3.93442081843498</v>
      </c>
      <c r="AG3628">
        <v>-1.1035285636499901</v>
      </c>
      <c r="AH3628">
        <v>8.3346767356769398</v>
      </c>
      <c r="AI3628">
        <v>96.827644801492298</v>
      </c>
      <c r="AJ3628">
        <v>64.730140582329199</v>
      </c>
      <c r="AK3628">
        <v>9.2824715865743599</v>
      </c>
      <c r="AL3628">
        <v>67.8535050838355</v>
      </c>
      <c r="AM3628">
        <v>74.755877047076893</v>
      </c>
      <c r="AN3628">
        <v>0.99999998058372397</v>
      </c>
    </row>
    <row r="3629" spans="1:40" x14ac:dyDescent="0.25">
      <c r="A3629" t="str">
        <f>"20190304164715976"</f>
        <v>20190304164715976</v>
      </c>
      <c r="B3629" t="str">
        <f>"1551689235972257"</f>
        <v>1551689235972257</v>
      </c>
      <c r="C3629" t="s">
        <v>40</v>
      </c>
      <c r="D3629">
        <v>4.5515179999999997</v>
      </c>
      <c r="E3629">
        <v>0.59063019999999999</v>
      </c>
      <c r="F3629" t="s">
        <v>51</v>
      </c>
      <c r="G3629">
        <v>-207.89510000000001</v>
      </c>
      <c r="H3629" s="1">
        <v>-7.3679119999999997E-6</v>
      </c>
      <c r="I3629">
        <v>143.65539999999999</v>
      </c>
      <c r="J3629">
        <v>-198.85329999999999</v>
      </c>
      <c r="K3629">
        <v>1.1034630000000001</v>
      </c>
      <c r="L3629">
        <v>146.6694</v>
      </c>
      <c r="M3629">
        <v>-0.72004760000000001</v>
      </c>
      <c r="N3629">
        <v>-9.0394680000000002E-3</v>
      </c>
      <c r="O3629">
        <v>-0.69386599999999998</v>
      </c>
      <c r="P3629">
        <v>-0.8099151</v>
      </c>
      <c r="Q3629">
        <v>0.37292839999999999</v>
      </c>
      <c r="R3629">
        <v>-0.45272780000000001</v>
      </c>
      <c r="S3629">
        <v>-3.2643740000000001</v>
      </c>
      <c r="T3629">
        <v>-0.39091110000000001</v>
      </c>
      <c r="U3629">
        <v>-1.1219790000000001</v>
      </c>
      <c r="V3629">
        <v>0.2425486</v>
      </c>
      <c r="W3629">
        <v>0.37688820000000001</v>
      </c>
      <c r="X3629">
        <v>0.89393820000000002</v>
      </c>
      <c r="Y3629">
        <v>0.41659620000000003</v>
      </c>
      <c r="Z3629">
        <v>9.1158639999999999E-2</v>
      </c>
      <c r="AA3629">
        <v>0.90450969999999997</v>
      </c>
      <c r="AB3629">
        <v>23</v>
      </c>
      <c r="AC3629">
        <v>-9.0418000000000198</v>
      </c>
      <c r="AD3629">
        <v>-1.1034703679119999</v>
      </c>
      <c r="AE3629">
        <v>-3.0139999999999998</v>
      </c>
      <c r="AF3629">
        <v>4.0494600371609</v>
      </c>
      <c r="AG3629">
        <v>-1.1034703679119999</v>
      </c>
      <c r="AH3629">
        <v>8.4884055175790305</v>
      </c>
      <c r="AI3629">
        <v>96.691915741972906</v>
      </c>
      <c r="AJ3629">
        <v>64.496160300618399</v>
      </c>
      <c r="AK3629">
        <v>9.4693612074040701</v>
      </c>
      <c r="AL3629">
        <v>67.858937217953198</v>
      </c>
      <c r="AM3629">
        <v>74.819641067367101</v>
      </c>
      <c r="AN3629">
        <v>1.0000000220402101</v>
      </c>
    </row>
    <row r="3630" spans="1:40" x14ac:dyDescent="0.25">
      <c r="A3630" t="str">
        <f>"20190304164716000"</f>
        <v>20190304164716000</v>
      </c>
      <c r="B3630" t="str">
        <f>"1551689235992752"</f>
        <v>1551689235992752</v>
      </c>
      <c r="C3630" t="s">
        <v>40</v>
      </c>
      <c r="D3630">
        <v>4.5563650000000004</v>
      </c>
      <c r="E3630">
        <v>0.59031750000000005</v>
      </c>
      <c r="F3630" t="s">
        <v>51</v>
      </c>
      <c r="G3630">
        <v>-207.60230000000001</v>
      </c>
      <c r="H3630" s="1">
        <v>-7.5189339999999998E-6</v>
      </c>
      <c r="I3630">
        <v>143.73570000000001</v>
      </c>
      <c r="J3630">
        <v>-199.05019999999999</v>
      </c>
      <c r="K3630">
        <v>1.103405</v>
      </c>
      <c r="L3630">
        <v>146.49959999999999</v>
      </c>
      <c r="M3630">
        <v>-0.7287865</v>
      </c>
      <c r="N3630">
        <v>-9.0030730000000003E-3</v>
      </c>
      <c r="O3630">
        <v>-0.68468169999999995</v>
      </c>
      <c r="P3630">
        <v>-0.81517589999999995</v>
      </c>
      <c r="Q3630">
        <v>0.37246089999999998</v>
      </c>
      <c r="R3630">
        <v>-0.44357819999999998</v>
      </c>
      <c r="S3630">
        <v>-3.2797999999999998</v>
      </c>
      <c r="T3630">
        <v>-0.41366579999999997</v>
      </c>
      <c r="U3630">
        <v>-1.099777</v>
      </c>
      <c r="V3630">
        <v>0.2414617</v>
      </c>
      <c r="W3630">
        <v>0.37638189999999999</v>
      </c>
      <c r="X3630">
        <v>0.89444559999999995</v>
      </c>
      <c r="Y3630">
        <v>0.41129120000000002</v>
      </c>
      <c r="Z3630">
        <v>9.5453850000000007E-2</v>
      </c>
      <c r="AA3630">
        <v>0.90649219999999997</v>
      </c>
      <c r="AB3630">
        <v>23</v>
      </c>
      <c r="AC3630">
        <v>-8.5521000000000207</v>
      </c>
      <c r="AD3630">
        <v>-1.1034125189340001</v>
      </c>
      <c r="AE3630">
        <v>-2.7638999999999698</v>
      </c>
      <c r="AF3630">
        <v>3.78429063912168</v>
      </c>
      <c r="AG3630">
        <v>-1.1034125189340001</v>
      </c>
      <c r="AH3630">
        <v>8.0047255320780302</v>
      </c>
      <c r="AI3630">
        <v>97.103608031036899</v>
      </c>
      <c r="AJ3630">
        <v>64.697225674061002</v>
      </c>
      <c r="AK3630">
        <v>8.9226680803550096</v>
      </c>
      <c r="AL3630">
        <v>67.890251743686605</v>
      </c>
      <c r="AM3630">
        <v>74.892730225540205</v>
      </c>
      <c r="AN3630">
        <v>1.0000000092869299</v>
      </c>
    </row>
    <row r="3631" spans="1:40" x14ac:dyDescent="0.25">
      <c r="A3631" t="str">
        <f>"20190304164716023"</f>
        <v>20190304164716023</v>
      </c>
      <c r="B3631" t="str">
        <f>"1551689236012783"</f>
        <v>1551689236012783</v>
      </c>
      <c r="C3631" t="s">
        <v>40</v>
      </c>
      <c r="D3631">
        <v>4.5801730000000003</v>
      </c>
      <c r="E3631">
        <v>0.59186050000000001</v>
      </c>
      <c r="F3631" t="s">
        <v>51</v>
      </c>
      <c r="G3631">
        <v>-207.6567</v>
      </c>
      <c r="H3631" s="1">
        <v>-7.4889149999999998E-6</v>
      </c>
      <c r="I3631">
        <v>143.7133</v>
      </c>
      <c r="J3631">
        <v>-199.2398</v>
      </c>
      <c r="K3631">
        <v>1.1033440000000001</v>
      </c>
      <c r="L3631">
        <v>146.3399</v>
      </c>
      <c r="M3631">
        <v>-0.73700669999999902</v>
      </c>
      <c r="N3631">
        <v>-8.9659430000000005E-3</v>
      </c>
      <c r="O3631">
        <v>-0.67582589999999998</v>
      </c>
      <c r="P3631">
        <v>-0.81974799999999903</v>
      </c>
      <c r="Q3631">
        <v>0.3724557</v>
      </c>
      <c r="R3631">
        <v>-0.43507459999999998</v>
      </c>
      <c r="S3631">
        <v>-3.292999</v>
      </c>
      <c r="T3631">
        <v>-0.42218509999999998</v>
      </c>
      <c r="U3631">
        <v>-1.066071</v>
      </c>
      <c r="V3631">
        <v>0.23999699999999999</v>
      </c>
      <c r="W3631">
        <v>0.37634519999999999</v>
      </c>
      <c r="X3631">
        <v>0.89485509999999902</v>
      </c>
      <c r="Y3631">
        <v>0.40955760000000002</v>
      </c>
      <c r="Z3631">
        <v>9.660386E-2</v>
      </c>
      <c r="AA3631">
        <v>0.90715500000000004</v>
      </c>
      <c r="AB3631">
        <v>23</v>
      </c>
      <c r="AC3631">
        <v>-8.4168999999999894</v>
      </c>
      <c r="AD3631">
        <v>-1.103351488915</v>
      </c>
      <c r="AE3631">
        <v>-2.6265999999999901</v>
      </c>
      <c r="AF3631">
        <v>3.6948307179162501</v>
      </c>
      <c r="AG3631">
        <v>-1.103351488915</v>
      </c>
      <c r="AH3631">
        <v>7.8557436468952799</v>
      </c>
      <c r="AI3631">
        <v>97.243207676233993</v>
      </c>
      <c r="AJ3631">
        <v>64.810759051675007</v>
      </c>
      <c r="AK3631">
        <v>8.7511066036178509</v>
      </c>
      <c r="AL3631">
        <v>67.892520228354201</v>
      </c>
      <c r="AM3631">
        <v>74.986780674266399</v>
      </c>
      <c r="AN3631">
        <v>0.99999995978402401</v>
      </c>
    </row>
    <row r="3632" spans="1:40" x14ac:dyDescent="0.25">
      <c r="A3632" t="str">
        <f>"20190304164716045"</f>
        <v>20190304164716045</v>
      </c>
      <c r="B3632" t="str">
        <f>"1551689236042061"</f>
        <v>1551689236042061</v>
      </c>
      <c r="C3632" t="s">
        <v>40</v>
      </c>
      <c r="D3632">
        <v>4.6185489999999998</v>
      </c>
      <c r="E3632">
        <v>0.59209560000000006</v>
      </c>
      <c r="F3632" t="s">
        <v>51</v>
      </c>
      <c r="G3632">
        <v>-208.1318</v>
      </c>
      <c r="H3632" s="1">
        <v>-7.2498359999999998E-6</v>
      </c>
      <c r="I3632">
        <v>143.60570000000001</v>
      </c>
      <c r="J3632">
        <v>-199.42250000000001</v>
      </c>
      <c r="K3632">
        <v>1.1032879999999901</v>
      </c>
      <c r="L3632">
        <v>146.18969999999999</v>
      </c>
      <c r="M3632">
        <v>-0.74474830000000003</v>
      </c>
      <c r="N3632">
        <v>-8.9257910000000006E-3</v>
      </c>
      <c r="O3632">
        <v>-0.66728599999999905</v>
      </c>
      <c r="P3632">
        <v>-0.82359059999999995</v>
      </c>
      <c r="Q3632">
        <v>0.37315100000000001</v>
      </c>
      <c r="R3632">
        <v>-0.42714980000000002</v>
      </c>
      <c r="S3632">
        <v>-3.306473</v>
      </c>
      <c r="T3632">
        <v>-0.41028110000000001</v>
      </c>
      <c r="U3632">
        <v>-1.0167079999999999</v>
      </c>
      <c r="V3632">
        <v>0.2381472</v>
      </c>
      <c r="W3632">
        <v>0.37701410000000002</v>
      </c>
      <c r="X3632">
        <v>0.89506779999999997</v>
      </c>
      <c r="Y3632">
        <v>0.41284510000000002</v>
      </c>
      <c r="Z3632">
        <v>9.3312469999999995E-2</v>
      </c>
      <c r="AA3632">
        <v>0.9060087</v>
      </c>
      <c r="AB3632">
        <v>23</v>
      </c>
      <c r="AC3632">
        <v>-8.7092999999999794</v>
      </c>
      <c r="AD3632">
        <v>-1.10329524983599</v>
      </c>
      <c r="AE3632">
        <v>-2.5839999999999699</v>
      </c>
      <c r="AF3632">
        <v>3.8308160154485802</v>
      </c>
      <c r="AG3632">
        <v>-1.10329524983599</v>
      </c>
      <c r="AH3632">
        <v>8.0914839303075006</v>
      </c>
      <c r="AI3632">
        <v>97.025637039440198</v>
      </c>
      <c r="AJ3632">
        <v>64.665346523600704</v>
      </c>
      <c r="AK3632">
        <v>9.02022859726695</v>
      </c>
      <c r="AL3632">
        <v>67.851149681651094</v>
      </c>
      <c r="AM3632">
        <v>75.100713008013201</v>
      </c>
      <c r="AN3632">
        <v>1.00000004353174</v>
      </c>
    </row>
    <row r="3633" spans="1:40" x14ac:dyDescent="0.25">
      <c r="A3633" t="str">
        <f>"20190304164716066"</f>
        <v>20190304164716066</v>
      </c>
      <c r="B3633" t="str">
        <f>"1551689236062557"</f>
        <v>1551689236062557</v>
      </c>
      <c r="C3633" t="s">
        <v>40</v>
      </c>
      <c r="D3633">
        <v>4.633966</v>
      </c>
      <c r="E3633">
        <v>0.59207049999999894</v>
      </c>
      <c r="F3633" t="s">
        <v>51</v>
      </c>
      <c r="G3633">
        <v>-208.32339999999999</v>
      </c>
      <c r="H3633" s="1">
        <v>-7.1508729999999999E-6</v>
      </c>
      <c r="I3633">
        <v>143.55269999999999</v>
      </c>
      <c r="J3633">
        <v>-199.59280000000001</v>
      </c>
      <c r="K3633">
        <v>1.1032390000000001</v>
      </c>
      <c r="L3633">
        <v>146.05269999999999</v>
      </c>
      <c r="M3633">
        <v>-0.75181750000000003</v>
      </c>
      <c r="N3633">
        <v>-8.8800169999999901E-3</v>
      </c>
      <c r="O3633">
        <v>-0.6593116</v>
      </c>
      <c r="P3633">
        <v>-0.82786569999999904</v>
      </c>
      <c r="Q3633">
        <v>0.3730813</v>
      </c>
      <c r="R3633">
        <v>-0.41886669999999998</v>
      </c>
      <c r="S3633">
        <v>-3.3189700000000002</v>
      </c>
      <c r="T3633">
        <v>-0.4113966</v>
      </c>
      <c r="U3633">
        <v>-0.98329160000000004</v>
      </c>
      <c r="V3633">
        <v>0.23764250000000001</v>
      </c>
      <c r="W3633">
        <v>0.3768899</v>
      </c>
      <c r="X3633">
        <v>0.8952542</v>
      </c>
      <c r="Y3633">
        <v>0.41248889999999999</v>
      </c>
      <c r="Z3633">
        <v>9.2839930000000001E-2</v>
      </c>
      <c r="AA3633">
        <v>0.90621940000000001</v>
      </c>
      <c r="AB3633">
        <v>23</v>
      </c>
      <c r="AC3633">
        <v>-8.7305999999999795</v>
      </c>
      <c r="AD3633">
        <v>-1.1032461508729901</v>
      </c>
      <c r="AE3633">
        <v>-2.5</v>
      </c>
      <c r="AF3633">
        <v>3.8204124741905301</v>
      </c>
      <c r="AG3633">
        <v>-1.1032461508729901</v>
      </c>
      <c r="AH3633">
        <v>8.09298265219687</v>
      </c>
      <c r="AI3633">
        <v>97.027730091004997</v>
      </c>
      <c r="AJ3633">
        <v>64.729651880591902</v>
      </c>
      <c r="AK3633">
        <v>9.0171543044979696</v>
      </c>
      <c r="AL3633">
        <v>67.858831979831294</v>
      </c>
      <c r="AM3633">
        <v>75.1338473993127</v>
      </c>
      <c r="AN3633">
        <v>1.0000000185729401</v>
      </c>
    </row>
    <row r="3634" spans="1:40" x14ac:dyDescent="0.25">
      <c r="A3634" t="str">
        <f>"20190304164716087"</f>
        <v>20190304164716087</v>
      </c>
      <c r="B3634" t="str">
        <f>"1551689236082078"</f>
        <v>1551689236082078</v>
      </c>
      <c r="C3634" t="s">
        <v>40</v>
      </c>
      <c r="D3634">
        <v>4.6411740000000004</v>
      </c>
      <c r="E3634">
        <v>0.59206610000000004</v>
      </c>
      <c r="F3634" t="s">
        <v>51</v>
      </c>
      <c r="G3634">
        <v>-208.4427</v>
      </c>
      <c r="H3634" s="1">
        <v>-7.0903809999999996E-6</v>
      </c>
      <c r="I3634">
        <v>143.5239</v>
      </c>
      <c r="J3634">
        <v>-199.77690000000001</v>
      </c>
      <c r="K3634">
        <v>1.1031740000000001</v>
      </c>
      <c r="L3634">
        <v>145.90799999999999</v>
      </c>
      <c r="M3634">
        <v>-0.75929150000000001</v>
      </c>
      <c r="N3634">
        <v>-8.8198369999999901E-3</v>
      </c>
      <c r="O3634">
        <v>-0.65069100000000002</v>
      </c>
      <c r="P3634">
        <v>-0.83232090000000003</v>
      </c>
      <c r="Q3634">
        <v>0.37311499999999997</v>
      </c>
      <c r="R3634">
        <v>-0.40991090000000002</v>
      </c>
      <c r="S3634">
        <v>-3.3294679999999999</v>
      </c>
      <c r="T3634">
        <v>-0.41506219999999999</v>
      </c>
      <c r="U3634">
        <v>-0.9513855</v>
      </c>
      <c r="V3634">
        <v>0.2371152</v>
      </c>
      <c r="W3634">
        <v>0.376855</v>
      </c>
      <c r="X3634">
        <v>0.895408599999999</v>
      </c>
      <c r="Y3634">
        <v>0.41083960000000003</v>
      </c>
      <c r="Z3634">
        <v>9.2861470000000002E-2</v>
      </c>
      <c r="AA3634">
        <v>0.9069661</v>
      </c>
      <c r="AB3634">
        <v>23</v>
      </c>
      <c r="AC3634">
        <v>-8.6657999999999902</v>
      </c>
      <c r="AD3634">
        <v>-1.103181090381</v>
      </c>
      <c r="AE3634">
        <v>-2.3840999999999801</v>
      </c>
      <c r="AF3634">
        <v>3.7718541689706702</v>
      </c>
      <c r="AG3634">
        <v>-1.103181090381</v>
      </c>
      <c r="AH3634">
        <v>8.0108078464489694</v>
      </c>
      <c r="AI3634">
        <v>97.101979133068596</v>
      </c>
      <c r="AJ3634">
        <v>64.786801946639102</v>
      </c>
      <c r="AK3634">
        <v>8.9228322153273805</v>
      </c>
      <c r="AL3634">
        <v>67.860988833793101</v>
      </c>
      <c r="AM3634">
        <v>75.167822799890899</v>
      </c>
      <c r="AN3634">
        <v>0.99999993502499696</v>
      </c>
    </row>
    <row r="3635" spans="1:40" x14ac:dyDescent="0.25">
      <c r="A3635" t="str">
        <f>"20190304164716110"</f>
        <v>20190304164716110</v>
      </c>
      <c r="B3635" t="str">
        <f>"1551689236102574"</f>
        <v>1551689236102574</v>
      </c>
      <c r="C3635" t="s">
        <v>40</v>
      </c>
      <c r="D3635">
        <v>4.6717060000000004</v>
      </c>
      <c r="E3635">
        <v>0.5919991</v>
      </c>
      <c r="F3635" t="s">
        <v>51</v>
      </c>
      <c r="G3635">
        <v>-208.61500000000001</v>
      </c>
      <c r="H3635" s="1">
        <v>-7.0035260000000002E-6</v>
      </c>
      <c r="I3635">
        <v>143.48439999999999</v>
      </c>
      <c r="J3635">
        <v>-199.97620000000001</v>
      </c>
      <c r="K3635">
        <v>1.1031070000000001</v>
      </c>
      <c r="L3635">
        <v>145.75479999999999</v>
      </c>
      <c r="M3635">
        <v>-0.767204199999999</v>
      </c>
      <c r="N3635">
        <v>-8.7427110000000002E-3</v>
      </c>
      <c r="O3635">
        <v>-0.64134349999999996</v>
      </c>
      <c r="P3635">
        <v>-0.83714929999999999</v>
      </c>
      <c r="Q3635">
        <v>0.3728359</v>
      </c>
      <c r="R3635">
        <v>-0.40021810000000002</v>
      </c>
      <c r="S3635">
        <v>-3.340195</v>
      </c>
      <c r="T3635">
        <v>-0.4169254</v>
      </c>
      <c r="U3635">
        <v>-0.91595459999999995</v>
      </c>
      <c r="V3635">
        <v>0.23666329999999999</v>
      </c>
      <c r="W3635">
        <v>0.37648930000000003</v>
      </c>
      <c r="X3635">
        <v>0.89568199999999998</v>
      </c>
      <c r="Y3635">
        <v>0.4093832</v>
      </c>
      <c r="Z3635">
        <v>9.2411030000000005E-2</v>
      </c>
      <c r="AA3635">
        <v>0.90767039999999999</v>
      </c>
      <c r="AB3635">
        <v>24</v>
      </c>
      <c r="AC3635">
        <v>-8.6387999999999998</v>
      </c>
      <c r="AD3635">
        <v>-1.1031140035259901</v>
      </c>
      <c r="AE3635">
        <v>-2.2703999999999902</v>
      </c>
      <c r="AF3635">
        <v>3.74165482297939</v>
      </c>
      <c r="AG3635">
        <v>-1.1031140035259901</v>
      </c>
      <c r="AH3635">
        <v>7.9626909660401104</v>
      </c>
      <c r="AI3635">
        <v>97.146603075847594</v>
      </c>
      <c r="AJ3635">
        <v>64.831249094281503</v>
      </c>
      <c r="AK3635">
        <v>8.8668646510340299</v>
      </c>
      <c r="AL3635">
        <v>67.883608867481897</v>
      </c>
      <c r="AM3635">
        <v>75.199168394750401</v>
      </c>
      <c r="AN3635">
        <v>0.99999997785268901</v>
      </c>
    </row>
    <row r="3636" spans="1:40" x14ac:dyDescent="0.25">
      <c r="A3636" t="str">
        <f>"20190304164716133"</f>
        <v>20190304164716133</v>
      </c>
      <c r="B3636" t="str">
        <f>"1551689236122548"</f>
        <v>1551689236122548</v>
      </c>
      <c r="C3636" t="s">
        <v>40</v>
      </c>
      <c r="D3636">
        <v>4.6738619999999997</v>
      </c>
      <c r="E3636">
        <v>0.59182380000000001</v>
      </c>
      <c r="F3636" t="s">
        <v>51</v>
      </c>
      <c r="G3636">
        <v>-208.7852</v>
      </c>
      <c r="H3636" s="1">
        <v>-6.9188249999999998E-6</v>
      </c>
      <c r="I3636">
        <v>143.4495</v>
      </c>
      <c r="J3636">
        <v>-200.17140000000001</v>
      </c>
      <c r="K3636">
        <v>1.1030340000000001</v>
      </c>
      <c r="L3636">
        <v>145.60849999999999</v>
      </c>
      <c r="M3636">
        <v>-0.77477010000000002</v>
      </c>
      <c r="N3636">
        <v>-8.6574789999999992E-3</v>
      </c>
      <c r="O3636">
        <v>-0.63218379999999996</v>
      </c>
      <c r="P3636">
        <v>-0.841647699999999</v>
      </c>
      <c r="Q3636">
        <v>0.37218679999999998</v>
      </c>
      <c r="R3636">
        <v>-0.39128839999999998</v>
      </c>
      <c r="S3636">
        <v>-3.3512119999999999</v>
      </c>
      <c r="T3636">
        <v>-0.41965629999999998</v>
      </c>
      <c r="U3636">
        <v>-0.87699889999999903</v>
      </c>
      <c r="V3636">
        <v>0.23576069999999999</v>
      </c>
      <c r="W3636">
        <v>0.37575760000000002</v>
      </c>
      <c r="X3636">
        <v>0.896227199999999</v>
      </c>
      <c r="Y3636">
        <v>0.4091323</v>
      </c>
      <c r="Z3636">
        <v>9.2236680000000001E-2</v>
      </c>
      <c r="AA3636">
        <v>0.90780130000000003</v>
      </c>
      <c r="AB3636">
        <v>24</v>
      </c>
      <c r="AC3636">
        <v>-8.6137999999999906</v>
      </c>
      <c r="AD3636">
        <v>-1.1030409188249899</v>
      </c>
      <c r="AE3636">
        <v>-2.15899999999999</v>
      </c>
      <c r="AF3636">
        <v>3.71559033476463</v>
      </c>
      <c r="AG3636">
        <v>-1.1030409188249899</v>
      </c>
      <c r="AH3636">
        <v>7.9167544800292902</v>
      </c>
      <c r="AI3636">
        <v>97.188715454087998</v>
      </c>
      <c r="AJ3636">
        <v>64.857807755299504</v>
      </c>
      <c r="AK3636">
        <v>8.8146078926667197</v>
      </c>
      <c r="AL3636">
        <v>67.928855999742396</v>
      </c>
      <c r="AM3636">
        <v>75.261732432980097</v>
      </c>
      <c r="AN3636">
        <v>1.0000000378210401</v>
      </c>
    </row>
    <row r="3637" spans="1:40" x14ac:dyDescent="0.25">
      <c r="A3637" t="str">
        <f>"20190304164716155"</f>
        <v>20190304164716155</v>
      </c>
      <c r="B3637" t="str">
        <f>"1551689236152800"</f>
        <v>1551689236152800</v>
      </c>
      <c r="C3637" t="s">
        <v>40</v>
      </c>
      <c r="D3637">
        <v>4.7139540000000002</v>
      </c>
      <c r="E3637">
        <v>0.59162119999999996</v>
      </c>
      <c r="F3637" t="s">
        <v>51</v>
      </c>
      <c r="G3637">
        <v>-208.91800000000001</v>
      </c>
      <c r="H3637" s="1">
        <v>-6.8524060000000004E-6</v>
      </c>
      <c r="I3637">
        <v>143.42089999999999</v>
      </c>
      <c r="J3637">
        <v>-200.36</v>
      </c>
      <c r="K3637">
        <v>1.10297</v>
      </c>
      <c r="L3637">
        <v>145.47059999999999</v>
      </c>
      <c r="M3637">
        <v>-0.78190749999999998</v>
      </c>
      <c r="N3637">
        <v>-8.5741649999999999E-3</v>
      </c>
      <c r="O3637">
        <v>-0.62333549999999904</v>
      </c>
      <c r="P3637">
        <v>-0.84604979999999996</v>
      </c>
      <c r="Q3637">
        <v>0.37193540000000003</v>
      </c>
      <c r="R3637">
        <v>-0.38192160000000003</v>
      </c>
      <c r="S3637">
        <v>-3.3610530000000001</v>
      </c>
      <c r="T3637">
        <v>-0.42386699999999999</v>
      </c>
      <c r="U3637">
        <v>-0.84060669999999904</v>
      </c>
      <c r="V3637">
        <v>0.23562549999999999</v>
      </c>
      <c r="W3637">
        <v>0.37540889999999999</v>
      </c>
      <c r="X3637">
        <v>0.89640880000000001</v>
      </c>
      <c r="Y3637">
        <v>0.40857250000000001</v>
      </c>
      <c r="Z3637">
        <v>9.2387090000000005E-2</v>
      </c>
      <c r="AA3637">
        <v>0.90803809999999996</v>
      </c>
      <c r="AB3637">
        <v>24</v>
      </c>
      <c r="AC3637">
        <v>-8.5579999999999892</v>
      </c>
      <c r="AD3637">
        <v>-1.102976852406</v>
      </c>
      <c r="AE3637">
        <v>-2.0497000000000001</v>
      </c>
      <c r="AF3637">
        <v>3.6742458196637902</v>
      </c>
      <c r="AG3637">
        <v>-1.102976852406</v>
      </c>
      <c r="AH3637">
        <v>7.8462470541134799</v>
      </c>
      <c r="AI3637">
        <v>97.255113799164505</v>
      </c>
      <c r="AJ3637">
        <v>64.9072155765529</v>
      </c>
      <c r="AK3637">
        <v>8.7338555698182301</v>
      </c>
      <c r="AL3637">
        <v>67.950411876371803</v>
      </c>
      <c r="AM3637">
        <v>75.272671061163294</v>
      </c>
      <c r="AN3637">
        <v>0.99999997758344905</v>
      </c>
    </row>
    <row r="3638" spans="1:40" x14ac:dyDescent="0.25">
      <c r="A3638" t="str">
        <f>"20190304164716177"</f>
        <v>20190304164716177</v>
      </c>
      <c r="B3638" t="str">
        <f>"1551689236172320"</f>
        <v>1551689236172320</v>
      </c>
      <c r="C3638" t="s">
        <v>40</v>
      </c>
      <c r="D3638">
        <v>4.6856140000000002</v>
      </c>
      <c r="E3638">
        <v>0.59147939999999999</v>
      </c>
      <c r="F3638" t="s">
        <v>51</v>
      </c>
      <c r="G3638">
        <v>-209.06979999999999</v>
      </c>
      <c r="H3638" s="1">
        <v>-6.7775969999999901E-6</v>
      </c>
      <c r="I3638">
        <v>143.39250000000001</v>
      </c>
      <c r="J3638">
        <v>-200.55609999999999</v>
      </c>
      <c r="K3638">
        <v>1.1029040000000001</v>
      </c>
      <c r="L3638">
        <v>145.3306</v>
      </c>
      <c r="M3638">
        <v>-0.78915409999999997</v>
      </c>
      <c r="N3638">
        <v>-8.4898319999999992E-3</v>
      </c>
      <c r="O3638">
        <v>-0.61413660000000003</v>
      </c>
      <c r="P3638">
        <v>-0.85027439999999999</v>
      </c>
      <c r="Q3638">
        <v>0.37180849999999999</v>
      </c>
      <c r="R3638">
        <v>-0.3725482</v>
      </c>
      <c r="S3638">
        <v>-3.3704990000000001</v>
      </c>
      <c r="T3638">
        <v>-0.42683169999999998</v>
      </c>
      <c r="U3638">
        <v>-0.80416869999999996</v>
      </c>
      <c r="V3638">
        <v>0.23510809999999999</v>
      </c>
      <c r="W3638">
        <v>0.37519010000000003</v>
      </c>
      <c r="X3638">
        <v>0.896636199999999</v>
      </c>
      <c r="Y3638">
        <v>0.40772799999999998</v>
      </c>
      <c r="Z3638">
        <v>9.2185240000000002E-2</v>
      </c>
      <c r="AA3638">
        <v>0.90843810000000003</v>
      </c>
      <c r="AB3638">
        <v>24</v>
      </c>
      <c r="AC3638">
        <v>-8.5137</v>
      </c>
      <c r="AD3638">
        <v>-1.102910777597</v>
      </c>
      <c r="AE3638">
        <v>-1.9380999999999899</v>
      </c>
      <c r="AF3638">
        <v>3.6411532045203598</v>
      </c>
      <c r="AG3638">
        <v>-1.102910777597</v>
      </c>
      <c r="AH3638">
        <v>7.7849539566894999</v>
      </c>
      <c r="AI3638">
        <v>97.312752233145702</v>
      </c>
      <c r="AJ3638">
        <v>64.933721519965005</v>
      </c>
      <c r="AK3638">
        <v>8.6648668166281695</v>
      </c>
      <c r="AL3638">
        <v>67.963936235807907</v>
      </c>
      <c r="AM3638">
        <v>75.307174775182304</v>
      </c>
      <c r="AN3638">
        <v>0.999999952487028</v>
      </c>
    </row>
    <row r="3639" spans="1:40" x14ac:dyDescent="0.25">
      <c r="A3639" t="str">
        <f>"20190304164716200"</f>
        <v>20190304164716200</v>
      </c>
      <c r="B3639" t="str">
        <f>"1551689236192816"</f>
        <v>1551689236192816</v>
      </c>
      <c r="C3639" t="s">
        <v>40</v>
      </c>
      <c r="D3639">
        <v>4.7252970000000003</v>
      </c>
      <c r="E3639">
        <v>0.59131309999999904</v>
      </c>
      <c r="F3639" t="s">
        <v>51</v>
      </c>
      <c r="G3639">
        <v>-209.26840000000001</v>
      </c>
      <c r="H3639" s="1">
        <v>-6.6790799999999996E-6</v>
      </c>
      <c r="I3639">
        <v>143.35310000000001</v>
      </c>
      <c r="J3639">
        <v>-200.7723</v>
      </c>
      <c r="K3639">
        <v>1.1028389999999999</v>
      </c>
      <c r="L3639">
        <v>145.18039999999999</v>
      </c>
      <c r="M3639">
        <v>-0.79694259999999995</v>
      </c>
      <c r="N3639">
        <v>-8.4022790000000003E-3</v>
      </c>
      <c r="O3639">
        <v>-0.60399659999999999</v>
      </c>
      <c r="P3639">
        <v>-0.85491870000000003</v>
      </c>
      <c r="Q3639">
        <v>0.3715157</v>
      </c>
      <c r="R3639">
        <v>-0.36206329999999998</v>
      </c>
      <c r="S3639">
        <v>-3.3792420000000001</v>
      </c>
      <c r="T3639">
        <v>-0.4277859</v>
      </c>
      <c r="U3639">
        <v>-0.76704410000000001</v>
      </c>
      <c r="V3639">
        <v>0.23478940000000001</v>
      </c>
      <c r="W3639">
        <v>0.37479590000000002</v>
      </c>
      <c r="X3639">
        <v>0.89688459999999903</v>
      </c>
      <c r="Y3639">
        <v>0.40610619999999997</v>
      </c>
      <c r="Z3639">
        <v>9.1397590000000001E-2</v>
      </c>
      <c r="AA3639">
        <v>0.90924380000000005</v>
      </c>
      <c r="AB3639">
        <v>24</v>
      </c>
      <c r="AC3639">
        <v>-8.4961000000000109</v>
      </c>
      <c r="AD3639">
        <v>-1.1028456790800001</v>
      </c>
      <c r="AE3639">
        <v>-1.8272999999999799</v>
      </c>
      <c r="AF3639">
        <v>3.6172376386304399</v>
      </c>
      <c r="AG3639">
        <v>-1.1028456790800001</v>
      </c>
      <c r="AH3639">
        <v>7.7500529737800603</v>
      </c>
      <c r="AI3639">
        <v>97.3476259039155</v>
      </c>
      <c r="AJ3639">
        <v>64.9797904012364</v>
      </c>
      <c r="AK3639">
        <v>8.6234562573591909</v>
      </c>
      <c r="AL3639">
        <v>67.988301395024493</v>
      </c>
      <c r="AM3639">
        <v>75.330120205763905</v>
      </c>
      <c r="AN3639">
        <v>1.0000000073631601</v>
      </c>
    </row>
    <row r="3640" spans="1:40" x14ac:dyDescent="0.25">
      <c r="A3640" t="str">
        <f>"20190304164716224"</f>
        <v>20190304164716224</v>
      </c>
      <c r="B3640" t="str">
        <f>"1551689236212843"</f>
        <v>1551689236212843</v>
      </c>
      <c r="C3640" t="s">
        <v>40</v>
      </c>
      <c r="D3640">
        <v>4.7147800000000002</v>
      </c>
      <c r="E3640">
        <v>0.59109230000000001</v>
      </c>
      <c r="F3640" t="s">
        <v>51</v>
      </c>
      <c r="G3640">
        <v>-209.48339999999999</v>
      </c>
      <c r="H3640" s="1">
        <v>-6.5741429999999996E-6</v>
      </c>
      <c r="I3640">
        <v>143.31659999999999</v>
      </c>
      <c r="J3640">
        <v>-200.9846</v>
      </c>
      <c r="K3640">
        <v>1.1027690000000001</v>
      </c>
      <c r="L3640">
        <v>145.03659999999999</v>
      </c>
      <c r="M3640">
        <v>-0.80439479999999997</v>
      </c>
      <c r="N3640">
        <v>-8.3228069999999998E-3</v>
      </c>
      <c r="O3640">
        <v>-0.59403689999999998</v>
      </c>
      <c r="P3640">
        <v>-0.85930849999999903</v>
      </c>
      <c r="Q3640">
        <v>0.37169400000000002</v>
      </c>
      <c r="R3640">
        <v>-0.35132999999999998</v>
      </c>
      <c r="S3640">
        <v>-3.3884889999999999</v>
      </c>
      <c r="T3640">
        <v>-0.4289926</v>
      </c>
      <c r="U3640">
        <v>-0.72499080000000005</v>
      </c>
      <c r="V3640">
        <v>0.23487069999999999</v>
      </c>
      <c r="W3640">
        <v>0.37486920000000001</v>
      </c>
      <c r="X3640">
        <v>0.89683259999999898</v>
      </c>
      <c r="Y3640">
        <v>0.4060723</v>
      </c>
      <c r="Z3640">
        <v>9.0763919999999998E-2</v>
      </c>
      <c r="AA3640">
        <v>0.90932239999999998</v>
      </c>
      <c r="AB3640">
        <v>24</v>
      </c>
      <c r="AC3640">
        <v>-8.4987999999999797</v>
      </c>
      <c r="AD3640">
        <v>-1.1027755741429901</v>
      </c>
      <c r="AE3640">
        <v>-1.71999999999999</v>
      </c>
      <c r="AF3640">
        <v>3.6068305153843601</v>
      </c>
      <c r="AG3640">
        <v>-1.1027755741429901</v>
      </c>
      <c r="AH3640">
        <v>7.7333245894318496</v>
      </c>
      <c r="AI3640">
        <v>97.363820705143596</v>
      </c>
      <c r="AJ3640">
        <v>64.995606088178704</v>
      </c>
      <c r="AK3640">
        <v>8.6040484389120895</v>
      </c>
      <c r="AL3640">
        <v>67.983769723849903</v>
      </c>
      <c r="AM3640">
        <v>75.324445575956005</v>
      </c>
      <c r="AN3640">
        <v>0.99999993762494199</v>
      </c>
    </row>
    <row r="3641" spans="1:40" x14ac:dyDescent="0.25">
      <c r="A3641" t="str">
        <f>"20190304164716245"</f>
        <v>20190304164716245</v>
      </c>
      <c r="B3641" t="str">
        <f>"1551689236242123"</f>
        <v>1551689236242123</v>
      </c>
      <c r="C3641" t="s">
        <v>40</v>
      </c>
      <c r="D3641">
        <v>4.7154939999999996</v>
      </c>
      <c r="E3641">
        <v>0.5907403</v>
      </c>
      <c r="F3641" t="s">
        <v>51</v>
      </c>
      <c r="G3641">
        <v>-209.70930000000001</v>
      </c>
      <c r="H3641" s="1">
        <v>-6.4638559999999997E-6</v>
      </c>
      <c r="I3641">
        <v>143.2783</v>
      </c>
      <c r="J3641">
        <v>-201.17339999999999</v>
      </c>
      <c r="K3641">
        <v>1.1027089999999999</v>
      </c>
      <c r="L3641">
        <v>144.9119</v>
      </c>
      <c r="M3641">
        <v>-0.81086650000000005</v>
      </c>
      <c r="N3641">
        <v>-8.2560580000000001E-3</v>
      </c>
      <c r="O3641">
        <v>-0.58517299999999906</v>
      </c>
      <c r="P3641">
        <v>-0.86324650000000003</v>
      </c>
      <c r="Q3641">
        <v>0.37172810000000001</v>
      </c>
      <c r="R3641">
        <v>-0.34150229999999998</v>
      </c>
      <c r="S3641">
        <v>-3.3969879999999999</v>
      </c>
      <c r="T3641">
        <v>-0.42936970000000002</v>
      </c>
      <c r="U3641">
        <v>-0.68461609999999995</v>
      </c>
      <c r="V3641">
        <v>0.23529890000000001</v>
      </c>
      <c r="W3641">
        <v>0.37480649999999999</v>
      </c>
      <c r="X3641">
        <v>0.89674659999999995</v>
      </c>
      <c r="Y3641">
        <v>0.406918</v>
      </c>
      <c r="Z3641">
        <v>9.0087139999999996E-2</v>
      </c>
      <c r="AA3641">
        <v>0.90901160000000003</v>
      </c>
      <c r="AB3641">
        <v>24</v>
      </c>
      <c r="AC3641">
        <v>-8.5359000000000194</v>
      </c>
      <c r="AD3641">
        <v>-1.1027154638559999</v>
      </c>
      <c r="AE3641">
        <v>-1.6335999999999999</v>
      </c>
      <c r="AF3641">
        <v>3.6123160034324902</v>
      </c>
      <c r="AG3641">
        <v>-1.1027154638559999</v>
      </c>
      <c r="AH3641">
        <v>7.7528666648088302</v>
      </c>
      <c r="AI3641">
        <v>97.346368558549599</v>
      </c>
      <c r="AJ3641">
        <v>65.0176373935155</v>
      </c>
      <c r="AK3641">
        <v>8.6239057175496505</v>
      </c>
      <c r="AL3641">
        <v>67.987645550633104</v>
      </c>
      <c r="AM3641">
        <v>75.297499276739103</v>
      </c>
      <c r="AN3641">
        <v>0.99999997469750901</v>
      </c>
    </row>
    <row r="3642" spans="1:40" x14ac:dyDescent="0.25">
      <c r="A3642" t="str">
        <f>"20190304164716267"</f>
        <v>20190304164716267</v>
      </c>
      <c r="B3642" t="str">
        <f>"1551689236262620"</f>
        <v>1551689236262620</v>
      </c>
      <c r="C3642" t="s">
        <v>40</v>
      </c>
      <c r="D3642">
        <v>4.7170370000000004</v>
      </c>
      <c r="E3642">
        <v>0.59046699999999996</v>
      </c>
      <c r="F3642" t="s">
        <v>51</v>
      </c>
      <c r="G3642">
        <v>-209.88589999999999</v>
      </c>
      <c r="H3642" s="1">
        <v>-6.3777510000000003E-6</v>
      </c>
      <c r="I3642">
        <v>143.24889999999999</v>
      </c>
      <c r="J3642">
        <v>-201.3792</v>
      </c>
      <c r="K3642">
        <v>1.1026499999999999</v>
      </c>
      <c r="L3642">
        <v>144.7791</v>
      </c>
      <c r="M3642">
        <v>-0.81775489999999995</v>
      </c>
      <c r="N3642">
        <v>-8.1890230000000001E-3</v>
      </c>
      <c r="O3642">
        <v>-0.57550880000000004</v>
      </c>
      <c r="P3642">
        <v>-0.86711039999999995</v>
      </c>
      <c r="Q3642">
        <v>0.37206470000000003</v>
      </c>
      <c r="R3642">
        <v>-0.33119130000000002</v>
      </c>
      <c r="S3642">
        <v>-3.4037320000000002</v>
      </c>
      <c r="T3642">
        <v>-0.4307996</v>
      </c>
      <c r="U3642">
        <v>-0.64968870000000001</v>
      </c>
      <c r="V3642">
        <v>0.2353152</v>
      </c>
      <c r="W3642">
        <v>0.37505090000000002</v>
      </c>
      <c r="X3642">
        <v>0.8966402</v>
      </c>
      <c r="Y3642">
        <v>0.40544609999999998</v>
      </c>
      <c r="Z3642">
        <v>8.9414899999999894E-2</v>
      </c>
      <c r="AA3642">
        <v>0.90973530000000002</v>
      </c>
      <c r="AB3642">
        <v>24</v>
      </c>
      <c r="AC3642">
        <v>-8.5066999999999897</v>
      </c>
      <c r="AD3642">
        <v>-1.1026563777509999</v>
      </c>
      <c r="AE3642">
        <v>-1.5302</v>
      </c>
      <c r="AF3642">
        <v>3.5861085570267601</v>
      </c>
      <c r="AG3642">
        <v>-1.1026563777509999</v>
      </c>
      <c r="AH3642">
        <v>7.7117885431268496</v>
      </c>
      <c r="AI3642">
        <v>97.387239187356698</v>
      </c>
      <c r="AJ3642">
        <v>65.060797241680007</v>
      </c>
      <c r="AK3642">
        <v>8.5759960473450594</v>
      </c>
      <c r="AL3642">
        <v>67.972542000039695</v>
      </c>
      <c r="AM3642">
        <v>75.294855733244106</v>
      </c>
      <c r="AN3642">
        <v>1.0000000345989399</v>
      </c>
    </row>
    <row r="3643" spans="1:40" x14ac:dyDescent="0.25">
      <c r="A3643" t="str">
        <f>"20190304164716288"</f>
        <v>20190304164716288</v>
      </c>
      <c r="B3643" t="str">
        <f>"1551689236282140"</f>
        <v>1551689236282140</v>
      </c>
      <c r="C3643" t="s">
        <v>40</v>
      </c>
      <c r="D3643">
        <v>4.7327890000000004</v>
      </c>
      <c r="E3643">
        <v>0.59031919999999904</v>
      </c>
      <c r="F3643" t="s">
        <v>42</v>
      </c>
      <c r="G3643">
        <v>-210.1249</v>
      </c>
      <c r="H3643" s="1">
        <v>-5.3010339999999901E-6</v>
      </c>
      <c r="I3643">
        <v>143.2115</v>
      </c>
      <c r="J3643">
        <v>-201.59360000000001</v>
      </c>
      <c r="K3643">
        <v>1.1025849999999999</v>
      </c>
      <c r="L3643">
        <v>144.64439999999999</v>
      </c>
      <c r="M3643">
        <v>-0.82474879999999995</v>
      </c>
      <c r="N3643">
        <v>-8.1247590000000005E-3</v>
      </c>
      <c r="O3643">
        <v>-0.56544119999999998</v>
      </c>
      <c r="P3643">
        <v>-0.87075539999999996</v>
      </c>
      <c r="Q3643">
        <v>0.37227110000000002</v>
      </c>
      <c r="R3643">
        <v>-0.32124730000000001</v>
      </c>
      <c r="S3643">
        <v>-3.4107820000000002</v>
      </c>
      <c r="T3643">
        <v>-0.43003029999999998</v>
      </c>
      <c r="U3643">
        <v>-0.61135859999999997</v>
      </c>
      <c r="V3643">
        <v>0.2345873</v>
      </c>
      <c r="W3643">
        <v>0.37518220000000002</v>
      </c>
      <c r="X3643">
        <v>0.89677600000000002</v>
      </c>
      <c r="Y3643">
        <v>0.4045784</v>
      </c>
      <c r="Z3643">
        <v>8.8260069999999996E-2</v>
      </c>
      <c r="AA3643">
        <v>0.91023430000000005</v>
      </c>
      <c r="AB3643">
        <v>24</v>
      </c>
      <c r="AC3643">
        <v>-8.5312999999999803</v>
      </c>
      <c r="AD3643">
        <v>-1.1025903010339999</v>
      </c>
      <c r="AE3643">
        <v>-1.4328999999999801</v>
      </c>
      <c r="AF3643">
        <v>3.5840629218330902</v>
      </c>
      <c r="AG3643">
        <v>-1.1025903010339999</v>
      </c>
      <c r="AH3643">
        <v>7.7212274622113197</v>
      </c>
      <c r="AI3643">
        <v>97.380194865486601</v>
      </c>
      <c r="AJ3643">
        <v>65.100070435208494</v>
      </c>
      <c r="AK3643">
        <v>8.5836219582877291</v>
      </c>
      <c r="AL3643">
        <v>67.964426557945501</v>
      </c>
      <c r="AM3643">
        <v>75.340505001992398</v>
      </c>
      <c r="AN3643">
        <v>1.0000000393470601</v>
      </c>
    </row>
    <row r="3644" spans="1:40" x14ac:dyDescent="0.25">
      <c r="A3644" t="str">
        <f>"20190304164716312"</f>
        <v>20190304164716312</v>
      </c>
      <c r="B3644" t="str">
        <f>"1551689236302635"</f>
        <v>1551689236302635</v>
      </c>
      <c r="C3644" t="s">
        <v>40</v>
      </c>
      <c r="D3644">
        <v>4.7557</v>
      </c>
      <c r="E3644">
        <v>0.57583329999999999</v>
      </c>
      <c r="F3644" t="s">
        <v>42</v>
      </c>
      <c r="G3644">
        <v>-210.3741</v>
      </c>
      <c r="H3644" s="1">
        <v>-5.1986760000000001E-6</v>
      </c>
      <c r="I3644">
        <v>143.1739</v>
      </c>
      <c r="J3644">
        <v>-201.80950000000001</v>
      </c>
      <c r="K3644">
        <v>1.1025180000000001</v>
      </c>
      <c r="L3644">
        <v>144.51240000000001</v>
      </c>
      <c r="M3644">
        <v>-0.83161160000000001</v>
      </c>
      <c r="N3644">
        <v>-8.0608639999999992E-3</v>
      </c>
      <c r="O3644">
        <v>-0.55529910000000005</v>
      </c>
      <c r="P3644">
        <v>-0.8743225</v>
      </c>
      <c r="Q3644">
        <v>0.37270760000000003</v>
      </c>
      <c r="R3644">
        <v>-0.31088460000000001</v>
      </c>
      <c r="S3644">
        <v>-3.4176030000000002</v>
      </c>
      <c r="T3644">
        <v>-0.42915799999999998</v>
      </c>
      <c r="U3644">
        <v>-0.57235719999999901</v>
      </c>
      <c r="V3644">
        <v>0.2342099</v>
      </c>
      <c r="W3644">
        <v>0.37553619999999999</v>
      </c>
      <c r="X3644">
        <v>0.89672640000000003</v>
      </c>
      <c r="Y3644">
        <v>0.4038889</v>
      </c>
      <c r="Z3644">
        <v>8.7081339999999993E-2</v>
      </c>
      <c r="AA3644">
        <v>0.91065390000000002</v>
      </c>
      <c r="AB3644">
        <v>24</v>
      </c>
      <c r="AC3644">
        <v>-8.5645999999999791</v>
      </c>
      <c r="AD3644">
        <v>-1.102523198676</v>
      </c>
      <c r="AE3644">
        <v>-1.33850000000001</v>
      </c>
      <c r="AF3644">
        <v>3.5849298463814598</v>
      </c>
      <c r="AG3644">
        <v>-1.102523198676</v>
      </c>
      <c r="AH3644">
        <v>7.7407274513992297</v>
      </c>
      <c r="AI3644">
        <v>97.364302504238907</v>
      </c>
      <c r="AJ3644">
        <v>65.149932808562994</v>
      </c>
      <c r="AK3644">
        <v>8.6015196845639394</v>
      </c>
      <c r="AL3644">
        <v>67.942542291145003</v>
      </c>
      <c r="AM3644">
        <v>75.362300585234905</v>
      </c>
      <c r="AN3644">
        <v>0.99999997561270404</v>
      </c>
    </row>
    <row r="3645" spans="1:40" x14ac:dyDescent="0.25">
      <c r="A3645" t="str">
        <f>"20190304164716334"</f>
        <v>20190304164716334</v>
      </c>
      <c r="B3645" t="str">
        <f>"1551689236322155"</f>
        <v>1551689236322155</v>
      </c>
      <c r="C3645" t="s">
        <v>40</v>
      </c>
      <c r="D3645">
        <v>4.7464209999999998</v>
      </c>
      <c r="E3645">
        <v>0.57536480000000001</v>
      </c>
      <c r="F3645" t="s">
        <v>51</v>
      </c>
      <c r="G3645">
        <v>-208.7944</v>
      </c>
      <c r="H3645" s="1">
        <v>-6.8392550000000001E-6</v>
      </c>
      <c r="I3645">
        <v>143.1636</v>
      </c>
      <c r="J3645">
        <v>-202.02209999999999</v>
      </c>
      <c r="K3645">
        <v>1.1024579999999999</v>
      </c>
      <c r="L3645">
        <v>144.38570000000001</v>
      </c>
      <c r="M3645">
        <v>-0.8381982</v>
      </c>
      <c r="N3645">
        <v>-7.9992919999999999E-3</v>
      </c>
      <c r="O3645">
        <v>-0.54530719999999899</v>
      </c>
      <c r="P3645">
        <v>-0.87754259999999995</v>
      </c>
      <c r="Q3645">
        <v>0.37379420000000002</v>
      </c>
      <c r="R3645">
        <v>-0.30032809999999999</v>
      </c>
      <c r="S3645">
        <v>-3.4265289999999999</v>
      </c>
      <c r="T3645">
        <v>-0.54085229999999995</v>
      </c>
      <c r="U3645">
        <v>-0.66166689999999995</v>
      </c>
      <c r="V3645">
        <v>0.2341018</v>
      </c>
      <c r="W3645">
        <v>0.37653560000000003</v>
      </c>
      <c r="X3645">
        <v>0.89633549999999995</v>
      </c>
      <c r="Y3645">
        <v>0.36689240000000001</v>
      </c>
      <c r="Z3645">
        <v>0.1054277</v>
      </c>
      <c r="AA3645">
        <v>0.92427000000000004</v>
      </c>
      <c r="AB3645">
        <v>24</v>
      </c>
      <c r="AC3645">
        <v>-6.7723000000000004</v>
      </c>
      <c r="AD3645">
        <v>-1.1024648392549901</v>
      </c>
      <c r="AE3645">
        <v>-1.22210000000001</v>
      </c>
      <c r="AF3645">
        <v>2.6019287977771302</v>
      </c>
      <c r="AG3645">
        <v>-1.1024648392549901</v>
      </c>
      <c r="AH3645">
        <v>6.1844291380504197</v>
      </c>
      <c r="AI3645">
        <v>99.331137816228093</v>
      </c>
      <c r="AJ3645">
        <v>67.182412028502199</v>
      </c>
      <c r="AK3645">
        <v>6.7994577691211999</v>
      </c>
      <c r="AL3645">
        <v>67.8807463255404</v>
      </c>
      <c r="AM3645">
        <v>75.362659834633106</v>
      </c>
      <c r="AN3645">
        <v>1.00000001969542</v>
      </c>
    </row>
    <row r="3646" spans="1:40" x14ac:dyDescent="0.25">
      <c r="A3646" t="str">
        <f>"20190304164716357"</f>
        <v>20190304164716357</v>
      </c>
      <c r="B3646" t="str">
        <f>"1551689236352412"</f>
        <v>1551689236352412</v>
      </c>
      <c r="C3646" t="s">
        <v>40</v>
      </c>
      <c r="D3646">
        <v>4.6238149999999996</v>
      </c>
      <c r="E3646">
        <v>0.57548920000000003</v>
      </c>
      <c r="F3646" t="s">
        <v>51</v>
      </c>
      <c r="G3646">
        <v>-209.06700000000001</v>
      </c>
      <c r="H3646" s="1">
        <v>-6.7027229999999998E-6</v>
      </c>
      <c r="I3646">
        <v>143.10409999999999</v>
      </c>
      <c r="J3646">
        <v>-202.2373</v>
      </c>
      <c r="K3646">
        <v>1.102395</v>
      </c>
      <c r="L3646">
        <v>144.26130000000001</v>
      </c>
      <c r="M3646">
        <v>-0.84468739999999998</v>
      </c>
      <c r="N3646">
        <v>-7.9431569999999993E-3</v>
      </c>
      <c r="O3646">
        <v>-0.53520129999999999</v>
      </c>
      <c r="P3646">
        <v>-0.88041990000000003</v>
      </c>
      <c r="Q3646">
        <v>0.3758455</v>
      </c>
      <c r="R3646">
        <v>-0.28913830000000001</v>
      </c>
      <c r="S3646">
        <v>-3.4337620000000002</v>
      </c>
      <c r="T3646">
        <v>-0.53735669999999902</v>
      </c>
      <c r="U3646">
        <v>-0.62466429999999995</v>
      </c>
      <c r="V3646">
        <v>0.23436650000000001</v>
      </c>
      <c r="W3646">
        <v>0.37849349999999998</v>
      </c>
      <c r="X3646">
        <v>0.89544120000000005</v>
      </c>
      <c r="Y3646">
        <v>0.36596119999999999</v>
      </c>
      <c r="Z3646">
        <v>0.1034161</v>
      </c>
      <c r="AA3646">
        <v>0.92486619999999997</v>
      </c>
      <c r="AB3646">
        <v>25</v>
      </c>
      <c r="AC3646">
        <v>-6.8296999999999999</v>
      </c>
      <c r="AD3646">
        <v>-1.102401702723</v>
      </c>
      <c r="AE3646">
        <v>-1.15720000000001</v>
      </c>
      <c r="AF3646">
        <v>2.6117287932226199</v>
      </c>
      <c r="AG3646">
        <v>-1.102401702723</v>
      </c>
      <c r="AH3646">
        <v>6.2306921102003097</v>
      </c>
      <c r="AI3646">
        <v>99.267579106037502</v>
      </c>
      <c r="AJ3646">
        <v>67.257955902670105</v>
      </c>
      <c r="AK3646">
        <v>6.8452860404534599</v>
      </c>
      <c r="AL3646">
        <v>67.759601405849494</v>
      </c>
      <c r="AM3646">
        <v>75.332817458682598</v>
      </c>
      <c r="AN3646">
        <v>0.99999996426096904</v>
      </c>
    </row>
    <row r="3647" spans="1:40" x14ac:dyDescent="0.25">
      <c r="A3647" t="str">
        <f>"20190304164716379"</f>
        <v>20190304164716379</v>
      </c>
      <c r="B3647" t="str">
        <f>"1551689236372908"</f>
        <v>1551689236372908</v>
      </c>
      <c r="C3647" t="s">
        <v>40</v>
      </c>
      <c r="D3647">
        <v>4.6237599999999999</v>
      </c>
      <c r="E3647">
        <v>0.57522589999999996</v>
      </c>
      <c r="F3647" t="s">
        <v>51</v>
      </c>
      <c r="G3647">
        <v>-209.52029999999999</v>
      </c>
      <c r="H3647" s="1">
        <v>-6.483621E-6</v>
      </c>
      <c r="I3647">
        <v>143.03579999999999</v>
      </c>
      <c r="J3647">
        <v>-202.4631</v>
      </c>
      <c r="K3647">
        <v>1.1023289999999999</v>
      </c>
      <c r="L3647">
        <v>144.1343</v>
      </c>
      <c r="M3647">
        <v>-0.85131579999999996</v>
      </c>
      <c r="N3647">
        <v>-7.8876629999999996E-3</v>
      </c>
      <c r="O3647">
        <v>-0.52459419999999901</v>
      </c>
      <c r="P3647">
        <v>-0.88350300000000004</v>
      </c>
      <c r="Q3647">
        <v>0.37765870000000001</v>
      </c>
      <c r="R3647">
        <v>-0.27712199999999998</v>
      </c>
      <c r="S3647">
        <v>-3.439667</v>
      </c>
      <c r="T3647">
        <v>-0.52064540000000004</v>
      </c>
      <c r="U3647">
        <v>-0.57878109999999905</v>
      </c>
      <c r="V3647">
        <v>0.23504729999999999</v>
      </c>
      <c r="W3647">
        <v>0.38020399999999999</v>
      </c>
      <c r="X3647">
        <v>0.89453769999999999</v>
      </c>
      <c r="Y3647">
        <v>0.3672533</v>
      </c>
      <c r="Z3647">
        <v>9.9037200000000006E-2</v>
      </c>
      <c r="AA3647">
        <v>0.92483329999999997</v>
      </c>
      <c r="AB3647">
        <v>25</v>
      </c>
      <c r="AC3647">
        <v>-7.0571999999999901</v>
      </c>
      <c r="AD3647">
        <v>-1.102335483621</v>
      </c>
      <c r="AE3647">
        <v>-1.0985</v>
      </c>
      <c r="AF3647">
        <v>2.70270016355073</v>
      </c>
      <c r="AG3647">
        <v>-1.102335483621</v>
      </c>
      <c r="AH3647">
        <v>6.4311787024161697</v>
      </c>
      <c r="AI3647">
        <v>98.979525998349999</v>
      </c>
      <c r="AJ3647">
        <v>67.205439611605996</v>
      </c>
      <c r="AK3647">
        <v>7.0625626506897898</v>
      </c>
      <c r="AL3647">
        <v>67.653680679115794</v>
      </c>
      <c r="AM3647">
        <v>75.277845846143407</v>
      </c>
      <c r="AN3647">
        <v>1.00000000578729</v>
      </c>
    </row>
    <row r="3648" spans="1:40" x14ac:dyDescent="0.25">
      <c r="A3648" t="str">
        <f>"20190304164716402"</f>
        <v>20190304164716402</v>
      </c>
      <c r="B3648" t="str">
        <f>"1551689236392428"</f>
        <v>1551689236392428</v>
      </c>
      <c r="C3648" t="s">
        <v>40</v>
      </c>
      <c r="D3648">
        <v>4.6234140000000004</v>
      </c>
      <c r="E3648">
        <v>0.57482610000000001</v>
      </c>
      <c r="F3648" t="s">
        <v>51</v>
      </c>
      <c r="G3648">
        <v>-209.8663</v>
      </c>
      <c r="H3648" s="1">
        <v>-6.3174589999999996E-6</v>
      </c>
      <c r="I3648">
        <v>142.98750000000001</v>
      </c>
      <c r="J3648">
        <v>-202.69630000000001</v>
      </c>
      <c r="K3648">
        <v>1.102257</v>
      </c>
      <c r="L3648">
        <v>144.0069</v>
      </c>
      <c r="M3648">
        <v>-0.8579698</v>
      </c>
      <c r="N3648">
        <v>-7.8343879999999994E-3</v>
      </c>
      <c r="O3648">
        <v>-0.51364030000000005</v>
      </c>
      <c r="P3648">
        <v>-0.88711709999999999</v>
      </c>
      <c r="Q3648">
        <v>0.37766280000000002</v>
      </c>
      <c r="R3648">
        <v>-0.26531900000000003</v>
      </c>
      <c r="S3648">
        <v>-3.447479</v>
      </c>
      <c r="T3648">
        <v>-0.51332999999999995</v>
      </c>
      <c r="U3648">
        <v>-0.53404240000000003</v>
      </c>
      <c r="V3648">
        <v>0.23556340000000001</v>
      </c>
      <c r="W3648">
        <v>0.3801158</v>
      </c>
      <c r="X3648">
        <v>0.8944394</v>
      </c>
      <c r="Y3648">
        <v>0.36773939999999999</v>
      </c>
      <c r="Z3648">
        <v>9.6344630000000001E-2</v>
      </c>
      <c r="AA3648">
        <v>0.92492459999999999</v>
      </c>
      <c r="AB3648">
        <v>25</v>
      </c>
      <c r="AC3648">
        <v>-7.1699999999999804</v>
      </c>
      <c r="AD3648">
        <v>-1.102263317459</v>
      </c>
      <c r="AE3648">
        <v>-1.0193999999999901</v>
      </c>
      <c r="AF3648">
        <v>2.7446907864155801</v>
      </c>
      <c r="AG3648">
        <v>-1.102263317459</v>
      </c>
      <c r="AH3648">
        <v>6.5243147157314096</v>
      </c>
      <c r="AI3648">
        <v>98.851456044587593</v>
      </c>
      <c r="AJ3648">
        <v>67.184169449165097</v>
      </c>
      <c r="AK3648">
        <v>7.1634485022201204</v>
      </c>
      <c r="AL3648">
        <v>67.659143971151707</v>
      </c>
      <c r="AM3648">
        <v>75.245377905202602</v>
      </c>
      <c r="AN3648">
        <v>0.99999998855077998</v>
      </c>
    </row>
    <row r="3649" spans="1:40" x14ac:dyDescent="0.25">
      <c r="A3649" t="str">
        <f>"20190304164716424"</f>
        <v>20190304164716424</v>
      </c>
      <c r="B3649" t="str">
        <f>"1551689236412923"</f>
        <v>1551689236412923</v>
      </c>
      <c r="C3649" t="s">
        <v>40</v>
      </c>
      <c r="D3649">
        <v>4.4817049999999998</v>
      </c>
      <c r="E3649">
        <v>0.57936669999999901</v>
      </c>
      <c r="F3649" t="s">
        <v>42</v>
      </c>
      <c r="G3649">
        <v>-210.1061</v>
      </c>
      <c r="H3649" s="1">
        <v>-5.2622360000000003E-6</v>
      </c>
      <c r="I3649">
        <v>142.952</v>
      </c>
      <c r="J3649">
        <v>-202.9212</v>
      </c>
      <c r="K3649">
        <v>1.1021860000000001</v>
      </c>
      <c r="L3649">
        <v>143.88759999999999</v>
      </c>
      <c r="M3649">
        <v>-0.86420819999999998</v>
      </c>
      <c r="N3649">
        <v>-7.7870739999999997E-3</v>
      </c>
      <c r="O3649">
        <v>-0.50307449999999998</v>
      </c>
      <c r="P3649">
        <v>-0.89071029999999995</v>
      </c>
      <c r="Q3649">
        <v>0.37652049999999998</v>
      </c>
      <c r="R3649">
        <v>-0.25469180000000002</v>
      </c>
      <c r="S3649">
        <v>-3.4534150000000001</v>
      </c>
      <c r="T3649">
        <v>-0.51371769999999894</v>
      </c>
      <c r="U3649">
        <v>-0.49163820000000003</v>
      </c>
      <c r="V3649">
        <v>0.2355575</v>
      </c>
      <c r="W3649">
        <v>0.37890259999999998</v>
      </c>
      <c r="X3649">
        <v>0.89495559999999996</v>
      </c>
      <c r="Y3649">
        <v>0.36778050000000001</v>
      </c>
      <c r="Z3649">
        <v>9.5171989999999998E-2</v>
      </c>
      <c r="AA3649">
        <v>0.92502960000000001</v>
      </c>
      <c r="AB3649">
        <v>25</v>
      </c>
      <c r="AC3649">
        <v>-7.1848999999999901</v>
      </c>
      <c r="AD3649">
        <v>-1.1021912622359999</v>
      </c>
      <c r="AE3649">
        <v>-0.93559999999999299</v>
      </c>
      <c r="AF3649">
        <v>2.7426064050560601</v>
      </c>
      <c r="AG3649">
        <v>-1.1021912622359999</v>
      </c>
      <c r="AH3649">
        <v>6.5290428089691801</v>
      </c>
      <c r="AI3649">
        <v>98.846518808690007</v>
      </c>
      <c r="AJ3649">
        <v>67.214547630317298</v>
      </c>
      <c r="AK3649">
        <v>7.1669460353037504</v>
      </c>
      <c r="AL3649">
        <v>67.734276761315201</v>
      </c>
      <c r="AM3649">
        <v>75.253870473595597</v>
      </c>
      <c r="AN3649">
        <v>1.00000002103218</v>
      </c>
    </row>
    <row r="3650" spans="1:40" x14ac:dyDescent="0.25">
      <c r="A3650" t="str">
        <f>"20190304164716447"</f>
        <v>20190304164716447</v>
      </c>
      <c r="B3650" t="str">
        <f>"1551689236442203"</f>
        <v>1551689236442203</v>
      </c>
      <c r="C3650" t="s">
        <v>40</v>
      </c>
      <c r="D3650">
        <v>4.5163710000000004</v>
      </c>
      <c r="E3650">
        <v>0.57726060000000001</v>
      </c>
      <c r="F3650" t="s">
        <v>42</v>
      </c>
      <c r="G3650">
        <v>-212.51390000000001</v>
      </c>
      <c r="H3650" s="1">
        <v>-4.305887E-6</v>
      </c>
      <c r="I3650">
        <v>142.7731</v>
      </c>
      <c r="J3650">
        <v>-203.14859999999999</v>
      </c>
      <c r="K3650">
        <v>1.1021099999999999</v>
      </c>
      <c r="L3650">
        <v>143.77029999999999</v>
      </c>
      <c r="M3650">
        <v>-0.87034299999999998</v>
      </c>
      <c r="N3650">
        <v>-7.741431E-3</v>
      </c>
      <c r="O3650">
        <v>-0.49238539999999997</v>
      </c>
      <c r="P3650">
        <v>-0.8940013</v>
      </c>
      <c r="Q3650">
        <v>0.37464330000000001</v>
      </c>
      <c r="R3650">
        <v>-0.24577299999999999</v>
      </c>
      <c r="S3650">
        <v>-3.4206089999999998</v>
      </c>
      <c r="T3650">
        <v>-0.39302330000000002</v>
      </c>
      <c r="U3650">
        <v>-0.39738459999999998</v>
      </c>
      <c r="V3650">
        <v>0.23387369999999999</v>
      </c>
      <c r="W3650">
        <v>0.3769942</v>
      </c>
      <c r="X3650">
        <v>0.89620230000000001</v>
      </c>
      <c r="Y3650">
        <v>0.38354280000000002</v>
      </c>
      <c r="Z3650">
        <v>7.3294520000000002E-2</v>
      </c>
      <c r="AA3650">
        <v>0.92061000000000004</v>
      </c>
      <c r="AB3650">
        <v>25</v>
      </c>
      <c r="AC3650">
        <v>-9.3653000000000102</v>
      </c>
      <c r="AD3650">
        <v>-1.102114305887</v>
      </c>
      <c r="AE3650">
        <v>-0.99719999999999198</v>
      </c>
      <c r="AF3650">
        <v>3.6929730152320901</v>
      </c>
      <c r="AG3650">
        <v>-1.102114305887</v>
      </c>
      <c r="AH3650">
        <v>8.5255435742941295</v>
      </c>
      <c r="AI3650">
        <v>96.7649014148502</v>
      </c>
      <c r="AJ3650">
        <v>66.579394146027497</v>
      </c>
      <c r="AK3650">
        <v>9.3561529953106906</v>
      </c>
      <c r="AL3650">
        <v>67.852380817540407</v>
      </c>
      <c r="AM3650">
        <v>75.374229978331897</v>
      </c>
      <c r="AN3650">
        <v>1.0000000484553</v>
      </c>
    </row>
    <row r="3651" spans="1:40" x14ac:dyDescent="0.25">
      <c r="A3651" t="str">
        <f>"20190304164716468"</f>
        <v>20190304164716468</v>
      </c>
      <c r="B3651" t="str">
        <f>"1551689236462700"</f>
        <v>1551689236462700</v>
      </c>
      <c r="C3651" t="s">
        <v>40</v>
      </c>
      <c r="D3651">
        <v>4.4876430000000003</v>
      </c>
      <c r="E3651">
        <v>0.57618409999999998</v>
      </c>
      <c r="F3651" t="s">
        <v>42</v>
      </c>
      <c r="G3651">
        <v>-212.9606</v>
      </c>
      <c r="H3651" s="1">
        <v>-4.1189760000000001E-6</v>
      </c>
      <c r="I3651">
        <v>142.6866</v>
      </c>
      <c r="J3651">
        <v>-203.37</v>
      </c>
      <c r="K3651">
        <v>1.102033</v>
      </c>
      <c r="L3651">
        <v>143.65960000000001</v>
      </c>
      <c r="M3651">
        <v>-0.87614590000000003</v>
      </c>
      <c r="N3651">
        <v>-7.6979989999999996E-3</v>
      </c>
      <c r="O3651">
        <v>-0.48198469999999999</v>
      </c>
      <c r="P3651">
        <v>-0.89634509999999901</v>
      </c>
      <c r="Q3651">
        <v>0.37406529999999999</v>
      </c>
      <c r="R3651">
        <v>-0.23799329999999999</v>
      </c>
      <c r="S3651">
        <v>-3.4127200000000002</v>
      </c>
      <c r="T3651">
        <v>-0.383328</v>
      </c>
      <c r="U3651">
        <v>-0.37693789999999999</v>
      </c>
      <c r="V3651">
        <v>0.23113600000000001</v>
      </c>
      <c r="W3651">
        <v>0.37640800000000002</v>
      </c>
      <c r="X3651">
        <v>0.89715840000000002</v>
      </c>
      <c r="Y3651">
        <v>0.37806299999999998</v>
      </c>
      <c r="Z3651">
        <v>7.0408120000000005E-2</v>
      </c>
      <c r="AA3651">
        <v>0.92309859999999999</v>
      </c>
      <c r="AB3651">
        <v>25</v>
      </c>
      <c r="AC3651">
        <v>-9.5905999999999896</v>
      </c>
      <c r="AD3651">
        <v>-1.1020371189759901</v>
      </c>
      <c r="AE3651">
        <v>-0.97300000000001297</v>
      </c>
      <c r="AF3651">
        <v>3.7215063052686901</v>
      </c>
      <c r="AG3651">
        <v>-1.1020371189759901</v>
      </c>
      <c r="AH3651">
        <v>8.7575429036829302</v>
      </c>
      <c r="AI3651">
        <v>96.606296374054395</v>
      </c>
      <c r="AJ3651">
        <v>66.976998553154601</v>
      </c>
      <c r="AK3651">
        <v>9.5790736870327304</v>
      </c>
      <c r="AL3651">
        <v>67.888637725730604</v>
      </c>
      <c r="AM3651">
        <v>75.552985050917499</v>
      </c>
      <c r="AN3651">
        <v>1.00000001382528</v>
      </c>
    </row>
    <row r="3652" spans="1:40" x14ac:dyDescent="0.25">
      <c r="A3652" t="str">
        <f>"20190304164716491"</f>
        <v>20190304164716491</v>
      </c>
      <c r="B3652" t="str">
        <f>"1551689236482220"</f>
        <v>1551689236482220</v>
      </c>
      <c r="C3652" t="s">
        <v>40</v>
      </c>
      <c r="D3652">
        <v>4.5891349999999997</v>
      </c>
      <c r="E3652">
        <v>0.57463249999999999</v>
      </c>
      <c r="F3652" t="s">
        <v>42</v>
      </c>
      <c r="G3652">
        <v>-213.26679999999999</v>
      </c>
      <c r="H3652" s="1">
        <v>-3.9655969999999999E-6</v>
      </c>
      <c r="I3652">
        <v>142.63149999999999</v>
      </c>
      <c r="J3652">
        <v>-203.61349999999999</v>
      </c>
      <c r="K3652">
        <v>1.10197099999999</v>
      </c>
      <c r="L3652">
        <v>143.54130000000001</v>
      </c>
      <c r="M3652">
        <v>-0.88234519999999905</v>
      </c>
      <c r="N3652">
        <v>-7.6514449999999998E-3</v>
      </c>
      <c r="O3652">
        <v>-0.47054049999999997</v>
      </c>
      <c r="P3652">
        <v>-0.898482</v>
      </c>
      <c r="Q3652">
        <v>0.37488749999999998</v>
      </c>
      <c r="R3652">
        <v>-0.2284505</v>
      </c>
      <c r="S3652">
        <v>-3.411362</v>
      </c>
      <c r="T3652">
        <v>-0.37986530000000002</v>
      </c>
      <c r="U3652">
        <v>-0.35435489999999997</v>
      </c>
      <c r="V3652">
        <v>0.2289022</v>
      </c>
      <c r="W3652">
        <v>0.37720130000000002</v>
      </c>
      <c r="X3652">
        <v>0.89739789999999997</v>
      </c>
      <c r="Y3652">
        <v>0.37219089999999999</v>
      </c>
      <c r="Z3652">
        <v>6.8473590000000001E-2</v>
      </c>
      <c r="AA3652">
        <v>0.92562699999999998</v>
      </c>
      <c r="AB3652">
        <v>25</v>
      </c>
      <c r="AC3652">
        <v>-9.6532999999999998</v>
      </c>
      <c r="AD3652">
        <v>-1.1019749655969999</v>
      </c>
      <c r="AE3652">
        <v>-0.90980000000001804</v>
      </c>
      <c r="AF3652">
        <v>3.6919329406379</v>
      </c>
      <c r="AG3652">
        <v>-1.1019749655969999</v>
      </c>
      <c r="AH3652">
        <v>8.8318247839874005</v>
      </c>
      <c r="AI3652">
        <v>96.566960395015499</v>
      </c>
      <c r="AJ3652">
        <v>67.313801284600999</v>
      </c>
      <c r="AK3652">
        <v>9.6356549688136894</v>
      </c>
      <c r="AL3652">
        <v>67.839568216365095</v>
      </c>
      <c r="AM3652">
        <v>75.690507482773896</v>
      </c>
      <c r="AN3652">
        <v>1.0000000144054699</v>
      </c>
    </row>
    <row r="3653" spans="1:40" x14ac:dyDescent="0.25">
      <c r="A3653" t="str">
        <f>"20190304164716514"</f>
        <v>20190304164716514</v>
      </c>
      <c r="B3653" t="str">
        <f>"1551689236502715"</f>
        <v>1551689236502715</v>
      </c>
      <c r="C3653" t="s">
        <v>40</v>
      </c>
      <c r="D3653">
        <v>4.4536499999999997</v>
      </c>
      <c r="E3653">
        <v>0.57411809999999996</v>
      </c>
      <c r="F3653" t="s">
        <v>42</v>
      </c>
      <c r="G3653">
        <v>-213.52610000000001</v>
      </c>
      <c r="H3653" s="1">
        <v>-3.8293309999999997E-6</v>
      </c>
      <c r="I3653">
        <v>142.58009999999999</v>
      </c>
      <c r="J3653">
        <v>-203.84960000000001</v>
      </c>
      <c r="K3653">
        <v>1.1019019999999999</v>
      </c>
      <c r="L3653">
        <v>143.43029999999999</v>
      </c>
      <c r="M3653">
        <v>-0.88817289999999904</v>
      </c>
      <c r="N3653">
        <v>-7.6065899999999999E-3</v>
      </c>
      <c r="O3653">
        <v>-0.45944659999999898</v>
      </c>
      <c r="P3653">
        <v>-0.90052299999999996</v>
      </c>
      <c r="Q3653">
        <v>0.37590659999999998</v>
      </c>
      <c r="R3653">
        <v>-0.218524</v>
      </c>
      <c r="S3653">
        <v>-3.4131469999999999</v>
      </c>
      <c r="T3653">
        <v>-0.37943700000000002</v>
      </c>
      <c r="U3653">
        <v>-0.33096310000000001</v>
      </c>
      <c r="V3653">
        <v>0.2274333</v>
      </c>
      <c r="W3653">
        <v>0.3781775</v>
      </c>
      <c r="X3653">
        <v>0.89736059999999995</v>
      </c>
      <c r="Y3653">
        <v>0.36699209999999999</v>
      </c>
      <c r="Z3653">
        <v>6.710961E-2</v>
      </c>
      <c r="AA3653">
        <v>0.92780010000000002</v>
      </c>
      <c r="AB3653">
        <v>25</v>
      </c>
      <c r="AC3653">
        <v>-9.6765000000000008</v>
      </c>
      <c r="AD3653">
        <v>-1.101905829331</v>
      </c>
      <c r="AE3653">
        <v>-0.85020000000000095</v>
      </c>
      <c r="AF3653">
        <v>3.6439267333423899</v>
      </c>
      <c r="AG3653">
        <v>-1.101905829331</v>
      </c>
      <c r="AH3653">
        <v>8.8711317690061495</v>
      </c>
      <c r="AI3653">
        <v>96.554378866787701</v>
      </c>
      <c r="AJ3653">
        <v>67.668988372756402</v>
      </c>
      <c r="AK3653">
        <v>9.6534645261559398</v>
      </c>
      <c r="AL3653">
        <v>67.779163618991305</v>
      </c>
      <c r="AM3653">
        <v>75.778029949814695</v>
      </c>
      <c r="AN3653">
        <v>1.00000008694374</v>
      </c>
    </row>
    <row r="3654" spans="1:40" x14ac:dyDescent="0.25">
      <c r="A3654" t="str">
        <f>"20190304164716534"</f>
        <v>20190304164716534</v>
      </c>
      <c r="B3654" t="str">
        <f>"1551689236522235"</f>
        <v>1551689236522235</v>
      </c>
      <c r="C3654" t="s">
        <v>40</v>
      </c>
      <c r="D3654">
        <v>4.352519</v>
      </c>
      <c r="E3654">
        <v>0.57467999999999997</v>
      </c>
      <c r="F3654" t="s">
        <v>42</v>
      </c>
      <c r="G3654">
        <v>-213.78460000000001</v>
      </c>
      <c r="H3654" s="1">
        <v>-3.7027250000000002E-6</v>
      </c>
      <c r="I3654">
        <v>142.56360000000001</v>
      </c>
      <c r="J3654">
        <v>-204.06450000000001</v>
      </c>
      <c r="K3654">
        <v>1.1018349999999999</v>
      </c>
      <c r="L3654">
        <v>143.33250000000001</v>
      </c>
      <c r="M3654">
        <v>-0.89332259999999997</v>
      </c>
      <c r="N3654">
        <v>-7.5670769999999898E-3</v>
      </c>
      <c r="O3654">
        <v>-0.44935259999999999</v>
      </c>
      <c r="P3654">
        <v>-0.90257549999999998</v>
      </c>
      <c r="Q3654">
        <v>0.37598039999999999</v>
      </c>
      <c r="R3654">
        <v>-0.2097532</v>
      </c>
      <c r="S3654">
        <v>-3.4172669999999998</v>
      </c>
      <c r="T3654">
        <v>-0.37901119999999999</v>
      </c>
      <c r="U3654">
        <v>-0.29809570000000002</v>
      </c>
      <c r="V3654">
        <v>0.22602710000000001</v>
      </c>
      <c r="W3654">
        <v>0.37821719999999998</v>
      </c>
      <c r="X3654">
        <v>0.89769900000000002</v>
      </c>
      <c r="Y3654">
        <v>0.36548950000000002</v>
      </c>
      <c r="Z3654">
        <v>6.6015030000000002E-2</v>
      </c>
      <c r="AA3654">
        <v>0.92847159999999995</v>
      </c>
      <c r="AB3654">
        <v>25</v>
      </c>
      <c r="AC3654">
        <v>-9.7201000000000004</v>
      </c>
      <c r="AD3654">
        <v>-1.1018387027249901</v>
      </c>
      <c r="AE3654">
        <v>-0.76890000000000203</v>
      </c>
      <c r="AF3654">
        <v>3.6345684614231999</v>
      </c>
      <c r="AG3654">
        <v>-1.1018387027249901</v>
      </c>
      <c r="AH3654">
        <v>8.9151049594921705</v>
      </c>
      <c r="AI3654">
        <v>96.528909721837493</v>
      </c>
      <c r="AJ3654">
        <v>67.819938145018497</v>
      </c>
      <c r="AK3654">
        <v>9.6903680459700201</v>
      </c>
      <c r="AL3654">
        <v>67.776704377339897</v>
      </c>
      <c r="AM3654">
        <v>75.867542687625502</v>
      </c>
      <c r="AN3654">
        <v>0.99999999745562496</v>
      </c>
    </row>
    <row r="3655" spans="1:40" x14ac:dyDescent="0.25">
      <c r="A3655" t="str">
        <f>"20190304164716558"</f>
        <v>20190304164716558</v>
      </c>
      <c r="B3655" t="str">
        <f>"1551689236552492"</f>
        <v>1551689236552492</v>
      </c>
      <c r="C3655" t="s">
        <v>40</v>
      </c>
      <c r="D3655">
        <v>4.6649880000000001</v>
      </c>
      <c r="E3655">
        <v>0.57399460000000002</v>
      </c>
      <c r="F3655" t="s">
        <v>42</v>
      </c>
      <c r="G3655">
        <v>-214.3819</v>
      </c>
      <c r="H3655" s="1">
        <v>-3.4165580000000001E-6</v>
      </c>
      <c r="I3655">
        <v>142.54910000000001</v>
      </c>
      <c r="J3655">
        <v>-204.3175</v>
      </c>
      <c r="K3655">
        <v>1.10175499999999</v>
      </c>
      <c r="L3655">
        <v>143.22120000000001</v>
      </c>
      <c r="M3655">
        <v>-0.89920100000000003</v>
      </c>
      <c r="N3655">
        <v>-7.5206429999999996E-3</v>
      </c>
      <c r="O3655">
        <v>-0.43747130000000001</v>
      </c>
      <c r="P3655">
        <v>-0.90485839999999995</v>
      </c>
      <c r="Q3655">
        <v>0.3759207</v>
      </c>
      <c r="R3655">
        <v>-0.1997882</v>
      </c>
      <c r="S3655">
        <v>-3.4154969999999998</v>
      </c>
      <c r="T3655">
        <v>-0.36475590000000002</v>
      </c>
      <c r="U3655">
        <v>-0.25932309999999997</v>
      </c>
      <c r="V3655">
        <v>0.22408729999999999</v>
      </c>
      <c r="W3655">
        <v>0.3781253</v>
      </c>
      <c r="X3655">
        <v>0.89822389999999996</v>
      </c>
      <c r="Y3655">
        <v>0.36398409999999998</v>
      </c>
      <c r="Z3655">
        <v>6.244338E-2</v>
      </c>
      <c r="AA3655">
        <v>0.92930970000000002</v>
      </c>
      <c r="AB3655">
        <v>26</v>
      </c>
      <c r="AC3655">
        <v>-10.064399999999999</v>
      </c>
      <c r="AD3655">
        <v>-1.1017584165580001</v>
      </c>
      <c r="AE3655">
        <v>-0.67210000000000003</v>
      </c>
      <c r="AF3655">
        <v>3.75385436179254</v>
      </c>
      <c r="AG3655">
        <v>-1.1017584165580001</v>
      </c>
      <c r="AH3655">
        <v>9.2340384385790397</v>
      </c>
      <c r="AI3655">
        <v>96.307341457404803</v>
      </c>
      <c r="AJ3655">
        <v>67.877098484388796</v>
      </c>
      <c r="AK3655">
        <v>10.0285971134132</v>
      </c>
      <c r="AL3655">
        <v>67.782392736582807</v>
      </c>
      <c r="AM3655">
        <v>75.991897184528696</v>
      </c>
      <c r="AN3655">
        <v>1.00000001752629</v>
      </c>
    </row>
    <row r="3656" spans="1:40" x14ac:dyDescent="0.25">
      <c r="A3656" t="str">
        <f>"20190304164716579"</f>
        <v>20190304164716579</v>
      </c>
      <c r="B3656" t="str">
        <f>"1551689236572987"</f>
        <v>1551689236572987</v>
      </c>
      <c r="C3656" t="s">
        <v>40</v>
      </c>
      <c r="D3656">
        <v>4.4790150000000004</v>
      </c>
      <c r="E3656">
        <v>0.57352380000000003</v>
      </c>
      <c r="F3656" t="s">
        <v>42</v>
      </c>
      <c r="G3656">
        <v>-214.52940000000001</v>
      </c>
      <c r="H3656" s="1">
        <v>-3.3454510000000001E-6</v>
      </c>
      <c r="I3656">
        <v>142.54399999999899</v>
      </c>
      <c r="J3656">
        <v>-204.5547</v>
      </c>
      <c r="K3656">
        <v>1.1016870000000001</v>
      </c>
      <c r="L3656">
        <v>143.12020000000001</v>
      </c>
      <c r="M3656">
        <v>-0.90453459999999997</v>
      </c>
      <c r="N3656">
        <v>-7.4778619999999896E-3</v>
      </c>
      <c r="O3656">
        <v>-0.42633500000000002</v>
      </c>
      <c r="P3656">
        <v>-0.90656049999999999</v>
      </c>
      <c r="Q3656">
        <v>0.37618659999999998</v>
      </c>
      <c r="R3656">
        <v>-0.19139500000000001</v>
      </c>
      <c r="S3656">
        <v>-3.418625</v>
      </c>
      <c r="T3656">
        <v>-0.36883529999999998</v>
      </c>
      <c r="U3656">
        <v>-0.22668460000000001</v>
      </c>
      <c r="V3656">
        <v>0.2213233</v>
      </c>
      <c r="W3656">
        <v>0.37838359999999999</v>
      </c>
      <c r="X3656">
        <v>0.8988003</v>
      </c>
      <c r="Y3656">
        <v>0.36135859999999997</v>
      </c>
      <c r="Z3656">
        <v>6.2009300000000003E-2</v>
      </c>
      <c r="AA3656">
        <v>0.93036269999999999</v>
      </c>
      <c r="AB3656">
        <v>26</v>
      </c>
      <c r="AC3656">
        <v>-9.9747000000000092</v>
      </c>
      <c r="AD3656">
        <v>-1.1016903454510001</v>
      </c>
      <c r="AE3656">
        <v>-0.57620000000002802</v>
      </c>
      <c r="AF3656">
        <v>3.6866512849006501</v>
      </c>
      <c r="AG3656">
        <v>-1.1016903454510001</v>
      </c>
      <c r="AH3656">
        <v>9.1570393156903602</v>
      </c>
      <c r="AI3656">
        <v>96.368158712456193</v>
      </c>
      <c r="AJ3656">
        <v>68.070137430385302</v>
      </c>
      <c r="AK3656">
        <v>9.9325972606775199</v>
      </c>
      <c r="AL3656">
        <v>67.766406530200697</v>
      </c>
      <c r="AM3656">
        <v>76.166531751353901</v>
      </c>
      <c r="AN3656">
        <v>1.00000006557596</v>
      </c>
    </row>
    <row r="3657" spans="1:40" x14ac:dyDescent="0.25">
      <c r="A3657" t="str">
        <f>"20190304164716704"</f>
        <v>20190304164716704</v>
      </c>
      <c r="B3657" t="str">
        <f>"1551689236692060"</f>
        <v>1551689236692060</v>
      </c>
      <c r="C3657" t="s">
        <v>40</v>
      </c>
      <c r="D3657">
        <v>4.287636</v>
      </c>
      <c r="E3657">
        <v>0.54541779999999995</v>
      </c>
      <c r="F3657" t="s">
        <v>42</v>
      </c>
      <c r="G3657">
        <v>-214.5566</v>
      </c>
      <c r="H3657" s="1">
        <v>-3.3317089999999998E-6</v>
      </c>
      <c r="I3657">
        <v>142.54079999999999</v>
      </c>
      <c r="J3657">
        <v>-205.9349</v>
      </c>
      <c r="K3657">
        <v>1.1013310000000001</v>
      </c>
      <c r="L3657">
        <v>142.59809999999999</v>
      </c>
      <c r="M3657">
        <v>-0.93230119999999905</v>
      </c>
      <c r="N3657">
        <v>-7.2828869999999896E-3</v>
      </c>
      <c r="O3657">
        <v>-0.36160999999999999</v>
      </c>
      <c r="P3657">
        <v>-0.91009649999999997</v>
      </c>
      <c r="Q3657">
        <v>0.3846561</v>
      </c>
      <c r="R3657">
        <v>-0.15415779999999901</v>
      </c>
      <c r="S3657">
        <v>-3.4238279999999999</v>
      </c>
      <c r="T3657">
        <v>-0.3771274</v>
      </c>
      <c r="U3657">
        <v>-0.19836429999999999</v>
      </c>
      <c r="V3657">
        <v>0.1938366</v>
      </c>
      <c r="W3657">
        <v>0.38711269999999998</v>
      </c>
      <c r="X3657">
        <v>0.90142730000000004</v>
      </c>
      <c r="Y3657">
        <v>0.30333900000000003</v>
      </c>
      <c r="Z3657">
        <v>5.3951930000000002E-2</v>
      </c>
      <c r="AA3657">
        <v>0.95135409999999998</v>
      </c>
      <c r="AB3657">
        <v>26</v>
      </c>
      <c r="AC3657">
        <v>-8.6217000000000006</v>
      </c>
      <c r="AD3657">
        <v>-1.1013343317090001</v>
      </c>
      <c r="AE3657">
        <v>-5.7299999999997901E-2</v>
      </c>
      <c r="AF3657">
        <v>3.0151552938489101</v>
      </c>
      <c r="AG3657">
        <v>-1.1013343317090001</v>
      </c>
      <c r="AH3657">
        <v>7.9295690794852502</v>
      </c>
      <c r="AI3657">
        <v>97.396840003137598</v>
      </c>
      <c r="AJ3657">
        <v>69.181093381242405</v>
      </c>
      <c r="AK3657">
        <v>8.5546574766354393</v>
      </c>
      <c r="AL3657">
        <v>67.225038529012195</v>
      </c>
      <c r="AM3657">
        <v>77.864313628269599</v>
      </c>
      <c r="AN3657">
        <v>1.0000000235930699</v>
      </c>
    </row>
    <row r="3658" spans="1:40" x14ac:dyDescent="0.25">
      <c r="A3658" t="str">
        <f>"20190304164716727"</f>
        <v>20190304164716727</v>
      </c>
      <c r="B3658" t="str">
        <f>"1551689236722316"</f>
        <v>1551689236722316</v>
      </c>
      <c r="C3658" t="s">
        <v>40</v>
      </c>
      <c r="D3658">
        <v>4.2931280000000003</v>
      </c>
      <c r="E3658">
        <v>0.55820499999999995</v>
      </c>
      <c r="F3658" t="s">
        <v>41</v>
      </c>
      <c r="G3658">
        <v>-206.7604</v>
      </c>
      <c r="H3658">
        <v>0.90423759999999997</v>
      </c>
      <c r="I3658">
        <v>142.52090000000001</v>
      </c>
      <c r="J3658">
        <v>-206.19489999999999</v>
      </c>
      <c r="K3658">
        <v>1.1012679999999999</v>
      </c>
      <c r="L3658">
        <v>142.51169999999999</v>
      </c>
      <c r="M3658">
        <v>-0.93693329999999997</v>
      </c>
      <c r="N3658">
        <v>-7.2629679999999999E-3</v>
      </c>
      <c r="O3658">
        <v>-0.34943299999999999</v>
      </c>
      <c r="P3658">
        <v>-0.90980680000000003</v>
      </c>
      <c r="Q3658">
        <v>0.38800289999999998</v>
      </c>
      <c r="R3658">
        <v>-0.14732770000000001</v>
      </c>
      <c r="S3658">
        <v>-3.602722</v>
      </c>
      <c r="T3658">
        <v>-0.85981419999999997</v>
      </c>
      <c r="U3658">
        <v>-0.33676149999999999</v>
      </c>
      <c r="V3658">
        <v>0.188474</v>
      </c>
      <c r="W3658">
        <v>0.39052829999999999</v>
      </c>
      <c r="X3658">
        <v>0.90109110000000003</v>
      </c>
      <c r="Y3658">
        <v>0.2450031</v>
      </c>
      <c r="Z3658">
        <v>0.1075137</v>
      </c>
      <c r="AA3658">
        <v>0.96354260000000003</v>
      </c>
      <c r="AB3658">
        <v>26</v>
      </c>
      <c r="AC3658">
        <v>-0.56550000000001399</v>
      </c>
      <c r="AD3658">
        <v>-0.19703039999999999</v>
      </c>
      <c r="AE3658">
        <v>9.2000000000211895E-3</v>
      </c>
      <c r="AF3658">
        <v>0.183909730718924</v>
      </c>
      <c r="AG3658">
        <v>-0.19703039999999999</v>
      </c>
      <c r="AH3658">
        <v>0.46963814303691898</v>
      </c>
      <c r="AI3658">
        <v>111.338171823137</v>
      </c>
      <c r="AJ3658">
        <v>68.614748823224005</v>
      </c>
      <c r="AK3658">
        <v>0.54148292029613698</v>
      </c>
      <c r="AL3658">
        <v>67.0126239018619</v>
      </c>
      <c r="AM3658">
        <v>78.186215521752501</v>
      </c>
      <c r="AN3658">
        <v>0.99999998613804897</v>
      </c>
    </row>
    <row r="3659" spans="1:40" x14ac:dyDescent="0.25">
      <c r="A3659" t="str">
        <f>"20190304164716747"</f>
        <v>20190304164716747</v>
      </c>
      <c r="B3659" t="str">
        <f>"1551689236742811"</f>
        <v>1551689236742811</v>
      </c>
      <c r="C3659" t="s">
        <v>40</v>
      </c>
      <c r="D3659">
        <v>4.2247469999999998</v>
      </c>
      <c r="E3659">
        <v>0.55610899999999996</v>
      </c>
      <c r="F3659" t="s">
        <v>42</v>
      </c>
      <c r="G3659">
        <v>-218.6798</v>
      </c>
      <c r="H3659" s="1">
        <v>-1.230993E-6</v>
      </c>
      <c r="I3659">
        <v>141.9708</v>
      </c>
      <c r="J3659">
        <v>-206.4418</v>
      </c>
      <c r="K3659">
        <v>1.101208</v>
      </c>
      <c r="L3659">
        <v>142.4331</v>
      </c>
      <c r="M3659">
        <v>-0.9411619</v>
      </c>
      <c r="N3659">
        <v>-7.2481050000000003E-3</v>
      </c>
      <c r="O3659">
        <v>-0.33787850000000003</v>
      </c>
      <c r="P3659">
        <v>-0.90978049999999999</v>
      </c>
      <c r="Q3659">
        <v>0.39060790000000001</v>
      </c>
      <c r="R3659">
        <v>-0.14044599999999999</v>
      </c>
      <c r="S3659">
        <v>-3.4015200000000001</v>
      </c>
      <c r="T3659">
        <v>-0.30004049999999999</v>
      </c>
      <c r="U3659">
        <v>-0.14735409999999999</v>
      </c>
      <c r="V3659">
        <v>0.18392210000000001</v>
      </c>
      <c r="W3659">
        <v>0.3931925</v>
      </c>
      <c r="X3659">
        <v>0.90087309999999998</v>
      </c>
      <c r="Y3659">
        <v>0.29454920000000001</v>
      </c>
      <c r="Z3659">
        <v>4.0771349999999998E-2</v>
      </c>
      <c r="AA3659">
        <v>0.95476620000000001</v>
      </c>
      <c r="AB3659">
        <v>26</v>
      </c>
      <c r="AC3659">
        <v>-12.238</v>
      </c>
      <c r="AD3659">
        <v>-1.1012092309929999</v>
      </c>
      <c r="AE3659">
        <v>-0.46229999999999899</v>
      </c>
      <c r="AF3659">
        <v>3.67027933322787</v>
      </c>
      <c r="AG3659">
        <v>-1.1012092309929999</v>
      </c>
      <c r="AH3659">
        <v>11.5808113647968</v>
      </c>
      <c r="AI3659">
        <v>95.179459233319903</v>
      </c>
      <c r="AJ3659">
        <v>72.415151806551805</v>
      </c>
      <c r="AK3659">
        <v>12.1983115233769</v>
      </c>
      <c r="AL3659">
        <v>66.846707782099003</v>
      </c>
      <c r="AM3659">
        <v>78.4610781135151</v>
      </c>
      <c r="AN3659">
        <v>1.0000000116141301</v>
      </c>
    </row>
    <row r="3660" spans="1:40" x14ac:dyDescent="0.25">
      <c r="A3660" t="str">
        <f>"20190304164716770"</f>
        <v>20190304164716770</v>
      </c>
      <c r="B3660" t="str">
        <f>"1551689236762332"</f>
        <v>1551689236762332</v>
      </c>
      <c r="C3660" t="s">
        <v>40</v>
      </c>
      <c r="D3660">
        <v>4.2887820000000003</v>
      </c>
      <c r="E3660">
        <v>0.55562129999999998</v>
      </c>
      <c r="F3660" t="s">
        <v>42</v>
      </c>
      <c r="G3660">
        <v>-219.83359999999999</v>
      </c>
      <c r="H3660" s="1">
        <v>-6.6287650000000003E-7</v>
      </c>
      <c r="I3660">
        <v>141.88550000000001</v>
      </c>
      <c r="J3660">
        <v>-206.70660000000001</v>
      </c>
      <c r="K3660">
        <v>1.101146</v>
      </c>
      <c r="L3660">
        <v>142.35230000000001</v>
      </c>
      <c r="M3660">
        <v>-0.94551499999999999</v>
      </c>
      <c r="N3660">
        <v>-7.2354680000000001E-3</v>
      </c>
      <c r="O3660">
        <v>-0.32549830000000002</v>
      </c>
      <c r="P3660">
        <v>-0.91038549999999996</v>
      </c>
      <c r="Q3660">
        <v>0.39168520000000001</v>
      </c>
      <c r="R3660">
        <v>-0.1333452</v>
      </c>
      <c r="S3660">
        <v>-3.39595</v>
      </c>
      <c r="T3660">
        <v>-0.279248</v>
      </c>
      <c r="U3660">
        <v>-0.13885500000000001</v>
      </c>
      <c r="V3660">
        <v>0.1790408</v>
      </c>
      <c r="W3660">
        <v>0.39434439999999998</v>
      </c>
      <c r="X3660">
        <v>0.90135279999999995</v>
      </c>
      <c r="Y3660">
        <v>0.28468919999999998</v>
      </c>
      <c r="Z3660">
        <v>3.6616070000000001E-2</v>
      </c>
      <c r="AA3660">
        <v>0.95792029999999995</v>
      </c>
      <c r="AB3660">
        <v>27</v>
      </c>
      <c r="AC3660">
        <v>-13.126999999999899</v>
      </c>
      <c r="AD3660">
        <v>-1.1011466628765001</v>
      </c>
      <c r="AE3660">
        <v>-0.46680000000000599</v>
      </c>
      <c r="AF3660">
        <v>3.8048109615657499</v>
      </c>
      <c r="AG3660">
        <v>-1.1011466628765001</v>
      </c>
      <c r="AH3660">
        <v>12.476366578331501</v>
      </c>
      <c r="AI3660">
        <v>94.825482675062005</v>
      </c>
      <c r="AJ3660">
        <v>73.0403144049248</v>
      </c>
      <c r="AK3660">
        <v>13.0900280146118</v>
      </c>
      <c r="AL3660">
        <v>66.774907559950606</v>
      </c>
      <c r="AM3660">
        <v>78.765252067781304</v>
      </c>
      <c r="AN3660">
        <v>0.99999999197191902</v>
      </c>
    </row>
    <row r="3661" spans="1:40" x14ac:dyDescent="0.25">
      <c r="A3661" t="str">
        <f>"20190304164716793"</f>
        <v>20190304164716793</v>
      </c>
      <c r="B3661" t="str">
        <f>"1551689236782828"</f>
        <v>1551689236782828</v>
      </c>
      <c r="C3661" t="s">
        <v>40</v>
      </c>
      <c r="D3661">
        <v>4.3044330000000004</v>
      </c>
      <c r="E3661">
        <v>0.55524700000000005</v>
      </c>
      <c r="F3661" t="s">
        <v>42</v>
      </c>
      <c r="G3661">
        <v>-220.0016</v>
      </c>
      <c r="H3661" s="1">
        <v>-4.6795629999999997E-6</v>
      </c>
      <c r="I3661">
        <v>141.89439999999999</v>
      </c>
      <c r="J3661">
        <v>-206.97649999999999</v>
      </c>
      <c r="K3661">
        <v>1.101089</v>
      </c>
      <c r="L3661">
        <v>142.27369999999999</v>
      </c>
      <c r="M3661">
        <v>-0.94975569999999998</v>
      </c>
      <c r="N3661">
        <v>-7.2246159999999997E-3</v>
      </c>
      <c r="O3661">
        <v>-0.31290849999999998</v>
      </c>
      <c r="P3661">
        <v>-0.91076550000000001</v>
      </c>
      <c r="Q3661">
        <v>0.39313880000000001</v>
      </c>
      <c r="R3661">
        <v>-0.12628629999999999</v>
      </c>
      <c r="S3661">
        <v>-3.3993229999999999</v>
      </c>
      <c r="T3661">
        <v>-0.28154780000000001</v>
      </c>
      <c r="U3661">
        <v>-0.1170654</v>
      </c>
      <c r="V3661">
        <v>0.1739212</v>
      </c>
      <c r="W3661">
        <v>0.39588329999999999</v>
      </c>
      <c r="X3661">
        <v>0.90168060000000005</v>
      </c>
      <c r="Y3661">
        <v>0.27815119999999999</v>
      </c>
      <c r="Z3661">
        <v>3.5710480000000003E-2</v>
      </c>
      <c r="AA3661">
        <v>0.95987330000000004</v>
      </c>
      <c r="AB3661">
        <v>27</v>
      </c>
      <c r="AC3661">
        <v>-13.0251</v>
      </c>
      <c r="AD3661">
        <v>-1.101093679563</v>
      </c>
      <c r="AE3661">
        <v>-0.37930000000000003</v>
      </c>
      <c r="AF3661">
        <v>3.6891775343483499</v>
      </c>
      <c r="AG3661">
        <v>-1.101093679563</v>
      </c>
      <c r="AH3661">
        <v>12.401128131534399</v>
      </c>
      <c r="AI3661">
        <v>94.864369427487603</v>
      </c>
      <c r="AJ3661">
        <v>73.432929356362806</v>
      </c>
      <c r="AK3661">
        <v>12.985007397219601</v>
      </c>
      <c r="AL3661">
        <v>66.678926319919</v>
      </c>
      <c r="AM3661">
        <v>79.082545788247302</v>
      </c>
      <c r="AN3661">
        <v>1.0000000377223399</v>
      </c>
    </row>
    <row r="3662" spans="1:40" x14ac:dyDescent="0.25">
      <c r="A3662" t="str">
        <f>"20190304164716816"</f>
        <v>20190304164716816</v>
      </c>
      <c r="B3662" t="str">
        <f>"1551689236812108"</f>
        <v>1551689236812108</v>
      </c>
      <c r="C3662" t="s">
        <v>40</v>
      </c>
      <c r="D3662">
        <v>4.2991809999999999</v>
      </c>
      <c r="E3662">
        <v>0.55395810000000001</v>
      </c>
      <c r="F3662" t="s">
        <v>42</v>
      </c>
      <c r="G3662">
        <v>-220.24039999999999</v>
      </c>
      <c r="H3662" s="1">
        <v>-4.6011599999999998E-6</v>
      </c>
      <c r="I3662">
        <v>141.91050000000001</v>
      </c>
      <c r="J3662">
        <v>-207.2482</v>
      </c>
      <c r="K3662">
        <v>1.1010439999999999</v>
      </c>
      <c r="L3662">
        <v>142.1987</v>
      </c>
      <c r="M3662">
        <v>-0.95382129999999998</v>
      </c>
      <c r="N3662">
        <v>-7.2145899999999999E-3</v>
      </c>
      <c r="O3662">
        <v>-0.30028759999999999</v>
      </c>
      <c r="P3662">
        <v>-0.91153010000000001</v>
      </c>
      <c r="Q3662">
        <v>0.39362269999999999</v>
      </c>
      <c r="R3662">
        <v>-0.1190536</v>
      </c>
      <c r="S3662">
        <v>-3.4029539999999998</v>
      </c>
      <c r="T3662">
        <v>-0.28249429999999998</v>
      </c>
      <c r="U3662">
        <v>-9.3170169999999997E-2</v>
      </c>
      <c r="V3662">
        <v>0.169091299999999</v>
      </c>
      <c r="W3662">
        <v>0.39645550000000002</v>
      </c>
      <c r="X3662">
        <v>0.90234760000000003</v>
      </c>
      <c r="Y3662">
        <v>0.27222960000000002</v>
      </c>
      <c r="Z3662">
        <v>3.4632509999999998E-2</v>
      </c>
      <c r="AA3662">
        <v>0.96160889999999999</v>
      </c>
      <c r="AB3662">
        <v>27</v>
      </c>
      <c r="AC3662">
        <v>-12.992199999999899</v>
      </c>
      <c r="AD3662">
        <v>-1.10104860116</v>
      </c>
      <c r="AE3662">
        <v>-0.28819999999998902</v>
      </c>
      <c r="AF3662">
        <v>3.60075205523707</v>
      </c>
      <c r="AG3662">
        <v>-1.10104860116</v>
      </c>
      <c r="AH3662">
        <v>12.390163384051201</v>
      </c>
      <c r="AI3662">
        <v>94.877476569237601</v>
      </c>
      <c r="AJ3662">
        <v>73.795408105116394</v>
      </c>
      <c r="AK3662">
        <v>12.949666870962099</v>
      </c>
      <c r="AL3662">
        <v>66.643219445483695</v>
      </c>
      <c r="AM3662">
        <v>79.386409823915798</v>
      </c>
      <c r="AN3662">
        <v>1.00000001122085</v>
      </c>
    </row>
    <row r="3663" spans="1:40" x14ac:dyDescent="0.25">
      <c r="A3663" t="str">
        <f>"20190304164716840"</f>
        <v>20190304164716840</v>
      </c>
      <c r="B3663" t="str">
        <f>"1551689236832604"</f>
        <v>1551689236832604</v>
      </c>
      <c r="C3663" t="s">
        <v>40</v>
      </c>
      <c r="D3663">
        <v>4.3054410000000001</v>
      </c>
      <c r="E3663">
        <v>0.55332060000000005</v>
      </c>
      <c r="F3663" t="s">
        <v>42</v>
      </c>
      <c r="G3663">
        <v>-220.24889999999999</v>
      </c>
      <c r="H3663" s="1">
        <v>-4.5983420000000004E-6</v>
      </c>
      <c r="I3663">
        <v>141.91079999999999</v>
      </c>
      <c r="J3663">
        <v>-207.5343</v>
      </c>
      <c r="K3663">
        <v>1.1010070000000001</v>
      </c>
      <c r="L3663">
        <v>142.12379999999999</v>
      </c>
      <c r="M3663">
        <v>-0.95788320000000005</v>
      </c>
      <c r="N3663">
        <v>-7.2038639999999999E-3</v>
      </c>
      <c r="O3663">
        <v>-0.28706799999999999</v>
      </c>
      <c r="P3663">
        <v>-0.91259829999999997</v>
      </c>
      <c r="Q3663">
        <v>0.39339570000000001</v>
      </c>
      <c r="R3663">
        <v>-0.1113759</v>
      </c>
      <c r="S3663">
        <v>-3.4058839999999901</v>
      </c>
      <c r="T3663">
        <v>-0.28845009999999999</v>
      </c>
      <c r="U3663">
        <v>-7.5408939999999994E-2</v>
      </c>
      <c r="V3663">
        <v>0.16423869999999999</v>
      </c>
      <c r="W3663">
        <v>0.39632509999999999</v>
      </c>
      <c r="X3663">
        <v>0.90330069999999996</v>
      </c>
      <c r="Y3663">
        <v>0.2639435</v>
      </c>
      <c r="Z3663">
        <v>3.4005399999999998E-2</v>
      </c>
      <c r="AA3663">
        <v>0.96393850000000003</v>
      </c>
      <c r="AB3663">
        <v>27</v>
      </c>
      <c r="AC3663">
        <v>-12.7145999999999</v>
      </c>
      <c r="AD3663">
        <v>-1.1010115983419999</v>
      </c>
      <c r="AE3663">
        <v>-0.212999999999993</v>
      </c>
      <c r="AF3663">
        <v>3.4203741033571098</v>
      </c>
      <c r="AG3663">
        <v>-1.1010115983419999</v>
      </c>
      <c r="AH3663">
        <v>12.1494856826146</v>
      </c>
      <c r="AI3663">
        <v>94.985359514456405</v>
      </c>
      <c r="AJ3663">
        <v>74.276804923433303</v>
      </c>
      <c r="AK3663">
        <v>12.6696956513824</v>
      </c>
      <c r="AL3663">
        <v>66.651358301082297</v>
      </c>
      <c r="AM3663">
        <v>79.6950178939626</v>
      </c>
      <c r="AN3663">
        <v>1.00000004504409</v>
      </c>
    </row>
    <row r="3664" spans="1:40" x14ac:dyDescent="0.25">
      <c r="A3664" t="str">
        <f>"20190304164716861"</f>
        <v>20190304164716861</v>
      </c>
      <c r="B3664" t="str">
        <f>"1551689236852124"</f>
        <v>1551689236852124</v>
      </c>
      <c r="C3664" t="s">
        <v>40</v>
      </c>
      <c r="D3664">
        <v>4.2426529999999998</v>
      </c>
      <c r="E3664">
        <v>0.55248209999999998</v>
      </c>
      <c r="F3664" t="s">
        <v>42</v>
      </c>
      <c r="G3664">
        <v>-220.5341</v>
      </c>
      <c r="H3664" s="1">
        <v>-4.5058689999999997E-6</v>
      </c>
      <c r="I3664">
        <v>141.93680000000001</v>
      </c>
      <c r="J3664">
        <v>-207.7903</v>
      </c>
      <c r="K3664">
        <v>1.100986</v>
      </c>
      <c r="L3664">
        <v>142.06010000000001</v>
      </c>
      <c r="M3664">
        <v>-0.96133040000000003</v>
      </c>
      <c r="N3664">
        <v>-7.1948439999999997E-3</v>
      </c>
      <c r="O3664">
        <v>-0.27530349999999998</v>
      </c>
      <c r="P3664">
        <v>-0.91392819999999997</v>
      </c>
      <c r="Q3664">
        <v>0.39225650000000001</v>
      </c>
      <c r="R3664">
        <v>-0.1042594</v>
      </c>
      <c r="S3664">
        <v>-3.4056700000000002</v>
      </c>
      <c r="T3664">
        <v>-0.28844140000000001</v>
      </c>
      <c r="U3664">
        <v>-4.8980709999999997E-2</v>
      </c>
      <c r="V3664">
        <v>0.16031500000000001</v>
      </c>
      <c r="W3664">
        <v>0.39526830000000002</v>
      </c>
      <c r="X3664">
        <v>0.90446780000000004</v>
      </c>
      <c r="Y3664">
        <v>0.2596464</v>
      </c>
      <c r="Z3664">
        <v>3.2945759999999998E-2</v>
      </c>
      <c r="AA3664">
        <v>0.96514160000000004</v>
      </c>
      <c r="AB3664">
        <v>27</v>
      </c>
      <c r="AC3664">
        <v>-12.743799999999901</v>
      </c>
      <c r="AD3664">
        <v>-1.1009905058689999</v>
      </c>
      <c r="AE3664">
        <v>-0.12330000000000001</v>
      </c>
      <c r="AF3664">
        <v>3.3648557871562401</v>
      </c>
      <c r="AG3664">
        <v>-1.1009905058689999</v>
      </c>
      <c r="AH3664">
        <v>12.194256826197901</v>
      </c>
      <c r="AI3664">
        <v>94.974198688857598</v>
      </c>
      <c r="AJ3664">
        <v>74.573809223404396</v>
      </c>
      <c r="AK3664">
        <v>12.697808240229699</v>
      </c>
      <c r="AL3664">
        <v>66.717290836551399</v>
      </c>
      <c r="AM3664">
        <v>79.9488354517039</v>
      </c>
      <c r="AN3664">
        <v>0.99999996472336405</v>
      </c>
    </row>
    <row r="3665" spans="1:40" x14ac:dyDescent="0.25">
      <c r="A3665" t="str">
        <f>"20190304164716905"</f>
        <v>20190304164716905</v>
      </c>
      <c r="B3665" t="str">
        <f>"1551689236892139"</f>
        <v>1551689236892139</v>
      </c>
      <c r="C3665" t="s">
        <v>40</v>
      </c>
      <c r="D3665">
        <v>4.3190900000000001</v>
      </c>
      <c r="E3665">
        <v>0.55111509999999997</v>
      </c>
      <c r="F3665" t="s">
        <v>42</v>
      </c>
      <c r="G3665">
        <v>-220.5497</v>
      </c>
      <c r="H3665" s="1">
        <v>-4.5040439999999999E-6</v>
      </c>
      <c r="I3665">
        <v>141.9563</v>
      </c>
      <c r="J3665">
        <v>-208.31620000000001</v>
      </c>
      <c r="K3665">
        <v>1.100973</v>
      </c>
      <c r="L3665">
        <v>141.9392</v>
      </c>
      <c r="M3665">
        <v>-0.96785500000000002</v>
      </c>
      <c r="N3665">
        <v>-7.1754139999999998E-3</v>
      </c>
      <c r="O3665">
        <v>-0.25140639999999997</v>
      </c>
      <c r="P3665">
        <v>-0.91678090000000001</v>
      </c>
      <c r="Q3665">
        <v>0.38962180000000002</v>
      </c>
      <c r="R3665">
        <v>-8.7793599999999999E-2</v>
      </c>
      <c r="S3665">
        <v>-3.4055179999999998</v>
      </c>
      <c r="T3665">
        <v>-0.2938578</v>
      </c>
      <c r="U3665">
        <v>-2.7694699999999999E-2</v>
      </c>
      <c r="V3665">
        <v>0.15438289999999999</v>
      </c>
      <c r="W3665">
        <v>0.39276680000000003</v>
      </c>
      <c r="X3665">
        <v>0.90658709999999998</v>
      </c>
      <c r="Y3665">
        <v>0.24179249999999999</v>
      </c>
      <c r="Z3665">
        <v>3.0936060000000001E-2</v>
      </c>
      <c r="AA3665">
        <v>0.96983470000000005</v>
      </c>
      <c r="AB3665">
        <v>27</v>
      </c>
      <c r="AC3665">
        <v>-12.2334999999999</v>
      </c>
      <c r="AD3665">
        <v>-1.100977504044</v>
      </c>
      <c r="AE3665">
        <v>1.7099999999999199E-2</v>
      </c>
      <c r="AF3665">
        <v>3.0673662470180001</v>
      </c>
      <c r="AG3665">
        <v>-1.100977504044</v>
      </c>
      <c r="AH3665">
        <v>11.7411632460951</v>
      </c>
      <c r="AI3665">
        <v>95.184011340846695</v>
      </c>
      <c r="AJ3665">
        <v>75.358777247452906</v>
      </c>
      <c r="AK3665">
        <v>12.1850646912198</v>
      </c>
      <c r="AL3665">
        <v>66.873232415923397</v>
      </c>
      <c r="AM3665">
        <v>80.335795166431396</v>
      </c>
      <c r="AN3665">
        <v>1.0000000044405299</v>
      </c>
    </row>
    <row r="3666" spans="1:40" x14ac:dyDescent="0.25">
      <c r="A3666" t="str">
        <f>"20190304164716927"</f>
        <v>20190304164716927</v>
      </c>
      <c r="B3666" t="str">
        <f>"1551689236922396"</f>
        <v>1551689236922396</v>
      </c>
      <c r="C3666" t="s">
        <v>40</v>
      </c>
      <c r="D3666">
        <v>4.2971879999999896</v>
      </c>
      <c r="E3666">
        <v>0.55006379999999999</v>
      </c>
      <c r="F3666" t="s">
        <v>42</v>
      </c>
      <c r="G3666">
        <v>-220.46449999999999</v>
      </c>
      <c r="H3666" s="1">
        <v>-4.5437729999999999E-6</v>
      </c>
      <c r="I3666">
        <v>142.01689999999999</v>
      </c>
      <c r="J3666">
        <v>-208.5788</v>
      </c>
      <c r="K3666">
        <v>1.1009819999999999</v>
      </c>
      <c r="L3666">
        <v>141.8837</v>
      </c>
      <c r="M3666">
        <v>-0.97083540000000002</v>
      </c>
      <c r="N3666">
        <v>-7.1637949999999997E-3</v>
      </c>
      <c r="O3666">
        <v>-0.23964009999999999</v>
      </c>
      <c r="P3666">
        <v>-0.91775949999999995</v>
      </c>
      <c r="Q3666">
        <v>0.3889861</v>
      </c>
      <c r="R3666">
        <v>-8.0046610000000004E-2</v>
      </c>
      <c r="S3666">
        <v>-3.4055789999999999</v>
      </c>
      <c r="T3666">
        <v>-0.308641</v>
      </c>
      <c r="U3666">
        <v>2.1789550000000001E-2</v>
      </c>
      <c r="V3666">
        <v>0.15105550000000001</v>
      </c>
      <c r="W3666">
        <v>0.39220850000000002</v>
      </c>
      <c r="X3666">
        <v>0.907389</v>
      </c>
      <c r="Y3666">
        <v>0.2439559</v>
      </c>
      <c r="Z3666">
        <v>3.1698900000000002E-2</v>
      </c>
      <c r="AA3666">
        <v>0.96926809999999997</v>
      </c>
      <c r="AB3666">
        <v>27</v>
      </c>
      <c r="AC3666">
        <v>-11.8856999999999</v>
      </c>
      <c r="AD3666">
        <v>-1.100986543773</v>
      </c>
      <c r="AE3666">
        <v>0.13319999999998799</v>
      </c>
      <c r="AF3666">
        <v>2.95235232514931</v>
      </c>
      <c r="AG3666">
        <v>-1.100986543773</v>
      </c>
      <c r="AH3666">
        <v>11.409545387831701</v>
      </c>
      <c r="AI3666">
        <v>95.337084442548502</v>
      </c>
      <c r="AJ3666">
        <v>75.492265572770506</v>
      </c>
      <c r="AK3666">
        <v>11.836649930549401</v>
      </c>
      <c r="AL3666">
        <v>66.908012144394903</v>
      </c>
      <c r="AM3666">
        <v>80.5484910414269</v>
      </c>
      <c r="AN3666">
        <v>1.0000000344367399</v>
      </c>
    </row>
    <row r="3667" spans="1:40" x14ac:dyDescent="0.25">
      <c r="A3667" t="str">
        <f>"20190304164716949"</f>
        <v>20190304164716949</v>
      </c>
      <c r="B3667" t="str">
        <f>"1551689236942892"</f>
        <v>1551689236942892</v>
      </c>
      <c r="C3667" t="s">
        <v>40</v>
      </c>
      <c r="D3667">
        <v>4.2567440000000003</v>
      </c>
      <c r="E3667">
        <v>0.54946149999999905</v>
      </c>
      <c r="F3667" t="s">
        <v>42</v>
      </c>
      <c r="G3667">
        <v>-220.53450000000001</v>
      </c>
      <c r="H3667" s="1">
        <v>-4.5226870000000002E-6</v>
      </c>
      <c r="I3667">
        <v>142.03219999999999</v>
      </c>
      <c r="J3667">
        <v>-208.86269999999999</v>
      </c>
      <c r="K3667">
        <v>1.101016</v>
      </c>
      <c r="L3667">
        <v>141.8271</v>
      </c>
      <c r="M3667">
        <v>-0.97385290000000002</v>
      </c>
      <c r="N3667">
        <v>-7.1499199999999997E-3</v>
      </c>
      <c r="O3667">
        <v>-0.2270672</v>
      </c>
      <c r="P3667">
        <v>-0.91831620000000003</v>
      </c>
      <c r="Q3667">
        <v>0.38935629999999999</v>
      </c>
      <c r="R3667">
        <v>-7.1393609999999996E-2</v>
      </c>
      <c r="S3667">
        <v>-3.4054410000000002</v>
      </c>
      <c r="T3667">
        <v>-0.3136041</v>
      </c>
      <c r="U3667">
        <v>4.2343140000000001E-2</v>
      </c>
      <c r="V3667">
        <v>0.1478004</v>
      </c>
      <c r="W3667">
        <v>0.392654</v>
      </c>
      <c r="X3667">
        <v>0.90773219999999999</v>
      </c>
      <c r="Y3667">
        <v>0.23727670000000001</v>
      </c>
      <c r="Z3667">
        <v>3.0856049999999999E-2</v>
      </c>
      <c r="AA3667">
        <v>0.97095189999999998</v>
      </c>
      <c r="AB3667">
        <v>27</v>
      </c>
      <c r="AC3667">
        <v>-11.671799999999999</v>
      </c>
      <c r="AD3667">
        <v>-1.101020522687</v>
      </c>
      <c r="AE3667">
        <v>0.20509999999998699</v>
      </c>
      <c r="AF3667">
        <v>2.8249627994877602</v>
      </c>
      <c r="AG3667">
        <v>-1.101020522687</v>
      </c>
      <c r="AH3667">
        <v>11.2205189700553</v>
      </c>
      <c r="AI3667">
        <v>95.435678493781396</v>
      </c>
      <c r="AJ3667">
        <v>75.868479236020903</v>
      </c>
      <c r="AK3667">
        <v>11.622938826615099</v>
      </c>
      <c r="AL3667">
        <v>66.880258244657597</v>
      </c>
      <c r="AM3667">
        <v>80.752039985449798</v>
      </c>
      <c r="AN3667">
        <v>0.99999993443649704</v>
      </c>
    </row>
    <row r="3668" spans="1:40" x14ac:dyDescent="0.25">
      <c r="A3668" t="str">
        <f>"20190304164716974"</f>
        <v>20190304164716974</v>
      </c>
      <c r="B3668" t="str">
        <f>"1551689236962412"</f>
        <v>1551689236962412</v>
      </c>
      <c r="C3668" t="s">
        <v>40</v>
      </c>
      <c r="D3668">
        <v>4.3221069999999999</v>
      </c>
      <c r="E3668">
        <v>0.54888870000000001</v>
      </c>
      <c r="F3668" t="s">
        <v>42</v>
      </c>
      <c r="G3668">
        <v>-220.82089999999999</v>
      </c>
      <c r="H3668" s="1">
        <v>-4.4315739999999998E-6</v>
      </c>
      <c r="I3668">
        <v>142.06809999999999</v>
      </c>
      <c r="J3668">
        <v>-209.1635</v>
      </c>
      <c r="K3668">
        <v>1.1010770000000001</v>
      </c>
      <c r="L3668">
        <v>141.77090000000001</v>
      </c>
      <c r="M3668">
        <v>-0.97681719999999905</v>
      </c>
      <c r="N3668">
        <v>-7.1315859999999997E-3</v>
      </c>
      <c r="O3668">
        <v>-0.21395610000000001</v>
      </c>
      <c r="P3668">
        <v>-0.91904810000000003</v>
      </c>
      <c r="Q3668">
        <v>0.3891191</v>
      </c>
      <c r="R3668">
        <v>-6.2746709999999997E-2</v>
      </c>
      <c r="S3668">
        <v>-3.4051360000000002</v>
      </c>
      <c r="T3668">
        <v>-0.31352039999999998</v>
      </c>
      <c r="U3668">
        <v>6.8634029999999999E-2</v>
      </c>
      <c r="V3668">
        <v>0.144082399999999</v>
      </c>
      <c r="W3668">
        <v>0.39251069999999999</v>
      </c>
      <c r="X3668">
        <v>0.90839179999999997</v>
      </c>
      <c r="Y3668">
        <v>0.23178670000000001</v>
      </c>
      <c r="Z3668">
        <v>2.9495850000000001E-2</v>
      </c>
      <c r="AA3668">
        <v>0.97231939999999994</v>
      </c>
      <c r="AB3668">
        <v>28</v>
      </c>
      <c r="AC3668">
        <v>-11.6573999999999</v>
      </c>
      <c r="AD3668">
        <v>-1.1010814315740001</v>
      </c>
      <c r="AE3668">
        <v>0.29719999999997498</v>
      </c>
      <c r="AF3668">
        <v>2.7599461129472602</v>
      </c>
      <c r="AG3668">
        <v>-1.1010814315740001</v>
      </c>
      <c r="AH3668">
        <v>11.223782146847499</v>
      </c>
      <c r="AI3668">
        <v>95.441836483376207</v>
      </c>
      <c r="AJ3668">
        <v>76.184976182806295</v>
      </c>
      <c r="AK3668">
        <v>11.610468058834799</v>
      </c>
      <c r="AL3668">
        <v>66.889187646595303</v>
      </c>
      <c r="AM3668">
        <v>80.987246862703401</v>
      </c>
      <c r="AN3668">
        <v>1.0000000249557399</v>
      </c>
    </row>
    <row r="3669" spans="1:40" x14ac:dyDescent="0.25">
      <c r="A3669" t="str">
        <f>"20190304164716996"</f>
        <v>20190304164716996</v>
      </c>
      <c r="B3669" t="str">
        <f>"1551689236992668"</f>
        <v>1551689236992668</v>
      </c>
      <c r="C3669" t="s">
        <v>40</v>
      </c>
      <c r="D3669">
        <v>4.3162640000000003</v>
      </c>
      <c r="E3669">
        <v>0.54799900000000001</v>
      </c>
      <c r="F3669" t="s">
        <v>42</v>
      </c>
      <c r="G3669">
        <v>-221.04159999999999</v>
      </c>
      <c r="H3669" s="1">
        <v>-4.3624199999999996E-6</v>
      </c>
      <c r="I3669">
        <v>142.10169999999999</v>
      </c>
      <c r="J3669">
        <v>-209.43790000000001</v>
      </c>
      <c r="K3669">
        <v>1.1011610000000001</v>
      </c>
      <c r="L3669">
        <v>141.72329999999999</v>
      </c>
      <c r="M3669">
        <v>-0.97931100000000004</v>
      </c>
      <c r="N3669">
        <v>-7.109878E-3</v>
      </c>
      <c r="O3669">
        <v>-0.20223669999999999</v>
      </c>
      <c r="P3669">
        <v>-0.91943459999999999</v>
      </c>
      <c r="Q3669">
        <v>0.38922499999999999</v>
      </c>
      <c r="R3669">
        <v>-5.6073629999999999E-2</v>
      </c>
      <c r="S3669">
        <v>-3.4043429999999999</v>
      </c>
      <c r="T3669">
        <v>-0.31557849999999998</v>
      </c>
      <c r="U3669">
        <v>9.4802860000000003E-2</v>
      </c>
      <c r="V3669">
        <v>0.13968599999999901</v>
      </c>
      <c r="W3669">
        <v>0.39272689999999999</v>
      </c>
      <c r="X3669">
        <v>0.90898480000000004</v>
      </c>
      <c r="Y3669">
        <v>0.22764329999999999</v>
      </c>
      <c r="Z3669">
        <v>2.8515249999999999E-2</v>
      </c>
      <c r="AA3669">
        <v>0.97332700000000005</v>
      </c>
      <c r="AB3669">
        <v>28</v>
      </c>
      <c r="AC3669">
        <v>-11.6036999999999</v>
      </c>
      <c r="AD3669">
        <v>-1.10116536242</v>
      </c>
      <c r="AE3669">
        <v>0.37839999999999901</v>
      </c>
      <c r="AF3669">
        <v>2.69310635247259</v>
      </c>
      <c r="AG3669">
        <v>-1.10116536242</v>
      </c>
      <c r="AH3669">
        <v>11.1867521982209</v>
      </c>
      <c r="AI3669">
        <v>95.466592817038801</v>
      </c>
      <c r="AJ3669">
        <v>76.464146817378094</v>
      </c>
      <c r="AK3669">
        <v>11.5589277930751</v>
      </c>
      <c r="AL3669">
        <v>66.875717705065</v>
      </c>
      <c r="AM3669">
        <v>81.263555522277798</v>
      </c>
      <c r="AN3669">
        <v>0.999999981605324</v>
      </c>
    </row>
    <row r="3670" spans="1:40" x14ac:dyDescent="0.25">
      <c r="A3670" t="str">
        <f>"20190304164717018"</f>
        <v>20190304164717018</v>
      </c>
      <c r="B3670" t="str">
        <f>"1551689237012188"</f>
        <v>1551689237012188</v>
      </c>
      <c r="C3670" t="s">
        <v>40</v>
      </c>
      <c r="D3670">
        <v>4.3158339999999997</v>
      </c>
      <c r="E3670">
        <v>0.54739139999999997</v>
      </c>
      <c r="F3670" t="s">
        <v>42</v>
      </c>
      <c r="G3670">
        <v>-221.2098</v>
      </c>
      <c r="H3670" s="1">
        <v>-4.3062630000000002E-6</v>
      </c>
      <c r="I3670">
        <v>142.10769999999999</v>
      </c>
      <c r="J3670">
        <v>-209.71770000000001</v>
      </c>
      <c r="K3670">
        <v>1.1012710000000001</v>
      </c>
      <c r="L3670">
        <v>141.67789999999999</v>
      </c>
      <c r="M3670">
        <v>-0.98165519999999995</v>
      </c>
      <c r="N3670">
        <v>-7.0851409999999997E-3</v>
      </c>
      <c r="O3670">
        <v>-0.1905328</v>
      </c>
      <c r="P3670">
        <v>-0.91949069999999999</v>
      </c>
      <c r="Q3670">
        <v>0.38995289999999999</v>
      </c>
      <c r="R3670">
        <v>-4.9735840000000003E-2</v>
      </c>
      <c r="S3670">
        <v>-3.40448</v>
      </c>
      <c r="T3670">
        <v>-0.3184633</v>
      </c>
      <c r="U3670">
        <v>0.1112061</v>
      </c>
      <c r="V3670">
        <v>0.13493659999999999</v>
      </c>
      <c r="W3670">
        <v>0.39357300000000001</v>
      </c>
      <c r="X3670">
        <v>0.90933620000000004</v>
      </c>
      <c r="Y3670">
        <v>0.220745</v>
      </c>
      <c r="Z3670">
        <v>2.7442100000000001E-2</v>
      </c>
      <c r="AA3670">
        <v>0.97494539999999996</v>
      </c>
      <c r="AB3670">
        <v>28</v>
      </c>
      <c r="AC3670">
        <v>-11.492099999999899</v>
      </c>
      <c r="AD3670">
        <v>-1.1012753062630001</v>
      </c>
      <c r="AE3670">
        <v>0.42980000000000002</v>
      </c>
      <c r="AF3670">
        <v>2.5878714151703699</v>
      </c>
      <c r="AG3670">
        <v>-1.1012753062630001</v>
      </c>
      <c r="AH3670">
        <v>11.097898884697599</v>
      </c>
      <c r="AI3670">
        <v>95.519929591330296</v>
      </c>
      <c r="AJ3670">
        <v>76.8739995023018</v>
      </c>
      <c r="AK3670">
        <v>11.4487224360019</v>
      </c>
      <c r="AL3670">
        <v>66.822993577340497</v>
      </c>
      <c r="AM3670">
        <v>81.559459556517297</v>
      </c>
      <c r="AN3670">
        <v>0.99999995848949896</v>
      </c>
    </row>
    <row r="3671" spans="1:40" x14ac:dyDescent="0.25">
      <c r="A3671" t="str">
        <f>"20190304164717061"</f>
        <v>20190304164717061</v>
      </c>
      <c r="B3671" t="str">
        <f>"1551689237052204"</f>
        <v>1551689237052204</v>
      </c>
      <c r="C3671" t="s">
        <v>40</v>
      </c>
      <c r="D3671">
        <v>4.3147539999999998</v>
      </c>
      <c r="E3671">
        <v>0.53681619999999997</v>
      </c>
      <c r="F3671" t="s">
        <v>42</v>
      </c>
      <c r="G3671">
        <v>-221.5282</v>
      </c>
      <c r="H3671" s="1">
        <v>-4.1999890000000004E-6</v>
      </c>
      <c r="I3671">
        <v>142.11949999999999</v>
      </c>
      <c r="J3671">
        <v>-210.27250000000001</v>
      </c>
      <c r="K3671">
        <v>1.1014550000000001</v>
      </c>
      <c r="L3671">
        <v>141.59710000000001</v>
      </c>
      <c r="M3671">
        <v>-0.98577020000000004</v>
      </c>
      <c r="N3671">
        <v>-7.0429790000000004E-3</v>
      </c>
      <c r="O3671">
        <v>-0.16795199999999999</v>
      </c>
      <c r="P3671">
        <v>-0.92008409999999996</v>
      </c>
      <c r="Q3671">
        <v>0.38981830000000001</v>
      </c>
      <c r="R3671">
        <v>-3.8565049999999997E-2</v>
      </c>
      <c r="S3671">
        <v>-3.404175</v>
      </c>
      <c r="T3671">
        <v>-0.31742350000000003</v>
      </c>
      <c r="U3671">
        <v>0.1273041</v>
      </c>
      <c r="V3671">
        <v>0.1248832</v>
      </c>
      <c r="W3671">
        <v>0.39368570000000003</v>
      </c>
      <c r="X3671">
        <v>0.9107227</v>
      </c>
      <c r="Y3671">
        <v>0.20311309999999999</v>
      </c>
      <c r="Z3671">
        <v>2.455734E-2</v>
      </c>
      <c r="AA3671">
        <v>0.97884729999999998</v>
      </c>
      <c r="AB3671">
        <v>28</v>
      </c>
      <c r="AC3671">
        <v>-11.2556999999999</v>
      </c>
      <c r="AD3671">
        <v>-1.10145919998899</v>
      </c>
      <c r="AE3671">
        <v>0.52239999999997599</v>
      </c>
      <c r="AF3671">
        <v>2.3826750441473998</v>
      </c>
      <c r="AG3671">
        <v>-1.10145919998899</v>
      </c>
      <c r="AH3671">
        <v>10.9038736297117</v>
      </c>
      <c r="AI3671">
        <v>95.636085386322094</v>
      </c>
      <c r="AJ3671">
        <v>77.673687266444304</v>
      </c>
      <c r="AK3671">
        <v>11.215382867649501</v>
      </c>
      <c r="AL3671">
        <v>66.815971268616906</v>
      </c>
      <c r="AM3671">
        <v>82.191990194634997</v>
      </c>
      <c r="AN3671">
        <v>1.0000000401610001</v>
      </c>
    </row>
    <row r="3672" spans="1:40" x14ac:dyDescent="0.25">
      <c r="A3672" t="str">
        <f>"20190304164717083"</f>
        <v>20190304164717083</v>
      </c>
      <c r="B3672" t="str">
        <f>"1551689237072703"</f>
        <v>1551689237072703</v>
      </c>
      <c r="C3672" t="s">
        <v>40</v>
      </c>
      <c r="D3672">
        <v>4.3146930000000001</v>
      </c>
      <c r="E3672">
        <v>0.536803699999999</v>
      </c>
      <c r="F3672" t="s">
        <v>41</v>
      </c>
      <c r="G3672">
        <v>-211.1703</v>
      </c>
      <c r="H3672">
        <v>1.0157389999999999</v>
      </c>
      <c r="I3672">
        <v>141.6183</v>
      </c>
      <c r="J3672">
        <v>-210.55080000000001</v>
      </c>
      <c r="K3672">
        <v>1.10155</v>
      </c>
      <c r="L3672">
        <v>141.56110000000001</v>
      </c>
      <c r="M3672">
        <v>-0.98758210000000002</v>
      </c>
      <c r="N3672">
        <v>-7.024565E-3</v>
      </c>
      <c r="O3672">
        <v>-0.15694659999999999</v>
      </c>
      <c r="P3672">
        <v>-0.92027590000000004</v>
      </c>
      <c r="Q3672">
        <v>0.38975720000000003</v>
      </c>
      <c r="R3672">
        <v>-3.4376230000000001E-2</v>
      </c>
      <c r="S3672">
        <v>-3.4014739999999999</v>
      </c>
      <c r="T3672">
        <v>-0.32460129999999998</v>
      </c>
      <c r="U3672">
        <v>8.0108639999999995E-2</v>
      </c>
      <c r="V3672">
        <v>0.1187643</v>
      </c>
      <c r="W3672">
        <v>0.3937676</v>
      </c>
      <c r="X3672">
        <v>0.91150540000000002</v>
      </c>
      <c r="Y3672">
        <v>0.17868039999999999</v>
      </c>
      <c r="Z3672">
        <v>2.2932999999999999E-2</v>
      </c>
      <c r="AA3672">
        <v>0.98363990000000001</v>
      </c>
      <c r="AB3672">
        <v>28</v>
      </c>
      <c r="AC3672">
        <v>-0.61949999999998795</v>
      </c>
      <c r="AD3672">
        <v>-8.5810999999999998E-2</v>
      </c>
      <c r="AE3672">
        <v>5.7199999999994498E-2</v>
      </c>
      <c r="AF3672">
        <v>0.150852003298278</v>
      </c>
      <c r="AG3672">
        <v>-8.5810999999999998E-2</v>
      </c>
      <c r="AH3672">
        <v>0.59158985828986699</v>
      </c>
      <c r="AI3672">
        <v>98.000734821944604</v>
      </c>
      <c r="AJ3672">
        <v>75.694758301475503</v>
      </c>
      <c r="AK3672">
        <v>0.61652122027674705</v>
      </c>
      <c r="AL3672">
        <v>66.810865132564601</v>
      </c>
      <c r="AM3672">
        <v>82.5764854459497</v>
      </c>
      <c r="AN3672">
        <v>0.99999998799670498</v>
      </c>
    </row>
    <row r="3673" spans="1:40" x14ac:dyDescent="0.25">
      <c r="A3673" t="str">
        <f>"20190304164717105"</f>
        <v>20190304164717105</v>
      </c>
      <c r="B3673" t="str">
        <f>"1551689237092220"</f>
        <v>1551689237092220</v>
      </c>
      <c r="C3673" t="s">
        <v>40</v>
      </c>
      <c r="D3673">
        <v>4.3480230000000004</v>
      </c>
      <c r="E3673">
        <v>0.53636130000000004</v>
      </c>
      <c r="F3673" t="s">
        <v>41</v>
      </c>
      <c r="G3673">
        <v>-211.42490000000001</v>
      </c>
      <c r="H3673">
        <v>1.0175099999999999</v>
      </c>
      <c r="I3673">
        <v>141.5857</v>
      </c>
      <c r="J3673">
        <v>-210.828</v>
      </c>
      <c r="K3673">
        <v>1.101639</v>
      </c>
      <c r="L3673">
        <v>141.52799999999999</v>
      </c>
      <c r="M3673">
        <v>-0.98922940000000004</v>
      </c>
      <c r="N3673">
        <v>-7.0058830000000001E-3</v>
      </c>
      <c r="O3673">
        <v>-0.1462059</v>
      </c>
      <c r="P3673">
        <v>-0.91999140000000001</v>
      </c>
      <c r="Q3673">
        <v>0.39077200000000001</v>
      </c>
      <c r="R3673">
        <v>-3.0211470000000001E-2</v>
      </c>
      <c r="S3673">
        <v>-3.4018860000000002</v>
      </c>
      <c r="T3673">
        <v>-0.32682410000000001</v>
      </c>
      <c r="U3673">
        <v>9.5550540000000003E-2</v>
      </c>
      <c r="V3673">
        <v>0.1128335</v>
      </c>
      <c r="W3673">
        <v>0.3949162</v>
      </c>
      <c r="X3673">
        <v>0.91176190000000001</v>
      </c>
      <c r="Y3673">
        <v>0.17249919999999999</v>
      </c>
      <c r="Z3673">
        <v>2.1827619999999999E-2</v>
      </c>
      <c r="AA3673">
        <v>0.98476779999999997</v>
      </c>
      <c r="AB3673">
        <v>28</v>
      </c>
      <c r="AC3673">
        <v>-0.59690000000000498</v>
      </c>
      <c r="AD3673">
        <v>-8.4128999999999898E-2</v>
      </c>
      <c r="AE3673">
        <v>5.7700000000011097E-2</v>
      </c>
      <c r="AF3673">
        <v>0.14156620101259301</v>
      </c>
      <c r="AG3673">
        <v>-8.4128999999999898E-2</v>
      </c>
      <c r="AH3673">
        <v>0.57081496183860003</v>
      </c>
      <c r="AI3673">
        <v>98.140948938153002</v>
      </c>
      <c r="AJ3673">
        <v>76.071271267640398</v>
      </c>
      <c r="AK3673">
        <v>0.59409460405640802</v>
      </c>
      <c r="AL3673">
        <v>66.739251808289097</v>
      </c>
      <c r="AM3673">
        <v>82.945328843905401</v>
      </c>
      <c r="AN3673">
        <v>0.99999998301814896</v>
      </c>
    </row>
    <row r="3674" spans="1:40" x14ac:dyDescent="0.25">
      <c r="A3674" t="str">
        <f>"20190304164717127"</f>
        <v>20190304164717127</v>
      </c>
      <c r="B3674" t="str">
        <f>"1551689237122476"</f>
        <v>1551689237122476</v>
      </c>
      <c r="C3674" t="s">
        <v>40</v>
      </c>
      <c r="D3674">
        <v>4.302378</v>
      </c>
      <c r="E3674">
        <v>0.53552239999999995</v>
      </c>
      <c r="F3674" t="s">
        <v>41</v>
      </c>
      <c r="G3674">
        <v>-211.68100000000001</v>
      </c>
      <c r="H3674">
        <v>1.020243</v>
      </c>
      <c r="I3674">
        <v>141.55439999999999</v>
      </c>
      <c r="J3674">
        <v>-211.11199999999999</v>
      </c>
      <c r="K3674">
        <v>1.101756</v>
      </c>
      <c r="L3674">
        <v>141.49700000000001</v>
      </c>
      <c r="M3674">
        <v>-0.99075690000000005</v>
      </c>
      <c r="N3674">
        <v>-6.9828249999999998E-3</v>
      </c>
      <c r="O3674">
        <v>-0.13546989999999901</v>
      </c>
      <c r="P3674">
        <v>-0.91970569999999896</v>
      </c>
      <c r="Q3674">
        <v>0.39182699999999998</v>
      </c>
      <c r="R3674">
        <v>-2.4765510000000001E-2</v>
      </c>
      <c r="S3674">
        <v>-3.402298</v>
      </c>
      <c r="T3674">
        <v>-0.32472289999999998</v>
      </c>
      <c r="U3674">
        <v>0.10533140000000001</v>
      </c>
      <c r="V3674">
        <v>0.10817309999999999</v>
      </c>
      <c r="W3674">
        <v>0.3960767</v>
      </c>
      <c r="X3674">
        <v>0.9118233</v>
      </c>
      <c r="Y3674">
        <v>0.16473759999999901</v>
      </c>
      <c r="Z3674">
        <v>2.0347009999999999E-2</v>
      </c>
      <c r="AA3674">
        <v>0.98612759999999999</v>
      </c>
      <c r="AB3674">
        <v>28</v>
      </c>
      <c r="AC3674">
        <v>-0.56899999999998796</v>
      </c>
      <c r="AD3674">
        <v>-8.1512999999999905E-2</v>
      </c>
      <c r="AE3674">
        <v>5.7399999999972799E-2</v>
      </c>
      <c r="AF3674">
        <v>0.13128787305103501</v>
      </c>
      <c r="AG3674">
        <v>-8.1512999999999905E-2</v>
      </c>
      <c r="AH3674">
        <v>0.54490804168498796</v>
      </c>
      <c r="AI3674">
        <v>98.274450684797998</v>
      </c>
      <c r="AJ3674">
        <v>76.453578467312099</v>
      </c>
      <c r="AK3674">
        <v>0.56639707685706897</v>
      </c>
      <c r="AL3674">
        <v>66.6668567766541</v>
      </c>
      <c r="AM3674">
        <v>83.234403021115</v>
      </c>
      <c r="AN3674">
        <v>0.99999995113469298</v>
      </c>
    </row>
    <row r="3675" spans="1:40" x14ac:dyDescent="0.25">
      <c r="A3675" t="str">
        <f>"20190304164717150"</f>
        <v>20190304164717150</v>
      </c>
      <c r="B3675" t="str">
        <f>"1551689237142972"</f>
        <v>1551689237142972</v>
      </c>
      <c r="C3675" t="s">
        <v>40</v>
      </c>
      <c r="D3675">
        <v>4.2914539999999999</v>
      </c>
      <c r="E3675">
        <v>0.535163099999999</v>
      </c>
      <c r="F3675" t="s">
        <v>41</v>
      </c>
      <c r="G3675">
        <v>-211.93879999999999</v>
      </c>
      <c r="H3675">
        <v>1.0240320000000001</v>
      </c>
      <c r="I3675">
        <v>141.5247</v>
      </c>
      <c r="J3675">
        <v>-211.4187</v>
      </c>
      <c r="K3675">
        <v>1.101918</v>
      </c>
      <c r="L3675">
        <v>141.4666</v>
      </c>
      <c r="M3675">
        <v>-0.99223269999999997</v>
      </c>
      <c r="N3675">
        <v>-6.9523809999999997E-3</v>
      </c>
      <c r="O3675">
        <v>-0.1242021</v>
      </c>
      <c r="P3675">
        <v>-0.91954709999999995</v>
      </c>
      <c r="Q3675">
        <v>0.39249620000000002</v>
      </c>
      <c r="R3675">
        <v>-1.9495999999999999E-2</v>
      </c>
      <c r="S3675">
        <v>-3.401062</v>
      </c>
      <c r="T3675">
        <v>-0.31948090000000001</v>
      </c>
      <c r="U3675">
        <v>0.113494899999999</v>
      </c>
      <c r="V3675">
        <v>0.1028384</v>
      </c>
      <c r="W3675">
        <v>0.39686700000000003</v>
      </c>
      <c r="X3675">
        <v>0.91209700000000005</v>
      </c>
      <c r="Y3675">
        <v>0.1560252</v>
      </c>
      <c r="Z3675">
        <v>1.861262E-2</v>
      </c>
      <c r="AA3675">
        <v>0.9875777</v>
      </c>
      <c r="AB3675">
        <v>28</v>
      </c>
      <c r="AC3675">
        <v>-0.52009999999998502</v>
      </c>
      <c r="AD3675">
        <v>-7.78859999999999E-2</v>
      </c>
      <c r="AE3675">
        <v>5.8099999999996002E-2</v>
      </c>
      <c r="AF3675">
        <v>0.119600119357715</v>
      </c>
      <c r="AG3675">
        <v>-7.78859999999999E-2</v>
      </c>
      <c r="AH3675">
        <v>0.497829767806164</v>
      </c>
      <c r="AI3675">
        <v>98.649670604627602</v>
      </c>
      <c r="AJ3675">
        <v>76.491102584864194</v>
      </c>
      <c r="AK3675">
        <v>0.517885021274335</v>
      </c>
      <c r="AL3675">
        <v>66.617536061109405</v>
      </c>
      <c r="AM3675">
        <v>83.567102033813498</v>
      </c>
      <c r="AN3675">
        <v>1.00000004480627</v>
      </c>
    </row>
    <row r="3676" spans="1:40" x14ac:dyDescent="0.25">
      <c r="A3676" t="str">
        <f>"20190304164717174"</f>
        <v>20190304164717174</v>
      </c>
      <c r="B3676" t="str">
        <f>"1551689237162492"</f>
        <v>1551689237162492</v>
      </c>
      <c r="C3676" t="s">
        <v>40</v>
      </c>
      <c r="D3676">
        <v>4.2891550000000001</v>
      </c>
      <c r="E3676">
        <v>0.53478809999999999</v>
      </c>
      <c r="F3676" t="s">
        <v>41</v>
      </c>
      <c r="G3676">
        <v>-212.19820000000001</v>
      </c>
      <c r="H3676">
        <v>1.029174</v>
      </c>
      <c r="I3676">
        <v>141.4958</v>
      </c>
      <c r="J3676">
        <v>-211.7122</v>
      </c>
      <c r="K3676">
        <v>1.1021019999999999</v>
      </c>
      <c r="L3676">
        <v>141.44040000000001</v>
      </c>
      <c r="M3676">
        <v>-0.99348530000000002</v>
      </c>
      <c r="N3676">
        <v>-6.9201899999999997E-3</v>
      </c>
      <c r="O3676">
        <v>-0.1137509</v>
      </c>
      <c r="P3676">
        <v>-0.91957080000000002</v>
      </c>
      <c r="Q3676">
        <v>0.39257740000000002</v>
      </c>
      <c r="R3676">
        <v>-1.651321E-2</v>
      </c>
      <c r="S3676">
        <v>-3.4005429999999999</v>
      </c>
      <c r="T3676">
        <v>-0.31712699999999999</v>
      </c>
      <c r="U3676">
        <v>0.1269989</v>
      </c>
      <c r="V3676">
        <v>9.5991969999999996E-2</v>
      </c>
      <c r="W3676">
        <v>0.3970998</v>
      </c>
      <c r="X3676">
        <v>0.91274169999999999</v>
      </c>
      <c r="Y3676">
        <v>0.14963419999999999</v>
      </c>
      <c r="Z3676">
        <v>1.7262570000000001E-2</v>
      </c>
      <c r="AA3676">
        <v>0.98859070000000004</v>
      </c>
      <c r="AB3676">
        <v>29</v>
      </c>
      <c r="AC3676">
        <v>-0.48600000000001797</v>
      </c>
      <c r="AD3676">
        <v>-7.2928000000000104E-2</v>
      </c>
      <c r="AE3676">
        <v>5.5399999999991602E-2</v>
      </c>
      <c r="AF3676">
        <v>0.10792563446076001</v>
      </c>
      <c r="AG3676">
        <v>-7.2928000000000104E-2</v>
      </c>
      <c r="AH3676">
        <v>0.46618094076190503</v>
      </c>
      <c r="AI3676">
        <v>98.665547206134505</v>
      </c>
      <c r="AJ3676">
        <v>76.965082895657801</v>
      </c>
      <c r="AK3676">
        <v>0.484036264434198</v>
      </c>
      <c r="AL3676">
        <v>66.603003775247501</v>
      </c>
      <c r="AM3676">
        <v>83.996339871670003</v>
      </c>
      <c r="AN3676">
        <v>1.0000000601917001</v>
      </c>
    </row>
    <row r="3677" spans="1:40" x14ac:dyDescent="0.25">
      <c r="A3677" t="str">
        <f>"20190304164717197"</f>
        <v>20190304164717197</v>
      </c>
      <c r="B3677" t="str">
        <f>"1551689237192748"</f>
        <v>1551689237192748</v>
      </c>
      <c r="C3677" t="s">
        <v>40</v>
      </c>
      <c r="D3677">
        <v>4.2038320000000002</v>
      </c>
      <c r="E3677">
        <v>0.53354409999999997</v>
      </c>
      <c r="F3677" t="s">
        <v>41</v>
      </c>
      <c r="G3677">
        <v>-212.4581</v>
      </c>
      <c r="H3677">
        <v>1.0324249999999999</v>
      </c>
      <c r="I3677">
        <v>141.47040000000001</v>
      </c>
      <c r="J3677">
        <v>-212.01</v>
      </c>
      <c r="K3677">
        <v>1.1023270000000001</v>
      </c>
      <c r="L3677">
        <v>141.41679999999999</v>
      </c>
      <c r="M3677">
        <v>-0.99460249999999994</v>
      </c>
      <c r="N3677">
        <v>-6.8866209999999999E-3</v>
      </c>
      <c r="O3677">
        <v>-0.10353</v>
      </c>
      <c r="P3677">
        <v>-0.91969330000000005</v>
      </c>
      <c r="Q3677">
        <v>0.39239810000000003</v>
      </c>
      <c r="R3677">
        <v>-1.3716320000000001E-2</v>
      </c>
      <c r="S3677">
        <v>-3.4001769999999998</v>
      </c>
      <c r="T3677">
        <v>-0.31706689999999998</v>
      </c>
      <c r="U3677">
        <v>0.13549800000000001</v>
      </c>
      <c r="V3677">
        <v>8.9161699999999997E-2</v>
      </c>
      <c r="W3677">
        <v>0.39707049999999999</v>
      </c>
      <c r="X3677">
        <v>0.91344689999999995</v>
      </c>
      <c r="Y3677">
        <v>0.14200979999999999</v>
      </c>
      <c r="Z3677">
        <v>1.6004190000000001E-2</v>
      </c>
      <c r="AA3677">
        <v>0.98973580000000005</v>
      </c>
      <c r="AB3677">
        <v>29</v>
      </c>
      <c r="AC3677">
        <v>-0.44810000000000999</v>
      </c>
      <c r="AD3677">
        <v>-6.9902000000000103E-2</v>
      </c>
      <c r="AE3677">
        <v>5.3600000000017099E-2</v>
      </c>
      <c r="AF3677">
        <v>9.7368815364177394E-2</v>
      </c>
      <c r="AG3677">
        <v>-6.9902000000000103E-2</v>
      </c>
      <c r="AH3677">
        <v>0.42983028312661398</v>
      </c>
      <c r="AI3677">
        <v>99.012516320479094</v>
      </c>
      <c r="AJ3677">
        <v>77.236286406363206</v>
      </c>
      <c r="AK3677">
        <v>0.44622981534421102</v>
      </c>
      <c r="AL3677">
        <v>66.604831809194593</v>
      </c>
      <c r="AM3677">
        <v>84.425010600608104</v>
      </c>
      <c r="AN3677">
        <v>1.0000000149183701</v>
      </c>
    </row>
    <row r="3678" spans="1:40" x14ac:dyDescent="0.25">
      <c r="A3678" t="str">
        <f>"20190304164717218"</f>
        <v>20190304164717218</v>
      </c>
      <c r="B3678" t="str">
        <f>"1551689237212268"</f>
        <v>1551689237212268</v>
      </c>
      <c r="C3678" t="s">
        <v>40</v>
      </c>
      <c r="D3678">
        <v>4.1783539999999997</v>
      </c>
      <c r="E3678">
        <v>0.53315990000000002</v>
      </c>
      <c r="F3678" t="s">
        <v>41</v>
      </c>
      <c r="G3678">
        <v>-212.9743</v>
      </c>
      <c r="H3678">
        <v>1.0175000000000001</v>
      </c>
      <c r="I3678">
        <v>141.4562</v>
      </c>
      <c r="J3678">
        <v>-212.30070000000001</v>
      </c>
      <c r="K3678">
        <v>1.102549</v>
      </c>
      <c r="L3678">
        <v>141.3964</v>
      </c>
      <c r="M3678">
        <v>-0.9955562</v>
      </c>
      <c r="N3678">
        <v>-6.8540669999999897E-3</v>
      </c>
      <c r="O3678">
        <v>-9.3919269999999999E-2</v>
      </c>
      <c r="P3678">
        <v>-0.9199579</v>
      </c>
      <c r="Q3678">
        <v>0.39185379999999997</v>
      </c>
      <c r="R3678">
        <v>-1.132268E-2</v>
      </c>
      <c r="S3678">
        <v>-3.3912659999999999</v>
      </c>
      <c r="T3678">
        <v>-0.29822349999999997</v>
      </c>
      <c r="U3678">
        <v>0.1383057</v>
      </c>
      <c r="V3678">
        <v>8.2497319999999999E-2</v>
      </c>
      <c r="W3678">
        <v>0.39666869999999999</v>
      </c>
      <c r="X3678">
        <v>0.91424729999999998</v>
      </c>
      <c r="Y3678">
        <v>0.13355</v>
      </c>
      <c r="Z3678">
        <v>1.3909090000000001E-2</v>
      </c>
      <c r="AA3678">
        <v>0.99094439999999995</v>
      </c>
      <c r="AB3678">
        <v>29</v>
      </c>
      <c r="AC3678">
        <v>-0.67359999999999298</v>
      </c>
      <c r="AD3678">
        <v>-8.5048999999999902E-2</v>
      </c>
      <c r="AE3678">
        <v>5.97999999999956E-2</v>
      </c>
      <c r="AF3678">
        <v>0.120889062671778</v>
      </c>
      <c r="AG3678">
        <v>-8.5048999999999902E-2</v>
      </c>
      <c r="AH3678">
        <v>0.65465128208521395</v>
      </c>
      <c r="AI3678">
        <v>97.280385032843895</v>
      </c>
      <c r="AJ3678">
        <v>79.537520990840605</v>
      </c>
      <c r="AK3678">
        <v>0.67113023997617305</v>
      </c>
      <c r="AL3678">
        <v>66.629912568415307</v>
      </c>
      <c r="AM3678">
        <v>84.843866042568294</v>
      </c>
      <c r="AN3678">
        <v>0.99999999546208096</v>
      </c>
    </row>
    <row r="3679" spans="1:40" x14ac:dyDescent="0.25">
      <c r="A3679" t="str">
        <f>"20190304164717241"</f>
        <v>20190304164717241</v>
      </c>
      <c r="B3679" t="str">
        <f>"1551689237232153"</f>
        <v>1551689237232153</v>
      </c>
      <c r="C3679" t="s">
        <v>40</v>
      </c>
      <c r="D3679">
        <v>4.2413699999999999</v>
      </c>
      <c r="E3679">
        <v>0.53286560000000005</v>
      </c>
      <c r="F3679" t="s">
        <v>41</v>
      </c>
      <c r="G3679">
        <v>-213.23670000000001</v>
      </c>
      <c r="H3679">
        <v>1.0201629999999999</v>
      </c>
      <c r="I3679">
        <v>141.4357</v>
      </c>
      <c r="J3679">
        <v>-212.6112</v>
      </c>
      <c r="K3679">
        <v>1.102759</v>
      </c>
      <c r="L3679">
        <v>141.37719999999999</v>
      </c>
      <c r="M3679">
        <v>-0.99644270000000001</v>
      </c>
      <c r="N3679">
        <v>-6.8227289999999996E-3</v>
      </c>
      <c r="O3679">
        <v>-8.3995810000000004E-2</v>
      </c>
      <c r="P3679">
        <v>-0.92015219999999998</v>
      </c>
      <c r="Q3679">
        <v>0.39146439999999999</v>
      </c>
      <c r="R3679">
        <v>-8.7003469999999902E-3</v>
      </c>
      <c r="S3679">
        <v>-3.3897249999999999</v>
      </c>
      <c r="T3679">
        <v>-0.29807669999999997</v>
      </c>
      <c r="U3679">
        <v>0.14202879999999901</v>
      </c>
      <c r="V3679">
        <v>7.5777659999999997E-2</v>
      </c>
      <c r="W3679">
        <v>0.39641480000000001</v>
      </c>
      <c r="X3679">
        <v>0.9149389</v>
      </c>
      <c r="Y3679">
        <v>0.1248455</v>
      </c>
      <c r="Z3679">
        <v>1.2696570000000001E-2</v>
      </c>
      <c r="AA3679">
        <v>0.9920949</v>
      </c>
      <c r="AB3679">
        <v>29</v>
      </c>
      <c r="AC3679">
        <v>-0.62550000000001604</v>
      </c>
      <c r="AD3679">
        <v>-8.25960000000001E-2</v>
      </c>
      <c r="AE3679">
        <v>5.8500000000009302E-2</v>
      </c>
      <c r="AF3679">
        <v>0.108950600100998</v>
      </c>
      <c r="AG3679">
        <v>-8.25960000000001E-2</v>
      </c>
      <c r="AH3679">
        <v>0.60786828919964297</v>
      </c>
      <c r="AI3679">
        <v>97.617918607889493</v>
      </c>
      <c r="AJ3679">
        <v>79.838549074698804</v>
      </c>
      <c r="AK3679">
        <v>0.62305392181806196</v>
      </c>
      <c r="AL3679">
        <v>66.645760940871099</v>
      </c>
      <c r="AM3679">
        <v>85.265418008077404</v>
      </c>
      <c r="AN3679">
        <v>1.0000000690736599</v>
      </c>
    </row>
    <row r="3680" spans="1:40" x14ac:dyDescent="0.25">
      <c r="A3680" t="str">
        <f>"20190304164717263"</f>
        <v>20190304164717263</v>
      </c>
      <c r="B3680" t="str">
        <f>"1551689237252649"</f>
        <v>1551689237252649</v>
      </c>
      <c r="C3680" t="s">
        <v>40</v>
      </c>
      <c r="D3680">
        <v>4.2538669999999996</v>
      </c>
      <c r="E3680">
        <v>0.53274549999999998</v>
      </c>
      <c r="F3680" t="s">
        <v>41</v>
      </c>
      <c r="G3680">
        <v>-213.5009</v>
      </c>
      <c r="H3680">
        <v>1.024365</v>
      </c>
      <c r="I3680">
        <v>141.41630000000001</v>
      </c>
      <c r="J3680">
        <v>-212.89609999999999</v>
      </c>
      <c r="K3680">
        <v>1.1029420000000001</v>
      </c>
      <c r="L3680">
        <v>141.36199999999999</v>
      </c>
      <c r="M3680">
        <v>-0.99714539999999996</v>
      </c>
      <c r="N3680">
        <v>-6.7969679999999996E-3</v>
      </c>
      <c r="O3680">
        <v>-7.5200669999999997E-2</v>
      </c>
      <c r="P3680">
        <v>-0.92004390000000003</v>
      </c>
      <c r="Q3680">
        <v>0.39173350000000001</v>
      </c>
      <c r="R3680">
        <v>-8.0218149999999998E-3</v>
      </c>
      <c r="S3680">
        <v>-3.3886720000000001</v>
      </c>
      <c r="T3680">
        <v>-0.29836629999999997</v>
      </c>
      <c r="U3680">
        <v>0.14874270000000001</v>
      </c>
      <c r="V3680">
        <v>6.8178539999999996E-2</v>
      </c>
      <c r="W3680">
        <v>0.39682709999999999</v>
      </c>
      <c r="X3680">
        <v>0.9153578</v>
      </c>
      <c r="Y3680">
        <v>0.1181188</v>
      </c>
      <c r="Z3680">
        <v>1.1683229999999999E-2</v>
      </c>
      <c r="AA3680">
        <v>0.99293069999999894</v>
      </c>
      <c r="AB3680">
        <v>29</v>
      </c>
      <c r="AC3680">
        <v>-0.604800000000011</v>
      </c>
      <c r="AD3680">
        <v>-7.8577000000000105E-2</v>
      </c>
      <c r="AE3680">
        <v>5.4300000000011998E-2</v>
      </c>
      <c r="AF3680">
        <v>9.7987857932499298E-2</v>
      </c>
      <c r="AG3680">
        <v>-7.8577000000000105E-2</v>
      </c>
      <c r="AH3680">
        <v>0.589138864806665</v>
      </c>
      <c r="AI3680">
        <v>97.495275264529397</v>
      </c>
      <c r="AJ3680">
        <v>80.556788636886196</v>
      </c>
      <c r="AK3680">
        <v>0.60237908932572104</v>
      </c>
      <c r="AL3680">
        <v>66.620025107733497</v>
      </c>
      <c r="AM3680">
        <v>85.740307455890601</v>
      </c>
      <c r="AN3680">
        <v>0.99999998131588996</v>
      </c>
    </row>
    <row r="3681" spans="1:40" x14ac:dyDescent="0.25">
      <c r="A3681" t="str">
        <f>"20190304164717286"</f>
        <v>20190304164717286</v>
      </c>
      <c r="B3681" t="str">
        <f>"1551689237282905"</f>
        <v>1551689237282905</v>
      </c>
      <c r="C3681" t="s">
        <v>40</v>
      </c>
      <c r="D3681">
        <v>4.2698999999999998</v>
      </c>
      <c r="E3681">
        <v>0.53282079999999998</v>
      </c>
      <c r="F3681" t="s">
        <v>41</v>
      </c>
      <c r="G3681">
        <v>-213.76499999999999</v>
      </c>
      <c r="H3681">
        <v>1.025625</v>
      </c>
      <c r="I3681">
        <v>141.4016</v>
      </c>
      <c r="J3681">
        <v>-213.1977</v>
      </c>
      <c r="K3681">
        <v>1.1031340000000001</v>
      </c>
      <c r="L3681">
        <v>141.34819999999999</v>
      </c>
      <c r="M3681">
        <v>-0.99778060000000002</v>
      </c>
      <c r="N3681">
        <v>-6.7696279999999998E-3</v>
      </c>
      <c r="O3681">
        <v>-6.6243720000000006E-2</v>
      </c>
      <c r="P3681">
        <v>-0.91985340000000004</v>
      </c>
      <c r="Q3681">
        <v>0.3921905</v>
      </c>
      <c r="R3681">
        <v>-7.5172599999999996E-3</v>
      </c>
      <c r="S3681">
        <v>-3.3904719999999999</v>
      </c>
      <c r="T3681">
        <v>-0.30157640000000002</v>
      </c>
      <c r="U3681">
        <v>0.15446470000000001</v>
      </c>
      <c r="V3681">
        <v>6.0243940000000003E-2</v>
      </c>
      <c r="W3681">
        <v>0.39742529999999998</v>
      </c>
      <c r="X3681">
        <v>0.91565479999999999</v>
      </c>
      <c r="Y3681">
        <v>0.1108946</v>
      </c>
      <c r="Z3681">
        <v>1.0725149999999999E-2</v>
      </c>
      <c r="AA3681">
        <v>0.9937743</v>
      </c>
      <c r="AB3681">
        <v>29</v>
      </c>
      <c r="AC3681">
        <v>-0.56729999999998804</v>
      </c>
      <c r="AD3681">
        <v>-7.7508999999999995E-2</v>
      </c>
      <c r="AE3681">
        <v>5.3400000000010502E-2</v>
      </c>
      <c r="AF3681">
        <v>8.9212893243583405E-2</v>
      </c>
      <c r="AG3681">
        <v>-7.7508999999999995E-2</v>
      </c>
      <c r="AH3681">
        <v>0.55229707665632999</v>
      </c>
      <c r="AI3681">
        <v>97.887747931839101</v>
      </c>
      <c r="AJ3681">
        <v>80.824234114225902</v>
      </c>
      <c r="AK3681">
        <v>0.56479965145617705</v>
      </c>
      <c r="AL3681">
        <v>66.582679026782998</v>
      </c>
      <c r="AM3681">
        <v>86.235747530608904</v>
      </c>
      <c r="AN3681">
        <v>0.99999995707492495</v>
      </c>
    </row>
    <row r="3682" spans="1:40" x14ac:dyDescent="0.25">
      <c r="A3682" t="str">
        <f>"20190304164717307"</f>
        <v>20190304164717307</v>
      </c>
      <c r="B3682" t="str">
        <f>"1551689237302425"</f>
        <v>1551689237302425</v>
      </c>
      <c r="C3682" t="s">
        <v>40</v>
      </c>
      <c r="D3682">
        <v>4.2609250000000003</v>
      </c>
      <c r="E3682">
        <v>0.53248379999999995</v>
      </c>
      <c r="F3682" t="s">
        <v>41</v>
      </c>
      <c r="G3682">
        <v>-214.0308</v>
      </c>
      <c r="H3682">
        <v>1.0284879999999901</v>
      </c>
      <c r="I3682">
        <v>141.3879</v>
      </c>
      <c r="J3682">
        <v>-213.46969999999999</v>
      </c>
      <c r="K3682">
        <v>1.1033189999999999</v>
      </c>
      <c r="L3682">
        <v>141.33779999999999</v>
      </c>
      <c r="M3682">
        <v>-0.99826499999999996</v>
      </c>
      <c r="N3682">
        <v>-6.7427160000000002E-3</v>
      </c>
      <c r="O3682">
        <v>-5.849335E-2</v>
      </c>
      <c r="P3682">
        <v>-0.92018679999999997</v>
      </c>
      <c r="Q3682">
        <v>0.39140589999999997</v>
      </c>
      <c r="R3682">
        <v>-7.613033E-3</v>
      </c>
      <c r="S3682">
        <v>-3.3922729999999999</v>
      </c>
      <c r="T3682">
        <v>-0.30389559999999999</v>
      </c>
      <c r="U3682">
        <v>0.16137699999999999</v>
      </c>
      <c r="V3682">
        <v>5.2837149999999999E-2</v>
      </c>
      <c r="W3682">
        <v>0.39676929999999999</v>
      </c>
      <c r="X3682">
        <v>0.9163964</v>
      </c>
      <c r="Y3682">
        <v>0.1052131</v>
      </c>
      <c r="Z3682">
        <v>9.8891329999999996E-3</v>
      </c>
      <c r="AA3682">
        <v>0.99440050000000002</v>
      </c>
      <c r="AB3682">
        <v>29</v>
      </c>
      <c r="AC3682">
        <v>-0.56110000000001004</v>
      </c>
      <c r="AD3682">
        <v>-7.48310000000003E-2</v>
      </c>
      <c r="AE3682">
        <v>5.0100000000014598E-2</v>
      </c>
      <c r="AF3682">
        <v>8.1399250296123493E-2</v>
      </c>
      <c r="AG3682">
        <v>-7.48310000000003E-2</v>
      </c>
      <c r="AH3682">
        <v>0.54754691921500098</v>
      </c>
      <c r="AI3682">
        <v>97.698593856470197</v>
      </c>
      <c r="AJ3682">
        <v>81.54424127067</v>
      </c>
      <c r="AK3682">
        <v>0.558599270722411</v>
      </c>
      <c r="AL3682">
        <v>66.623633499282903</v>
      </c>
      <c r="AM3682">
        <v>86.700120516569996</v>
      </c>
      <c r="AN3682">
        <v>1.0000000018877799</v>
      </c>
    </row>
    <row r="3683" spans="1:40" x14ac:dyDescent="0.25">
      <c r="A3683" t="str">
        <f>"20190304164717329"</f>
        <v>20190304164717329</v>
      </c>
      <c r="B3683" t="str">
        <f>"1551689237322921"</f>
        <v>1551689237322921</v>
      </c>
      <c r="C3683" t="s">
        <v>40</v>
      </c>
      <c r="D3683">
        <v>4.2225599999999996</v>
      </c>
      <c r="E3683">
        <v>0.51681650000000001</v>
      </c>
      <c r="F3683" t="s">
        <v>41</v>
      </c>
      <c r="G3683">
        <v>-214.2963</v>
      </c>
      <c r="H3683">
        <v>1.028424</v>
      </c>
      <c r="I3683">
        <v>141.3768</v>
      </c>
      <c r="J3683">
        <v>-213.77090000000001</v>
      </c>
      <c r="K3683">
        <v>1.1035410000000001</v>
      </c>
      <c r="L3683">
        <v>141.32839999999999</v>
      </c>
      <c r="M3683">
        <v>-0.99871310000000002</v>
      </c>
      <c r="N3683">
        <v>-6.7111719999999996E-3</v>
      </c>
      <c r="O3683">
        <v>-5.0269109999999999E-2</v>
      </c>
      <c r="P3683">
        <v>-0.92091559999999995</v>
      </c>
      <c r="Q3683">
        <v>0.389679</v>
      </c>
      <c r="R3683">
        <v>-8.0541650000000003E-3</v>
      </c>
      <c r="S3683">
        <v>-3.392242</v>
      </c>
      <c r="T3683">
        <v>-0.30727989999999999</v>
      </c>
      <c r="U3683">
        <v>0.1597595</v>
      </c>
      <c r="V3683">
        <v>4.4607719999999997E-2</v>
      </c>
      <c r="W3683">
        <v>0.39517989999999997</v>
      </c>
      <c r="X3683">
        <v>0.91752</v>
      </c>
      <c r="Y3683">
        <v>9.6598219999999999E-2</v>
      </c>
      <c r="Z3683">
        <v>8.8938590000000005E-3</v>
      </c>
      <c r="AA3683">
        <v>0.99528369999999999</v>
      </c>
      <c r="AB3683">
        <v>29</v>
      </c>
      <c r="AC3683">
        <v>-0.52539999999998999</v>
      </c>
      <c r="AD3683">
        <v>-7.5116999999999795E-2</v>
      </c>
      <c r="AE3683">
        <v>4.8400000000015098E-2</v>
      </c>
      <c r="AF3683">
        <v>7.3265788346271593E-2</v>
      </c>
      <c r="AG3683">
        <v>-7.5116999999999795E-2</v>
      </c>
      <c r="AH3683">
        <v>0.51192653434935598</v>
      </c>
      <c r="AI3683">
        <v>98.264633978792304</v>
      </c>
      <c r="AJ3683">
        <v>81.855263524816394</v>
      </c>
      <c r="AK3683">
        <v>0.52256981926049095</v>
      </c>
      <c r="AL3683">
        <v>66.722804979486497</v>
      </c>
      <c r="AM3683">
        <v>87.216602128806301</v>
      </c>
      <c r="AN3683">
        <v>0.99999997622380299</v>
      </c>
    </row>
    <row r="3684" spans="1:40" x14ac:dyDescent="0.25">
      <c r="A3684" t="str">
        <f>"20190304164717352"</f>
        <v>20190304164717352</v>
      </c>
      <c r="B3684" t="str">
        <f>"1551689237342441"</f>
        <v>1551689237342441</v>
      </c>
      <c r="C3684" t="s">
        <v>40</v>
      </c>
      <c r="D3684">
        <v>4.217975</v>
      </c>
      <c r="E3684">
        <v>0.51609389999999999</v>
      </c>
      <c r="F3684" t="s">
        <v>41</v>
      </c>
      <c r="G3684">
        <v>-214.5599</v>
      </c>
      <c r="H3684">
        <v>1.0254989999999999</v>
      </c>
      <c r="I3684">
        <v>141.3365</v>
      </c>
      <c r="J3684">
        <v>-214.06960000000001</v>
      </c>
      <c r="K3684">
        <v>1.103801</v>
      </c>
      <c r="L3684">
        <v>141.3211</v>
      </c>
      <c r="M3684">
        <v>-0.99907440000000003</v>
      </c>
      <c r="N3684">
        <v>-6.67988E-3</v>
      </c>
      <c r="O3684">
        <v>-4.2495409999999997E-2</v>
      </c>
      <c r="P3684">
        <v>-0.92139839999999995</v>
      </c>
      <c r="Q3684">
        <v>0.38847470000000001</v>
      </c>
      <c r="R3684">
        <v>-1.061664E-2</v>
      </c>
      <c r="S3684">
        <v>-3.4000849999999998</v>
      </c>
      <c r="T3684">
        <v>-0.33596239999999999</v>
      </c>
      <c r="U3684">
        <v>3.388977E-2</v>
      </c>
      <c r="V3684">
        <v>3.4645809999999999E-2</v>
      </c>
      <c r="W3684">
        <v>0.39413009999999998</v>
      </c>
      <c r="X3684">
        <v>0.91840140000000003</v>
      </c>
      <c r="Y3684">
        <v>5.2001810000000002E-2</v>
      </c>
      <c r="Z3684">
        <v>6.6416599999999998E-3</v>
      </c>
      <c r="AA3684">
        <v>0.99862490000000004</v>
      </c>
      <c r="AB3684">
        <v>29</v>
      </c>
      <c r="AC3684">
        <v>-0.49029999999999002</v>
      </c>
      <c r="AD3684">
        <v>-7.8302000000000094E-2</v>
      </c>
      <c r="AE3684">
        <v>1.53999999999996E-2</v>
      </c>
      <c r="AF3684">
        <v>3.5322056820714202E-2</v>
      </c>
      <c r="AG3684">
        <v>-7.8302000000000094E-2</v>
      </c>
      <c r="AH3684">
        <v>0.47704761720945998</v>
      </c>
      <c r="AI3684">
        <v>99.296338265354393</v>
      </c>
      <c r="AJ3684">
        <v>85.765373501621596</v>
      </c>
      <c r="AK3684">
        <v>0.48471979533259202</v>
      </c>
      <c r="AL3684">
        <v>66.788268325957901</v>
      </c>
      <c r="AM3684">
        <v>87.839596230681195</v>
      </c>
      <c r="AN3684">
        <v>0.99999999969926301</v>
      </c>
    </row>
    <row r="3685" spans="1:40" x14ac:dyDescent="0.25">
      <c r="A3685" t="str">
        <f>"20190304164717374"</f>
        <v>20190304164717374</v>
      </c>
      <c r="B3685" t="str">
        <f>"1551689237362936"</f>
        <v>1551689237362936</v>
      </c>
      <c r="C3685" t="s">
        <v>40</v>
      </c>
      <c r="D3685">
        <v>4.2110409999999998</v>
      </c>
      <c r="E3685">
        <v>0.51590259999999999</v>
      </c>
      <c r="F3685" t="s">
        <v>41</v>
      </c>
      <c r="G3685">
        <v>-214.82830000000001</v>
      </c>
      <c r="H3685">
        <v>1.027285</v>
      </c>
      <c r="I3685">
        <v>141.32650000000001</v>
      </c>
      <c r="J3685">
        <v>-214.37100000000001</v>
      </c>
      <c r="K3685">
        <v>1.104079</v>
      </c>
      <c r="L3685">
        <v>141.31559999999999</v>
      </c>
      <c r="M3685">
        <v>-0.99936360000000002</v>
      </c>
      <c r="N3685">
        <v>-6.6493469999999999E-3</v>
      </c>
      <c r="O3685">
        <v>-3.5049360000000002E-2</v>
      </c>
      <c r="P3685">
        <v>-0.92132999999999998</v>
      </c>
      <c r="Q3685">
        <v>0.38855810000000002</v>
      </c>
      <c r="R3685">
        <v>-1.317434E-2</v>
      </c>
      <c r="S3685">
        <v>-3.4006810000000001</v>
      </c>
      <c r="T3685">
        <v>-0.34273930000000002</v>
      </c>
      <c r="U3685">
        <v>2.3818969999999998E-2</v>
      </c>
      <c r="V3685">
        <v>2.4964730000000001E-2</v>
      </c>
      <c r="W3685">
        <v>0.3943487</v>
      </c>
      <c r="X3685">
        <v>0.91862169999999999</v>
      </c>
      <c r="Y3685">
        <v>4.1669039999999997E-2</v>
      </c>
      <c r="Z3685">
        <v>5.5239319999999996E-3</v>
      </c>
      <c r="AA3685">
        <v>0.99911620000000001</v>
      </c>
      <c r="AB3685">
        <v>30</v>
      </c>
      <c r="AC3685">
        <v>-0.45730000000003201</v>
      </c>
      <c r="AD3685">
        <v>-7.6794000000000001E-2</v>
      </c>
      <c r="AE3685">
        <v>1.09000000000207E-2</v>
      </c>
      <c r="AF3685">
        <v>2.61837590526426E-2</v>
      </c>
      <c r="AG3685">
        <v>-7.6794000000000001E-2</v>
      </c>
      <c r="AH3685">
        <v>0.44411981231863201</v>
      </c>
      <c r="AI3685">
        <v>99.793494730152403</v>
      </c>
      <c r="AJ3685">
        <v>86.625945813030299</v>
      </c>
      <c r="AK3685">
        <v>0.45147017107231302</v>
      </c>
      <c r="AL3685">
        <v>66.7746392000969</v>
      </c>
      <c r="AM3685">
        <v>88.443296422100502</v>
      </c>
      <c r="AN3685">
        <v>0.99999998132327605</v>
      </c>
    </row>
    <row r="3686" spans="1:40" x14ac:dyDescent="0.25">
      <c r="A3686" t="str">
        <f>"20190304164717398"</f>
        <v>20190304164717398</v>
      </c>
      <c r="B3686" t="str">
        <f>"1551689237392217"</f>
        <v>1551689237392217</v>
      </c>
      <c r="C3686" t="s">
        <v>40</v>
      </c>
      <c r="D3686">
        <v>4.2217180000000001</v>
      </c>
      <c r="E3686">
        <v>0.51578409999999997</v>
      </c>
      <c r="F3686" t="s">
        <v>41</v>
      </c>
      <c r="G3686">
        <v>-215.09809999999999</v>
      </c>
      <c r="H3686">
        <v>1.030165</v>
      </c>
      <c r="I3686">
        <v>141.31950000000001</v>
      </c>
      <c r="J3686">
        <v>-214.6781</v>
      </c>
      <c r="K3686">
        <v>1.1043799999999999</v>
      </c>
      <c r="L3686">
        <v>141.31200000000001</v>
      </c>
      <c r="M3686">
        <v>-0.99958769999999997</v>
      </c>
      <c r="N3686">
        <v>-6.6187399999999997E-3</v>
      </c>
      <c r="O3686">
        <v>-2.7938770000000002E-2</v>
      </c>
      <c r="P3686">
        <v>-0.92092220000000002</v>
      </c>
      <c r="Q3686">
        <v>0.3894608</v>
      </c>
      <c r="R3686">
        <v>-1.491371E-2</v>
      </c>
      <c r="S3686">
        <v>-3.4021910000000002</v>
      </c>
      <c r="T3686">
        <v>-0.34569290000000003</v>
      </c>
      <c r="U3686">
        <v>1.7623900000000001E-2</v>
      </c>
      <c r="V3686">
        <v>1.6395E-2</v>
      </c>
      <c r="W3686">
        <v>0.3953564</v>
      </c>
      <c r="X3686">
        <v>0.91838149999999996</v>
      </c>
      <c r="Y3686">
        <v>3.2811380000000001E-2</v>
      </c>
      <c r="Z3686">
        <v>4.4183570000000004E-3</v>
      </c>
      <c r="AA3686">
        <v>0.9994518</v>
      </c>
      <c r="AB3686">
        <v>30</v>
      </c>
      <c r="AC3686">
        <v>-0.41999999999998699</v>
      </c>
      <c r="AD3686">
        <v>-7.4214999999999906E-2</v>
      </c>
      <c r="AE3686">
        <v>7.4999999999931797E-3</v>
      </c>
      <c r="AF3686">
        <v>1.8649491760387899E-2</v>
      </c>
      <c r="AG3686">
        <v>-7.4214999999999906E-2</v>
      </c>
      <c r="AH3686">
        <v>0.40692483328151002</v>
      </c>
      <c r="AI3686">
        <v>100.325405138508</v>
      </c>
      <c r="AJ3686">
        <v>87.3759527624822</v>
      </c>
      <c r="AK3686">
        <v>0.41405735074878902</v>
      </c>
      <c r="AL3686">
        <v>66.711797054504601</v>
      </c>
      <c r="AM3686">
        <v>88.977261047123605</v>
      </c>
      <c r="AN3686">
        <v>1.0000000292941</v>
      </c>
    </row>
    <row r="3687" spans="1:40" x14ac:dyDescent="0.25">
      <c r="A3687" t="str">
        <f>"20190304164717419"</f>
        <v>20190304164717419</v>
      </c>
      <c r="B3687" t="str">
        <f>"1551689237412712"</f>
        <v>1551689237412712</v>
      </c>
      <c r="C3687" t="s">
        <v>40</v>
      </c>
      <c r="D3687">
        <v>4.2267440000000001</v>
      </c>
      <c r="E3687">
        <v>0.51608609999999999</v>
      </c>
      <c r="F3687" t="s">
        <v>41</v>
      </c>
      <c r="G3687">
        <v>-215.6275</v>
      </c>
      <c r="H3687">
        <v>1.0094289999999999</v>
      </c>
      <c r="I3687">
        <v>141.315</v>
      </c>
      <c r="J3687">
        <v>-214.98410000000001</v>
      </c>
      <c r="K3687">
        <v>1.104676</v>
      </c>
      <c r="L3687">
        <v>141.31020000000001</v>
      </c>
      <c r="M3687">
        <v>-0.99975190000000003</v>
      </c>
      <c r="N3687">
        <v>-6.5897129999999996E-3</v>
      </c>
      <c r="O3687">
        <v>-2.1274339999999999E-2</v>
      </c>
      <c r="P3687">
        <v>-0.92049239999999999</v>
      </c>
      <c r="Q3687">
        <v>0.39038299999999998</v>
      </c>
      <c r="R3687">
        <v>-1.7171430000000001E-2</v>
      </c>
      <c r="S3687">
        <v>-3.4015960000000001</v>
      </c>
      <c r="T3687">
        <v>-0.34013520000000003</v>
      </c>
      <c r="U3687">
        <v>1.010132E-2</v>
      </c>
      <c r="V3687">
        <v>7.7237690000000001E-3</v>
      </c>
      <c r="W3687">
        <v>0.39637359999999999</v>
      </c>
      <c r="X3687">
        <v>0.91805680000000001</v>
      </c>
      <c r="Y3687">
        <v>2.4023320000000001E-2</v>
      </c>
      <c r="Z3687">
        <v>3.2594630000000002E-3</v>
      </c>
      <c r="AA3687">
        <v>0.99970610000000004</v>
      </c>
      <c r="AB3687">
        <v>30</v>
      </c>
      <c r="AC3687">
        <v>-0.64339999999998498</v>
      </c>
      <c r="AD3687">
        <v>-9.5246999999999804E-2</v>
      </c>
      <c r="AE3687">
        <v>4.7999999999888097E-3</v>
      </c>
      <c r="AF3687">
        <v>1.8090687493208898E-2</v>
      </c>
      <c r="AG3687">
        <v>-9.5246999999999804E-2</v>
      </c>
      <c r="AH3687">
        <v>0.62936061817810895</v>
      </c>
      <c r="AI3687">
        <v>98.602298998836403</v>
      </c>
      <c r="AJ3687">
        <v>88.353511994924801</v>
      </c>
      <c r="AK3687">
        <v>0.63678414843375997</v>
      </c>
      <c r="AL3687">
        <v>66.648330147227597</v>
      </c>
      <c r="AM3687">
        <v>89.517972172435407</v>
      </c>
      <c r="AN3687">
        <v>0.99999998770538201</v>
      </c>
    </row>
    <row r="3688" spans="1:40" x14ac:dyDescent="0.25">
      <c r="A3688" t="str">
        <f>"20190304164717465"</f>
        <v>20190304164717465</v>
      </c>
      <c r="B3688" t="str">
        <f>"1551689237462489"</f>
        <v>1551689237462489</v>
      </c>
      <c r="C3688" t="s">
        <v>40</v>
      </c>
      <c r="D3688">
        <v>4.2132189999999996</v>
      </c>
      <c r="E3688">
        <v>0.51678290000000005</v>
      </c>
      <c r="F3688" t="s">
        <v>41</v>
      </c>
      <c r="G3688">
        <v>-215.90100000000001</v>
      </c>
      <c r="H3688">
        <v>1.01468799999999</v>
      </c>
      <c r="I3688">
        <v>141.31180000000001</v>
      </c>
      <c r="J3688">
        <v>-215.5977</v>
      </c>
      <c r="K3688">
        <v>1.105189</v>
      </c>
      <c r="L3688">
        <v>141.31139999999999</v>
      </c>
      <c r="M3688">
        <v>-0.99993829999999995</v>
      </c>
      <c r="N3688">
        <v>-6.5424130000000004E-3</v>
      </c>
      <c r="O3688">
        <v>-8.982014E-3</v>
      </c>
      <c r="P3688">
        <v>-0.91974049999999996</v>
      </c>
      <c r="Q3688">
        <v>0.39175670000000001</v>
      </c>
      <c r="R3688">
        <v>-2.4580040000000001E-2</v>
      </c>
      <c r="S3688">
        <v>-3.400757</v>
      </c>
      <c r="T3688">
        <v>-0.3336247</v>
      </c>
      <c r="U3688">
        <v>5.7983399999999999E-3</v>
      </c>
      <c r="V3688">
        <v>-1.147272E-2</v>
      </c>
      <c r="W3688">
        <v>0.39793630000000002</v>
      </c>
      <c r="X3688">
        <v>0.91734130000000003</v>
      </c>
      <c r="Y3688">
        <v>1.059531E-2</v>
      </c>
      <c r="Z3688">
        <v>1.3736309999999999E-3</v>
      </c>
      <c r="AA3688">
        <v>0.99994289999999997</v>
      </c>
      <c r="AB3688">
        <v>30</v>
      </c>
      <c r="AC3688">
        <v>-0.30329999999997798</v>
      </c>
      <c r="AD3688">
        <v>-9.0501000000000095E-2</v>
      </c>
      <c r="AE3688">
        <v>4.0000000001327803E-4</v>
      </c>
      <c r="AF3688">
        <v>2.8688578933092198E-3</v>
      </c>
      <c r="AG3688">
        <v>-9.0501000000000095E-2</v>
      </c>
      <c r="AH3688">
        <v>0.278488889647867</v>
      </c>
      <c r="AI3688">
        <v>108.001800032369</v>
      </c>
      <c r="AJ3688">
        <v>89.409787459088307</v>
      </c>
      <c r="AK3688">
        <v>0.29283907356074301</v>
      </c>
      <c r="AL3688">
        <v>66.550769924086794</v>
      </c>
      <c r="AM3688">
        <v>90.716531749756498</v>
      </c>
      <c r="AN3688">
        <v>0.99999999142378904</v>
      </c>
    </row>
    <row r="3689" spans="1:40" x14ac:dyDescent="0.25">
      <c r="A3689" t="str">
        <f>"20190304164717484"</f>
        <v>20190304164717484</v>
      </c>
      <c r="B3689" t="str">
        <f>"1551689237482985"</f>
        <v>1551689237482985</v>
      </c>
      <c r="C3689" t="s">
        <v>40</v>
      </c>
      <c r="D3689">
        <v>4.2035879999999999</v>
      </c>
      <c r="E3689">
        <v>0.51712650000000004</v>
      </c>
      <c r="F3689" t="s">
        <v>41</v>
      </c>
      <c r="G3689">
        <v>-216.44919999999999</v>
      </c>
      <c r="H3689">
        <v>1.0229790000000001</v>
      </c>
      <c r="I3689">
        <v>141.31049999999999</v>
      </c>
      <c r="J3689">
        <v>-215.87569999999999</v>
      </c>
      <c r="K3689">
        <v>1.1053959999999901</v>
      </c>
      <c r="L3689">
        <v>141.31389999999999</v>
      </c>
      <c r="M3689">
        <v>-0.99997119999999995</v>
      </c>
      <c r="N3689">
        <v>-6.5239629999999998E-3</v>
      </c>
      <c r="O3689">
        <v>-3.8712590000000002E-3</v>
      </c>
      <c r="P3689">
        <v>-0.91922470000000001</v>
      </c>
      <c r="Q3689">
        <v>0.3928316</v>
      </c>
      <c r="R3689">
        <v>-2.6636099999999999E-2</v>
      </c>
      <c r="S3689">
        <v>-3.401535</v>
      </c>
      <c r="T3689">
        <v>-0.32832209999999901</v>
      </c>
      <c r="U3689">
        <v>-3.5095209999999998E-3</v>
      </c>
      <c r="V3689">
        <v>-1.8418380000000002E-2</v>
      </c>
      <c r="W3689">
        <v>0.39906340000000001</v>
      </c>
      <c r="X3689">
        <v>0.91673830000000001</v>
      </c>
      <c r="Y3689">
        <v>2.810014E-3</v>
      </c>
      <c r="Z3689">
        <v>4.9207999999999999E-4</v>
      </c>
      <c r="AA3689">
        <v>0.99999590000000005</v>
      </c>
      <c r="AB3689">
        <v>30</v>
      </c>
      <c r="AC3689">
        <v>-0.57349999999999501</v>
      </c>
      <c r="AD3689">
        <v>-8.2416999999999699E-2</v>
      </c>
      <c r="AE3689">
        <v>-3.3999999999991802E-3</v>
      </c>
      <c r="AF3689">
        <v>-1.15588933722633E-3</v>
      </c>
      <c r="AG3689">
        <v>-8.2416999999999699E-2</v>
      </c>
      <c r="AH3689">
        <v>0.56190469300621604</v>
      </c>
      <c r="AI3689">
        <v>98.344304569631007</v>
      </c>
      <c r="AJ3689">
        <v>90.1178624916556</v>
      </c>
      <c r="AK3689">
        <v>0.56791793596572504</v>
      </c>
      <c r="AL3689">
        <v>66.480359171455206</v>
      </c>
      <c r="AM3689">
        <v>91.150986580913198</v>
      </c>
      <c r="AN3689">
        <v>0.99999997231413695</v>
      </c>
    </row>
    <row r="3690" spans="1:40" x14ac:dyDescent="0.25">
      <c r="A3690" t="str">
        <f>"20190304164717507"</f>
        <v>20190304164717507</v>
      </c>
      <c r="B3690" t="str">
        <f>"1551689237502506"</f>
        <v>1551689237502506</v>
      </c>
      <c r="C3690" t="s">
        <v>40</v>
      </c>
      <c r="D3690">
        <v>4.1957760000000004</v>
      </c>
      <c r="E3690">
        <v>0.51728569999999996</v>
      </c>
      <c r="F3690" t="s">
        <v>41</v>
      </c>
      <c r="G3690">
        <v>-216.72329999999999</v>
      </c>
      <c r="H3690">
        <v>1.0242770000000001</v>
      </c>
      <c r="I3690">
        <v>141.31129999999999</v>
      </c>
      <c r="J3690">
        <v>-216.1798</v>
      </c>
      <c r="K3690">
        <v>1.1056239999999999</v>
      </c>
      <c r="L3690">
        <v>141.31799999999899</v>
      </c>
      <c r="M3690">
        <v>-0.99997789999999998</v>
      </c>
      <c r="N3690">
        <v>-6.5045379999999998E-3</v>
      </c>
      <c r="O3690">
        <v>1.3953489999999999E-3</v>
      </c>
      <c r="P3690">
        <v>-0.9189389</v>
      </c>
      <c r="Q3690">
        <v>0.39340320000000001</v>
      </c>
      <c r="R3690">
        <v>-2.8030260000000001E-2</v>
      </c>
      <c r="S3690">
        <v>-3.402374</v>
      </c>
      <c r="T3690">
        <v>-0.32543929999999999</v>
      </c>
      <c r="U3690">
        <v>-1.1108399999999999E-2</v>
      </c>
      <c r="V3690">
        <v>-2.4868890000000001E-2</v>
      </c>
      <c r="W3690">
        <v>0.39967320000000001</v>
      </c>
      <c r="X3690">
        <v>0.91632029999999998</v>
      </c>
      <c r="Y3690">
        <v>-4.6321289999999996E-3</v>
      </c>
      <c r="Z3690">
        <v>-3.602349E-4</v>
      </c>
      <c r="AA3690">
        <v>0.99998920000000002</v>
      </c>
      <c r="AB3690">
        <v>30</v>
      </c>
      <c r="AC3690">
        <v>-0.54349999999999399</v>
      </c>
      <c r="AD3690">
        <v>-8.1346999999999794E-2</v>
      </c>
      <c r="AE3690">
        <v>-6.6999999999950398E-3</v>
      </c>
      <c r="AF3690">
        <v>-7.2949853072959599E-3</v>
      </c>
      <c r="AG3690">
        <v>-8.1346999999999794E-2</v>
      </c>
      <c r="AH3690">
        <v>0.53158347523305605</v>
      </c>
      <c r="AI3690">
        <v>98.699540705125798</v>
      </c>
      <c r="AJ3690">
        <v>90.786227665260796</v>
      </c>
      <c r="AK3690">
        <v>0.53782110628022695</v>
      </c>
      <c r="AL3690">
        <v>66.4422500345336</v>
      </c>
      <c r="AM3690">
        <v>91.554623145934102</v>
      </c>
      <c r="AN3690">
        <v>1.0000000103400799</v>
      </c>
    </row>
    <row r="3691" spans="1:40" x14ac:dyDescent="0.25">
      <c r="A3691" t="str">
        <f>"20190304164717530"</f>
        <v>20190304164717530</v>
      </c>
      <c r="B3691" t="str">
        <f>"1551689237523001"</f>
        <v>1551689237523001</v>
      </c>
      <c r="C3691" t="s">
        <v>40</v>
      </c>
      <c r="D3691">
        <v>4.1891080000000001</v>
      </c>
      <c r="E3691">
        <v>0.52095849999999999</v>
      </c>
      <c r="F3691" t="s">
        <v>41</v>
      </c>
      <c r="G3691">
        <v>-216.9991</v>
      </c>
      <c r="H3691">
        <v>1.0275989999999999</v>
      </c>
      <c r="I3691">
        <v>141.3134</v>
      </c>
      <c r="J3691">
        <v>-216.49549999999999</v>
      </c>
      <c r="K3691">
        <v>1.105896</v>
      </c>
      <c r="L3691">
        <v>141.3235</v>
      </c>
      <c r="M3691">
        <v>-0.99995820000000002</v>
      </c>
      <c r="N3691">
        <v>-6.4839889999999999E-3</v>
      </c>
      <c r="O3691">
        <v>6.4586189999999996E-3</v>
      </c>
      <c r="P3691">
        <v>-0.9188866</v>
      </c>
      <c r="Q3691">
        <v>0.39321329999999999</v>
      </c>
      <c r="R3691">
        <v>-3.2102699999999998E-2</v>
      </c>
      <c r="S3691">
        <v>-3.4028170000000002</v>
      </c>
      <c r="T3691">
        <v>-0.32409379999999999</v>
      </c>
      <c r="U3691">
        <v>-1.8615719999999999E-2</v>
      </c>
      <c r="V3691">
        <v>-3.386144E-2</v>
      </c>
      <c r="W3691">
        <v>0.39953729999999998</v>
      </c>
      <c r="X3691">
        <v>0.9160914</v>
      </c>
      <c r="Y3691">
        <v>-1.1846489999999999E-2</v>
      </c>
      <c r="Z3691">
        <v>-1.1733220000000001E-3</v>
      </c>
      <c r="AA3691">
        <v>0.99992910000000002</v>
      </c>
      <c r="AB3691">
        <v>30</v>
      </c>
      <c r="AC3691">
        <v>-0.50360000000000504</v>
      </c>
      <c r="AD3691">
        <v>-7.8297000000000005E-2</v>
      </c>
      <c r="AE3691">
        <v>-1.00999999999942E-2</v>
      </c>
      <c r="AF3691">
        <v>-1.30374001429861E-2</v>
      </c>
      <c r="AG3691">
        <v>-7.8297000000000005E-2</v>
      </c>
      <c r="AH3691">
        <v>0.49164483177360102</v>
      </c>
      <c r="AI3691">
        <v>99.045536581084093</v>
      </c>
      <c r="AJ3691">
        <v>91.5190091210834</v>
      </c>
      <c r="AK3691">
        <v>0.498011078813696</v>
      </c>
      <c r="AL3691">
        <v>66.450745247657494</v>
      </c>
      <c r="AM3691">
        <v>92.116857287084599</v>
      </c>
      <c r="AN3691">
        <v>1.00000005218206</v>
      </c>
    </row>
    <row r="3692" spans="1:40" x14ac:dyDescent="0.25">
      <c r="A3692" t="str">
        <f>"20190304164717552"</f>
        <v>20190304164717552</v>
      </c>
      <c r="B3692" t="str">
        <f>"1551689237542521"</f>
        <v>1551689237542521</v>
      </c>
      <c r="C3692" t="s">
        <v>40</v>
      </c>
      <c r="D3692">
        <v>4.1986030000000003</v>
      </c>
      <c r="E3692">
        <v>0.5210494</v>
      </c>
      <c r="F3692" t="s">
        <v>41</v>
      </c>
      <c r="G3692">
        <v>-217.27379999999999</v>
      </c>
      <c r="H3692">
        <v>1.0277270000000001</v>
      </c>
      <c r="I3692">
        <v>141.3236</v>
      </c>
      <c r="J3692">
        <v>-216.79949999999999</v>
      </c>
      <c r="K3692">
        <v>1.106203</v>
      </c>
      <c r="L3692">
        <v>141.33000000000001</v>
      </c>
      <c r="M3692">
        <v>-0.99991949999999996</v>
      </c>
      <c r="N3692">
        <v>-6.4639240000000002E-3</v>
      </c>
      <c r="O3692">
        <v>1.092313E-2</v>
      </c>
      <c r="P3692">
        <v>-0.91859840000000004</v>
      </c>
      <c r="Q3692">
        <v>0.3935651</v>
      </c>
      <c r="R3692">
        <v>-3.5827749999999998E-2</v>
      </c>
      <c r="S3692">
        <v>-3.4113920000000002</v>
      </c>
      <c r="T3692">
        <v>-0.34259450000000002</v>
      </c>
      <c r="U3692">
        <v>-4.1198729999999999E-4</v>
      </c>
      <c r="V3692">
        <v>-4.1971660000000001E-2</v>
      </c>
      <c r="W3692">
        <v>0.39991929999999998</v>
      </c>
      <c r="X3692">
        <v>0.91558890000000004</v>
      </c>
      <c r="Y3692">
        <v>-1.093745E-2</v>
      </c>
      <c r="Z3692">
        <v>-1.607034E-3</v>
      </c>
      <c r="AA3692">
        <v>0.99993889999999996</v>
      </c>
      <c r="AB3692">
        <v>30</v>
      </c>
      <c r="AC3692">
        <v>-0.474299999999999</v>
      </c>
      <c r="AD3692">
        <v>-7.8475999999999893E-2</v>
      </c>
      <c r="AE3692">
        <v>-6.4000000000134999E-3</v>
      </c>
      <c r="AF3692">
        <v>-1.1272041260691E-2</v>
      </c>
      <c r="AG3692">
        <v>-7.8475999999999893E-2</v>
      </c>
      <c r="AH3692">
        <v>0.46156827364665198</v>
      </c>
      <c r="AI3692">
        <v>99.646356579341898</v>
      </c>
      <c r="AJ3692">
        <v>91.398952401529897</v>
      </c>
      <c r="AK3692">
        <v>0.46832767666168701</v>
      </c>
      <c r="AL3692">
        <v>66.426867627879403</v>
      </c>
      <c r="AM3692">
        <v>92.624667693698399</v>
      </c>
      <c r="AN3692">
        <v>1.00000005027942</v>
      </c>
    </row>
    <row r="3693" spans="1:40" x14ac:dyDescent="0.25">
      <c r="A3693" t="str">
        <f>"20190304164717576"</f>
        <v>20190304164717576</v>
      </c>
      <c r="B3693" t="str">
        <f>"1551689237572779"</f>
        <v>1551689237572779</v>
      </c>
      <c r="C3693" t="s">
        <v>40</v>
      </c>
      <c r="D3693">
        <v>4.1757369999999998</v>
      </c>
      <c r="E3693">
        <v>0.52159049999999996</v>
      </c>
      <c r="F3693" t="s">
        <v>41</v>
      </c>
      <c r="G3693">
        <v>-217.55250000000001</v>
      </c>
      <c r="H3693">
        <v>1.0309820000000001</v>
      </c>
      <c r="I3693">
        <v>141.32820000000001</v>
      </c>
      <c r="J3693">
        <v>-217.11969999999999</v>
      </c>
      <c r="K3693">
        <v>1.10654599999999</v>
      </c>
      <c r="L3693">
        <v>141.33779999999999</v>
      </c>
      <c r="M3693">
        <v>-0.99986419999999998</v>
      </c>
      <c r="N3693">
        <v>-6.4444919999999996E-3</v>
      </c>
      <c r="O3693">
        <v>1.517022E-2</v>
      </c>
      <c r="P3693">
        <v>-0.9180507</v>
      </c>
      <c r="Q3693">
        <v>0.39472420000000003</v>
      </c>
      <c r="R3693">
        <v>-3.7095990000000002E-2</v>
      </c>
      <c r="S3693">
        <v>-3.4115449999999998</v>
      </c>
      <c r="T3693">
        <v>-0.34081289999999997</v>
      </c>
      <c r="U3693">
        <v>-8.1634519999999999E-3</v>
      </c>
      <c r="V3693">
        <v>-4.745332E-2</v>
      </c>
      <c r="W3693">
        <v>0.40106619999999998</v>
      </c>
      <c r="X3693">
        <v>0.91481920000000005</v>
      </c>
      <c r="Y3693">
        <v>-1.740477E-2</v>
      </c>
      <c r="Z3693">
        <v>-2.3376009999999999E-3</v>
      </c>
      <c r="AA3693">
        <v>0.99984580000000001</v>
      </c>
      <c r="AB3693">
        <v>31</v>
      </c>
      <c r="AC3693">
        <v>-0.43280000000001401</v>
      </c>
      <c r="AD3693">
        <v>-7.5563999999999701E-2</v>
      </c>
      <c r="AE3693">
        <v>-9.5999999999776195E-3</v>
      </c>
      <c r="AF3693">
        <v>-1.5686760709826001E-2</v>
      </c>
      <c r="AG3693">
        <v>-7.5563999999999701E-2</v>
      </c>
      <c r="AH3693">
        <v>0.41981373630635499</v>
      </c>
      <c r="AI3693">
        <v>100.196680403188</v>
      </c>
      <c r="AJ3693">
        <v>92.139918624018307</v>
      </c>
      <c r="AK3693">
        <v>0.42684841073742902</v>
      </c>
      <c r="AL3693">
        <v>66.355152317654898</v>
      </c>
      <c r="AM3693">
        <v>92.969373997482606</v>
      </c>
      <c r="AN3693">
        <v>1.0000000415250501</v>
      </c>
    </row>
    <row r="3694" spans="1:40" x14ac:dyDescent="0.25">
      <c r="A3694" t="str">
        <f>"20190304164717595"</f>
        <v>20190304164717595</v>
      </c>
      <c r="B3694" t="str">
        <f>"1551689237592297"</f>
        <v>1551689237592297</v>
      </c>
      <c r="C3694" t="s">
        <v>40</v>
      </c>
      <c r="D3694">
        <v>4.1576139999999997</v>
      </c>
      <c r="E3694">
        <v>0.52203599999999994</v>
      </c>
      <c r="F3694" t="s">
        <v>41</v>
      </c>
      <c r="G3694">
        <v>-218.09450000000001</v>
      </c>
      <c r="H3694">
        <v>1.0099089999999999</v>
      </c>
      <c r="I3694">
        <v>141.3348</v>
      </c>
      <c r="J3694">
        <v>-217.39230000000001</v>
      </c>
      <c r="K3694">
        <v>1.106843</v>
      </c>
      <c r="L3694">
        <v>141.3451</v>
      </c>
      <c r="M3694">
        <v>-0.99980990000000003</v>
      </c>
      <c r="N3694">
        <v>-6.4301530000000001E-3</v>
      </c>
      <c r="O3694">
        <v>1.841141E-2</v>
      </c>
      <c r="P3694">
        <v>-0.91777229999999999</v>
      </c>
      <c r="Q3694">
        <v>0.39531640000000001</v>
      </c>
      <c r="R3694">
        <v>-3.7676179999999997E-2</v>
      </c>
      <c r="S3694">
        <v>-3.4127960000000002</v>
      </c>
      <c r="T3694">
        <v>-0.33829880000000001</v>
      </c>
      <c r="U3694">
        <v>-1.1184690000000001E-2</v>
      </c>
      <c r="V3694">
        <v>-5.1289840000000003E-2</v>
      </c>
      <c r="W3694">
        <v>0.4016362</v>
      </c>
      <c r="X3694">
        <v>0.91436200000000001</v>
      </c>
      <c r="Y3694">
        <v>-2.1497269999999999E-2</v>
      </c>
      <c r="Z3694">
        <v>-2.834572E-3</v>
      </c>
      <c r="AA3694">
        <v>0.99976489999999996</v>
      </c>
      <c r="AB3694">
        <v>31</v>
      </c>
      <c r="AC3694">
        <v>-0.70220000000000404</v>
      </c>
      <c r="AD3694">
        <v>-9.6934000000000006E-2</v>
      </c>
      <c r="AE3694">
        <v>-1.03000000000008E-2</v>
      </c>
      <c r="AF3694">
        <v>-2.2792767935923001E-2</v>
      </c>
      <c r="AG3694">
        <v>-9.6934000000000006E-2</v>
      </c>
      <c r="AH3694">
        <v>0.68876900294029697</v>
      </c>
      <c r="AI3694">
        <v>98.006590918514604</v>
      </c>
      <c r="AJ3694">
        <v>91.8953422893305</v>
      </c>
      <c r="AK3694">
        <v>0.69592991747556798</v>
      </c>
      <c r="AL3694">
        <v>66.319496747021404</v>
      </c>
      <c r="AM3694">
        <v>93.210561005457095</v>
      </c>
      <c r="AN3694">
        <v>1.0000000759408301</v>
      </c>
    </row>
    <row r="3695" spans="1:40" x14ac:dyDescent="0.25">
      <c r="A3695" t="str">
        <f>"20190304164717620"</f>
        <v>20190304164717620</v>
      </c>
      <c r="B3695" t="str">
        <f>"1551689237612793"</f>
        <v>1551689237612793</v>
      </c>
      <c r="C3695" t="s">
        <v>40</v>
      </c>
      <c r="D3695">
        <v>4.1695580000000003</v>
      </c>
      <c r="E3695">
        <v>0.52239040000000003</v>
      </c>
      <c r="F3695" t="s">
        <v>41</v>
      </c>
      <c r="G3695">
        <v>-218.3723</v>
      </c>
      <c r="H3695">
        <v>1.009825</v>
      </c>
      <c r="I3695">
        <v>141.3416</v>
      </c>
      <c r="J3695">
        <v>-217.74199999999999</v>
      </c>
      <c r="K3695">
        <v>1.1071839999999999</v>
      </c>
      <c r="L3695">
        <v>141.35550000000001</v>
      </c>
      <c r="M3695">
        <v>-0.99973480000000003</v>
      </c>
      <c r="N3695">
        <v>-6.41509E-3</v>
      </c>
      <c r="O3695">
        <v>2.2123130000000001E-2</v>
      </c>
      <c r="P3695">
        <v>-0.9183344</v>
      </c>
      <c r="Q3695">
        <v>0.39395089999999999</v>
      </c>
      <c r="R3695">
        <v>-3.8274049999999997E-2</v>
      </c>
      <c r="S3695">
        <v>-3.4138030000000001</v>
      </c>
      <c r="T3695">
        <v>-0.33793020000000001</v>
      </c>
      <c r="U3695">
        <v>-1.260376E-2</v>
      </c>
      <c r="V3695">
        <v>-5.5648719999999999E-2</v>
      </c>
      <c r="W3695">
        <v>0.40024569999999998</v>
      </c>
      <c r="X3695">
        <v>0.91471670000000005</v>
      </c>
      <c r="Y3695">
        <v>-2.5586749999999998E-2</v>
      </c>
      <c r="Z3695">
        <v>-3.3884919999999999E-3</v>
      </c>
      <c r="AA3695">
        <v>0.99966690000000002</v>
      </c>
      <c r="AB3695">
        <v>31</v>
      </c>
      <c r="AC3695">
        <v>-0.63029999999997699</v>
      </c>
      <c r="AD3695">
        <v>-9.7358999999999904E-2</v>
      </c>
      <c r="AE3695">
        <v>-1.39000000000066E-2</v>
      </c>
      <c r="AF3695">
        <v>-2.71926107456795E-2</v>
      </c>
      <c r="AG3695">
        <v>-9.7358999999999904E-2</v>
      </c>
      <c r="AH3695">
        <v>0.61516787552804497</v>
      </c>
      <c r="AI3695">
        <v>98.984644323493896</v>
      </c>
      <c r="AJ3695">
        <v>92.531029840072407</v>
      </c>
      <c r="AK3695">
        <v>0.62341777969661305</v>
      </c>
      <c r="AL3695">
        <v>66.406461252845205</v>
      </c>
      <c r="AM3695">
        <v>93.481418751753907</v>
      </c>
      <c r="AN3695">
        <v>1.0000000208324999</v>
      </c>
    </row>
    <row r="3696" spans="1:40" x14ac:dyDescent="0.25">
      <c r="A3696" t="str">
        <f>"20190304164717666"</f>
        <v>20190304164717666</v>
      </c>
      <c r="B3696" t="str">
        <f>"1551689237662570"</f>
        <v>1551689237662570</v>
      </c>
      <c r="C3696" t="s">
        <v>40</v>
      </c>
      <c r="D3696">
        <v>4.1455599999999997</v>
      </c>
      <c r="E3696">
        <v>0.52295230000000004</v>
      </c>
      <c r="F3696" t="s">
        <v>41</v>
      </c>
      <c r="G3696">
        <v>-218.6532</v>
      </c>
      <c r="H3696">
        <v>1.0152490000000001</v>
      </c>
      <c r="I3696">
        <v>141.35249999999999</v>
      </c>
      <c r="J3696">
        <v>-218.3742</v>
      </c>
      <c r="K3696">
        <v>1.107734</v>
      </c>
      <c r="L3696">
        <v>141.376</v>
      </c>
      <c r="M3696">
        <v>-0.99959830000000005</v>
      </c>
      <c r="N3696">
        <v>-6.3945349999999998E-3</v>
      </c>
      <c r="O3696">
        <v>2.7612399999999999E-2</v>
      </c>
      <c r="P3696">
        <v>-0.92081950000000001</v>
      </c>
      <c r="Q3696">
        <v>0.38805119999999999</v>
      </c>
      <c r="R3696">
        <v>-3.8829990000000002E-2</v>
      </c>
      <c r="S3696">
        <v>-3.4141080000000001</v>
      </c>
      <c r="T3696">
        <v>-0.34447749999999999</v>
      </c>
      <c r="U3696">
        <v>-1.1245730000000001E-2</v>
      </c>
      <c r="V3696">
        <v>-6.1905969999999998E-2</v>
      </c>
      <c r="W3696">
        <v>0.39429619999999999</v>
      </c>
      <c r="X3696">
        <v>0.91689589999999999</v>
      </c>
      <c r="Y3696">
        <v>-3.0617120000000001E-2</v>
      </c>
      <c r="Z3696">
        <v>-4.2414280000000002E-3</v>
      </c>
      <c r="AA3696">
        <v>0.99952220000000003</v>
      </c>
      <c r="AB3696">
        <v>31</v>
      </c>
      <c r="AC3696">
        <v>-0.27899999999999597</v>
      </c>
      <c r="AD3696">
        <v>-9.2484999999999901E-2</v>
      </c>
      <c r="AE3696">
        <v>-2.3500000000012702E-2</v>
      </c>
      <c r="AF3696">
        <v>-2.8126209617503398E-2</v>
      </c>
      <c r="AG3696">
        <v>-9.2484999999999901E-2</v>
      </c>
      <c r="AH3696">
        <v>0.25087209476231598</v>
      </c>
      <c r="AI3696">
        <v>110.12074854482</v>
      </c>
      <c r="AJ3696">
        <v>96.396931504488606</v>
      </c>
      <c r="AK3696">
        <v>0.26885194219659297</v>
      </c>
      <c r="AL3696">
        <v>66.777912099840194</v>
      </c>
      <c r="AM3696">
        <v>93.862571390677701</v>
      </c>
      <c r="AN3696">
        <v>0.999999966946444</v>
      </c>
    </row>
    <row r="3697" spans="1:40" x14ac:dyDescent="0.25">
      <c r="A3697" t="str">
        <f>"20190304164717686"</f>
        <v>20190304164717686</v>
      </c>
      <c r="B3697" t="str">
        <f>"1551689237683065"</f>
        <v>1551689237683065</v>
      </c>
      <c r="C3697" t="s">
        <v>40</v>
      </c>
      <c r="D3697">
        <v>4.1529819999999997</v>
      </c>
      <c r="E3697">
        <v>0.52317860000000005</v>
      </c>
      <c r="F3697" t="s">
        <v>41</v>
      </c>
      <c r="G3697">
        <v>-219.2133</v>
      </c>
      <c r="H3697">
        <v>1.0178640000000001</v>
      </c>
      <c r="I3697">
        <v>141.374</v>
      </c>
      <c r="J3697">
        <v>-218.666</v>
      </c>
      <c r="K3697">
        <v>1.1079870000000001</v>
      </c>
      <c r="L3697">
        <v>141.3862</v>
      </c>
      <c r="M3697">
        <v>-0.9995406</v>
      </c>
      <c r="N3697">
        <v>-6.3872039999999996E-3</v>
      </c>
      <c r="O3697">
        <v>2.962942E-2</v>
      </c>
      <c r="P3697">
        <v>-0.92152500000000004</v>
      </c>
      <c r="Q3697">
        <v>0.38624199999999997</v>
      </c>
      <c r="R3697">
        <v>-4.0112790000000002E-2</v>
      </c>
      <c r="S3697">
        <v>-3.4115600000000001</v>
      </c>
      <c r="T3697">
        <v>-0.36535200000000001</v>
      </c>
      <c r="U3697">
        <v>-8.8958739999999998E-3</v>
      </c>
      <c r="V3697">
        <v>-6.5325659999999994E-2</v>
      </c>
      <c r="W3697">
        <v>0.39246059999999999</v>
      </c>
      <c r="X3697">
        <v>0.91744599999999998</v>
      </c>
      <c r="Y3697">
        <v>-3.189326E-2</v>
      </c>
      <c r="Z3697">
        <v>-4.7800079999999997E-3</v>
      </c>
      <c r="AA3697">
        <v>0.99947980000000003</v>
      </c>
      <c r="AB3697">
        <v>31</v>
      </c>
      <c r="AC3697">
        <v>-0.547300000000007</v>
      </c>
      <c r="AD3697">
        <v>-9.0123000000000106E-2</v>
      </c>
      <c r="AE3697">
        <v>-1.2200000000007E-2</v>
      </c>
      <c r="AF3697">
        <v>-2.7661468069501999E-2</v>
      </c>
      <c r="AG3697">
        <v>-9.0123000000000106E-2</v>
      </c>
      <c r="AH3697">
        <v>0.53227245560674197</v>
      </c>
      <c r="AI3697">
        <v>99.597320886168205</v>
      </c>
      <c r="AJ3697">
        <v>92.974906703623105</v>
      </c>
      <c r="AK3697">
        <v>0.54055645305776501</v>
      </c>
      <c r="AL3697">
        <v>66.892307097363897</v>
      </c>
      <c r="AM3697">
        <v>94.072804644011597</v>
      </c>
      <c r="AN3697">
        <v>0.99999996366139698</v>
      </c>
    </row>
    <row r="3698" spans="1:40" x14ac:dyDescent="0.25">
      <c r="A3698" t="str">
        <f>"20190304164717710"</f>
        <v>20190304164717710</v>
      </c>
      <c r="B3698" t="str">
        <f>"1551689237702585"</f>
        <v>1551689237702585</v>
      </c>
      <c r="C3698" t="s">
        <v>40</v>
      </c>
      <c r="D3698">
        <v>4.1480600000000001</v>
      </c>
      <c r="E3698">
        <v>0.52338999999999902</v>
      </c>
      <c r="F3698" t="s">
        <v>41</v>
      </c>
      <c r="G3698">
        <v>-219.4941</v>
      </c>
      <c r="H3698">
        <v>1.0179020000000001</v>
      </c>
      <c r="I3698">
        <v>141.38409999999999</v>
      </c>
      <c r="J3698">
        <v>-218.98949999999999</v>
      </c>
      <c r="K3698">
        <v>1.108279</v>
      </c>
      <c r="L3698">
        <v>141.39779999999999</v>
      </c>
      <c r="M3698">
        <v>-0.99948360000000003</v>
      </c>
      <c r="N3698">
        <v>-6.3807619999999999E-3</v>
      </c>
      <c r="O3698">
        <v>3.1495410000000001E-2</v>
      </c>
      <c r="P3698">
        <v>-0.92299920000000002</v>
      </c>
      <c r="Q3698">
        <v>0.38244899999999998</v>
      </c>
      <c r="R3698">
        <v>-4.2492240000000001E-2</v>
      </c>
      <c r="S3698">
        <v>-3.4105989999999999</v>
      </c>
      <c r="T3698">
        <v>-0.37103740000000002</v>
      </c>
      <c r="U3698">
        <v>-9.0789789999999992E-3</v>
      </c>
      <c r="V3698">
        <v>-6.9772929999999997E-2</v>
      </c>
      <c r="W3698">
        <v>0.38864120000000002</v>
      </c>
      <c r="X3698">
        <v>0.91874359999999999</v>
      </c>
      <c r="Y3698">
        <v>-3.3780900000000003E-2</v>
      </c>
      <c r="Z3698">
        <v>-5.1556700000000002E-3</v>
      </c>
      <c r="AA3698">
        <v>0.99941599999999997</v>
      </c>
      <c r="AB3698">
        <v>31</v>
      </c>
      <c r="AC3698">
        <v>-0.50460000000001004</v>
      </c>
      <c r="AD3698">
        <v>-9.0376999999999902E-2</v>
      </c>
      <c r="AE3698">
        <v>-1.37E-2</v>
      </c>
      <c r="AF3698">
        <v>-2.8667171471257601E-2</v>
      </c>
      <c r="AG3698">
        <v>-9.0376999999999902E-2</v>
      </c>
      <c r="AH3698">
        <v>0.48826657495814801</v>
      </c>
      <c r="AI3698">
        <v>100.468999532327</v>
      </c>
      <c r="AJ3698">
        <v>93.360100014277094</v>
      </c>
      <c r="AK3698">
        <v>0.49738723050609501</v>
      </c>
      <c r="AL3698">
        <v>67.130023277663696</v>
      </c>
      <c r="AM3698">
        <v>94.342925897520203</v>
      </c>
      <c r="AN3698">
        <v>1.00000002331959</v>
      </c>
    </row>
    <row r="3699" spans="1:40" x14ac:dyDescent="0.25">
      <c r="A3699" t="str">
        <f>"20190304164717732"</f>
        <v>20190304164717732</v>
      </c>
      <c r="B3699" t="str">
        <f>"1551689237722284"</f>
        <v>1551689237722284</v>
      </c>
      <c r="C3699" t="s">
        <v>40</v>
      </c>
      <c r="D3699">
        <v>4.1497789999999997</v>
      </c>
      <c r="E3699">
        <v>0.52359860000000003</v>
      </c>
      <c r="F3699" t="s">
        <v>41</v>
      </c>
      <c r="G3699">
        <v>-219.77670000000001</v>
      </c>
      <c r="H3699">
        <v>1.0197579999999999</v>
      </c>
      <c r="I3699">
        <v>141.39510000000001</v>
      </c>
      <c r="J3699">
        <v>-219.30449999999999</v>
      </c>
      <c r="K3699">
        <v>1.1085799999999999</v>
      </c>
      <c r="L3699">
        <v>141.4092</v>
      </c>
      <c r="M3699">
        <v>-0.99943839999999995</v>
      </c>
      <c r="N3699">
        <v>-6.3767959999999997E-3</v>
      </c>
      <c r="O3699">
        <v>3.2899070000000002E-2</v>
      </c>
      <c r="P3699">
        <v>-0.92523829999999996</v>
      </c>
      <c r="Q3699">
        <v>0.37661689999999998</v>
      </c>
      <c r="R3699">
        <v>-4.5757859999999997E-2</v>
      </c>
      <c r="S3699">
        <v>-3.4085390000000002</v>
      </c>
      <c r="T3699">
        <v>-0.3832893</v>
      </c>
      <c r="U3699">
        <v>-1.210022E-2</v>
      </c>
      <c r="V3699">
        <v>-7.4728230000000007E-2</v>
      </c>
      <c r="W3699">
        <v>0.38278119999999999</v>
      </c>
      <c r="X3699">
        <v>0.92081170000000001</v>
      </c>
      <c r="Y3699">
        <v>-3.6023119999999999E-2</v>
      </c>
      <c r="Z3699">
        <v>-5.6124819999999898E-3</v>
      </c>
      <c r="AA3699">
        <v>0.99933519999999998</v>
      </c>
      <c r="AB3699">
        <v>31</v>
      </c>
      <c r="AC3699">
        <v>-0.472200000000015</v>
      </c>
      <c r="AD3699">
        <v>-8.8821999999999901E-2</v>
      </c>
      <c r="AE3699">
        <v>-1.4099999999984901E-2</v>
      </c>
      <c r="AF3699">
        <v>-2.8616017111671201E-2</v>
      </c>
      <c r="AG3699">
        <v>-8.8821999999999901E-2</v>
      </c>
      <c r="AH3699">
        <v>0.45538225970566998</v>
      </c>
      <c r="AI3699">
        <v>101.015736211038</v>
      </c>
      <c r="AJ3699">
        <v>93.5957131514932</v>
      </c>
      <c r="AK3699">
        <v>0.46484537921117203</v>
      </c>
      <c r="AL3699">
        <v>67.493935975072105</v>
      </c>
      <c r="AM3699">
        <v>94.639655929660094</v>
      </c>
      <c r="AN3699">
        <v>0.99999997114463102</v>
      </c>
    </row>
    <row r="3700" spans="1:40" x14ac:dyDescent="0.25">
      <c r="A3700" t="str">
        <f>"20190304164717755"</f>
        <v>20190304164717755</v>
      </c>
      <c r="B3700" t="str">
        <f>"1551689237752540"</f>
        <v>1551689237752540</v>
      </c>
      <c r="C3700" t="s">
        <v>40</v>
      </c>
      <c r="D3700">
        <v>4.0897969999999999</v>
      </c>
      <c r="E3700">
        <v>0.5265396</v>
      </c>
      <c r="F3700" t="s">
        <v>41</v>
      </c>
      <c r="G3700">
        <v>-220.05850000000001</v>
      </c>
      <c r="H3700">
        <v>1.019512</v>
      </c>
      <c r="I3700">
        <v>141.40520000000001</v>
      </c>
      <c r="J3700">
        <v>-219.62190000000001</v>
      </c>
      <c r="K3700">
        <v>1.108884</v>
      </c>
      <c r="L3700">
        <v>141.42089999999999</v>
      </c>
      <c r="M3700">
        <v>-0.99940419999999996</v>
      </c>
      <c r="N3700">
        <v>-6.3753719999999998E-3</v>
      </c>
      <c r="O3700">
        <v>3.392183E-2</v>
      </c>
      <c r="P3700">
        <v>-0.92728109999999997</v>
      </c>
      <c r="Q3700">
        <v>0.37091200000000002</v>
      </c>
      <c r="R3700">
        <v>-5.0736040000000003E-2</v>
      </c>
      <c r="S3700">
        <v>-3.4052579999999999</v>
      </c>
      <c r="T3700">
        <v>-0.40233540000000001</v>
      </c>
      <c r="U3700">
        <v>-1.8890379999999998E-2</v>
      </c>
      <c r="V3700">
        <v>-8.1041580000000002E-2</v>
      </c>
      <c r="W3700">
        <v>0.3770445</v>
      </c>
      <c r="X3700">
        <v>0.92264279999999999</v>
      </c>
      <c r="Y3700">
        <v>-3.8969240000000002E-2</v>
      </c>
      <c r="Z3700">
        <v>-6.1967330000000003E-3</v>
      </c>
      <c r="AA3700">
        <v>0.99922120000000003</v>
      </c>
      <c r="AB3700">
        <v>31</v>
      </c>
      <c r="AC3700">
        <v>-0.43659999999999799</v>
      </c>
      <c r="AD3700">
        <v>-8.9371999999999993E-2</v>
      </c>
      <c r="AE3700">
        <v>-1.5699999999981101E-2</v>
      </c>
      <c r="AF3700">
        <v>-2.9276378751886999E-2</v>
      </c>
      <c r="AG3700">
        <v>-8.9371999999999993E-2</v>
      </c>
      <c r="AH3700">
        <v>0.41831069016387001</v>
      </c>
      <c r="AI3700">
        <v>102.03134812302299</v>
      </c>
      <c r="AJ3700">
        <v>94.0034410607133</v>
      </c>
      <c r="AK3700">
        <v>0.42875201951967201</v>
      </c>
      <c r="AL3700">
        <v>67.849268429628395</v>
      </c>
      <c r="AM3700">
        <v>95.019769300167695</v>
      </c>
      <c r="AN3700">
        <v>1.0000000145304899</v>
      </c>
    </row>
    <row r="3701" spans="1:40" x14ac:dyDescent="0.25">
      <c r="A3701" t="str">
        <f>"20190304164717775"</f>
        <v>20190304164717775</v>
      </c>
      <c r="B3701" t="str">
        <f>"1551689237773035"</f>
        <v>1551689237773035</v>
      </c>
      <c r="C3701" t="s">
        <v>40</v>
      </c>
      <c r="D3701">
        <v>4.1179160000000001</v>
      </c>
      <c r="E3701">
        <v>0.52627559999999995</v>
      </c>
      <c r="F3701" t="s">
        <v>41</v>
      </c>
      <c r="G3701">
        <v>-220.61349999999999</v>
      </c>
      <c r="H3701">
        <v>0.99614239999999998</v>
      </c>
      <c r="I3701">
        <v>141.41849999999999</v>
      </c>
      <c r="J3701">
        <v>-219.9196</v>
      </c>
      <c r="K3701">
        <v>1.1091599999999999</v>
      </c>
      <c r="L3701">
        <v>141.43170000000001</v>
      </c>
      <c r="M3701">
        <v>-0.99938289999999996</v>
      </c>
      <c r="N3701">
        <v>-6.3760219999999899E-3</v>
      </c>
      <c r="O3701">
        <v>3.4546550000000002E-2</v>
      </c>
      <c r="P3701">
        <v>-0.92840120000000004</v>
      </c>
      <c r="Q3701">
        <v>0.36735079999999998</v>
      </c>
      <c r="R3701">
        <v>-5.5900739999999997E-2</v>
      </c>
      <c r="S3701">
        <v>-3.3889309999999999</v>
      </c>
      <c r="T3701">
        <v>-0.38534390000000002</v>
      </c>
      <c r="U3701">
        <v>-8.8195800000000005E-3</v>
      </c>
      <c r="V3701">
        <v>-8.7094439999999995E-2</v>
      </c>
      <c r="W3701">
        <v>0.37344539999999998</v>
      </c>
      <c r="X3701">
        <v>0.9235546</v>
      </c>
      <c r="Y3701">
        <v>-3.6699919999999997E-2</v>
      </c>
      <c r="Z3701">
        <v>-5.8925790000000002E-3</v>
      </c>
      <c r="AA3701">
        <v>0.99930890000000006</v>
      </c>
      <c r="AB3701">
        <v>32</v>
      </c>
      <c r="AC3701">
        <v>-0.69389999999998497</v>
      </c>
      <c r="AD3701">
        <v>-0.1130176</v>
      </c>
      <c r="AE3701">
        <v>-1.32000000000118E-2</v>
      </c>
      <c r="AF3701">
        <v>-3.6204386223547699E-2</v>
      </c>
      <c r="AG3701">
        <v>-0.1130176</v>
      </c>
      <c r="AH3701">
        <v>0.67512673274309098</v>
      </c>
      <c r="AI3701">
        <v>99.489925971532301</v>
      </c>
      <c r="AJ3701">
        <v>93.069606646364704</v>
      </c>
      <c r="AK3701">
        <v>0.68547781930267104</v>
      </c>
      <c r="AL3701">
        <v>68.071738474174694</v>
      </c>
      <c r="AM3701">
        <v>95.387260875510705</v>
      </c>
      <c r="AN3701">
        <v>1.00000000372061</v>
      </c>
    </row>
    <row r="3702" spans="1:40" x14ac:dyDescent="0.25">
      <c r="A3702" t="str">
        <f>"20190304164717797"</f>
        <v>20190304164717797</v>
      </c>
      <c r="B3702" t="str">
        <f>"1551689237792556"</f>
        <v>1551689237792556</v>
      </c>
      <c r="C3702" t="s">
        <v>40</v>
      </c>
      <c r="D3702">
        <v>4.0780310000000002</v>
      </c>
      <c r="E3702">
        <v>0.51979179999999903</v>
      </c>
      <c r="F3702" t="s">
        <v>41</v>
      </c>
      <c r="G3702">
        <v>-220.89779999999999</v>
      </c>
      <c r="H3702">
        <v>0.99581750000000002</v>
      </c>
      <c r="I3702">
        <v>141.42400000000001</v>
      </c>
      <c r="J3702">
        <v>-220.2321</v>
      </c>
      <c r="K3702">
        <v>1.1094120000000001</v>
      </c>
      <c r="L3702">
        <v>141.44299999999899</v>
      </c>
      <c r="M3702">
        <v>-0.99936879999999995</v>
      </c>
      <c r="N3702">
        <v>-6.3775569999999998E-3</v>
      </c>
      <c r="O3702">
        <v>3.4950009999999997E-2</v>
      </c>
      <c r="P3702">
        <v>-0.92888729999999997</v>
      </c>
      <c r="Q3702">
        <v>0.36537700000000001</v>
      </c>
      <c r="R3702">
        <v>-6.0566540000000002E-2</v>
      </c>
      <c r="S3702">
        <v>-3.3849490000000002</v>
      </c>
      <c r="T3702">
        <v>-0.39222970000000001</v>
      </c>
      <c r="U3702">
        <v>-2.6947019999999999E-2</v>
      </c>
      <c r="V3702">
        <v>-9.2380169999999998E-2</v>
      </c>
      <c r="W3702">
        <v>0.37143009999999999</v>
      </c>
      <c r="X3702">
        <v>0.9238537</v>
      </c>
      <c r="Y3702">
        <v>-4.2397190000000001E-2</v>
      </c>
      <c r="Z3702">
        <v>-6.3973800000000003E-3</v>
      </c>
      <c r="AA3702">
        <v>0.99908039999999998</v>
      </c>
      <c r="AB3702">
        <v>32</v>
      </c>
      <c r="AC3702">
        <v>-0.66569999999998597</v>
      </c>
      <c r="AD3702">
        <v>-0.1135945</v>
      </c>
      <c r="AE3702">
        <v>-1.8999999999977001E-2</v>
      </c>
      <c r="AF3702">
        <v>-4.1060470018036102E-2</v>
      </c>
      <c r="AG3702">
        <v>-0.1135945</v>
      </c>
      <c r="AH3702">
        <v>0.645839155605752</v>
      </c>
      <c r="AI3702">
        <v>99.955833840885603</v>
      </c>
      <c r="AJ3702">
        <v>93.637793615067494</v>
      </c>
      <c r="AK3702">
        <v>0.65703720407744304</v>
      </c>
      <c r="AL3702">
        <v>68.196158529824302</v>
      </c>
      <c r="AM3702">
        <v>95.710273835497404</v>
      </c>
      <c r="AN3702">
        <v>1.0000000369994599</v>
      </c>
    </row>
    <row r="3703" spans="1:40" x14ac:dyDescent="0.25">
      <c r="A3703" t="str">
        <f>"20190304164717822"</f>
        <v>20190304164717822</v>
      </c>
      <c r="B3703" t="str">
        <f>"1551689237813053"</f>
        <v>1551689237813053</v>
      </c>
      <c r="C3703" t="s">
        <v>40</v>
      </c>
      <c r="D3703">
        <v>4.064832</v>
      </c>
      <c r="E3703">
        <v>0.51763019999999904</v>
      </c>
      <c r="F3703" t="s">
        <v>41</v>
      </c>
      <c r="G3703">
        <v>-221.19120000000001</v>
      </c>
      <c r="H3703">
        <v>1.0038860000000001</v>
      </c>
      <c r="I3703">
        <v>141.4162</v>
      </c>
      <c r="J3703">
        <v>-220.5711</v>
      </c>
      <c r="K3703">
        <v>1.109612</v>
      </c>
      <c r="L3703">
        <v>141.45519999999999</v>
      </c>
      <c r="M3703">
        <v>-0.99936130000000001</v>
      </c>
      <c r="N3703">
        <v>-6.3797250000000002E-3</v>
      </c>
      <c r="O3703">
        <v>3.516416E-2</v>
      </c>
      <c r="P3703">
        <v>-0.92935630000000002</v>
      </c>
      <c r="Q3703">
        <v>0.36344270000000001</v>
      </c>
      <c r="R3703">
        <v>-6.4859050000000001E-2</v>
      </c>
      <c r="S3703">
        <v>-3.3693390000000001</v>
      </c>
      <c r="T3703">
        <v>-0.37075219999999998</v>
      </c>
      <c r="U3703">
        <v>-9.4345090000000006E-2</v>
      </c>
      <c r="V3703">
        <v>-9.7072580000000006E-2</v>
      </c>
      <c r="W3703">
        <v>0.36945869999999997</v>
      </c>
      <c r="X3703">
        <v>0.92416299999999996</v>
      </c>
      <c r="Y3703">
        <v>-6.2536430000000004E-2</v>
      </c>
      <c r="Z3703">
        <v>-7.2629790000000001E-3</v>
      </c>
      <c r="AA3703">
        <v>0.99801620000000002</v>
      </c>
      <c r="AB3703">
        <v>32</v>
      </c>
      <c r="AC3703">
        <v>-0.62010000000000698</v>
      </c>
      <c r="AD3703">
        <v>-0.105726</v>
      </c>
      <c r="AE3703">
        <v>-3.8999999999987198E-2</v>
      </c>
      <c r="AF3703">
        <v>-5.9071201490203701E-2</v>
      </c>
      <c r="AG3703">
        <v>-0.105726</v>
      </c>
      <c r="AH3703">
        <v>0.60094461825071499</v>
      </c>
      <c r="AI3703">
        <v>99.931202383058505</v>
      </c>
      <c r="AJ3703">
        <v>95.613982319309301</v>
      </c>
      <c r="AK3703">
        <v>0.61302677602694799</v>
      </c>
      <c r="AL3703">
        <v>68.317762977765099</v>
      </c>
      <c r="AM3703">
        <v>95.996267704387904</v>
      </c>
      <c r="AN3703">
        <v>1.00000003368127</v>
      </c>
    </row>
    <row r="3704" spans="1:40" x14ac:dyDescent="0.25">
      <c r="A3704" t="str">
        <f>"20190304164717845"</f>
        <v>20190304164717845</v>
      </c>
      <c r="B3704" t="str">
        <f>"1551689237834056"</f>
        <v>1551689237834056</v>
      </c>
      <c r="C3704" t="s">
        <v>40</v>
      </c>
      <c r="D3704">
        <v>4.0793799999999996</v>
      </c>
      <c r="E3704">
        <v>0.51651570000000002</v>
      </c>
      <c r="F3704" t="s">
        <v>42</v>
      </c>
      <c r="G3704">
        <v>-230.75810000000001</v>
      </c>
      <c r="H3704" s="1">
        <v>-4.2766470000000001E-6</v>
      </c>
      <c r="I3704">
        <v>141.07409999999999</v>
      </c>
      <c r="J3704">
        <v>-220.9177</v>
      </c>
      <c r="K3704">
        <v>1.1097629999999901</v>
      </c>
      <c r="L3704">
        <v>141.4675</v>
      </c>
      <c r="M3704">
        <v>-0.99936009999999997</v>
      </c>
      <c r="N3704">
        <v>-6.3828729999999998E-3</v>
      </c>
      <c r="O3704">
        <v>3.5194740000000002E-2</v>
      </c>
      <c r="P3704">
        <v>-0.93000570000000005</v>
      </c>
      <c r="Q3704">
        <v>0.3609965</v>
      </c>
      <c r="R3704">
        <v>-6.9072220000000004E-2</v>
      </c>
      <c r="S3704">
        <v>-3.3625180000000001</v>
      </c>
      <c r="T3704">
        <v>-0.36626449999999999</v>
      </c>
      <c r="U3704">
        <v>-0.12576289999999901</v>
      </c>
      <c r="V3704">
        <v>-0.1014799</v>
      </c>
      <c r="W3704">
        <v>0.36698399999999998</v>
      </c>
      <c r="X3704">
        <v>0.92467540000000004</v>
      </c>
      <c r="Y3704">
        <v>-7.1888960000000002E-2</v>
      </c>
      <c r="Z3704">
        <v>-7.7296789999999997E-3</v>
      </c>
      <c r="AA3704">
        <v>0.99738269999999996</v>
      </c>
      <c r="AB3704">
        <v>32</v>
      </c>
      <c r="AC3704">
        <v>-9.8404000000000096</v>
      </c>
      <c r="AD3704">
        <v>-1.1097672766469999</v>
      </c>
      <c r="AE3704">
        <v>-0.39340000000001402</v>
      </c>
      <c r="AF3704">
        <v>-0.73022109026342197</v>
      </c>
      <c r="AG3704">
        <v>-1.1097672766469999</v>
      </c>
      <c r="AH3704">
        <v>9.6973182420864301</v>
      </c>
      <c r="AI3704">
        <v>96.510290939114995</v>
      </c>
      <c r="AJ3704">
        <v>94.306322066739199</v>
      </c>
      <c r="AK3704">
        <v>9.7878898306675008</v>
      </c>
      <c r="AL3704">
        <v>68.470267681625501</v>
      </c>
      <c r="AM3704">
        <v>96.262947946073794</v>
      </c>
      <c r="AN3704">
        <v>1.0000000108625799</v>
      </c>
    </row>
    <row r="3705" spans="1:40" x14ac:dyDescent="0.25">
      <c r="A3705" t="str">
        <f>"20190304164717867"</f>
        <v>20190304164717867</v>
      </c>
      <c r="B3705" t="str">
        <f>"1551689237862359"</f>
        <v>1551689237862359</v>
      </c>
      <c r="C3705" t="s">
        <v>40</v>
      </c>
      <c r="D3705">
        <v>4.0425829999999996</v>
      </c>
      <c r="E3705">
        <v>0.51585119999999995</v>
      </c>
      <c r="F3705" t="s">
        <v>42</v>
      </c>
      <c r="G3705">
        <v>-231.11850000000001</v>
      </c>
      <c r="H3705" s="1">
        <v>-4.144451E-6</v>
      </c>
      <c r="I3705">
        <v>141.0204</v>
      </c>
      <c r="J3705">
        <v>-221.22470000000001</v>
      </c>
      <c r="K3705">
        <v>1.1098629999999901</v>
      </c>
      <c r="L3705">
        <v>141.47839999999999</v>
      </c>
      <c r="M3705">
        <v>-0.99936400000000003</v>
      </c>
      <c r="N3705">
        <v>-6.386943E-3</v>
      </c>
      <c r="O3705">
        <v>3.508725E-2</v>
      </c>
      <c r="P3705">
        <v>-0.93067160000000004</v>
      </c>
      <c r="Q3705">
        <v>0.35859669999999999</v>
      </c>
      <c r="R3705">
        <v>-7.2517990000000004E-2</v>
      </c>
      <c r="S3705">
        <v>-3.356598</v>
      </c>
      <c r="T3705">
        <v>-0.36517230000000001</v>
      </c>
      <c r="U3705">
        <v>-0.14710999999999999</v>
      </c>
      <c r="V3705">
        <v>-0.1049568</v>
      </c>
      <c r="W3705">
        <v>0.36456349999999998</v>
      </c>
      <c r="X3705">
        <v>0.92524459999999997</v>
      </c>
      <c r="Y3705">
        <v>-7.8141749999999996E-2</v>
      </c>
      <c r="Z3705">
        <v>-8.0674969999999999E-3</v>
      </c>
      <c r="AA3705">
        <v>0.99690959999999995</v>
      </c>
      <c r="AB3705">
        <v>32</v>
      </c>
      <c r="AC3705">
        <v>-9.8938000000000006</v>
      </c>
      <c r="AD3705">
        <v>-1.10986714445099</v>
      </c>
      <c r="AE3705">
        <v>-0.45799999999999802</v>
      </c>
      <c r="AF3705">
        <v>-0.79488980154370303</v>
      </c>
      <c r="AG3705">
        <v>-1.10986714445099</v>
      </c>
      <c r="AH3705">
        <v>9.74921642660318</v>
      </c>
      <c r="AI3705">
        <v>96.473389180990694</v>
      </c>
      <c r="AJ3705">
        <v>94.661226931534401</v>
      </c>
      <c r="AK3705">
        <v>9.8443321666672396</v>
      </c>
      <c r="AL3705">
        <v>68.619278285281695</v>
      </c>
      <c r="AM3705">
        <v>96.471785872358296</v>
      </c>
      <c r="AN3705">
        <v>1.0000000226138199</v>
      </c>
    </row>
    <row r="3706" spans="1:40" x14ac:dyDescent="0.25">
      <c r="A3706" t="str">
        <f>"20190304164717887"</f>
        <v>20190304164717887</v>
      </c>
      <c r="B3706" t="str">
        <f>"1551689237882856"</f>
        <v>1551689237882856</v>
      </c>
      <c r="C3706" t="s">
        <v>40</v>
      </c>
      <c r="D3706">
        <v>4.0457390000000002</v>
      </c>
      <c r="E3706">
        <v>0.51553629999999995</v>
      </c>
      <c r="F3706" t="s">
        <v>42</v>
      </c>
      <c r="G3706">
        <v>-231.51519999999999</v>
      </c>
      <c r="H3706" s="1">
        <v>-3.9846750000000001E-6</v>
      </c>
      <c r="I3706">
        <v>140.97829999999999</v>
      </c>
      <c r="J3706">
        <v>-221.5284</v>
      </c>
      <c r="K3706">
        <v>1.10997099999999</v>
      </c>
      <c r="L3706">
        <v>141.489</v>
      </c>
      <c r="M3706">
        <v>-0.99937160000000003</v>
      </c>
      <c r="N3706">
        <v>-6.3921910000000002E-3</v>
      </c>
      <c r="O3706">
        <v>3.4867719999999998E-2</v>
      </c>
      <c r="P3706">
        <v>-0.93153770000000002</v>
      </c>
      <c r="Q3706">
        <v>0.35592200000000002</v>
      </c>
      <c r="R3706">
        <v>-7.4548240000000002E-2</v>
      </c>
      <c r="S3706">
        <v>-3.350006</v>
      </c>
      <c r="T3706">
        <v>-0.36131259999999998</v>
      </c>
      <c r="U3706">
        <v>-0.1627808</v>
      </c>
      <c r="V3706">
        <v>-0.1069182</v>
      </c>
      <c r="W3706">
        <v>0.36186859999999998</v>
      </c>
      <c r="X3706">
        <v>0.9260775</v>
      </c>
      <c r="Y3706">
        <v>-8.2646239999999996E-2</v>
      </c>
      <c r="Z3706">
        <v>-8.2321600000000005E-3</v>
      </c>
      <c r="AA3706">
        <v>0.99654500000000001</v>
      </c>
      <c r="AB3706">
        <v>32</v>
      </c>
      <c r="AC3706">
        <v>-9.9867999999999792</v>
      </c>
      <c r="AD3706">
        <v>-1.10997498467499</v>
      </c>
      <c r="AE3706">
        <v>-0.51070000000001403</v>
      </c>
      <c r="AF3706">
        <v>-0.84816340750711405</v>
      </c>
      <c r="AG3706">
        <v>-1.10997498467499</v>
      </c>
      <c r="AH3706">
        <v>9.84166252486364</v>
      </c>
      <c r="AI3706">
        <v>96.411248508113403</v>
      </c>
      <c r="AJ3706">
        <v>94.925631864792294</v>
      </c>
      <c r="AK3706">
        <v>9.9403091946751694</v>
      </c>
      <c r="AL3706">
        <v>68.785001550218396</v>
      </c>
      <c r="AM3706">
        <v>96.585797520992401</v>
      </c>
      <c r="AN3706">
        <v>0.99999996058172402</v>
      </c>
    </row>
    <row r="3707" spans="1:40" x14ac:dyDescent="0.25">
      <c r="A3707" t="str">
        <f>"20190304164717910"</f>
        <v>20190304164717910</v>
      </c>
      <c r="B3707" t="str">
        <f>"1551689237902376"</f>
        <v>1551689237902376</v>
      </c>
      <c r="C3707" t="s">
        <v>40</v>
      </c>
      <c r="D3707">
        <v>4.0275100000000004</v>
      </c>
      <c r="E3707">
        <v>0.51548470000000002</v>
      </c>
      <c r="F3707" t="s">
        <v>42</v>
      </c>
      <c r="G3707">
        <v>-231.72730000000001</v>
      </c>
      <c r="H3707" s="1">
        <v>-3.8869729999999997E-6</v>
      </c>
      <c r="I3707">
        <v>140.95310000000001</v>
      </c>
      <c r="J3707">
        <v>-221.84530000000001</v>
      </c>
      <c r="K3707">
        <v>1.1100920000000001</v>
      </c>
      <c r="L3707">
        <v>141.4999</v>
      </c>
      <c r="M3707">
        <v>-0.99938340000000003</v>
      </c>
      <c r="N3707">
        <v>-6.3990369999999998E-3</v>
      </c>
      <c r="O3707">
        <v>3.452413E-2</v>
      </c>
      <c r="P3707">
        <v>-0.93234439999999996</v>
      </c>
      <c r="Q3707">
        <v>0.35341020000000001</v>
      </c>
      <c r="R3707">
        <v>-7.6390130000000001E-2</v>
      </c>
      <c r="S3707">
        <v>-3.34552</v>
      </c>
      <c r="T3707">
        <v>-0.36410310000000001</v>
      </c>
      <c r="U3707">
        <v>-0.175781299999999</v>
      </c>
      <c r="V3707">
        <v>-0.108583399999999</v>
      </c>
      <c r="W3707">
        <v>0.35933349999999997</v>
      </c>
      <c r="X3707">
        <v>0.92687059999999999</v>
      </c>
      <c r="Y3707">
        <v>-8.6197889999999999E-2</v>
      </c>
      <c r="Z3707">
        <v>-8.4743170000000003E-3</v>
      </c>
      <c r="AA3707">
        <v>0.99624199999999996</v>
      </c>
      <c r="AB3707">
        <v>32</v>
      </c>
      <c r="AC3707">
        <v>-9.8819999999999997</v>
      </c>
      <c r="AD3707">
        <v>-1.110095886973</v>
      </c>
      <c r="AE3707">
        <v>-0.54679999999998996</v>
      </c>
      <c r="AF3707">
        <v>-0.87661998717071599</v>
      </c>
      <c r="AG3707">
        <v>-1.110095886973</v>
      </c>
      <c r="AH3707">
        <v>9.7347607956783104</v>
      </c>
      <c r="AI3707">
        <v>96.4795833548487</v>
      </c>
      <c r="AJ3707">
        <v>95.145634208644793</v>
      </c>
      <c r="AK3707">
        <v>9.8369885244040507</v>
      </c>
      <c r="AL3707">
        <v>68.940730685131896</v>
      </c>
      <c r="AM3707">
        <v>96.681775665173902</v>
      </c>
      <c r="AN3707">
        <v>1.0000000140610801</v>
      </c>
    </row>
    <row r="3708" spans="1:40" x14ac:dyDescent="0.25">
      <c r="A3708" t="str">
        <f>"20190304164717933"</f>
        <v>20190304164717933</v>
      </c>
      <c r="B3708" t="str">
        <f>"1551689237922403"</f>
        <v>1551689237922403</v>
      </c>
      <c r="C3708" t="s">
        <v>40</v>
      </c>
      <c r="D3708">
        <v>4.009226</v>
      </c>
      <c r="E3708">
        <v>0.51547159999999903</v>
      </c>
      <c r="F3708" t="s">
        <v>42</v>
      </c>
      <c r="G3708">
        <v>-231.95910000000001</v>
      </c>
      <c r="H3708" s="1">
        <v>-3.7812240000000001E-6</v>
      </c>
      <c r="I3708">
        <v>140.92939999999999</v>
      </c>
      <c r="J3708">
        <v>-222.1771</v>
      </c>
      <c r="K3708">
        <v>1.110223</v>
      </c>
      <c r="L3708">
        <v>141.511</v>
      </c>
      <c r="M3708">
        <v>-0.99940030000000002</v>
      </c>
      <c r="N3708">
        <v>-6.4075190000000004E-3</v>
      </c>
      <c r="O3708">
        <v>3.4034210000000002E-2</v>
      </c>
      <c r="P3708">
        <v>-0.93337579999999998</v>
      </c>
      <c r="Q3708">
        <v>0.35011199999999998</v>
      </c>
      <c r="R3708">
        <v>-7.893857E-2</v>
      </c>
      <c r="S3708">
        <v>-3.341278</v>
      </c>
      <c r="T3708">
        <v>-0.3667415</v>
      </c>
      <c r="U3708">
        <v>-0.188446</v>
      </c>
      <c r="V3708">
        <v>-0.11083610000000001</v>
      </c>
      <c r="W3708">
        <v>0.35600979999999999</v>
      </c>
      <c r="X3708">
        <v>0.92788599999999999</v>
      </c>
      <c r="Y3708">
        <v>-8.9509829999999999E-2</v>
      </c>
      <c r="Z3708">
        <v>-8.6862710000000006E-3</v>
      </c>
      <c r="AA3708">
        <v>0.9959481</v>
      </c>
      <c r="AB3708">
        <v>32</v>
      </c>
      <c r="AC3708">
        <v>-9.782</v>
      </c>
      <c r="AD3708">
        <v>-1.1102267812240001</v>
      </c>
      <c r="AE3708">
        <v>-0.581600000000008</v>
      </c>
      <c r="AF3708">
        <v>-0.902606454491795</v>
      </c>
      <c r="AG3708">
        <v>-1.1102267812240001</v>
      </c>
      <c r="AH3708">
        <v>9.6328886288630908</v>
      </c>
      <c r="AI3708">
        <v>96.546122981939106</v>
      </c>
      <c r="AJ3708">
        <v>95.3530134425705</v>
      </c>
      <c r="AK3708">
        <v>9.7385751141281993</v>
      </c>
      <c r="AL3708">
        <v>69.144655139483902</v>
      </c>
      <c r="AM3708">
        <v>96.811713197702602</v>
      </c>
      <c r="AN3708">
        <v>1.0000000238776201</v>
      </c>
    </row>
    <row r="3709" spans="1:40" x14ac:dyDescent="0.25">
      <c r="A3709" t="str">
        <f>"20190304164717955"</f>
        <v>20190304164717955</v>
      </c>
      <c r="B3709" t="str">
        <f>"1551689237942902"</f>
        <v>1551689237942902</v>
      </c>
      <c r="C3709" t="s">
        <v>40</v>
      </c>
      <c r="D3709">
        <v>4.0326700000000004</v>
      </c>
      <c r="E3709">
        <v>0.51550109999999905</v>
      </c>
      <c r="F3709" t="s">
        <v>42</v>
      </c>
      <c r="G3709">
        <v>-232.12049999999999</v>
      </c>
      <c r="H3709" s="1">
        <v>-3.7068869999999999E-6</v>
      </c>
      <c r="I3709">
        <v>140.91030000000001</v>
      </c>
      <c r="J3709">
        <v>-222.4956</v>
      </c>
      <c r="K3709">
        <v>1.1103540000000001</v>
      </c>
      <c r="L3709">
        <v>141.5214</v>
      </c>
      <c r="M3709">
        <v>-0.9994208</v>
      </c>
      <c r="N3709">
        <v>-6.4169379999999996E-3</v>
      </c>
      <c r="O3709">
        <v>3.3421579999999999E-2</v>
      </c>
      <c r="P3709">
        <v>-0.93417939999999999</v>
      </c>
      <c r="Q3709">
        <v>0.34731590000000001</v>
      </c>
      <c r="R3709">
        <v>-8.1734959999999995E-2</v>
      </c>
      <c r="S3709">
        <v>-3.3368380000000002</v>
      </c>
      <c r="T3709">
        <v>-0.3725733</v>
      </c>
      <c r="U3709">
        <v>-0.20155329999999999</v>
      </c>
      <c r="V3709">
        <v>-0.1132107</v>
      </c>
      <c r="W3709">
        <v>0.35318709999999998</v>
      </c>
      <c r="X3709">
        <v>0.92867770000000005</v>
      </c>
      <c r="Y3709">
        <v>-9.2828170000000002E-2</v>
      </c>
      <c r="Z3709">
        <v>-8.9642669999999997E-3</v>
      </c>
      <c r="AA3709">
        <v>0.99564180000000002</v>
      </c>
      <c r="AB3709">
        <v>32</v>
      </c>
      <c r="AC3709">
        <v>-9.6248999999999896</v>
      </c>
      <c r="AD3709">
        <v>-1.1103577068870001</v>
      </c>
      <c r="AE3709">
        <v>-0.61109999999999298</v>
      </c>
      <c r="AF3709">
        <v>-0.92024651231048005</v>
      </c>
      <c r="AG3709">
        <v>-1.1103577068870001</v>
      </c>
      <c r="AH3709">
        <v>9.4735249786385101</v>
      </c>
      <c r="AI3709">
        <v>96.653895651511803</v>
      </c>
      <c r="AJ3709">
        <v>95.548233997158206</v>
      </c>
      <c r="AK3709">
        <v>9.5826626467569405</v>
      </c>
      <c r="AL3709">
        <v>69.317623887371596</v>
      </c>
      <c r="AM3709">
        <v>96.950362970680999</v>
      </c>
      <c r="AN3709">
        <v>1.0000000303390899</v>
      </c>
    </row>
    <row r="3710" spans="1:40" x14ac:dyDescent="0.25">
      <c r="A3710" t="str">
        <f>"20190304164717976"</f>
        <v>20190304164717976</v>
      </c>
      <c r="B3710" t="str">
        <f>"1551689237962422"</f>
        <v>1551689237962422</v>
      </c>
      <c r="C3710" t="s">
        <v>40</v>
      </c>
      <c r="D3710">
        <v>4.2363030000000004</v>
      </c>
      <c r="E3710">
        <v>0.51557200000000003</v>
      </c>
      <c r="F3710" t="s">
        <v>42</v>
      </c>
      <c r="G3710">
        <v>-232.32300000000001</v>
      </c>
      <c r="H3710" s="1">
        <v>-3.6162560000000001E-6</v>
      </c>
      <c r="I3710">
        <v>140.89619999999999</v>
      </c>
      <c r="J3710">
        <v>-222.80070000000001</v>
      </c>
      <c r="K3710">
        <v>1.1104830000000001</v>
      </c>
      <c r="L3710">
        <v>141.5309</v>
      </c>
      <c r="M3710">
        <v>-0.99944500000000003</v>
      </c>
      <c r="N3710">
        <v>-6.4269230000000002E-3</v>
      </c>
      <c r="O3710">
        <v>3.269093E-2</v>
      </c>
      <c r="P3710">
        <v>-0.93464539999999996</v>
      </c>
      <c r="Q3710">
        <v>0.34548970000000001</v>
      </c>
      <c r="R3710">
        <v>-8.411399E-2</v>
      </c>
      <c r="S3710">
        <v>-3.3328090000000001</v>
      </c>
      <c r="T3710">
        <v>-0.3765616</v>
      </c>
      <c r="U3710">
        <v>-0.21200559999999999</v>
      </c>
      <c r="V3710">
        <v>-0.11503919999999999</v>
      </c>
      <c r="W3710">
        <v>0.3513329</v>
      </c>
      <c r="X3710">
        <v>0.92915619999999999</v>
      </c>
      <c r="Y3710">
        <v>-9.525219E-2</v>
      </c>
      <c r="Z3710">
        <v>-9.1355380000000003E-3</v>
      </c>
      <c r="AA3710">
        <v>0.9954113</v>
      </c>
      <c r="AB3710">
        <v>33</v>
      </c>
      <c r="AC3710">
        <v>-9.5222999999999693</v>
      </c>
      <c r="AD3710">
        <v>-1.1104866162560001</v>
      </c>
      <c r="AE3710">
        <v>-0.63470000000000903</v>
      </c>
      <c r="AF3710">
        <v>-0.93302681189637404</v>
      </c>
      <c r="AG3710">
        <v>-1.1104866162560001</v>
      </c>
      <c r="AH3710">
        <v>9.3695967749933793</v>
      </c>
      <c r="AI3710">
        <v>96.726216900846197</v>
      </c>
      <c r="AJ3710">
        <v>95.686780500737399</v>
      </c>
      <c r="AK3710">
        <v>9.4811952454618105</v>
      </c>
      <c r="AL3710">
        <v>69.431137813142897</v>
      </c>
      <c r="AM3710">
        <v>97.057896046329404</v>
      </c>
      <c r="AN3710">
        <v>1.0000000340787401</v>
      </c>
    </row>
    <row r="3711" spans="1:40" x14ac:dyDescent="0.25">
      <c r="A3711" t="str">
        <f>"20190304164717999"</f>
        <v>20190304164717999</v>
      </c>
      <c r="B3711" t="str">
        <f>"1551689237992676"</f>
        <v>1551689237992676</v>
      </c>
      <c r="C3711" t="s">
        <v>40</v>
      </c>
      <c r="D3711">
        <v>4.0228299999999999</v>
      </c>
      <c r="E3711">
        <v>0.51768199999999998</v>
      </c>
      <c r="F3711" t="s">
        <v>42</v>
      </c>
      <c r="G3711">
        <v>-232.5325</v>
      </c>
      <c r="H3711" s="1">
        <v>-3.5253099999999998E-6</v>
      </c>
      <c r="I3711">
        <v>140.8922</v>
      </c>
      <c r="J3711">
        <v>-223.14959999999999</v>
      </c>
      <c r="K3711">
        <v>1.110614</v>
      </c>
      <c r="L3711">
        <v>141.54150000000001</v>
      </c>
      <c r="M3711">
        <v>-0.99947640000000004</v>
      </c>
      <c r="N3711">
        <v>-6.4389869999999898E-3</v>
      </c>
      <c r="O3711">
        <v>3.171206E-2</v>
      </c>
      <c r="P3711">
        <v>-0.93499460000000001</v>
      </c>
      <c r="Q3711">
        <v>0.34434559999999997</v>
      </c>
      <c r="R3711">
        <v>-8.4918499999999994E-2</v>
      </c>
      <c r="S3711">
        <v>-3.3305660000000001</v>
      </c>
      <c r="T3711">
        <v>-0.38004640000000001</v>
      </c>
      <c r="U3711">
        <v>-0.2185974</v>
      </c>
      <c r="V3711">
        <v>-0.1150598</v>
      </c>
      <c r="W3711">
        <v>0.35016429999999998</v>
      </c>
      <c r="X3711">
        <v>0.9295947</v>
      </c>
      <c r="Y3711">
        <v>-9.6264219999999998E-2</v>
      </c>
      <c r="Z3711">
        <v>-9.1802410000000004E-3</v>
      </c>
      <c r="AA3711">
        <v>0.99531349999999996</v>
      </c>
      <c r="AB3711">
        <v>33</v>
      </c>
      <c r="AC3711">
        <v>-9.3828999999999994</v>
      </c>
      <c r="AD3711">
        <v>-1.1106175253099999</v>
      </c>
      <c r="AE3711">
        <v>-0.64930000000000998</v>
      </c>
      <c r="AF3711">
        <v>-0.93351394529834997</v>
      </c>
      <c r="AG3711">
        <v>-1.1106175253099999</v>
      </c>
      <c r="AH3711">
        <v>9.2289038842913893</v>
      </c>
      <c r="AI3711">
        <v>96.8275375137666</v>
      </c>
      <c r="AJ3711">
        <v>95.775886855631597</v>
      </c>
      <c r="AK3711">
        <v>9.3422473998005895</v>
      </c>
      <c r="AL3711">
        <v>69.502636316836799</v>
      </c>
      <c r="AM3711">
        <v>97.055850844310001</v>
      </c>
      <c r="AN3711">
        <v>1.0000000504193001</v>
      </c>
    </row>
    <row r="3712" spans="1:40" x14ac:dyDescent="0.25">
      <c r="A3712" t="str">
        <f>"20190304164718021"</f>
        <v>20190304164718021</v>
      </c>
      <c r="B3712" t="str">
        <f>"1551689238012195"</f>
        <v>1551689238012195</v>
      </c>
      <c r="C3712" t="s">
        <v>40</v>
      </c>
      <c r="D3712">
        <v>4.0156869999999998</v>
      </c>
      <c r="E3712">
        <v>0.51805319999999999</v>
      </c>
      <c r="F3712" t="s">
        <v>42</v>
      </c>
      <c r="G3712">
        <v>-235.11779999999999</v>
      </c>
      <c r="H3712" s="1">
        <v>-2.3961400000000001E-6</v>
      </c>
      <c r="I3712">
        <v>140.81649999999999</v>
      </c>
      <c r="J3712">
        <v>-223.46809999999999</v>
      </c>
      <c r="K3712">
        <v>1.1107100000000001</v>
      </c>
      <c r="L3712">
        <v>141.55070000000001</v>
      </c>
      <c r="M3712">
        <v>-0.99950799999999995</v>
      </c>
      <c r="N3712">
        <v>-6.4503950000000003E-3</v>
      </c>
      <c r="O3712">
        <v>3.0694530000000001E-2</v>
      </c>
      <c r="P3712">
        <v>-0.93544970000000005</v>
      </c>
      <c r="Q3712">
        <v>0.34303169999999999</v>
      </c>
      <c r="R3712">
        <v>-8.5224140000000004E-2</v>
      </c>
      <c r="S3712">
        <v>-3.303299</v>
      </c>
      <c r="T3712">
        <v>-0.3065388</v>
      </c>
      <c r="U3712">
        <v>-0.20007320000000001</v>
      </c>
      <c r="V3712">
        <v>-0.1145251</v>
      </c>
      <c r="W3712">
        <v>0.34883380000000003</v>
      </c>
      <c r="X3712">
        <v>0.93016080000000001</v>
      </c>
      <c r="Y3712">
        <v>-9.0538759999999996E-2</v>
      </c>
      <c r="Z3712">
        <v>-7.1236429999999998E-3</v>
      </c>
      <c r="AA3712">
        <v>0.99586739999999996</v>
      </c>
      <c r="AB3712">
        <v>33</v>
      </c>
      <c r="AC3712">
        <v>-11.6496999999999</v>
      </c>
      <c r="AD3712">
        <v>-1.1107123961399901</v>
      </c>
      <c r="AE3712">
        <v>-0.73420000000001495</v>
      </c>
      <c r="AF3712">
        <v>-1.0816500208690301</v>
      </c>
      <c r="AG3712">
        <v>-1.1107123961399901</v>
      </c>
      <c r="AH3712">
        <v>11.517392893632</v>
      </c>
      <c r="AI3712">
        <v>95.484461154514904</v>
      </c>
      <c r="AJ3712">
        <v>95.365167080887204</v>
      </c>
      <c r="AK3712">
        <v>11.6212730740169</v>
      </c>
      <c r="AL3712">
        <v>69.583999714457306</v>
      </c>
      <c r="AM3712">
        <v>97.019157676819802</v>
      </c>
      <c r="AN3712">
        <v>1.0000000662045401</v>
      </c>
    </row>
    <row r="3713" spans="1:40" x14ac:dyDescent="0.25">
      <c r="A3713" t="str">
        <f>"20190304164718045"</f>
        <v>20190304164718045</v>
      </c>
      <c r="B3713" t="str">
        <f>"1551689238032223"</f>
        <v>1551689238032223</v>
      </c>
      <c r="C3713" t="s">
        <v>40</v>
      </c>
      <c r="D3713">
        <v>4.020041</v>
      </c>
      <c r="E3713">
        <v>0.51833379999999996</v>
      </c>
      <c r="F3713" t="s">
        <v>42</v>
      </c>
      <c r="G3713">
        <v>-235.4162</v>
      </c>
      <c r="H3713" s="1">
        <v>-2.2730079999999999E-6</v>
      </c>
      <c r="I3713">
        <v>140.8349</v>
      </c>
      <c r="J3713">
        <v>-223.8253</v>
      </c>
      <c r="K3713">
        <v>1.1108209999999901</v>
      </c>
      <c r="L3713">
        <v>141.56049999999999</v>
      </c>
      <c r="M3713">
        <v>-0.9995465</v>
      </c>
      <c r="N3713">
        <v>-6.4637039999999998E-3</v>
      </c>
      <c r="O3713">
        <v>2.9412480000000001E-2</v>
      </c>
      <c r="P3713">
        <v>-0.93593289999999996</v>
      </c>
      <c r="Q3713">
        <v>0.34187800000000002</v>
      </c>
      <c r="R3713">
        <v>-8.4552569999999994E-2</v>
      </c>
      <c r="S3713">
        <v>-3.3015590000000001</v>
      </c>
      <c r="T3713">
        <v>-0.3069191</v>
      </c>
      <c r="U3713">
        <v>-0.19776920000000001</v>
      </c>
      <c r="V3713">
        <v>-0.11277180000000001</v>
      </c>
      <c r="W3713">
        <v>0.3476667</v>
      </c>
      <c r="X3713">
        <v>0.93081170000000002</v>
      </c>
      <c r="Y3713">
        <v>-8.8612189999999993E-2</v>
      </c>
      <c r="Z3713">
        <v>-6.9302449999999998E-3</v>
      </c>
      <c r="AA3713">
        <v>0.99604210000000004</v>
      </c>
      <c r="AB3713">
        <v>33</v>
      </c>
      <c r="AC3713">
        <v>-11.5909</v>
      </c>
      <c r="AD3713">
        <v>-1.1108232730080001</v>
      </c>
      <c r="AE3713">
        <v>-0.72559999999998503</v>
      </c>
      <c r="AF3713">
        <v>-1.05654433156953</v>
      </c>
      <c r="AG3713">
        <v>-1.1108232730080001</v>
      </c>
      <c r="AH3713">
        <v>11.4597021539601</v>
      </c>
      <c r="AI3713">
        <v>95.513316790379207</v>
      </c>
      <c r="AJ3713">
        <v>95.267578382491195</v>
      </c>
      <c r="AK3713">
        <v>11.5617899879693</v>
      </c>
      <c r="AL3713">
        <v>69.6553340555635</v>
      </c>
      <c r="AM3713">
        <v>96.907959731564006</v>
      </c>
      <c r="AN3713">
        <v>1.0000000170105099</v>
      </c>
    </row>
    <row r="3714" spans="1:40" x14ac:dyDescent="0.25">
      <c r="A3714" t="str">
        <f>"20190304164718067"</f>
        <v>20190304164718067</v>
      </c>
      <c r="B3714" t="str">
        <f>"1551689238062477"</f>
        <v>1551689238062477</v>
      </c>
      <c r="C3714" t="s">
        <v>40</v>
      </c>
      <c r="D3714">
        <v>3.9928360000000001</v>
      </c>
      <c r="E3714">
        <v>0.51867890000000005</v>
      </c>
      <c r="F3714" t="s">
        <v>42</v>
      </c>
      <c r="G3714">
        <v>-235.71700000000001</v>
      </c>
      <c r="H3714" s="1">
        <v>-2.1513329999999999E-6</v>
      </c>
      <c r="I3714">
        <v>140.86269999999999</v>
      </c>
      <c r="J3714">
        <v>-224.14349999999999</v>
      </c>
      <c r="K3714">
        <v>1.110914</v>
      </c>
      <c r="L3714">
        <v>141.56870000000001</v>
      </c>
      <c r="M3714">
        <v>-0.99958259999999999</v>
      </c>
      <c r="N3714">
        <v>-6.4761209999999996E-3</v>
      </c>
      <c r="O3714">
        <v>2.8159190000000001E-2</v>
      </c>
      <c r="P3714">
        <v>-0.93661159999999999</v>
      </c>
      <c r="Q3714">
        <v>0.3404972</v>
      </c>
      <c r="R3714">
        <v>-8.2586560000000003E-2</v>
      </c>
      <c r="S3714">
        <v>-3.3004910000000001</v>
      </c>
      <c r="T3714">
        <v>-0.30830449999999998</v>
      </c>
      <c r="U3714">
        <v>-0.19366459999999999</v>
      </c>
      <c r="V3714">
        <v>-0.1097384</v>
      </c>
      <c r="W3714">
        <v>0.346282599999999</v>
      </c>
      <c r="X3714">
        <v>0.93168980000000001</v>
      </c>
      <c r="Y3714">
        <v>-8.6159040000000006E-2</v>
      </c>
      <c r="Z3714">
        <v>-6.7327430000000002E-3</v>
      </c>
      <c r="AA3714">
        <v>0.99625870000000005</v>
      </c>
      <c r="AB3714">
        <v>33</v>
      </c>
      <c r="AC3714">
        <v>-11.573499999999999</v>
      </c>
      <c r="AD3714">
        <v>-1.1109161513329999</v>
      </c>
      <c r="AE3714">
        <v>-0.70600000000001695</v>
      </c>
      <c r="AF3714">
        <v>-1.0222434972151599</v>
      </c>
      <c r="AG3714">
        <v>-1.1109161513329999</v>
      </c>
      <c r="AH3714">
        <v>11.443979296563001</v>
      </c>
      <c r="AI3714">
        <v>95.522721643597393</v>
      </c>
      <c r="AJ3714">
        <v>95.104448249247596</v>
      </c>
      <c r="AK3714">
        <v>11.5431268988543</v>
      </c>
      <c r="AL3714">
        <v>69.739890299482497</v>
      </c>
      <c r="AM3714">
        <v>96.717590800166604</v>
      </c>
      <c r="AN3714">
        <v>1.00000001946067</v>
      </c>
    </row>
    <row r="3715" spans="1:40" x14ac:dyDescent="0.25">
      <c r="A3715" t="str">
        <f>"20190304164718088"</f>
        <v>20190304164718088</v>
      </c>
      <c r="B3715" t="str">
        <f>"1551689238082974"</f>
        <v>1551689238082974</v>
      </c>
      <c r="C3715" t="s">
        <v>40</v>
      </c>
      <c r="D3715">
        <v>4.0480900000000002</v>
      </c>
      <c r="E3715">
        <v>0.51886169999999998</v>
      </c>
      <c r="F3715" t="s">
        <v>42</v>
      </c>
      <c r="G3715">
        <v>-236.00229999999999</v>
      </c>
      <c r="H3715" s="1">
        <v>-2.0396119999999998E-6</v>
      </c>
      <c r="I3715">
        <v>140.90270000000001</v>
      </c>
      <c r="J3715">
        <v>-224.4632</v>
      </c>
      <c r="K3715">
        <v>1.1110040000000001</v>
      </c>
      <c r="L3715">
        <v>141.57660000000001</v>
      </c>
      <c r="M3715">
        <v>-0.99961940000000005</v>
      </c>
      <c r="N3715">
        <v>-6.4889780000000003E-3</v>
      </c>
      <c r="O3715">
        <v>2.681362E-2</v>
      </c>
      <c r="P3715">
        <v>-0.9371043</v>
      </c>
      <c r="Q3715">
        <v>0.33973160000000002</v>
      </c>
      <c r="R3715">
        <v>-8.0113779999999996E-2</v>
      </c>
      <c r="S3715">
        <v>-3.2990569999999999</v>
      </c>
      <c r="T3715">
        <v>-0.3090521</v>
      </c>
      <c r="U3715">
        <v>-0.18525700000000001</v>
      </c>
      <c r="V3715">
        <v>-0.10610070000000001</v>
      </c>
      <c r="W3715">
        <v>0.34551789999999999</v>
      </c>
      <c r="X3715">
        <v>0.93239470000000002</v>
      </c>
      <c r="Y3715">
        <v>-8.2332119999999995E-2</v>
      </c>
      <c r="Z3715">
        <v>-6.4441009999999998E-3</v>
      </c>
      <c r="AA3715">
        <v>0.99658409999999997</v>
      </c>
      <c r="AB3715">
        <v>33</v>
      </c>
      <c r="AC3715">
        <v>-11.5390999999999</v>
      </c>
      <c r="AD3715">
        <v>-1.1110060396120001</v>
      </c>
      <c r="AE3715">
        <v>-0.67390000000000305</v>
      </c>
      <c r="AF3715">
        <v>-0.97407011429621804</v>
      </c>
      <c r="AG3715">
        <v>-1.1110060396120001</v>
      </c>
      <c r="AH3715">
        <v>11.411454020996301</v>
      </c>
      <c r="AI3715">
        <v>95.540703301136901</v>
      </c>
      <c r="AJ3715">
        <v>94.878882993510302</v>
      </c>
      <c r="AK3715">
        <v>11.506712383688599</v>
      </c>
      <c r="AL3715">
        <v>69.786584957013602</v>
      </c>
      <c r="AM3715">
        <v>96.491976792059901</v>
      </c>
      <c r="AN3715">
        <v>0.99999992717449204</v>
      </c>
    </row>
    <row r="3716" spans="1:40" x14ac:dyDescent="0.25">
      <c r="A3716" t="str">
        <f>"20190304164718111"</f>
        <v>20190304164718111</v>
      </c>
      <c r="B3716" t="str">
        <f>"1551689238102494"</f>
        <v>1551689238102494</v>
      </c>
      <c r="C3716" t="s">
        <v>40</v>
      </c>
      <c r="D3716">
        <v>4.017773</v>
      </c>
      <c r="E3716">
        <v>0.51890630000000004</v>
      </c>
      <c r="F3716" t="s">
        <v>42</v>
      </c>
      <c r="G3716">
        <v>-236.35130000000001</v>
      </c>
      <c r="H3716" s="1">
        <v>-1.900435E-6</v>
      </c>
      <c r="I3716">
        <v>140.94239999999999</v>
      </c>
      <c r="J3716">
        <v>-224.7979</v>
      </c>
      <c r="K3716">
        <v>1.111089</v>
      </c>
      <c r="L3716">
        <v>141.58420000000001</v>
      </c>
      <c r="M3716">
        <v>-0.99965800000000005</v>
      </c>
      <c r="N3716">
        <v>-6.5025990000000004E-3</v>
      </c>
      <c r="O3716">
        <v>2.533639E-2</v>
      </c>
      <c r="P3716">
        <v>-0.93728560000000005</v>
      </c>
      <c r="Q3716">
        <v>0.33959519999999999</v>
      </c>
      <c r="R3716">
        <v>-7.8556799999999996E-2</v>
      </c>
      <c r="S3716">
        <v>-3.2980800000000001</v>
      </c>
      <c r="T3716">
        <v>-0.30822339999999998</v>
      </c>
      <c r="U3716">
        <v>-0.17591860000000001</v>
      </c>
      <c r="V3716">
        <v>-0.10323980000000001</v>
      </c>
      <c r="W3716">
        <v>0.34538229999999998</v>
      </c>
      <c r="X3716">
        <v>0.93276610000000004</v>
      </c>
      <c r="Y3716">
        <v>-7.8089320000000004E-2</v>
      </c>
      <c r="Z3716">
        <v>-6.0900199999999998E-3</v>
      </c>
      <c r="AA3716">
        <v>0.99692769999999997</v>
      </c>
      <c r="AB3716">
        <v>33</v>
      </c>
      <c r="AC3716">
        <v>-11.5534</v>
      </c>
      <c r="AD3716">
        <v>-1.111090900435</v>
      </c>
      <c r="AE3716">
        <v>-0.64180000000001702</v>
      </c>
      <c r="AF3716">
        <v>-0.925785600365989</v>
      </c>
      <c r="AG3716">
        <v>-1.111090900435</v>
      </c>
      <c r="AH3716">
        <v>11.428060489994801</v>
      </c>
      <c r="AI3716">
        <v>95.535097916733704</v>
      </c>
      <c r="AJ3716">
        <v>94.631409487585003</v>
      </c>
      <c r="AK3716">
        <v>11.5192086763742</v>
      </c>
      <c r="AL3716">
        <v>69.794865339742302</v>
      </c>
      <c r="AM3716">
        <v>96.3158667101482</v>
      </c>
      <c r="AN3716">
        <v>0.99999999338326995</v>
      </c>
    </row>
    <row r="3717" spans="1:40" x14ac:dyDescent="0.25">
      <c r="A3717" t="str">
        <f>"20190304164718133"</f>
        <v>20190304164718133</v>
      </c>
      <c r="B3717" t="str">
        <f>"1551689238122525"</f>
        <v>1551689238122525</v>
      </c>
      <c r="C3717" t="s">
        <v>40</v>
      </c>
      <c r="D3717">
        <v>4.0124959999999996</v>
      </c>
      <c r="E3717">
        <v>0.52028189999999996</v>
      </c>
      <c r="F3717" t="s">
        <v>42</v>
      </c>
      <c r="G3717">
        <v>-236.72130000000001</v>
      </c>
      <c r="H3717" s="1">
        <v>-1.750669E-6</v>
      </c>
      <c r="I3717">
        <v>140.976</v>
      </c>
      <c r="J3717">
        <v>-225.12350000000001</v>
      </c>
      <c r="K3717">
        <v>1.111154</v>
      </c>
      <c r="L3717">
        <v>141.59119999999999</v>
      </c>
      <c r="M3717">
        <v>-0.99969430000000004</v>
      </c>
      <c r="N3717">
        <v>-6.5156709999999998E-3</v>
      </c>
      <c r="O3717">
        <v>2.3851730000000002E-2</v>
      </c>
      <c r="P3717">
        <v>-0.93733840000000002</v>
      </c>
      <c r="Q3717">
        <v>0.33956979999999998</v>
      </c>
      <c r="R3717">
        <v>-7.8034939999999997E-2</v>
      </c>
      <c r="S3717">
        <v>-3.297974</v>
      </c>
      <c r="T3717">
        <v>-0.30732500000000001</v>
      </c>
      <c r="U3717">
        <v>-0.1682129</v>
      </c>
      <c r="V3717">
        <v>-0.1013862</v>
      </c>
      <c r="W3717">
        <v>0.34535959999999899</v>
      </c>
      <c r="X3717">
        <v>0.93297779999999997</v>
      </c>
      <c r="Y3717">
        <v>-7.4312509999999998E-2</v>
      </c>
      <c r="Z3717">
        <v>-5.7571499999999999E-3</v>
      </c>
      <c r="AA3717">
        <v>0.99721839999999995</v>
      </c>
      <c r="AB3717">
        <v>33</v>
      </c>
      <c r="AC3717">
        <v>-11.597799999999999</v>
      </c>
      <c r="AD3717">
        <v>-1.111155750669</v>
      </c>
      <c r="AE3717">
        <v>-0.61519999999998698</v>
      </c>
      <c r="AF3717">
        <v>-0.88357083003605597</v>
      </c>
      <c r="AG3717">
        <v>-1.111155750669</v>
      </c>
      <c r="AH3717">
        <v>11.474794074740601</v>
      </c>
      <c r="AI3717">
        <v>95.514738773906103</v>
      </c>
      <c r="AJ3717">
        <v>94.403144779016799</v>
      </c>
      <c r="AK3717">
        <v>11.56227761177</v>
      </c>
      <c r="AL3717">
        <v>69.796251268890401</v>
      </c>
      <c r="AM3717">
        <v>96.201965101149398</v>
      </c>
      <c r="AN3717">
        <v>0.99999999507771897</v>
      </c>
    </row>
    <row r="3718" spans="1:40" x14ac:dyDescent="0.25">
      <c r="A3718" t="str">
        <f>"20190304164718154"</f>
        <v>20190304164718154</v>
      </c>
      <c r="B3718" t="str">
        <f>"1551689238143017"</f>
        <v>1551689238143017</v>
      </c>
      <c r="C3718" t="s">
        <v>40</v>
      </c>
      <c r="D3718">
        <v>4.0104800000000003</v>
      </c>
      <c r="E3718">
        <v>0.51994770000000001</v>
      </c>
      <c r="F3718" t="s">
        <v>42</v>
      </c>
      <c r="G3718">
        <v>-239.0549</v>
      </c>
      <c r="H3718" s="1">
        <v>-7.4346310000000004E-7</v>
      </c>
      <c r="I3718">
        <v>140.953</v>
      </c>
      <c r="J3718">
        <v>-225.446</v>
      </c>
      <c r="K3718">
        <v>1.11121</v>
      </c>
      <c r="L3718">
        <v>141.5975</v>
      </c>
      <c r="M3718">
        <v>-0.99972890000000003</v>
      </c>
      <c r="N3718">
        <v>-6.528509E-3</v>
      </c>
      <c r="O3718">
        <v>2.235146E-2</v>
      </c>
      <c r="P3718">
        <v>-0.93722890000000003</v>
      </c>
      <c r="Q3718">
        <v>0.33995959999999997</v>
      </c>
      <c r="R3718">
        <v>-7.7649910000000003E-2</v>
      </c>
      <c r="S3718">
        <v>-3.2829130000000002</v>
      </c>
      <c r="T3718">
        <v>-0.26184380000000002</v>
      </c>
      <c r="U3718">
        <v>-0.1503601</v>
      </c>
      <c r="V3718">
        <v>-9.963822E-2</v>
      </c>
      <c r="W3718">
        <v>0.34575470000000003</v>
      </c>
      <c r="X3718">
        <v>0.93301979999999995</v>
      </c>
      <c r="Y3718">
        <v>-6.777772E-2</v>
      </c>
      <c r="Z3718">
        <v>-4.5524889999999998E-3</v>
      </c>
      <c r="AA3718">
        <v>0.99769010000000002</v>
      </c>
      <c r="AB3718">
        <v>33</v>
      </c>
      <c r="AC3718">
        <v>-13.6089</v>
      </c>
      <c r="AD3718">
        <v>-1.1112107434631</v>
      </c>
      <c r="AE3718">
        <v>-0.64449999999999297</v>
      </c>
      <c r="AF3718">
        <v>-0.94225603571264005</v>
      </c>
      <c r="AG3718">
        <v>-1.1112107434631</v>
      </c>
      <c r="AH3718">
        <v>13.501279209775999</v>
      </c>
      <c r="AI3718">
        <v>94.693707500009907</v>
      </c>
      <c r="AJ3718">
        <v>93.992206753242698</v>
      </c>
      <c r="AK3718">
        <v>13.5796603806411</v>
      </c>
      <c r="AL3718">
        <v>69.772128104548003</v>
      </c>
      <c r="AM3718">
        <v>96.095577921907903</v>
      </c>
      <c r="AN3718">
        <v>1.0000000173244401</v>
      </c>
    </row>
    <row r="3719" spans="1:40" x14ac:dyDescent="0.25">
      <c r="A3719" t="str">
        <f>"20190304164718177"</f>
        <v>20190304164718177</v>
      </c>
      <c r="B3719" t="str">
        <f>"1551689238172298"</f>
        <v>1551689238172298</v>
      </c>
      <c r="C3719" t="s">
        <v>40</v>
      </c>
      <c r="D3719">
        <v>3.9814430000000001</v>
      </c>
      <c r="E3719">
        <v>0.51960280000000003</v>
      </c>
      <c r="F3719" t="s">
        <v>42</v>
      </c>
      <c r="G3719">
        <v>-239.7996</v>
      </c>
      <c r="H3719" s="1">
        <v>-4.1893110000000003E-7</v>
      </c>
      <c r="I3719">
        <v>140.9341</v>
      </c>
      <c r="J3719">
        <v>-225.7807</v>
      </c>
      <c r="K3719">
        <v>1.111245</v>
      </c>
      <c r="L3719">
        <v>141.6035</v>
      </c>
      <c r="M3719">
        <v>-0.9997627</v>
      </c>
      <c r="N3719">
        <v>-6.5417380000000001E-3</v>
      </c>
      <c r="O3719">
        <v>2.0785870000000001E-2</v>
      </c>
      <c r="P3719">
        <v>-0.93698230000000005</v>
      </c>
      <c r="Q3719">
        <v>0.34045239999999999</v>
      </c>
      <c r="R3719">
        <v>-7.8463530000000004E-2</v>
      </c>
      <c r="S3719">
        <v>-3.2805019999999998</v>
      </c>
      <c r="T3719">
        <v>-0.25396669999999999</v>
      </c>
      <c r="U3719">
        <v>-0.15161129999999901</v>
      </c>
      <c r="V3719">
        <v>-9.9010619999999994E-2</v>
      </c>
      <c r="W3719">
        <v>0.34625349999999999</v>
      </c>
      <c r="X3719">
        <v>0.9329016</v>
      </c>
      <c r="Y3719">
        <v>-6.6652799999999998E-2</v>
      </c>
      <c r="Z3719">
        <v>-4.2636109999999996E-3</v>
      </c>
      <c r="AA3719">
        <v>0.99776710000000002</v>
      </c>
      <c r="AB3719">
        <v>33</v>
      </c>
      <c r="AC3719">
        <v>-14.0189</v>
      </c>
      <c r="AD3719">
        <v>-1.1112454189311001</v>
      </c>
      <c r="AE3719">
        <v>-0.669399999999996</v>
      </c>
      <c r="AF3719">
        <v>-0.95467169218597303</v>
      </c>
      <c r="AG3719">
        <v>-1.1112454189311001</v>
      </c>
      <c r="AH3719">
        <v>13.914724378736199</v>
      </c>
      <c r="AI3719">
        <v>94.5553507508248</v>
      </c>
      <c r="AJ3719">
        <v>93.924840606546198</v>
      </c>
      <c r="AK3719">
        <v>13.991633891620801</v>
      </c>
      <c r="AL3719">
        <v>69.741666979177793</v>
      </c>
      <c r="AM3719">
        <v>96.058231308322206</v>
      </c>
      <c r="AN3719">
        <v>0.99999999220879698</v>
      </c>
    </row>
    <row r="3720" spans="1:40" x14ac:dyDescent="0.25">
      <c r="A3720" t="str">
        <f>"20190304164718200"</f>
        <v>20190304164718200</v>
      </c>
      <c r="B3720" t="str">
        <f>"1551689238192794"</f>
        <v>1551689238192794</v>
      </c>
      <c r="C3720" t="s">
        <v>40</v>
      </c>
      <c r="D3720">
        <v>3.988912</v>
      </c>
      <c r="E3720">
        <v>0.51637010000000005</v>
      </c>
      <c r="F3720" t="s">
        <v>42</v>
      </c>
      <c r="G3720">
        <v>-240.48759999999999</v>
      </c>
      <c r="H3720" s="1">
        <v>-4.336688E-6</v>
      </c>
      <c r="I3720">
        <v>140.8938</v>
      </c>
      <c r="J3720">
        <v>-226.13159999999999</v>
      </c>
      <c r="K3720">
        <v>1.111267</v>
      </c>
      <c r="L3720">
        <v>141.60929999999999</v>
      </c>
      <c r="M3720">
        <v>-0.99979510000000005</v>
      </c>
      <c r="N3720">
        <v>-6.555689E-3</v>
      </c>
      <c r="O3720">
        <v>1.915188E-2</v>
      </c>
      <c r="P3720">
        <v>-0.93650949999999999</v>
      </c>
      <c r="Q3720">
        <v>0.34129890000000002</v>
      </c>
      <c r="R3720">
        <v>-8.0404290000000003E-2</v>
      </c>
      <c r="S3720">
        <v>-3.2785190000000002</v>
      </c>
      <c r="T3720">
        <v>-0.24772420000000001</v>
      </c>
      <c r="U3720">
        <v>-0.15821840000000001</v>
      </c>
      <c r="V3720">
        <v>-9.9432789999999993E-2</v>
      </c>
      <c r="W3720">
        <v>0.34710419999999997</v>
      </c>
      <c r="X3720">
        <v>0.93254049999999999</v>
      </c>
      <c r="Y3720">
        <v>-6.7071339999999993E-2</v>
      </c>
      <c r="Z3720">
        <v>-4.0681999999999897E-3</v>
      </c>
      <c r="AA3720">
        <v>0.99773990000000001</v>
      </c>
      <c r="AB3720">
        <v>34</v>
      </c>
      <c r="AC3720">
        <v>-14.3559999999999</v>
      </c>
      <c r="AD3720">
        <v>-1.111271336688</v>
      </c>
      <c r="AE3720">
        <v>-0.71549999999999103</v>
      </c>
      <c r="AF3720">
        <v>-0.98443491887968104</v>
      </c>
      <c r="AG3720">
        <v>-1.111271336688</v>
      </c>
      <c r="AH3720">
        <v>14.2544619354407</v>
      </c>
      <c r="AI3720">
        <v>94.447186301434797</v>
      </c>
      <c r="AJ3720">
        <v>93.950661151107298</v>
      </c>
      <c r="AK3720">
        <v>14.331563807281499</v>
      </c>
      <c r="AL3720">
        <v>69.689702897253596</v>
      </c>
      <c r="AM3720">
        <v>96.0862077220999</v>
      </c>
      <c r="AN3720">
        <v>0.99999999476253698</v>
      </c>
    </row>
    <row r="3721" spans="1:40" x14ac:dyDescent="0.25">
      <c r="A3721" t="str">
        <f>"20190304164718222"</f>
        <v>20190304164718222</v>
      </c>
      <c r="B3721" t="str">
        <f>"1551689238212313"</f>
        <v>1551689238212313</v>
      </c>
      <c r="C3721" t="s">
        <v>40</v>
      </c>
      <c r="D3721">
        <v>4.0432290000000002</v>
      </c>
      <c r="E3721">
        <v>0.51648640000000001</v>
      </c>
      <c r="F3721" t="s">
        <v>42</v>
      </c>
      <c r="G3721">
        <v>-240.44470000000001</v>
      </c>
      <c r="H3721" s="1">
        <v>-4.3293189999999997E-6</v>
      </c>
      <c r="I3721">
        <v>140.77000000000001</v>
      </c>
      <c r="J3721">
        <v>-226.45910000000001</v>
      </c>
      <c r="K3721">
        <v>1.1112679999999999</v>
      </c>
      <c r="L3721">
        <v>141.61429999999999</v>
      </c>
      <c r="M3721">
        <v>-0.99982260000000001</v>
      </c>
      <c r="N3721">
        <v>-6.5686669999999898E-3</v>
      </c>
      <c r="O3721">
        <v>1.7654019999999999E-2</v>
      </c>
      <c r="P3721">
        <v>-0.93630170000000001</v>
      </c>
      <c r="Q3721">
        <v>0.34140340000000002</v>
      </c>
      <c r="R3721">
        <v>-8.2359970000000005E-2</v>
      </c>
      <c r="S3721">
        <v>-3.2796780000000001</v>
      </c>
      <c r="T3721">
        <v>-0.25463469999999999</v>
      </c>
      <c r="U3721">
        <v>-0.19232179999999999</v>
      </c>
      <c r="V3721">
        <v>-9.9988590000000002E-2</v>
      </c>
      <c r="W3721">
        <v>0.34721780000000002</v>
      </c>
      <c r="X3721">
        <v>0.93243880000000001</v>
      </c>
      <c r="Y3721">
        <v>-7.5863559999999997E-2</v>
      </c>
      <c r="Z3721">
        <v>-4.4397339999999999E-3</v>
      </c>
      <c r="AA3721">
        <v>0.99710829999999995</v>
      </c>
      <c r="AB3721">
        <v>34</v>
      </c>
      <c r="AC3721">
        <v>-13.9856</v>
      </c>
      <c r="AD3721">
        <v>-1.1112723293190001</v>
      </c>
      <c r="AE3721">
        <v>-0.84429999999997496</v>
      </c>
      <c r="AF3721">
        <v>-1.08425507607057</v>
      </c>
      <c r="AG3721">
        <v>-1.1112723293190001</v>
      </c>
      <c r="AH3721">
        <v>13.881192315305</v>
      </c>
      <c r="AI3721">
        <v>94.563267376576306</v>
      </c>
      <c r="AJ3721">
        <v>94.466284916787899</v>
      </c>
      <c r="AK3721">
        <v>13.9677498314645</v>
      </c>
      <c r="AL3721">
        <v>69.682762915793603</v>
      </c>
      <c r="AM3721">
        <v>96.120632800019905</v>
      </c>
      <c r="AN3721">
        <v>1.00000001725623</v>
      </c>
    </row>
    <row r="3722" spans="1:40" x14ac:dyDescent="0.25">
      <c r="A3722" t="str">
        <f>"20190304164718247"</f>
        <v>20190304164718247</v>
      </c>
      <c r="B3722" t="str">
        <f>"1551689238242569"</f>
        <v>1551689238242569</v>
      </c>
      <c r="C3722" t="s">
        <v>40</v>
      </c>
      <c r="D3722">
        <v>3.9811550000000002</v>
      </c>
      <c r="E3722">
        <v>0.51651469999999999</v>
      </c>
      <c r="F3722" t="s">
        <v>42</v>
      </c>
      <c r="G3722">
        <v>-240.39779999999999</v>
      </c>
      <c r="H3722" s="1">
        <v>-4.3443220000000002E-6</v>
      </c>
      <c r="I3722">
        <v>140.7645</v>
      </c>
      <c r="J3722">
        <v>-226.83609999999999</v>
      </c>
      <c r="K3722">
        <v>1.111254</v>
      </c>
      <c r="L3722">
        <v>141.61940000000001</v>
      </c>
      <c r="M3722">
        <v>-0.99985049999999998</v>
      </c>
      <c r="N3722">
        <v>-6.5835260000000001E-3</v>
      </c>
      <c r="O3722">
        <v>1.5986E-2</v>
      </c>
      <c r="P3722">
        <v>-0.93630190000000002</v>
      </c>
      <c r="Q3722">
        <v>0.34097870000000002</v>
      </c>
      <c r="R3722">
        <v>-8.4097149999999996E-2</v>
      </c>
      <c r="S3722">
        <v>-3.281876</v>
      </c>
      <c r="T3722">
        <v>-0.26164999999999999</v>
      </c>
      <c r="U3722">
        <v>-0.20005800000000001</v>
      </c>
      <c r="V3722">
        <v>-0.10015540000000001</v>
      </c>
      <c r="W3722">
        <v>0.3468099</v>
      </c>
      <c r="X3722">
        <v>0.93257270000000003</v>
      </c>
      <c r="Y3722">
        <v>-7.6489950000000001E-2</v>
      </c>
      <c r="Z3722">
        <v>-4.4603530000000002E-3</v>
      </c>
      <c r="AA3722">
        <v>0.99706039999999996</v>
      </c>
      <c r="AB3722">
        <v>34</v>
      </c>
      <c r="AC3722">
        <v>-13.5617</v>
      </c>
      <c r="AD3722">
        <v>-1.1112583443220001</v>
      </c>
      <c r="AE3722">
        <v>-0.85490000000001398</v>
      </c>
      <c r="AF3722">
        <v>-1.06447387066545</v>
      </c>
      <c r="AG3722">
        <v>-1.1112583443220001</v>
      </c>
      <c r="AH3722">
        <v>13.4563079239317</v>
      </c>
      <c r="AI3722">
        <v>94.706291888430599</v>
      </c>
      <c r="AJ3722">
        <v>94.523017481417696</v>
      </c>
      <c r="AK3722">
        <v>13.544010583015</v>
      </c>
      <c r="AL3722">
        <v>69.707682539864905</v>
      </c>
      <c r="AM3722">
        <v>96.129892533675701</v>
      </c>
      <c r="AN3722">
        <v>1.0000000258362201</v>
      </c>
    </row>
    <row r="3723" spans="1:40" x14ac:dyDescent="0.25">
      <c r="A3723" t="str">
        <f>"20190304164718267"</f>
        <v>20190304164718267</v>
      </c>
      <c r="B3723" t="str">
        <f>"1551689238263065"</f>
        <v>1551689238263065</v>
      </c>
      <c r="C3723" t="s">
        <v>40</v>
      </c>
      <c r="D3723">
        <v>3.987301</v>
      </c>
      <c r="E3723">
        <v>0.51662149999999996</v>
      </c>
      <c r="F3723" t="s">
        <v>42</v>
      </c>
      <c r="G3723">
        <v>-240.69820000000001</v>
      </c>
      <c r="H3723" s="1">
        <v>-4.2382619999999999E-6</v>
      </c>
      <c r="I3723">
        <v>140.74289999999999</v>
      </c>
      <c r="J3723">
        <v>-227.14940000000001</v>
      </c>
      <c r="K3723">
        <v>1.111224</v>
      </c>
      <c r="L3723">
        <v>141.6232</v>
      </c>
      <c r="M3723">
        <v>-0.99987079999999995</v>
      </c>
      <c r="N3723">
        <v>-6.5957719999999997E-3</v>
      </c>
      <c r="O3723">
        <v>1.4663799999999999E-2</v>
      </c>
      <c r="P3723">
        <v>-0.93593289999999996</v>
      </c>
      <c r="Q3723">
        <v>0.34167760000000003</v>
      </c>
      <c r="R3723">
        <v>-8.5358779999999995E-2</v>
      </c>
      <c r="S3723">
        <v>-3.2812350000000001</v>
      </c>
      <c r="T3723">
        <v>-0.26304129999999998</v>
      </c>
      <c r="U3723">
        <v>-0.20744319999999999</v>
      </c>
      <c r="V3723">
        <v>-0.1001556</v>
      </c>
      <c r="W3723">
        <v>0.34752499999999997</v>
      </c>
      <c r="X3723">
        <v>0.93230639999999998</v>
      </c>
      <c r="Y3723">
        <v>-7.7415880000000006E-2</v>
      </c>
      <c r="Z3723">
        <v>-4.4271099999999997E-3</v>
      </c>
      <c r="AA3723">
        <v>0.99698909999999996</v>
      </c>
      <c r="AB3723">
        <v>34</v>
      </c>
      <c r="AC3723">
        <v>-13.5488</v>
      </c>
      <c r="AD3723">
        <v>-1.111228238262</v>
      </c>
      <c r="AE3723">
        <v>-0.88030000000000497</v>
      </c>
      <c r="AF3723">
        <v>-1.0717077487525499</v>
      </c>
      <c r="AG3723">
        <v>-1.111228238262</v>
      </c>
      <c r="AH3723">
        <v>13.444377643413899</v>
      </c>
      <c r="AI3723">
        <v>94.710097267439195</v>
      </c>
      <c r="AJ3723">
        <v>94.5576496389358</v>
      </c>
      <c r="AK3723">
        <v>13.532726108030699</v>
      </c>
      <c r="AL3723">
        <v>69.663992355128698</v>
      </c>
      <c r="AM3723">
        <v>96.131642264867295</v>
      </c>
      <c r="AN3723">
        <v>0.99999999665865902</v>
      </c>
    </row>
    <row r="3724" spans="1:40" x14ac:dyDescent="0.25">
      <c r="A3724" t="str">
        <f>"20190304164718289"</f>
        <v>20190304164718289</v>
      </c>
      <c r="B3724" t="str">
        <f>"1551689238282586"</f>
        <v>1551689238282586</v>
      </c>
      <c r="C3724" t="s">
        <v>40</v>
      </c>
      <c r="D3724">
        <v>3.9756619999999998</v>
      </c>
      <c r="E3724">
        <v>0.51672050000000003</v>
      </c>
      <c r="F3724" t="s">
        <v>42</v>
      </c>
      <c r="G3724">
        <v>-241.0634</v>
      </c>
      <c r="H3724" s="1">
        <v>-4.1105349999999998E-6</v>
      </c>
      <c r="I3724">
        <v>140.7235</v>
      </c>
      <c r="J3724">
        <v>-227.48050000000001</v>
      </c>
      <c r="K3724">
        <v>1.1111839999999999</v>
      </c>
      <c r="L3724">
        <v>141.62690000000001</v>
      </c>
      <c r="M3724">
        <v>-0.99988920000000003</v>
      </c>
      <c r="N3724">
        <v>-6.6086469999999996E-3</v>
      </c>
      <c r="O3724">
        <v>1.334514E-2</v>
      </c>
      <c r="P3724">
        <v>-0.93556510000000004</v>
      </c>
      <c r="Q3724">
        <v>0.34241519999999998</v>
      </c>
      <c r="R3724">
        <v>-8.6431910000000001E-2</v>
      </c>
      <c r="S3724">
        <v>-3.2816770000000002</v>
      </c>
      <c r="T3724">
        <v>-0.26208720000000002</v>
      </c>
      <c r="U3724">
        <v>-0.21218870000000001</v>
      </c>
      <c r="V3724">
        <v>-9.9957539999999998E-2</v>
      </c>
      <c r="W3724">
        <v>0.34828350000000002</v>
      </c>
      <c r="X3724">
        <v>0.9320446</v>
      </c>
      <c r="Y3724">
        <v>-7.7533770000000002E-2</v>
      </c>
      <c r="Z3724">
        <v>-4.3199659999999997E-3</v>
      </c>
      <c r="AA3724">
        <v>0.99698039999999999</v>
      </c>
      <c r="AB3724">
        <v>34</v>
      </c>
      <c r="AC3724">
        <v>-13.582899999999899</v>
      </c>
      <c r="AD3724">
        <v>-1.1111881105350001</v>
      </c>
      <c r="AE3724">
        <v>-0.90340000000000398</v>
      </c>
      <c r="AF3724">
        <v>-1.07741035058937</v>
      </c>
      <c r="AG3724">
        <v>-1.1111881105350001</v>
      </c>
      <c r="AH3724">
        <v>13.4798173877492</v>
      </c>
      <c r="AI3724">
        <v>94.697521398849403</v>
      </c>
      <c r="AJ3724">
        <v>94.569803195669607</v>
      </c>
      <c r="AK3724">
        <v>13.5683834294147</v>
      </c>
      <c r="AL3724">
        <v>69.617638258833296</v>
      </c>
      <c r="AM3724">
        <v>96.121314773251399</v>
      </c>
      <c r="AN3724">
        <v>1.0000000212821301</v>
      </c>
    </row>
    <row r="3725" spans="1:40" x14ac:dyDescent="0.25">
      <c r="A3725" t="str">
        <f>"20190304164718311"</f>
        <v>20190304164718311</v>
      </c>
      <c r="B3725" t="str">
        <f>"1551689238303081"</f>
        <v>1551689238303081</v>
      </c>
      <c r="C3725" t="s">
        <v>40</v>
      </c>
      <c r="D3725">
        <v>3.9922279999999999</v>
      </c>
      <c r="E3725">
        <v>0.5167697</v>
      </c>
      <c r="F3725" t="s">
        <v>42</v>
      </c>
      <c r="G3725">
        <v>-241.49440000000001</v>
      </c>
      <c r="H3725" s="1">
        <v>-3.9213089999999997E-6</v>
      </c>
      <c r="I3725">
        <v>140.70660000000001</v>
      </c>
      <c r="J3725">
        <v>-227.81780000000001</v>
      </c>
      <c r="K3725">
        <v>1.1111200000000001</v>
      </c>
      <c r="L3725">
        <v>141.6302</v>
      </c>
      <c r="M3725">
        <v>-0.99990480000000004</v>
      </c>
      <c r="N3725">
        <v>-6.6216919999999898E-3</v>
      </c>
      <c r="O3725">
        <v>1.210171E-2</v>
      </c>
      <c r="P3725">
        <v>-0.93521679999999996</v>
      </c>
      <c r="Q3725">
        <v>0.34332760000000001</v>
      </c>
      <c r="R3725">
        <v>-8.6579870000000003E-2</v>
      </c>
      <c r="S3725">
        <v>-3.2819519999999902</v>
      </c>
      <c r="T3725">
        <v>-0.26023400000000002</v>
      </c>
      <c r="U3725">
        <v>-0.21551509999999999</v>
      </c>
      <c r="V3725">
        <v>-9.8890809999999996E-2</v>
      </c>
      <c r="W3725">
        <v>0.34922389999999998</v>
      </c>
      <c r="X3725">
        <v>0.93180640000000003</v>
      </c>
      <c r="Y3725">
        <v>-7.7303079999999996E-2</v>
      </c>
      <c r="Z3725">
        <v>-4.1905420000000002E-3</v>
      </c>
      <c r="AA3725">
        <v>0.99699879999999996</v>
      </c>
      <c r="AB3725">
        <v>34</v>
      </c>
      <c r="AC3725">
        <v>-13.676600000000001</v>
      </c>
      <c r="AD3725">
        <v>-1.1111239213090001</v>
      </c>
      <c r="AE3725">
        <v>-0.92359999999999298</v>
      </c>
      <c r="AF3725">
        <v>-1.08193747154867</v>
      </c>
      <c r="AG3725">
        <v>-1.1111239213090001</v>
      </c>
      <c r="AH3725">
        <v>13.5752262248953</v>
      </c>
      <c r="AI3725">
        <v>94.664468476208498</v>
      </c>
      <c r="AJ3725">
        <v>94.556807630119494</v>
      </c>
      <c r="AK3725">
        <v>13.66352634271</v>
      </c>
      <c r="AL3725">
        <v>69.560146118681203</v>
      </c>
      <c r="AM3725">
        <v>96.058013973796804</v>
      </c>
      <c r="AN3725">
        <v>0.999999945857311</v>
      </c>
    </row>
    <row r="3726" spans="1:40" x14ac:dyDescent="0.25">
      <c r="A3726" t="str">
        <f>"20190304164718334"</f>
        <v>20190304164718334</v>
      </c>
      <c r="B3726" t="str">
        <f>"1551689238322604"</f>
        <v>1551689238322604</v>
      </c>
      <c r="C3726" t="s">
        <v>40</v>
      </c>
      <c r="D3726">
        <v>3.9694370000000001</v>
      </c>
      <c r="E3726">
        <v>0.51689169999999995</v>
      </c>
      <c r="F3726" t="s">
        <v>42</v>
      </c>
      <c r="G3726">
        <v>-241.99080000000001</v>
      </c>
      <c r="H3726" s="1">
        <v>-3.7066120000000001E-6</v>
      </c>
      <c r="I3726">
        <v>140.70009999999999</v>
      </c>
      <c r="J3726">
        <v>-228.1609</v>
      </c>
      <c r="K3726">
        <v>1.1110450000000001</v>
      </c>
      <c r="L3726">
        <v>141.63329999999999</v>
      </c>
      <c r="M3726">
        <v>-0.99991799999999997</v>
      </c>
      <c r="N3726">
        <v>-6.6350119999999896E-3</v>
      </c>
      <c r="O3726">
        <v>1.095252E-2</v>
      </c>
      <c r="P3726">
        <v>-0.93500070000000002</v>
      </c>
      <c r="Q3726">
        <v>0.34390549999999998</v>
      </c>
      <c r="R3726">
        <v>-8.6619269999999998E-2</v>
      </c>
      <c r="S3726">
        <v>-3.2823180000000001</v>
      </c>
      <c r="T3726">
        <v>-0.257326</v>
      </c>
      <c r="U3726">
        <v>-0.2154083</v>
      </c>
      <c r="V3726">
        <v>-9.7790370000000001E-2</v>
      </c>
      <c r="W3726">
        <v>0.349834599999999</v>
      </c>
      <c r="X3726">
        <v>0.93169349999999995</v>
      </c>
      <c r="Y3726">
        <v>-7.6130859999999995E-2</v>
      </c>
      <c r="Z3726">
        <v>-4.0137369999999999E-3</v>
      </c>
      <c r="AA3726">
        <v>0.99708969999999997</v>
      </c>
      <c r="AB3726">
        <v>34</v>
      </c>
      <c r="AC3726">
        <v>-13.8299</v>
      </c>
      <c r="AD3726">
        <v>-1.1110487066120001</v>
      </c>
      <c r="AE3726">
        <v>-0.93319999999999903</v>
      </c>
      <c r="AF3726">
        <v>-1.0776957061310599</v>
      </c>
      <c r="AG3726">
        <v>-1.1110487066120001</v>
      </c>
      <c r="AH3726">
        <v>13.7306336418999</v>
      </c>
      <c r="AI3726">
        <v>94.612029907910497</v>
      </c>
      <c r="AJ3726">
        <v>94.487854448510205</v>
      </c>
      <c r="AK3726">
        <v>13.8176031739065</v>
      </c>
      <c r="AL3726">
        <v>69.5228009564742</v>
      </c>
      <c r="AM3726">
        <v>95.991815166282294</v>
      </c>
      <c r="AN3726">
        <v>0.99999999088207303</v>
      </c>
    </row>
    <row r="3727" spans="1:40" x14ac:dyDescent="0.25">
      <c r="A3727" t="str">
        <f>"20190304164718355"</f>
        <v>20190304164718355</v>
      </c>
      <c r="B3727" t="str">
        <f>"1551689238352858"</f>
        <v>1551689238352858</v>
      </c>
      <c r="C3727" t="s">
        <v>40</v>
      </c>
      <c r="D3727">
        <v>3.974945</v>
      </c>
      <c r="E3727">
        <v>0.51695000000000002</v>
      </c>
      <c r="F3727" t="s">
        <v>42</v>
      </c>
      <c r="G3727">
        <v>-242.4136</v>
      </c>
      <c r="H3727" s="1">
        <v>-3.52788E-6</v>
      </c>
      <c r="I3727">
        <v>140.71</v>
      </c>
      <c r="J3727">
        <v>-228.48439999999999</v>
      </c>
      <c r="K3727">
        <v>1.1109579999999999</v>
      </c>
      <c r="L3727">
        <v>141.636</v>
      </c>
      <c r="M3727">
        <v>-0.99992809999999999</v>
      </c>
      <c r="N3727">
        <v>-6.6476319999999997E-3</v>
      </c>
      <c r="O3727">
        <v>9.995037E-3</v>
      </c>
      <c r="P3727">
        <v>-0.93529989999999996</v>
      </c>
      <c r="Q3727">
        <v>0.34332869999999999</v>
      </c>
      <c r="R3727">
        <v>-8.5673170000000007E-2</v>
      </c>
      <c r="S3727">
        <v>-3.2829899999999999</v>
      </c>
      <c r="T3727">
        <v>-0.25592219999999999</v>
      </c>
      <c r="U3727">
        <v>-0.212677</v>
      </c>
      <c r="V3727">
        <v>-9.5879889999999995E-2</v>
      </c>
      <c r="W3727">
        <v>0.34929710000000003</v>
      </c>
      <c r="X3727">
        <v>0.93209359999999997</v>
      </c>
      <c r="Y3727">
        <v>-7.4347919999999998E-2</v>
      </c>
      <c r="Z3727">
        <v>-3.8491760000000002E-3</v>
      </c>
      <c r="AA3727">
        <v>0.99722489999999997</v>
      </c>
      <c r="AB3727">
        <v>34</v>
      </c>
      <c r="AC3727">
        <v>-13.9292</v>
      </c>
      <c r="AD3727">
        <v>-1.11096152787999</v>
      </c>
      <c r="AE3727">
        <v>-0.92599999999998694</v>
      </c>
      <c r="AF3727">
        <v>-1.0584760137509801</v>
      </c>
      <c r="AG3727">
        <v>-1.11096152787999</v>
      </c>
      <c r="AH3727">
        <v>13.831648493424799</v>
      </c>
      <c r="AI3727">
        <v>94.578822891008301</v>
      </c>
      <c r="AJ3727">
        <v>94.376068232543105</v>
      </c>
      <c r="AK3727">
        <v>13.916504842587999</v>
      </c>
      <c r="AL3727">
        <v>69.555670250817599</v>
      </c>
      <c r="AM3727">
        <v>95.873078726749597</v>
      </c>
      <c r="AN3727">
        <v>0.99999994826788896</v>
      </c>
    </row>
    <row r="3728" spans="1:40" x14ac:dyDescent="0.25">
      <c r="A3728" t="str">
        <f>"20190304164718378"</f>
        <v>20190304164718378</v>
      </c>
      <c r="B3728" t="str">
        <f>"1551689238372378"</f>
        <v>1551689238372378</v>
      </c>
      <c r="C3728" t="s">
        <v>40</v>
      </c>
      <c r="D3728">
        <v>3.973179</v>
      </c>
      <c r="E3728">
        <v>0.51689620000000003</v>
      </c>
      <c r="F3728" t="s">
        <v>42</v>
      </c>
      <c r="G3728">
        <v>-242.57910000000001</v>
      </c>
      <c r="H3728" s="1">
        <v>-3.4655480000000002E-6</v>
      </c>
      <c r="I3728">
        <v>140.74270000000001</v>
      </c>
      <c r="J3728">
        <v>-228.84209999999999</v>
      </c>
      <c r="K3728">
        <v>1.110841</v>
      </c>
      <c r="L3728">
        <v>141.6387</v>
      </c>
      <c r="M3728">
        <v>-0.99993679999999996</v>
      </c>
      <c r="N3728">
        <v>-6.6616319999999998E-3</v>
      </c>
      <c r="O3728">
        <v>9.0843999999999994E-3</v>
      </c>
      <c r="P3728">
        <v>-0.93607510000000005</v>
      </c>
      <c r="Q3728">
        <v>0.34153820000000001</v>
      </c>
      <c r="R3728">
        <v>-8.4353419999999998E-2</v>
      </c>
      <c r="S3728">
        <v>-3.2834629999999998</v>
      </c>
      <c r="T3728">
        <v>-0.25880649999999999</v>
      </c>
      <c r="U3728">
        <v>-0.20809939999999999</v>
      </c>
      <c r="V3728">
        <v>-9.3624230000000003E-2</v>
      </c>
      <c r="W3728">
        <v>0.34755449999999999</v>
      </c>
      <c r="X3728">
        <v>0.93297399999999997</v>
      </c>
      <c r="Y3728">
        <v>-7.2049859999999993E-2</v>
      </c>
      <c r="Z3728">
        <v>-3.72683E-3</v>
      </c>
      <c r="AA3728">
        <v>0.99739409999999895</v>
      </c>
      <c r="AB3728">
        <v>34</v>
      </c>
      <c r="AC3728">
        <v>-13.737</v>
      </c>
      <c r="AD3728">
        <v>-1.1108444655480001</v>
      </c>
      <c r="AE3728">
        <v>-0.89599999999998603</v>
      </c>
      <c r="AF3728">
        <v>-1.01415452992565</v>
      </c>
      <c r="AG3728">
        <v>-1.1108444655480001</v>
      </c>
      <c r="AH3728">
        <v>13.639480273354099</v>
      </c>
      <c r="AI3728">
        <v>94.643320168485801</v>
      </c>
      <c r="AJ3728">
        <v>94.252364795196499</v>
      </c>
      <c r="AK3728">
        <v>13.722168449790299</v>
      </c>
      <c r="AL3728">
        <v>69.662191021555799</v>
      </c>
      <c r="AM3728">
        <v>95.730464998981702</v>
      </c>
      <c r="AN3728">
        <v>1.00000005579466</v>
      </c>
    </row>
    <row r="3729" spans="1:40" x14ac:dyDescent="0.25">
      <c r="A3729" t="str">
        <f>"20190304164718400"</f>
        <v>20190304164718400</v>
      </c>
      <c r="B3729" t="str">
        <f>"1551689238392874"</f>
        <v>1551689238392874</v>
      </c>
      <c r="C3729" t="s">
        <v>40</v>
      </c>
      <c r="D3729">
        <v>3.9681790000000001</v>
      </c>
      <c r="E3729">
        <v>0.51678809999999997</v>
      </c>
      <c r="F3729" t="s">
        <v>42</v>
      </c>
      <c r="G3729">
        <v>-242.54320000000001</v>
      </c>
      <c r="H3729" s="1">
        <v>-3.4911470000000002E-6</v>
      </c>
      <c r="I3729">
        <v>140.78100000000001</v>
      </c>
      <c r="J3729">
        <v>-229.19409999999999</v>
      </c>
      <c r="K3729">
        <v>1.1107340000000001</v>
      </c>
      <c r="L3729">
        <v>141.6413</v>
      </c>
      <c r="M3729">
        <v>-0.99994320000000003</v>
      </c>
      <c r="N3729">
        <v>-6.6755159999999899E-3</v>
      </c>
      <c r="O3729">
        <v>8.3087339999999999E-3</v>
      </c>
      <c r="P3729">
        <v>-0.93644470000000002</v>
      </c>
      <c r="Q3729">
        <v>0.34077469999999999</v>
      </c>
      <c r="R3729">
        <v>-8.3331240000000001E-2</v>
      </c>
      <c r="S3729">
        <v>-3.2834780000000001</v>
      </c>
      <c r="T3729">
        <v>-0.26621470000000003</v>
      </c>
      <c r="U3729">
        <v>-0.20555109999999999</v>
      </c>
      <c r="V3729">
        <v>-9.1795940000000006E-2</v>
      </c>
      <c r="W3729">
        <v>0.34683269999999999</v>
      </c>
      <c r="X3729">
        <v>0.93342409999999998</v>
      </c>
      <c r="Y3729">
        <v>-7.0497450000000003E-2</v>
      </c>
      <c r="Z3729">
        <v>-3.7029599999999999E-3</v>
      </c>
      <c r="AA3729">
        <v>0.99750510000000003</v>
      </c>
      <c r="AB3729">
        <v>34</v>
      </c>
      <c r="AC3729">
        <v>-13.3491</v>
      </c>
      <c r="AD3729">
        <v>-1.110737491147</v>
      </c>
      <c r="AE3729">
        <v>-0.86029999999999496</v>
      </c>
      <c r="AF3729">
        <v>-0.96453665090976604</v>
      </c>
      <c r="AG3729">
        <v>-1.110737491147</v>
      </c>
      <c r="AH3729">
        <v>13.250134594414501</v>
      </c>
      <c r="AI3729">
        <v>94.779222650505702</v>
      </c>
      <c r="AJ3729">
        <v>94.163472678683604</v>
      </c>
      <c r="AK3729">
        <v>13.3315466280281</v>
      </c>
      <c r="AL3729">
        <v>69.706288848628702</v>
      </c>
      <c r="AM3729">
        <v>95.616591676219898</v>
      </c>
      <c r="AN3729">
        <v>0.99999998342529095</v>
      </c>
    </row>
    <row r="3730" spans="1:40" x14ac:dyDescent="0.25">
      <c r="A3730" t="str">
        <f>"20190304164718424"</f>
        <v>20190304164718424</v>
      </c>
      <c r="B3730" t="str">
        <f>"1551689238412397"</f>
        <v>1551689238412397</v>
      </c>
      <c r="C3730" t="s">
        <v>40</v>
      </c>
      <c r="D3730">
        <v>3.9466779999999999</v>
      </c>
      <c r="E3730">
        <v>0.51662680000000005</v>
      </c>
      <c r="F3730" t="s">
        <v>42</v>
      </c>
      <c r="G3730">
        <v>-242.7217</v>
      </c>
      <c r="H3730" s="1">
        <v>-3.4166009999999999E-6</v>
      </c>
      <c r="I3730">
        <v>140.7886</v>
      </c>
      <c r="J3730">
        <v>-229.5479</v>
      </c>
      <c r="K3730">
        <v>1.110635</v>
      </c>
      <c r="L3730">
        <v>141.64359999999999</v>
      </c>
      <c r="M3730">
        <v>-0.99994839999999996</v>
      </c>
      <c r="N3730">
        <v>-6.6897019999999996E-3</v>
      </c>
      <c r="O3730">
        <v>7.6522839999999996E-3</v>
      </c>
      <c r="P3730">
        <v>-0.93634030000000001</v>
      </c>
      <c r="Q3730">
        <v>0.34112150000000002</v>
      </c>
      <c r="R3730">
        <v>-8.3087129999999995E-2</v>
      </c>
      <c r="S3730">
        <v>-3.2832949999999999</v>
      </c>
      <c r="T3730">
        <v>-0.26958779999999999</v>
      </c>
      <c r="U3730">
        <v>-0.20692440000000001</v>
      </c>
      <c r="V3730">
        <v>-9.0857309999999997E-2</v>
      </c>
      <c r="W3730">
        <v>0.34721469999999999</v>
      </c>
      <c r="X3730">
        <v>0.93337389999999998</v>
      </c>
      <c r="Y3730">
        <v>-7.0257600000000003E-2</v>
      </c>
      <c r="Z3730">
        <v>-3.687985E-3</v>
      </c>
      <c r="AA3730">
        <v>0.99752209999999997</v>
      </c>
      <c r="AB3730">
        <v>35</v>
      </c>
      <c r="AC3730">
        <v>-13.1738</v>
      </c>
      <c r="AD3730">
        <v>-1.1106384166009999</v>
      </c>
      <c r="AE3730">
        <v>-0.85499999999998899</v>
      </c>
      <c r="AF3730">
        <v>-0.94906955803371396</v>
      </c>
      <c r="AG3730">
        <v>-1.1106384166009999</v>
      </c>
      <c r="AH3730">
        <v>13.074334008546501</v>
      </c>
      <c r="AI3730">
        <v>94.842822768323501</v>
      </c>
      <c r="AJ3730">
        <v>94.151834371896598</v>
      </c>
      <c r="AK3730">
        <v>13.1557006839412</v>
      </c>
      <c r="AL3730">
        <v>69.682951270032504</v>
      </c>
      <c r="AM3730">
        <v>95.559819794872595</v>
      </c>
      <c r="AN3730">
        <v>0.99999996793886703</v>
      </c>
    </row>
    <row r="3731" spans="1:40" x14ac:dyDescent="0.25">
      <c r="A3731" t="str">
        <f>"20190304164718447"</f>
        <v>20190304164718447</v>
      </c>
      <c r="B3731" t="str">
        <f>"1551689238442649"</f>
        <v>1551689238442649</v>
      </c>
      <c r="C3731" t="s">
        <v>40</v>
      </c>
      <c r="D3731">
        <v>3.9010639999999999</v>
      </c>
      <c r="E3731">
        <v>0.53013129999999997</v>
      </c>
      <c r="F3731" t="s">
        <v>42</v>
      </c>
      <c r="G3731">
        <v>-243.06960000000001</v>
      </c>
      <c r="H3731" s="1">
        <v>-3.2625309999999999E-6</v>
      </c>
      <c r="I3731">
        <v>140.7704</v>
      </c>
      <c r="J3731">
        <v>-229.9076</v>
      </c>
      <c r="K3731">
        <v>1.1105449999999999</v>
      </c>
      <c r="L3731">
        <v>141.64580000000001</v>
      </c>
      <c r="M3731">
        <v>-0.99995230000000002</v>
      </c>
      <c r="N3731">
        <v>-6.7044110000000004E-3</v>
      </c>
      <c r="O3731">
        <v>7.1152269999999896E-3</v>
      </c>
      <c r="P3731">
        <v>-0.93594239999999995</v>
      </c>
      <c r="Q3731">
        <v>0.34208070000000002</v>
      </c>
      <c r="R3731">
        <v>-8.3623530000000001E-2</v>
      </c>
      <c r="S3731">
        <v>-3.2833860000000001</v>
      </c>
      <c r="T3731">
        <v>-0.26968959999999997</v>
      </c>
      <c r="U3731">
        <v>-0.21200559999999999</v>
      </c>
      <c r="V3731">
        <v>-9.080742E-2</v>
      </c>
      <c r="W3731">
        <v>0.34820719999999999</v>
      </c>
      <c r="X3731">
        <v>0.93300899999999998</v>
      </c>
      <c r="Y3731">
        <v>-7.1255219999999994E-2</v>
      </c>
      <c r="Z3731">
        <v>-3.6932639999999999E-3</v>
      </c>
      <c r="AA3731">
        <v>0.99745130000000004</v>
      </c>
      <c r="AB3731">
        <v>35</v>
      </c>
      <c r="AC3731">
        <v>-13.162000000000001</v>
      </c>
      <c r="AD3731">
        <v>-1.1105482625309999</v>
      </c>
      <c r="AE3731">
        <v>-0.87540000000001295</v>
      </c>
      <c r="AF3731">
        <v>-0.96221055437967196</v>
      </c>
      <c r="AG3731">
        <v>-1.1105482625309999</v>
      </c>
      <c r="AH3731">
        <v>13.062850537049901</v>
      </c>
      <c r="AI3731">
        <v>94.846292890320498</v>
      </c>
      <c r="AJ3731">
        <v>94.212803141948498</v>
      </c>
      <c r="AK3731">
        <v>13.145236047620999</v>
      </c>
      <c r="AL3731">
        <v>69.622301779035794</v>
      </c>
      <c r="AM3731">
        <v>95.558945645412606</v>
      </c>
      <c r="AN3731">
        <v>1.00000001786994</v>
      </c>
    </row>
    <row r="3732" spans="1:40" x14ac:dyDescent="0.25">
      <c r="A3732" t="str">
        <f>"20190304164718469"</f>
        <v>20190304164718469</v>
      </c>
      <c r="B3732" t="str">
        <f>"1551689238462170"</f>
        <v>1551689238462170</v>
      </c>
      <c r="C3732" t="s">
        <v>40</v>
      </c>
      <c r="D3732">
        <v>3.9144779999999999</v>
      </c>
      <c r="E3732">
        <v>0.53199110000000005</v>
      </c>
      <c r="F3732" t="s">
        <v>42</v>
      </c>
      <c r="G3732">
        <v>-243.47380000000001</v>
      </c>
      <c r="H3732" s="1">
        <v>-3.2017260000000001E-6</v>
      </c>
      <c r="I3732">
        <v>141.1935</v>
      </c>
      <c r="J3732">
        <v>-230.24520000000001</v>
      </c>
      <c r="K3732">
        <v>1.1104529999999999</v>
      </c>
      <c r="L3732">
        <v>141.64779999999999</v>
      </c>
      <c r="M3732">
        <v>-0.99995489999999998</v>
      </c>
      <c r="N3732">
        <v>-6.7183859999999998E-3</v>
      </c>
      <c r="O3732">
        <v>6.7270050000000003E-3</v>
      </c>
      <c r="P3732">
        <v>-0.93571660000000001</v>
      </c>
      <c r="Q3732">
        <v>0.34253689999999998</v>
      </c>
      <c r="R3732">
        <v>-8.4279300000000001E-2</v>
      </c>
      <c r="S3732">
        <v>-3.2940520000000002</v>
      </c>
      <c r="T3732">
        <v>-0.26965689999999998</v>
      </c>
      <c r="U3732">
        <v>-0.1098022</v>
      </c>
      <c r="V3732">
        <v>-9.1018459999999995E-2</v>
      </c>
      <c r="W3732">
        <v>0.34869519999999998</v>
      </c>
      <c r="X3732">
        <v>0.93280609999999997</v>
      </c>
      <c r="Y3732">
        <v>-3.9874489999999999E-2</v>
      </c>
      <c r="Z3732">
        <v>-2.2676620000000001E-3</v>
      </c>
      <c r="AA3732">
        <v>0.99920209999999998</v>
      </c>
      <c r="AB3732">
        <v>35</v>
      </c>
      <c r="AC3732">
        <v>-13.2286</v>
      </c>
      <c r="AD3732">
        <v>-1.110456201726</v>
      </c>
      <c r="AE3732">
        <v>-0.45429999999998899</v>
      </c>
      <c r="AF3732">
        <v>-0.53948357131839297</v>
      </c>
      <c r="AG3732">
        <v>-1.110456201726</v>
      </c>
      <c r="AH3732">
        <v>13.1328128194902</v>
      </c>
      <c r="AI3732">
        <v>94.829143255975296</v>
      </c>
      <c r="AJ3732">
        <v>92.352334029682893</v>
      </c>
      <c r="AK3732">
        <v>13.190713705157901</v>
      </c>
      <c r="AL3732">
        <v>69.592470704858201</v>
      </c>
      <c r="AM3732">
        <v>95.572987972391402</v>
      </c>
      <c r="AN3732">
        <v>0.99999996138050995</v>
      </c>
    </row>
    <row r="3733" spans="1:40" x14ac:dyDescent="0.25">
      <c r="A3733" t="str">
        <f>"20190304164718489"</f>
        <v>20190304164718489</v>
      </c>
      <c r="B3733" t="str">
        <f>"1551689238482665"</f>
        <v>1551689238482665</v>
      </c>
      <c r="C3733" t="s">
        <v>40</v>
      </c>
      <c r="D3733">
        <v>3.8799130000000002</v>
      </c>
      <c r="E3733">
        <v>0.53295429999999999</v>
      </c>
      <c r="F3733" t="s">
        <v>42</v>
      </c>
      <c r="G3733">
        <v>-244.04400000000001</v>
      </c>
      <c r="H3733" s="1">
        <v>-2.9665100000000002E-6</v>
      </c>
      <c r="I3733">
        <v>141.22890000000001</v>
      </c>
      <c r="J3733">
        <v>-230.57599999999999</v>
      </c>
      <c r="K3733">
        <v>1.1103529999999999</v>
      </c>
      <c r="L3733">
        <v>141.6498</v>
      </c>
      <c r="M3733">
        <v>-0.99995659999999997</v>
      </c>
      <c r="N3733">
        <v>-6.7320710000000001E-3</v>
      </c>
      <c r="O3733">
        <v>6.4453740000000002E-3</v>
      </c>
      <c r="P3733">
        <v>-0.9357917</v>
      </c>
      <c r="Q3733">
        <v>0.34231460000000002</v>
      </c>
      <c r="R3733">
        <v>-8.4349110000000005E-2</v>
      </c>
      <c r="S3733">
        <v>-3.2941590000000001</v>
      </c>
      <c r="T3733">
        <v>-0.26509749999999999</v>
      </c>
      <c r="U3733">
        <v>-9.9990839999999998E-2</v>
      </c>
      <c r="V3733">
        <v>-9.0747229999999998E-2</v>
      </c>
      <c r="W3733">
        <v>0.34850759999999997</v>
      </c>
      <c r="X3733">
        <v>0.93290269999999997</v>
      </c>
      <c r="Y3733">
        <v>-3.6636170000000003E-2</v>
      </c>
      <c r="Z3733">
        <v>-2.0694250000000002E-3</v>
      </c>
      <c r="AA3733">
        <v>0.99932650000000001</v>
      </c>
      <c r="AB3733">
        <v>35</v>
      </c>
      <c r="AC3733">
        <v>-13.468</v>
      </c>
      <c r="AD3733">
        <v>-1.11035596651</v>
      </c>
      <c r="AE3733">
        <v>-0.42089999999998801</v>
      </c>
      <c r="AF3733">
        <v>-0.50427529562016105</v>
      </c>
      <c r="AG3733">
        <v>-1.11035596651</v>
      </c>
      <c r="AH3733">
        <v>13.374191430120799</v>
      </c>
      <c r="AI3733">
        <v>94.742587908483799</v>
      </c>
      <c r="AJ3733">
        <v>92.1593205010969</v>
      </c>
      <c r="AK3733">
        <v>13.429675363003099</v>
      </c>
      <c r="AL3733">
        <v>69.603940178369996</v>
      </c>
      <c r="AM3733">
        <v>95.555913097834306</v>
      </c>
      <c r="AN3733">
        <v>1.0000000273388601</v>
      </c>
    </row>
    <row r="3734" spans="1:40" x14ac:dyDescent="0.25">
      <c r="A3734" t="str">
        <f>"20190304164718512"</f>
        <v>20190304164718512</v>
      </c>
      <c r="B3734" t="str">
        <f>"1551689238502186"</f>
        <v>1551689238502186</v>
      </c>
      <c r="C3734" t="s">
        <v>40</v>
      </c>
      <c r="D3734">
        <v>3.9014859999999998</v>
      </c>
      <c r="E3734">
        <v>0.53334250000000005</v>
      </c>
      <c r="F3734" t="s">
        <v>42</v>
      </c>
      <c r="G3734">
        <v>-244.4905</v>
      </c>
      <c r="H3734" s="1">
        <v>-2.7810979999999999E-6</v>
      </c>
      <c r="I3734">
        <v>141.25200000000001</v>
      </c>
      <c r="J3734">
        <v>-230.9342</v>
      </c>
      <c r="K3734">
        <v>1.1102639999999999</v>
      </c>
      <c r="L3734">
        <v>141.65190000000001</v>
      </c>
      <c r="M3734">
        <v>-0.99995780000000001</v>
      </c>
      <c r="N3734">
        <v>-6.746981E-3</v>
      </c>
      <c r="O3734">
        <v>6.2334749999999996E-3</v>
      </c>
      <c r="P3734">
        <v>-0.93601579999999995</v>
      </c>
      <c r="Q3734">
        <v>0.34187970000000001</v>
      </c>
      <c r="R3734">
        <v>-8.3623409999999995E-2</v>
      </c>
      <c r="S3734">
        <v>-3.2934879999999902</v>
      </c>
      <c r="T3734">
        <v>-0.26281690000000002</v>
      </c>
      <c r="U3734">
        <v>-9.4146729999999998E-2</v>
      </c>
      <c r="V3734">
        <v>-8.9743509999999999E-2</v>
      </c>
      <c r="W3734">
        <v>0.34810970000000002</v>
      </c>
      <c r="X3734">
        <v>0.93314830000000004</v>
      </c>
      <c r="Y3734">
        <v>-3.4668520000000001E-2</v>
      </c>
      <c r="Z3734">
        <v>-1.952517E-3</v>
      </c>
      <c r="AA3734">
        <v>0.99939699999999998</v>
      </c>
      <c r="AB3734">
        <v>35</v>
      </c>
      <c r="AC3734">
        <v>-13.556299999999901</v>
      </c>
      <c r="AD3734">
        <v>-1.11026678109799</v>
      </c>
      <c r="AE3734">
        <v>-0.39990000000000198</v>
      </c>
      <c r="AF3734">
        <v>-0.481172268171905</v>
      </c>
      <c r="AG3734">
        <v>-1.11026678109799</v>
      </c>
      <c r="AH3734">
        <v>13.463314696787201</v>
      </c>
      <c r="AI3734">
        <v>94.711296484403306</v>
      </c>
      <c r="AJ3734">
        <v>92.046851882838695</v>
      </c>
      <c r="AK3734">
        <v>13.517583426840501</v>
      </c>
      <c r="AL3734">
        <v>69.628260681412897</v>
      </c>
      <c r="AM3734">
        <v>95.493402113616995</v>
      </c>
      <c r="AN3734">
        <v>1.0000000053070499</v>
      </c>
    </row>
    <row r="3735" spans="1:40" x14ac:dyDescent="0.25">
      <c r="A3735" t="str">
        <f>"20190304164718535"</f>
        <v>20190304164718535</v>
      </c>
      <c r="B3735" t="str">
        <f>"1551689238532441"</f>
        <v>1551689238532441</v>
      </c>
      <c r="C3735" t="s">
        <v>40</v>
      </c>
      <c r="D3735">
        <v>3.9119839999999999</v>
      </c>
      <c r="E3735">
        <v>0.53392320000000004</v>
      </c>
      <c r="F3735" t="s">
        <v>42</v>
      </c>
      <c r="G3735">
        <v>-244.89279999999999</v>
      </c>
      <c r="H3735" s="1">
        <v>-2.6139079999999999E-6</v>
      </c>
      <c r="I3735">
        <v>141.2722</v>
      </c>
      <c r="J3735">
        <v>-231.2809</v>
      </c>
      <c r="K3735">
        <v>1.1101829999999999</v>
      </c>
      <c r="L3735">
        <v>141.65389999999999</v>
      </c>
      <c r="M3735">
        <v>-0.99995860000000003</v>
      </c>
      <c r="N3735">
        <v>-6.7614750000000003E-3</v>
      </c>
      <c r="O3735">
        <v>6.1055850000000002E-3</v>
      </c>
      <c r="P3735">
        <v>-0.9362568</v>
      </c>
      <c r="Q3735">
        <v>0.34163250000000001</v>
      </c>
      <c r="R3735">
        <v>-8.1921259999999996E-2</v>
      </c>
      <c r="S3735">
        <v>-3.2927399999999998</v>
      </c>
      <c r="T3735">
        <v>-0.26190469999999999</v>
      </c>
      <c r="U3735">
        <v>-8.9538569999999998E-2</v>
      </c>
      <c r="V3735">
        <v>-8.7855210000000003E-2</v>
      </c>
      <c r="W3735">
        <v>0.3478965</v>
      </c>
      <c r="X3735">
        <v>0.93340749999999995</v>
      </c>
      <c r="Y3735">
        <v>-3.3155940000000002E-2</v>
      </c>
      <c r="Z3735">
        <v>-1.872173E-3</v>
      </c>
      <c r="AA3735">
        <v>0.99944840000000001</v>
      </c>
      <c r="AB3735">
        <v>35</v>
      </c>
      <c r="AC3735">
        <v>-13.611899999999901</v>
      </c>
      <c r="AD3735">
        <v>-1.110185613908</v>
      </c>
      <c r="AE3735">
        <v>-0.38169999999999499</v>
      </c>
      <c r="AF3735">
        <v>-0.46173433539818198</v>
      </c>
      <c r="AG3735">
        <v>-1.110185613908</v>
      </c>
      <c r="AH3735">
        <v>13.519454665895701</v>
      </c>
      <c r="AI3735">
        <v>94.691737312855906</v>
      </c>
      <c r="AJ3735">
        <v>91.956081085575406</v>
      </c>
      <c r="AK3735">
        <v>13.572817141515699</v>
      </c>
      <c r="AL3735">
        <v>69.641291268111701</v>
      </c>
      <c r="AM3735">
        <v>95.377015269505094</v>
      </c>
      <c r="AN3735">
        <v>1.00000003684632</v>
      </c>
    </row>
    <row r="3736" spans="1:40" x14ac:dyDescent="0.25">
      <c r="A3736" t="str">
        <f>"20190304164718556"</f>
        <v>20190304164718556</v>
      </c>
      <c r="B3736" t="str">
        <f>"1551689238552939"</f>
        <v>1551689238552939</v>
      </c>
      <c r="C3736" t="s">
        <v>40</v>
      </c>
      <c r="D3736">
        <v>3.909907</v>
      </c>
      <c r="E3736">
        <v>0.53402099999999997</v>
      </c>
      <c r="F3736" t="s">
        <v>41</v>
      </c>
      <c r="G3736">
        <v>-232.3169</v>
      </c>
      <c r="H3736">
        <v>1.027377</v>
      </c>
      <c r="I3736">
        <v>141.62860000000001</v>
      </c>
      <c r="J3736">
        <v>-231.62690000000001</v>
      </c>
      <c r="K3736">
        <v>1.110115</v>
      </c>
      <c r="L3736">
        <v>141.6559</v>
      </c>
      <c r="M3736">
        <v>-0.99995889999999998</v>
      </c>
      <c r="N3736">
        <v>-6.775756E-3</v>
      </c>
      <c r="O3736">
        <v>6.0348119999999996E-3</v>
      </c>
      <c r="P3736">
        <v>-0.93644819999999995</v>
      </c>
      <c r="Q3736">
        <v>0.34167449999999999</v>
      </c>
      <c r="R3736">
        <v>-7.9519259999999994E-2</v>
      </c>
      <c r="S3736">
        <v>-3.2932429999999999</v>
      </c>
      <c r="T3736">
        <v>-0.26326480000000002</v>
      </c>
      <c r="U3736">
        <v>-8.076477E-2</v>
      </c>
      <c r="V3736">
        <v>-8.5334199999999999E-2</v>
      </c>
      <c r="W3736">
        <v>0.347968</v>
      </c>
      <c r="X3736">
        <v>0.93361470000000002</v>
      </c>
      <c r="Y3736">
        <v>-3.0428319999999998E-2</v>
      </c>
      <c r="Z3736">
        <v>-1.7581669999999999E-3</v>
      </c>
      <c r="AA3736">
        <v>0.99953539999999996</v>
      </c>
      <c r="AB3736">
        <v>35</v>
      </c>
      <c r="AC3736">
        <v>-0.68999999999999695</v>
      </c>
      <c r="AD3736">
        <v>-8.2737999999999895E-2</v>
      </c>
      <c r="AE3736">
        <v>-2.7299999999996698E-2</v>
      </c>
      <c r="AF3736">
        <v>-3.1018320375756501E-2</v>
      </c>
      <c r="AG3736">
        <v>-8.2737999999999895E-2</v>
      </c>
      <c r="AH3736">
        <v>0.68005976312250205</v>
      </c>
      <c r="AI3736">
        <v>96.929541791578899</v>
      </c>
      <c r="AJ3736">
        <v>92.6115174696276</v>
      </c>
      <c r="AK3736">
        <v>0.68577619837755199</v>
      </c>
      <c r="AL3736">
        <v>69.636921485757696</v>
      </c>
      <c r="AM3736">
        <v>95.222434690366896</v>
      </c>
      <c r="AN3736">
        <v>1.00000003138486</v>
      </c>
    </row>
    <row r="3737" spans="1:40" x14ac:dyDescent="0.25">
      <c r="A3737" t="str">
        <f>"20190304164718579"</f>
        <v>20190304164718579</v>
      </c>
      <c r="B3737" t="str">
        <f>"1551689238572458"</f>
        <v>1551689238572458</v>
      </c>
      <c r="C3737" t="s">
        <v>40</v>
      </c>
      <c r="D3737">
        <v>3.9231780000000001</v>
      </c>
      <c r="E3737">
        <v>0.53408089999999997</v>
      </c>
      <c r="F3737" t="s">
        <v>41</v>
      </c>
      <c r="G3737">
        <v>-232.63460000000001</v>
      </c>
      <c r="H3737">
        <v>1.0300260000000001</v>
      </c>
      <c r="I3737">
        <v>141.6337</v>
      </c>
      <c r="J3737">
        <v>-231.9872</v>
      </c>
      <c r="K3737">
        <v>1.110053</v>
      </c>
      <c r="L3737">
        <v>141.65799999999999</v>
      </c>
      <c r="M3737">
        <v>-0.99995900000000004</v>
      </c>
      <c r="N3737">
        <v>-6.7906869999999897E-3</v>
      </c>
      <c r="O3737">
        <v>5.9990719999999899E-3</v>
      </c>
      <c r="P3737">
        <v>-0.936747</v>
      </c>
      <c r="Q3737">
        <v>0.34119080000000002</v>
      </c>
      <c r="R3737">
        <v>-7.8063560000000004E-2</v>
      </c>
      <c r="S3737">
        <v>-3.292862</v>
      </c>
      <c r="T3737">
        <v>-0.2617333</v>
      </c>
      <c r="U3737">
        <v>-7.3089600000000005E-2</v>
      </c>
      <c r="V3737">
        <v>-8.3804900000000002E-2</v>
      </c>
      <c r="W3737">
        <v>0.34751110000000002</v>
      </c>
      <c r="X3737">
        <v>0.93392330000000001</v>
      </c>
      <c r="Y3737">
        <v>-2.807633E-2</v>
      </c>
      <c r="Z3737">
        <v>-1.644794E-3</v>
      </c>
      <c r="AA3737">
        <v>0.99960439999999995</v>
      </c>
      <c r="AB3737">
        <v>35</v>
      </c>
      <c r="AC3737">
        <v>-0.64740000000000397</v>
      </c>
      <c r="AD3737">
        <v>-8.0026999999999807E-2</v>
      </c>
      <c r="AE3737">
        <v>-2.4299999999982402E-2</v>
      </c>
      <c r="AF3737">
        <v>-2.77598729477843E-2</v>
      </c>
      <c r="AG3737">
        <v>-8.0026999999999807E-2</v>
      </c>
      <c r="AH3737">
        <v>0.63751494828626698</v>
      </c>
      <c r="AI3737">
        <v>97.148188374351093</v>
      </c>
      <c r="AJ3737">
        <v>92.493305385923406</v>
      </c>
      <c r="AK3737">
        <v>0.643117594661753</v>
      </c>
      <c r="AL3737">
        <v>69.6648413091593</v>
      </c>
      <c r="AM3737">
        <v>95.127659770063403</v>
      </c>
      <c r="AN3737">
        <v>0.99999997808505403</v>
      </c>
    </row>
    <row r="3738" spans="1:40" x14ac:dyDescent="0.25">
      <c r="A3738" t="str">
        <f>"20190304164718601"</f>
        <v>20190304164718601</v>
      </c>
      <c r="B3738" t="str">
        <f>"1551689238592954"</f>
        <v>1551689238592954</v>
      </c>
      <c r="C3738" t="s">
        <v>40</v>
      </c>
      <c r="D3738">
        <v>3.9557929999999999</v>
      </c>
      <c r="E3738">
        <v>0.53399280000000005</v>
      </c>
      <c r="F3738" t="s">
        <v>41</v>
      </c>
      <c r="G3738">
        <v>-232.95740000000001</v>
      </c>
      <c r="H3738">
        <v>1.0326709999999999</v>
      </c>
      <c r="I3738">
        <v>141.63849999999999</v>
      </c>
      <c r="J3738">
        <v>-232.3443</v>
      </c>
      <c r="K3738">
        <v>1.110009</v>
      </c>
      <c r="L3738">
        <v>141.6601</v>
      </c>
      <c r="M3738">
        <v>-0.99995889999999998</v>
      </c>
      <c r="N3738">
        <v>-6.8055549999999996E-3</v>
      </c>
      <c r="O3738">
        <v>5.9863959999999997E-3</v>
      </c>
      <c r="P3738">
        <v>-0.93733759999999999</v>
      </c>
      <c r="Q3738">
        <v>0.33995589999999998</v>
      </c>
      <c r="R3738">
        <v>-7.6343910000000001E-2</v>
      </c>
      <c r="S3738">
        <v>-3.2926790000000001</v>
      </c>
      <c r="T3738">
        <v>-0.26267180000000001</v>
      </c>
      <c r="U3738">
        <v>-6.6848749999999998E-2</v>
      </c>
      <c r="V3738">
        <v>-8.2046049999999995E-2</v>
      </c>
      <c r="W3738">
        <v>0.34630169999999999</v>
      </c>
      <c r="X3738">
        <v>0.93452849999999998</v>
      </c>
      <c r="Y3738">
        <v>-2.6176850000000002E-2</v>
      </c>
      <c r="Z3738">
        <v>-1.567681E-3</v>
      </c>
      <c r="AA3738">
        <v>0.99965610000000005</v>
      </c>
      <c r="AB3738">
        <v>35</v>
      </c>
      <c r="AC3738">
        <v>-0.61310000000000198</v>
      </c>
      <c r="AD3738">
        <v>-7.7338000000000101E-2</v>
      </c>
      <c r="AE3738">
        <v>-2.1600000000006499E-2</v>
      </c>
      <c r="AF3738">
        <v>-2.48746441315611E-2</v>
      </c>
      <c r="AG3738">
        <v>-7.7338000000000101E-2</v>
      </c>
      <c r="AH3738">
        <v>0.60337080382192798</v>
      </c>
      <c r="AI3738">
        <v>97.298017434088493</v>
      </c>
      <c r="AJ3738">
        <v>92.360746512256696</v>
      </c>
      <c r="AK3738">
        <v>0.608815440892715</v>
      </c>
      <c r="AL3738">
        <v>69.738722717224704</v>
      </c>
      <c r="AM3738">
        <v>95.017364478594402</v>
      </c>
      <c r="AN3738">
        <v>0.99999996952786996</v>
      </c>
    </row>
    <row r="3739" spans="1:40" x14ac:dyDescent="0.25">
      <c r="A3739" t="str">
        <f>"20190304164718624"</f>
        <v>20190304164718624</v>
      </c>
      <c r="B3739" t="str">
        <f>"1551689238612479"</f>
        <v>1551689238612479</v>
      </c>
      <c r="C3739" t="s">
        <v>40</v>
      </c>
      <c r="D3739">
        <v>3.9495800000000001</v>
      </c>
      <c r="E3739">
        <v>0.5339294</v>
      </c>
      <c r="F3739" t="s">
        <v>41</v>
      </c>
      <c r="G3739">
        <v>-233.27879999999999</v>
      </c>
      <c r="H3739">
        <v>1.0342559999999901</v>
      </c>
      <c r="I3739">
        <v>141.64279999999999</v>
      </c>
      <c r="J3739">
        <v>-232.69280000000001</v>
      </c>
      <c r="K3739">
        <v>1.109982</v>
      </c>
      <c r="L3739">
        <v>141.66220000000001</v>
      </c>
      <c r="M3739">
        <v>-0.99995889999999998</v>
      </c>
      <c r="N3739">
        <v>-6.8200669999999904E-3</v>
      </c>
      <c r="O3739">
        <v>5.9852009999999999E-3</v>
      </c>
      <c r="P3739">
        <v>-0.93757500000000005</v>
      </c>
      <c r="Q3739">
        <v>0.33958870000000002</v>
      </c>
      <c r="R3739">
        <v>-7.5052489999999999E-2</v>
      </c>
      <c r="S3739">
        <v>-3.2923279999999999</v>
      </c>
      <c r="T3739">
        <v>-0.26694620000000002</v>
      </c>
      <c r="U3739">
        <v>-6.1706539999999997E-2</v>
      </c>
      <c r="V3739">
        <v>-8.0733050000000001E-2</v>
      </c>
      <c r="W3739">
        <v>0.34595559999999997</v>
      </c>
      <c r="X3739">
        <v>0.93477109999999997</v>
      </c>
      <c r="Y3739">
        <v>-2.4619129999999999E-2</v>
      </c>
      <c r="Z3739">
        <v>-1.5241629999999901E-3</v>
      </c>
      <c r="AA3739">
        <v>0.99969569999999996</v>
      </c>
      <c r="AB3739">
        <v>35</v>
      </c>
      <c r="AC3739">
        <v>-0.58599999999998398</v>
      </c>
      <c r="AD3739">
        <v>-7.5726000000000099E-2</v>
      </c>
      <c r="AE3739">
        <v>-1.9400000000018701E-2</v>
      </c>
      <c r="AF3739">
        <v>-2.2531220920712101E-2</v>
      </c>
      <c r="AG3739">
        <v>-7.5726000000000099E-2</v>
      </c>
      <c r="AH3739">
        <v>0.57626084708955605</v>
      </c>
      <c r="AI3739">
        <v>97.480648436410803</v>
      </c>
      <c r="AJ3739">
        <v>92.239066977655597</v>
      </c>
      <c r="AK3739">
        <v>0.58165165424036303</v>
      </c>
      <c r="AL3739">
        <v>69.759861127902695</v>
      </c>
      <c r="AM3739">
        <v>94.936195596234498</v>
      </c>
      <c r="AN3739">
        <v>1.00000005596443</v>
      </c>
    </row>
    <row r="3740" spans="1:40" x14ac:dyDescent="0.25">
      <c r="A3740" t="str">
        <f>"20190304164718647"</f>
        <v>20190304164718647</v>
      </c>
      <c r="B3740" t="str">
        <f>"1551689238642730"</f>
        <v>1551689238642730</v>
      </c>
      <c r="C3740" t="s">
        <v>40</v>
      </c>
      <c r="D3740">
        <v>3.943063</v>
      </c>
      <c r="E3740">
        <v>0.53382819999999997</v>
      </c>
      <c r="F3740" t="s">
        <v>42</v>
      </c>
      <c r="G3740">
        <v>-246.3511</v>
      </c>
      <c r="H3740" s="1">
        <v>-2.0264880000000001E-6</v>
      </c>
      <c r="I3740">
        <v>141.41579999999999</v>
      </c>
      <c r="J3740">
        <v>-233.06059999999999</v>
      </c>
      <c r="K3740">
        <v>1.1099589999999999</v>
      </c>
      <c r="L3740">
        <v>141.6644</v>
      </c>
      <c r="M3740">
        <v>-0.99995880000000004</v>
      </c>
      <c r="N3740">
        <v>-6.8354089999999998E-3</v>
      </c>
      <c r="O3740">
        <v>5.9883710000000001E-3</v>
      </c>
      <c r="P3740">
        <v>-0.93777739999999998</v>
      </c>
      <c r="Q3740">
        <v>0.3390031</v>
      </c>
      <c r="R3740">
        <v>-7.5170760000000003E-2</v>
      </c>
      <c r="S3740">
        <v>-3.2918850000000002</v>
      </c>
      <c r="T3740">
        <v>-0.26752510000000002</v>
      </c>
      <c r="U3740">
        <v>-5.937195E-2</v>
      </c>
      <c r="V3740">
        <v>-8.0837010000000001E-2</v>
      </c>
      <c r="W3740">
        <v>0.34538990000000003</v>
      </c>
      <c r="X3740">
        <v>0.9349712</v>
      </c>
      <c r="Y3740">
        <v>-2.3918089999999999E-2</v>
      </c>
      <c r="Z3740">
        <v>-1.4970679999999901E-3</v>
      </c>
      <c r="AA3740">
        <v>0.99971279999999996</v>
      </c>
      <c r="AB3740">
        <v>36</v>
      </c>
      <c r="AC3740">
        <v>-13.2905</v>
      </c>
      <c r="AD3740">
        <v>-1.109961026488</v>
      </c>
      <c r="AE3740">
        <v>-0.24860000000001001</v>
      </c>
      <c r="AF3740">
        <v>-0.32591344745069301</v>
      </c>
      <c r="AG3740">
        <v>-1.109961026488</v>
      </c>
      <c r="AH3740">
        <v>13.196760146396301</v>
      </c>
      <c r="AI3740">
        <v>94.806293419043996</v>
      </c>
      <c r="AJ3740">
        <v>91.414716172228594</v>
      </c>
      <c r="AK3740">
        <v>13.247366206800001</v>
      </c>
      <c r="AL3740">
        <v>69.794400950168495</v>
      </c>
      <c r="AM3740">
        <v>94.941467925525203</v>
      </c>
      <c r="AN3740">
        <v>0.99999997501859395</v>
      </c>
    </row>
    <row r="3741" spans="1:40" x14ac:dyDescent="0.25">
      <c r="A3741" t="str">
        <f>"20190304164718670"</f>
        <v>20190304164718670</v>
      </c>
      <c r="B3741" t="str">
        <f>"1551689238662250"</f>
        <v>1551689238662250</v>
      </c>
      <c r="C3741" t="s">
        <v>40</v>
      </c>
      <c r="D3741">
        <v>3.93093</v>
      </c>
      <c r="E3741">
        <v>0.53375399999999995</v>
      </c>
      <c r="F3741" t="s">
        <v>42</v>
      </c>
      <c r="G3741">
        <v>-246.65459999999999</v>
      </c>
      <c r="H3741" s="1">
        <v>-1.895543E-6</v>
      </c>
      <c r="I3741">
        <v>141.41299999999899</v>
      </c>
      <c r="J3741">
        <v>-233.43680000000001</v>
      </c>
      <c r="K3741">
        <v>1.109937</v>
      </c>
      <c r="L3741">
        <v>141.66659999999999</v>
      </c>
      <c r="M3741">
        <v>-0.99995869999999998</v>
      </c>
      <c r="N3741">
        <v>-6.8511419999999898E-3</v>
      </c>
      <c r="O3741">
        <v>5.99097E-3</v>
      </c>
      <c r="P3741">
        <v>-0.93768039999999997</v>
      </c>
      <c r="Q3741">
        <v>0.33886060000000001</v>
      </c>
      <c r="R3741">
        <v>-7.7001589999999995E-2</v>
      </c>
      <c r="S3741">
        <v>-3.2913359999999998</v>
      </c>
      <c r="T3741">
        <v>-0.26874029999999999</v>
      </c>
      <c r="U3741">
        <v>-6.0852049999999998E-2</v>
      </c>
      <c r="V3741">
        <v>-8.2654539999999999E-2</v>
      </c>
      <c r="W3741">
        <v>0.34526509999999999</v>
      </c>
      <c r="X3741">
        <v>0.93485839999999998</v>
      </c>
      <c r="Y3741">
        <v>-2.437052E-2</v>
      </c>
      <c r="Z3741">
        <v>-1.5241790000000001E-3</v>
      </c>
      <c r="AA3741">
        <v>0.99970190000000003</v>
      </c>
      <c r="AB3741">
        <v>36</v>
      </c>
      <c r="AC3741">
        <v>-13.217799999999899</v>
      </c>
      <c r="AD3741">
        <v>-1.1099388955429901</v>
      </c>
      <c r="AE3741">
        <v>-0.25360000000000499</v>
      </c>
      <c r="AF3741">
        <v>-0.33045540172344701</v>
      </c>
      <c r="AG3741">
        <v>-1.1099388955429901</v>
      </c>
      <c r="AH3741">
        <v>13.1235372331856</v>
      </c>
      <c r="AI3741">
        <v>94.832829596643705</v>
      </c>
      <c r="AJ3741">
        <v>91.442423592078697</v>
      </c>
      <c r="AK3741">
        <v>13.1745358413561</v>
      </c>
      <c r="AL3741">
        <v>69.802020606163794</v>
      </c>
      <c r="AM3741">
        <v>95.052609043135107</v>
      </c>
      <c r="AN3741">
        <v>0.99999999515559002</v>
      </c>
    </row>
    <row r="3742" spans="1:40" x14ac:dyDescent="0.25">
      <c r="A3742" t="str">
        <f>"20190304164718691"</f>
        <v>20190304164718691</v>
      </c>
      <c r="B3742" t="str">
        <f>"1551689238682747"</f>
        <v>1551689238682747</v>
      </c>
      <c r="C3742" t="s">
        <v>40</v>
      </c>
      <c r="D3742">
        <v>3.9412090000000002</v>
      </c>
      <c r="E3742">
        <v>0.53370209999999996</v>
      </c>
      <c r="F3742" t="s">
        <v>42</v>
      </c>
      <c r="G3742">
        <v>-247.0641</v>
      </c>
      <c r="H3742" s="1">
        <v>-1.715832E-6</v>
      </c>
      <c r="I3742">
        <v>141.39779999999999</v>
      </c>
      <c r="J3742">
        <v>-233.78129999999999</v>
      </c>
      <c r="K3742">
        <v>1.1099250000000001</v>
      </c>
      <c r="L3742">
        <v>141.6686</v>
      </c>
      <c r="M3742">
        <v>-0.99995849999999997</v>
      </c>
      <c r="N3742">
        <v>-6.8655749999999996E-3</v>
      </c>
      <c r="O3742">
        <v>5.9913919999999999E-3</v>
      </c>
      <c r="P3742">
        <v>-0.93773709999999999</v>
      </c>
      <c r="Q3742">
        <v>0.33820889999999998</v>
      </c>
      <c r="R3742">
        <v>-7.9147010000000004E-2</v>
      </c>
      <c r="S3742">
        <v>-3.2909090000000001</v>
      </c>
      <c r="T3742">
        <v>-0.26804450000000002</v>
      </c>
      <c r="U3742">
        <v>-6.4895629999999996E-2</v>
      </c>
      <c r="V3742">
        <v>-8.4789290000000003E-2</v>
      </c>
      <c r="W3742">
        <v>0.34462959999999998</v>
      </c>
      <c r="X3742">
        <v>0.93490169999999995</v>
      </c>
      <c r="Y3742">
        <v>-2.5597310000000002E-2</v>
      </c>
      <c r="Z3742">
        <v>-1.574745E-3</v>
      </c>
      <c r="AA3742">
        <v>0.99967110000000003</v>
      </c>
      <c r="AB3742">
        <v>36</v>
      </c>
      <c r="AC3742">
        <v>-13.2828</v>
      </c>
      <c r="AD3742">
        <v>-1.1099267158319901</v>
      </c>
      <c r="AE3742">
        <v>-0.27080000000000798</v>
      </c>
      <c r="AF3742">
        <v>-0.34795092627422602</v>
      </c>
      <c r="AG3742">
        <v>-1.1099267158319901</v>
      </c>
      <c r="AH3742">
        <v>13.1888862766515</v>
      </c>
      <c r="AI3742">
        <v>94.808795479026401</v>
      </c>
      <c r="AJ3742">
        <v>91.511234214479103</v>
      </c>
      <c r="AK3742">
        <v>13.2400803766464</v>
      </c>
      <c r="AL3742">
        <v>69.840812901989096</v>
      </c>
      <c r="AM3742">
        <v>95.182164259741299</v>
      </c>
      <c r="AN3742">
        <v>0.99999998677887603</v>
      </c>
    </row>
    <row r="3743" spans="1:40" x14ac:dyDescent="0.25">
      <c r="A3743" t="str">
        <f>"20190304164718715"</f>
        <v>20190304164718715</v>
      </c>
      <c r="B3743" t="str">
        <f>"1551689238702266"</f>
        <v>1551689238702266</v>
      </c>
      <c r="C3743" t="s">
        <v>40</v>
      </c>
      <c r="D3743">
        <v>3.9729589999999999</v>
      </c>
      <c r="E3743">
        <v>0.53365869999999904</v>
      </c>
      <c r="F3743" t="s">
        <v>42</v>
      </c>
      <c r="G3743">
        <v>-247.34710000000001</v>
      </c>
      <c r="H3743" s="1">
        <v>-1.588428E-6</v>
      </c>
      <c r="I3743">
        <v>141.37520000000001</v>
      </c>
      <c r="J3743">
        <v>-234.15610000000001</v>
      </c>
      <c r="K3743">
        <v>1.109907</v>
      </c>
      <c r="L3743">
        <v>141.67080000000001</v>
      </c>
      <c r="M3743">
        <v>-0.99995840000000003</v>
      </c>
      <c r="N3743">
        <v>-6.8813040000000004E-3</v>
      </c>
      <c r="O3743">
        <v>5.9897689999999998E-3</v>
      </c>
      <c r="P3743">
        <v>-0.93774619999999997</v>
      </c>
      <c r="Q3743">
        <v>0.3377156</v>
      </c>
      <c r="R3743">
        <v>-8.1119780000000002E-2</v>
      </c>
      <c r="S3743">
        <v>-3.2902680000000002</v>
      </c>
      <c r="T3743">
        <v>-0.26920450000000001</v>
      </c>
      <c r="U3743">
        <v>-7.1136469999999993E-2</v>
      </c>
      <c r="V3743">
        <v>-8.6750250000000001E-2</v>
      </c>
      <c r="W3743">
        <v>0.34415370000000001</v>
      </c>
      <c r="X3743">
        <v>0.93489710000000004</v>
      </c>
      <c r="Y3743">
        <v>-2.7487000000000001E-2</v>
      </c>
      <c r="Z3743">
        <v>-1.6652769999999999E-3</v>
      </c>
      <c r="AA3743">
        <v>0.99962079999999998</v>
      </c>
      <c r="AB3743">
        <v>36</v>
      </c>
      <c r="AC3743">
        <v>-13.191000000000001</v>
      </c>
      <c r="AD3743">
        <v>-1.109908588428</v>
      </c>
      <c r="AE3743">
        <v>-0.29560000000000702</v>
      </c>
      <c r="AF3743">
        <v>-0.37197543172710201</v>
      </c>
      <c r="AG3743">
        <v>-1.109908588428</v>
      </c>
      <c r="AH3743">
        <v>13.096320376963901</v>
      </c>
      <c r="AI3743">
        <v>94.842278071345902</v>
      </c>
      <c r="AJ3743">
        <v>91.626937435839494</v>
      </c>
      <c r="AK3743">
        <v>13.1485311047491</v>
      </c>
      <c r="AL3743">
        <v>69.869856572555904</v>
      </c>
      <c r="AM3743">
        <v>95.301365228174404</v>
      </c>
      <c r="AN3743">
        <v>0.99999998134358103</v>
      </c>
    </row>
    <row r="3744" spans="1:40" x14ac:dyDescent="0.25">
      <c r="A3744" t="str">
        <f>"20190304164718736"</f>
        <v>20190304164718736</v>
      </c>
      <c r="B3744" t="str">
        <f>"1551689238732522"</f>
        <v>1551689238732522</v>
      </c>
      <c r="C3744" t="s">
        <v>40</v>
      </c>
      <c r="D3744">
        <v>4.1063280000000004</v>
      </c>
      <c r="E3744">
        <v>0.50774889999999995</v>
      </c>
      <c r="F3744" t="s">
        <v>41</v>
      </c>
      <c r="G3744">
        <v>-235.18899999999999</v>
      </c>
      <c r="H3744">
        <v>1.025177</v>
      </c>
      <c r="I3744">
        <v>141.64670000000001</v>
      </c>
      <c r="J3744">
        <v>-234.49780000000001</v>
      </c>
      <c r="K3744">
        <v>1.1098939999999999</v>
      </c>
      <c r="L3744">
        <v>141.6728</v>
      </c>
      <c r="M3744">
        <v>-0.99995829999999997</v>
      </c>
      <c r="N3744">
        <v>-6.8956570000000003E-3</v>
      </c>
      <c r="O3744">
        <v>5.9872279999999998E-3</v>
      </c>
      <c r="P3744">
        <v>-0.93761269999999997</v>
      </c>
      <c r="Q3744">
        <v>0.33756940000000002</v>
      </c>
      <c r="R3744">
        <v>-8.3245040000000006E-2</v>
      </c>
      <c r="S3744">
        <v>-3.2896420000000002</v>
      </c>
      <c r="T3744">
        <v>-0.26991989999999999</v>
      </c>
      <c r="U3744">
        <v>-7.7774049999999997E-2</v>
      </c>
      <c r="V3744">
        <v>-8.8865429999999995E-2</v>
      </c>
      <c r="W3744">
        <v>0.34402159999999998</v>
      </c>
      <c r="X3744">
        <v>0.93474699999999999</v>
      </c>
      <c r="Y3744">
        <v>-2.949647E-2</v>
      </c>
      <c r="Z3744">
        <v>-1.7589729999999901E-3</v>
      </c>
      <c r="AA3744">
        <v>0.99956330000000004</v>
      </c>
      <c r="AB3744">
        <v>36</v>
      </c>
      <c r="AC3744">
        <v>-0.69120000000000903</v>
      </c>
      <c r="AD3744">
        <v>-8.4717000000000098E-2</v>
      </c>
      <c r="AE3744">
        <v>-2.6099999999985302E-2</v>
      </c>
      <c r="AF3744">
        <v>-2.9791111582124E-2</v>
      </c>
      <c r="AG3744">
        <v>-8.4717000000000098E-2</v>
      </c>
      <c r="AH3744">
        <v>0.68081850718480896</v>
      </c>
      <c r="AI3744">
        <v>97.086374094124494</v>
      </c>
      <c r="AJ3744">
        <v>92.505538207134904</v>
      </c>
      <c r="AK3744">
        <v>0.68671560353879402</v>
      </c>
      <c r="AL3744">
        <v>69.877916700881499</v>
      </c>
      <c r="AM3744">
        <v>95.430728544641298</v>
      </c>
      <c r="AN3744">
        <v>0.99999993996231995</v>
      </c>
    </row>
    <row r="3745" spans="1:40" x14ac:dyDescent="0.25">
      <c r="A3745" t="str">
        <f>"20190304164718757"</f>
        <v>20190304164718757</v>
      </c>
      <c r="B3745" t="str">
        <f>"1551689238753018"</f>
        <v>1551689238753018</v>
      </c>
      <c r="C3745" t="s">
        <v>40</v>
      </c>
      <c r="D3745">
        <v>3.9873509999999999</v>
      </c>
      <c r="E3745">
        <v>0.4934288</v>
      </c>
      <c r="F3745" t="s">
        <v>42</v>
      </c>
      <c r="G3745">
        <v>-252.702</v>
      </c>
      <c r="H3745" s="1">
        <v>-3.2345250000000002E-6</v>
      </c>
      <c r="I3745">
        <v>140.07239999999999</v>
      </c>
      <c r="J3745">
        <v>-234.84899999999999</v>
      </c>
      <c r="K3745">
        <v>1.1098840000000001</v>
      </c>
      <c r="L3745">
        <v>141.67490000000001</v>
      </c>
      <c r="M3745">
        <v>-0.99995829999999997</v>
      </c>
      <c r="N3745">
        <v>-6.9104240000000001E-3</v>
      </c>
      <c r="O3745">
        <v>5.9840739999999998E-3</v>
      </c>
      <c r="P3745">
        <v>-0.93743810000000005</v>
      </c>
      <c r="Q3745">
        <v>0.33746759999999998</v>
      </c>
      <c r="R3745">
        <v>-8.5590379999999994E-2</v>
      </c>
      <c r="S3745">
        <v>-3.245514</v>
      </c>
      <c r="T3745">
        <v>-0.19787759999999999</v>
      </c>
      <c r="U3745">
        <v>-0.28530879999999997</v>
      </c>
      <c r="V3745">
        <v>-9.1200749999999997E-2</v>
      </c>
      <c r="W3745">
        <v>0.3439334</v>
      </c>
      <c r="X3745">
        <v>0.93455460000000001</v>
      </c>
      <c r="Y3745">
        <v>-9.3330289999999996E-2</v>
      </c>
      <c r="Z3745">
        <v>-3.4830849999999999E-3</v>
      </c>
      <c r="AA3745">
        <v>0.99562910000000004</v>
      </c>
      <c r="AB3745">
        <v>36</v>
      </c>
      <c r="AC3745">
        <v>-17.852999999999899</v>
      </c>
      <c r="AD3745">
        <v>-1.1098872345249999</v>
      </c>
      <c r="AE3745">
        <v>-1.60250000000002</v>
      </c>
      <c r="AF3745">
        <v>-1.70277909505634</v>
      </c>
      <c r="AG3745">
        <v>-1.1098872345249999</v>
      </c>
      <c r="AH3745">
        <v>17.774941795835101</v>
      </c>
      <c r="AI3745">
        <v>93.556733093164596</v>
      </c>
      <c r="AJ3745">
        <v>95.472043019754494</v>
      </c>
      <c r="AK3745">
        <v>17.890775896121699</v>
      </c>
      <c r="AL3745">
        <v>69.883300502190906</v>
      </c>
      <c r="AM3745">
        <v>95.573697314582503</v>
      </c>
      <c r="AN3745">
        <v>1.0000000304086401</v>
      </c>
    </row>
    <row r="3746" spans="1:40" x14ac:dyDescent="0.25">
      <c r="A3746" t="str">
        <f>"20190304164718781"</f>
        <v>20190304164718781</v>
      </c>
      <c r="B3746" t="str">
        <f>"1551689238772538"</f>
        <v>1551689238772538</v>
      </c>
      <c r="C3746" t="s">
        <v>40</v>
      </c>
      <c r="D3746">
        <v>3.9647420000000002</v>
      </c>
      <c r="E3746">
        <v>0.48870190000000002</v>
      </c>
      <c r="F3746" t="s">
        <v>42</v>
      </c>
      <c r="G3746">
        <v>-255.76859999999999</v>
      </c>
      <c r="H3746" s="1">
        <v>-1.8980329999999999E-6</v>
      </c>
      <c r="I3746">
        <v>139.0498</v>
      </c>
      <c r="J3746">
        <v>-235.22130000000001</v>
      </c>
      <c r="K3746">
        <v>1.1098870000000001</v>
      </c>
      <c r="L3746">
        <v>141.6771</v>
      </c>
      <c r="M3746">
        <v>-0.99995829999999997</v>
      </c>
      <c r="N3746">
        <v>-6.9261499999999998E-3</v>
      </c>
      <c r="O3746">
        <v>5.9813790000000002E-3</v>
      </c>
      <c r="P3746">
        <v>-0.93720809999999999</v>
      </c>
      <c r="Q3746">
        <v>0.33788980000000002</v>
      </c>
      <c r="R3746">
        <v>-8.6440879999999998E-2</v>
      </c>
      <c r="S3746">
        <v>-3.2248380000000001</v>
      </c>
      <c r="T3746">
        <v>-0.1710932</v>
      </c>
      <c r="U3746">
        <v>-0.4046631</v>
      </c>
      <c r="V3746">
        <v>-9.2043319999999998E-2</v>
      </c>
      <c r="W3746">
        <v>0.34436939999999999</v>
      </c>
      <c r="X3746">
        <v>0.93431129999999996</v>
      </c>
      <c r="Y3746">
        <v>-0.13022909999999999</v>
      </c>
      <c r="Z3746">
        <v>-4.166543E-3</v>
      </c>
      <c r="AA3746">
        <v>0.9914752</v>
      </c>
      <c r="AB3746">
        <v>36</v>
      </c>
      <c r="AC3746">
        <v>-20.5472999999999</v>
      </c>
      <c r="AD3746">
        <v>-1.1098888980329999</v>
      </c>
      <c r="AE3746">
        <v>-2.6272999999999902</v>
      </c>
      <c r="AF3746">
        <v>-2.7422845024222799</v>
      </c>
      <c r="AG3746">
        <v>-1.1098888980329999</v>
      </c>
      <c r="AH3746">
        <v>20.4724444165299</v>
      </c>
      <c r="AI3746">
        <v>93.075766272971194</v>
      </c>
      <c r="AJ3746">
        <v>97.629357372555404</v>
      </c>
      <c r="AK3746">
        <v>20.685090235387101</v>
      </c>
      <c r="AL3746">
        <v>69.856692187466507</v>
      </c>
      <c r="AM3746">
        <v>95.626317269962698</v>
      </c>
      <c r="AN3746">
        <v>0.99999993086033301</v>
      </c>
    </row>
    <row r="3747" spans="1:40" x14ac:dyDescent="0.25">
      <c r="A3747" t="str">
        <f>"20190304164718802"</f>
        <v>20190304164718802</v>
      </c>
      <c r="B3747" t="str">
        <f>"1551689238793034"</f>
        <v>1551689238793034</v>
      </c>
      <c r="C3747" t="s">
        <v>40</v>
      </c>
      <c r="D3747">
        <v>3.95357</v>
      </c>
      <c r="E3747">
        <v>0.48680329999999999</v>
      </c>
      <c r="F3747" t="s">
        <v>42</v>
      </c>
      <c r="G3747">
        <v>-256.83120000000002</v>
      </c>
      <c r="H3747" s="1">
        <v>-1.5077369999999999E-6</v>
      </c>
      <c r="I3747">
        <v>138.68020000000001</v>
      </c>
      <c r="J3747">
        <v>-235.57169999999999</v>
      </c>
      <c r="K3747">
        <v>1.109877</v>
      </c>
      <c r="L3747">
        <v>141.67920000000001</v>
      </c>
      <c r="M3747">
        <v>-0.99995809999999996</v>
      </c>
      <c r="N3747">
        <v>-6.9410139999999997E-3</v>
      </c>
      <c r="O3747">
        <v>5.979804E-3</v>
      </c>
      <c r="P3747">
        <v>-0.93688439999999995</v>
      </c>
      <c r="Q3747">
        <v>0.33851870000000001</v>
      </c>
      <c r="R3747">
        <v>-8.7480479999999999E-2</v>
      </c>
      <c r="S3747">
        <v>-3.2194210000000001</v>
      </c>
      <c r="T3747">
        <v>-0.16535</v>
      </c>
      <c r="U3747">
        <v>-0.44647219999999999</v>
      </c>
      <c r="V3747">
        <v>-9.3076679999999995E-2</v>
      </c>
      <c r="W3747">
        <v>0.34501090000000001</v>
      </c>
      <c r="X3747">
        <v>0.93397220000000003</v>
      </c>
      <c r="Y3747">
        <v>-0.1430708</v>
      </c>
      <c r="Z3747">
        <v>-4.4176720000000001E-3</v>
      </c>
      <c r="AA3747">
        <v>0.98970259999999999</v>
      </c>
      <c r="AB3747">
        <v>36</v>
      </c>
      <c r="AC3747">
        <v>-21.259499999999999</v>
      </c>
      <c r="AD3747">
        <v>-1.1098785077369999</v>
      </c>
      <c r="AE3747">
        <v>-2.9989999999999899</v>
      </c>
      <c r="AF3747">
        <v>-3.1177454828920101</v>
      </c>
      <c r="AG3747">
        <v>-1.1098785077369999</v>
      </c>
      <c r="AH3747">
        <v>21.1845742036095</v>
      </c>
      <c r="AI3747">
        <v>92.967131815270804</v>
      </c>
      <c r="AJ3747">
        <v>98.3721520905749</v>
      </c>
      <c r="AK3747">
        <v>21.441510007139598</v>
      </c>
      <c r="AL3747">
        <v>69.817537379563902</v>
      </c>
      <c r="AM3747">
        <v>95.691123212314906</v>
      </c>
      <c r="AN3747">
        <v>0.99999992992573306</v>
      </c>
    </row>
    <row r="3748" spans="1:40" x14ac:dyDescent="0.25">
      <c r="A3748" t="str">
        <f>"20190304164718825"</f>
        <v>20190304164718825</v>
      </c>
      <c r="B3748" t="str">
        <f>"1551689238812554"</f>
        <v>1551689238812554</v>
      </c>
      <c r="C3748" t="s">
        <v>40</v>
      </c>
      <c r="D3748">
        <v>3.9508009999999998</v>
      </c>
      <c r="E3748">
        <v>0.48575750000000001</v>
      </c>
      <c r="F3748" t="s">
        <v>42</v>
      </c>
      <c r="G3748">
        <v>-257.8279</v>
      </c>
      <c r="H3748" s="1">
        <v>-1.1196189999999999E-6</v>
      </c>
      <c r="I3748">
        <v>138.45779999999999</v>
      </c>
      <c r="J3748">
        <v>-235.94239999999999</v>
      </c>
      <c r="K3748">
        <v>1.109872</v>
      </c>
      <c r="L3748">
        <v>141.6814</v>
      </c>
      <c r="M3748">
        <v>-0.99995789999999996</v>
      </c>
      <c r="N3748">
        <v>-6.9567259999999999E-3</v>
      </c>
      <c r="O3748">
        <v>5.9784579999999999E-3</v>
      </c>
      <c r="P3748">
        <v>-0.93687529999999997</v>
      </c>
      <c r="Q3748">
        <v>0.33829530000000002</v>
      </c>
      <c r="R3748">
        <v>-8.8435899999999998E-2</v>
      </c>
      <c r="S3748">
        <v>-3.216583</v>
      </c>
      <c r="T3748">
        <v>-0.16040599999999999</v>
      </c>
      <c r="U3748">
        <v>-0.4655609</v>
      </c>
      <c r="V3748">
        <v>-9.4029340000000003E-2</v>
      </c>
      <c r="W3748">
        <v>0.34480229999999901</v>
      </c>
      <c r="X3748">
        <v>0.9339539</v>
      </c>
      <c r="Y3748">
        <v>-0.148947</v>
      </c>
      <c r="Z3748">
        <v>-4.4686040000000002E-3</v>
      </c>
      <c r="AA3748">
        <v>0.98883509999999997</v>
      </c>
      <c r="AB3748">
        <v>36</v>
      </c>
      <c r="AC3748">
        <v>-21.8855</v>
      </c>
      <c r="AD3748">
        <v>-1.1098731196189999</v>
      </c>
      <c r="AE3748">
        <v>-3.2235999999999998</v>
      </c>
      <c r="AF3748">
        <v>-3.3459647442780001</v>
      </c>
      <c r="AG3748">
        <v>-1.1098731196189999</v>
      </c>
      <c r="AH3748">
        <v>21.8109344462104</v>
      </c>
      <c r="AI3748">
        <v>92.879418170944206</v>
      </c>
      <c r="AJ3748">
        <v>98.721618541044407</v>
      </c>
      <c r="AK3748">
        <v>22.093984697842401</v>
      </c>
      <c r="AL3748">
        <v>69.830272423019196</v>
      </c>
      <c r="AM3748">
        <v>95.749096758446996</v>
      </c>
      <c r="AN3748">
        <v>1.0000000150956601</v>
      </c>
    </row>
    <row r="3749" spans="1:40" x14ac:dyDescent="0.25">
      <c r="A3749" t="str">
        <f>"20190304164718849"</f>
        <v>20190304164718849</v>
      </c>
      <c r="B3749" t="str">
        <f>"1551689238842810"</f>
        <v>1551689238842810</v>
      </c>
      <c r="C3749" t="s">
        <v>40</v>
      </c>
      <c r="D3749">
        <v>3.9707970000000001</v>
      </c>
      <c r="E3749">
        <v>0.48460120000000001</v>
      </c>
      <c r="F3749" t="s">
        <v>42</v>
      </c>
      <c r="G3749">
        <v>-258.13229999999999</v>
      </c>
      <c r="H3749" s="1">
        <v>-1.001795E-6</v>
      </c>
      <c r="I3749">
        <v>138.38579999999999</v>
      </c>
      <c r="J3749">
        <v>-236.3212</v>
      </c>
      <c r="K3749">
        <v>1.1098629999999901</v>
      </c>
      <c r="L3749">
        <v>141.68369999999999</v>
      </c>
      <c r="M3749">
        <v>-0.99995789999999996</v>
      </c>
      <c r="N3749">
        <v>-6.9727000000000001E-3</v>
      </c>
      <c r="O3749">
        <v>5.9772250000000001E-3</v>
      </c>
      <c r="P3749">
        <v>-0.93675529999999996</v>
      </c>
      <c r="Q3749">
        <v>0.33851419999999999</v>
      </c>
      <c r="R3749">
        <v>-8.8870829999999998E-2</v>
      </c>
      <c r="S3749">
        <v>-3.2151179999999999</v>
      </c>
      <c r="T3749">
        <v>-0.16081110000000001</v>
      </c>
      <c r="U3749">
        <v>-0.47749330000000001</v>
      </c>
      <c r="V3749">
        <v>-9.4460699999999995E-2</v>
      </c>
      <c r="W3749">
        <v>0.34503600000000001</v>
      </c>
      <c r="X3749">
        <v>0.93382410000000005</v>
      </c>
      <c r="Y3749">
        <v>-0.15259500000000001</v>
      </c>
      <c r="Z3749">
        <v>-4.584075E-3</v>
      </c>
      <c r="AA3749">
        <v>0.9882782</v>
      </c>
      <c r="AB3749">
        <v>36</v>
      </c>
      <c r="AC3749">
        <v>-21.8110999999999</v>
      </c>
      <c r="AD3749">
        <v>-1.1098640017950001</v>
      </c>
      <c r="AE3749">
        <v>-3.2978999999999901</v>
      </c>
      <c r="AF3749">
        <v>-3.4195576992465102</v>
      </c>
      <c r="AG3749">
        <v>-1.1098640017950001</v>
      </c>
      <c r="AH3749">
        <v>21.735974322350302</v>
      </c>
      <c r="AI3749">
        <v>92.887595316383297</v>
      </c>
      <c r="AJ3749">
        <v>98.940634246237806</v>
      </c>
      <c r="AK3749">
        <v>22.031290309530899</v>
      </c>
      <c r="AL3749">
        <v>69.816007854324695</v>
      </c>
      <c r="AM3749">
        <v>95.776090214736598</v>
      </c>
      <c r="AN3749">
        <v>1.00000005744064</v>
      </c>
    </row>
    <row r="3750" spans="1:40" x14ac:dyDescent="0.25">
      <c r="A3750" t="str">
        <f>"20190304164718871"</f>
        <v>20190304164718871</v>
      </c>
      <c r="B3750" t="str">
        <f>"1551689238862331"</f>
        <v>1551689238862331</v>
      </c>
      <c r="C3750" t="s">
        <v>40</v>
      </c>
      <c r="D3750">
        <v>3.977779</v>
      </c>
      <c r="E3750">
        <v>0.4841529</v>
      </c>
      <c r="F3750" t="s">
        <v>42</v>
      </c>
      <c r="G3750">
        <v>-258.45949999999999</v>
      </c>
      <c r="H3750" s="1">
        <v>-8.7216239999999997E-7</v>
      </c>
      <c r="I3750">
        <v>138.3252</v>
      </c>
      <c r="J3750">
        <v>-236.6883</v>
      </c>
      <c r="K3750">
        <v>1.1098619999999999</v>
      </c>
      <c r="L3750">
        <v>141.6859</v>
      </c>
      <c r="M3750">
        <v>-0.99995769999999995</v>
      </c>
      <c r="N3750">
        <v>-6.9882119999999997E-3</v>
      </c>
      <c r="O3750">
        <v>5.9761679999999996E-3</v>
      </c>
      <c r="P3750">
        <v>-0.93646249999999998</v>
      </c>
      <c r="Q3750">
        <v>0.33917259999999999</v>
      </c>
      <c r="R3750">
        <v>-8.9444040000000002E-2</v>
      </c>
      <c r="S3750">
        <v>-3.2145229999999998</v>
      </c>
      <c r="T3750">
        <v>-0.1611543</v>
      </c>
      <c r="U3750">
        <v>-0.48764039999999997</v>
      </c>
      <c r="V3750">
        <v>-9.5030110000000001E-2</v>
      </c>
      <c r="W3750">
        <v>0.3457073</v>
      </c>
      <c r="X3750">
        <v>0.93351790000000001</v>
      </c>
      <c r="Y3750">
        <v>-0.15566549999999901</v>
      </c>
      <c r="Z3750">
        <v>-4.6810569999999998E-3</v>
      </c>
      <c r="AA3750">
        <v>0.98779879999999998</v>
      </c>
      <c r="AB3750">
        <v>36</v>
      </c>
      <c r="AC3750">
        <v>-21.7712</v>
      </c>
      <c r="AD3750">
        <v>-1.1098628721624</v>
      </c>
      <c r="AE3750">
        <v>-3.3607</v>
      </c>
      <c r="AF3750">
        <v>-3.48191329479226</v>
      </c>
      <c r="AG3750">
        <v>-1.1098628721624</v>
      </c>
      <c r="AH3750">
        <v>21.695656039491499</v>
      </c>
      <c r="AI3750">
        <v>92.891532421748593</v>
      </c>
      <c r="AJ3750">
        <v>99.117590941375397</v>
      </c>
      <c r="AK3750">
        <v>22.001295570292601</v>
      </c>
      <c r="AL3750">
        <v>69.775021287113404</v>
      </c>
      <c r="AM3750">
        <v>95.812563889180296</v>
      </c>
      <c r="AN3750">
        <v>0.99999996435015504</v>
      </c>
    </row>
    <row r="3751" spans="1:40" x14ac:dyDescent="0.25">
      <c r="A3751" t="str">
        <f>"20190304164718893"</f>
        <v>20190304164718893</v>
      </c>
      <c r="B3751" t="str">
        <f>"1551689238882826"</f>
        <v>1551689238882826</v>
      </c>
      <c r="C3751" t="s">
        <v>40</v>
      </c>
      <c r="D3751">
        <v>3.9908760000000001</v>
      </c>
      <c r="E3751">
        <v>0.48368990000000001</v>
      </c>
      <c r="F3751" t="s">
        <v>42</v>
      </c>
      <c r="G3751">
        <v>-258.97309999999999</v>
      </c>
      <c r="H3751" s="1">
        <v>-6.9298049999999996E-7</v>
      </c>
      <c r="I3751">
        <v>138.27269999999999</v>
      </c>
      <c r="J3751">
        <v>-237.05609999999999</v>
      </c>
      <c r="K3751">
        <v>1.1098669999999999</v>
      </c>
      <c r="L3751">
        <v>141.68799999999999</v>
      </c>
      <c r="M3751">
        <v>-0.9999576</v>
      </c>
      <c r="N3751">
        <v>-7.003759E-3</v>
      </c>
      <c r="O3751">
        <v>5.9727749999999996E-3</v>
      </c>
      <c r="P3751">
        <v>-0.93611429999999995</v>
      </c>
      <c r="Q3751">
        <v>0.34002719999999997</v>
      </c>
      <c r="R3751">
        <v>-8.9840840000000005E-2</v>
      </c>
      <c r="S3751">
        <v>-3.2145079999999999</v>
      </c>
      <c r="T3751">
        <v>-0.1600944</v>
      </c>
      <c r="U3751">
        <v>-0.49232480000000001</v>
      </c>
      <c r="V3751">
        <v>-9.5421779999999998E-2</v>
      </c>
      <c r="W3751">
        <v>0.34657369999999998</v>
      </c>
      <c r="X3751">
        <v>0.93315669999999995</v>
      </c>
      <c r="Y3751">
        <v>-0.1570703</v>
      </c>
      <c r="Z3751">
        <v>-4.6939490000000002E-3</v>
      </c>
      <c r="AA3751">
        <v>0.98757620000000002</v>
      </c>
      <c r="AB3751">
        <v>37</v>
      </c>
      <c r="AC3751">
        <v>-21.916999999999899</v>
      </c>
      <c r="AD3751">
        <v>-1.1098676929805</v>
      </c>
      <c r="AE3751">
        <v>-3.4152999999999998</v>
      </c>
      <c r="AF3751">
        <v>-3.5372917318122501</v>
      </c>
      <c r="AG3751">
        <v>-1.1098676929805</v>
      </c>
      <c r="AH3751">
        <v>21.841527846496501</v>
      </c>
      <c r="AI3751">
        <v>92.871606401389897</v>
      </c>
      <c r="AJ3751">
        <v>99.199325524666406</v>
      </c>
      <c r="AK3751">
        <v>22.153929172071301</v>
      </c>
      <c r="AL3751">
        <v>69.722110866020003</v>
      </c>
      <c r="AM3751">
        <v>95.838599032316196</v>
      </c>
      <c r="AN3751">
        <v>1.0000000361924699</v>
      </c>
    </row>
    <row r="3752" spans="1:40" x14ac:dyDescent="0.25">
      <c r="A3752" t="str">
        <f>"20190304164718914"</f>
        <v>20190304164718914</v>
      </c>
      <c r="B3752" t="str">
        <f>"1551689238902362"</f>
        <v>1551689238902362</v>
      </c>
      <c r="C3752" t="s">
        <v>40</v>
      </c>
      <c r="D3752">
        <v>3.9875799999999999</v>
      </c>
      <c r="E3752">
        <v>0.46073039999999998</v>
      </c>
      <c r="F3752" t="s">
        <v>42</v>
      </c>
      <c r="G3752">
        <v>-259.73239999999998</v>
      </c>
      <c r="H3752" s="1">
        <v>-4.5647470000000001E-7</v>
      </c>
      <c r="I3752">
        <v>138.19049999999999</v>
      </c>
      <c r="J3752">
        <v>-237.39490000000001</v>
      </c>
      <c r="K3752">
        <v>1.1098730000000001</v>
      </c>
      <c r="L3752">
        <v>141.69</v>
      </c>
      <c r="M3752">
        <v>-0.99995769999999995</v>
      </c>
      <c r="N3752">
        <v>-7.0180609999999999E-3</v>
      </c>
      <c r="O3752">
        <v>5.9619080000000001E-3</v>
      </c>
      <c r="P3752">
        <v>-0.93600919999999999</v>
      </c>
      <c r="Q3752">
        <v>0.3403214</v>
      </c>
      <c r="R3752">
        <v>-8.9823940000000005E-2</v>
      </c>
      <c r="S3752">
        <v>-3.2143099999999998</v>
      </c>
      <c r="T3752">
        <v>-0.1573215</v>
      </c>
      <c r="U3752">
        <v>-0.49575809999999998</v>
      </c>
      <c r="V3752">
        <v>-9.5396910000000001E-2</v>
      </c>
      <c r="W3752">
        <v>0.34688010000000002</v>
      </c>
      <c r="X3752">
        <v>0.93304529999999997</v>
      </c>
      <c r="Y3752">
        <v>-0.15810489999999999</v>
      </c>
      <c r="Z3752">
        <v>-4.65096E-3</v>
      </c>
      <c r="AA3752">
        <v>0.98741140000000005</v>
      </c>
      <c r="AB3752">
        <v>37</v>
      </c>
      <c r="AC3752">
        <v>-22.337499999999899</v>
      </c>
      <c r="AD3752">
        <v>-1.1098734564746999</v>
      </c>
      <c r="AE3752">
        <v>-3.49950000000001</v>
      </c>
      <c r="AF3752">
        <v>-3.6238830345038902</v>
      </c>
      <c r="AG3752">
        <v>-1.1098734564746999</v>
      </c>
      <c r="AH3752">
        <v>22.262594551651901</v>
      </c>
      <c r="AI3752">
        <v>92.817029105180495</v>
      </c>
      <c r="AJ3752">
        <v>99.245460211077202</v>
      </c>
      <c r="AK3752">
        <v>22.582902016977201</v>
      </c>
      <c r="AL3752">
        <v>69.703392621736398</v>
      </c>
      <c r="AM3752">
        <v>95.837779913616799</v>
      </c>
      <c r="AN3752">
        <v>0.99999995303282296</v>
      </c>
    </row>
    <row r="3753" spans="1:40" x14ac:dyDescent="0.25">
      <c r="A3753" t="str">
        <f>"20190304164718936"</f>
        <v>20190304164718936</v>
      </c>
      <c r="B3753" t="str">
        <f>"1551689238932604"</f>
        <v>1551689238932604</v>
      </c>
      <c r="C3753" t="s">
        <v>40</v>
      </c>
      <c r="D3753">
        <v>3.9864310000000001</v>
      </c>
      <c r="E3753">
        <v>0.44934740000000001</v>
      </c>
      <c r="F3753" t="s">
        <v>42</v>
      </c>
      <c r="G3753">
        <v>-270.20299999999997</v>
      </c>
      <c r="H3753" s="1">
        <v>-5.0481239999999998E-6</v>
      </c>
      <c r="I3753">
        <v>134.75139999999999</v>
      </c>
      <c r="J3753">
        <v>-237.75540000000001</v>
      </c>
      <c r="K3753">
        <v>1.1098790000000001</v>
      </c>
      <c r="L3753">
        <v>141.69220000000001</v>
      </c>
      <c r="M3753">
        <v>-0.99995769999999995</v>
      </c>
      <c r="N3753">
        <v>-7.0373249999999997E-3</v>
      </c>
      <c r="O3753">
        <v>5.936556E-3</v>
      </c>
      <c r="P3753">
        <v>-0.93592969999999998</v>
      </c>
      <c r="Q3753">
        <v>0.34057789999999999</v>
      </c>
      <c r="R3753">
        <v>-8.9681839999999999E-2</v>
      </c>
      <c r="S3753">
        <v>-3.1796720000000001</v>
      </c>
      <c r="T3753">
        <v>-0.1075667</v>
      </c>
      <c r="U3753">
        <v>-0.67247009999999996</v>
      </c>
      <c r="V3753">
        <v>-9.5237680000000005E-2</v>
      </c>
      <c r="W3753">
        <v>0.34715159999999901</v>
      </c>
      <c r="X3753">
        <v>0.93296060000000003</v>
      </c>
      <c r="Y3753">
        <v>-0.2125746</v>
      </c>
      <c r="Z3753">
        <v>-4.4690520000000003E-3</v>
      </c>
      <c r="AA3753">
        <v>0.97713459999999996</v>
      </c>
      <c r="AB3753">
        <v>37</v>
      </c>
      <c r="AC3753">
        <v>-32.447599999999902</v>
      </c>
      <c r="AD3753">
        <v>-1.109884048124</v>
      </c>
      <c r="AE3753">
        <v>-6.9408000000000198</v>
      </c>
      <c r="AF3753">
        <v>-7.1253374791541004</v>
      </c>
      <c r="AG3753">
        <v>-1.109884048124</v>
      </c>
      <c r="AH3753">
        <v>32.369607033007398</v>
      </c>
      <c r="AI3753">
        <v>91.917898976760995</v>
      </c>
      <c r="AJ3753">
        <v>102.414212088466</v>
      </c>
      <c r="AK3753">
        <v>33.163138214943402</v>
      </c>
      <c r="AL3753">
        <v>69.686806375444604</v>
      </c>
      <c r="AM3753">
        <v>95.828628489402604</v>
      </c>
      <c r="AN3753">
        <v>0.99999996511334999</v>
      </c>
    </row>
    <row r="3754" spans="1:40" x14ac:dyDescent="0.25">
      <c r="A3754" t="str">
        <f>"20190304164718957"</f>
        <v>20190304164718957</v>
      </c>
      <c r="B3754" t="str">
        <f>"1551689238953098"</f>
        <v>1551689238953098</v>
      </c>
      <c r="C3754" t="s">
        <v>40</v>
      </c>
      <c r="D3754">
        <v>4.01267</v>
      </c>
      <c r="E3754">
        <v>0.44640010000000002</v>
      </c>
      <c r="F3754" t="s">
        <v>42</v>
      </c>
      <c r="G3754">
        <v>-274.62920000000003</v>
      </c>
      <c r="H3754" s="1">
        <v>-3.6162749999999999E-6</v>
      </c>
      <c r="I3754">
        <v>132.8417</v>
      </c>
      <c r="J3754">
        <v>-238.13</v>
      </c>
      <c r="K3754">
        <v>1.1099000000000001</v>
      </c>
      <c r="L3754">
        <v>141.6943</v>
      </c>
      <c r="M3754">
        <v>-0.99995789999999996</v>
      </c>
      <c r="N3754">
        <v>-7.0651730000000001E-3</v>
      </c>
      <c r="O3754">
        <v>5.8913380000000003E-3</v>
      </c>
      <c r="P3754">
        <v>-0.93601400000000001</v>
      </c>
      <c r="Q3754">
        <v>0.34019650000000001</v>
      </c>
      <c r="R3754">
        <v>-9.0246800000000002E-2</v>
      </c>
      <c r="S3754">
        <v>-3.1672359999999999</v>
      </c>
      <c r="T3754">
        <v>-9.5332260000000002E-2</v>
      </c>
      <c r="U3754">
        <v>-0.76019289999999995</v>
      </c>
      <c r="V3754">
        <v>-9.5772109999999994E-2</v>
      </c>
      <c r="W3754">
        <v>0.34679379999999999</v>
      </c>
      <c r="X3754">
        <v>0.93303899999999995</v>
      </c>
      <c r="Y3754">
        <v>-0.238985</v>
      </c>
      <c r="Z3754">
        <v>-4.5356370000000003E-3</v>
      </c>
      <c r="AA3754">
        <v>0.97101269999999995</v>
      </c>
      <c r="AB3754">
        <v>37</v>
      </c>
      <c r="AC3754">
        <v>-36.499200000000002</v>
      </c>
      <c r="AD3754">
        <v>-1.109903616275</v>
      </c>
      <c r="AE3754">
        <v>-8.85259999999999</v>
      </c>
      <c r="AF3754">
        <v>-9.0595688054564292</v>
      </c>
      <c r="AG3754">
        <v>-1.109903616275</v>
      </c>
      <c r="AH3754">
        <v>36.4146095978437</v>
      </c>
      <c r="AI3754">
        <v>91.694199752343494</v>
      </c>
      <c r="AJ3754">
        <v>103.970942658166</v>
      </c>
      <c r="AK3754">
        <v>37.541063718834501</v>
      </c>
      <c r="AL3754">
        <v>69.708665622312196</v>
      </c>
      <c r="AM3754">
        <v>95.860619936421799</v>
      </c>
      <c r="AN3754">
        <v>1.0000000061466401</v>
      </c>
    </row>
    <row r="3755" spans="1:40" x14ac:dyDescent="0.25">
      <c r="A3755" t="str">
        <f>"20190304164718980"</f>
        <v>20190304164718980</v>
      </c>
      <c r="B3755" t="str">
        <f>"1551689238972618"</f>
        <v>1551689238972618</v>
      </c>
      <c r="C3755" t="s">
        <v>40</v>
      </c>
      <c r="D3755">
        <v>4.000286</v>
      </c>
      <c r="E3755">
        <v>0.444913</v>
      </c>
      <c r="F3755" t="s">
        <v>42</v>
      </c>
      <c r="G3755">
        <v>-274.01310000000001</v>
      </c>
      <c r="H3755" s="1">
        <v>-3.8397839999999996E-6</v>
      </c>
      <c r="I3755">
        <v>132.78960000000001</v>
      </c>
      <c r="J3755">
        <v>-238.50290000000001</v>
      </c>
      <c r="K3755">
        <v>1.109915</v>
      </c>
      <c r="L3755">
        <v>141.69649999999999</v>
      </c>
      <c r="M3755">
        <v>-0.99995780000000001</v>
      </c>
      <c r="N3755">
        <v>-7.1007559999999997E-3</v>
      </c>
      <c r="O3755">
        <v>5.8286719999999896E-3</v>
      </c>
      <c r="P3755">
        <v>-0.9361389</v>
      </c>
      <c r="Q3755">
        <v>0.33958129999999997</v>
      </c>
      <c r="R3755">
        <v>-9.1260339999999995E-2</v>
      </c>
      <c r="S3755">
        <v>-3.1649319999999999</v>
      </c>
      <c r="T3755">
        <v>-9.7895029999999994E-2</v>
      </c>
      <c r="U3755">
        <v>-0.7854004</v>
      </c>
      <c r="V3755">
        <v>-9.6741099999999997E-2</v>
      </c>
      <c r="W3755">
        <v>0.34620919999999999</v>
      </c>
      <c r="X3755">
        <v>0.93315610000000004</v>
      </c>
      <c r="Y3755">
        <v>-0.24636559999999999</v>
      </c>
      <c r="Z3755">
        <v>-4.7772520000000001E-3</v>
      </c>
      <c r="AA3755">
        <v>0.96916519999999995</v>
      </c>
      <c r="AB3755">
        <v>37</v>
      </c>
      <c r="AC3755">
        <v>-35.510199999999998</v>
      </c>
      <c r="AD3755">
        <v>-1.1099188397840001</v>
      </c>
      <c r="AE3755">
        <v>-8.9068999999999701</v>
      </c>
      <c r="AF3755">
        <v>-9.1053621852512396</v>
      </c>
      <c r="AG3755">
        <v>-1.1099188397840001</v>
      </c>
      <c r="AH3755">
        <v>35.4251196779623</v>
      </c>
      <c r="AI3755">
        <v>91.738110671870899</v>
      </c>
      <c r="AJ3755">
        <v>104.414774030377</v>
      </c>
      <c r="AK3755">
        <v>36.593423515072502</v>
      </c>
      <c r="AL3755">
        <v>69.744372238415707</v>
      </c>
      <c r="AM3755">
        <v>95.918759203997695</v>
      </c>
      <c r="AN3755">
        <v>0.99999997878052904</v>
      </c>
    </row>
    <row r="3756" spans="1:40" x14ac:dyDescent="0.25">
      <c r="A3756" t="str">
        <f>"20190304164719004"</f>
        <v>20190304164719004</v>
      </c>
      <c r="B3756" t="str">
        <f>"1551689239002875"</f>
        <v>1551689239002875</v>
      </c>
      <c r="C3756" t="s">
        <v>40</v>
      </c>
      <c r="D3756">
        <v>4.0327380000000002</v>
      </c>
      <c r="E3756">
        <v>0.44362620000000003</v>
      </c>
      <c r="F3756" t="s">
        <v>42</v>
      </c>
      <c r="G3756">
        <v>-273.14389999999997</v>
      </c>
      <c r="H3756" s="1">
        <v>-4.1081739999999996E-6</v>
      </c>
      <c r="I3756">
        <v>132.93770000000001</v>
      </c>
      <c r="J3756">
        <v>-238.90010000000001</v>
      </c>
      <c r="K3756">
        <v>1.1099429999999999</v>
      </c>
      <c r="L3756">
        <v>141.6987</v>
      </c>
      <c r="M3756">
        <v>-0.99995789999999996</v>
      </c>
      <c r="N3756">
        <v>-7.1599769999999997E-3</v>
      </c>
      <c r="O3756">
        <v>5.7383540000000002E-3</v>
      </c>
      <c r="P3756">
        <v>-0.93618679999999999</v>
      </c>
      <c r="Q3756">
        <v>0.33929340000000002</v>
      </c>
      <c r="R3756">
        <v>-9.1840489999999997E-2</v>
      </c>
      <c r="S3756">
        <v>-3.1634370000000001</v>
      </c>
      <c r="T3756">
        <v>-0.1013587</v>
      </c>
      <c r="U3756">
        <v>-0.79985050000000002</v>
      </c>
      <c r="V3756">
        <v>-9.7251619999999997E-2</v>
      </c>
      <c r="W3756">
        <v>0.34597260000000002</v>
      </c>
      <c r="X3756">
        <v>0.93319079999999999</v>
      </c>
      <c r="Y3756">
        <v>-0.2505367</v>
      </c>
      <c r="Z3756">
        <v>-5.0021939999999997E-3</v>
      </c>
      <c r="AA3756">
        <v>0.96809420000000002</v>
      </c>
      <c r="AB3756">
        <v>37</v>
      </c>
      <c r="AC3756">
        <v>-34.243799999999901</v>
      </c>
      <c r="AD3756">
        <v>-1.109947108174</v>
      </c>
      <c r="AE3756">
        <v>-8.7609999999999904</v>
      </c>
      <c r="AF3756">
        <v>-8.9485399899526907</v>
      </c>
      <c r="AG3756">
        <v>-1.109947108174</v>
      </c>
      <c r="AH3756">
        <v>34.1592778902181</v>
      </c>
      <c r="AI3756">
        <v>91.800364549956299</v>
      </c>
      <c r="AJ3756">
        <v>104.679630397631</v>
      </c>
      <c r="AK3756">
        <v>35.329373282240198</v>
      </c>
      <c r="AL3756">
        <v>69.758821670138204</v>
      </c>
      <c r="AM3756">
        <v>95.949550422628207</v>
      </c>
      <c r="AN3756">
        <v>0.99999999337401202</v>
      </c>
    </row>
    <row r="3757" spans="1:40" x14ac:dyDescent="0.25">
      <c r="A3757" t="str">
        <f>"20190304164719026"</f>
        <v>20190304164719026</v>
      </c>
      <c r="B3757" t="str">
        <f>"1551689239022395"</f>
        <v>1551689239022395</v>
      </c>
      <c r="C3757" t="s">
        <v>40</v>
      </c>
      <c r="D3757">
        <v>4.0506859999999998</v>
      </c>
      <c r="E3757">
        <v>0.44311119999999998</v>
      </c>
      <c r="F3757" t="s">
        <v>42</v>
      </c>
      <c r="G3757">
        <v>-272.45479999999998</v>
      </c>
      <c r="H3757" s="1">
        <v>-4.3786709999999999E-6</v>
      </c>
      <c r="I3757">
        <v>133.0795</v>
      </c>
      <c r="J3757">
        <v>-239.25069999999999</v>
      </c>
      <c r="K3757">
        <v>1.109979</v>
      </c>
      <c r="L3757">
        <v>141.70060000000001</v>
      </c>
      <c r="M3757">
        <v>-0.99995789999999996</v>
      </c>
      <c r="N3757">
        <v>-7.2463689999999999E-3</v>
      </c>
      <c r="O3757">
        <v>5.6346979999999996E-3</v>
      </c>
      <c r="P3757">
        <v>-0.93606750000000005</v>
      </c>
      <c r="Q3757">
        <v>0.3395107</v>
      </c>
      <c r="R3757">
        <v>-9.2249609999999996E-2</v>
      </c>
      <c r="S3757">
        <v>-3.1626889999999999</v>
      </c>
      <c r="T3757">
        <v>-0.104618</v>
      </c>
      <c r="U3757">
        <v>-0.81239319999999904</v>
      </c>
      <c r="V3757">
        <v>-9.7579009999999994E-2</v>
      </c>
      <c r="W3757">
        <v>0.34626509999999999</v>
      </c>
      <c r="X3757">
        <v>0.93304810000000005</v>
      </c>
      <c r="Y3757">
        <v>-0.25408259999999999</v>
      </c>
      <c r="Z3757">
        <v>-5.2130019999999996E-3</v>
      </c>
      <c r="AA3757">
        <v>0.96716849999999999</v>
      </c>
      <c r="AB3757">
        <v>37</v>
      </c>
      <c r="AC3757">
        <v>-33.204099999999897</v>
      </c>
      <c r="AD3757">
        <v>-1.1099833786710001</v>
      </c>
      <c r="AE3757">
        <v>-8.6211000000000109</v>
      </c>
      <c r="AF3757">
        <v>-8.7988513441714193</v>
      </c>
      <c r="AG3757">
        <v>-1.1099833786710001</v>
      </c>
      <c r="AH3757">
        <v>33.120319670766101</v>
      </c>
      <c r="AI3757">
        <v>91.855170525305894</v>
      </c>
      <c r="AJ3757">
        <v>104.877728427847</v>
      </c>
      <c r="AK3757">
        <v>34.287132034795299</v>
      </c>
      <c r="AL3757">
        <v>69.740958048098193</v>
      </c>
      <c r="AM3757">
        <v>95.970341105617194</v>
      </c>
      <c r="AN3757">
        <v>0.99999996979209904</v>
      </c>
    </row>
    <row r="3758" spans="1:40" x14ac:dyDescent="0.25">
      <c r="A3758" t="str">
        <f>"20190304164719048"</f>
        <v>20190304164719048</v>
      </c>
      <c r="B3758" t="str">
        <f>"1551689239042890"</f>
        <v>1551689239042890</v>
      </c>
      <c r="C3758" t="s">
        <v>40</v>
      </c>
      <c r="D3758">
        <v>4.0518409999999996</v>
      </c>
      <c r="E3758">
        <v>0.44273430000000003</v>
      </c>
      <c r="F3758" t="s">
        <v>42</v>
      </c>
      <c r="G3758">
        <v>-272.46620000000001</v>
      </c>
      <c r="H3758" s="1">
        <v>-4.3689260000000001E-6</v>
      </c>
      <c r="I3758">
        <v>133.10669999999999</v>
      </c>
      <c r="J3758">
        <v>-239.63040000000001</v>
      </c>
      <c r="K3758">
        <v>1.1100300000000001</v>
      </c>
      <c r="L3758">
        <v>141.70259999999999</v>
      </c>
      <c r="M3758">
        <v>-0.99995769999999995</v>
      </c>
      <c r="N3758">
        <v>-7.3878549999999996E-3</v>
      </c>
      <c r="O3758">
        <v>5.4928700000000004E-3</v>
      </c>
      <c r="P3758">
        <v>-0.93652599999999997</v>
      </c>
      <c r="Q3758">
        <v>0.33815709999999999</v>
      </c>
      <c r="R3758">
        <v>-9.2568979999999995E-2</v>
      </c>
      <c r="S3758">
        <v>-3.162582</v>
      </c>
      <c r="T3758">
        <v>-0.10568619999999999</v>
      </c>
      <c r="U3758">
        <v>-0.8182526</v>
      </c>
      <c r="V3758">
        <v>-9.7787479999999996E-2</v>
      </c>
      <c r="W3758">
        <v>0.3450414</v>
      </c>
      <c r="X3758">
        <v>0.93347950000000002</v>
      </c>
      <c r="Y3758">
        <v>-0.25562879999999999</v>
      </c>
      <c r="Z3758">
        <v>-5.3015079999999999E-3</v>
      </c>
      <c r="AA3758">
        <v>0.96676050000000002</v>
      </c>
      <c r="AB3758">
        <v>37</v>
      </c>
      <c r="AC3758">
        <v>-32.835799999999999</v>
      </c>
      <c r="AD3758">
        <v>-1.1100343689259999</v>
      </c>
      <c r="AE3758">
        <v>-8.5959000000000003</v>
      </c>
      <c r="AF3758">
        <v>-8.7667617438577299</v>
      </c>
      <c r="AG3758">
        <v>-1.1100343689259999</v>
      </c>
      <c r="AH3758">
        <v>32.753056991244499</v>
      </c>
      <c r="AI3758">
        <v>91.875111211191395</v>
      </c>
      <c r="AJ3758">
        <v>104.984667480599</v>
      </c>
      <c r="AK3758">
        <v>33.924195348533701</v>
      </c>
      <c r="AL3758">
        <v>69.815676328218899</v>
      </c>
      <c r="AM3758">
        <v>95.980258899072098</v>
      </c>
      <c r="AN3758">
        <v>0.99999996793947898</v>
      </c>
    </row>
    <row r="3759" spans="1:40" x14ac:dyDescent="0.25">
      <c r="A3759" t="str">
        <f>"20190304164719072"</f>
        <v>20190304164719072</v>
      </c>
      <c r="B3759" t="str">
        <f>"1551689239062410"</f>
        <v>1551689239062410</v>
      </c>
      <c r="C3759" t="s">
        <v>40</v>
      </c>
      <c r="D3759">
        <v>4.0654700000000004</v>
      </c>
      <c r="E3759">
        <v>0.44243100000000002</v>
      </c>
      <c r="F3759" t="s">
        <v>42</v>
      </c>
      <c r="G3759">
        <v>-271.21789999999999</v>
      </c>
      <c r="H3759" s="1">
        <v>-4.8366070000000004E-6</v>
      </c>
      <c r="I3759">
        <v>133.48920000000001</v>
      </c>
      <c r="J3759">
        <v>-240.02269999999999</v>
      </c>
      <c r="K3759">
        <v>1.1100810000000001</v>
      </c>
      <c r="L3759">
        <v>141.7047</v>
      </c>
      <c r="M3759">
        <v>-0.99995719999999999</v>
      </c>
      <c r="N3759">
        <v>-7.577248E-3</v>
      </c>
      <c r="O3759">
        <v>5.3116279999999997E-3</v>
      </c>
      <c r="P3759">
        <v>-0.93703029999999998</v>
      </c>
      <c r="Q3759">
        <v>0.33680149999999998</v>
      </c>
      <c r="R3759">
        <v>-9.2406799999999997E-2</v>
      </c>
      <c r="S3759">
        <v>-3.1621549999999998</v>
      </c>
      <c r="T3759">
        <v>-0.11112329999999999</v>
      </c>
      <c r="U3759">
        <v>-0.82221979999999995</v>
      </c>
      <c r="V3759">
        <v>-9.7481250000000005E-2</v>
      </c>
      <c r="W3759">
        <v>0.34386040000000001</v>
      </c>
      <c r="X3759">
        <v>0.93394730000000004</v>
      </c>
      <c r="Y3759">
        <v>-0.2566042</v>
      </c>
      <c r="Z3759">
        <v>-5.5661510000000001E-3</v>
      </c>
      <c r="AA3759">
        <v>0.96650060000000004</v>
      </c>
      <c r="AB3759">
        <v>37</v>
      </c>
      <c r="AC3759">
        <v>-31.1952</v>
      </c>
      <c r="AD3759">
        <v>-1.1100858366070001</v>
      </c>
      <c r="AE3759">
        <v>-8.2154999999999898</v>
      </c>
      <c r="AF3759">
        <v>-8.3711732438375908</v>
      </c>
      <c r="AG3759">
        <v>-1.1100858366070001</v>
      </c>
      <c r="AH3759">
        <v>31.114276329554301</v>
      </c>
      <c r="AI3759">
        <v>91.973205068008795</v>
      </c>
      <c r="AJ3759">
        <v>105.05861954680201</v>
      </c>
      <c r="AK3759">
        <v>32.239835972827798</v>
      </c>
      <c r="AL3759">
        <v>69.8877554757903</v>
      </c>
      <c r="AM3759">
        <v>95.958701668271203</v>
      </c>
      <c r="AN3759">
        <v>1.0000000639835001</v>
      </c>
    </row>
    <row r="3760" spans="1:40" x14ac:dyDescent="0.25">
      <c r="A3760" t="str">
        <f>"20190304164719095"</f>
        <v>20190304164719095</v>
      </c>
      <c r="B3760" t="str">
        <f>"1551689239092666"</f>
        <v>1551689239092666</v>
      </c>
      <c r="C3760" t="s">
        <v>40</v>
      </c>
      <c r="D3760">
        <v>4.0685510000000003</v>
      </c>
      <c r="E3760">
        <v>0.44191520000000001</v>
      </c>
      <c r="F3760" t="s">
        <v>42</v>
      </c>
      <c r="G3760">
        <v>-270.13740000000001</v>
      </c>
      <c r="H3760" s="1">
        <v>-5.2336509999999997E-6</v>
      </c>
      <c r="I3760">
        <v>133.864</v>
      </c>
      <c r="J3760">
        <v>-240.39959999999999</v>
      </c>
      <c r="K3760">
        <v>1.1101319999999999</v>
      </c>
      <c r="L3760">
        <v>141.70650000000001</v>
      </c>
      <c r="M3760">
        <v>-0.99995679999999998</v>
      </c>
      <c r="N3760">
        <v>-7.7796250000000001E-3</v>
      </c>
      <c r="O3760">
        <v>5.1017290000000002E-3</v>
      </c>
      <c r="P3760">
        <v>-0.93757000000000001</v>
      </c>
      <c r="Q3760">
        <v>0.33548499999999998</v>
      </c>
      <c r="R3760">
        <v>-9.1720419999999997E-2</v>
      </c>
      <c r="S3760">
        <v>-3.1623230000000002</v>
      </c>
      <c r="T3760">
        <v>-0.11656950000000001</v>
      </c>
      <c r="U3760">
        <v>-0.82333369999999995</v>
      </c>
      <c r="V3760">
        <v>-9.6625870000000003E-2</v>
      </c>
      <c r="W3760">
        <v>0.34273049999999999</v>
      </c>
      <c r="X3760">
        <v>0.93445129999999998</v>
      </c>
      <c r="Y3760">
        <v>-0.25668999999999997</v>
      </c>
      <c r="Z3760">
        <v>-5.8131559999999999E-3</v>
      </c>
      <c r="AA3760">
        <v>0.96647629999999995</v>
      </c>
      <c r="AB3760">
        <v>37</v>
      </c>
      <c r="AC3760">
        <v>-29.7378</v>
      </c>
      <c r="AD3760">
        <v>-1.11013723365099</v>
      </c>
      <c r="AE3760">
        <v>-7.8425000000000002</v>
      </c>
      <c r="AF3760">
        <v>-7.9837141559395599</v>
      </c>
      <c r="AG3760">
        <v>-1.11013723365099</v>
      </c>
      <c r="AH3760">
        <v>29.6587569365348</v>
      </c>
      <c r="AI3760">
        <v>92.069982156406397</v>
      </c>
      <c r="AJ3760">
        <v>105.06608201894799</v>
      </c>
      <c r="AK3760">
        <v>30.734572706021801</v>
      </c>
      <c r="AL3760">
        <v>69.956681391202395</v>
      </c>
      <c r="AM3760">
        <v>95.903623121210302</v>
      </c>
      <c r="AN3760">
        <v>0.99999999322759803</v>
      </c>
    </row>
    <row r="3761" spans="1:40" x14ac:dyDescent="0.25">
      <c r="A3761" t="str">
        <f>"20190304164719114"</f>
        <v>20190304164719114</v>
      </c>
      <c r="B3761" t="str">
        <f>"1551689239102430"</f>
        <v>1551689239102430</v>
      </c>
      <c r="C3761" t="s">
        <v>40</v>
      </c>
      <c r="D3761">
        <v>4.0482319999999996</v>
      </c>
      <c r="E3761">
        <v>0.44176270000000001</v>
      </c>
      <c r="F3761" t="s">
        <v>42</v>
      </c>
      <c r="G3761">
        <v>-269.19970000000001</v>
      </c>
      <c r="H3761" s="1">
        <v>-1.7018519999999999E-6</v>
      </c>
      <c r="I3761">
        <v>134.19120000000001</v>
      </c>
      <c r="J3761">
        <v>-240.73089999999999</v>
      </c>
      <c r="K3761">
        <v>1.110196</v>
      </c>
      <c r="L3761">
        <v>141.708</v>
      </c>
      <c r="M3761">
        <v>-0.99995639999999997</v>
      </c>
      <c r="N3761">
        <v>-7.9608860000000004E-3</v>
      </c>
      <c r="O3761">
        <v>4.8884480000000001E-3</v>
      </c>
      <c r="P3761">
        <v>-0.9378495</v>
      </c>
      <c r="Q3761">
        <v>0.33506580000000002</v>
      </c>
      <c r="R3761">
        <v>-9.0385060000000003E-2</v>
      </c>
      <c r="S3761">
        <v>-3.1626280000000002</v>
      </c>
      <c r="T3761">
        <v>-0.1219075</v>
      </c>
      <c r="U3761">
        <v>-0.82527159999999999</v>
      </c>
      <c r="V3761">
        <v>-9.5115240000000004E-2</v>
      </c>
      <c r="W3761">
        <v>0.34247689999999997</v>
      </c>
      <c r="X3761">
        <v>0.93469919999999995</v>
      </c>
      <c r="Y3761">
        <v>-0.25699749999999999</v>
      </c>
      <c r="Z3761">
        <v>-6.057153E-3</v>
      </c>
      <c r="AA3761">
        <v>0.9663931</v>
      </c>
      <c r="AB3761">
        <v>37</v>
      </c>
      <c r="AC3761">
        <v>-28.468800000000002</v>
      </c>
      <c r="AD3761">
        <v>-1.110197701852</v>
      </c>
      <c r="AE3761">
        <v>-7.5167999999999804</v>
      </c>
      <c r="AF3761">
        <v>-7.6450142619914496</v>
      </c>
      <c r="AG3761">
        <v>-1.110197701852</v>
      </c>
      <c r="AH3761">
        <v>28.3913504703008</v>
      </c>
      <c r="AI3761">
        <v>92.162372053580398</v>
      </c>
      <c r="AJ3761">
        <v>105.070725705646</v>
      </c>
      <c r="AK3761">
        <v>29.423588556304601</v>
      </c>
      <c r="AL3761">
        <v>69.972147031319494</v>
      </c>
      <c r="AM3761">
        <v>95.810432923405401</v>
      </c>
      <c r="AN3761">
        <v>0.99999996519725298</v>
      </c>
    </row>
    <row r="3762" spans="1:40" x14ac:dyDescent="0.25">
      <c r="A3762" t="str">
        <f>"20190304164719137"</f>
        <v>20190304164719137</v>
      </c>
      <c r="B3762" t="str">
        <f>"1551689239132685"</f>
        <v>1551689239132685</v>
      </c>
      <c r="C3762" t="s">
        <v>40</v>
      </c>
      <c r="D3762">
        <v>4.0378669999999897</v>
      </c>
      <c r="E3762">
        <v>0.44114710000000001</v>
      </c>
      <c r="F3762" t="s">
        <v>42</v>
      </c>
      <c r="G3762">
        <v>-269.10640000000001</v>
      </c>
      <c r="H3762" s="1">
        <v>-1.695067E-6</v>
      </c>
      <c r="I3762">
        <v>134.33590000000001</v>
      </c>
      <c r="J3762">
        <v>-241.10509999999999</v>
      </c>
      <c r="K3762">
        <v>1.110249</v>
      </c>
      <c r="L3762">
        <v>141.70959999999999</v>
      </c>
      <c r="M3762">
        <v>-0.99995610000000001</v>
      </c>
      <c r="N3762">
        <v>-8.1590540000000007E-3</v>
      </c>
      <c r="O3762">
        <v>4.6212329999999998E-3</v>
      </c>
      <c r="P3762">
        <v>-0.93789909999999999</v>
      </c>
      <c r="Q3762">
        <v>0.33524330000000002</v>
      </c>
      <c r="R3762">
        <v>-8.9203920000000006E-2</v>
      </c>
      <c r="S3762">
        <v>-3.163818</v>
      </c>
      <c r="T3762">
        <v>-0.1237849</v>
      </c>
      <c r="U3762">
        <v>-0.82196039999999904</v>
      </c>
      <c r="V3762">
        <v>-9.3707929999999995E-2</v>
      </c>
      <c r="W3762">
        <v>0.3428348</v>
      </c>
      <c r="X3762">
        <v>0.93471009999999999</v>
      </c>
      <c r="Y3762">
        <v>-0.25569720000000001</v>
      </c>
      <c r="Z3762">
        <v>-6.1200050000000004E-3</v>
      </c>
      <c r="AA3762">
        <v>0.96673759999999997</v>
      </c>
      <c r="AB3762">
        <v>37</v>
      </c>
      <c r="AC3762">
        <v>-28.001300000000001</v>
      </c>
      <c r="AD3762">
        <v>-1.1102506950669999</v>
      </c>
      <c r="AE3762">
        <v>-7.3736999999999799</v>
      </c>
      <c r="AF3762">
        <v>-7.4920115496717203</v>
      </c>
      <c r="AG3762">
        <v>-1.1102506950669999</v>
      </c>
      <c r="AH3762">
        <v>27.925868457740801</v>
      </c>
      <c r="AI3762">
        <v>92.199030683548898</v>
      </c>
      <c r="AJ3762">
        <v>105.017796740272</v>
      </c>
      <c r="AK3762">
        <v>28.934702742301599</v>
      </c>
      <c r="AL3762">
        <v>69.950318581943094</v>
      </c>
      <c r="AM3762">
        <v>95.724971689060098</v>
      </c>
      <c r="AN3762">
        <v>0.99999992363896395</v>
      </c>
    </row>
    <row r="3763" spans="1:40" x14ac:dyDescent="0.25">
      <c r="A3763" t="str">
        <f>"20190304164719160"</f>
        <v>20190304164719160</v>
      </c>
      <c r="B3763" t="str">
        <f>"1551689239153181"</f>
        <v>1551689239153181</v>
      </c>
      <c r="C3763" t="s">
        <v>40</v>
      </c>
      <c r="D3763">
        <v>4.0368009999999996</v>
      </c>
      <c r="E3763">
        <v>0.4406679</v>
      </c>
      <c r="F3763" t="s">
        <v>42</v>
      </c>
      <c r="G3763">
        <v>-269.63990000000001</v>
      </c>
      <c r="H3763" s="1">
        <v>-1.527224E-6</v>
      </c>
      <c r="I3763">
        <v>134.28460000000001</v>
      </c>
      <c r="J3763">
        <v>-241.4984</v>
      </c>
      <c r="K3763">
        <v>1.1102970000000001</v>
      </c>
      <c r="L3763">
        <v>141.71109999999999</v>
      </c>
      <c r="M3763">
        <v>-0.99995579999999995</v>
      </c>
      <c r="N3763">
        <v>-8.3536600000000006E-3</v>
      </c>
      <c r="O3763">
        <v>4.3175030000000003E-3</v>
      </c>
      <c r="P3763">
        <v>-0.93789670000000003</v>
      </c>
      <c r="Q3763">
        <v>0.3354877</v>
      </c>
      <c r="R3763">
        <v>-8.8305179999999997E-2</v>
      </c>
      <c r="S3763">
        <v>-3.1643219999999999</v>
      </c>
      <c r="T3763">
        <v>-0.1231198</v>
      </c>
      <c r="U3763">
        <v>-0.82337950000000004</v>
      </c>
      <c r="V3763">
        <v>-9.2545459999999996E-2</v>
      </c>
      <c r="W3763">
        <v>0.34325640000000002</v>
      </c>
      <c r="X3763">
        <v>0.93467129999999998</v>
      </c>
      <c r="Y3763">
        <v>-0.25577359999999999</v>
      </c>
      <c r="Z3763">
        <v>-6.1087049999999999E-3</v>
      </c>
      <c r="AA3763">
        <v>0.96671739999999995</v>
      </c>
      <c r="AB3763">
        <v>37</v>
      </c>
      <c r="AC3763">
        <v>-28.141500000000001</v>
      </c>
      <c r="AD3763">
        <v>-1.11029852722399</v>
      </c>
      <c r="AE3763">
        <v>-7.4264999999999697</v>
      </c>
      <c r="AF3763">
        <v>-7.5369676307014704</v>
      </c>
      <c r="AG3763">
        <v>-1.11029852722399</v>
      </c>
      <c r="AH3763">
        <v>28.068325376016801</v>
      </c>
      <c r="AI3763">
        <v>92.187843488443903</v>
      </c>
      <c r="AJ3763">
        <v>105.030625653068</v>
      </c>
      <c r="AK3763">
        <v>29.0838362892475</v>
      </c>
      <c r="AL3763">
        <v>69.924604374655999</v>
      </c>
      <c r="AM3763">
        <v>95.654648293373</v>
      </c>
      <c r="AN3763">
        <v>1.0000000286756301</v>
      </c>
    </row>
    <row r="3764" spans="1:40" x14ac:dyDescent="0.25">
      <c r="A3764" t="str">
        <f>"20190304164719182"</f>
        <v>20190304164719182</v>
      </c>
      <c r="B3764" t="str">
        <f>"1551689239172717"</f>
        <v>1551689239172717</v>
      </c>
      <c r="C3764" t="s">
        <v>40</v>
      </c>
      <c r="D3764">
        <v>4.0448009999999996</v>
      </c>
      <c r="E3764">
        <v>0.44022420000000001</v>
      </c>
      <c r="F3764" t="s">
        <v>42</v>
      </c>
      <c r="G3764">
        <v>-270.21769999999998</v>
      </c>
      <c r="H3764" s="1">
        <v>-5.132916E-6</v>
      </c>
      <c r="I3764">
        <v>134.23779999999999</v>
      </c>
      <c r="J3764">
        <v>-241.87039999999999</v>
      </c>
      <c r="K3764">
        <v>1.1103259999999999</v>
      </c>
      <c r="L3764">
        <v>141.71250000000001</v>
      </c>
      <c r="M3764">
        <v>-0.99995579999999995</v>
      </c>
      <c r="N3764">
        <v>-8.5226780000000005E-3</v>
      </c>
      <c r="O3764">
        <v>4.0149449999999998E-3</v>
      </c>
      <c r="P3764">
        <v>-0.93800320000000004</v>
      </c>
      <c r="Q3764">
        <v>0.33545639999999999</v>
      </c>
      <c r="R3764">
        <v>-8.7290030000000005E-2</v>
      </c>
      <c r="S3764">
        <v>-3.1648860000000001</v>
      </c>
      <c r="T3764">
        <v>-0.1223563</v>
      </c>
      <c r="U3764">
        <v>-0.82356260000000003</v>
      </c>
      <c r="V3764">
        <v>-9.126186E-2</v>
      </c>
      <c r="W3764">
        <v>0.34338089999999999</v>
      </c>
      <c r="X3764">
        <v>0.93475169999999996</v>
      </c>
      <c r="Y3764">
        <v>-0.25549369999999999</v>
      </c>
      <c r="Z3764">
        <v>-6.0822139999999998E-3</v>
      </c>
      <c r="AA3764">
        <v>0.96679159999999997</v>
      </c>
      <c r="AB3764">
        <v>38</v>
      </c>
      <c r="AC3764">
        <v>-28.347299999999901</v>
      </c>
      <c r="AD3764">
        <v>-1.1103311329159999</v>
      </c>
      <c r="AE3764">
        <v>-7.4747000000000101</v>
      </c>
      <c r="AF3764">
        <v>-7.5775869497568999</v>
      </c>
      <c r="AG3764">
        <v>-1.1103311329159999</v>
      </c>
      <c r="AH3764">
        <v>28.276498336746702</v>
      </c>
      <c r="AI3764">
        <v>92.172109095020403</v>
      </c>
      <c r="AJ3764">
        <v>105.001743163615</v>
      </c>
      <c r="AK3764">
        <v>29.2952729530532</v>
      </c>
      <c r="AL3764">
        <v>69.917007880408207</v>
      </c>
      <c r="AM3764">
        <v>95.576239858115201</v>
      </c>
      <c r="AN3764">
        <v>0.99999995511417805</v>
      </c>
    </row>
    <row r="3765" spans="1:40" x14ac:dyDescent="0.25">
      <c r="A3765" t="str">
        <f>"20190304164719203"</f>
        <v>20190304164719203</v>
      </c>
      <c r="B3765" t="str">
        <f>"1551689239192221"</f>
        <v>1551689239192221</v>
      </c>
      <c r="C3765" t="s">
        <v>40</v>
      </c>
      <c r="D3765">
        <v>4.3162770000000004</v>
      </c>
      <c r="E3765">
        <v>0.44033099999999997</v>
      </c>
      <c r="F3765" t="s">
        <v>42</v>
      </c>
      <c r="G3765">
        <v>-270.56240000000003</v>
      </c>
      <c r="H3765" s="1">
        <v>-4.9825549999999998E-6</v>
      </c>
      <c r="I3765">
        <v>134.2517</v>
      </c>
      <c r="J3765">
        <v>-242.23070000000001</v>
      </c>
      <c r="K3765">
        <v>1.1103510000000001</v>
      </c>
      <c r="L3765">
        <v>141.71369999999999</v>
      </c>
      <c r="M3765">
        <v>-0.9999555</v>
      </c>
      <c r="N3765">
        <v>-8.6717140000000005E-3</v>
      </c>
      <c r="O3765">
        <v>3.7127520000000002E-3</v>
      </c>
      <c r="P3765">
        <v>-0.9378782</v>
      </c>
      <c r="Q3765">
        <v>0.33597719999999998</v>
      </c>
      <c r="R3765">
        <v>-8.662591E-2</v>
      </c>
      <c r="S3765">
        <v>-3.1655120000000001</v>
      </c>
      <c r="T3765">
        <v>-0.1225002</v>
      </c>
      <c r="U3765">
        <v>-0.82312009999999902</v>
      </c>
      <c r="V3765">
        <v>-9.0325420000000003E-2</v>
      </c>
      <c r="W3765">
        <v>0.34403729999999999</v>
      </c>
      <c r="X3765">
        <v>0.93460140000000003</v>
      </c>
      <c r="Y3765">
        <v>-0.25502780000000003</v>
      </c>
      <c r="Z3765">
        <v>-6.0861319999999898E-3</v>
      </c>
      <c r="AA3765">
        <v>0.96691459999999996</v>
      </c>
      <c r="AB3765">
        <v>38</v>
      </c>
      <c r="AC3765">
        <v>-28.331700000000001</v>
      </c>
      <c r="AD3765">
        <v>-1.110355982555</v>
      </c>
      <c r="AE3765">
        <v>-7.4619999999999802</v>
      </c>
      <c r="AF3765">
        <v>-7.5562878398817697</v>
      </c>
      <c r="AG3765">
        <v>-1.110355982555</v>
      </c>
      <c r="AH3765">
        <v>28.263204073137</v>
      </c>
      <c r="AI3765">
        <v>92.173518740171104</v>
      </c>
      <c r="AJ3765">
        <v>104.96819123655</v>
      </c>
      <c r="AK3765">
        <v>29.2769376951711</v>
      </c>
      <c r="AL3765">
        <v>69.8769612210817</v>
      </c>
      <c r="AM3765">
        <v>95.520259198366503</v>
      </c>
      <c r="AN3765">
        <v>1.00000006108571</v>
      </c>
    </row>
    <row r="3766" spans="1:40" x14ac:dyDescent="0.25">
      <c r="A3766" t="str">
        <f>"20190304164719225"</f>
        <v>20190304164719225</v>
      </c>
      <c r="B3766" t="str">
        <f>"1551689239222478"</f>
        <v>1551689239222478</v>
      </c>
      <c r="C3766" t="s">
        <v>40</v>
      </c>
      <c r="D3766">
        <v>4.1874960000000003</v>
      </c>
      <c r="E3766">
        <v>0.52056519999999995</v>
      </c>
      <c r="F3766" t="s">
        <v>42</v>
      </c>
      <c r="G3766">
        <v>-271.24029999999999</v>
      </c>
      <c r="H3766" s="1">
        <v>-4.7018319999999996E-6</v>
      </c>
      <c r="I3766">
        <v>134.19479999999999</v>
      </c>
      <c r="J3766">
        <v>-242.60390000000001</v>
      </c>
      <c r="K3766">
        <v>1.110376</v>
      </c>
      <c r="L3766">
        <v>141.7148</v>
      </c>
      <c r="M3766">
        <v>-0.99995540000000005</v>
      </c>
      <c r="N3766">
        <v>-8.811134E-3</v>
      </c>
      <c r="O3766">
        <v>3.3941090000000002E-3</v>
      </c>
      <c r="P3766">
        <v>-0.93811009999999995</v>
      </c>
      <c r="Q3766">
        <v>0.33552110000000002</v>
      </c>
      <c r="R3766">
        <v>-8.5878599999999999E-2</v>
      </c>
      <c r="S3766">
        <v>-3.1663209999999999</v>
      </c>
      <c r="T3766">
        <v>-0.1211926</v>
      </c>
      <c r="U3766">
        <v>-0.82066349999999999</v>
      </c>
      <c r="V3766">
        <v>-8.9288939999999997E-2</v>
      </c>
      <c r="W3766">
        <v>0.34371220000000002</v>
      </c>
      <c r="X3766">
        <v>0.93482050000000005</v>
      </c>
      <c r="Y3766">
        <v>-0.2539612</v>
      </c>
      <c r="Z3766">
        <v>-6.0154780000000003E-3</v>
      </c>
      <c r="AA3766">
        <v>0.96719569999999999</v>
      </c>
      <c r="AB3766">
        <v>38</v>
      </c>
      <c r="AC3766">
        <v>-28.636399999999899</v>
      </c>
      <c r="AD3766">
        <v>-1.110380701832</v>
      </c>
      <c r="AE3766">
        <v>-7.52</v>
      </c>
      <c r="AF3766">
        <v>-7.6064568980761003</v>
      </c>
      <c r="AG3766">
        <v>-1.110380701832</v>
      </c>
      <c r="AH3766">
        <v>28.5705253811166</v>
      </c>
      <c r="AI3766">
        <v>92.150808232941799</v>
      </c>
      <c r="AJ3766">
        <v>104.908292324575</v>
      </c>
      <c r="AK3766">
        <v>29.5865856833518</v>
      </c>
      <c r="AL3766">
        <v>69.896796084631802</v>
      </c>
      <c r="AM3766">
        <v>95.456027755303893</v>
      </c>
      <c r="AN3766">
        <v>0.999999979227706</v>
      </c>
    </row>
    <row r="3767" spans="1:40" x14ac:dyDescent="0.25">
      <c r="A3767" t="str">
        <f>"20190304164719249"</f>
        <v>20190304164719249</v>
      </c>
      <c r="B3767" t="str">
        <f>"1551689239242974"</f>
        <v>1551689239242974</v>
      </c>
      <c r="C3767" t="s">
        <v>40</v>
      </c>
      <c r="D3767">
        <v>4.175522</v>
      </c>
      <c r="E3767">
        <v>0.53062739999999997</v>
      </c>
      <c r="F3767" t="s">
        <v>42</v>
      </c>
      <c r="G3767">
        <v>-257.12099999999998</v>
      </c>
      <c r="H3767" s="1">
        <v>-1.5483700000000001E-6</v>
      </c>
      <c r="I3767">
        <v>140.86009999999999</v>
      </c>
      <c r="J3767">
        <v>-243.00129999999999</v>
      </c>
      <c r="K3767">
        <v>1.11039</v>
      </c>
      <c r="L3767">
        <v>141.7159</v>
      </c>
      <c r="M3767">
        <v>-0.9999555</v>
      </c>
      <c r="N3767">
        <v>-8.9409390000000002E-3</v>
      </c>
      <c r="O3767">
        <v>3.0518559999999999E-3</v>
      </c>
      <c r="P3767">
        <v>-0.93815459999999995</v>
      </c>
      <c r="Q3767">
        <v>0.33568109999999901</v>
      </c>
      <c r="R3767">
        <v>-8.4761059999999999E-2</v>
      </c>
      <c r="S3767">
        <v>-3.2697600000000002</v>
      </c>
      <c r="T3767">
        <v>-0.2500964</v>
      </c>
      <c r="U3767">
        <v>-0.19248960000000001</v>
      </c>
      <c r="V3767">
        <v>-8.7858130000000006E-2</v>
      </c>
      <c r="W3767">
        <v>0.3439934</v>
      </c>
      <c r="X3767">
        <v>0.93485269999999998</v>
      </c>
      <c r="Y3767">
        <v>-6.160699E-2</v>
      </c>
      <c r="Z3767">
        <v>-2.8323950000000001E-3</v>
      </c>
      <c r="AA3767">
        <v>0.99809650000000005</v>
      </c>
      <c r="AB3767">
        <v>38</v>
      </c>
      <c r="AC3767">
        <v>-14.1196999999999</v>
      </c>
      <c r="AD3767">
        <v>-1.11039154837</v>
      </c>
      <c r="AE3767">
        <v>-0.85580000000001599</v>
      </c>
      <c r="AF3767">
        <v>-0.89338415207431598</v>
      </c>
      <c r="AG3767">
        <v>-1.11039154837</v>
      </c>
      <c r="AH3767">
        <v>14.0305685516176</v>
      </c>
      <c r="AI3767">
        <v>94.515899621265802</v>
      </c>
      <c r="AJ3767">
        <v>93.643339996892905</v>
      </c>
      <c r="AK3767">
        <v>14.102764215412201</v>
      </c>
      <c r="AL3767">
        <v>69.879639575353707</v>
      </c>
      <c r="AM3767">
        <v>95.368928880796602</v>
      </c>
      <c r="AN3767">
        <v>1.00000004047397</v>
      </c>
    </row>
    <row r="3768" spans="1:40" x14ac:dyDescent="0.25">
      <c r="A3768" t="str">
        <f>"20190304164719272"</f>
        <v>20190304164719272</v>
      </c>
      <c r="B3768" t="str">
        <f>"1551689239262494"</f>
        <v>1551689239262494</v>
      </c>
      <c r="C3768" t="s">
        <v>40</v>
      </c>
      <c r="D3768">
        <v>4.1176309999999896</v>
      </c>
      <c r="E3768">
        <v>0.53601909999999997</v>
      </c>
      <c r="F3768" t="s">
        <v>42</v>
      </c>
      <c r="G3768">
        <v>-256.44510000000002</v>
      </c>
      <c r="H3768" s="1">
        <v>-1.9434299999999999E-6</v>
      </c>
      <c r="I3768">
        <v>141.2551</v>
      </c>
      <c r="J3768">
        <v>-243.38659999999999</v>
      </c>
      <c r="K3768">
        <v>1.110393</v>
      </c>
      <c r="L3768">
        <v>141.71680000000001</v>
      </c>
      <c r="M3768">
        <v>-0.99995540000000005</v>
      </c>
      <c r="N3768">
        <v>-9.0445899999999999E-3</v>
      </c>
      <c r="O3768">
        <v>2.719815E-3</v>
      </c>
      <c r="P3768">
        <v>-0.93800269999999997</v>
      </c>
      <c r="Q3768">
        <v>0.33612239999999999</v>
      </c>
      <c r="R3768">
        <v>-8.4693160000000003E-2</v>
      </c>
      <c r="S3768">
        <v>-3.284637</v>
      </c>
      <c r="T3768">
        <v>-0.2712965</v>
      </c>
      <c r="U3768">
        <v>-0.1125641</v>
      </c>
      <c r="V3768">
        <v>-8.7484960000000001E-2</v>
      </c>
      <c r="W3768">
        <v>0.34452969999999999</v>
      </c>
      <c r="X3768">
        <v>0.93469009999999997</v>
      </c>
      <c r="Y3768">
        <v>-3.6821609999999998E-2</v>
      </c>
      <c r="Z3768">
        <v>-1.884152E-3</v>
      </c>
      <c r="AA3768">
        <v>0.99932010000000004</v>
      </c>
      <c r="AB3768">
        <v>38</v>
      </c>
      <c r="AC3768">
        <v>-13.0585</v>
      </c>
      <c r="AD3768">
        <v>-1.11039494343</v>
      </c>
      <c r="AE3768">
        <v>-0.46170000000000699</v>
      </c>
      <c r="AF3768">
        <v>-0.49365155756860402</v>
      </c>
      <c r="AG3768">
        <v>-1.11039494343</v>
      </c>
      <c r="AH3768">
        <v>12.9635797622791</v>
      </c>
      <c r="AI3768">
        <v>94.892189764465002</v>
      </c>
      <c r="AJ3768">
        <v>92.180762705866996</v>
      </c>
      <c r="AK3768">
        <v>13.020409711052</v>
      </c>
      <c r="AL3768">
        <v>69.846909553617394</v>
      </c>
      <c r="AM3768">
        <v>95.347181874638807</v>
      </c>
      <c r="AN3768">
        <v>0.99999995772314898</v>
      </c>
    </row>
    <row r="3769" spans="1:40" x14ac:dyDescent="0.25">
      <c r="A3769" t="str">
        <f>"20190304164719303"</f>
        <v>20190304164719303</v>
      </c>
      <c r="B3769" t="str">
        <f>"1551689239292750"</f>
        <v>1551689239292750</v>
      </c>
      <c r="C3769" t="s">
        <v>40</v>
      </c>
      <c r="D3769">
        <v>4.1016069999999996</v>
      </c>
      <c r="E3769">
        <v>0.53990389999999999</v>
      </c>
      <c r="F3769" t="s">
        <v>42</v>
      </c>
      <c r="G3769">
        <v>-256.6397</v>
      </c>
      <c r="H3769" s="1">
        <v>-1.9067309999999999E-6</v>
      </c>
      <c r="I3769">
        <v>141.43100000000001</v>
      </c>
      <c r="J3769">
        <v>-243.9041</v>
      </c>
      <c r="K3769">
        <v>1.1103970000000001</v>
      </c>
      <c r="L3769">
        <v>141.71780000000001</v>
      </c>
      <c r="M3769">
        <v>-0.99995579999999995</v>
      </c>
      <c r="N3769">
        <v>-9.1448970000000008E-3</v>
      </c>
      <c r="O3769">
        <v>2.2755380000000001E-3</v>
      </c>
      <c r="P3769">
        <v>-0.9380463</v>
      </c>
      <c r="Q3769">
        <v>0.33606920000000001</v>
      </c>
      <c r="R3769">
        <v>-8.4421590000000005E-2</v>
      </c>
      <c r="S3769">
        <v>-3.29068</v>
      </c>
      <c r="T3769">
        <v>-0.27570620000000001</v>
      </c>
      <c r="U3769">
        <v>-7.0938109999999999E-2</v>
      </c>
      <c r="V3769">
        <v>-8.6803459999999999E-2</v>
      </c>
      <c r="W3769">
        <v>0.34456959999999998</v>
      </c>
      <c r="X3769">
        <v>0.93473899999999999</v>
      </c>
      <c r="Y3769">
        <v>-2.3728780000000001E-2</v>
      </c>
      <c r="Z3769">
        <v>-1.270441E-3</v>
      </c>
      <c r="AA3769">
        <v>0.99971770000000004</v>
      </c>
      <c r="AB3769">
        <v>38</v>
      </c>
      <c r="AC3769">
        <v>-12.7356</v>
      </c>
      <c r="AD3769">
        <v>-1.1103989067309901</v>
      </c>
      <c r="AE3769">
        <v>-0.286799999999999</v>
      </c>
      <c r="AF3769">
        <v>-0.31339959632136799</v>
      </c>
      <c r="AG3769">
        <v>-1.1103989067309901</v>
      </c>
      <c r="AH3769">
        <v>12.638884185345701</v>
      </c>
      <c r="AI3769">
        <v>95.019338248284399</v>
      </c>
      <c r="AJ3769">
        <v>91.420441472378897</v>
      </c>
      <c r="AK3769">
        <v>12.6914379992823</v>
      </c>
      <c r="AL3769">
        <v>69.844475733250903</v>
      </c>
      <c r="AM3769">
        <v>95.305490472877494</v>
      </c>
      <c r="AN3769">
        <v>1.0000000240165601</v>
      </c>
    </row>
    <row r="3770" spans="1:40" x14ac:dyDescent="0.25">
      <c r="A3770" t="str">
        <f>"20190304164719326"</f>
        <v>20190304164719326</v>
      </c>
      <c r="B3770" t="str">
        <f>"1551689239323007"</f>
        <v>1551689239323007</v>
      </c>
      <c r="C3770" t="s">
        <v>40</v>
      </c>
      <c r="D3770">
        <v>4.1306050000000001</v>
      </c>
      <c r="E3770">
        <v>0.54119030000000001</v>
      </c>
      <c r="F3770" t="s">
        <v>41</v>
      </c>
      <c r="G3770">
        <v>-244.82499999999999</v>
      </c>
      <c r="H3770">
        <v>1.0321400000000001</v>
      </c>
      <c r="I3770">
        <v>141.70670000000001</v>
      </c>
      <c r="J3770">
        <v>-244.30969999999999</v>
      </c>
      <c r="K3770">
        <v>1.110401</v>
      </c>
      <c r="L3770">
        <v>141.7184</v>
      </c>
      <c r="M3770">
        <v>-0.99995590000000001</v>
      </c>
      <c r="N3770">
        <v>-9.1995810000000001E-3</v>
      </c>
      <c r="O3770">
        <v>1.9283150000000001E-3</v>
      </c>
      <c r="P3770">
        <v>-0.93780600000000003</v>
      </c>
      <c r="Q3770">
        <v>0.33707619999999999</v>
      </c>
      <c r="R3770">
        <v>-8.3065319999999998E-2</v>
      </c>
      <c r="S3770">
        <v>-3.2948759999999999</v>
      </c>
      <c r="T3770">
        <v>-0.28010239999999997</v>
      </c>
      <c r="U3770">
        <v>-4.0298460000000001E-2</v>
      </c>
      <c r="V3770">
        <v>-8.5126060000000003E-2</v>
      </c>
      <c r="W3770">
        <v>0.34562579999999998</v>
      </c>
      <c r="X3770">
        <v>0.93450330000000004</v>
      </c>
      <c r="Y3770">
        <v>-1.409607E-2</v>
      </c>
      <c r="Z3770">
        <v>-8.0895269999999996E-4</v>
      </c>
      <c r="AA3770">
        <v>0.99990029999999996</v>
      </c>
      <c r="AB3770">
        <v>38</v>
      </c>
      <c r="AC3770">
        <v>-0.51529999999999598</v>
      </c>
      <c r="AD3770">
        <v>-7.82609999999999E-2</v>
      </c>
      <c r="AE3770">
        <v>-1.16999999999904E-2</v>
      </c>
      <c r="AF3770">
        <v>-1.24076350710187E-2</v>
      </c>
      <c r="AG3770">
        <v>-7.82609999999999E-2</v>
      </c>
      <c r="AH3770">
        <v>0.50366497711281399</v>
      </c>
      <c r="AI3770">
        <v>98.829527399749594</v>
      </c>
      <c r="AJ3770">
        <v>91.411178857634894</v>
      </c>
      <c r="AK3770">
        <v>0.50985992458626095</v>
      </c>
      <c r="AL3770">
        <v>69.779999007456695</v>
      </c>
      <c r="AM3770">
        <v>95.204840108251304</v>
      </c>
      <c r="AN3770">
        <v>1.00000002871382</v>
      </c>
    </row>
    <row r="3771" spans="1:40" x14ac:dyDescent="0.25">
      <c r="A3771" t="str">
        <f>"20190304164719349"</f>
        <v>20190304164719349</v>
      </c>
      <c r="B3771" t="str">
        <f>"1551689239342526"</f>
        <v>1551689239342526</v>
      </c>
      <c r="C3771" t="s">
        <v>40</v>
      </c>
      <c r="D3771">
        <v>4.1302279999999998</v>
      </c>
      <c r="E3771">
        <v>0.54121919999999901</v>
      </c>
      <c r="F3771" t="s">
        <v>41</v>
      </c>
      <c r="G3771">
        <v>-245.16749999999999</v>
      </c>
      <c r="H3771">
        <v>1.0373790000000001</v>
      </c>
      <c r="I3771">
        <v>141.71100000000001</v>
      </c>
      <c r="J3771">
        <v>-244.6986</v>
      </c>
      <c r="K3771">
        <v>1.110406</v>
      </c>
      <c r="L3771">
        <v>141.71889999999999</v>
      </c>
      <c r="M3771">
        <v>-0.99995630000000002</v>
      </c>
      <c r="N3771">
        <v>-9.2339840000000006E-3</v>
      </c>
      <c r="O3771">
        <v>1.5952710000000001E-3</v>
      </c>
      <c r="P3771">
        <v>-0.93789140000000004</v>
      </c>
      <c r="Q3771">
        <v>0.33694089999999999</v>
      </c>
      <c r="R3771">
        <v>-8.2648929999999995E-2</v>
      </c>
      <c r="S3771">
        <v>-3.297272</v>
      </c>
      <c r="T3771">
        <v>-0.28077529999999901</v>
      </c>
      <c r="U3771">
        <v>-2.9327389999999998E-2</v>
      </c>
      <c r="V3771">
        <v>-8.4400870000000003E-2</v>
      </c>
      <c r="W3771">
        <v>0.34552329999999998</v>
      </c>
      <c r="X3771">
        <v>0.93460699999999997</v>
      </c>
      <c r="Y3771">
        <v>-1.044286E-2</v>
      </c>
      <c r="Z3771">
        <v>-6.1301490000000003E-4</v>
      </c>
      <c r="AA3771">
        <v>0.99994530000000004</v>
      </c>
      <c r="AB3771">
        <v>38</v>
      </c>
      <c r="AC3771">
        <v>-0.46889999999998999</v>
      </c>
      <c r="AD3771">
        <v>-7.3026999999999898E-2</v>
      </c>
      <c r="AE3771">
        <v>-7.8999999999780305E-3</v>
      </c>
      <c r="AF3771">
        <v>-8.4433075078915801E-3</v>
      </c>
      <c r="AG3771">
        <v>-7.3026999999999898E-2</v>
      </c>
      <c r="AH3771">
        <v>0.45778621411826498</v>
      </c>
      <c r="AI3771">
        <v>99.062058905854798</v>
      </c>
      <c r="AJ3771">
        <v>91.056630861562098</v>
      </c>
      <c r="AK3771">
        <v>0.46365121590200398</v>
      </c>
      <c r="AL3771">
        <v>69.786257867572004</v>
      </c>
      <c r="AM3771">
        <v>95.160170936403901</v>
      </c>
      <c r="AN3771">
        <v>1.0000000510743201</v>
      </c>
    </row>
    <row r="3772" spans="1:40" x14ac:dyDescent="0.25">
      <c r="A3772" t="str">
        <f>"20190304164719371"</f>
        <v>20190304164719371</v>
      </c>
      <c r="B3772" t="str">
        <f>"1551689239363022"</f>
        <v>1551689239363022</v>
      </c>
      <c r="C3772" t="s">
        <v>40</v>
      </c>
      <c r="D3772">
        <v>4.1168500000000003</v>
      </c>
      <c r="E3772">
        <v>0.5415432</v>
      </c>
      <c r="F3772" t="s">
        <v>41</v>
      </c>
      <c r="G3772">
        <v>-245.5137</v>
      </c>
      <c r="H3772">
        <v>1.04052099999999</v>
      </c>
      <c r="I3772">
        <v>141.71180000000001</v>
      </c>
      <c r="J3772">
        <v>-245.07509999999999</v>
      </c>
      <c r="K3772">
        <v>1.1104000000000001</v>
      </c>
      <c r="L3772">
        <v>141.7192</v>
      </c>
      <c r="M3772">
        <v>-0.99995650000000003</v>
      </c>
      <c r="N3772">
        <v>-9.2486670000000003E-3</v>
      </c>
      <c r="O3772">
        <v>1.2728870000000001E-3</v>
      </c>
      <c r="P3772">
        <v>-0.93777359999999998</v>
      </c>
      <c r="Q3772">
        <v>0.33732509999999999</v>
      </c>
      <c r="R3772">
        <v>-8.2417530000000003E-2</v>
      </c>
      <c r="S3772">
        <v>-3.2976839999999998</v>
      </c>
      <c r="T3772">
        <v>-0.28276410000000002</v>
      </c>
      <c r="U3772">
        <v>-2.9220579999999999E-2</v>
      </c>
      <c r="V3772">
        <v>-8.3869479999999996E-2</v>
      </c>
      <c r="W3772">
        <v>0.34592009999999901</v>
      </c>
      <c r="X3772">
        <v>0.93450800000000001</v>
      </c>
      <c r="Y3772">
        <v>-1.0088740000000001E-2</v>
      </c>
      <c r="Z3772">
        <v>-5.7567559999999998E-4</v>
      </c>
      <c r="AA3772">
        <v>0.99994890000000003</v>
      </c>
      <c r="AB3772">
        <v>38</v>
      </c>
      <c r="AC3772">
        <v>-0.43860000000000798</v>
      </c>
      <c r="AD3772">
        <v>-6.9879000000000205E-2</v>
      </c>
      <c r="AE3772">
        <v>-7.3999999999898496E-3</v>
      </c>
      <c r="AF3772">
        <v>-7.76134983077938E-3</v>
      </c>
      <c r="AG3772">
        <v>-6.9879000000000205E-2</v>
      </c>
      <c r="AH3772">
        <v>0.42773576873497599</v>
      </c>
      <c r="AI3772">
        <v>99.276918811708398</v>
      </c>
      <c r="AJ3772">
        <v>91.0395291346357</v>
      </c>
      <c r="AK3772">
        <v>0.43347572140489798</v>
      </c>
      <c r="AL3772">
        <v>69.762027871655704</v>
      </c>
      <c r="AM3772">
        <v>95.128396461900095</v>
      </c>
      <c r="AN3772">
        <v>1.00000000366174</v>
      </c>
    </row>
    <row r="3773" spans="1:40" x14ac:dyDescent="0.25">
      <c r="A3773" t="str">
        <f>"20190304164719394"</f>
        <v>20190304164719394</v>
      </c>
      <c r="B3773" t="str">
        <f>"1551689239382545"</f>
        <v>1551689239382545</v>
      </c>
      <c r="C3773" t="s">
        <v>40</v>
      </c>
      <c r="D3773">
        <v>4.1103170000000002</v>
      </c>
      <c r="E3773">
        <v>0.54217479999999996</v>
      </c>
      <c r="F3773" t="s">
        <v>42</v>
      </c>
      <c r="G3773">
        <v>-258.08870000000002</v>
      </c>
      <c r="H3773" s="1">
        <v>-1.3343390000000001E-6</v>
      </c>
      <c r="I3773">
        <v>141.61600000000001</v>
      </c>
      <c r="J3773">
        <v>-245.4537</v>
      </c>
      <c r="K3773">
        <v>1.1103970000000001</v>
      </c>
      <c r="L3773">
        <v>141.71950000000001</v>
      </c>
      <c r="M3773">
        <v>-0.99995679999999998</v>
      </c>
      <c r="N3773">
        <v>-9.2503580000000002E-3</v>
      </c>
      <c r="O3773">
        <v>9.4866639999999995E-4</v>
      </c>
      <c r="P3773">
        <v>-0.93765580000000004</v>
      </c>
      <c r="Q3773">
        <v>0.33764119999999997</v>
      </c>
      <c r="R3773">
        <v>-8.2464159999999995E-2</v>
      </c>
      <c r="S3773">
        <v>-3.2980040000000002</v>
      </c>
      <c r="T3773">
        <v>-0.28140680000000001</v>
      </c>
      <c r="U3773">
        <v>-2.6153559999999999E-2</v>
      </c>
      <c r="V3773">
        <v>-8.3613980000000004E-2</v>
      </c>
      <c r="W3773">
        <v>0.34623690000000001</v>
      </c>
      <c r="X3773">
        <v>0.93441359999999996</v>
      </c>
      <c r="Y3773">
        <v>-8.8401869999999994E-3</v>
      </c>
      <c r="Z3773">
        <v>-4.8946869999999998E-4</v>
      </c>
      <c r="AA3773">
        <v>0.99996079999999998</v>
      </c>
      <c r="AB3773">
        <v>38</v>
      </c>
      <c r="AC3773">
        <v>-12.635</v>
      </c>
      <c r="AD3773">
        <v>-1.11039833433899</v>
      </c>
      <c r="AE3773">
        <v>-0.103499999999996</v>
      </c>
      <c r="AF3773">
        <v>-0.114601812464873</v>
      </c>
      <c r="AG3773">
        <v>-1.11039833433899</v>
      </c>
      <c r="AH3773">
        <v>12.5380664338504</v>
      </c>
      <c r="AI3773">
        <v>95.060823992834798</v>
      </c>
      <c r="AJ3773">
        <v>90.523686595878502</v>
      </c>
      <c r="AK3773">
        <v>12.5876617342527</v>
      </c>
      <c r="AL3773">
        <v>69.742681646022604</v>
      </c>
      <c r="AM3773">
        <v>95.113370039328302</v>
      </c>
      <c r="AN3773">
        <v>1.0000000322189999</v>
      </c>
    </row>
    <row r="3774" spans="1:40" x14ac:dyDescent="0.25">
      <c r="A3774" t="str">
        <f>"20190304164719415"</f>
        <v>20190304164719415</v>
      </c>
      <c r="B3774" t="str">
        <f>"1551689239412798"</f>
        <v>1551689239412798</v>
      </c>
      <c r="C3774" t="s">
        <v>40</v>
      </c>
      <c r="D3774">
        <v>4.0607949999999997</v>
      </c>
      <c r="E3774">
        <v>0.54281569999999901</v>
      </c>
      <c r="F3774" t="s">
        <v>42</v>
      </c>
      <c r="G3774">
        <v>-258.4579</v>
      </c>
      <c r="H3774" s="1">
        <v>-1.1809349999999999E-6</v>
      </c>
      <c r="I3774">
        <v>141.63460000000001</v>
      </c>
      <c r="J3774">
        <v>-245.8167</v>
      </c>
      <c r="K3774">
        <v>1.110379</v>
      </c>
      <c r="L3774">
        <v>141.71950000000001</v>
      </c>
      <c r="M3774">
        <v>-0.99995710000000004</v>
      </c>
      <c r="N3774">
        <v>-9.2421770000000007E-3</v>
      </c>
      <c r="O3774">
        <v>6.3779319999999996E-4</v>
      </c>
      <c r="P3774">
        <v>-0.93751669999999998</v>
      </c>
      <c r="Q3774">
        <v>0.33800429999999998</v>
      </c>
      <c r="R3774">
        <v>-8.2556370000000004E-2</v>
      </c>
      <c r="S3774">
        <v>-3.2990110000000001</v>
      </c>
      <c r="T3774">
        <v>-0.28169719999999998</v>
      </c>
      <c r="U3774">
        <v>-2.1499629999999999E-2</v>
      </c>
      <c r="V3774">
        <v>-8.3416989999999996E-2</v>
      </c>
      <c r="W3774">
        <v>0.34659119999999999</v>
      </c>
      <c r="X3774">
        <v>0.93429980000000001</v>
      </c>
      <c r="Y3774">
        <v>-7.1240749999999997E-3</v>
      </c>
      <c r="Z3774">
        <v>-3.8506489999999999E-4</v>
      </c>
      <c r="AA3774">
        <v>0.99997449999999999</v>
      </c>
      <c r="AB3774">
        <v>38</v>
      </c>
      <c r="AC3774">
        <v>-12.6411999999999</v>
      </c>
      <c r="AD3774">
        <v>-1.110380180935</v>
      </c>
      <c r="AE3774">
        <v>-8.4900000000004597E-2</v>
      </c>
      <c r="AF3774">
        <v>-9.2251062951221499E-2</v>
      </c>
      <c r="AG3774">
        <v>-1.110380180935</v>
      </c>
      <c r="AH3774">
        <v>12.544361019071999</v>
      </c>
      <c r="AI3774">
        <v>95.058289579843006</v>
      </c>
      <c r="AJ3774">
        <v>90.421344799794696</v>
      </c>
      <c r="AK3774">
        <v>12.5937463759455</v>
      </c>
      <c r="AL3774">
        <v>69.721040857848607</v>
      </c>
      <c r="AM3774">
        <v>95.102004939387101</v>
      </c>
      <c r="AN3774">
        <v>0.99999998520906996</v>
      </c>
    </row>
    <row r="3775" spans="1:40" x14ac:dyDescent="0.25">
      <c r="A3775" t="str">
        <f>"20190304164719439"</f>
        <v>20190304164719439</v>
      </c>
      <c r="B3775" t="str">
        <f>"1551689239432318"</f>
        <v>1551689239432318</v>
      </c>
      <c r="C3775" t="s">
        <v>40</v>
      </c>
      <c r="D3775">
        <v>4.0493180000000004</v>
      </c>
      <c r="E3775">
        <v>0.54314419999999897</v>
      </c>
      <c r="F3775" t="s">
        <v>41</v>
      </c>
      <c r="G3775">
        <v>-246.85890000000001</v>
      </c>
      <c r="H3775">
        <v>1.0208330000000001</v>
      </c>
      <c r="I3775">
        <v>141.71440000000001</v>
      </c>
      <c r="J3775">
        <v>-246.2073</v>
      </c>
      <c r="K3775">
        <v>1.1103719999999999</v>
      </c>
      <c r="L3775">
        <v>141.71950000000001</v>
      </c>
      <c r="M3775">
        <v>-0.9999574</v>
      </c>
      <c r="N3775">
        <v>-9.2277490000000004E-3</v>
      </c>
      <c r="O3775">
        <v>3.0328970000000001E-4</v>
      </c>
      <c r="P3775">
        <v>-0.93738469999999996</v>
      </c>
      <c r="Q3775">
        <v>0.33824169999999998</v>
      </c>
      <c r="R3775">
        <v>-8.3082939999999994E-2</v>
      </c>
      <c r="S3775">
        <v>-3.300735</v>
      </c>
      <c r="T3775">
        <v>-0.2836844</v>
      </c>
      <c r="U3775">
        <v>-1.6845699999999901E-2</v>
      </c>
      <c r="V3775">
        <v>-8.3631529999999996E-2</v>
      </c>
      <c r="W3775">
        <v>0.3468135</v>
      </c>
      <c r="X3775">
        <v>0.93419810000000003</v>
      </c>
      <c r="Y3775">
        <v>-5.3839760000000004E-3</v>
      </c>
      <c r="Z3775">
        <v>-2.790545E-4</v>
      </c>
      <c r="AA3775">
        <v>0.99998549999999997</v>
      </c>
      <c r="AB3775">
        <v>38</v>
      </c>
      <c r="AC3775">
        <v>-0.65160000000000196</v>
      </c>
      <c r="AD3775">
        <v>-8.9538999999999799E-2</v>
      </c>
      <c r="AE3775">
        <v>-5.0999999999987696E-3</v>
      </c>
      <c r="AF3775">
        <v>-5.1994583450316696E-3</v>
      </c>
      <c r="AG3775">
        <v>-8.9538999999999799E-2</v>
      </c>
      <c r="AH3775">
        <v>0.63952328564509298</v>
      </c>
      <c r="AI3775">
        <v>97.9698547476291</v>
      </c>
      <c r="AJ3775">
        <v>90.465816432264802</v>
      </c>
      <c r="AK3775">
        <v>0.64578192895928699</v>
      </c>
      <c r="AL3775">
        <v>69.707461301562503</v>
      </c>
      <c r="AM3775">
        <v>95.115611143800294</v>
      </c>
      <c r="AN3775">
        <v>0.99999996331799901</v>
      </c>
    </row>
    <row r="3776" spans="1:40" x14ac:dyDescent="0.25">
      <c r="A3776" t="str">
        <f>"20190304164719462"</f>
        <v>20190304164719462</v>
      </c>
      <c r="B3776" t="str">
        <f>"1551689239452814"</f>
        <v>1551689239452814</v>
      </c>
      <c r="C3776" t="s">
        <v>40</v>
      </c>
      <c r="D3776">
        <v>4.0485309999999997</v>
      </c>
      <c r="E3776">
        <v>0.54351229999999995</v>
      </c>
      <c r="F3776" t="s">
        <v>41</v>
      </c>
      <c r="G3776">
        <v>-247.20259999999999</v>
      </c>
      <c r="H3776">
        <v>1.0246949999999999</v>
      </c>
      <c r="I3776">
        <v>141.71510000000001</v>
      </c>
      <c r="J3776">
        <v>-246.6147</v>
      </c>
      <c r="K3776">
        <v>1.1103769999999999</v>
      </c>
      <c r="L3776">
        <v>141.7193</v>
      </c>
      <c r="M3776">
        <v>-0.9999576</v>
      </c>
      <c r="N3776">
        <v>-9.2107939999999996E-3</v>
      </c>
      <c r="O3776" s="1">
        <v>-4.5625240000000001E-5</v>
      </c>
      <c r="P3776">
        <v>-0.93737890000000001</v>
      </c>
      <c r="Q3776">
        <v>0.33813690000000002</v>
      </c>
      <c r="R3776">
        <v>-8.3573969999999997E-2</v>
      </c>
      <c r="S3776">
        <v>-3.3016359999999998</v>
      </c>
      <c r="T3776">
        <v>-0.28431149999999999</v>
      </c>
      <c r="U3776">
        <v>-1.506042E-2</v>
      </c>
      <c r="V3776">
        <v>-8.3796780000000001E-2</v>
      </c>
      <c r="W3776">
        <v>0.34669270000000002</v>
      </c>
      <c r="X3776">
        <v>0.93422819999999995</v>
      </c>
      <c r="Y3776">
        <v>-4.4975340000000001E-3</v>
      </c>
      <c r="Z3776">
        <v>-2.1054170000000001E-4</v>
      </c>
      <c r="AA3776">
        <v>0.99998989999999999</v>
      </c>
      <c r="AB3776">
        <v>38</v>
      </c>
      <c r="AC3776">
        <v>-0.58789999999998999</v>
      </c>
      <c r="AD3776">
        <v>-8.56819999999998E-2</v>
      </c>
      <c r="AE3776">
        <v>-4.1999999999973101E-3</v>
      </c>
      <c r="AF3776">
        <v>-4.08638190872305E-3</v>
      </c>
      <c r="AG3776">
        <v>-8.56819999999998E-2</v>
      </c>
      <c r="AH3776">
        <v>0.57567302015118904</v>
      </c>
      <c r="AI3776">
        <v>98.465429649154501</v>
      </c>
      <c r="AJ3776">
        <v>90.406703973075196</v>
      </c>
      <c r="AK3776">
        <v>0.58202880493245002</v>
      </c>
      <c r="AL3776">
        <v>69.714841854942705</v>
      </c>
      <c r="AM3776">
        <v>95.125501174190404</v>
      </c>
      <c r="AN3776">
        <v>1.0000000291234401</v>
      </c>
    </row>
    <row r="3777" spans="1:40" x14ac:dyDescent="0.25">
      <c r="A3777" t="str">
        <f>"20190304164719485"</f>
        <v>20190304164719485</v>
      </c>
      <c r="B3777" t="str">
        <f>"1551689239472334"</f>
        <v>1551689239472334</v>
      </c>
      <c r="C3777" t="s">
        <v>40</v>
      </c>
      <c r="D3777">
        <v>4.0212139999999996</v>
      </c>
      <c r="E3777">
        <v>0.54382159999999902</v>
      </c>
      <c r="F3777" t="s">
        <v>41</v>
      </c>
      <c r="G3777">
        <v>-247.54740000000001</v>
      </c>
      <c r="H3777">
        <v>1.0296920000000001</v>
      </c>
      <c r="I3777">
        <v>141.7157</v>
      </c>
      <c r="J3777">
        <v>-246.99459999999999</v>
      </c>
      <c r="K3777">
        <v>1.1103809999999901</v>
      </c>
      <c r="L3777">
        <v>141.71899999999999</v>
      </c>
      <c r="M3777">
        <v>-0.99995780000000001</v>
      </c>
      <c r="N3777">
        <v>-9.1953039999999996E-3</v>
      </c>
      <c r="O3777">
        <v>-3.7148200000000002E-4</v>
      </c>
      <c r="P3777">
        <v>-0.93729030000000002</v>
      </c>
      <c r="Q3777">
        <v>0.33821560000000001</v>
      </c>
      <c r="R3777">
        <v>-8.424769E-2</v>
      </c>
      <c r="S3777">
        <v>-3.3023220000000002</v>
      </c>
      <c r="T3777">
        <v>-0.28572130000000001</v>
      </c>
      <c r="U3777">
        <v>-1.298523E-2</v>
      </c>
      <c r="V3777">
        <v>-8.4166630000000006E-2</v>
      </c>
      <c r="W3777">
        <v>0.3467558</v>
      </c>
      <c r="X3777">
        <v>0.93417150000000004</v>
      </c>
      <c r="Y3777">
        <v>-3.5470689999999999E-3</v>
      </c>
      <c r="Z3777">
        <v>-1.4083330000000001E-4</v>
      </c>
      <c r="AA3777">
        <v>0.99999369999999999</v>
      </c>
      <c r="AB3777">
        <v>38</v>
      </c>
      <c r="AC3777">
        <v>-0.55280000000001905</v>
      </c>
      <c r="AD3777">
        <v>-8.0688999999999705E-2</v>
      </c>
      <c r="AE3777">
        <v>-3.2999999999958601E-3</v>
      </c>
      <c r="AF3777">
        <v>-3.0300806586623101E-3</v>
      </c>
      <c r="AG3777">
        <v>-8.0688999999999705E-2</v>
      </c>
      <c r="AH3777">
        <v>0.54126955717092595</v>
      </c>
      <c r="AI3777">
        <v>98.478716676794704</v>
      </c>
      <c r="AJ3777">
        <v>90.320744105186606</v>
      </c>
      <c r="AK3777">
        <v>0.54725919784852295</v>
      </c>
      <c r="AL3777">
        <v>69.7109867479722</v>
      </c>
      <c r="AM3777">
        <v>95.148312854176993</v>
      </c>
      <c r="AN3777">
        <v>0.999999998925723</v>
      </c>
    </row>
    <row r="3778" spans="1:40" x14ac:dyDescent="0.25">
      <c r="A3778" t="str">
        <f>"20190304164719506"</f>
        <v>20190304164719506</v>
      </c>
      <c r="B3778" t="str">
        <f>"1551689239502590"</f>
        <v>1551689239502590</v>
      </c>
      <c r="C3778" t="s">
        <v>40</v>
      </c>
      <c r="D3778">
        <v>3.9840270000000002</v>
      </c>
      <c r="E3778">
        <v>0.54424229999999996</v>
      </c>
      <c r="F3778" t="s">
        <v>41</v>
      </c>
      <c r="G3778">
        <v>-247.89169999999999</v>
      </c>
      <c r="H3778">
        <v>1.032586</v>
      </c>
      <c r="I3778">
        <v>141.71600000000001</v>
      </c>
      <c r="J3778">
        <v>-247.36070000000001</v>
      </c>
      <c r="K3778">
        <v>1.1103829999999999</v>
      </c>
      <c r="L3778">
        <v>141.71860000000001</v>
      </c>
      <c r="M3778">
        <v>-0.99995769999999995</v>
      </c>
      <c r="N3778">
        <v>-9.181425E-3</v>
      </c>
      <c r="O3778">
        <v>-6.8710339999999905E-4</v>
      </c>
      <c r="P3778">
        <v>-0.93732890000000002</v>
      </c>
      <c r="Q3778">
        <v>0.33792919999999999</v>
      </c>
      <c r="R3778">
        <v>-8.4960850000000004E-2</v>
      </c>
      <c r="S3778">
        <v>-3.3030550000000001</v>
      </c>
      <c r="T3778">
        <v>-0.2865644</v>
      </c>
      <c r="U3778">
        <v>-1.1871339999999999E-2</v>
      </c>
      <c r="V3778">
        <v>-8.458599E-2</v>
      </c>
      <c r="W3778">
        <v>0.34645569999999998</v>
      </c>
      <c r="X3778">
        <v>0.93424499999999999</v>
      </c>
      <c r="Y3778">
        <v>-2.8969220000000001E-3</v>
      </c>
      <c r="Z3778" s="1">
        <v>-8.5554339999999998E-5</v>
      </c>
      <c r="AA3778">
        <v>0.99999579999999999</v>
      </c>
      <c r="AB3778">
        <v>38</v>
      </c>
      <c r="AC3778">
        <v>-0.53099999999997705</v>
      </c>
      <c r="AD3778">
        <v>-7.7796999999999894E-2</v>
      </c>
      <c r="AE3778">
        <v>-2.6000000000010398E-3</v>
      </c>
      <c r="AF3778">
        <v>-2.18816370174916E-3</v>
      </c>
      <c r="AG3778">
        <v>-7.7796999999999894E-2</v>
      </c>
      <c r="AH3778">
        <v>0.51984334321791104</v>
      </c>
      <c r="AI3778">
        <v>98.511341496162899</v>
      </c>
      <c r="AJ3778">
        <v>90.241172280432707</v>
      </c>
      <c r="AK3778">
        <v>0.525637006647516</v>
      </c>
      <c r="AL3778">
        <v>69.729318196025304</v>
      </c>
      <c r="AM3778">
        <v>95.173420601970093</v>
      </c>
      <c r="AN3778">
        <v>1.0000000308958801</v>
      </c>
    </row>
    <row r="3779" spans="1:40" x14ac:dyDescent="0.25">
      <c r="A3779" t="str">
        <f>"20190304164719528"</f>
        <v>20190304164719528</v>
      </c>
      <c r="B3779" t="str">
        <f>"1551689239523086"</f>
        <v>1551689239523086</v>
      </c>
      <c r="C3779" t="s">
        <v>40</v>
      </c>
      <c r="D3779">
        <v>4.0359439999999998</v>
      </c>
      <c r="E3779">
        <v>0.544203199999999</v>
      </c>
      <c r="F3779" t="s">
        <v>41</v>
      </c>
      <c r="G3779">
        <v>-248.23570000000001</v>
      </c>
      <c r="H3779">
        <v>1.033552</v>
      </c>
      <c r="I3779">
        <v>141.7158</v>
      </c>
      <c r="J3779">
        <v>-247.7473</v>
      </c>
      <c r="K3779">
        <v>1.110382</v>
      </c>
      <c r="L3779">
        <v>141.71799999999999</v>
      </c>
      <c r="M3779">
        <v>-0.99995750000000005</v>
      </c>
      <c r="N3779">
        <v>-9.1683860000000006E-3</v>
      </c>
      <c r="O3779">
        <v>-1.023482E-3</v>
      </c>
      <c r="P3779">
        <v>-0.93714489999999995</v>
      </c>
      <c r="Q3779">
        <v>0.3381383</v>
      </c>
      <c r="R3779">
        <v>-8.6150039999999997E-2</v>
      </c>
      <c r="S3779">
        <v>-3.3042449999999999</v>
      </c>
      <c r="T3779">
        <v>-0.29015279999999999</v>
      </c>
      <c r="U3779">
        <v>-1.071167E-2</v>
      </c>
      <c r="V3779">
        <v>-8.546281E-2</v>
      </c>
      <c r="W3779">
        <v>0.34665020000000002</v>
      </c>
      <c r="X3779">
        <v>0.93409299999999995</v>
      </c>
      <c r="Y3779">
        <v>-2.2120070000000002E-3</v>
      </c>
      <c r="Z3779" s="1">
        <v>-2.6762289999999999E-5</v>
      </c>
      <c r="AA3779">
        <v>0.99999760000000004</v>
      </c>
      <c r="AB3779">
        <v>38</v>
      </c>
      <c r="AC3779">
        <v>-0.48840000000001199</v>
      </c>
      <c r="AD3779">
        <v>-7.6829999999999898E-2</v>
      </c>
      <c r="AE3779">
        <v>-2.1999999999877599E-3</v>
      </c>
      <c r="AF3779">
        <v>-1.65905461731824E-3</v>
      </c>
      <c r="AG3779">
        <v>-7.6829999999999898E-2</v>
      </c>
      <c r="AH3779">
        <v>0.476607949698728</v>
      </c>
      <c r="AI3779">
        <v>99.157342107978295</v>
      </c>
      <c r="AJ3779">
        <v>90.199443680448695</v>
      </c>
      <c r="AK3779">
        <v>0.48276364722113102</v>
      </c>
      <c r="AL3779">
        <v>69.717437147953206</v>
      </c>
      <c r="AM3779">
        <v>95.227598673787199</v>
      </c>
      <c r="AN3779">
        <v>0.999999992851068</v>
      </c>
    </row>
    <row r="3780" spans="1:40" x14ac:dyDescent="0.25">
      <c r="A3780" t="str">
        <f>"20190304164719551"</f>
        <v>20190304164719551</v>
      </c>
      <c r="B3780" t="str">
        <f>"1551689239542277"</f>
        <v>1551689239542277</v>
      </c>
      <c r="C3780" t="s">
        <v>40</v>
      </c>
      <c r="D3780">
        <v>4.0335029999999996</v>
      </c>
      <c r="E3780">
        <v>0.52652869999999996</v>
      </c>
      <c r="F3780" t="s">
        <v>41</v>
      </c>
      <c r="G3780">
        <v>-248.583</v>
      </c>
      <c r="H3780">
        <v>1.0374209999999999</v>
      </c>
      <c r="I3780">
        <v>141.71440000000001</v>
      </c>
      <c r="J3780">
        <v>-248.13820000000001</v>
      </c>
      <c r="K3780">
        <v>1.1103909999999999</v>
      </c>
      <c r="L3780">
        <v>141.71729999999999</v>
      </c>
      <c r="M3780">
        <v>-0.99995710000000004</v>
      </c>
      <c r="N3780">
        <v>-9.1570599999999999E-3</v>
      </c>
      <c r="O3780">
        <v>-1.367991E-3</v>
      </c>
      <c r="P3780">
        <v>-0.9370231</v>
      </c>
      <c r="Q3780">
        <v>0.33827620000000003</v>
      </c>
      <c r="R3780">
        <v>-8.6930069999999998E-2</v>
      </c>
      <c r="S3780">
        <v>-3.303925</v>
      </c>
      <c r="T3780">
        <v>-0.28850389999999998</v>
      </c>
      <c r="U3780">
        <v>-1.4831540000000001E-2</v>
      </c>
      <c r="V3780">
        <v>-8.5924459999999994E-2</v>
      </c>
      <c r="W3780">
        <v>0.346775099999999</v>
      </c>
      <c r="X3780">
        <v>0.93400430000000001</v>
      </c>
      <c r="Y3780">
        <v>-3.112067E-3</v>
      </c>
      <c r="Z3780" s="1">
        <v>-4.3173709999999997E-5</v>
      </c>
      <c r="AA3780">
        <v>0.99999519999999997</v>
      </c>
      <c r="AB3780">
        <v>38</v>
      </c>
      <c r="AC3780">
        <v>-0.44479999999998598</v>
      </c>
      <c r="AD3780">
        <v>-7.2969999999999896E-2</v>
      </c>
      <c r="AE3780">
        <v>-2.8999999999825801E-3</v>
      </c>
      <c r="AF3780">
        <v>-2.2314376368987999E-3</v>
      </c>
      <c r="AG3780">
        <v>-7.2969999999999896E-2</v>
      </c>
      <c r="AH3780">
        <v>0.43314684543542098</v>
      </c>
      <c r="AI3780">
        <v>99.562409742110802</v>
      </c>
      <c r="AJ3780">
        <v>90.2951673991098</v>
      </c>
      <c r="AK3780">
        <v>0.43925595035762899</v>
      </c>
      <c r="AL3780">
        <v>69.709807971129095</v>
      </c>
      <c r="AM3780">
        <v>95.256175541263204</v>
      </c>
      <c r="AN3780">
        <v>1.0000000076123901</v>
      </c>
    </row>
    <row r="3781" spans="1:40" x14ac:dyDescent="0.25">
      <c r="A3781" t="str">
        <f>"20190304164719573"</f>
        <v>20190304164719573</v>
      </c>
      <c r="B3781" t="str">
        <f>"1551689239562777"</f>
        <v>1551689239562777</v>
      </c>
      <c r="C3781" t="s">
        <v>40</v>
      </c>
      <c r="D3781">
        <v>4.0439239999999996</v>
      </c>
      <c r="E3781">
        <v>0.52488509999999999</v>
      </c>
      <c r="F3781" t="s">
        <v>42</v>
      </c>
      <c r="G3781">
        <v>-265.37610000000001</v>
      </c>
      <c r="H3781" s="1">
        <v>-2.310646E-6</v>
      </c>
      <c r="I3781">
        <v>140.91159999999999</v>
      </c>
      <c r="J3781">
        <v>-248.52600000000001</v>
      </c>
      <c r="K3781">
        <v>1.110401</v>
      </c>
      <c r="L3781">
        <v>141.7165</v>
      </c>
      <c r="M3781">
        <v>-0.99995670000000003</v>
      </c>
      <c r="N3781">
        <v>-9.1479009999999999E-3</v>
      </c>
      <c r="O3781">
        <v>-1.7199379999999901E-3</v>
      </c>
      <c r="P3781">
        <v>-0.93689370000000005</v>
      </c>
      <c r="Q3781">
        <v>0.33840229999999999</v>
      </c>
      <c r="R3781">
        <v>-8.7829729999999995E-2</v>
      </c>
      <c r="S3781">
        <v>-3.2633670000000001</v>
      </c>
      <c r="T3781">
        <v>-0.2102137</v>
      </c>
      <c r="U3781">
        <v>-0.15252689999999999</v>
      </c>
      <c r="V3781">
        <v>-8.6501320000000007E-2</v>
      </c>
      <c r="W3781">
        <v>0.34688950000000002</v>
      </c>
      <c r="X3781">
        <v>0.93390850000000003</v>
      </c>
      <c r="Y3781">
        <v>-4.4866549999999998E-2</v>
      </c>
      <c r="Z3781">
        <v>-1.5534570000000001E-3</v>
      </c>
      <c r="AA3781">
        <v>0.99899179999999999</v>
      </c>
      <c r="AB3781">
        <v>38</v>
      </c>
      <c r="AC3781">
        <v>-16.850100000000001</v>
      </c>
      <c r="AD3781">
        <v>-1.1104033106460001</v>
      </c>
      <c r="AE3781">
        <v>-0.80490000000000295</v>
      </c>
      <c r="AF3781">
        <v>-0.77256909773210602</v>
      </c>
      <c r="AG3781">
        <v>-1.1104033106460001</v>
      </c>
      <c r="AH3781">
        <v>16.778760824090501</v>
      </c>
      <c r="AI3781">
        <v>93.782266495835998</v>
      </c>
      <c r="AJ3781">
        <v>92.636291615528606</v>
      </c>
      <c r="AK3781">
        <v>16.8332015170941</v>
      </c>
      <c r="AL3781">
        <v>69.702818214958</v>
      </c>
      <c r="AM3781">
        <v>95.291803315112105</v>
      </c>
      <c r="AN3781">
        <v>0.99999994497211897</v>
      </c>
    </row>
    <row r="3782" spans="1:40" x14ac:dyDescent="0.25">
      <c r="A3782" t="str">
        <f>"20190304164719594"</f>
        <v>20190304164719594</v>
      </c>
      <c r="B3782" t="str">
        <f>"1551689239582293"</f>
        <v>1551689239582293</v>
      </c>
      <c r="C3782" t="s">
        <v>40</v>
      </c>
      <c r="D3782">
        <v>4.0283410000000002</v>
      </c>
      <c r="E3782">
        <v>0.52455149999999995</v>
      </c>
      <c r="F3782" t="s">
        <v>42</v>
      </c>
      <c r="G3782">
        <v>-265.82029999999997</v>
      </c>
      <c r="H3782" s="1">
        <v>-2.0962329999999998E-6</v>
      </c>
      <c r="I3782">
        <v>140.822</v>
      </c>
      <c r="J3782">
        <v>-248.88890000000001</v>
      </c>
      <c r="K3782">
        <v>1.1104149999999999</v>
      </c>
      <c r="L3782">
        <v>141.71559999999999</v>
      </c>
      <c r="M3782">
        <v>-0.99995610000000001</v>
      </c>
      <c r="N3782">
        <v>-9.1411189999999996E-3</v>
      </c>
      <c r="O3782">
        <v>-2.0675450000000001E-3</v>
      </c>
      <c r="P3782">
        <v>-0.93668629999999997</v>
      </c>
      <c r="Q3782">
        <v>0.33865650000000003</v>
      </c>
      <c r="R3782">
        <v>-8.9054469999999997E-2</v>
      </c>
      <c r="S3782">
        <v>-3.2619020000000001</v>
      </c>
      <c r="T3782">
        <v>-0.20943490000000001</v>
      </c>
      <c r="U3782">
        <v>-0.1687012</v>
      </c>
      <c r="V3782">
        <v>-8.7411130000000004E-2</v>
      </c>
      <c r="W3782">
        <v>0.34713290000000002</v>
      </c>
      <c r="X3782">
        <v>0.93373340000000005</v>
      </c>
      <c r="Y3782">
        <v>-4.9471649999999999E-2</v>
      </c>
      <c r="Z3782">
        <v>-1.6983899999999999E-3</v>
      </c>
      <c r="AA3782">
        <v>0.9987741</v>
      </c>
      <c r="AB3782">
        <v>39</v>
      </c>
      <c r="AC3782">
        <v>-16.931399999999901</v>
      </c>
      <c r="AD3782">
        <v>-1.110417096233</v>
      </c>
      <c r="AE3782">
        <v>-0.89359999999999196</v>
      </c>
      <c r="AF3782">
        <v>-0.854923241079107</v>
      </c>
      <c r="AG3782">
        <v>-1.110417096233</v>
      </c>
      <c r="AH3782">
        <v>16.8608913415082</v>
      </c>
      <c r="AI3782">
        <v>93.763098525546994</v>
      </c>
      <c r="AJ3782">
        <v>92.902668617612406</v>
      </c>
      <c r="AK3782">
        <v>16.919030016696802</v>
      </c>
      <c r="AL3782">
        <v>69.687949787217605</v>
      </c>
      <c r="AM3782">
        <v>95.348137805375003</v>
      </c>
      <c r="AN3782">
        <v>1.00000000909292</v>
      </c>
    </row>
    <row r="3783" spans="1:40" x14ac:dyDescent="0.25">
      <c r="A3783" t="str">
        <f>"20190304164719616"</f>
        <v>20190304164719616</v>
      </c>
      <c r="B3783" t="str">
        <f>"1551689239612550"</f>
        <v>1551689239612550</v>
      </c>
      <c r="C3783" t="s">
        <v>40</v>
      </c>
      <c r="D3783">
        <v>4.0220949999999904</v>
      </c>
      <c r="E3783">
        <v>0.52485550000000003</v>
      </c>
      <c r="F3783" t="s">
        <v>42</v>
      </c>
      <c r="G3783">
        <v>-266.22840000000002</v>
      </c>
      <c r="H3783" s="1">
        <v>-1.911467E-6</v>
      </c>
      <c r="I3783">
        <v>140.78550000000001</v>
      </c>
      <c r="J3783">
        <v>-249.27289999999999</v>
      </c>
      <c r="K3783">
        <v>1.110433</v>
      </c>
      <c r="L3783">
        <v>141.71449999999999</v>
      </c>
      <c r="M3783">
        <v>-0.99995520000000004</v>
      </c>
      <c r="N3783">
        <v>-9.13601E-3</v>
      </c>
      <c r="O3783">
        <v>-2.464861E-3</v>
      </c>
      <c r="P3783">
        <v>-0.93660220000000005</v>
      </c>
      <c r="Q3783">
        <v>0.3387348</v>
      </c>
      <c r="R3783">
        <v>-8.9639689999999994E-2</v>
      </c>
      <c r="S3783">
        <v>-3.261673</v>
      </c>
      <c r="T3783">
        <v>-0.20887800000000001</v>
      </c>
      <c r="U3783">
        <v>-0.17494199999999999</v>
      </c>
      <c r="V3783">
        <v>-8.7642529999999996E-2</v>
      </c>
      <c r="W3783">
        <v>0.34720079999999998</v>
      </c>
      <c r="X3783">
        <v>0.93368649999999997</v>
      </c>
      <c r="Y3783">
        <v>-5.0981760000000001E-2</v>
      </c>
      <c r="Z3783">
        <v>-1.727842E-3</v>
      </c>
      <c r="AA3783">
        <v>0.99869810000000003</v>
      </c>
      <c r="AB3783">
        <v>39</v>
      </c>
      <c r="AC3783">
        <v>-16.955500000000001</v>
      </c>
      <c r="AD3783">
        <v>-1.110434911467</v>
      </c>
      <c r="AE3783">
        <v>-0.92899999999997296</v>
      </c>
      <c r="AF3783">
        <v>-0.88342473541894095</v>
      </c>
      <c r="AG3783">
        <v>-1.110434911467</v>
      </c>
      <c r="AH3783">
        <v>16.8855316642525</v>
      </c>
      <c r="AI3783">
        <v>93.757372390061505</v>
      </c>
      <c r="AJ3783">
        <v>92.994895436503597</v>
      </c>
      <c r="AK3783">
        <v>16.945048968363299</v>
      </c>
      <c r="AL3783">
        <v>69.683802137055096</v>
      </c>
      <c r="AM3783">
        <v>95.362481078626601</v>
      </c>
      <c r="AN3783">
        <v>1.0000000444338399</v>
      </c>
    </row>
    <row r="3784" spans="1:40" x14ac:dyDescent="0.25">
      <c r="A3784" t="str">
        <f>"20190304164719639"</f>
        <v>20190304164719639</v>
      </c>
      <c r="B3784" t="str">
        <f>"1551689239632957"</f>
        <v>1551689239632957</v>
      </c>
      <c r="C3784" t="s">
        <v>40</v>
      </c>
      <c r="D3784">
        <v>4.0221600000000004</v>
      </c>
      <c r="E3784">
        <v>0.52502209999999905</v>
      </c>
      <c r="F3784" t="s">
        <v>42</v>
      </c>
      <c r="G3784">
        <v>-266.9418</v>
      </c>
      <c r="H3784" s="1">
        <v>-1.6022910000000001E-6</v>
      </c>
      <c r="I3784">
        <v>140.77369999999999</v>
      </c>
      <c r="J3784">
        <v>-249.6824</v>
      </c>
      <c r="K3784">
        <v>1.1104620000000001</v>
      </c>
      <c r="L3784">
        <v>141.71299999999999</v>
      </c>
      <c r="M3784">
        <v>-0.99995400000000001</v>
      </c>
      <c r="N3784">
        <v>-9.1326229999999994E-3</v>
      </c>
      <c r="O3784">
        <v>-2.9203129999999999E-3</v>
      </c>
      <c r="P3784">
        <v>-0.93654040000000005</v>
      </c>
      <c r="Q3784">
        <v>0.33896680000000001</v>
      </c>
      <c r="R3784">
        <v>-8.9406390000000002E-2</v>
      </c>
      <c r="S3784">
        <v>-3.2605439999999999</v>
      </c>
      <c r="T3784">
        <v>-0.2049154</v>
      </c>
      <c r="U3784">
        <v>-0.17358399999999999</v>
      </c>
      <c r="V3784">
        <v>-8.7006169999999994E-2</v>
      </c>
      <c r="W3784">
        <v>0.34742430000000002</v>
      </c>
      <c r="X3784">
        <v>0.93366280000000001</v>
      </c>
      <c r="Y3784">
        <v>-5.0137090000000002E-2</v>
      </c>
      <c r="Z3784">
        <v>-1.6455969999999999E-3</v>
      </c>
      <c r="AA3784">
        <v>0.99874099999999999</v>
      </c>
      <c r="AB3784">
        <v>39</v>
      </c>
      <c r="AC3784">
        <v>-17.259399999999999</v>
      </c>
      <c r="AD3784">
        <v>-1.1104636022909999</v>
      </c>
      <c r="AE3784">
        <v>-0.93930000000000202</v>
      </c>
      <c r="AF3784">
        <v>-0.88523734291550504</v>
      </c>
      <c r="AG3784">
        <v>-1.1104636022909999</v>
      </c>
      <c r="AH3784">
        <v>17.191115554357001</v>
      </c>
      <c r="AI3784">
        <v>93.691020991413694</v>
      </c>
      <c r="AJ3784">
        <v>92.947778709508199</v>
      </c>
      <c r="AK3784">
        <v>17.249673288748401</v>
      </c>
      <c r="AL3784">
        <v>69.670144897688303</v>
      </c>
      <c r="AM3784">
        <v>95.323903755415103</v>
      </c>
      <c r="AN3784">
        <v>0.99999997097619897</v>
      </c>
    </row>
    <row r="3785" spans="1:40" x14ac:dyDescent="0.25">
      <c r="A3785" t="str">
        <f>"20190304164719664"</f>
        <v>20190304164719664</v>
      </c>
      <c r="B3785" t="str">
        <f>"1551689239652481"</f>
        <v>1551689239652481</v>
      </c>
      <c r="C3785" t="s">
        <v>40</v>
      </c>
      <c r="D3785">
        <v>4.0177440000000004</v>
      </c>
      <c r="E3785">
        <v>0.52508659999999996</v>
      </c>
      <c r="F3785" t="s">
        <v>42</v>
      </c>
      <c r="G3785">
        <v>-267.48790000000002</v>
      </c>
      <c r="H3785" s="1">
        <v>-1.3689069999999999E-6</v>
      </c>
      <c r="I3785">
        <v>140.77719999999999</v>
      </c>
      <c r="J3785">
        <v>-250.0907</v>
      </c>
      <c r="K3785">
        <v>1.1104940000000001</v>
      </c>
      <c r="L3785">
        <v>141.7114</v>
      </c>
      <c r="M3785">
        <v>-0.99995259999999997</v>
      </c>
      <c r="N3785">
        <v>-9.1311450000000002E-3</v>
      </c>
      <c r="O3785">
        <v>-3.413382E-3</v>
      </c>
      <c r="P3785">
        <v>-0.93644859999999996</v>
      </c>
      <c r="Q3785">
        <v>0.3392577</v>
      </c>
      <c r="R3785">
        <v>-8.9264899999999994E-2</v>
      </c>
      <c r="S3785">
        <v>-3.2604980000000001</v>
      </c>
      <c r="T3785">
        <v>-0.2033459</v>
      </c>
      <c r="U3785">
        <v>-0.17135619999999999</v>
      </c>
      <c r="V3785">
        <v>-8.6430640000000003E-2</v>
      </c>
      <c r="W3785">
        <v>0.3477074</v>
      </c>
      <c r="X3785">
        <v>0.93361090000000002</v>
      </c>
      <c r="Y3785">
        <v>-4.896967E-2</v>
      </c>
      <c r="Z3785">
        <v>-1.5670839999999901E-3</v>
      </c>
      <c r="AA3785">
        <v>0.99879899999999999</v>
      </c>
      <c r="AB3785">
        <v>39</v>
      </c>
      <c r="AC3785">
        <v>-17.397200000000002</v>
      </c>
      <c r="AD3785">
        <v>-1.1104953689070001</v>
      </c>
      <c r="AE3785">
        <v>-0.93420000000000403</v>
      </c>
      <c r="AF3785">
        <v>-0.87126901657002298</v>
      </c>
      <c r="AG3785">
        <v>-1.1104953689070001</v>
      </c>
      <c r="AH3785">
        <v>17.3298799054234</v>
      </c>
      <c r="AI3785">
        <v>93.661877128327205</v>
      </c>
      <c r="AJ3785">
        <v>92.878152741155802</v>
      </c>
      <c r="AK3785">
        <v>17.387266812239201</v>
      </c>
      <c r="AL3785">
        <v>69.652846630950506</v>
      </c>
      <c r="AM3785">
        <v>95.289179813783903</v>
      </c>
      <c r="AN3785">
        <v>1.00000000207218</v>
      </c>
    </row>
    <row r="3786" spans="1:40" x14ac:dyDescent="0.25">
      <c r="A3786" t="str">
        <f>"20190304164719687"</f>
        <v>20190304164719687</v>
      </c>
      <c r="B3786" t="str">
        <f>"1551689239682736"</f>
        <v>1551689239682736</v>
      </c>
      <c r="C3786" t="s">
        <v>40</v>
      </c>
      <c r="D3786">
        <v>4.0322930000000001</v>
      </c>
      <c r="E3786">
        <v>0.52523379999999997</v>
      </c>
      <c r="F3786" t="s">
        <v>42</v>
      </c>
      <c r="G3786">
        <v>-267.93700000000001</v>
      </c>
      <c r="H3786" s="1">
        <v>-1.1771619999999999E-6</v>
      </c>
      <c r="I3786">
        <v>140.78049999999999</v>
      </c>
      <c r="J3786">
        <v>-250.49299999999999</v>
      </c>
      <c r="K3786">
        <v>1.110536</v>
      </c>
      <c r="L3786">
        <v>141.70959999999999</v>
      </c>
      <c r="M3786">
        <v>-0.99995060000000002</v>
      </c>
      <c r="N3786">
        <v>-9.1311900000000008E-3</v>
      </c>
      <c r="O3786">
        <v>-3.9456170000000002E-3</v>
      </c>
      <c r="P3786">
        <v>-0.93653109999999995</v>
      </c>
      <c r="Q3786">
        <v>0.3390978</v>
      </c>
      <c r="R3786">
        <v>-8.9007470000000005E-2</v>
      </c>
      <c r="S3786">
        <v>-3.2608950000000001</v>
      </c>
      <c r="T3786">
        <v>-0.20291190000000001</v>
      </c>
      <c r="U3786">
        <v>-0.17008970000000001</v>
      </c>
      <c r="V3786">
        <v>-8.5704790000000003E-2</v>
      </c>
      <c r="W3786">
        <v>0.34754200000000002</v>
      </c>
      <c r="X3786">
        <v>0.9337394</v>
      </c>
      <c r="Y3786">
        <v>-4.8048010000000002E-2</v>
      </c>
      <c r="Z3786">
        <v>-1.5030880000000001E-3</v>
      </c>
      <c r="AA3786">
        <v>0.99884390000000001</v>
      </c>
      <c r="AB3786">
        <v>39</v>
      </c>
      <c r="AC3786">
        <v>-17.443999999999999</v>
      </c>
      <c r="AD3786">
        <v>-1.1105371771619901</v>
      </c>
      <c r="AE3786">
        <v>-0.92910000000000503</v>
      </c>
      <c r="AF3786">
        <v>-0.856799794077446</v>
      </c>
      <c r="AG3786">
        <v>-1.1105371771619901</v>
      </c>
      <c r="AH3786">
        <v>17.3772996810949</v>
      </c>
      <c r="AI3786">
        <v>93.652224112348605</v>
      </c>
      <c r="AJ3786">
        <v>92.822722171483505</v>
      </c>
      <c r="AK3786">
        <v>17.433816074387501</v>
      </c>
      <c r="AL3786">
        <v>69.662953859643096</v>
      </c>
      <c r="AM3786">
        <v>95.244291938968601</v>
      </c>
      <c r="AN3786">
        <v>1.00000000995265</v>
      </c>
    </row>
    <row r="3787" spans="1:40" x14ac:dyDescent="0.25">
      <c r="A3787" t="str">
        <f>"20190304164719709"</f>
        <v>20190304164719709</v>
      </c>
      <c r="B3787" t="str">
        <f>"1551689239702254"</f>
        <v>1551689239702254</v>
      </c>
      <c r="C3787" t="s">
        <v>40</v>
      </c>
      <c r="D3787">
        <v>4.0483640000000003</v>
      </c>
      <c r="E3787">
        <v>0.52538560000000001</v>
      </c>
      <c r="F3787" t="s">
        <v>42</v>
      </c>
      <c r="G3787">
        <v>-268.01319999999998</v>
      </c>
      <c r="H3787" s="1">
        <v>-1.151289E-6</v>
      </c>
      <c r="I3787">
        <v>140.80629999999999</v>
      </c>
      <c r="J3787">
        <v>-250.87729999999999</v>
      </c>
      <c r="K3787">
        <v>1.110574</v>
      </c>
      <c r="L3787">
        <v>141.70760000000001</v>
      </c>
      <c r="M3787">
        <v>-0.99994830000000001</v>
      </c>
      <c r="N3787">
        <v>-9.1325190000000004E-3</v>
      </c>
      <c r="O3787">
        <v>-4.4980209999999996E-3</v>
      </c>
      <c r="P3787">
        <v>-0.93649859999999896</v>
      </c>
      <c r="Q3787">
        <v>0.33911289999999999</v>
      </c>
      <c r="R3787">
        <v>-8.9291620000000002E-2</v>
      </c>
      <c r="S3787">
        <v>-3.2621769999999999</v>
      </c>
      <c r="T3787">
        <v>-0.20677719999999999</v>
      </c>
      <c r="U3787">
        <v>-0.16818239999999901</v>
      </c>
      <c r="V3787">
        <v>-8.5503220000000005E-2</v>
      </c>
      <c r="W3787">
        <v>0.3475509</v>
      </c>
      <c r="X3787">
        <v>0.93375459999999999</v>
      </c>
      <c r="Y3787">
        <v>-4.6893289999999997E-2</v>
      </c>
      <c r="Z3787">
        <v>-1.4546299999999999E-3</v>
      </c>
      <c r="AA3787">
        <v>0.99889890000000003</v>
      </c>
      <c r="AB3787">
        <v>39</v>
      </c>
      <c r="AC3787">
        <v>-17.1358999999999</v>
      </c>
      <c r="AD3787">
        <v>-1.1105751512890001</v>
      </c>
      <c r="AE3787">
        <v>-0.90130000000001997</v>
      </c>
      <c r="AF3787">
        <v>-0.82077204653195501</v>
      </c>
      <c r="AG3787">
        <v>-1.1105751512890001</v>
      </c>
      <c r="AH3787">
        <v>17.068286444538199</v>
      </c>
      <c r="AI3787">
        <v>93.718508277952694</v>
      </c>
      <c r="AJ3787">
        <v>92.753092768917497</v>
      </c>
      <c r="AK3787">
        <v>17.124060443476399</v>
      </c>
      <c r="AL3787">
        <v>69.662410682754697</v>
      </c>
      <c r="AM3787">
        <v>95.231941669285206</v>
      </c>
      <c r="AN3787">
        <v>1.00000004087116</v>
      </c>
    </row>
    <row r="3788" spans="1:40" x14ac:dyDescent="0.25">
      <c r="A3788" t="str">
        <f>"20190304164719731"</f>
        <v>20190304164719731</v>
      </c>
      <c r="B3788" t="str">
        <f>"1551689239722750"</f>
        <v>1551689239722750</v>
      </c>
      <c r="C3788" t="s">
        <v>40</v>
      </c>
      <c r="D3788">
        <v>4.248564</v>
      </c>
      <c r="E3788">
        <v>0.54377819999999899</v>
      </c>
      <c r="F3788" t="s">
        <v>42</v>
      </c>
      <c r="G3788">
        <v>-268.3091</v>
      </c>
      <c r="H3788" s="1">
        <v>-1.0271530000000001E-6</v>
      </c>
      <c r="I3788">
        <v>140.8167</v>
      </c>
      <c r="J3788">
        <v>-251.25960000000001</v>
      </c>
      <c r="K3788">
        <v>1.110609</v>
      </c>
      <c r="L3788">
        <v>141.7054</v>
      </c>
      <c r="M3788">
        <v>-0.99994539999999998</v>
      </c>
      <c r="N3788">
        <v>-9.1349429999999995E-3</v>
      </c>
      <c r="O3788">
        <v>-5.0839140000000001E-3</v>
      </c>
      <c r="P3788">
        <v>-0.93629340000000005</v>
      </c>
      <c r="Q3788">
        <v>0.33948699999999998</v>
      </c>
      <c r="R3788">
        <v>-9.0019070000000007E-2</v>
      </c>
      <c r="S3788">
        <v>-3.2627869999999999</v>
      </c>
      <c r="T3788">
        <v>-0.20787249999999999</v>
      </c>
      <c r="U3788">
        <v>-0.16674800000000001</v>
      </c>
      <c r="V3788">
        <v>-8.5713839999999999E-2</v>
      </c>
      <c r="W3788">
        <v>0.3479179</v>
      </c>
      <c r="X3788">
        <v>0.9335985</v>
      </c>
      <c r="Y3788">
        <v>-4.5862699999999902E-2</v>
      </c>
      <c r="Z3788">
        <v>-1.391417E-3</v>
      </c>
      <c r="AA3788">
        <v>0.99894680000000002</v>
      </c>
      <c r="AB3788">
        <v>39</v>
      </c>
      <c r="AC3788">
        <v>-17.049499999999899</v>
      </c>
      <c r="AD3788">
        <v>-1.1106100271529999</v>
      </c>
      <c r="AE3788">
        <v>-0.88870000000000005</v>
      </c>
      <c r="AF3788">
        <v>-0.79862710786911895</v>
      </c>
      <c r="AG3788">
        <v>-1.1106100271529999</v>
      </c>
      <c r="AH3788">
        <v>16.981934359730499</v>
      </c>
      <c r="AI3788">
        <v>93.737667611764394</v>
      </c>
      <c r="AJ3788">
        <v>92.692524484008402</v>
      </c>
      <c r="AK3788">
        <v>17.036940878222001</v>
      </c>
      <c r="AL3788">
        <v>69.6399814490605</v>
      </c>
      <c r="AM3788">
        <v>95.245629765437897</v>
      </c>
      <c r="AN3788">
        <v>0.99999994335510101</v>
      </c>
    </row>
    <row r="3789" spans="1:40" x14ac:dyDescent="0.25">
      <c r="A3789" t="str">
        <f>"20190304164719753"</f>
        <v>20190304164719753</v>
      </c>
      <c r="B3789" t="str">
        <f>"1551689239743245"</f>
        <v>1551689239743245</v>
      </c>
      <c r="C3789" t="s">
        <v>40</v>
      </c>
      <c r="D3789">
        <v>4.2217500000000001</v>
      </c>
      <c r="E3789">
        <v>0.55115950000000002</v>
      </c>
      <c r="F3789" t="s">
        <v>42</v>
      </c>
      <c r="G3789">
        <v>-267.22750000000002</v>
      </c>
      <c r="H3789" s="1">
        <v>-1.6974250000000001E-6</v>
      </c>
      <c r="I3789">
        <v>141.59200000000001</v>
      </c>
      <c r="J3789">
        <v>-251.64070000000001</v>
      </c>
      <c r="K3789">
        <v>1.1106370000000001</v>
      </c>
      <c r="L3789">
        <v>141.703</v>
      </c>
      <c r="M3789">
        <v>-0.99994209999999994</v>
      </c>
      <c r="N3789">
        <v>-9.1381099999999996E-3</v>
      </c>
      <c r="O3789">
        <v>-5.6963430000000004E-3</v>
      </c>
      <c r="P3789">
        <v>-0.93587609999999999</v>
      </c>
      <c r="Q3789">
        <v>0.34043679999999998</v>
      </c>
      <c r="R3789">
        <v>-9.0768730000000006E-2</v>
      </c>
      <c r="S3789">
        <v>-3.2847140000000001</v>
      </c>
      <c r="T3789">
        <v>-0.22846069999999999</v>
      </c>
      <c r="U3789">
        <v>-2.3315430000000002E-2</v>
      </c>
      <c r="V3789">
        <v>-8.5919889999999999E-2</v>
      </c>
      <c r="W3789">
        <v>0.34886060000000002</v>
      </c>
      <c r="X3789">
        <v>0.93322780000000005</v>
      </c>
      <c r="Y3789">
        <v>-1.407964E-3</v>
      </c>
      <c r="Z3789">
        <v>2.8836299999999998E-4</v>
      </c>
      <c r="AA3789">
        <v>0.99999899999999997</v>
      </c>
      <c r="AB3789">
        <v>39</v>
      </c>
      <c r="AC3789">
        <v>-15.5868</v>
      </c>
      <c r="AD3789">
        <v>-1.110638697425</v>
      </c>
      <c r="AE3789">
        <v>-0.11099999999999</v>
      </c>
      <c r="AF3789">
        <v>-2.209456474602E-2</v>
      </c>
      <c r="AG3789">
        <v>-1.110638697425</v>
      </c>
      <c r="AH3789">
        <v>15.50844260019</v>
      </c>
      <c r="AI3789">
        <v>94.096245655022202</v>
      </c>
      <c r="AJ3789">
        <v>90.081628083894302</v>
      </c>
      <c r="AK3789">
        <v>15.5481766895477</v>
      </c>
      <c r="AL3789">
        <v>69.5823606195991</v>
      </c>
      <c r="AM3789">
        <v>95.260246241690297</v>
      </c>
      <c r="AN3789">
        <v>1.0000000362114001</v>
      </c>
    </row>
    <row r="3790" spans="1:40" x14ac:dyDescent="0.25">
      <c r="A3790" t="str">
        <f>"20190304164719785"</f>
        <v>20190304164719785</v>
      </c>
      <c r="B3790" t="str">
        <f>"1551689239772529"</f>
        <v>1551689239772529</v>
      </c>
      <c r="C3790" t="s">
        <v>40</v>
      </c>
      <c r="D3790">
        <v>4.1430490000000004</v>
      </c>
      <c r="E3790">
        <v>0.57377319999999998</v>
      </c>
      <c r="F3790" t="s">
        <v>42</v>
      </c>
      <c r="G3790">
        <v>-268.90339999999998</v>
      </c>
      <c r="H3790" s="1">
        <v>-1.0554310000000001E-6</v>
      </c>
      <c r="I3790">
        <v>141.88130000000001</v>
      </c>
      <c r="J3790">
        <v>-252.19069999999999</v>
      </c>
      <c r="K3790">
        <v>1.110676</v>
      </c>
      <c r="L3790">
        <v>141.69899999999899</v>
      </c>
      <c r="M3790">
        <v>-0.99993650000000001</v>
      </c>
      <c r="N3790">
        <v>-9.1375410000000008E-3</v>
      </c>
      <c r="O3790">
        <v>-6.6161010000000001E-3</v>
      </c>
      <c r="P3790">
        <v>-0.93551830000000002</v>
      </c>
      <c r="Q3790">
        <v>0.34159980000000001</v>
      </c>
      <c r="R3790">
        <v>-9.0084810000000001E-2</v>
      </c>
      <c r="S3790">
        <v>-3.285736</v>
      </c>
      <c r="T3790">
        <v>-0.211396</v>
      </c>
      <c r="U3790">
        <v>3.3950809999999998E-2</v>
      </c>
      <c r="V3790">
        <v>-8.4408479999999994E-2</v>
      </c>
      <c r="W3790">
        <v>0.35001549999999998</v>
      </c>
      <c r="X3790">
        <v>0.93293320000000002</v>
      </c>
      <c r="Y3790">
        <v>1.6898050000000001E-2</v>
      </c>
      <c r="Z3790">
        <v>9.8512399999999998E-4</v>
      </c>
      <c r="AA3790">
        <v>0.99985670000000004</v>
      </c>
      <c r="AB3790">
        <v>39</v>
      </c>
      <c r="AC3790">
        <v>-16.712699999999899</v>
      </c>
      <c r="AD3790">
        <v>-1.1106770554309999</v>
      </c>
      <c r="AE3790">
        <v>0.182300000000026</v>
      </c>
      <c r="AF3790">
        <v>0.29158587426274701</v>
      </c>
      <c r="AG3790">
        <v>-1.1106770554309999</v>
      </c>
      <c r="AH3790">
        <v>16.637655855233699</v>
      </c>
      <c r="AI3790">
        <v>93.818632889351605</v>
      </c>
      <c r="AJ3790">
        <v>88.995956524938507</v>
      </c>
      <c r="AK3790">
        <v>16.677236527696099</v>
      </c>
      <c r="AL3790">
        <v>69.511736805534198</v>
      </c>
      <c r="AM3790">
        <v>95.169842391369301</v>
      </c>
      <c r="AN3790">
        <v>0.99999999869919998</v>
      </c>
    </row>
    <row r="3791" spans="1:40" x14ac:dyDescent="0.25">
      <c r="A3791" t="str">
        <f>"20190304164719806"</f>
        <v>20190304164719806</v>
      </c>
      <c r="B3791" t="str">
        <f>"1551689239802781"</f>
        <v>1551689239802781</v>
      </c>
      <c r="C3791" t="s">
        <v>40</v>
      </c>
      <c r="D3791">
        <v>4.0972530000000003</v>
      </c>
      <c r="E3791">
        <v>0.57821099999999903</v>
      </c>
      <c r="F3791" t="s">
        <v>41</v>
      </c>
      <c r="G3791">
        <v>-253.0967</v>
      </c>
      <c r="H3791">
        <v>1.045199</v>
      </c>
      <c r="I3791">
        <v>141.7567</v>
      </c>
      <c r="J3791">
        <v>-252.58080000000001</v>
      </c>
      <c r="K3791">
        <v>1.1106940000000001</v>
      </c>
      <c r="L3791">
        <v>141.69589999999999</v>
      </c>
      <c r="M3791">
        <v>-0.99993189999999998</v>
      </c>
      <c r="N3791">
        <v>-9.1346009999999991E-3</v>
      </c>
      <c r="O3791">
        <v>-7.2804050000000002E-3</v>
      </c>
      <c r="P3791">
        <v>-0.93559510000000001</v>
      </c>
      <c r="Q3791">
        <v>0.3416015</v>
      </c>
      <c r="R3791">
        <v>-8.9276880000000003E-2</v>
      </c>
      <c r="S3791">
        <v>-3.314575</v>
      </c>
      <c r="T3791">
        <v>-0.23944209999999999</v>
      </c>
      <c r="U3791">
        <v>0.21170040000000001</v>
      </c>
      <c r="V3791">
        <v>-8.2991999999999996E-2</v>
      </c>
      <c r="W3791">
        <v>0.3500142</v>
      </c>
      <c r="X3791">
        <v>0.93306080000000002</v>
      </c>
      <c r="Y3791">
        <v>7.0782390000000001E-2</v>
      </c>
      <c r="Z3791">
        <v>3.3331900000000002E-3</v>
      </c>
      <c r="AA3791">
        <v>0.99748619999999999</v>
      </c>
      <c r="AB3791">
        <v>39</v>
      </c>
      <c r="AC3791">
        <v>-0.51589999999998704</v>
      </c>
      <c r="AD3791">
        <v>-6.5494999999999998E-2</v>
      </c>
      <c r="AE3791">
        <v>6.0800000000000402E-2</v>
      </c>
      <c r="AF3791">
        <v>6.3544388049748796E-2</v>
      </c>
      <c r="AG3791">
        <v>-6.5494999999999998E-2</v>
      </c>
      <c r="AH3791">
        <v>0.50737824640962803</v>
      </c>
      <c r="AI3791">
        <v>97.298962348787896</v>
      </c>
      <c r="AJ3791">
        <v>82.8614072087355</v>
      </c>
      <c r="AK3791">
        <v>0.51551931991665101</v>
      </c>
      <c r="AL3791">
        <v>69.511817083687902</v>
      </c>
      <c r="AM3791">
        <v>95.082852838386501</v>
      </c>
      <c r="AN3791">
        <v>1.0000000343811299</v>
      </c>
    </row>
    <row r="3792" spans="1:40" x14ac:dyDescent="0.25">
      <c r="A3792" t="str">
        <f>"20190304164719830"</f>
        <v>20190304164719830</v>
      </c>
      <c r="B3792" t="str">
        <f>"1551689239822301"</f>
        <v>1551689239822301</v>
      </c>
      <c r="C3792" t="s">
        <v>40</v>
      </c>
      <c r="D3792">
        <v>4.0945859999999996</v>
      </c>
      <c r="E3792">
        <v>0.57978730000000001</v>
      </c>
      <c r="F3792" t="s">
        <v>41</v>
      </c>
      <c r="G3792">
        <v>-253.44540000000001</v>
      </c>
      <c r="H3792">
        <v>1.041731</v>
      </c>
      <c r="I3792">
        <v>141.76</v>
      </c>
      <c r="J3792">
        <v>-253.00569999999999</v>
      </c>
      <c r="K3792">
        <v>1.1106990000000001</v>
      </c>
      <c r="L3792">
        <v>141.69220000000001</v>
      </c>
      <c r="M3792">
        <v>-0.99992639999999999</v>
      </c>
      <c r="N3792">
        <v>-9.1312919999999992E-3</v>
      </c>
      <c r="O3792">
        <v>-8.0005330000000006E-3</v>
      </c>
      <c r="P3792">
        <v>-0.93553779999999997</v>
      </c>
      <c r="Q3792">
        <v>0.34185949999999998</v>
      </c>
      <c r="R3792">
        <v>-8.88906E-2</v>
      </c>
      <c r="S3792">
        <v>-3.3269350000000002</v>
      </c>
      <c r="T3792">
        <v>-0.26545920000000001</v>
      </c>
      <c r="U3792">
        <v>0.24588009999999999</v>
      </c>
      <c r="V3792">
        <v>-8.1941189999999997E-2</v>
      </c>
      <c r="W3792">
        <v>0.35026879999999999</v>
      </c>
      <c r="X3792">
        <v>0.9330581</v>
      </c>
      <c r="Y3792">
        <v>8.1374879999999997E-2</v>
      </c>
      <c r="Z3792">
        <v>4.1733250000000003E-3</v>
      </c>
      <c r="AA3792">
        <v>0.99667479999999997</v>
      </c>
      <c r="AB3792">
        <v>39</v>
      </c>
      <c r="AC3792">
        <v>-0.43970000000001602</v>
      </c>
      <c r="AD3792">
        <v>-6.8967999999999904E-2</v>
      </c>
      <c r="AE3792">
        <v>6.7799999999976907E-2</v>
      </c>
      <c r="AF3792">
        <v>6.9642217764417799E-2</v>
      </c>
      <c r="AG3792">
        <v>-6.8967999999999904E-2</v>
      </c>
      <c r="AH3792">
        <v>0.42883793583416602</v>
      </c>
      <c r="AI3792">
        <v>99.020188237799502</v>
      </c>
      <c r="AJ3792">
        <v>80.775834395172595</v>
      </c>
      <c r="AK3792">
        <v>0.439896122658128</v>
      </c>
      <c r="AL3792">
        <v>69.496243094422695</v>
      </c>
      <c r="AM3792">
        <v>95.0188411181053</v>
      </c>
      <c r="AN3792">
        <v>1.00000000442383</v>
      </c>
    </row>
    <row r="3793" spans="1:40" x14ac:dyDescent="0.25">
      <c r="A3793" t="str">
        <f>"20190304164719853"</f>
        <v>20190304164719853</v>
      </c>
      <c r="B3793" t="str">
        <f>"1551689239842329"</f>
        <v>1551689239842329</v>
      </c>
      <c r="C3793" t="s">
        <v>40</v>
      </c>
      <c r="D3793">
        <v>4.1103120000000004</v>
      </c>
      <c r="E3793">
        <v>0.581049699999999</v>
      </c>
      <c r="F3793" t="s">
        <v>41</v>
      </c>
      <c r="G3793">
        <v>-253.798</v>
      </c>
      <c r="H3793">
        <v>1.0452189999999999</v>
      </c>
      <c r="I3793">
        <v>141.75360000000001</v>
      </c>
      <c r="J3793">
        <v>-253.392</v>
      </c>
      <c r="K3793">
        <v>1.110698</v>
      </c>
      <c r="L3793">
        <v>141.68860000000001</v>
      </c>
      <c r="M3793">
        <v>-0.99992110000000001</v>
      </c>
      <c r="N3793">
        <v>-9.1291459999999994E-3</v>
      </c>
      <c r="O3793">
        <v>-8.6368439999999994E-3</v>
      </c>
      <c r="P3793">
        <v>-0.93557080000000004</v>
      </c>
      <c r="Q3793">
        <v>0.3418525</v>
      </c>
      <c r="R3793">
        <v>-8.8567209999999993E-2</v>
      </c>
      <c r="S3793">
        <v>-3.3318789999999998</v>
      </c>
      <c r="T3793">
        <v>-0.27540140000000002</v>
      </c>
      <c r="U3793">
        <v>0.2579651</v>
      </c>
      <c r="V3793">
        <v>-8.102173E-2</v>
      </c>
      <c r="W3793">
        <v>0.35026160000000001</v>
      </c>
      <c r="X3793">
        <v>0.93314109999999995</v>
      </c>
      <c r="Y3793">
        <v>8.5455690000000001E-2</v>
      </c>
      <c r="Z3793">
        <v>4.5449359999999899E-3</v>
      </c>
      <c r="AA3793">
        <v>0.99633159999999998</v>
      </c>
      <c r="AB3793">
        <v>39</v>
      </c>
      <c r="AC3793">
        <v>-0.40600000000000502</v>
      </c>
      <c r="AD3793">
        <v>-6.5478999999999801E-2</v>
      </c>
      <c r="AE3793">
        <v>6.4999999999997699E-2</v>
      </c>
      <c r="AF3793">
        <v>6.6809935540976403E-2</v>
      </c>
      <c r="AG3793">
        <v>-6.5478999999999801E-2</v>
      </c>
      <c r="AH3793">
        <v>0.395395933500862</v>
      </c>
      <c r="AI3793">
        <v>99.273925032679898</v>
      </c>
      <c r="AJ3793">
        <v>80.409337712161005</v>
      </c>
      <c r="AK3793">
        <v>0.40631147061953299</v>
      </c>
      <c r="AL3793">
        <v>69.496683662491506</v>
      </c>
      <c r="AM3793">
        <v>94.962368446378207</v>
      </c>
      <c r="AN3793">
        <v>1.0000000108379801</v>
      </c>
    </row>
    <row r="3794" spans="1:40" x14ac:dyDescent="0.25">
      <c r="A3794" t="str">
        <f>"20190304164719875"</f>
        <v>20190304164719875</v>
      </c>
      <c r="B3794" t="str">
        <f>"1551689239872584"</f>
        <v>1551689239872584</v>
      </c>
      <c r="C3794" t="s">
        <v>40</v>
      </c>
      <c r="D3794">
        <v>4.1222529999999997</v>
      </c>
      <c r="E3794">
        <v>0.58242119999999997</v>
      </c>
      <c r="F3794" t="s">
        <v>41</v>
      </c>
      <c r="G3794">
        <v>-254.15010000000001</v>
      </c>
      <c r="H3794">
        <v>1.0467820000000001</v>
      </c>
      <c r="I3794">
        <v>141.7501</v>
      </c>
      <c r="J3794">
        <v>-253.7867</v>
      </c>
      <c r="K3794">
        <v>1.1106879999999999</v>
      </c>
      <c r="L3794">
        <v>141.68469999999999</v>
      </c>
      <c r="M3794">
        <v>-0.99991549999999996</v>
      </c>
      <c r="N3794">
        <v>-9.1277509999999999E-3</v>
      </c>
      <c r="O3794">
        <v>-9.2535810000000003E-3</v>
      </c>
      <c r="P3794">
        <v>-0.93550789999999995</v>
      </c>
      <c r="Q3794">
        <v>0.34202100000000002</v>
      </c>
      <c r="R3794">
        <v>-8.8580839999999994E-2</v>
      </c>
      <c r="S3794">
        <v>-3.3348689999999999</v>
      </c>
      <c r="T3794">
        <v>-0.28122469999999999</v>
      </c>
      <c r="U3794">
        <v>0.26939390000000002</v>
      </c>
      <c r="V3794">
        <v>-8.0448049999999993E-2</v>
      </c>
      <c r="W3794">
        <v>0.35043180000000002</v>
      </c>
      <c r="X3794">
        <v>0.93312680000000003</v>
      </c>
      <c r="Y3794">
        <v>8.9363590000000007E-2</v>
      </c>
      <c r="Z3794">
        <v>4.858078E-3</v>
      </c>
      <c r="AA3794">
        <v>0.99598719999999996</v>
      </c>
      <c r="AB3794">
        <v>39</v>
      </c>
      <c r="AC3794">
        <v>-0.36340000000001199</v>
      </c>
      <c r="AD3794">
        <v>-6.3906000000000004E-2</v>
      </c>
      <c r="AE3794">
        <v>6.5400000000010894E-2</v>
      </c>
      <c r="AF3794">
        <v>6.6760281827594095E-2</v>
      </c>
      <c r="AG3794">
        <v>-6.3906000000000004E-2</v>
      </c>
      <c r="AH3794">
        <v>0.35222820740798599</v>
      </c>
      <c r="AI3794">
        <v>100.107369346402</v>
      </c>
      <c r="AJ3794">
        <v>79.267638097290103</v>
      </c>
      <c r="AK3794">
        <v>0.36415054875633901</v>
      </c>
      <c r="AL3794">
        <v>69.486271372490705</v>
      </c>
      <c r="AM3794">
        <v>94.927480790413796</v>
      </c>
      <c r="AN3794">
        <v>0.99999998003914103</v>
      </c>
    </row>
    <row r="3795" spans="1:40" x14ac:dyDescent="0.25">
      <c r="A3795" t="str">
        <f>"20190304164719897"</f>
        <v>20190304164719897</v>
      </c>
      <c r="B3795" t="str">
        <f>"1551689239893081"</f>
        <v>1551689239893081</v>
      </c>
      <c r="C3795" t="s">
        <v>40</v>
      </c>
      <c r="D3795">
        <v>4.084886</v>
      </c>
      <c r="E3795">
        <v>0.58305220000000002</v>
      </c>
      <c r="F3795" t="s">
        <v>41</v>
      </c>
      <c r="G3795">
        <v>-254.84180000000001</v>
      </c>
      <c r="H3795">
        <v>1.0202960000000001</v>
      </c>
      <c r="I3795">
        <v>141.77359999999999</v>
      </c>
      <c r="J3795">
        <v>-254.17410000000001</v>
      </c>
      <c r="K3795">
        <v>1.1106640000000001</v>
      </c>
      <c r="L3795">
        <v>141.6807</v>
      </c>
      <c r="M3795">
        <v>-0.99991019999999997</v>
      </c>
      <c r="N3795">
        <v>-9.1274029999999992E-3</v>
      </c>
      <c r="O3795">
        <v>-9.8146359999999998E-3</v>
      </c>
      <c r="P3795">
        <v>-0.93535760000000001</v>
      </c>
      <c r="Q3795">
        <v>0.34227039999999997</v>
      </c>
      <c r="R3795">
        <v>-8.920343E-2</v>
      </c>
      <c r="S3795">
        <v>-3.3379210000000001</v>
      </c>
      <c r="T3795">
        <v>-0.28601259999999901</v>
      </c>
      <c r="U3795">
        <v>0.28039550000000002</v>
      </c>
      <c r="V3795">
        <v>-8.0528450000000001E-2</v>
      </c>
      <c r="W3795">
        <v>0.35068449999999901</v>
      </c>
      <c r="X3795">
        <v>0.93302490000000005</v>
      </c>
      <c r="Y3795">
        <v>9.3081090000000005E-2</v>
      </c>
      <c r="Z3795">
        <v>5.1487920000000001E-3</v>
      </c>
      <c r="AA3795">
        <v>0.99564520000000001</v>
      </c>
      <c r="AB3795">
        <v>39</v>
      </c>
      <c r="AC3795">
        <v>-0.66769999999999596</v>
      </c>
      <c r="AD3795">
        <v>-9.0367999999999907E-2</v>
      </c>
      <c r="AE3795">
        <v>9.2899999999985994E-2</v>
      </c>
      <c r="AF3795">
        <v>9.7693511890910897E-2</v>
      </c>
      <c r="AG3795">
        <v>-9.0367999999999907E-2</v>
      </c>
      <c r="AH3795">
        <v>0.65498614615136397</v>
      </c>
      <c r="AI3795">
        <v>97.770574249458804</v>
      </c>
      <c r="AJ3795">
        <v>81.516670832737702</v>
      </c>
      <c r="AK3795">
        <v>0.66836909663732602</v>
      </c>
      <c r="AL3795">
        <v>69.470811174661804</v>
      </c>
      <c r="AM3795">
        <v>94.932917076600305</v>
      </c>
      <c r="AN3795">
        <v>0.99999995690983001</v>
      </c>
    </row>
    <row r="3796" spans="1:40" x14ac:dyDescent="0.25">
      <c r="A3796" t="str">
        <f>"20190304164719919"</f>
        <v>20190304164719919</v>
      </c>
      <c r="B3796" t="str">
        <f>"1551689239912601"</f>
        <v>1551689239912601</v>
      </c>
      <c r="C3796" t="s">
        <v>40</v>
      </c>
      <c r="D3796">
        <v>4.1896690000000003</v>
      </c>
      <c r="E3796">
        <v>0.58329010000000003</v>
      </c>
      <c r="F3796" t="s">
        <v>41</v>
      </c>
      <c r="G3796">
        <v>-255.19560000000001</v>
      </c>
      <c r="H3796">
        <v>1.0222639999999901</v>
      </c>
      <c r="I3796">
        <v>141.76750000000001</v>
      </c>
      <c r="J3796">
        <v>-254.55860000000001</v>
      </c>
      <c r="K3796">
        <v>1.110633</v>
      </c>
      <c r="L3796">
        <v>141.6765</v>
      </c>
      <c r="M3796">
        <v>-0.99990500000000004</v>
      </c>
      <c r="N3796">
        <v>-9.1279680000000002E-3</v>
      </c>
      <c r="O3796">
        <v>-1.0331299999999899E-2</v>
      </c>
      <c r="P3796">
        <v>-0.93527780000000005</v>
      </c>
      <c r="Q3796">
        <v>0.34246710000000002</v>
      </c>
      <c r="R3796">
        <v>-8.9285519999999993E-2</v>
      </c>
      <c r="S3796">
        <v>-3.340195</v>
      </c>
      <c r="T3796">
        <v>-0.28907060000000001</v>
      </c>
      <c r="U3796">
        <v>0.2837982</v>
      </c>
      <c r="V3796">
        <v>-8.0105090000000004E-2</v>
      </c>
      <c r="W3796">
        <v>0.3508869</v>
      </c>
      <c r="X3796">
        <v>0.93298530000000002</v>
      </c>
      <c r="Y3796">
        <v>9.4530749999999997E-2</v>
      </c>
      <c r="Z3796">
        <v>5.3056170000000003E-3</v>
      </c>
      <c r="AA3796">
        <v>0.99550780000000005</v>
      </c>
      <c r="AB3796">
        <v>39</v>
      </c>
      <c r="AC3796">
        <v>-0.63700000000000001</v>
      </c>
      <c r="AD3796">
        <v>-8.83690000000001E-2</v>
      </c>
      <c r="AE3796">
        <v>9.1000000000008199E-2</v>
      </c>
      <c r="AF3796">
        <v>9.5770206491077703E-2</v>
      </c>
      <c r="AG3796">
        <v>-8.83690000000001E-2</v>
      </c>
      <c r="AH3796">
        <v>0.62425226919992705</v>
      </c>
      <c r="AI3796">
        <v>97.965266188585005</v>
      </c>
      <c r="AJ3796">
        <v>81.277922584366294</v>
      </c>
      <c r="AK3796">
        <v>0.637708325344434</v>
      </c>
      <c r="AL3796">
        <v>69.458428658186804</v>
      </c>
      <c r="AM3796">
        <v>94.907317613588503</v>
      </c>
      <c r="AN3796">
        <v>1.0000000060258001</v>
      </c>
    </row>
    <row r="3797" spans="1:40" x14ac:dyDescent="0.25">
      <c r="A3797" t="str">
        <f>"20190304164719942"</f>
        <v>20190304164719942</v>
      </c>
      <c r="B3797" t="str">
        <f>"1551689239932628"</f>
        <v>1551689239932628</v>
      </c>
      <c r="C3797" t="s">
        <v>40</v>
      </c>
      <c r="D3797">
        <v>4.0753259999999996</v>
      </c>
      <c r="E3797">
        <v>0.58371059999999997</v>
      </c>
      <c r="F3797" t="s">
        <v>41</v>
      </c>
      <c r="G3797">
        <v>-255.54990000000001</v>
      </c>
      <c r="H3797">
        <v>1.024338</v>
      </c>
      <c r="I3797">
        <v>141.76089999999999</v>
      </c>
      <c r="J3797">
        <v>-254.9752</v>
      </c>
      <c r="K3797">
        <v>1.1105959999999999</v>
      </c>
      <c r="L3797">
        <v>141.67179999999999</v>
      </c>
      <c r="M3797">
        <v>-0.9998996</v>
      </c>
      <c r="N3797">
        <v>-9.1296550000000004E-3</v>
      </c>
      <c r="O3797">
        <v>-1.083569E-2</v>
      </c>
      <c r="P3797">
        <v>-0.93518849999999998</v>
      </c>
      <c r="Q3797">
        <v>0.3425859</v>
      </c>
      <c r="R3797">
        <v>-8.9764650000000001E-2</v>
      </c>
      <c r="S3797">
        <v>-3.341278</v>
      </c>
      <c r="T3797">
        <v>-0.29097709999999999</v>
      </c>
      <c r="U3797">
        <v>0.2841187</v>
      </c>
      <c r="V3797">
        <v>-8.0083210000000002E-2</v>
      </c>
      <c r="W3797">
        <v>0.35101399999999999</v>
      </c>
      <c r="X3797">
        <v>0.93293939999999997</v>
      </c>
      <c r="Y3797">
        <v>9.5091529999999994E-2</v>
      </c>
      <c r="Z3797">
        <v>5.4027779999999996E-3</v>
      </c>
      <c r="AA3797">
        <v>0.9954539</v>
      </c>
      <c r="AB3797">
        <v>39</v>
      </c>
      <c r="AC3797">
        <v>-0.57470000000000698</v>
      </c>
      <c r="AD3797">
        <v>-8.6257999999999904E-2</v>
      </c>
      <c r="AE3797">
        <v>8.91000000000019E-2</v>
      </c>
      <c r="AF3797">
        <v>9.3270452340492693E-2</v>
      </c>
      <c r="AG3797">
        <v>-8.6257999999999904E-2</v>
      </c>
      <c r="AH3797">
        <v>0.56135164094616996</v>
      </c>
      <c r="AI3797">
        <v>98.619455702573504</v>
      </c>
      <c r="AJ3797">
        <v>80.566296492571695</v>
      </c>
      <c r="AK3797">
        <v>0.57554798638928295</v>
      </c>
      <c r="AL3797">
        <v>69.450652356246096</v>
      </c>
      <c r="AM3797">
        <v>94.906223958884794</v>
      </c>
      <c r="AN3797">
        <v>1.0000000363961301</v>
      </c>
    </row>
    <row r="3798" spans="1:40" x14ac:dyDescent="0.25">
      <c r="A3798" t="str">
        <f>"20190304164719963"</f>
        <v>20190304164719963</v>
      </c>
      <c r="B3798" t="str">
        <f>"1551689239953123"</f>
        <v>1551689239953123</v>
      </c>
      <c r="C3798" t="s">
        <v>40</v>
      </c>
      <c r="D3798">
        <v>4.2388479999999999</v>
      </c>
      <c r="E3798">
        <v>0.58350930000000001</v>
      </c>
      <c r="F3798" t="s">
        <v>41</v>
      </c>
      <c r="G3798">
        <v>-255.90600000000001</v>
      </c>
      <c r="H3798">
        <v>1.0292319999999999</v>
      </c>
      <c r="I3798">
        <v>141.7517</v>
      </c>
      <c r="J3798">
        <v>-255.34970000000001</v>
      </c>
      <c r="K3798">
        <v>1.110552</v>
      </c>
      <c r="L3798">
        <v>141.66739999999999</v>
      </c>
      <c r="M3798">
        <v>-0.99989519999999998</v>
      </c>
      <c r="N3798">
        <v>-9.1320380000000003E-3</v>
      </c>
      <c r="O3798">
        <v>-1.1230499999999999E-2</v>
      </c>
      <c r="P3798">
        <v>-0.9353631</v>
      </c>
      <c r="Q3798">
        <v>0.3418773</v>
      </c>
      <c r="R3798">
        <v>-9.064063E-2</v>
      </c>
      <c r="S3798">
        <v>-3.342438</v>
      </c>
      <c r="T3798">
        <v>-0.292195599999999</v>
      </c>
      <c r="U3798">
        <v>0.28654479999999999</v>
      </c>
      <c r="V3798">
        <v>-8.0553189999999997E-2</v>
      </c>
      <c r="W3798">
        <v>0.35031659999999998</v>
      </c>
      <c r="X3798">
        <v>0.93316100000000002</v>
      </c>
      <c r="Y3798">
        <v>9.616384E-2</v>
      </c>
      <c r="Z3798">
        <v>5.5045270000000004E-3</v>
      </c>
      <c r="AA3798">
        <v>0.99535030000000002</v>
      </c>
      <c r="AB3798">
        <v>40</v>
      </c>
      <c r="AC3798">
        <v>-0.55629999999996405</v>
      </c>
      <c r="AD3798">
        <v>-8.1320000000000003E-2</v>
      </c>
      <c r="AE3798">
        <v>8.4300000000013101E-2</v>
      </c>
      <c r="AF3798">
        <v>8.8689834084610203E-2</v>
      </c>
      <c r="AG3798">
        <v>-8.1320000000000003E-2</v>
      </c>
      <c r="AH3798">
        <v>0.54395548763408597</v>
      </c>
      <c r="AI3798">
        <v>98.393383914190295</v>
      </c>
      <c r="AJ3798">
        <v>80.739630784342594</v>
      </c>
      <c r="AK3798">
        <v>0.55710537746210298</v>
      </c>
      <c r="AL3798">
        <v>69.493318875021203</v>
      </c>
      <c r="AM3798">
        <v>94.933708963782493</v>
      </c>
      <c r="AN3798">
        <v>0.99999999428786701</v>
      </c>
    </row>
    <row r="3799" spans="1:40" x14ac:dyDescent="0.25">
      <c r="A3799" t="str">
        <f>"20190304164719985"</f>
        <v>20190304164719985</v>
      </c>
      <c r="B3799" t="str">
        <f>"1551689239972647"</f>
        <v>1551689239972647</v>
      </c>
      <c r="C3799" t="s">
        <v>40</v>
      </c>
      <c r="D3799">
        <v>4.112825</v>
      </c>
      <c r="E3799">
        <v>0.53843909999999995</v>
      </c>
      <c r="F3799" t="s">
        <v>41</v>
      </c>
      <c r="G3799">
        <v>-256.26080000000002</v>
      </c>
      <c r="H3799">
        <v>1.030403</v>
      </c>
      <c r="I3799">
        <v>141.74469999999999</v>
      </c>
      <c r="J3799">
        <v>-255.7277</v>
      </c>
      <c r="K3799">
        <v>1.110506</v>
      </c>
      <c r="L3799">
        <v>141.66290000000001</v>
      </c>
      <c r="M3799">
        <v>-0.99989139999999999</v>
      </c>
      <c r="N3799">
        <v>-9.1352759999999995E-3</v>
      </c>
      <c r="O3799">
        <v>-1.1565249999999999E-2</v>
      </c>
      <c r="P3799">
        <v>-0.93537999999999999</v>
      </c>
      <c r="Q3799">
        <v>0.3417403</v>
      </c>
      <c r="R3799">
        <v>-9.0983380000000003E-2</v>
      </c>
      <c r="S3799">
        <v>-3.3421940000000001</v>
      </c>
      <c r="T3799">
        <v>-0.29404910000000001</v>
      </c>
      <c r="U3799">
        <v>0.2826843</v>
      </c>
      <c r="V3799">
        <v>-8.054161E-2</v>
      </c>
      <c r="W3799">
        <v>0.35019240000000001</v>
      </c>
      <c r="X3799">
        <v>0.93320860000000005</v>
      </c>
      <c r="Y3799">
        <v>9.5358709999999999E-2</v>
      </c>
      <c r="Z3799">
        <v>5.5252309999999898E-3</v>
      </c>
      <c r="AA3799">
        <v>0.99542770000000003</v>
      </c>
      <c r="AB3799">
        <v>40</v>
      </c>
      <c r="AC3799">
        <v>-0.533100000000018</v>
      </c>
      <c r="AD3799">
        <v>-8.0102999999999994E-2</v>
      </c>
      <c r="AE3799">
        <v>8.1799999999986994E-2</v>
      </c>
      <c r="AF3799">
        <v>8.6061836686714299E-2</v>
      </c>
      <c r="AG3799">
        <v>-8.0102999999999994E-2</v>
      </c>
      <c r="AH3799">
        <v>0.52063392916365403</v>
      </c>
      <c r="AI3799">
        <v>98.631419147309302</v>
      </c>
      <c r="AJ3799">
        <v>80.613770251224594</v>
      </c>
      <c r="AK3799">
        <v>0.53374415082441395</v>
      </c>
      <c r="AL3799">
        <v>69.500915955224599</v>
      </c>
      <c r="AM3799">
        <v>94.932752838538406</v>
      </c>
      <c r="AN3799">
        <v>0.99999997953655495</v>
      </c>
    </row>
    <row r="3800" spans="1:40" x14ac:dyDescent="0.25">
      <c r="A3800" t="str">
        <f>"20190304164720008"</f>
        <v>20190304164720008</v>
      </c>
      <c r="B3800" t="str">
        <f>"1551689240002899"</f>
        <v>1551689240002899</v>
      </c>
      <c r="C3800" t="s">
        <v>40</v>
      </c>
      <c r="D3800">
        <v>4.0323510000000002</v>
      </c>
      <c r="E3800">
        <v>0.53387419999999997</v>
      </c>
      <c r="F3800" t="s">
        <v>42</v>
      </c>
      <c r="G3800">
        <v>-272.31389999999999</v>
      </c>
      <c r="H3800" s="1">
        <v>-3.7279700000000002E-6</v>
      </c>
      <c r="I3800">
        <v>141.30119999999999</v>
      </c>
      <c r="J3800">
        <v>-256.1542</v>
      </c>
      <c r="K3800">
        <v>1.1104449999999999</v>
      </c>
      <c r="L3800">
        <v>141.65770000000001</v>
      </c>
      <c r="M3800">
        <v>-0.999888</v>
      </c>
      <c r="N3800">
        <v>-9.1397890000000006E-3</v>
      </c>
      <c r="O3800">
        <v>-1.1862030000000001E-2</v>
      </c>
      <c r="P3800">
        <v>-0.93516710000000003</v>
      </c>
      <c r="Q3800">
        <v>0.34224769999999999</v>
      </c>
      <c r="R3800">
        <v>-9.1265319999999997E-2</v>
      </c>
      <c r="S3800">
        <v>-3.2805789999999999</v>
      </c>
      <c r="T3800">
        <v>-0.21964800000000001</v>
      </c>
      <c r="U3800">
        <v>-7.1517940000000002E-2</v>
      </c>
      <c r="V3800">
        <v>-8.0494979999999994E-2</v>
      </c>
      <c r="W3800">
        <v>0.3507149</v>
      </c>
      <c r="X3800">
        <v>0.93301639999999997</v>
      </c>
      <c r="Y3800">
        <v>-9.9285160000000001E-3</v>
      </c>
      <c r="Z3800">
        <v>3.0748050000000001E-4</v>
      </c>
      <c r="AA3800">
        <v>0.99995060000000002</v>
      </c>
      <c r="AB3800">
        <v>40</v>
      </c>
      <c r="AC3800">
        <v>-16.159699999999901</v>
      </c>
      <c r="AD3800">
        <v>-1.1104487279699999</v>
      </c>
      <c r="AE3800">
        <v>-0.35650000000001097</v>
      </c>
      <c r="AF3800">
        <v>-0.164006019738347</v>
      </c>
      <c r="AG3800">
        <v>-1.1104487279699999</v>
      </c>
      <c r="AH3800">
        <v>16.0868659503933</v>
      </c>
      <c r="AI3800">
        <v>93.948560827432203</v>
      </c>
      <c r="AJ3800">
        <v>90.584111736239507</v>
      </c>
      <c r="AK3800">
        <v>16.125980604536402</v>
      </c>
      <c r="AL3800">
        <v>69.468952025289099</v>
      </c>
      <c r="AM3800">
        <v>94.930921621081296</v>
      </c>
      <c r="AN3800">
        <v>0.99999999277808505</v>
      </c>
    </row>
    <row r="3801" spans="1:40" x14ac:dyDescent="0.25">
      <c r="A3801" t="str">
        <f>"20190304164720030"</f>
        <v>20190304164720030</v>
      </c>
      <c r="B3801" t="str">
        <f>"1551689240022420"</f>
        <v>1551689240022420</v>
      </c>
      <c r="C3801" t="s">
        <v>40</v>
      </c>
      <c r="D3801">
        <v>4.0305400000000002</v>
      </c>
      <c r="E3801">
        <v>0.533219</v>
      </c>
      <c r="F3801" t="s">
        <v>42</v>
      </c>
      <c r="G3801">
        <v>-273.4778</v>
      </c>
      <c r="H3801" s="1">
        <v>-3.1670840000000001E-6</v>
      </c>
      <c r="I3801">
        <v>141.06979999999999</v>
      </c>
      <c r="J3801">
        <v>-256.5487</v>
      </c>
      <c r="K3801">
        <v>1.1103780000000001</v>
      </c>
      <c r="L3801">
        <v>141.65289999999999</v>
      </c>
      <c r="M3801">
        <v>-0.99988540000000004</v>
      </c>
      <c r="N3801">
        <v>-9.1474109999999994E-3</v>
      </c>
      <c r="O3801">
        <v>-1.205905E-2</v>
      </c>
      <c r="P3801">
        <v>-0.93505159999999998</v>
      </c>
      <c r="Q3801">
        <v>0.3425512</v>
      </c>
      <c r="R3801">
        <v>-9.1307050000000001E-2</v>
      </c>
      <c r="S3801">
        <v>-3.2739259999999999</v>
      </c>
      <c r="T3801">
        <v>-0.20985960000000001</v>
      </c>
      <c r="U3801">
        <v>-0.1110992</v>
      </c>
      <c r="V3801">
        <v>-8.0298679999999997E-2</v>
      </c>
      <c r="W3801">
        <v>0.35103679999999998</v>
      </c>
      <c r="X3801">
        <v>0.93291219999999997</v>
      </c>
      <c r="Y3801">
        <v>-2.1826979999999999E-2</v>
      </c>
      <c r="Z3801">
        <v>-1.3688700000000001E-4</v>
      </c>
      <c r="AA3801">
        <v>0.99976180000000003</v>
      </c>
      <c r="AB3801">
        <v>40</v>
      </c>
      <c r="AC3801">
        <v>-16.929099999999998</v>
      </c>
      <c r="AD3801">
        <v>-1.110381167084</v>
      </c>
      <c r="AE3801">
        <v>-0.58310000000000095</v>
      </c>
      <c r="AF3801">
        <v>-0.37727902959578502</v>
      </c>
      <c r="AG3801">
        <v>-1.110381167084</v>
      </c>
      <c r="AH3801">
        <v>16.8624435796992</v>
      </c>
      <c r="AI3801">
        <v>93.766511552926005</v>
      </c>
      <c r="AJ3801">
        <v>91.281717567034605</v>
      </c>
      <c r="AK3801">
        <v>16.903173941036201</v>
      </c>
      <c r="AL3801">
        <v>69.449255227811804</v>
      </c>
      <c r="AM3801">
        <v>94.919502562050496</v>
      </c>
      <c r="AN3801">
        <v>0.99999994293640904</v>
      </c>
    </row>
    <row r="3802" spans="1:40" x14ac:dyDescent="0.25">
      <c r="A3802" t="str">
        <f>"20190304164720054"</f>
        <v>20190304164720054</v>
      </c>
      <c r="B3802" t="str">
        <f>"1551689240042360"</f>
        <v>1551689240042360</v>
      </c>
      <c r="C3802" t="s">
        <v>40</v>
      </c>
      <c r="D3802">
        <v>3.9606690000000002</v>
      </c>
      <c r="E3802">
        <v>0.53305769999999997</v>
      </c>
      <c r="F3802" t="s">
        <v>42</v>
      </c>
      <c r="G3802">
        <v>-274.30169999999998</v>
      </c>
      <c r="H3802" s="1">
        <v>-2.7992560000000001E-6</v>
      </c>
      <c r="I3802">
        <v>141.01580000000001</v>
      </c>
      <c r="J3802">
        <v>-256.94659999999999</v>
      </c>
      <c r="K3802">
        <v>1.1103130000000001</v>
      </c>
      <c r="L3802">
        <v>141.648</v>
      </c>
      <c r="M3802">
        <v>-0.99988370000000004</v>
      </c>
      <c r="N3802">
        <v>-9.1626810000000006E-3</v>
      </c>
      <c r="O3802">
        <v>-1.2194740000000001E-2</v>
      </c>
      <c r="P3802">
        <v>-0.93492569999999997</v>
      </c>
      <c r="Q3802">
        <v>0.3427925</v>
      </c>
      <c r="R3802">
        <v>-9.1692079999999995E-2</v>
      </c>
      <c r="S3802">
        <v>-3.271881</v>
      </c>
      <c r="T3802">
        <v>-0.2046434</v>
      </c>
      <c r="U3802">
        <v>-0.11740109999999999</v>
      </c>
      <c r="V3802">
        <v>-8.0504019999999996E-2</v>
      </c>
      <c r="W3802">
        <v>0.3513038</v>
      </c>
      <c r="X3802">
        <v>0.93279400000000001</v>
      </c>
      <c r="Y3802">
        <v>-2.3633129999999999E-2</v>
      </c>
      <c r="Z3802">
        <v>-1.9648079999999999E-4</v>
      </c>
      <c r="AA3802">
        <v>0.99972070000000002</v>
      </c>
      <c r="AB3802">
        <v>40</v>
      </c>
      <c r="AC3802">
        <v>-17.355099999999901</v>
      </c>
      <c r="AD3802">
        <v>-1.110315799256</v>
      </c>
      <c r="AE3802">
        <v>-0.632199999999983</v>
      </c>
      <c r="AF3802">
        <v>-0.41879134829692899</v>
      </c>
      <c r="AG3802">
        <v>-1.110315799256</v>
      </c>
      <c r="AH3802">
        <v>17.290842077221502</v>
      </c>
      <c r="AI3802">
        <v>93.673077928624593</v>
      </c>
      <c r="AJ3802">
        <v>91.387456218292201</v>
      </c>
      <c r="AK3802">
        <v>17.331514853205899</v>
      </c>
      <c r="AL3802">
        <v>69.432916867754102</v>
      </c>
      <c r="AM3802">
        <v>94.932642636785801</v>
      </c>
      <c r="AN3802">
        <v>0.99999995178329903</v>
      </c>
    </row>
    <row r="3803" spans="1:40" x14ac:dyDescent="0.25">
      <c r="A3803" t="str">
        <f>"20190304164720076"</f>
        <v>20190304164720076</v>
      </c>
      <c r="B3803" t="str">
        <f>"1551689240072616"</f>
        <v>1551689240072616</v>
      </c>
      <c r="C3803" t="s">
        <v>40</v>
      </c>
      <c r="D3803">
        <v>3.9828109999999999</v>
      </c>
      <c r="E3803">
        <v>0.53306929999999997</v>
      </c>
      <c r="F3803" t="s">
        <v>42</v>
      </c>
      <c r="G3803">
        <v>-274.85980000000001</v>
      </c>
      <c r="H3803" s="1">
        <v>-2.5538500000000001E-6</v>
      </c>
      <c r="I3803">
        <v>140.9933</v>
      </c>
      <c r="J3803">
        <v>-257.33539999999999</v>
      </c>
      <c r="K3803">
        <v>1.1102609999999999</v>
      </c>
      <c r="L3803">
        <v>141.64320000000001</v>
      </c>
      <c r="M3803">
        <v>-0.99988250000000001</v>
      </c>
      <c r="N3803">
        <v>-9.1837749999999999E-3</v>
      </c>
      <c r="O3803">
        <v>-1.2277659999999999E-2</v>
      </c>
      <c r="P3803">
        <v>-0.93488530000000003</v>
      </c>
      <c r="Q3803">
        <v>0.34285520000000003</v>
      </c>
      <c r="R3803">
        <v>-9.1869160000000005E-2</v>
      </c>
      <c r="S3803">
        <v>-3.2713930000000002</v>
      </c>
      <c r="T3803">
        <v>-0.2027708</v>
      </c>
      <c r="U3803">
        <v>-0.11955259999999999</v>
      </c>
      <c r="V3803">
        <v>-8.0558870000000005E-2</v>
      </c>
      <c r="W3803">
        <v>0.35139619999999999</v>
      </c>
      <c r="X3803">
        <v>0.93275450000000004</v>
      </c>
      <c r="Y3803">
        <v>-2.421152E-2</v>
      </c>
      <c r="Z3803">
        <v>-2.133909E-4</v>
      </c>
      <c r="AA3803">
        <v>0.99970689999999995</v>
      </c>
      <c r="AB3803">
        <v>40</v>
      </c>
      <c r="AC3803">
        <v>-17.5244</v>
      </c>
      <c r="AD3803">
        <v>-1.1102635538500001</v>
      </c>
      <c r="AE3803">
        <v>-0.64990000000000203</v>
      </c>
      <c r="AF3803">
        <v>-0.43294790221192703</v>
      </c>
      <c r="AG3803">
        <v>-1.1102635538500001</v>
      </c>
      <c r="AH3803">
        <v>17.461067995758199</v>
      </c>
      <c r="AI3803">
        <v>93.637144375195604</v>
      </c>
      <c r="AJ3803">
        <v>91.420360191082494</v>
      </c>
      <c r="AK3803">
        <v>17.5016863358229</v>
      </c>
      <c r="AL3803">
        <v>69.427263023102697</v>
      </c>
      <c r="AM3803">
        <v>94.936194802980793</v>
      </c>
      <c r="AN3803">
        <v>0.99999998909018295</v>
      </c>
    </row>
    <row r="3804" spans="1:40" x14ac:dyDescent="0.25">
      <c r="A3804" t="str">
        <f>"20190304164720098"</f>
        <v>20190304164720098</v>
      </c>
      <c r="B3804" t="str">
        <f>"1551689240093112"</f>
        <v>1551689240093112</v>
      </c>
      <c r="C3804" t="s">
        <v>40</v>
      </c>
      <c r="D3804">
        <v>3.9685350000000001</v>
      </c>
      <c r="E3804">
        <v>0.53306419999999999</v>
      </c>
      <c r="F3804" t="s">
        <v>42</v>
      </c>
      <c r="G3804">
        <v>-275.22660000000002</v>
      </c>
      <c r="H3804" s="1">
        <v>-2.3951990000000001E-6</v>
      </c>
      <c r="I3804">
        <v>140.98840000000001</v>
      </c>
      <c r="J3804">
        <v>-257.74329999999998</v>
      </c>
      <c r="K3804">
        <v>1.1102099999999999</v>
      </c>
      <c r="L3804">
        <v>141.63810000000001</v>
      </c>
      <c r="M3804">
        <v>-0.99988189999999999</v>
      </c>
      <c r="N3804">
        <v>-9.2079789999999998E-3</v>
      </c>
      <c r="O3804">
        <v>-1.2319780000000001E-2</v>
      </c>
      <c r="P3804">
        <v>-0.93498170000000003</v>
      </c>
      <c r="Q3804">
        <v>0.34259519999999999</v>
      </c>
      <c r="R3804">
        <v>-9.1859670000000004E-2</v>
      </c>
      <c r="S3804">
        <v>-3.2716370000000001</v>
      </c>
      <c r="T3804">
        <v>-0.20302680000000001</v>
      </c>
      <c r="U3804">
        <v>-0.11972049999999999</v>
      </c>
      <c r="V3804">
        <v>-8.0468360000000003E-2</v>
      </c>
      <c r="W3804">
        <v>0.351168599999999</v>
      </c>
      <c r="X3804">
        <v>0.93284800000000001</v>
      </c>
      <c r="Y3804">
        <v>-2.4217849999999999E-2</v>
      </c>
      <c r="Z3804">
        <v>-2.119717E-4</v>
      </c>
      <c r="AA3804">
        <v>0.99970669999999995</v>
      </c>
      <c r="AB3804">
        <v>40</v>
      </c>
      <c r="AC3804">
        <v>-17.4833</v>
      </c>
      <c r="AD3804">
        <v>-1.1102123951989999</v>
      </c>
      <c r="AE3804">
        <v>-0.64969999999999495</v>
      </c>
      <c r="AF3804">
        <v>-0.43250953530513803</v>
      </c>
      <c r="AG3804">
        <v>-1.1102123951989999</v>
      </c>
      <c r="AH3804">
        <v>17.419830423145999</v>
      </c>
      <c r="AI3804">
        <v>93.645560753254401</v>
      </c>
      <c r="AJ3804">
        <v>91.422280246703906</v>
      </c>
      <c r="AK3804">
        <v>17.460530577039901</v>
      </c>
      <c r="AL3804">
        <v>69.441190713086598</v>
      </c>
      <c r="AM3804">
        <v>94.930184445655698</v>
      </c>
      <c r="AN3804">
        <v>0.99999996684552395</v>
      </c>
    </row>
    <row r="3805" spans="1:40" x14ac:dyDescent="0.25">
      <c r="A3805" t="str">
        <f>"20190304164720120"</f>
        <v>20190304164720120</v>
      </c>
      <c r="B3805" t="str">
        <f>"1551689240112632"</f>
        <v>1551689240112632</v>
      </c>
      <c r="C3805" t="s">
        <v>40</v>
      </c>
      <c r="D3805">
        <v>4.5747559999999998</v>
      </c>
      <c r="E3805">
        <v>0.53327749999999996</v>
      </c>
      <c r="F3805" t="s">
        <v>42</v>
      </c>
      <c r="G3805">
        <v>-275.51459999999997</v>
      </c>
      <c r="H3805" s="1">
        <v>-2.2707480000000002E-6</v>
      </c>
      <c r="I3805">
        <v>140.98490000000001</v>
      </c>
      <c r="J3805">
        <v>-258.13990000000001</v>
      </c>
      <c r="K3805">
        <v>1.1101780000000001</v>
      </c>
      <c r="L3805">
        <v>141.63319999999999</v>
      </c>
      <c r="M3805">
        <v>-0.99988140000000003</v>
      </c>
      <c r="N3805">
        <v>-9.2314210000000001E-3</v>
      </c>
      <c r="O3805">
        <v>-1.232778E-2</v>
      </c>
      <c r="P3805">
        <v>-0.93498519999999896</v>
      </c>
      <c r="Q3805">
        <v>0.34259460000000003</v>
      </c>
      <c r="R3805">
        <v>-9.1823349999999998E-2</v>
      </c>
      <c r="S3805">
        <v>-3.2716980000000002</v>
      </c>
      <c r="T3805">
        <v>-0.20439080000000001</v>
      </c>
      <c r="U3805">
        <v>-0.12023929999999999</v>
      </c>
      <c r="V3805">
        <v>-8.0391799999999999E-2</v>
      </c>
      <c r="W3805">
        <v>0.35119800000000001</v>
      </c>
      <c r="X3805">
        <v>0.9328436</v>
      </c>
      <c r="Y3805">
        <v>-2.4366720000000001E-2</v>
      </c>
      <c r="Z3805">
        <v>-2.173647E-4</v>
      </c>
      <c r="AA3805">
        <v>0.99970300000000001</v>
      </c>
      <c r="AB3805">
        <v>40</v>
      </c>
      <c r="AC3805">
        <v>-17.374699999999901</v>
      </c>
      <c r="AD3805">
        <v>-1.110180270748</v>
      </c>
      <c r="AE3805">
        <v>-0.64829999999997701</v>
      </c>
      <c r="AF3805">
        <v>-0.43228765894639598</v>
      </c>
      <c r="AG3805">
        <v>-1.110180270748</v>
      </c>
      <c r="AH3805">
        <v>17.310794705275701</v>
      </c>
      <c r="AI3805">
        <v>93.668341655204003</v>
      </c>
      <c r="AJ3805">
        <v>91.430501151402595</v>
      </c>
      <c r="AK3805">
        <v>17.351743030077301</v>
      </c>
      <c r="AL3805">
        <v>69.439392971522594</v>
      </c>
      <c r="AM3805">
        <v>94.925539926322998</v>
      </c>
      <c r="AN3805">
        <v>1.00000002938609</v>
      </c>
    </row>
    <row r="3806" spans="1:40" x14ac:dyDescent="0.25">
      <c r="A3806" t="str">
        <f>"20190304164720142"</f>
        <v>20190304164720142</v>
      </c>
      <c r="B3806" t="str">
        <f>"1551689240132626"</f>
        <v>1551689240132626</v>
      </c>
      <c r="C3806" t="s">
        <v>40</v>
      </c>
      <c r="D3806">
        <v>3.9928340000000002</v>
      </c>
      <c r="E3806">
        <v>0.53338540000000001</v>
      </c>
      <c r="F3806" t="s">
        <v>42</v>
      </c>
      <c r="G3806">
        <v>-275.86349999999999</v>
      </c>
      <c r="H3806" s="1">
        <v>-2.1213720000000002E-6</v>
      </c>
      <c r="I3806">
        <v>140.98609999999999</v>
      </c>
      <c r="J3806">
        <v>-258.53109999999998</v>
      </c>
      <c r="K3806">
        <v>1.110142</v>
      </c>
      <c r="L3806">
        <v>141.6284</v>
      </c>
      <c r="M3806">
        <v>-0.99988140000000003</v>
      </c>
      <c r="N3806">
        <v>-9.2538350000000002E-3</v>
      </c>
      <c r="O3806">
        <v>-1.230817E-2</v>
      </c>
      <c r="P3806">
        <v>-0.93497629999999998</v>
      </c>
      <c r="Q3806">
        <v>0.34260370000000001</v>
      </c>
      <c r="R3806">
        <v>-9.1880069999999994E-2</v>
      </c>
      <c r="S3806">
        <v>-3.271973</v>
      </c>
      <c r="T3806">
        <v>-0.20495150000000001</v>
      </c>
      <c r="U3806">
        <v>-0.1194458</v>
      </c>
      <c r="V3806">
        <v>-8.0436889999999997E-2</v>
      </c>
      <c r="W3806">
        <v>0.35123459999999901</v>
      </c>
      <c r="X3806">
        <v>0.93282589999999999</v>
      </c>
      <c r="Y3806">
        <v>-2.414142E-2</v>
      </c>
      <c r="Z3806">
        <v>-2.1084430000000001E-4</v>
      </c>
      <c r="AA3806">
        <v>0.9997085</v>
      </c>
      <c r="AB3806">
        <v>40</v>
      </c>
      <c r="AC3806">
        <v>-17.3324</v>
      </c>
      <c r="AD3806">
        <v>-1.110144121372</v>
      </c>
      <c r="AE3806">
        <v>-0.64230000000000498</v>
      </c>
      <c r="AF3806">
        <v>-0.42716207584272198</v>
      </c>
      <c r="AG3806">
        <v>-1.110144121372</v>
      </c>
      <c r="AH3806">
        <v>17.268248211884799</v>
      </c>
      <c r="AI3806">
        <v>93.677257174252006</v>
      </c>
      <c r="AJ3806">
        <v>91.417028151912305</v>
      </c>
      <c r="AK3806">
        <v>17.309167620556401</v>
      </c>
      <c r="AL3806">
        <v>69.437152602560204</v>
      </c>
      <c r="AM3806">
        <v>94.928382003174406</v>
      </c>
      <c r="AN3806">
        <v>0.99999999861042099</v>
      </c>
    </row>
    <row r="3807" spans="1:40" x14ac:dyDescent="0.25">
      <c r="A3807" t="str">
        <f>"20190304164720163"</f>
        <v>20190304164720163</v>
      </c>
      <c r="B3807" t="str">
        <f>"1551689240153119"</f>
        <v>1551689240153119</v>
      </c>
      <c r="C3807" t="s">
        <v>40</v>
      </c>
      <c r="D3807">
        <v>4.064457</v>
      </c>
      <c r="E3807">
        <v>0.53324649999999996</v>
      </c>
      <c r="F3807" t="s">
        <v>42</v>
      </c>
      <c r="G3807">
        <v>-276.17360000000002</v>
      </c>
      <c r="H3807" s="1">
        <v>-1.9868569999999999E-6</v>
      </c>
      <c r="I3807">
        <v>140.98060000000001</v>
      </c>
      <c r="J3807">
        <v>-258.91820000000001</v>
      </c>
      <c r="K3807">
        <v>1.1101080000000001</v>
      </c>
      <c r="L3807">
        <v>141.62360000000001</v>
      </c>
      <c r="M3807">
        <v>-0.99988169999999998</v>
      </c>
      <c r="N3807">
        <v>-9.2749180000000001E-3</v>
      </c>
      <c r="O3807">
        <v>-1.226641E-2</v>
      </c>
      <c r="P3807">
        <v>-0.93496820000000003</v>
      </c>
      <c r="Q3807">
        <v>0.34249000000000002</v>
      </c>
      <c r="R3807">
        <v>-9.2388029999999996E-2</v>
      </c>
      <c r="S3807">
        <v>-3.272278</v>
      </c>
      <c r="T3807">
        <v>-0.20590629999999999</v>
      </c>
      <c r="U3807">
        <v>-0.1201324</v>
      </c>
      <c r="V3807">
        <v>-8.095571E-2</v>
      </c>
      <c r="W3807">
        <v>0.35114669999999998</v>
      </c>
      <c r="X3807">
        <v>0.93281409999999998</v>
      </c>
      <c r="Y3807">
        <v>-2.4388340000000001E-2</v>
      </c>
      <c r="Z3807">
        <v>-2.2243370000000001E-4</v>
      </c>
      <c r="AA3807">
        <v>0.99970250000000005</v>
      </c>
      <c r="AB3807">
        <v>40</v>
      </c>
      <c r="AC3807">
        <v>-17.255400000000002</v>
      </c>
      <c r="AD3807">
        <v>-1.1101099868569999</v>
      </c>
      <c r="AE3807">
        <v>-0.64300000000000002</v>
      </c>
      <c r="AF3807">
        <v>-0.42950549051522202</v>
      </c>
      <c r="AG3807">
        <v>-1.1101099868569999</v>
      </c>
      <c r="AH3807">
        <v>17.190936896467999</v>
      </c>
      <c r="AI3807">
        <v>93.693612988113202</v>
      </c>
      <c r="AJ3807">
        <v>91.4312037497197</v>
      </c>
      <c r="AK3807">
        <v>17.232095941226898</v>
      </c>
      <c r="AL3807">
        <v>69.442531300492305</v>
      </c>
      <c r="AM3807">
        <v>94.960074549702199</v>
      </c>
      <c r="AN3807">
        <v>0.99999998853065097</v>
      </c>
    </row>
    <row r="3808" spans="1:40" x14ac:dyDescent="0.25">
      <c r="A3808" t="str">
        <f>"20190304164720186"</f>
        <v>20190304164720186</v>
      </c>
      <c r="B3808" t="str">
        <f>"1551689240182400"</f>
        <v>1551689240182400</v>
      </c>
      <c r="C3808" t="s">
        <v>40</v>
      </c>
      <c r="D3808">
        <v>4.1652079999999998</v>
      </c>
      <c r="E3808">
        <v>0.53201039999999999</v>
      </c>
      <c r="F3808" t="s">
        <v>42</v>
      </c>
      <c r="G3808">
        <v>-276.75439999999998</v>
      </c>
      <c r="H3808" s="1">
        <v>-1.7291699999999999E-6</v>
      </c>
      <c r="I3808">
        <v>140.9485</v>
      </c>
      <c r="J3808">
        <v>-259.31869999999998</v>
      </c>
      <c r="K3808">
        <v>1.110079</v>
      </c>
      <c r="L3808">
        <v>141.61879999999999</v>
      </c>
      <c r="M3808">
        <v>-0.9998823</v>
      </c>
      <c r="N3808">
        <v>-9.2957979999999992E-3</v>
      </c>
      <c r="O3808">
        <v>-1.2204980000000001E-2</v>
      </c>
      <c r="P3808">
        <v>-0.93481479999999995</v>
      </c>
      <c r="Q3808">
        <v>0.34268130000000002</v>
      </c>
      <c r="R3808">
        <v>-9.3227439999999995E-2</v>
      </c>
      <c r="S3808">
        <v>-3.2709959999999998</v>
      </c>
      <c r="T3808">
        <v>-0.20358470000000001</v>
      </c>
      <c r="U3808">
        <v>-0.1238098</v>
      </c>
      <c r="V3808">
        <v>-8.1826170000000004E-2</v>
      </c>
      <c r="W3808">
        <v>0.35136269999999997</v>
      </c>
      <c r="X3808">
        <v>0.93265679999999995</v>
      </c>
      <c r="Y3808">
        <v>-2.5584349999999999E-2</v>
      </c>
      <c r="Z3808">
        <v>-2.6897919999999999E-4</v>
      </c>
      <c r="AA3808">
        <v>0.99967269999999997</v>
      </c>
      <c r="AB3808">
        <v>40</v>
      </c>
      <c r="AC3808">
        <v>-17.435699999999901</v>
      </c>
      <c r="AD3808">
        <v>-1.1100807291699999</v>
      </c>
      <c r="AE3808">
        <v>-0.67029999999999701</v>
      </c>
      <c r="AF3808">
        <v>-0.45559447573721401</v>
      </c>
      <c r="AG3808">
        <v>-1.1100807291699999</v>
      </c>
      <c r="AH3808">
        <v>17.372267971735301</v>
      </c>
      <c r="AI3808">
        <v>93.654952441960901</v>
      </c>
      <c r="AJ3808">
        <v>91.502259733598905</v>
      </c>
      <c r="AK3808">
        <v>17.413659581873599</v>
      </c>
      <c r="AL3808">
        <v>69.429313135344998</v>
      </c>
      <c r="AM3808">
        <v>95.013977610497605</v>
      </c>
      <c r="AN3808">
        <v>0.99999998781719901</v>
      </c>
    </row>
    <row r="3809" spans="1:40" x14ac:dyDescent="0.25">
      <c r="A3809" t="str">
        <f>"20190304164720208"</f>
        <v>20190304164720208</v>
      </c>
      <c r="B3809" t="str">
        <f>"1551689240202895"</f>
        <v>1551689240202895</v>
      </c>
      <c r="C3809" t="s">
        <v>40</v>
      </c>
      <c r="D3809">
        <v>4.0589230000000001</v>
      </c>
      <c r="E3809">
        <v>0.53131980000000001</v>
      </c>
      <c r="F3809" t="s">
        <v>42</v>
      </c>
      <c r="G3809">
        <v>-277.4169</v>
      </c>
      <c r="H3809" s="1">
        <v>-1.42087E-6</v>
      </c>
      <c r="I3809">
        <v>140.8579</v>
      </c>
      <c r="J3809">
        <v>-259.72609999999997</v>
      </c>
      <c r="K3809">
        <v>1.1100570000000001</v>
      </c>
      <c r="L3809">
        <v>141.6138</v>
      </c>
      <c r="M3809">
        <v>-0.99988310000000002</v>
      </c>
      <c r="N3809">
        <v>-9.3161389999999993E-3</v>
      </c>
      <c r="O3809">
        <v>-1.2127229999999999E-2</v>
      </c>
      <c r="P3809">
        <v>-0.9345734</v>
      </c>
      <c r="Q3809">
        <v>0.34331630000000002</v>
      </c>
      <c r="R3809">
        <v>-9.3309829999999996E-2</v>
      </c>
      <c r="S3809">
        <v>-3.2689819999999998</v>
      </c>
      <c r="T3809">
        <v>-0.20050870000000001</v>
      </c>
      <c r="U3809">
        <v>-0.13742070000000001</v>
      </c>
      <c r="V3809">
        <v>-8.1957959999999996E-2</v>
      </c>
      <c r="W3809">
        <v>0.35202020000000001</v>
      </c>
      <c r="X3809">
        <v>0.93239720000000004</v>
      </c>
      <c r="Y3809">
        <v>-2.983239E-2</v>
      </c>
      <c r="Z3809">
        <v>-4.2291749999999998E-4</v>
      </c>
      <c r="AA3809">
        <v>0.99955479999999997</v>
      </c>
      <c r="AB3809">
        <v>40</v>
      </c>
      <c r="AC3809">
        <v>-17.690799999999999</v>
      </c>
      <c r="AD3809">
        <v>-1.11005842087</v>
      </c>
      <c r="AE3809">
        <v>-0.75589999999999602</v>
      </c>
      <c r="AF3809">
        <v>-0.53917568594827503</v>
      </c>
      <c r="AG3809">
        <v>-1.11005842087</v>
      </c>
      <c r="AH3809">
        <v>17.629380938226799</v>
      </c>
      <c r="AI3809">
        <v>93.601272179692003</v>
      </c>
      <c r="AJ3809">
        <v>91.7517838371094</v>
      </c>
      <c r="AK3809">
        <v>17.672521392918998</v>
      </c>
      <c r="AL3809">
        <v>69.389069112810304</v>
      </c>
      <c r="AM3809">
        <v>95.023402991203298</v>
      </c>
      <c r="AN3809">
        <v>0.99999993349161798</v>
      </c>
    </row>
    <row r="3810" spans="1:40" x14ac:dyDescent="0.25">
      <c r="A3810" t="str">
        <f>"20190304164720231"</f>
        <v>20190304164720231</v>
      </c>
      <c r="B3810" t="str">
        <f>"1551689240222419"</f>
        <v>1551689240222419</v>
      </c>
      <c r="C3810" t="s">
        <v>40</v>
      </c>
      <c r="D3810">
        <v>4.0682769999999904</v>
      </c>
      <c r="E3810">
        <v>0.53072459999999999</v>
      </c>
      <c r="F3810" t="s">
        <v>42</v>
      </c>
      <c r="G3810">
        <v>-278.11750000000001</v>
      </c>
      <c r="H3810" s="1">
        <v>-1.107424E-6</v>
      </c>
      <c r="I3810">
        <v>140.80940000000001</v>
      </c>
      <c r="J3810">
        <v>-260.13049999999998</v>
      </c>
      <c r="K3810">
        <v>1.1100300000000001</v>
      </c>
      <c r="L3810">
        <v>141.60900000000001</v>
      </c>
      <c r="M3810">
        <v>-0.99988390000000005</v>
      </c>
      <c r="N3810">
        <v>-9.3352850000000005E-3</v>
      </c>
      <c r="O3810">
        <v>-1.2038449999999999E-2</v>
      </c>
      <c r="P3810">
        <v>-0.93418069999999997</v>
      </c>
      <c r="Q3810">
        <v>0.3444778</v>
      </c>
      <c r="R3810">
        <v>-9.2957700000000004E-2</v>
      </c>
      <c r="S3810">
        <v>-3.2682190000000002</v>
      </c>
      <c r="T3810">
        <v>-0.19726170000000001</v>
      </c>
      <c r="U3810">
        <v>-0.1429291</v>
      </c>
      <c r="V3810">
        <v>-8.1670580000000007E-2</v>
      </c>
      <c r="W3810">
        <v>0.3532014</v>
      </c>
      <c r="X3810">
        <v>0.93197569999999996</v>
      </c>
      <c r="Y3810">
        <v>-3.160992E-2</v>
      </c>
      <c r="Z3810">
        <v>-4.871098E-4</v>
      </c>
      <c r="AA3810">
        <v>0.99950019999999995</v>
      </c>
      <c r="AB3810">
        <v>40</v>
      </c>
      <c r="AC3810">
        <v>-17.986999999999998</v>
      </c>
      <c r="AD3810">
        <v>-1.1100311074239999</v>
      </c>
      <c r="AE3810">
        <v>-0.79959999999999798</v>
      </c>
      <c r="AF3810">
        <v>-0.58078943541696804</v>
      </c>
      <c r="AG3810">
        <v>-1.1100311074239999</v>
      </c>
      <c r="AH3810">
        <v>17.927181991258099</v>
      </c>
      <c r="AI3810">
        <v>93.541314038198493</v>
      </c>
      <c r="AJ3810">
        <v>91.855570419300903</v>
      </c>
      <c r="AK3810">
        <v>17.9709025809899</v>
      </c>
      <c r="AL3810">
        <v>69.316747652482604</v>
      </c>
      <c r="AM3810">
        <v>95.008130899801401</v>
      </c>
      <c r="AN3810">
        <v>1.0000000089949901</v>
      </c>
    </row>
    <row r="3811" spans="1:40" x14ac:dyDescent="0.25">
      <c r="A3811" t="str">
        <f>"20190304164720252"</f>
        <v>20190304164720252</v>
      </c>
      <c r="B3811" t="str">
        <f>"1551689240242445"</f>
        <v>1551689240242445</v>
      </c>
      <c r="C3811" t="s">
        <v>40</v>
      </c>
      <c r="D3811">
        <v>4.0656319999999999</v>
      </c>
      <c r="E3811">
        <v>0.53020639999999997</v>
      </c>
      <c r="F3811" t="s">
        <v>42</v>
      </c>
      <c r="G3811">
        <v>-278.99439999999998</v>
      </c>
      <c r="H3811" s="1">
        <v>-7.1873219999999896E-7</v>
      </c>
      <c r="I3811">
        <v>140.76240000000001</v>
      </c>
      <c r="J3811">
        <v>-260.51530000000002</v>
      </c>
      <c r="K3811">
        <v>1.11002</v>
      </c>
      <c r="L3811">
        <v>141.6044</v>
      </c>
      <c r="M3811">
        <v>-0.99988500000000002</v>
      </c>
      <c r="N3811">
        <v>-9.3523900000000004E-3</v>
      </c>
      <c r="O3811">
        <v>-1.194567E-2</v>
      </c>
      <c r="P3811">
        <v>-0.93399489999999996</v>
      </c>
      <c r="Q3811">
        <v>0.3451844</v>
      </c>
      <c r="R3811">
        <v>-9.2201400000000003E-2</v>
      </c>
      <c r="S3811">
        <v>-3.2677</v>
      </c>
      <c r="T3811">
        <v>-0.19228600000000001</v>
      </c>
      <c r="U3811">
        <v>-0.14663699999999999</v>
      </c>
      <c r="V3811">
        <v>-8.0985130000000002E-2</v>
      </c>
      <c r="W3811">
        <v>0.35392580000000001</v>
      </c>
      <c r="X3811">
        <v>0.9317607</v>
      </c>
      <c r="Y3811">
        <v>-3.284103E-2</v>
      </c>
      <c r="Z3811">
        <v>-5.2842060000000003E-4</v>
      </c>
      <c r="AA3811">
        <v>0.99946049999999997</v>
      </c>
      <c r="AB3811">
        <v>40</v>
      </c>
      <c r="AC3811">
        <v>-18.479099999999899</v>
      </c>
      <c r="AD3811">
        <v>-1.1100207187322</v>
      </c>
      <c r="AE3811">
        <v>-0.84199999999998398</v>
      </c>
      <c r="AF3811">
        <v>-0.61895630900601595</v>
      </c>
      <c r="AG3811">
        <v>-1.1100207187322</v>
      </c>
      <c r="AH3811">
        <v>18.421507768024998</v>
      </c>
      <c r="AI3811">
        <v>93.4463495888685</v>
      </c>
      <c r="AJ3811">
        <v>91.924394479850804</v>
      </c>
      <c r="AK3811">
        <v>18.465297218184102</v>
      </c>
      <c r="AL3811">
        <v>69.272377202277994</v>
      </c>
      <c r="AM3811">
        <v>94.967449662877698</v>
      </c>
      <c r="AN3811">
        <v>1.00000003262562</v>
      </c>
    </row>
    <row r="3812" spans="1:40" x14ac:dyDescent="0.25">
      <c r="A3812" t="str">
        <f>"20190304164720277"</f>
        <v>20190304164720277</v>
      </c>
      <c r="B3812" t="str">
        <f>"1551689240272697"</f>
        <v>1551689240272697</v>
      </c>
      <c r="C3812" t="s">
        <v>40</v>
      </c>
      <c r="D3812">
        <v>4.0474829999999997</v>
      </c>
      <c r="E3812">
        <v>0.52944309999999895</v>
      </c>
      <c r="F3812" t="s">
        <v>42</v>
      </c>
      <c r="G3812">
        <v>-279.67149999999998</v>
      </c>
      <c r="H3812" s="1">
        <v>-4.209523E-7</v>
      </c>
      <c r="I3812">
        <v>140.73500000000001</v>
      </c>
      <c r="J3812">
        <v>-260.94260000000003</v>
      </c>
      <c r="K3812">
        <v>1.1100019999999999</v>
      </c>
      <c r="L3812">
        <v>141.5994</v>
      </c>
      <c r="M3812">
        <v>-0.9998861</v>
      </c>
      <c r="N3812">
        <v>-9.3703610000000007E-3</v>
      </c>
      <c r="O3812">
        <v>-1.183469E-2</v>
      </c>
      <c r="P3812">
        <v>-0.93362679999999998</v>
      </c>
      <c r="Q3812">
        <v>0.34621079999999999</v>
      </c>
      <c r="R3812">
        <v>-9.2082839999999999E-2</v>
      </c>
      <c r="S3812">
        <v>-3.267334</v>
      </c>
      <c r="T3812">
        <v>-0.18932840000000001</v>
      </c>
      <c r="U3812">
        <v>-0.1482697</v>
      </c>
      <c r="V3812">
        <v>-8.0959320000000001E-2</v>
      </c>
      <c r="W3812">
        <v>0.35496909999999998</v>
      </c>
      <c r="X3812">
        <v>0.93136589999999997</v>
      </c>
      <c r="Y3812">
        <v>-3.3455369999999998E-2</v>
      </c>
      <c r="Z3812">
        <v>-5.5095699999999895E-4</v>
      </c>
      <c r="AA3812">
        <v>0.99944010000000005</v>
      </c>
      <c r="AB3812">
        <v>40</v>
      </c>
      <c r="AC3812">
        <v>-18.7288999999999</v>
      </c>
      <c r="AD3812">
        <v>-1.1100024209522901</v>
      </c>
      <c r="AE3812">
        <v>-0.86439999999998895</v>
      </c>
      <c r="AF3812">
        <v>-0.64043423039707303</v>
      </c>
      <c r="AG3812">
        <v>-1.1100024209522901</v>
      </c>
      <c r="AH3812">
        <v>18.672370268769399</v>
      </c>
      <c r="AI3812">
        <v>93.400021093928601</v>
      </c>
      <c r="AJ3812">
        <v>91.964389053295207</v>
      </c>
      <c r="AK3812">
        <v>18.716294313565601</v>
      </c>
      <c r="AL3812">
        <v>69.208448451742697</v>
      </c>
      <c r="AM3812">
        <v>94.967968921471694</v>
      </c>
      <c r="AN3812">
        <v>0.99999995656623997</v>
      </c>
    </row>
    <row r="3813" spans="1:40" x14ac:dyDescent="0.25">
      <c r="A3813" t="str">
        <f>"20190304164720301"</f>
        <v>20190304164720301</v>
      </c>
      <c r="B3813" t="str">
        <f>"1551689240293195"</f>
        <v>1551689240293195</v>
      </c>
      <c r="C3813" t="s">
        <v>40</v>
      </c>
      <c r="D3813">
        <v>4.0539310000000004</v>
      </c>
      <c r="E3813">
        <v>0.52910659999999998</v>
      </c>
      <c r="F3813" t="s">
        <v>51</v>
      </c>
      <c r="G3813">
        <v>-280.29489999999998</v>
      </c>
      <c r="H3813" s="1">
        <v>-4.0980499999999997E-6</v>
      </c>
      <c r="I3813">
        <v>140.69710000000001</v>
      </c>
      <c r="J3813">
        <v>-261.39640000000003</v>
      </c>
      <c r="K3813">
        <v>1.1099889999999999</v>
      </c>
      <c r="L3813">
        <v>141.5941</v>
      </c>
      <c r="M3813">
        <v>-0.99988750000000004</v>
      </c>
      <c r="N3813">
        <v>-9.3881360000000001E-3</v>
      </c>
      <c r="O3813">
        <v>-1.171111E-2</v>
      </c>
      <c r="P3813">
        <v>-0.93360480000000001</v>
      </c>
      <c r="Q3813">
        <v>0.34646329999999997</v>
      </c>
      <c r="R3813">
        <v>-9.1355889999999995E-2</v>
      </c>
      <c r="S3813">
        <v>-3.2677610000000001</v>
      </c>
      <c r="T3813">
        <v>-0.1874315</v>
      </c>
      <c r="U3813">
        <v>-0.15235899999999999</v>
      </c>
      <c r="V3813">
        <v>-8.0335809999999994E-2</v>
      </c>
      <c r="W3813">
        <v>0.3552401</v>
      </c>
      <c r="X3813">
        <v>0.93131660000000005</v>
      </c>
      <c r="Y3813">
        <v>-3.4819139999999998E-2</v>
      </c>
      <c r="Z3813">
        <v>-5.9997689999999998E-4</v>
      </c>
      <c r="AA3813">
        <v>0.99939350000000005</v>
      </c>
      <c r="AB3813">
        <v>40</v>
      </c>
      <c r="AC3813">
        <v>-18.898499999999899</v>
      </c>
      <c r="AD3813">
        <v>-1.1099930980499999</v>
      </c>
      <c r="AE3813">
        <v>-0.89699999999999103</v>
      </c>
      <c r="AF3813">
        <v>-0.67328889926309099</v>
      </c>
      <c r="AG3813">
        <v>-1.1099930980499999</v>
      </c>
      <c r="AH3813">
        <v>18.842852444770799</v>
      </c>
      <c r="AI3813">
        <v>93.369133601968102</v>
      </c>
      <c r="AJ3813">
        <v>92.046410292407501</v>
      </c>
      <c r="AK3813">
        <v>18.887522094626199</v>
      </c>
      <c r="AL3813">
        <v>69.191839518713394</v>
      </c>
      <c r="AM3813">
        <v>94.930156967244002</v>
      </c>
      <c r="AN3813">
        <v>0.99999999022596298</v>
      </c>
    </row>
    <row r="3814" spans="1:40" x14ac:dyDescent="0.25">
      <c r="A3814" t="str">
        <f>"20190304164720321"</f>
        <v>20190304164720321</v>
      </c>
      <c r="B3814" t="str">
        <f>"1551689240312714"</f>
        <v>1551689240312714</v>
      </c>
      <c r="C3814" t="s">
        <v>40</v>
      </c>
      <c r="D3814">
        <v>4.0377000000000001</v>
      </c>
      <c r="E3814">
        <v>0.52881339999999999</v>
      </c>
      <c r="F3814" t="s">
        <v>51</v>
      </c>
      <c r="G3814">
        <v>-280.8399</v>
      </c>
      <c r="H3814" s="1">
        <v>-4.3389850000000001E-6</v>
      </c>
      <c r="I3814">
        <v>140.69470000000001</v>
      </c>
      <c r="J3814">
        <v>-261.75810000000001</v>
      </c>
      <c r="K3814">
        <v>1.109974</v>
      </c>
      <c r="L3814">
        <v>141.5899</v>
      </c>
      <c r="M3814">
        <v>-0.99988849999999996</v>
      </c>
      <c r="N3814">
        <v>-9.4014049999999998E-3</v>
      </c>
      <c r="O3814">
        <v>-1.1610219999999999E-2</v>
      </c>
      <c r="P3814">
        <v>-0.93349950000000004</v>
      </c>
      <c r="Q3814">
        <v>0.34681190000000001</v>
      </c>
      <c r="R3814">
        <v>-9.1105779999999997E-2</v>
      </c>
      <c r="S3814">
        <v>-3.267792</v>
      </c>
      <c r="T3814">
        <v>-0.1865522</v>
      </c>
      <c r="U3814">
        <v>-0.1511536</v>
      </c>
      <c r="V3814">
        <v>-8.0173019999999998E-2</v>
      </c>
      <c r="W3814">
        <v>0.35560209999999998</v>
      </c>
      <c r="X3814">
        <v>0.93119249999999998</v>
      </c>
      <c r="Y3814">
        <v>-3.4552479999999997E-2</v>
      </c>
      <c r="Z3814">
        <v>-5.9477939999999995E-4</v>
      </c>
      <c r="AA3814">
        <v>0.99940269999999998</v>
      </c>
      <c r="AB3814">
        <v>40</v>
      </c>
      <c r="AC3814">
        <v>-19.081799999999902</v>
      </c>
      <c r="AD3814">
        <v>-1.109978338985</v>
      </c>
      <c r="AE3814">
        <v>-0.89519999999998801</v>
      </c>
      <c r="AF3814">
        <v>-0.67131944457359505</v>
      </c>
      <c r="AG3814">
        <v>-1.109978338985</v>
      </c>
      <c r="AH3814">
        <v>19.0266687543842</v>
      </c>
      <c r="AI3814">
        <v>93.336667069773</v>
      </c>
      <c r="AJ3814">
        <v>92.020733222416197</v>
      </c>
      <c r="AK3814">
        <v>19.0708375694078</v>
      </c>
      <c r="AL3814">
        <v>69.169650217854894</v>
      </c>
      <c r="AM3814">
        <v>94.920868238835894</v>
      </c>
      <c r="AN3814">
        <v>1.0000000193582901</v>
      </c>
    </row>
    <row r="3815" spans="1:40" x14ac:dyDescent="0.25">
      <c r="A3815" t="str">
        <f>"20190304164720343"</f>
        <v>20190304164720343</v>
      </c>
      <c r="B3815" t="str">
        <f>"1551689240332740"</f>
        <v>1551689240332740</v>
      </c>
      <c r="C3815" t="s">
        <v>40</v>
      </c>
      <c r="D3815">
        <v>4.0368680000000001</v>
      </c>
      <c r="E3815">
        <v>0.52855490000000005</v>
      </c>
      <c r="F3815" t="s">
        <v>51</v>
      </c>
      <c r="G3815">
        <v>-281.3272</v>
      </c>
      <c r="H3815" s="1">
        <v>-4.5472229999999998E-6</v>
      </c>
      <c r="I3815">
        <v>140.6704</v>
      </c>
      <c r="J3815">
        <v>-262.16230000000002</v>
      </c>
      <c r="K3815">
        <v>1.109964</v>
      </c>
      <c r="L3815">
        <v>141.58529999999999</v>
      </c>
      <c r="M3815">
        <v>-0.99988960000000005</v>
      </c>
      <c r="N3815">
        <v>-9.4155839999999994E-3</v>
      </c>
      <c r="O3815">
        <v>-1.1496350000000001E-2</v>
      </c>
      <c r="P3815">
        <v>-0.93359080000000005</v>
      </c>
      <c r="Q3815">
        <v>0.34673769999999998</v>
      </c>
      <c r="R3815">
        <v>-9.0450080000000002E-2</v>
      </c>
      <c r="S3815">
        <v>-3.2675779999999999</v>
      </c>
      <c r="T3815">
        <v>-0.1853397</v>
      </c>
      <c r="U3815">
        <v>-0.1535339</v>
      </c>
      <c r="V3815">
        <v>-7.9615420000000006E-2</v>
      </c>
      <c r="W3815">
        <v>0.35554370000000002</v>
      </c>
      <c r="X3815">
        <v>0.93126260000000005</v>
      </c>
      <c r="Y3815">
        <v>-3.539461E-2</v>
      </c>
      <c r="Z3815">
        <v>-6.2630870000000003E-4</v>
      </c>
      <c r="AA3815">
        <v>0.99937319999999996</v>
      </c>
      <c r="AB3815">
        <v>40</v>
      </c>
      <c r="AC3815">
        <v>-19.1648999999999</v>
      </c>
      <c r="AD3815">
        <v>-1.1099685472230001</v>
      </c>
      <c r="AE3815">
        <v>-0.91489999999998795</v>
      </c>
      <c r="AF3815">
        <v>-0.69218681490443801</v>
      </c>
      <c r="AG3815">
        <v>-1.1099685472230001</v>
      </c>
      <c r="AH3815">
        <v>19.110195339163301</v>
      </c>
      <c r="AI3815">
        <v>93.321975722718904</v>
      </c>
      <c r="AJ3815">
        <v>92.074392877260493</v>
      </c>
      <c r="AK3815">
        <v>19.1549136950165</v>
      </c>
      <c r="AL3815">
        <v>69.173229479649393</v>
      </c>
      <c r="AM3815">
        <v>94.886444049393901</v>
      </c>
      <c r="AN3815">
        <v>0.99999998393511302</v>
      </c>
    </row>
    <row r="3816" spans="1:40" x14ac:dyDescent="0.25">
      <c r="A3816" t="str">
        <f>"20190304164720364"</f>
        <v>20190304164720364</v>
      </c>
      <c r="B3816" t="str">
        <f>"1551689240352260"</f>
        <v>1551689240352260</v>
      </c>
      <c r="C3816" t="s">
        <v>40</v>
      </c>
      <c r="D3816">
        <v>4.045998</v>
      </c>
      <c r="E3816">
        <v>0.52831660000000003</v>
      </c>
      <c r="F3816" t="s">
        <v>51</v>
      </c>
      <c r="G3816">
        <v>-281.65589999999997</v>
      </c>
      <c r="H3816" s="1">
        <v>-4.6911620000000003E-6</v>
      </c>
      <c r="I3816">
        <v>140.66480000000001</v>
      </c>
      <c r="J3816">
        <v>-262.53980000000001</v>
      </c>
      <c r="K3816">
        <v>1.1099509999999999</v>
      </c>
      <c r="L3816">
        <v>141.58109999999999</v>
      </c>
      <c r="M3816">
        <v>-0.99989070000000002</v>
      </c>
      <c r="N3816">
        <v>-9.4280860000000005E-3</v>
      </c>
      <c r="O3816">
        <v>-1.139012E-2</v>
      </c>
      <c r="P3816">
        <v>-0.93367960000000005</v>
      </c>
      <c r="Q3816">
        <v>0.34652440000000001</v>
      </c>
      <c r="R3816">
        <v>-9.0351989999999993E-2</v>
      </c>
      <c r="S3816">
        <v>-3.2675169999999998</v>
      </c>
      <c r="T3816">
        <v>-0.18605269999999999</v>
      </c>
      <c r="U3816">
        <v>-0.15429689999999999</v>
      </c>
      <c r="V3816">
        <v>-7.9609910000000006E-2</v>
      </c>
      <c r="W3816">
        <v>0.35534399999999999</v>
      </c>
      <c r="X3816">
        <v>0.93133929999999998</v>
      </c>
      <c r="Y3816">
        <v>-3.5733359999999999E-2</v>
      </c>
      <c r="Z3816">
        <v>-6.4429820000000003E-4</v>
      </c>
      <c r="AA3816">
        <v>0.99936119999999995</v>
      </c>
      <c r="AB3816">
        <v>41</v>
      </c>
      <c r="AC3816">
        <v>-19.1160999999999</v>
      </c>
      <c r="AD3816">
        <v>-1.1099556911620001</v>
      </c>
      <c r="AE3816">
        <v>-0.91629999999997802</v>
      </c>
      <c r="AF3816">
        <v>-0.69615455965433204</v>
      </c>
      <c r="AG3816">
        <v>-1.1099556911620001</v>
      </c>
      <c r="AH3816">
        <v>19.0611811582651</v>
      </c>
      <c r="AI3816">
        <v>93.330423836921796</v>
      </c>
      <c r="AJ3816">
        <v>92.091633121407398</v>
      </c>
      <c r="AK3816">
        <v>19.106157644996799</v>
      </c>
      <c r="AL3816">
        <v>69.185471053998498</v>
      </c>
      <c r="AM3816">
        <v>94.885707061929693</v>
      </c>
      <c r="AN3816">
        <v>0.99999999391534899</v>
      </c>
    </row>
    <row r="3817" spans="1:40" x14ac:dyDescent="0.25">
      <c r="A3817" t="str">
        <f>"20190304164720387"</f>
        <v>20190304164720387</v>
      </c>
      <c r="B3817" t="str">
        <f>"1551689240382517"</f>
        <v>1551689240382517</v>
      </c>
      <c r="C3817" t="s">
        <v>40</v>
      </c>
      <c r="D3817">
        <v>4.046233</v>
      </c>
      <c r="E3817">
        <v>0.52788900000000005</v>
      </c>
      <c r="F3817" t="s">
        <v>51</v>
      </c>
      <c r="G3817">
        <v>-281.93540000000002</v>
      </c>
      <c r="H3817" s="1">
        <v>-4.8113169999999998E-6</v>
      </c>
      <c r="I3817">
        <v>140.65309999999999</v>
      </c>
      <c r="J3817">
        <v>-262.94749999999999</v>
      </c>
      <c r="K3817">
        <v>1.109947</v>
      </c>
      <c r="L3817">
        <v>141.57650000000001</v>
      </c>
      <c r="M3817">
        <v>-0.999892</v>
      </c>
      <c r="N3817">
        <v>-9.4409880000000009E-3</v>
      </c>
      <c r="O3817">
        <v>-1.127531E-2</v>
      </c>
      <c r="P3817">
        <v>-0.93383369999999999</v>
      </c>
      <c r="Q3817">
        <v>0.34615899999999999</v>
      </c>
      <c r="R3817">
        <v>-9.0160130000000005E-2</v>
      </c>
      <c r="S3817">
        <v>-3.2673649999999999</v>
      </c>
      <c r="T3817">
        <v>-0.18698129999999999</v>
      </c>
      <c r="U3817">
        <v>-0.1563263</v>
      </c>
      <c r="V3817">
        <v>-7.9518679999999994E-2</v>
      </c>
      <c r="W3817">
        <v>0.35499269999999999</v>
      </c>
      <c r="X3817">
        <v>0.93148109999999995</v>
      </c>
      <c r="Y3817">
        <v>-3.6467590000000001E-2</v>
      </c>
      <c r="Z3817">
        <v>-6.764532E-4</v>
      </c>
      <c r="AA3817">
        <v>0.99933459999999996</v>
      </c>
      <c r="AB3817">
        <v>41</v>
      </c>
      <c r="AC3817">
        <v>-18.9879</v>
      </c>
      <c r="AD3817">
        <v>-1.1099518113169999</v>
      </c>
      <c r="AE3817">
        <v>-0.92340000000001499</v>
      </c>
      <c r="AF3817">
        <v>-0.70682774058957598</v>
      </c>
      <c r="AG3817">
        <v>-1.1099518113169999</v>
      </c>
      <c r="AH3817">
        <v>18.932563616096601</v>
      </c>
      <c r="AI3817">
        <v>93.352885628547199</v>
      </c>
      <c r="AJ3817">
        <v>92.138085844760795</v>
      </c>
      <c r="AK3817">
        <v>18.978239211156001</v>
      </c>
      <c r="AL3817">
        <v>69.207003858377504</v>
      </c>
      <c r="AM3817">
        <v>94.879395958468706</v>
      </c>
      <c r="AN3817">
        <v>1.0000000385897201</v>
      </c>
    </row>
    <row r="3818" spans="1:40" x14ac:dyDescent="0.25">
      <c r="A3818" t="str">
        <f>"20190304164720410"</f>
        <v>20190304164720410</v>
      </c>
      <c r="B3818" t="str">
        <f>"1551689240403012"</f>
        <v>1551689240403012</v>
      </c>
      <c r="C3818" t="s">
        <v>40</v>
      </c>
      <c r="D3818">
        <v>4.0227810000000002</v>
      </c>
      <c r="E3818">
        <v>0.52762369999999903</v>
      </c>
      <c r="F3818" t="s">
        <v>51</v>
      </c>
      <c r="G3818">
        <v>-282.0641</v>
      </c>
      <c r="H3818" s="1">
        <v>-4.8671530000000004E-6</v>
      </c>
      <c r="I3818">
        <v>140.64930000000001</v>
      </c>
      <c r="J3818">
        <v>-263.38709999999998</v>
      </c>
      <c r="K3818">
        <v>1.1099380000000001</v>
      </c>
      <c r="L3818">
        <v>141.57159999999999</v>
      </c>
      <c r="M3818">
        <v>-0.99989320000000004</v>
      </c>
      <c r="N3818">
        <v>-9.4543860000000004E-3</v>
      </c>
      <c r="O3818">
        <v>-1.1151690000000001E-2</v>
      </c>
      <c r="P3818">
        <v>-0.93391970000000002</v>
      </c>
      <c r="Q3818">
        <v>0.34606439999999999</v>
      </c>
      <c r="R3818">
        <v>-8.9630719999999997E-2</v>
      </c>
      <c r="S3818">
        <v>-3.2675779999999999</v>
      </c>
      <c r="T3818">
        <v>-0.18972339999999999</v>
      </c>
      <c r="U3818">
        <v>-0.158477799999999</v>
      </c>
      <c r="V3818">
        <v>-7.9099299999999997E-2</v>
      </c>
      <c r="W3818">
        <v>0.35491200000000001</v>
      </c>
      <c r="X3818">
        <v>0.93154749999999997</v>
      </c>
      <c r="Y3818">
        <v>-3.7241360000000001E-2</v>
      </c>
      <c r="Z3818">
        <v>-7.1473589999999996E-4</v>
      </c>
      <c r="AA3818">
        <v>0.99930600000000003</v>
      </c>
      <c r="AB3818">
        <v>41</v>
      </c>
      <c r="AC3818">
        <v>-18.677</v>
      </c>
      <c r="AD3818">
        <v>-1.1099428671529901</v>
      </c>
      <c r="AE3818">
        <v>-0.92229999999997803</v>
      </c>
      <c r="AF3818">
        <v>-0.71144671474163701</v>
      </c>
      <c r="AG3818">
        <v>-1.1099428671529901</v>
      </c>
      <c r="AH3818">
        <v>18.620521578322201</v>
      </c>
      <c r="AI3818">
        <v>93.408802275256704</v>
      </c>
      <c r="AJ3818">
        <v>92.188073825483002</v>
      </c>
      <c r="AK3818">
        <v>18.6671356518622</v>
      </c>
      <c r="AL3818">
        <v>69.211948531121806</v>
      </c>
      <c r="AM3818">
        <v>94.853441062924006</v>
      </c>
      <c r="AN3818">
        <v>0.99999998588036898</v>
      </c>
    </row>
    <row r="3819" spans="1:40" x14ac:dyDescent="0.25">
      <c r="A3819" t="str">
        <f>"20190304164720432"</f>
        <v>20190304164720432</v>
      </c>
      <c r="B3819" t="str">
        <f>"1551689240422536"</f>
        <v>1551689240422536</v>
      </c>
      <c r="C3819" t="s">
        <v>40</v>
      </c>
      <c r="D3819">
        <v>4.1473240000000002</v>
      </c>
      <c r="E3819">
        <v>0.52741830000000001</v>
      </c>
      <c r="F3819" t="s">
        <v>51</v>
      </c>
      <c r="G3819">
        <v>-282.39400000000001</v>
      </c>
      <c r="H3819" s="1">
        <v>-5.014217E-6</v>
      </c>
      <c r="I3819">
        <v>140.6516</v>
      </c>
      <c r="J3819">
        <v>-263.78339999999997</v>
      </c>
      <c r="K3819">
        <v>1.1099330000000001</v>
      </c>
      <c r="L3819">
        <v>141.56729999999999</v>
      </c>
      <c r="M3819">
        <v>-0.99989430000000001</v>
      </c>
      <c r="N3819">
        <v>-9.4659719999999996E-3</v>
      </c>
      <c r="O3819">
        <v>-1.104013E-2</v>
      </c>
      <c r="P3819">
        <v>-0.93396710000000005</v>
      </c>
      <c r="Q3819">
        <v>0.34600320000000001</v>
      </c>
      <c r="R3819">
        <v>-8.937109E-2</v>
      </c>
      <c r="S3819">
        <v>-3.267792</v>
      </c>
      <c r="T3819">
        <v>-0.1908282</v>
      </c>
      <c r="U3819">
        <v>-0.1581726</v>
      </c>
      <c r="V3819">
        <v>-7.8940060000000006E-2</v>
      </c>
      <c r="W3819">
        <v>0.35486299999999998</v>
      </c>
      <c r="X3819">
        <v>0.93157970000000001</v>
      </c>
      <c r="Y3819">
        <v>-3.725581E-2</v>
      </c>
      <c r="Z3819">
        <v>-7.2351160000000002E-4</v>
      </c>
      <c r="AA3819">
        <v>0.99930549999999996</v>
      </c>
      <c r="AB3819">
        <v>41</v>
      </c>
      <c r="AC3819">
        <v>-18.610600000000002</v>
      </c>
      <c r="AD3819">
        <v>-1.1099380142169999</v>
      </c>
      <c r="AE3819">
        <v>-0.91569999999998597</v>
      </c>
      <c r="AF3819">
        <v>-0.70766052168072702</v>
      </c>
      <c r="AG3819">
        <v>-1.1099380142169999</v>
      </c>
      <c r="AH3819">
        <v>18.553740409377198</v>
      </c>
      <c r="AI3819">
        <v>93.421036350961501</v>
      </c>
      <c r="AJ3819">
        <v>92.184266682612602</v>
      </c>
      <c r="AK3819">
        <v>18.600377119507701</v>
      </c>
      <c r="AL3819">
        <v>69.214952006780095</v>
      </c>
      <c r="AM3819">
        <v>94.843550188728102</v>
      </c>
      <c r="AN3819">
        <v>1.0000000096469399</v>
      </c>
    </row>
    <row r="3820" spans="1:40" x14ac:dyDescent="0.25">
      <c r="A3820" t="str">
        <f>"20190304164720454"</f>
        <v>20190304164720454</v>
      </c>
      <c r="B3820" t="str">
        <f>"1551689240442563"</f>
        <v>1551689240442563</v>
      </c>
      <c r="C3820" t="s">
        <v>40</v>
      </c>
      <c r="D3820">
        <v>4.0219060000000004</v>
      </c>
      <c r="E3820">
        <v>0.52721079999999998</v>
      </c>
      <c r="F3820" t="s">
        <v>51</v>
      </c>
      <c r="G3820">
        <v>-282.69279999999998</v>
      </c>
      <c r="H3820" s="1">
        <v>-5.146515E-6</v>
      </c>
      <c r="I3820">
        <v>140.65100000000001</v>
      </c>
      <c r="J3820">
        <v>-264.16719999999998</v>
      </c>
      <c r="K3820">
        <v>1.1099349999999999</v>
      </c>
      <c r="L3820">
        <v>141.56309999999999</v>
      </c>
      <c r="M3820">
        <v>-0.99989539999999999</v>
      </c>
      <c r="N3820">
        <v>-9.4769780000000005E-3</v>
      </c>
      <c r="O3820">
        <v>-1.092951E-2</v>
      </c>
      <c r="P3820">
        <v>-0.93411370000000005</v>
      </c>
      <c r="Q3820">
        <v>0.345699599999999</v>
      </c>
      <c r="R3820">
        <v>-8.9014629999999997E-2</v>
      </c>
      <c r="S3820">
        <v>-3.268005</v>
      </c>
      <c r="T3820">
        <v>-0.1918241</v>
      </c>
      <c r="U3820">
        <v>-0.15835569999999999</v>
      </c>
      <c r="V3820">
        <v>-7.8682409999999994E-2</v>
      </c>
      <c r="W3820">
        <v>0.35457149999999998</v>
      </c>
      <c r="X3820">
        <v>0.93171250000000005</v>
      </c>
      <c r="Y3820">
        <v>-3.7418050000000001E-2</v>
      </c>
      <c r="Z3820">
        <v>-7.3707519999999997E-4</v>
      </c>
      <c r="AA3820">
        <v>0.99929939999999995</v>
      </c>
      <c r="AB3820">
        <v>41</v>
      </c>
      <c r="AC3820">
        <v>-18.525600000000001</v>
      </c>
      <c r="AD3820">
        <v>-1.1099401465150001</v>
      </c>
      <c r="AE3820">
        <v>-0.91209999999998004</v>
      </c>
      <c r="AF3820">
        <v>-0.70702883773233105</v>
      </c>
      <c r="AG3820">
        <v>-1.1099401465150001</v>
      </c>
      <c r="AH3820">
        <v>18.468327748043901</v>
      </c>
      <c r="AI3820">
        <v>93.436808170109003</v>
      </c>
      <c r="AJ3820">
        <v>92.192401813244601</v>
      </c>
      <c r="AK3820">
        <v>18.515155595225199</v>
      </c>
      <c r="AL3820">
        <v>69.232815677713901</v>
      </c>
      <c r="AM3820">
        <v>94.827131446582996</v>
      </c>
      <c r="AN3820">
        <v>1.0000000264559501</v>
      </c>
    </row>
    <row r="3821" spans="1:40" x14ac:dyDescent="0.25">
      <c r="A3821" t="str">
        <f>"20190304164720477"</f>
        <v>20190304164720477</v>
      </c>
      <c r="B3821" t="str">
        <f>"1551689240472815"</f>
        <v>1551689240472815</v>
      </c>
      <c r="C3821" t="s">
        <v>40</v>
      </c>
      <c r="D3821">
        <v>4.0193750000000001</v>
      </c>
      <c r="E3821">
        <v>0.52690170000000003</v>
      </c>
      <c r="F3821" t="s">
        <v>51</v>
      </c>
      <c r="G3821">
        <v>-282.92540000000002</v>
      </c>
      <c r="H3821" s="1">
        <v>-5.2511009999999998E-6</v>
      </c>
      <c r="I3821">
        <v>140.65549999999999</v>
      </c>
      <c r="J3821">
        <v>-264.5838</v>
      </c>
      <c r="K3821">
        <v>1.109928</v>
      </c>
      <c r="L3821">
        <v>141.55869999999999</v>
      </c>
      <c r="M3821">
        <v>-0.99989669999999997</v>
      </c>
      <c r="N3821">
        <v>-9.4883929999999995E-3</v>
      </c>
      <c r="O3821">
        <v>-1.080062E-2</v>
      </c>
      <c r="P3821">
        <v>-0.93418429999999997</v>
      </c>
      <c r="Q3821">
        <v>0.34551690000000002</v>
      </c>
      <c r="R3821">
        <v>-8.8983010000000001E-2</v>
      </c>
      <c r="S3821">
        <v>-3.268097</v>
      </c>
      <c r="T3821">
        <v>-0.1933764</v>
      </c>
      <c r="U3821">
        <v>-0.15812679999999901</v>
      </c>
      <c r="V3821">
        <v>-7.8764689999999998E-2</v>
      </c>
      <c r="W3821">
        <v>0.35440120000000003</v>
      </c>
      <c r="X3821">
        <v>0.93177030000000005</v>
      </c>
      <c r="Y3821">
        <v>-3.7474510000000003E-2</v>
      </c>
      <c r="Z3821">
        <v>-7.4941570000000004E-4</v>
      </c>
      <c r="AA3821">
        <v>0.99929730000000005</v>
      </c>
      <c r="AB3821">
        <v>41</v>
      </c>
      <c r="AC3821">
        <v>-18.3416</v>
      </c>
      <c r="AD3821">
        <v>-1.1099332511010001</v>
      </c>
      <c r="AE3821">
        <v>-0.903199999999998</v>
      </c>
      <c r="AF3821">
        <v>-0.702471519010475</v>
      </c>
      <c r="AG3821">
        <v>-1.1099332511010001</v>
      </c>
      <c r="AH3821">
        <v>18.283493292273199</v>
      </c>
      <c r="AI3821">
        <v>93.471427782386399</v>
      </c>
      <c r="AJ3821">
        <v>92.200283359705793</v>
      </c>
      <c r="AK3821">
        <v>18.3306176935072</v>
      </c>
      <c r="AL3821">
        <v>69.243249989208195</v>
      </c>
      <c r="AM3821">
        <v>94.831857067795795</v>
      </c>
      <c r="AN3821">
        <v>0.99999998945716295</v>
      </c>
    </row>
    <row r="3822" spans="1:40" x14ac:dyDescent="0.25">
      <c r="A3822" t="str">
        <f>"20190304164720502"</f>
        <v>20190304164720502</v>
      </c>
      <c r="B3822" t="str">
        <f>"1551689240492335"</f>
        <v>1551689240492335</v>
      </c>
      <c r="C3822" t="s">
        <v>40</v>
      </c>
      <c r="D3822">
        <v>3.9581599999999999</v>
      </c>
      <c r="E3822">
        <v>0.52672739999999996</v>
      </c>
      <c r="F3822" t="s">
        <v>51</v>
      </c>
      <c r="G3822">
        <v>-283.21039999999999</v>
      </c>
      <c r="H3822" s="1">
        <v>-5.3761920000000001E-6</v>
      </c>
      <c r="I3822">
        <v>140.6515</v>
      </c>
      <c r="J3822">
        <v>-265.04259999999999</v>
      </c>
      <c r="K3822">
        <v>1.1099110000000001</v>
      </c>
      <c r="L3822">
        <v>141.5538</v>
      </c>
      <c r="M3822">
        <v>-0.99989830000000002</v>
      </c>
      <c r="N3822">
        <v>-9.5005809999999993E-3</v>
      </c>
      <c r="O3822">
        <v>-1.0642E-2</v>
      </c>
      <c r="P3822">
        <v>-0.93420990000000004</v>
      </c>
      <c r="Q3822">
        <v>0.34533079999999999</v>
      </c>
      <c r="R3822">
        <v>-8.9437399999999903E-2</v>
      </c>
      <c r="S3822">
        <v>-3.2682190000000002</v>
      </c>
      <c r="T3822">
        <v>-0.19474849999999999</v>
      </c>
      <c r="U3822">
        <v>-0.15917970000000001</v>
      </c>
      <c r="V3822">
        <v>-7.9356679999999999E-2</v>
      </c>
      <c r="W3822">
        <v>0.35422940000000003</v>
      </c>
      <c r="X3822">
        <v>0.93178539999999999</v>
      </c>
      <c r="Y3822">
        <v>-3.7950440000000002E-2</v>
      </c>
      <c r="Z3822">
        <v>-7.7743319999999997E-4</v>
      </c>
      <c r="AA3822">
        <v>0.99927929999999998</v>
      </c>
      <c r="AB3822">
        <v>41</v>
      </c>
      <c r="AC3822">
        <v>-18.1678</v>
      </c>
      <c r="AD3822">
        <v>-1.1099163761919999</v>
      </c>
      <c r="AE3822">
        <v>-0.90229999999999599</v>
      </c>
      <c r="AF3822">
        <v>-0.70626894104267501</v>
      </c>
      <c r="AG3822">
        <v>-1.1099163761919999</v>
      </c>
      <c r="AH3822">
        <v>18.108952185594099</v>
      </c>
      <c r="AI3822">
        <v>93.504672213849204</v>
      </c>
      <c r="AJ3822">
        <v>92.233466093694105</v>
      </c>
      <c r="AK3822">
        <v>18.156675891785799</v>
      </c>
      <c r="AL3822">
        <v>69.253776322120402</v>
      </c>
      <c r="AM3822">
        <v>94.867920594962101</v>
      </c>
      <c r="AN3822">
        <v>0.999999991069071</v>
      </c>
    </row>
    <row r="3823" spans="1:40" x14ac:dyDescent="0.25">
      <c r="A3823" t="str">
        <f>"20190304164720522"</f>
        <v>20190304164720522</v>
      </c>
      <c r="B3823" t="str">
        <f>"1551689240512832"</f>
        <v>1551689240512832</v>
      </c>
      <c r="C3823" t="s">
        <v>40</v>
      </c>
      <c r="D3823">
        <v>3.9640200000000001</v>
      </c>
      <c r="E3823">
        <v>0.5206073</v>
      </c>
      <c r="F3823" t="s">
        <v>51</v>
      </c>
      <c r="G3823">
        <v>-283.62189999999998</v>
      </c>
      <c r="H3823" s="1">
        <v>-5.555116E-6</v>
      </c>
      <c r="I3823">
        <v>140.6405</v>
      </c>
      <c r="J3823">
        <v>-265.41980000000001</v>
      </c>
      <c r="K3823">
        <v>1.1099030000000001</v>
      </c>
      <c r="L3823">
        <v>141.55000000000001</v>
      </c>
      <c r="M3823">
        <v>-0.99989969999999995</v>
      </c>
      <c r="N3823">
        <v>-9.5103679999999999E-3</v>
      </c>
      <c r="O3823">
        <v>-1.049683E-2</v>
      </c>
      <c r="P3823">
        <v>-0.93410439999999995</v>
      </c>
      <c r="Q3823">
        <v>0.34548600000000002</v>
      </c>
      <c r="R3823">
        <v>-8.9936020000000005E-2</v>
      </c>
      <c r="S3823">
        <v>-3.2680660000000001</v>
      </c>
      <c r="T3823">
        <v>-0.19523219999999999</v>
      </c>
      <c r="U3823">
        <v>-0.16065979999999999</v>
      </c>
      <c r="V3823">
        <v>-7.9980430000000005E-2</v>
      </c>
      <c r="W3823">
        <v>0.35439530000000002</v>
      </c>
      <c r="X3823">
        <v>0.93166899999999997</v>
      </c>
      <c r="Y3823">
        <v>-3.8547560000000002E-2</v>
      </c>
      <c r="Z3823">
        <v>-8.0690449999999995E-4</v>
      </c>
      <c r="AA3823">
        <v>0.99925640000000004</v>
      </c>
      <c r="AB3823">
        <v>41</v>
      </c>
      <c r="AC3823">
        <v>-18.202099999999898</v>
      </c>
      <c r="AD3823">
        <v>-1.109908555116</v>
      </c>
      <c r="AE3823">
        <v>-0.90950000000000797</v>
      </c>
      <c r="AF3823">
        <v>-0.71572233851488698</v>
      </c>
      <c r="AG3823">
        <v>-1.109908555116</v>
      </c>
      <c r="AH3823">
        <v>18.143351999415898</v>
      </c>
      <c r="AI3823">
        <v>93.497958181035301</v>
      </c>
      <c r="AJ3823">
        <v>92.259043287386305</v>
      </c>
      <c r="AK3823">
        <v>18.1913544641755</v>
      </c>
      <c r="AL3823">
        <v>69.243611981266497</v>
      </c>
      <c r="AM3823">
        <v>94.906606774423295</v>
      </c>
      <c r="AN3823">
        <v>1.0000000117030301</v>
      </c>
    </row>
    <row r="3824" spans="1:40" x14ac:dyDescent="0.25">
      <c r="A3824" t="str">
        <f>"20190304164720543"</f>
        <v>20190304164720543</v>
      </c>
      <c r="B3824" t="str">
        <f>"1551689240532863"</f>
        <v>1551689240532863</v>
      </c>
      <c r="C3824" t="s">
        <v>40</v>
      </c>
      <c r="D3824">
        <v>3.9462799999999998</v>
      </c>
      <c r="E3824">
        <v>0.52081009999999905</v>
      </c>
      <c r="F3824" t="s">
        <v>51</v>
      </c>
      <c r="G3824">
        <v>-283.39269999999999</v>
      </c>
      <c r="H3824" s="1">
        <v>-5.3721039999999999E-6</v>
      </c>
      <c r="I3824">
        <v>140.38910000000001</v>
      </c>
      <c r="J3824">
        <v>-265.81180000000001</v>
      </c>
      <c r="K3824">
        <v>1.109882</v>
      </c>
      <c r="L3824">
        <v>141.54599999999999</v>
      </c>
      <c r="M3824">
        <v>-0.99990140000000005</v>
      </c>
      <c r="N3824">
        <v>-9.5188819999999993E-3</v>
      </c>
      <c r="O3824">
        <v>-1.032106E-2</v>
      </c>
      <c r="P3824">
        <v>-0.9340328</v>
      </c>
      <c r="Q3824">
        <v>0.34560410000000003</v>
      </c>
      <c r="R3824">
        <v>-9.0226000000000001E-2</v>
      </c>
      <c r="S3824">
        <v>-3.26593</v>
      </c>
      <c r="T3824">
        <v>-0.2016867</v>
      </c>
      <c r="U3824">
        <v>-0.2109528</v>
      </c>
      <c r="V3824">
        <v>-8.041914E-2</v>
      </c>
      <c r="W3824">
        <v>0.35452460000000002</v>
      </c>
      <c r="X3824">
        <v>0.93158200000000002</v>
      </c>
      <c r="Y3824">
        <v>-5.4049720000000002E-2</v>
      </c>
      <c r="Z3824">
        <v>-1.3854270000000001E-3</v>
      </c>
      <c r="AA3824">
        <v>0.99853729999999996</v>
      </c>
      <c r="AB3824">
        <v>41</v>
      </c>
      <c r="AC3824">
        <v>-17.5808999999999</v>
      </c>
      <c r="AD3824">
        <v>-1.1098873721039999</v>
      </c>
      <c r="AE3824">
        <v>-1.1568999999999701</v>
      </c>
      <c r="AF3824">
        <v>-0.97152138339664096</v>
      </c>
      <c r="AG3824">
        <v>-1.1098873721039999</v>
      </c>
      <c r="AH3824">
        <v>17.522371309938801</v>
      </c>
      <c r="AI3824">
        <v>93.618796181595997</v>
      </c>
      <c r="AJ3824">
        <v>93.173494035806399</v>
      </c>
      <c r="AK3824">
        <v>17.584345313389399</v>
      </c>
      <c r="AL3824">
        <v>69.235688454943201</v>
      </c>
      <c r="AM3824">
        <v>94.933846561929201</v>
      </c>
      <c r="AN3824">
        <v>0.99999997640374905</v>
      </c>
    </row>
    <row r="3825" spans="1:40" x14ac:dyDescent="0.25">
      <c r="A3825" t="str">
        <f>"20190304164720566"</f>
        <v>20190304164720566</v>
      </c>
      <c r="B3825" t="str">
        <f>"1551689240563116"</f>
        <v>1551689240563116</v>
      </c>
      <c r="C3825" t="s">
        <v>40</v>
      </c>
      <c r="D3825">
        <v>3.9544549999999998</v>
      </c>
      <c r="E3825">
        <v>0.52073239999999998</v>
      </c>
      <c r="F3825" t="s">
        <v>51</v>
      </c>
      <c r="G3825">
        <v>-284.05520000000001</v>
      </c>
      <c r="H3825" s="1">
        <v>-5.66161799999999E-6</v>
      </c>
      <c r="I3825">
        <v>140.3758</v>
      </c>
      <c r="J3825">
        <v>-266.21499999999997</v>
      </c>
      <c r="K3825">
        <v>1.1098490000000001</v>
      </c>
      <c r="L3825">
        <v>141.542</v>
      </c>
      <c r="M3825">
        <v>-0.9999036</v>
      </c>
      <c r="N3825">
        <v>-9.5238779999999995E-3</v>
      </c>
      <c r="O3825">
        <v>-1.010118E-2</v>
      </c>
      <c r="P3825">
        <v>-0.93402200000000002</v>
      </c>
      <c r="Q3825">
        <v>0.34550120000000001</v>
      </c>
      <c r="R3825">
        <v>-9.0729660000000004E-2</v>
      </c>
      <c r="S3825">
        <v>-3.2651370000000002</v>
      </c>
      <c r="T3825">
        <v>-0.19864380000000001</v>
      </c>
      <c r="U3825">
        <v>-0.20944209999999999</v>
      </c>
      <c r="V3825">
        <v>-8.1103120000000001E-2</v>
      </c>
      <c r="W3825">
        <v>0.35443190000000002</v>
      </c>
      <c r="X3825">
        <v>0.931558</v>
      </c>
      <c r="Y3825">
        <v>-5.3827760000000002E-2</v>
      </c>
      <c r="Z3825">
        <v>-1.3738209999999999E-3</v>
      </c>
      <c r="AA3825">
        <v>0.99854929999999997</v>
      </c>
      <c r="AB3825">
        <v>41</v>
      </c>
      <c r="AC3825">
        <v>-17.840199999999999</v>
      </c>
      <c r="AD3825">
        <v>-1.1098546616180001</v>
      </c>
      <c r="AE3825">
        <v>-1.1661999999999999</v>
      </c>
      <c r="AF3825">
        <v>-0.98214034693710595</v>
      </c>
      <c r="AG3825">
        <v>-1.1098546616180001</v>
      </c>
      <c r="AH3825">
        <v>17.782541214834499</v>
      </c>
      <c r="AI3825">
        <v>93.5659256905018</v>
      </c>
      <c r="AJ3825">
        <v>93.161268255202799</v>
      </c>
      <c r="AK3825">
        <v>17.8441909059583</v>
      </c>
      <c r="AL3825">
        <v>69.241369079599806</v>
      </c>
      <c r="AM3825">
        <v>94.975727632233401</v>
      </c>
      <c r="AN3825">
        <v>0.999999997587672</v>
      </c>
    </row>
    <row r="3826" spans="1:40" x14ac:dyDescent="0.25">
      <c r="A3826" t="str">
        <f>"20190304164720588"</f>
        <v>20190304164720588</v>
      </c>
      <c r="B3826" t="str">
        <f>"1551689240582635"</f>
        <v>1551689240582635</v>
      </c>
      <c r="C3826" t="s">
        <v>40</v>
      </c>
      <c r="D3826">
        <v>3.9218479999999998</v>
      </c>
      <c r="E3826">
        <v>0.52075740000000004</v>
      </c>
      <c r="F3826" t="s">
        <v>51</v>
      </c>
      <c r="G3826">
        <v>-284.66109999999998</v>
      </c>
      <c r="H3826" s="1">
        <v>-5.9209899999999999E-6</v>
      </c>
      <c r="I3826">
        <v>140.34700000000001</v>
      </c>
      <c r="J3826">
        <v>-266.63839999999999</v>
      </c>
      <c r="K3826">
        <v>1.1097999999999999</v>
      </c>
      <c r="L3826">
        <v>141.53790000000001</v>
      </c>
      <c r="M3826">
        <v>-0.99990650000000003</v>
      </c>
      <c r="N3826">
        <v>-9.5263910000000004E-3</v>
      </c>
      <c r="O3826">
        <v>-9.8164380000000002E-3</v>
      </c>
      <c r="P3826">
        <v>-0.93400090000000002</v>
      </c>
      <c r="Q3826">
        <v>0.34557359999999998</v>
      </c>
      <c r="R3826">
        <v>-9.0671290000000002E-2</v>
      </c>
      <c r="S3826">
        <v>-3.2640380000000002</v>
      </c>
      <c r="T3826">
        <v>-0.19638839999999999</v>
      </c>
      <c r="U3826">
        <v>-0.21145630000000001</v>
      </c>
      <c r="V3826">
        <v>-8.1275860000000005E-2</v>
      </c>
      <c r="W3826">
        <v>0.35451480000000002</v>
      </c>
      <c r="X3826">
        <v>0.93151139999999999</v>
      </c>
      <c r="Y3826">
        <v>-5.4746919999999998E-2</v>
      </c>
      <c r="Z3826">
        <v>-1.4090350000000001E-3</v>
      </c>
      <c r="AA3826">
        <v>0.99849929999999998</v>
      </c>
      <c r="AB3826">
        <v>41</v>
      </c>
      <c r="AC3826">
        <v>-18.022699999999901</v>
      </c>
      <c r="AD3826">
        <v>-1.10980592099</v>
      </c>
      <c r="AE3826">
        <v>-1.1908999999999901</v>
      </c>
      <c r="AF3826">
        <v>-1.01010234570309</v>
      </c>
      <c r="AG3826">
        <v>-1.10980592099</v>
      </c>
      <c r="AH3826">
        <v>17.965694898943902</v>
      </c>
      <c r="AI3826">
        <v>93.529315862729504</v>
      </c>
      <c r="AJ3826">
        <v>93.218007091740503</v>
      </c>
      <c r="AK3826">
        <v>18.028260291359199</v>
      </c>
      <c r="AL3826">
        <v>69.236289438906397</v>
      </c>
      <c r="AM3826">
        <v>94.986520155284595</v>
      </c>
      <c r="AN3826">
        <v>0.99999999858386901</v>
      </c>
    </row>
    <row r="3827" spans="1:40" x14ac:dyDescent="0.25">
      <c r="A3827" t="str">
        <f>"20190304164720610"</f>
        <v>20190304164720610</v>
      </c>
      <c r="B3827" t="str">
        <f>"1551689240603131"</f>
        <v>1551689240603131</v>
      </c>
      <c r="C3827" t="s">
        <v>40</v>
      </c>
      <c r="D3827">
        <v>3.9760939999999998</v>
      </c>
      <c r="E3827">
        <v>0.52090879999999995</v>
      </c>
      <c r="F3827" t="s">
        <v>51</v>
      </c>
      <c r="G3827">
        <v>-285.18720000000002</v>
      </c>
      <c r="H3827" s="1">
        <v>-6.1909740000000002E-6</v>
      </c>
      <c r="I3827">
        <v>140.33340000000001</v>
      </c>
      <c r="J3827">
        <v>-267.05410000000001</v>
      </c>
      <c r="K3827">
        <v>1.1097520000000001</v>
      </c>
      <c r="L3827">
        <v>141.5341</v>
      </c>
      <c r="M3827">
        <v>-0.99990979999999996</v>
      </c>
      <c r="N3827">
        <v>-9.5281359999999996E-3</v>
      </c>
      <c r="O3827">
        <v>-9.4748569999999997E-3</v>
      </c>
      <c r="P3827">
        <v>-0.93411180000000005</v>
      </c>
      <c r="Q3827">
        <v>0.34543810000000003</v>
      </c>
      <c r="R3827">
        <v>-9.0045470000000002E-2</v>
      </c>
      <c r="S3827">
        <v>-3.2637019999999999</v>
      </c>
      <c r="T3827">
        <v>-0.1952729</v>
      </c>
      <c r="U3827">
        <v>-0.21194460000000001</v>
      </c>
      <c r="V3827">
        <v>-8.092502E-2</v>
      </c>
      <c r="W3827">
        <v>0.35439130000000002</v>
      </c>
      <c r="X3827">
        <v>0.93158890000000005</v>
      </c>
      <c r="Y3827">
        <v>-5.5242949999999999E-2</v>
      </c>
      <c r="Z3827">
        <v>-1.437546E-3</v>
      </c>
      <c r="AA3827">
        <v>0.99847189999999997</v>
      </c>
      <c r="AB3827">
        <v>41</v>
      </c>
      <c r="AC3827">
        <v>-18.133099999999999</v>
      </c>
      <c r="AD3827">
        <v>-1.109758190974</v>
      </c>
      <c r="AE3827">
        <v>-1.2006999999999799</v>
      </c>
      <c r="AF3827">
        <v>-1.0250073539882101</v>
      </c>
      <c r="AG3827">
        <v>-1.109758190974</v>
      </c>
      <c r="AH3827">
        <v>18.076253469345499</v>
      </c>
      <c r="AI3827">
        <v>93.507538663818593</v>
      </c>
      <c r="AJ3827">
        <v>93.245460736546605</v>
      </c>
      <c r="AK3827">
        <v>18.139270735236</v>
      </c>
      <c r="AL3827">
        <v>69.243856068131507</v>
      </c>
      <c r="AM3827">
        <v>94.964691901913199</v>
      </c>
      <c r="AN3827">
        <v>0.99999996549044901</v>
      </c>
    </row>
    <row r="3828" spans="1:40" x14ac:dyDescent="0.25">
      <c r="A3828" t="str">
        <f>"20190304164720632"</f>
        <v>20190304164720632</v>
      </c>
      <c r="B3828" t="str">
        <f>"1551689240622655"</f>
        <v>1551689240622655</v>
      </c>
      <c r="C3828" t="s">
        <v>40</v>
      </c>
      <c r="D3828">
        <v>4.196383</v>
      </c>
      <c r="E3828">
        <v>0.52105990000000002</v>
      </c>
      <c r="F3828" t="s">
        <v>51</v>
      </c>
      <c r="G3828">
        <v>-285.61700000000002</v>
      </c>
      <c r="H3828" s="1">
        <v>-6.4580229999999901E-6</v>
      </c>
      <c r="I3828">
        <v>140.33179999999999</v>
      </c>
      <c r="J3828">
        <v>-267.4529</v>
      </c>
      <c r="K3828">
        <v>1.109701</v>
      </c>
      <c r="L3828">
        <v>141.5307</v>
      </c>
      <c r="M3828">
        <v>-0.9999133</v>
      </c>
      <c r="N3828">
        <v>-9.5272099999999995E-3</v>
      </c>
      <c r="O3828">
        <v>-9.0856689999999993E-3</v>
      </c>
      <c r="P3828">
        <v>-0.93384889999999998</v>
      </c>
      <c r="Q3828">
        <v>0.34638449999999998</v>
      </c>
      <c r="R3828">
        <v>-8.9129639999999996E-2</v>
      </c>
      <c r="S3828">
        <v>-3.2633670000000001</v>
      </c>
      <c r="T3828">
        <v>-0.1950963</v>
      </c>
      <c r="U3828">
        <v>-0.21136469999999999</v>
      </c>
      <c r="V3828">
        <v>-8.0328419999999998E-2</v>
      </c>
      <c r="W3828">
        <v>0.35534399999999999</v>
      </c>
      <c r="X3828">
        <v>0.93127760000000004</v>
      </c>
      <c r="Y3828">
        <v>-5.546077E-2</v>
      </c>
      <c r="Z3828">
        <v>-1.46370299999999E-3</v>
      </c>
      <c r="AA3828">
        <v>0.99845980000000001</v>
      </c>
      <c r="AB3828">
        <v>41</v>
      </c>
      <c r="AC3828">
        <v>-18.164100000000001</v>
      </c>
      <c r="AD3828">
        <v>-1.109707458023</v>
      </c>
      <c r="AE3828">
        <v>-1.1989000000000001</v>
      </c>
      <c r="AF3828">
        <v>-1.0299823729439801</v>
      </c>
      <c r="AG3828">
        <v>-1.109707458023</v>
      </c>
      <c r="AH3828">
        <v>18.106954088326201</v>
      </c>
      <c r="AI3828">
        <v>93.501411392122606</v>
      </c>
      <c r="AJ3828">
        <v>93.255661648864105</v>
      </c>
      <c r="AK3828">
        <v>18.170143111371502</v>
      </c>
      <c r="AL3828">
        <v>69.185470986768095</v>
      </c>
      <c r="AM3828">
        <v>94.929911111278102</v>
      </c>
      <c r="AN3828">
        <v>0.99999999082872804</v>
      </c>
    </row>
    <row r="3829" spans="1:40" x14ac:dyDescent="0.25">
      <c r="A3829" t="str">
        <f>"20190304164720654"</f>
        <v>20190304164720654</v>
      </c>
      <c r="B3829" t="str">
        <f>"1551689240643147"</f>
        <v>1551689240643147</v>
      </c>
      <c r="C3829" t="s">
        <v>40</v>
      </c>
      <c r="D3829">
        <v>3.9264290000000002</v>
      </c>
      <c r="E3829">
        <v>0.5211114</v>
      </c>
      <c r="F3829" t="s">
        <v>51</v>
      </c>
      <c r="G3829">
        <v>-286.39440000000002</v>
      </c>
      <c r="H3829" s="1">
        <v>-6.9375909999999998E-6</v>
      </c>
      <c r="I3829">
        <v>140.31819999999999</v>
      </c>
      <c r="J3829">
        <v>-267.84780000000001</v>
      </c>
      <c r="K3829">
        <v>1.109637</v>
      </c>
      <c r="L3829">
        <v>141.5275</v>
      </c>
      <c r="M3829">
        <v>-0.99991739999999996</v>
      </c>
      <c r="N3829">
        <v>-9.5232600000000004E-3</v>
      </c>
      <c r="O3829">
        <v>-8.6417509999999996E-3</v>
      </c>
      <c r="P3829">
        <v>-0.9338706</v>
      </c>
      <c r="Q3829">
        <v>0.34663890000000003</v>
      </c>
      <c r="R3829">
        <v>-8.7904910000000003E-2</v>
      </c>
      <c r="S3829">
        <v>-3.2634889999999999</v>
      </c>
      <c r="T3829">
        <v>-0.19119520000000001</v>
      </c>
      <c r="U3829">
        <v>-0.20890810000000001</v>
      </c>
      <c r="V3829">
        <v>-7.9470470000000001E-2</v>
      </c>
      <c r="W3829">
        <v>0.35560429999999998</v>
      </c>
      <c r="X3829">
        <v>0.93125190000000002</v>
      </c>
      <c r="Y3829">
        <v>-5.515689E-2</v>
      </c>
      <c r="Z3829">
        <v>-1.452722E-3</v>
      </c>
      <c r="AA3829">
        <v>0.99847660000000005</v>
      </c>
      <c r="AB3829">
        <v>41</v>
      </c>
      <c r="AC3829">
        <v>-18.546600000000002</v>
      </c>
      <c r="AD3829">
        <v>-1.1096439375910001</v>
      </c>
      <c r="AE3829">
        <v>-1.20930000000001</v>
      </c>
      <c r="AF3829">
        <v>-1.0452467255795399</v>
      </c>
      <c r="AG3829">
        <v>-1.1096439375910001</v>
      </c>
      <c r="AH3829">
        <v>18.490449497855401</v>
      </c>
      <c r="AI3829">
        <v>93.428839246091002</v>
      </c>
      <c r="AJ3829">
        <v>93.235430077126907</v>
      </c>
      <c r="AK3829">
        <v>18.5531822881766</v>
      </c>
      <c r="AL3829">
        <v>69.169515747755</v>
      </c>
      <c r="AM3829">
        <v>94.877646387823901</v>
      </c>
      <c r="AN3829">
        <v>1.0000000375170499</v>
      </c>
    </row>
    <row r="3830" spans="1:40" x14ac:dyDescent="0.25">
      <c r="A3830" t="str">
        <f>"20190304164720678"</f>
        <v>20190304164720678</v>
      </c>
      <c r="B3830" t="str">
        <f>"1551689240672428"</f>
        <v>1551689240672428</v>
      </c>
      <c r="C3830" t="s">
        <v>40</v>
      </c>
      <c r="D3830">
        <v>3.9836019999999999</v>
      </c>
      <c r="E3830">
        <v>0.52223350000000002</v>
      </c>
      <c r="F3830" t="s">
        <v>51</v>
      </c>
      <c r="G3830">
        <v>-287.06569999999999</v>
      </c>
      <c r="H3830" s="1">
        <v>-7.3542480000000003E-6</v>
      </c>
      <c r="I3830">
        <v>140.3143</v>
      </c>
      <c r="J3830">
        <v>-268.28800000000001</v>
      </c>
      <c r="K3830">
        <v>1.1095809999999999</v>
      </c>
      <c r="L3830">
        <v>141.5241</v>
      </c>
      <c r="M3830">
        <v>-0.99992210000000004</v>
      </c>
      <c r="N3830">
        <v>-9.5175910000000006E-3</v>
      </c>
      <c r="O3830">
        <v>-8.0865989999999999E-3</v>
      </c>
      <c r="P3830">
        <v>-0.93394829999999995</v>
      </c>
      <c r="Q3830">
        <v>0.34687669999999998</v>
      </c>
      <c r="R3830">
        <v>-8.6124329999999999E-2</v>
      </c>
      <c r="S3830">
        <v>-3.2629700000000001</v>
      </c>
      <c r="T3830">
        <v>-0.18840409999999999</v>
      </c>
      <c r="U3830">
        <v>-0.20597840000000001</v>
      </c>
      <c r="V3830">
        <v>-7.8159370000000006E-2</v>
      </c>
      <c r="W3830">
        <v>0.35584670000000002</v>
      </c>
      <c r="X3830">
        <v>0.93127020000000005</v>
      </c>
      <c r="Y3830">
        <v>-5.4831020000000001E-2</v>
      </c>
      <c r="Z3830">
        <v>-1.452341E-3</v>
      </c>
      <c r="AA3830">
        <v>0.99849460000000001</v>
      </c>
      <c r="AB3830">
        <v>41</v>
      </c>
      <c r="AC3830">
        <v>-18.7776999999999</v>
      </c>
      <c r="AD3830">
        <v>-1.1095883542479901</v>
      </c>
      <c r="AE3830">
        <v>-1.2098</v>
      </c>
      <c r="AF3830">
        <v>-1.0542399550111099</v>
      </c>
      <c r="AG3830">
        <v>-1.1095883542479901</v>
      </c>
      <c r="AH3830">
        <v>18.721768695144402</v>
      </c>
      <c r="AI3830">
        <v>93.3864452012985</v>
      </c>
      <c r="AJ3830">
        <v>93.222974138677998</v>
      </c>
      <c r="AK3830">
        <v>18.7842282586513</v>
      </c>
      <c r="AL3830">
        <v>69.154653829304806</v>
      </c>
      <c r="AM3830">
        <v>94.797460111333194</v>
      </c>
      <c r="AN3830">
        <v>0.99999997321386302</v>
      </c>
    </row>
    <row r="3831" spans="1:40" x14ac:dyDescent="0.25">
      <c r="A3831" t="str">
        <f>"20190304164720701"</f>
        <v>20190304164720701</v>
      </c>
      <c r="B3831" t="str">
        <f>"1551689240692925"</f>
        <v>1551689240692925</v>
      </c>
      <c r="C3831" t="s">
        <v>40</v>
      </c>
      <c r="D3831">
        <v>3.920099</v>
      </c>
      <c r="E3831">
        <v>0.52439080000000005</v>
      </c>
      <c r="F3831" t="s">
        <v>51</v>
      </c>
      <c r="G3831">
        <v>-287.29770000000002</v>
      </c>
      <c r="H3831" s="1">
        <v>-7.5234699999999996E-6</v>
      </c>
      <c r="I3831">
        <v>140.39099999999999</v>
      </c>
      <c r="J3831">
        <v>-268.7208</v>
      </c>
      <c r="K3831">
        <v>1.1095330000000001</v>
      </c>
      <c r="L3831">
        <v>141.52109999999999</v>
      </c>
      <c r="M3831">
        <v>-0.9999268</v>
      </c>
      <c r="N3831">
        <v>-9.5124279999999999E-3</v>
      </c>
      <c r="O3831">
        <v>-7.4986599999999999E-3</v>
      </c>
      <c r="P3831">
        <v>-0.93407150000000005</v>
      </c>
      <c r="Q3831">
        <v>0.34709499999999999</v>
      </c>
      <c r="R3831">
        <v>-8.3879280000000001E-2</v>
      </c>
      <c r="S3831">
        <v>-3.265015</v>
      </c>
      <c r="T3831">
        <v>-0.19057740000000001</v>
      </c>
      <c r="U3831">
        <v>-0.19462589999999999</v>
      </c>
      <c r="V3831">
        <v>-7.6422740000000003E-2</v>
      </c>
      <c r="W3831">
        <v>0.35606719999999997</v>
      </c>
      <c r="X3831">
        <v>0.93133010000000005</v>
      </c>
      <c r="Y3831">
        <v>-5.1922919999999997E-2</v>
      </c>
      <c r="Z3831">
        <v>-1.394471E-3</v>
      </c>
      <c r="AA3831">
        <v>0.99865009999999999</v>
      </c>
      <c r="AB3831">
        <v>41</v>
      </c>
      <c r="AC3831">
        <v>-18.576899999999998</v>
      </c>
      <c r="AD3831">
        <v>-1.10954052347</v>
      </c>
      <c r="AE3831">
        <v>-1.1300999999999899</v>
      </c>
      <c r="AF3831">
        <v>-0.98725124866751601</v>
      </c>
      <c r="AG3831">
        <v>-1.10954052347</v>
      </c>
      <c r="AH3831">
        <v>18.519032875486499</v>
      </c>
      <c r="AI3831">
        <v>93.423843229059997</v>
      </c>
      <c r="AJ3831">
        <v>93.051554358505001</v>
      </c>
      <c r="AK3831">
        <v>18.5784908925501</v>
      </c>
      <c r="AL3831">
        <v>69.141135669336094</v>
      </c>
      <c r="AM3831">
        <v>94.691045687887197</v>
      </c>
      <c r="AN3831">
        <v>1.00000002063547</v>
      </c>
    </row>
    <row r="3832" spans="1:40" x14ac:dyDescent="0.25">
      <c r="A3832" t="str">
        <f>"20190304164720726"</f>
        <v>20190304164720726</v>
      </c>
      <c r="B3832" t="str">
        <f>"1551689240712443"</f>
        <v>1551689240712443</v>
      </c>
      <c r="C3832" t="s">
        <v>40</v>
      </c>
      <c r="D3832">
        <v>3.8681329999999998</v>
      </c>
      <c r="E3832">
        <v>0.52630369999999904</v>
      </c>
      <c r="F3832" t="s">
        <v>51</v>
      </c>
      <c r="G3832">
        <v>-286.9325</v>
      </c>
      <c r="H3832" s="1">
        <v>-7.3485370000000004E-6</v>
      </c>
      <c r="I3832">
        <v>140.553</v>
      </c>
      <c r="J3832">
        <v>-269.16120000000001</v>
      </c>
      <c r="K3832">
        <v>1.109486</v>
      </c>
      <c r="L3832">
        <v>141.51830000000001</v>
      </c>
      <c r="M3832">
        <v>-0.99993129999999997</v>
      </c>
      <c r="N3832">
        <v>-9.508051E-3</v>
      </c>
      <c r="O3832">
        <v>-6.8695700000000002E-3</v>
      </c>
      <c r="P3832">
        <v>-0.93441149999999995</v>
      </c>
      <c r="Q3832">
        <v>0.3467904</v>
      </c>
      <c r="R3832">
        <v>-8.1312949999999995E-2</v>
      </c>
      <c r="S3832">
        <v>-3.2701720000000001</v>
      </c>
      <c r="T3832">
        <v>-0.19923389999999999</v>
      </c>
      <c r="U3832">
        <v>-0.17384340000000001</v>
      </c>
      <c r="V3832">
        <v>-7.4409749999999997E-2</v>
      </c>
      <c r="W3832">
        <v>0.35576560000000002</v>
      </c>
      <c r="X3832">
        <v>0.93160829999999994</v>
      </c>
      <c r="Y3832">
        <v>-4.6134290000000001E-2</v>
      </c>
      <c r="Z3832">
        <v>-1.270186E-3</v>
      </c>
      <c r="AA3832">
        <v>0.9989344</v>
      </c>
      <c r="AB3832">
        <v>41</v>
      </c>
      <c r="AC3832">
        <v>-17.771299999999901</v>
      </c>
      <c r="AD3832">
        <v>-1.109493348537</v>
      </c>
      <c r="AE3832">
        <v>-0.96530000000001304</v>
      </c>
      <c r="AF3832">
        <v>-0.83992635527625403</v>
      </c>
      <c r="AG3832">
        <v>-1.109493348537</v>
      </c>
      <c r="AH3832">
        <v>17.708691599684901</v>
      </c>
      <c r="AI3832">
        <v>93.581021228529096</v>
      </c>
      <c r="AJ3832">
        <v>92.715513820642897</v>
      </c>
      <c r="AK3832">
        <v>17.763282634284899</v>
      </c>
      <c r="AL3832">
        <v>69.159626448693302</v>
      </c>
      <c r="AM3832">
        <v>94.566654245053599</v>
      </c>
      <c r="AN3832">
        <v>0.99999999883365598</v>
      </c>
    </row>
    <row r="3833" spans="1:40" x14ac:dyDescent="0.25">
      <c r="A3833" t="str">
        <f>"20190304164720745"</f>
        <v>20190304164720745</v>
      </c>
      <c r="B3833" t="str">
        <f>"1551689240742700"</f>
        <v>1551689240742700</v>
      </c>
      <c r="C3833" t="s">
        <v>40</v>
      </c>
      <c r="D3833">
        <v>3.910263</v>
      </c>
      <c r="E3833">
        <v>0.52855549999999996</v>
      </c>
      <c r="F3833" t="s">
        <v>51</v>
      </c>
      <c r="G3833">
        <v>-286.61419999999998</v>
      </c>
      <c r="H3833" s="1">
        <v>-7.2007679999999997E-6</v>
      </c>
      <c r="I3833">
        <v>140.70869999999999</v>
      </c>
      <c r="J3833">
        <v>-269.53879999999998</v>
      </c>
      <c r="K3833">
        <v>1.1094599999999999</v>
      </c>
      <c r="L3833">
        <v>141.5162</v>
      </c>
      <c r="M3833">
        <v>-0.99993500000000002</v>
      </c>
      <c r="N3833">
        <v>-9.5054679999999996E-3</v>
      </c>
      <c r="O3833">
        <v>-6.3139190000000003E-3</v>
      </c>
      <c r="P3833">
        <v>-0.93457840000000003</v>
      </c>
      <c r="Q3833">
        <v>0.3467075</v>
      </c>
      <c r="R3833">
        <v>-7.9732399999999995E-2</v>
      </c>
      <c r="S3833">
        <v>-3.2746279999999999</v>
      </c>
      <c r="T3833">
        <v>-0.2081693</v>
      </c>
      <c r="U3833">
        <v>-0.15191650000000001</v>
      </c>
      <c r="V3833">
        <v>-7.3325559999999998E-2</v>
      </c>
      <c r="W3833">
        <v>0.35568450000000001</v>
      </c>
      <c r="X3833">
        <v>0.93172529999999998</v>
      </c>
      <c r="Y3833">
        <v>-3.9950470000000002E-2</v>
      </c>
      <c r="Z3833">
        <v>-1.1172689999999999E-3</v>
      </c>
      <c r="AA3833">
        <v>0.99920109999999995</v>
      </c>
      <c r="AB3833">
        <v>41</v>
      </c>
      <c r="AC3833">
        <v>-17.075399999999998</v>
      </c>
      <c r="AD3833">
        <v>-1.109467200768</v>
      </c>
      <c r="AE3833">
        <v>-0.80750000000000399</v>
      </c>
      <c r="AF3833">
        <v>-0.69673152451822196</v>
      </c>
      <c r="AG3833">
        <v>-1.109467200768</v>
      </c>
      <c r="AH3833">
        <v>17.0085137401298</v>
      </c>
      <c r="AI3833">
        <v>93.729004034911299</v>
      </c>
      <c r="AJ3833">
        <v>92.345735205930794</v>
      </c>
      <c r="AK3833">
        <v>17.058894804031699</v>
      </c>
      <c r="AL3833">
        <v>69.164599852537293</v>
      </c>
      <c r="AM3833">
        <v>94.4998281790796</v>
      </c>
      <c r="AN3833">
        <v>1.00000006797482</v>
      </c>
    </row>
    <row r="3834" spans="1:40" x14ac:dyDescent="0.25">
      <c r="A3834" t="str">
        <f>"20190304164720767"</f>
        <v>20190304164720767</v>
      </c>
      <c r="B3834" t="str">
        <f>"1551689240763196"</f>
        <v>1551689240763196</v>
      </c>
      <c r="C3834" t="s">
        <v>40</v>
      </c>
      <c r="D3834">
        <v>3.899921</v>
      </c>
      <c r="E3834">
        <v>0.52967919999999902</v>
      </c>
      <c r="F3834" t="s">
        <v>51</v>
      </c>
      <c r="G3834">
        <v>-286.29910000000001</v>
      </c>
      <c r="H3834" s="1">
        <v>-7.0532300000000001E-6</v>
      </c>
      <c r="I3834">
        <v>140.85900000000001</v>
      </c>
      <c r="J3834">
        <v>-269.9375</v>
      </c>
      <c r="K3834">
        <v>1.109434</v>
      </c>
      <c r="L3834">
        <v>141.51410000000001</v>
      </c>
      <c r="M3834">
        <v>-0.99993849999999995</v>
      </c>
      <c r="N3834">
        <v>-9.5039919999999993E-3</v>
      </c>
      <c r="O3834">
        <v>-5.7172969999999997E-3</v>
      </c>
      <c r="P3834">
        <v>-0.93479089999999998</v>
      </c>
      <c r="Q3834">
        <v>0.34656100000000001</v>
      </c>
      <c r="R3834">
        <v>-7.7855199999999999E-2</v>
      </c>
      <c r="S3834">
        <v>-3.2795719999999999</v>
      </c>
      <c r="T3834">
        <v>-0.2170956</v>
      </c>
      <c r="U3834">
        <v>-0.1286011</v>
      </c>
      <c r="V3834">
        <v>-7.1985300000000002E-2</v>
      </c>
      <c r="W3834">
        <v>0.35554049999999998</v>
      </c>
      <c r="X3834">
        <v>0.93188459999999995</v>
      </c>
      <c r="Y3834">
        <v>-3.3394529999999999E-2</v>
      </c>
      <c r="Z3834">
        <v>-9.3899490000000005E-4</v>
      </c>
      <c r="AA3834">
        <v>0.99944180000000005</v>
      </c>
      <c r="AB3834">
        <v>41</v>
      </c>
      <c r="AC3834">
        <v>-16.361599999999999</v>
      </c>
      <c r="AD3834">
        <v>-1.1094410532300001</v>
      </c>
      <c r="AE3834">
        <v>-0.65510000000000401</v>
      </c>
      <c r="AF3834">
        <v>-0.55897495932299801</v>
      </c>
      <c r="AG3834">
        <v>-1.1094410532300001</v>
      </c>
      <c r="AH3834">
        <v>16.2902973065375</v>
      </c>
      <c r="AI3834">
        <v>93.893794401346696</v>
      </c>
      <c r="AJ3834">
        <v>91.965240088788605</v>
      </c>
      <c r="AK3834">
        <v>16.337597705633598</v>
      </c>
      <c r="AL3834">
        <v>69.173424231153604</v>
      </c>
      <c r="AM3834">
        <v>94.417155779209395</v>
      </c>
      <c r="AN3834">
        <v>0.99999991913674602</v>
      </c>
    </row>
    <row r="3835" spans="1:40" x14ac:dyDescent="0.25">
      <c r="A3835" t="str">
        <f>"20190304164720789"</f>
        <v>20190304164720789</v>
      </c>
      <c r="B3835" t="str">
        <f>"1551689240782716"</f>
        <v>1551689240782716</v>
      </c>
      <c r="C3835" t="s">
        <v>40</v>
      </c>
      <c r="D3835">
        <v>3.9289999999999998</v>
      </c>
      <c r="E3835">
        <v>0.53059820000000002</v>
      </c>
      <c r="F3835" t="s">
        <v>51</v>
      </c>
      <c r="G3835">
        <v>-286.28379999999999</v>
      </c>
      <c r="H3835" s="1">
        <v>-7.0738699999999997E-6</v>
      </c>
      <c r="I3835">
        <v>140.9522</v>
      </c>
      <c r="J3835">
        <v>-270.35410000000002</v>
      </c>
      <c r="K3835">
        <v>1.1094139999999999</v>
      </c>
      <c r="L3835">
        <v>141.51220000000001</v>
      </c>
      <c r="M3835">
        <v>-0.99994209999999994</v>
      </c>
      <c r="N3835">
        <v>-9.5036029999999994E-3</v>
      </c>
      <c r="O3835">
        <v>-5.0892309999999996E-3</v>
      </c>
      <c r="P3835">
        <v>-0.93519169999999996</v>
      </c>
      <c r="Q3835">
        <v>0.34590959999999898</v>
      </c>
      <c r="R3835">
        <v>-7.5917650000000003E-2</v>
      </c>
      <c r="S3835">
        <v>-3.2824399999999998</v>
      </c>
      <c r="T3835">
        <v>-0.22278319999999999</v>
      </c>
      <c r="U3835">
        <v>-0.1128387</v>
      </c>
      <c r="V3835">
        <v>-7.0616070000000003E-2</v>
      </c>
      <c r="W3835">
        <v>0.35489330000000002</v>
      </c>
      <c r="X3835">
        <v>0.93223610000000001</v>
      </c>
      <c r="Y3835">
        <v>-2.9201410000000001E-2</v>
      </c>
      <c r="Z3835">
        <v>-8.3192399999999897E-4</v>
      </c>
      <c r="AA3835">
        <v>0.99957320000000005</v>
      </c>
      <c r="AB3835">
        <v>42</v>
      </c>
      <c r="AC3835">
        <v>-15.929699999999899</v>
      </c>
      <c r="AD3835">
        <v>-1.1094210738700001</v>
      </c>
      <c r="AE3835">
        <v>-0.56000000000000205</v>
      </c>
      <c r="AF3835">
        <v>-0.47661028248645798</v>
      </c>
      <c r="AG3835">
        <v>-1.1094210738700001</v>
      </c>
      <c r="AH3835">
        <v>15.8555330209629</v>
      </c>
      <c r="AI3835">
        <v>94.000695161849606</v>
      </c>
      <c r="AJ3835">
        <v>91.7217672337311</v>
      </c>
      <c r="AK3835">
        <v>15.9014433262948</v>
      </c>
      <c r="AL3835">
        <v>69.213095197234594</v>
      </c>
      <c r="AM3835">
        <v>94.331832622316895</v>
      </c>
      <c r="AN3835">
        <v>1.00000001493517</v>
      </c>
    </row>
    <row r="3836" spans="1:40" x14ac:dyDescent="0.25">
      <c r="A3836" t="str">
        <f>"20190304164720812"</f>
        <v>20190304164720812</v>
      </c>
      <c r="B3836" t="str">
        <f>"1551689240803211"</f>
        <v>1551689240803211</v>
      </c>
      <c r="C3836" t="s">
        <v>40</v>
      </c>
      <c r="D3836">
        <v>3.971088</v>
      </c>
      <c r="E3836">
        <v>0.53132170000000001</v>
      </c>
      <c r="F3836" t="s">
        <v>51</v>
      </c>
      <c r="G3836">
        <v>-286.21609999999998</v>
      </c>
      <c r="H3836" s="1">
        <v>-7.0563160000000001E-6</v>
      </c>
      <c r="I3836">
        <v>141.02809999999999</v>
      </c>
      <c r="J3836">
        <v>-270.78750000000002</v>
      </c>
      <c r="K3836">
        <v>1.1093980000000001</v>
      </c>
      <c r="L3836">
        <v>141.51050000000001</v>
      </c>
      <c r="M3836">
        <v>-0.99994499999999997</v>
      </c>
      <c r="N3836">
        <v>-9.5043430000000002E-3</v>
      </c>
      <c r="O3836">
        <v>-4.4344850000000002E-3</v>
      </c>
      <c r="P3836">
        <v>-0.93544780000000005</v>
      </c>
      <c r="Q3836">
        <v>0.34557529999999997</v>
      </c>
      <c r="R3836">
        <v>-7.4265380000000006E-2</v>
      </c>
      <c r="S3836">
        <v>-3.284729</v>
      </c>
      <c r="T3836">
        <v>-0.2297409</v>
      </c>
      <c r="U3836">
        <v>-0.1002502</v>
      </c>
      <c r="V3836">
        <v>-6.9558930000000005E-2</v>
      </c>
      <c r="W3836">
        <v>0.35456339999999997</v>
      </c>
      <c r="X3836">
        <v>0.93244110000000002</v>
      </c>
      <c r="Y3836">
        <v>-2.6008920000000001E-2</v>
      </c>
      <c r="Z3836">
        <v>-7.644339E-4</v>
      </c>
      <c r="AA3836">
        <v>0.99966140000000003</v>
      </c>
      <c r="AB3836">
        <v>42</v>
      </c>
      <c r="AC3836">
        <v>-15.4285999999999</v>
      </c>
      <c r="AD3836">
        <v>-1.1094050563159901</v>
      </c>
      <c r="AE3836">
        <v>-0.48240000000001199</v>
      </c>
      <c r="AF3836">
        <v>-0.41184692195432399</v>
      </c>
      <c r="AG3836">
        <v>-1.1094050563159901</v>
      </c>
      <c r="AH3836">
        <v>15.3512922101784</v>
      </c>
      <c r="AI3836">
        <v>94.131976007285203</v>
      </c>
      <c r="AJ3836">
        <v>91.536771707389093</v>
      </c>
      <c r="AK3836">
        <v>15.396836362980199</v>
      </c>
      <c r="AL3836">
        <v>69.233312036120907</v>
      </c>
      <c r="AM3836">
        <v>94.266290667214307</v>
      </c>
      <c r="AN3836">
        <v>1.0000000271657501</v>
      </c>
    </row>
    <row r="3837" spans="1:40" x14ac:dyDescent="0.25">
      <c r="A3837" t="str">
        <f>"20190304164720845"</f>
        <v>20190304164720845</v>
      </c>
      <c r="B3837" t="str">
        <f>"1551689240832495"</f>
        <v>1551689240832495</v>
      </c>
      <c r="C3837" t="s">
        <v>40</v>
      </c>
      <c r="D3837">
        <v>4.0248150000000003</v>
      </c>
      <c r="E3837">
        <v>0.53204700000000005</v>
      </c>
      <c r="F3837" t="s">
        <v>51</v>
      </c>
      <c r="G3837">
        <v>-286.23919999999998</v>
      </c>
      <c r="H3837" s="1">
        <v>-7.0895899999999898E-6</v>
      </c>
      <c r="I3837">
        <v>141.0866</v>
      </c>
      <c r="J3837">
        <v>-271.37819999999999</v>
      </c>
      <c r="K3837">
        <v>1.10937</v>
      </c>
      <c r="L3837">
        <v>141.5086</v>
      </c>
      <c r="M3837">
        <v>-0.99994859999999997</v>
      </c>
      <c r="N3837">
        <v>-9.5072409999999996E-3</v>
      </c>
      <c r="O3837">
        <v>-3.5435689999999999E-3</v>
      </c>
      <c r="P3837">
        <v>-0.93545029999999996</v>
      </c>
      <c r="Q3837">
        <v>0.34593200000000002</v>
      </c>
      <c r="R3837">
        <v>-7.2554320000000005E-2</v>
      </c>
      <c r="S3837">
        <v>-3.287048</v>
      </c>
      <c r="T3837">
        <v>-0.2360044</v>
      </c>
      <c r="U3837">
        <v>-9.017944E-2</v>
      </c>
      <c r="V3837">
        <v>-6.866179E-2</v>
      </c>
      <c r="W3837">
        <v>0.35492459999999998</v>
      </c>
      <c r="X3837">
        <v>0.93237020000000004</v>
      </c>
      <c r="Y3837">
        <v>-2.3819340000000001E-2</v>
      </c>
      <c r="Z3837">
        <v>-7.4685419999999999E-4</v>
      </c>
      <c r="AA3837">
        <v>0.99971600000000005</v>
      </c>
      <c r="AB3837">
        <v>42</v>
      </c>
      <c r="AC3837">
        <v>-14.860999999999899</v>
      </c>
      <c r="AD3837">
        <v>-1.1093770895899999</v>
      </c>
      <c r="AE3837">
        <v>-0.42199999999999599</v>
      </c>
      <c r="AF3837">
        <v>-0.36728886930298599</v>
      </c>
      <c r="AG3837">
        <v>-1.1093770895899999</v>
      </c>
      <c r="AH3837">
        <v>14.780104051713399</v>
      </c>
      <c r="AI3837">
        <v>94.291184472530503</v>
      </c>
      <c r="AJ3837">
        <v>91.423519874483503</v>
      </c>
      <c r="AK3837">
        <v>14.8262299462775</v>
      </c>
      <c r="AL3837">
        <v>69.2111777587467</v>
      </c>
      <c r="AM3837">
        <v>94.211784319938602</v>
      </c>
      <c r="AN3837">
        <v>1.0000000514695999</v>
      </c>
    </row>
    <row r="3838" spans="1:40" x14ac:dyDescent="0.25">
      <c r="A3838" t="str">
        <f>"20190304164720867"</f>
        <v>20190304164720867</v>
      </c>
      <c r="B3838" t="str">
        <f>"1551689240862747"</f>
        <v>1551689240862747</v>
      </c>
      <c r="C3838" t="s">
        <v>40</v>
      </c>
      <c r="D3838">
        <v>4.0426190000000002</v>
      </c>
      <c r="E3838">
        <v>0.53266880000000005</v>
      </c>
      <c r="F3838" t="s">
        <v>51</v>
      </c>
      <c r="G3838">
        <v>-286.59539999999998</v>
      </c>
      <c r="H3838" s="1">
        <v>-7.3277000000000002E-6</v>
      </c>
      <c r="I3838">
        <v>141.137</v>
      </c>
      <c r="J3838">
        <v>-271.81130000000002</v>
      </c>
      <c r="K3838">
        <v>1.1093519999999999</v>
      </c>
      <c r="L3838">
        <v>141.5076</v>
      </c>
      <c r="M3838">
        <v>-0.99995060000000002</v>
      </c>
      <c r="N3838">
        <v>-9.5103310000000003E-3</v>
      </c>
      <c r="O3838">
        <v>-2.89127E-3</v>
      </c>
      <c r="P3838">
        <v>-0.9354827</v>
      </c>
      <c r="Q3838">
        <v>0.34604230000000002</v>
      </c>
      <c r="R3838">
        <v>-7.1600469999999999E-2</v>
      </c>
      <c r="S3838">
        <v>-3.2894290000000002</v>
      </c>
      <c r="T3838">
        <v>-0.23980899999999999</v>
      </c>
      <c r="U3838">
        <v>-8.0322270000000001E-2</v>
      </c>
      <c r="V3838">
        <v>-6.8306060000000002E-2</v>
      </c>
      <c r="W3838">
        <v>0.355039099999999</v>
      </c>
      <c r="X3838">
        <v>0.93235270000000003</v>
      </c>
      <c r="Y3838">
        <v>-2.1461810000000001E-2</v>
      </c>
      <c r="Z3838">
        <v>-7.0037959999999998E-4</v>
      </c>
      <c r="AA3838">
        <v>0.99976940000000003</v>
      </c>
      <c r="AB3838">
        <v>42</v>
      </c>
      <c r="AC3838">
        <v>-14.784099999999899</v>
      </c>
      <c r="AD3838">
        <v>-1.1093593277</v>
      </c>
      <c r="AE3838">
        <v>-0.37059999999999599</v>
      </c>
      <c r="AF3838">
        <v>-0.32601717342480502</v>
      </c>
      <c r="AG3838">
        <v>-1.1093593277</v>
      </c>
      <c r="AH3838">
        <v>14.702378524188701</v>
      </c>
      <c r="AI3838">
        <v>94.3139862393584</v>
      </c>
      <c r="AJ3838">
        <v>91.270294283617503</v>
      </c>
      <c r="AK3838">
        <v>14.7477760894261</v>
      </c>
      <c r="AL3838">
        <v>69.204159661069696</v>
      </c>
      <c r="AM3838">
        <v>94.190119760851999</v>
      </c>
      <c r="AN3838">
        <v>1.00000001877941</v>
      </c>
    </row>
    <row r="3839" spans="1:40" x14ac:dyDescent="0.25">
      <c r="A3839" t="str">
        <f>"20190304164720891"</f>
        <v>20190304164720891</v>
      </c>
      <c r="B3839" t="str">
        <f>"1551689240883243"</f>
        <v>1551689240883243</v>
      </c>
      <c r="C3839" t="s">
        <v>40</v>
      </c>
      <c r="D3839">
        <v>4.0503499999999999</v>
      </c>
      <c r="E3839">
        <v>0.53308359999999899</v>
      </c>
      <c r="F3839" t="s">
        <v>51</v>
      </c>
      <c r="G3839">
        <v>-286.79390000000001</v>
      </c>
      <c r="H3839" s="1">
        <v>-7.4633259999999996E-6</v>
      </c>
      <c r="I3839">
        <v>141.17429999999999</v>
      </c>
      <c r="J3839">
        <v>-272.24509999999998</v>
      </c>
      <c r="K3839">
        <v>1.1093420000000001</v>
      </c>
      <c r="L3839">
        <v>141.5068</v>
      </c>
      <c r="M3839">
        <v>-0.99995230000000002</v>
      </c>
      <c r="N3839">
        <v>-9.5143569999999993E-3</v>
      </c>
      <c r="O3839">
        <v>-2.238281E-3</v>
      </c>
      <c r="P3839">
        <v>-0.93554930000000003</v>
      </c>
      <c r="Q3839">
        <v>0.34590460000000001</v>
      </c>
      <c r="R3839">
        <v>-7.1398509999999998E-2</v>
      </c>
      <c r="S3839">
        <v>-3.2914430000000001</v>
      </c>
      <c r="T3839">
        <v>-0.24370910000000001</v>
      </c>
      <c r="U3839">
        <v>-7.3226929999999996E-2</v>
      </c>
      <c r="V3839">
        <v>-6.8704950000000001E-2</v>
      </c>
      <c r="W3839">
        <v>0.354908099999999</v>
      </c>
      <c r="X3839">
        <v>0.93237329999999996</v>
      </c>
      <c r="Y3839">
        <v>-1.9947320000000001E-2</v>
      </c>
      <c r="Z3839">
        <v>-6.8822190000000002E-4</v>
      </c>
      <c r="AA3839">
        <v>0.99980080000000005</v>
      </c>
      <c r="AB3839">
        <v>42</v>
      </c>
      <c r="AC3839">
        <v>-14.5488</v>
      </c>
      <c r="AD3839">
        <v>-1.1093494633259999</v>
      </c>
      <c r="AE3839">
        <v>-0.33250000000001001</v>
      </c>
      <c r="AF3839">
        <v>-0.298200530352835</v>
      </c>
      <c r="AG3839">
        <v>-1.1093494633259999</v>
      </c>
      <c r="AH3839">
        <v>14.465448175039199</v>
      </c>
      <c r="AI3839">
        <v>94.384478786893794</v>
      </c>
      <c r="AJ3839">
        <v>91.180966671998405</v>
      </c>
      <c r="AK3839">
        <v>14.510987929594201</v>
      </c>
      <c r="AL3839">
        <v>69.212188940625694</v>
      </c>
      <c r="AM3839">
        <v>94.2144083005835</v>
      </c>
      <c r="AN3839">
        <v>1.0000000500765001</v>
      </c>
    </row>
    <row r="3840" spans="1:40" x14ac:dyDescent="0.25">
      <c r="A3840" t="str">
        <f>"20190304164720914"</f>
        <v>20190304164720914</v>
      </c>
      <c r="B3840" t="str">
        <f>"1551689240902763"</f>
        <v>1551689240902763</v>
      </c>
      <c r="C3840" t="s">
        <v>40</v>
      </c>
      <c r="D3840">
        <v>4.0637949999999998</v>
      </c>
      <c r="E3840">
        <v>0.53350419999999998</v>
      </c>
      <c r="F3840" t="s">
        <v>51</v>
      </c>
      <c r="G3840">
        <v>-287.03019999999998</v>
      </c>
      <c r="H3840" s="1">
        <v>-7.6186009999999996E-6</v>
      </c>
      <c r="I3840">
        <v>141.1996</v>
      </c>
      <c r="J3840">
        <v>-272.6814</v>
      </c>
      <c r="K3840">
        <v>1.10934</v>
      </c>
      <c r="L3840">
        <v>141.50630000000001</v>
      </c>
      <c r="M3840">
        <v>-0.99995339999999999</v>
      </c>
      <c r="N3840">
        <v>-9.51924E-3</v>
      </c>
      <c r="O3840">
        <v>-1.580431E-3</v>
      </c>
      <c r="P3840">
        <v>-0.93551949999999995</v>
      </c>
      <c r="Q3840">
        <v>0.34606239999999999</v>
      </c>
      <c r="R3840">
        <v>-7.1023870000000003E-2</v>
      </c>
      <c r="S3840">
        <v>-3.2927550000000001</v>
      </c>
      <c r="T3840">
        <v>-0.24706020000000001</v>
      </c>
      <c r="U3840">
        <v>-6.8420410000000001E-2</v>
      </c>
      <c r="V3840">
        <v>-6.8938219999999995E-2</v>
      </c>
      <c r="W3840">
        <v>0.35507169999999999</v>
      </c>
      <c r="X3840">
        <v>0.93229379999999995</v>
      </c>
      <c r="Y3840">
        <v>-1.913718E-2</v>
      </c>
      <c r="Z3840">
        <v>-7.0472449999999995E-4</v>
      </c>
      <c r="AA3840">
        <v>0.99981660000000006</v>
      </c>
      <c r="AB3840">
        <v>42</v>
      </c>
      <c r="AC3840">
        <v>-14.348799999999899</v>
      </c>
      <c r="AD3840">
        <v>-1.1093476186010001</v>
      </c>
      <c r="AE3840">
        <v>-0.30670000000000602</v>
      </c>
      <c r="AF3840">
        <v>-0.28233447643968501</v>
      </c>
      <c r="AG3840">
        <v>-1.1093476186010001</v>
      </c>
      <c r="AH3840">
        <v>14.264045453226201</v>
      </c>
      <c r="AI3840">
        <v>94.446205480117598</v>
      </c>
      <c r="AJ3840">
        <v>91.133932299020103</v>
      </c>
      <c r="AK3840">
        <v>14.309904178127301</v>
      </c>
      <c r="AL3840">
        <v>69.202162533294</v>
      </c>
      <c r="AM3840">
        <v>94.229024708821996</v>
      </c>
      <c r="AN3840">
        <v>1.0000000599180401</v>
      </c>
    </row>
    <row r="3841" spans="1:40" x14ac:dyDescent="0.25">
      <c r="A3841" t="str">
        <f>"20190304164720935"</f>
        <v>20190304164720935</v>
      </c>
      <c r="B3841" t="str">
        <f>"1551689240933021"</f>
        <v>1551689240933021</v>
      </c>
      <c r="C3841" t="s">
        <v>40</v>
      </c>
      <c r="D3841">
        <v>4.5055500000000004</v>
      </c>
      <c r="E3841">
        <v>0.53404719999999894</v>
      </c>
      <c r="F3841" t="s">
        <v>51</v>
      </c>
      <c r="G3841">
        <v>-287.34640000000002</v>
      </c>
      <c r="H3841" s="1">
        <v>-7.8234789999999998E-6</v>
      </c>
      <c r="I3841">
        <v>141.2243</v>
      </c>
      <c r="J3841">
        <v>-273.0829</v>
      </c>
      <c r="K3841">
        <v>1.109332</v>
      </c>
      <c r="L3841">
        <v>141.5061</v>
      </c>
      <c r="M3841">
        <v>-0.99995429999999996</v>
      </c>
      <c r="N3841">
        <v>-9.5244219999999994E-3</v>
      </c>
      <c r="O3841">
        <v>-9.7493639999999995E-4</v>
      </c>
      <c r="P3841">
        <v>-0.93535029999999997</v>
      </c>
      <c r="Q3841">
        <v>0.34653909999999999</v>
      </c>
      <c r="R3841">
        <v>-7.0926370000000002E-2</v>
      </c>
      <c r="S3841">
        <v>-3.2941590000000001</v>
      </c>
      <c r="T3841">
        <v>-0.24918879999999999</v>
      </c>
      <c r="U3841">
        <v>-6.3354489999999999E-2</v>
      </c>
      <c r="V3841">
        <v>-6.9400740000000002E-2</v>
      </c>
      <c r="W3841">
        <v>0.35555300000000001</v>
      </c>
      <c r="X3841">
        <v>0.93207600000000002</v>
      </c>
      <c r="Y3841">
        <v>-1.8197600000000001E-2</v>
      </c>
      <c r="Z3841">
        <v>-7.0968539999999997E-4</v>
      </c>
      <c r="AA3841">
        <v>0.99983420000000001</v>
      </c>
      <c r="AB3841">
        <v>42</v>
      </c>
      <c r="AC3841">
        <v>-14.263500000000001</v>
      </c>
      <c r="AD3841">
        <v>-1.109339823479</v>
      </c>
      <c r="AE3841">
        <v>-0.28180000000000399</v>
      </c>
      <c r="AF3841">
        <v>-0.26628313800131598</v>
      </c>
      <c r="AG3841">
        <v>-1.109339823479</v>
      </c>
      <c r="AH3841">
        <v>14.1780397710511</v>
      </c>
      <c r="AI3841">
        <v>94.473123187853503</v>
      </c>
      <c r="AJ3841">
        <v>91.075967248053701</v>
      </c>
      <c r="AK3841">
        <v>14.2238656244723</v>
      </c>
      <c r="AL3841">
        <v>69.172660471645301</v>
      </c>
      <c r="AM3841">
        <v>94.258285240902396</v>
      </c>
      <c r="AN3841">
        <v>1.00000003414877</v>
      </c>
    </row>
    <row r="3842" spans="1:40" x14ac:dyDescent="0.25">
      <c r="A3842" t="str">
        <f>"20190304164720956"</f>
        <v>20190304164720956</v>
      </c>
      <c r="B3842" t="str">
        <f>"1551689240952539"</f>
        <v>1551689240952539</v>
      </c>
      <c r="C3842" t="s">
        <v>40</v>
      </c>
      <c r="D3842">
        <v>4.0881069999999999</v>
      </c>
      <c r="E3842">
        <v>0.53434199999999998</v>
      </c>
      <c r="F3842" t="s">
        <v>41</v>
      </c>
      <c r="G3842">
        <v>-274.16239999999999</v>
      </c>
      <c r="H3842">
        <v>1.027331</v>
      </c>
      <c r="I3842">
        <v>141.48689999999999</v>
      </c>
      <c r="J3842">
        <v>-273.4753</v>
      </c>
      <c r="K3842">
        <v>1.109326</v>
      </c>
      <c r="L3842">
        <v>141.50620000000001</v>
      </c>
      <c r="M3842">
        <v>-0.99995460000000003</v>
      </c>
      <c r="N3842">
        <v>-9.5299449999999997E-3</v>
      </c>
      <c r="O3842">
        <v>-3.8280600000000002E-4</v>
      </c>
      <c r="P3842">
        <v>-0.9351701</v>
      </c>
      <c r="Q3842">
        <v>0.34696460000000001</v>
      </c>
      <c r="R3842">
        <v>-7.1223540000000002E-2</v>
      </c>
      <c r="S3842">
        <v>-3.2956539999999999</v>
      </c>
      <c r="T3842">
        <v>-0.25036079999999999</v>
      </c>
      <c r="U3842">
        <v>-5.8822630000000001E-2</v>
      </c>
      <c r="V3842">
        <v>-7.0246600000000006E-2</v>
      </c>
      <c r="W3842">
        <v>0.35598390000000002</v>
      </c>
      <c r="X3842">
        <v>0.93184809999999996</v>
      </c>
      <c r="Y3842">
        <v>-1.740734E-2</v>
      </c>
      <c r="Z3842">
        <v>-7.178827E-4</v>
      </c>
      <c r="AA3842">
        <v>0.99984819999999996</v>
      </c>
      <c r="AB3842">
        <v>42</v>
      </c>
      <c r="AC3842">
        <v>-0.68709999999998606</v>
      </c>
      <c r="AD3842">
        <v>-8.1994999999999998E-2</v>
      </c>
      <c r="AE3842">
        <v>-1.9300000000015399E-2</v>
      </c>
      <c r="AF3842">
        <v>-1.8769873101882901E-2</v>
      </c>
      <c r="AG3842">
        <v>-8.1994999999999998E-2</v>
      </c>
      <c r="AH3842">
        <v>0.67746725826063703</v>
      </c>
      <c r="AI3842">
        <v>96.898416394411001</v>
      </c>
      <c r="AJ3842">
        <v>91.587027932974195</v>
      </c>
      <c r="AK3842">
        <v>0.68266930074263998</v>
      </c>
      <c r="AL3842">
        <v>69.146242649524098</v>
      </c>
      <c r="AM3842">
        <v>94.311041169093102</v>
      </c>
      <c r="AN3842">
        <v>1.0000000016721899</v>
      </c>
    </row>
    <row r="3843" spans="1:40" x14ac:dyDescent="0.25">
      <c r="A3843" t="str">
        <f>"20190304164720979"</f>
        <v>20190304164720979</v>
      </c>
      <c r="B3843" t="str">
        <f>"1551689240973036"</f>
        <v>1551689240973036</v>
      </c>
      <c r="C3843" t="s">
        <v>40</v>
      </c>
      <c r="D3843">
        <v>4.2077019999999896</v>
      </c>
      <c r="E3843">
        <v>0.5344603</v>
      </c>
      <c r="F3843" t="s">
        <v>41</v>
      </c>
      <c r="G3843">
        <v>-274.5394</v>
      </c>
      <c r="H3843">
        <v>1.028419</v>
      </c>
      <c r="I3843">
        <v>141.48820000000001</v>
      </c>
      <c r="J3843">
        <v>-273.91539999999998</v>
      </c>
      <c r="K3843">
        <v>1.1093249999999999</v>
      </c>
      <c r="L3843">
        <v>141.50659999999999</v>
      </c>
      <c r="M3843">
        <v>-0.99995449999999997</v>
      </c>
      <c r="N3843">
        <v>-9.5366630000000008E-3</v>
      </c>
      <c r="O3843">
        <v>2.8209040000000001E-4</v>
      </c>
      <c r="P3843">
        <v>-0.93497379999999997</v>
      </c>
      <c r="Q3843">
        <v>0.34743069999999998</v>
      </c>
      <c r="R3843">
        <v>-7.1524199999999996E-2</v>
      </c>
      <c r="S3843">
        <v>-3.2966920000000002</v>
      </c>
      <c r="T3843">
        <v>-0.25069669999999999</v>
      </c>
      <c r="U3843">
        <v>-5.6426999999999998E-2</v>
      </c>
      <c r="V3843">
        <v>-7.1163729999999994E-2</v>
      </c>
      <c r="W3843">
        <v>0.35645670000000002</v>
      </c>
      <c r="X3843">
        <v>0.93159780000000003</v>
      </c>
      <c r="Y3843">
        <v>-1.733883E-2</v>
      </c>
      <c r="Z3843">
        <v>-7.5981849999999995E-4</v>
      </c>
      <c r="AA3843">
        <v>0.9998494</v>
      </c>
      <c r="AB3843">
        <v>42</v>
      </c>
      <c r="AC3843">
        <v>-0.62400000000002298</v>
      </c>
      <c r="AD3843">
        <v>-8.0905999999999895E-2</v>
      </c>
      <c r="AE3843">
        <v>-1.8399999999985501E-2</v>
      </c>
      <c r="AF3843">
        <v>-1.8269176262769801E-2</v>
      </c>
      <c r="AG3843">
        <v>-8.0905999999999895E-2</v>
      </c>
      <c r="AH3843">
        <v>0.61368708349511503</v>
      </c>
      <c r="AI3843">
        <v>97.507042150962405</v>
      </c>
      <c r="AJ3843">
        <v>91.705164846749696</v>
      </c>
      <c r="AK3843">
        <v>0.61926680848085203</v>
      </c>
      <c r="AL3843">
        <v>69.117252674937305</v>
      </c>
      <c r="AM3843">
        <v>94.368277995092399</v>
      </c>
      <c r="AN3843">
        <v>1.0000000582036099</v>
      </c>
    </row>
    <row r="3844" spans="1:40" x14ac:dyDescent="0.25">
      <c r="A3844" t="str">
        <f>"20190304164721002"</f>
        <v>20190304164721002</v>
      </c>
      <c r="B3844" t="str">
        <f>"1551689240992555"</f>
        <v>1551689240992555</v>
      </c>
      <c r="C3844" t="s">
        <v>40</v>
      </c>
      <c r="D3844">
        <v>4.2880469999999997</v>
      </c>
      <c r="E3844">
        <v>0.55491440000000003</v>
      </c>
      <c r="F3844" t="s">
        <v>41</v>
      </c>
      <c r="G3844">
        <v>-274.91980000000001</v>
      </c>
      <c r="H3844">
        <v>1.0331030000000001</v>
      </c>
      <c r="I3844">
        <v>141.4898</v>
      </c>
      <c r="J3844">
        <v>-274.33769999999998</v>
      </c>
      <c r="K3844">
        <v>1.109318</v>
      </c>
      <c r="L3844">
        <v>141.50720000000001</v>
      </c>
      <c r="M3844">
        <v>-0.99995409999999996</v>
      </c>
      <c r="N3844">
        <v>-9.5435180000000008E-3</v>
      </c>
      <c r="O3844">
        <v>9.1962040000000004E-4</v>
      </c>
      <c r="P3844">
        <v>-0.93511569999999999</v>
      </c>
      <c r="Q3844">
        <v>0.34707280000000001</v>
      </c>
      <c r="R3844">
        <v>-7.140937E-2</v>
      </c>
      <c r="S3844">
        <v>-3.2973629999999998</v>
      </c>
      <c r="T3844">
        <v>-0.25022610000000001</v>
      </c>
      <c r="U3844">
        <v>-5.5358890000000001E-2</v>
      </c>
      <c r="V3844">
        <v>-7.1642140000000007E-2</v>
      </c>
      <c r="W3844">
        <v>0.35610740000000002</v>
      </c>
      <c r="X3844">
        <v>0.93169469999999999</v>
      </c>
      <c r="Y3844">
        <v>-1.7646849999999999E-2</v>
      </c>
      <c r="Z3844">
        <v>-8.1384039999999995E-4</v>
      </c>
      <c r="AA3844">
        <v>0.99984399999999996</v>
      </c>
      <c r="AB3844">
        <v>42</v>
      </c>
      <c r="AC3844">
        <v>-0.58210000000002504</v>
      </c>
      <c r="AD3844">
        <v>-7.6214999999999894E-2</v>
      </c>
      <c r="AE3844">
        <v>-1.7400000000009099E-2</v>
      </c>
      <c r="AF3844">
        <v>-1.76333108093253E-2</v>
      </c>
      <c r="AG3844">
        <v>-7.6214999999999894E-2</v>
      </c>
      <c r="AH3844">
        <v>0.57228190632359599</v>
      </c>
      <c r="AI3844">
        <v>97.582306757858603</v>
      </c>
      <c r="AJ3844">
        <v>91.764855273941805</v>
      </c>
      <c r="AK3844">
        <v>0.57760387825954496</v>
      </c>
      <c r="AL3844">
        <v>69.138671352634603</v>
      </c>
      <c r="AM3844">
        <v>94.397074093256904</v>
      </c>
      <c r="AN3844">
        <v>1.00000004528331</v>
      </c>
    </row>
    <row r="3845" spans="1:40" x14ac:dyDescent="0.25">
      <c r="A3845" t="str">
        <f>"20190304164721024"</f>
        <v>20190304164721024</v>
      </c>
      <c r="B3845" t="str">
        <f>"1551689241013055"</f>
        <v>1551689241013055</v>
      </c>
      <c r="C3845" t="s">
        <v>40</v>
      </c>
      <c r="D3845">
        <v>4.282343</v>
      </c>
      <c r="E3845">
        <v>0.58500280000000004</v>
      </c>
      <c r="F3845" t="s">
        <v>41</v>
      </c>
      <c r="G3845">
        <v>-275.28460000000001</v>
      </c>
      <c r="H3845">
        <v>1.0170170000000001</v>
      </c>
      <c r="I3845">
        <v>141.53630000000001</v>
      </c>
      <c r="J3845">
        <v>-274.7568</v>
      </c>
      <c r="K3845">
        <v>1.1093109999999999</v>
      </c>
      <c r="L3845">
        <v>141.50799999999899</v>
      </c>
      <c r="M3845">
        <v>-0.99995319999999999</v>
      </c>
      <c r="N3845">
        <v>-9.5506659999999993E-3</v>
      </c>
      <c r="O3845">
        <v>1.55261299999999E-3</v>
      </c>
      <c r="P3845">
        <v>-0.93512030000000002</v>
      </c>
      <c r="Q3845">
        <v>0.34701670000000001</v>
      </c>
      <c r="R3845">
        <v>-7.1620349999999999E-2</v>
      </c>
      <c r="S3845">
        <v>-3.3366699999999998</v>
      </c>
      <c r="T3845">
        <v>-0.3253238</v>
      </c>
      <c r="U3845">
        <v>0.1015472</v>
      </c>
      <c r="V3845">
        <v>-7.244188E-2</v>
      </c>
      <c r="W3845">
        <v>0.35605969999999998</v>
      </c>
      <c r="X3845">
        <v>0.93165109999999995</v>
      </c>
      <c r="Y3845">
        <v>2.872413E-2</v>
      </c>
      <c r="Z3845">
        <v>1.3980279999999999E-3</v>
      </c>
      <c r="AA3845">
        <v>0.99958639999999999</v>
      </c>
      <c r="AB3845">
        <v>42</v>
      </c>
      <c r="AC3845">
        <v>-0.52780000000001304</v>
      </c>
      <c r="AD3845">
        <v>-9.2294000000000098E-2</v>
      </c>
      <c r="AE3845">
        <v>2.8300000000029898E-2</v>
      </c>
      <c r="AF3845">
        <v>2.6667364061140401E-2</v>
      </c>
      <c r="AG3845">
        <v>-9.2294000000000098E-2</v>
      </c>
      <c r="AH3845">
        <v>0.51222541005482902</v>
      </c>
      <c r="AI3845">
        <v>100.20057180435499</v>
      </c>
      <c r="AJ3845">
        <v>87.019770639761305</v>
      </c>
      <c r="AK3845">
        <v>0.52115659973544104</v>
      </c>
      <c r="AL3845">
        <v>69.141596255045599</v>
      </c>
      <c r="AM3845">
        <v>94.446170071348007</v>
      </c>
      <c r="AN3845">
        <v>1.0000000540366101</v>
      </c>
    </row>
    <row r="3846" spans="1:40" x14ac:dyDescent="0.25">
      <c r="A3846" t="str">
        <f>"20190304164721045"</f>
        <v>20190304164721045</v>
      </c>
      <c r="B3846" t="str">
        <f>"1551689241032572"</f>
        <v>1551689241032572</v>
      </c>
      <c r="C3846" t="s">
        <v>40</v>
      </c>
      <c r="D3846">
        <v>4.2943920000000002</v>
      </c>
      <c r="E3846">
        <v>0.58595059999999999</v>
      </c>
      <c r="F3846" t="s">
        <v>41</v>
      </c>
      <c r="G3846">
        <v>-275.6687</v>
      </c>
      <c r="H3846">
        <v>1.031453</v>
      </c>
      <c r="I3846">
        <v>141.60220000000001</v>
      </c>
      <c r="J3846">
        <v>-275.14690000000002</v>
      </c>
      <c r="K3846">
        <v>1.1093029999999999</v>
      </c>
      <c r="L3846">
        <v>141.50899999999999</v>
      </c>
      <c r="M3846">
        <v>-0.99995210000000001</v>
      </c>
      <c r="N3846">
        <v>-9.5576059999999997E-3</v>
      </c>
      <c r="O3846">
        <v>2.1416120000000002E-3</v>
      </c>
      <c r="P3846">
        <v>-0.93534419999999996</v>
      </c>
      <c r="Q3846">
        <v>0.34643109999999999</v>
      </c>
      <c r="R3846">
        <v>-7.1529999999999996E-2</v>
      </c>
      <c r="S3846">
        <v>-3.3403930000000002</v>
      </c>
      <c r="T3846">
        <v>-0.28520420000000002</v>
      </c>
      <c r="U3846">
        <v>0.34500120000000001</v>
      </c>
      <c r="V3846">
        <v>-7.2901439999999998E-2</v>
      </c>
      <c r="W3846">
        <v>0.35548400000000002</v>
      </c>
      <c r="X3846">
        <v>0.93183510000000003</v>
      </c>
      <c r="Y3846">
        <v>0.10020900000000001</v>
      </c>
      <c r="Z3846">
        <v>4.5783789999999996E-3</v>
      </c>
      <c r="AA3846">
        <v>0.9949559</v>
      </c>
      <c r="AB3846">
        <v>42</v>
      </c>
      <c r="AC3846">
        <v>-0.52179999999998405</v>
      </c>
      <c r="AD3846">
        <v>-7.7849999999999905E-2</v>
      </c>
      <c r="AE3846">
        <v>9.3200000000024305E-2</v>
      </c>
      <c r="AF3846">
        <v>9.0137877216076495E-2</v>
      </c>
      <c r="AG3846">
        <v>-7.7849999999999905E-2</v>
      </c>
      <c r="AH3846">
        <v>0.51097613990703905</v>
      </c>
      <c r="AI3846">
        <v>98.532943692556699</v>
      </c>
      <c r="AJ3846">
        <v>79.995759146525401</v>
      </c>
      <c r="AK3846">
        <v>0.52467330307851501</v>
      </c>
      <c r="AL3846">
        <v>69.176891078685699</v>
      </c>
      <c r="AM3846">
        <v>94.473381810660797</v>
      </c>
      <c r="AN3846">
        <v>1.00000007390103</v>
      </c>
    </row>
    <row r="3847" spans="1:40" x14ac:dyDescent="0.25">
      <c r="A3847" t="str">
        <f>"20190304164721068"</f>
        <v>20190304164721068</v>
      </c>
      <c r="B3847" t="str">
        <f>"1551689241062828"</f>
        <v>1551689241062828</v>
      </c>
      <c r="C3847" t="s">
        <v>40</v>
      </c>
      <c r="D3847">
        <v>4.3035249999999996</v>
      </c>
      <c r="E3847">
        <v>0.58721659999999998</v>
      </c>
      <c r="F3847" t="s">
        <v>41</v>
      </c>
      <c r="G3847">
        <v>-276.04730000000001</v>
      </c>
      <c r="H3847">
        <v>1.0331870000000001</v>
      </c>
      <c r="I3847">
        <v>141.6046</v>
      </c>
      <c r="J3847">
        <v>-275.5967</v>
      </c>
      <c r="K3847">
        <v>1.109297</v>
      </c>
      <c r="L3847">
        <v>141.51050000000001</v>
      </c>
      <c r="M3847">
        <v>-0.99995029999999996</v>
      </c>
      <c r="N3847">
        <v>-9.5658859999999991E-3</v>
      </c>
      <c r="O3847">
        <v>2.8208460000000001E-3</v>
      </c>
      <c r="P3847">
        <v>-0.93539740000000005</v>
      </c>
      <c r="Q3847">
        <v>0.346402299999999</v>
      </c>
      <c r="R3847">
        <v>-7.0975930000000007E-2</v>
      </c>
      <c r="S3847">
        <v>-3.3390200000000001</v>
      </c>
      <c r="T3847">
        <v>-0.28229080000000001</v>
      </c>
      <c r="U3847">
        <v>0.35371399999999997</v>
      </c>
      <c r="V3847">
        <v>-7.2980249999999997E-2</v>
      </c>
      <c r="W3847">
        <v>0.35546339999999998</v>
      </c>
      <c r="X3847">
        <v>0.93183669999999996</v>
      </c>
      <c r="Y3847">
        <v>0.1021446</v>
      </c>
      <c r="Z3847">
        <v>4.5785230000000001E-3</v>
      </c>
      <c r="AA3847">
        <v>0.99475899999999995</v>
      </c>
      <c r="AB3847">
        <v>42</v>
      </c>
      <c r="AC3847">
        <v>-0.45060000000000799</v>
      </c>
      <c r="AD3847">
        <v>-7.61099999999999E-2</v>
      </c>
      <c r="AE3847">
        <v>9.4099999999997394E-2</v>
      </c>
      <c r="AF3847">
        <v>9.0358303705485393E-2</v>
      </c>
      <c r="AG3847">
        <v>-7.61099999999999E-2</v>
      </c>
      <c r="AH3847">
        <v>0.43886606070506301</v>
      </c>
      <c r="AI3847">
        <v>99.640321131639894</v>
      </c>
      <c r="AJ3847">
        <v>78.365924324036399</v>
      </c>
      <c r="AK3847">
        <v>0.45448957566407699</v>
      </c>
      <c r="AL3847">
        <v>69.178152031560799</v>
      </c>
      <c r="AM3847">
        <v>94.478190435676396</v>
      </c>
      <c r="AN3847">
        <v>0.99999999054825595</v>
      </c>
    </row>
    <row r="3848" spans="1:40" x14ac:dyDescent="0.25">
      <c r="A3848" t="str">
        <f>"20190304164721092"</f>
        <v>20190304164721092</v>
      </c>
      <c r="B3848" t="str">
        <f>"1551689241082365"</f>
        <v>1551689241082365</v>
      </c>
      <c r="C3848" t="s">
        <v>40</v>
      </c>
      <c r="D3848">
        <v>4.3051269999999997</v>
      </c>
      <c r="E3848">
        <v>0.58690920000000002</v>
      </c>
      <c r="F3848" t="s">
        <v>41</v>
      </c>
      <c r="G3848">
        <v>-276.4325</v>
      </c>
      <c r="H3848">
        <v>1.0461100000000001</v>
      </c>
      <c r="I3848">
        <v>141.60299999999901</v>
      </c>
      <c r="J3848">
        <v>-276.03129999999999</v>
      </c>
      <c r="K3848">
        <v>1.1092949999999999</v>
      </c>
      <c r="L3848">
        <v>141.51220000000001</v>
      </c>
      <c r="M3848">
        <v>-0.99994810000000001</v>
      </c>
      <c r="N3848">
        <v>-9.5741179999999995E-3</v>
      </c>
      <c r="O3848">
        <v>3.4774250000000001E-3</v>
      </c>
      <c r="P3848">
        <v>-0.93539090000000003</v>
      </c>
      <c r="Q3848">
        <v>0.34647539999999999</v>
      </c>
      <c r="R3848">
        <v>-7.0702459999999995E-2</v>
      </c>
      <c r="S3848">
        <v>-3.3283079999999998</v>
      </c>
      <c r="T3848">
        <v>-0.2516429</v>
      </c>
      <c r="U3848">
        <v>0.36834719999999999</v>
      </c>
      <c r="V3848">
        <v>-7.3318620000000001E-2</v>
      </c>
      <c r="W3848">
        <v>0.35554459999999999</v>
      </c>
      <c r="X3848">
        <v>0.93177920000000003</v>
      </c>
      <c r="Y3848">
        <v>0.1062119</v>
      </c>
      <c r="Z3848">
        <v>4.279532E-3</v>
      </c>
      <c r="AA3848">
        <v>0.9943343</v>
      </c>
      <c r="AB3848">
        <v>42</v>
      </c>
      <c r="AC3848">
        <v>-0.40120000000001699</v>
      </c>
      <c r="AD3848">
        <v>-6.3185000000000005E-2</v>
      </c>
      <c r="AE3848">
        <v>9.0799999999973097E-2</v>
      </c>
      <c r="AF3848">
        <v>8.7343414012799603E-2</v>
      </c>
      <c r="AG3848">
        <v>-6.3185000000000005E-2</v>
      </c>
      <c r="AH3848">
        <v>0.39225817677550001</v>
      </c>
      <c r="AI3848">
        <v>98.935433590635895</v>
      </c>
      <c r="AJ3848">
        <v>77.446845558267697</v>
      </c>
      <c r="AK3848">
        <v>0.40680178643124298</v>
      </c>
      <c r="AL3848">
        <v>69.173175314504505</v>
      </c>
      <c r="AM3848">
        <v>94.499144830094593</v>
      </c>
      <c r="AN3848">
        <v>1.0000000300902501</v>
      </c>
    </row>
    <row r="3849" spans="1:40" x14ac:dyDescent="0.25">
      <c r="A3849" t="str">
        <f>"20190304164721115"</f>
        <v>20190304164721115</v>
      </c>
      <c r="B3849" t="str">
        <f>"1551689241102844"</f>
        <v>1551689241102844</v>
      </c>
      <c r="C3849" t="s">
        <v>40</v>
      </c>
      <c r="D3849">
        <v>4.3143890000000003</v>
      </c>
      <c r="E3849">
        <v>0.58690900000000001</v>
      </c>
      <c r="F3849" t="s">
        <v>41</v>
      </c>
      <c r="G3849">
        <v>-276.81310000000002</v>
      </c>
      <c r="H3849">
        <v>1.048748</v>
      </c>
      <c r="I3849">
        <v>141.5985</v>
      </c>
      <c r="J3849">
        <v>-276.4615</v>
      </c>
      <c r="K3849">
        <v>1.109291</v>
      </c>
      <c r="L3849">
        <v>141.51419999999999</v>
      </c>
      <c r="M3849">
        <v>-0.9999458</v>
      </c>
      <c r="N3849">
        <v>-9.5824580000000003E-3</v>
      </c>
      <c r="O3849">
        <v>4.1267300000000003E-3</v>
      </c>
      <c r="P3849">
        <v>-0.93535080000000004</v>
      </c>
      <c r="Q3849">
        <v>0.34662100000000001</v>
      </c>
      <c r="R3849">
        <v>-7.0519299999999993E-2</v>
      </c>
      <c r="S3849">
        <v>-3.330505</v>
      </c>
      <c r="T3849">
        <v>-0.25801059999999998</v>
      </c>
      <c r="U3849">
        <v>0.3665619</v>
      </c>
      <c r="V3849">
        <v>-7.3740979999999998E-2</v>
      </c>
      <c r="W3849">
        <v>0.35569830000000002</v>
      </c>
      <c r="X3849">
        <v>0.93168720000000005</v>
      </c>
      <c r="Y3849">
        <v>0.104958</v>
      </c>
      <c r="Z3849">
        <v>4.2736220000000004E-3</v>
      </c>
      <c r="AA3849">
        <v>0.99446749999999995</v>
      </c>
      <c r="AB3849">
        <v>42</v>
      </c>
      <c r="AC3849">
        <v>-0.35160000000001901</v>
      </c>
      <c r="AD3849">
        <v>-6.0543E-2</v>
      </c>
      <c r="AE3849">
        <v>8.4300000000013101E-2</v>
      </c>
      <c r="AF3849">
        <v>8.0588667056044505E-2</v>
      </c>
      <c r="AG3849">
        <v>-6.0543E-2</v>
      </c>
      <c r="AH3849">
        <v>0.342346014417999</v>
      </c>
      <c r="AI3849">
        <v>99.767293148794707</v>
      </c>
      <c r="AJ3849">
        <v>76.753666006893894</v>
      </c>
      <c r="AK3849">
        <v>0.35687642356249699</v>
      </c>
      <c r="AL3849">
        <v>69.163752922997006</v>
      </c>
      <c r="AM3849">
        <v>94.525400286184606</v>
      </c>
      <c r="AN3849">
        <v>1.00000002569904</v>
      </c>
    </row>
    <row r="3850" spans="1:40" x14ac:dyDescent="0.25">
      <c r="A3850" t="str">
        <f>"20190304164721137"</f>
        <v>20190304164721137</v>
      </c>
      <c r="B3850" t="str">
        <f>"1551689241133099"</f>
        <v>1551689241133099</v>
      </c>
      <c r="C3850" t="s">
        <v>40</v>
      </c>
      <c r="D3850">
        <v>4.3187189999999998</v>
      </c>
      <c r="E3850">
        <v>0.5863815</v>
      </c>
      <c r="F3850" t="s">
        <v>41</v>
      </c>
      <c r="G3850">
        <v>-277.55759999999998</v>
      </c>
      <c r="H3850">
        <v>1.022556</v>
      </c>
      <c r="I3850">
        <v>141.63509999999999</v>
      </c>
      <c r="J3850">
        <v>-276.8707</v>
      </c>
      <c r="K3850">
        <v>1.1092919999999999</v>
      </c>
      <c r="L3850">
        <v>141.5164</v>
      </c>
      <c r="M3850">
        <v>-0.99994289999999997</v>
      </c>
      <c r="N3850">
        <v>-9.5905420000000005E-3</v>
      </c>
      <c r="O3850">
        <v>4.7411559999999998E-3</v>
      </c>
      <c r="P3850">
        <v>-0.9352956</v>
      </c>
      <c r="Q3850">
        <v>0.34697679999999997</v>
      </c>
      <c r="R3850">
        <v>-6.9494810000000004E-2</v>
      </c>
      <c r="S3850">
        <v>-3.3327640000000001</v>
      </c>
      <c r="T3850">
        <v>-0.26372089999999998</v>
      </c>
      <c r="U3850">
        <v>0.36709589999999998</v>
      </c>
      <c r="V3850">
        <v>-7.3289469999999995E-2</v>
      </c>
      <c r="W3850">
        <v>0.35605969999999998</v>
      </c>
      <c r="X3850">
        <v>0.93158479999999999</v>
      </c>
      <c r="Y3850">
        <v>0.1044206</v>
      </c>
      <c r="Z3850">
        <v>4.2875220000000002E-3</v>
      </c>
      <c r="AA3850">
        <v>0.99452399999999996</v>
      </c>
      <c r="AB3850">
        <v>42</v>
      </c>
      <c r="AC3850">
        <v>-0.68689999999997997</v>
      </c>
      <c r="AD3850">
        <v>-8.6735999999999897E-2</v>
      </c>
      <c r="AE3850">
        <v>0.11869999999998899</v>
      </c>
      <c r="AF3850">
        <v>0.113681771736202</v>
      </c>
      <c r="AG3850">
        <v>-8.6735999999999897E-2</v>
      </c>
      <c r="AH3850">
        <v>0.67697402860548495</v>
      </c>
      <c r="AI3850">
        <v>97.201384355513198</v>
      </c>
      <c r="AJ3850">
        <v>80.467468782018301</v>
      </c>
      <c r="AK3850">
        <v>0.69191077049531702</v>
      </c>
      <c r="AL3850">
        <v>69.141596122908197</v>
      </c>
      <c r="AM3850">
        <v>94.498298044349497</v>
      </c>
      <c r="AN3850">
        <v>1.0000000479840001</v>
      </c>
    </row>
    <row r="3851" spans="1:40" x14ac:dyDescent="0.25">
      <c r="A3851" t="str">
        <f>"20190304164721158"</f>
        <v>20190304164721158</v>
      </c>
      <c r="B3851" t="str">
        <f>"1551689241152620"</f>
        <v>1551689241152620</v>
      </c>
      <c r="C3851" t="s">
        <v>40</v>
      </c>
      <c r="D3851">
        <v>4.318263</v>
      </c>
      <c r="E3851">
        <v>0.58611950000000002</v>
      </c>
      <c r="F3851" t="s">
        <v>41</v>
      </c>
      <c r="G3851">
        <v>-277.93729999999999</v>
      </c>
      <c r="H3851">
        <v>1.0223979999999999</v>
      </c>
      <c r="I3851">
        <v>141.63329999999999</v>
      </c>
      <c r="J3851">
        <v>-277.29239999999999</v>
      </c>
      <c r="K3851">
        <v>1.1092869999999999</v>
      </c>
      <c r="L3851">
        <v>141.5189</v>
      </c>
      <c r="M3851">
        <v>-0.99993960000000004</v>
      </c>
      <c r="N3851">
        <v>-9.5990190000000003E-3</v>
      </c>
      <c r="O3851">
        <v>5.3700519999999898E-3</v>
      </c>
      <c r="P3851">
        <v>-0.93520740000000002</v>
      </c>
      <c r="Q3851">
        <v>0.34737760000000001</v>
      </c>
      <c r="R3851">
        <v>-6.8675089999999994E-2</v>
      </c>
      <c r="S3851">
        <v>-3.3355100000000002</v>
      </c>
      <c r="T3851">
        <v>-0.27170240000000001</v>
      </c>
      <c r="U3851">
        <v>0.365921</v>
      </c>
      <c r="V3851">
        <v>-7.3056990000000002E-2</v>
      </c>
      <c r="W3851">
        <v>0.35646689999999998</v>
      </c>
      <c r="X3851">
        <v>0.93144729999999998</v>
      </c>
      <c r="Y3851">
        <v>0.103345699999999</v>
      </c>
      <c r="Z3851">
        <v>4.3040359999999998E-3</v>
      </c>
      <c r="AA3851">
        <v>0.99463619999999997</v>
      </c>
      <c r="AB3851">
        <v>42</v>
      </c>
      <c r="AC3851">
        <v>-0.64490000000000602</v>
      </c>
      <c r="AD3851">
        <v>-8.6889000000000202E-2</v>
      </c>
      <c r="AE3851">
        <v>0.114399999999989</v>
      </c>
      <c r="AF3851">
        <v>0.109016458815126</v>
      </c>
      <c r="AG3851">
        <v>-8.6889000000000202E-2</v>
      </c>
      <c r="AH3851">
        <v>0.63434126121772705</v>
      </c>
      <c r="AI3851">
        <v>97.688229016420905</v>
      </c>
      <c r="AJ3851">
        <v>80.248535323468204</v>
      </c>
      <c r="AK3851">
        <v>0.64947911613606701</v>
      </c>
      <c r="AL3851">
        <v>69.116626412665696</v>
      </c>
      <c r="AM3851">
        <v>94.484746611610007</v>
      </c>
      <c r="AN3851">
        <v>1.0000000236303701</v>
      </c>
    </row>
    <row r="3852" spans="1:40" x14ac:dyDescent="0.25">
      <c r="A3852" t="str">
        <f>"20190304164721180"</f>
        <v>20190304164721180</v>
      </c>
      <c r="B3852" t="str">
        <f>"1551689241173116"</f>
        <v>1551689241173116</v>
      </c>
      <c r="C3852" t="s">
        <v>40</v>
      </c>
      <c r="D3852">
        <v>4.3204140000000004</v>
      </c>
      <c r="E3852">
        <v>0.58597169999999998</v>
      </c>
      <c r="F3852" t="s">
        <v>41</v>
      </c>
      <c r="G3852">
        <v>-278.31849999999997</v>
      </c>
      <c r="H3852">
        <v>1.0244089999999999</v>
      </c>
      <c r="I3852">
        <v>141.63149999999999</v>
      </c>
      <c r="J3852">
        <v>-277.72919999999999</v>
      </c>
      <c r="K3852">
        <v>1.1092850000000001</v>
      </c>
      <c r="L3852">
        <v>141.52170000000001</v>
      </c>
      <c r="M3852">
        <v>-0.99993589999999999</v>
      </c>
      <c r="N3852">
        <v>-9.6078829999999994E-3</v>
      </c>
      <c r="O3852">
        <v>6.0126260000000001E-3</v>
      </c>
      <c r="P3852">
        <v>-0.9352935</v>
      </c>
      <c r="Q3852">
        <v>0.34731679999999998</v>
      </c>
      <c r="R3852">
        <v>-6.7804519999999993E-2</v>
      </c>
      <c r="S3852">
        <v>-3.33725</v>
      </c>
      <c r="T3852">
        <v>-0.27604990000000001</v>
      </c>
      <c r="U3852">
        <v>0.36582949999999997</v>
      </c>
      <c r="V3852">
        <v>-7.2790740000000007E-2</v>
      </c>
      <c r="W3852">
        <v>0.35641349999999999</v>
      </c>
      <c r="X3852">
        <v>0.9314886</v>
      </c>
      <c r="Y3852">
        <v>0.1026171</v>
      </c>
      <c r="Z3852">
        <v>4.2822149999999998E-3</v>
      </c>
      <c r="AA3852">
        <v>0.99471169999999998</v>
      </c>
      <c r="AB3852">
        <v>42</v>
      </c>
      <c r="AC3852">
        <v>-0.58929999999997995</v>
      </c>
      <c r="AD3852">
        <v>-8.4875999999999896E-2</v>
      </c>
      <c r="AE3852">
        <v>0.109799999999978</v>
      </c>
      <c r="AF3852">
        <v>0.10416626393711501</v>
      </c>
      <c r="AG3852">
        <v>-8.4875999999999896E-2</v>
      </c>
      <c r="AH3852">
        <v>0.57835458700284703</v>
      </c>
      <c r="AI3852">
        <v>98.218419716413507</v>
      </c>
      <c r="AJ3852">
        <v>79.790034949062999</v>
      </c>
      <c r="AK3852">
        <v>0.59375800982037297</v>
      </c>
      <c r="AL3852">
        <v>69.119901525858893</v>
      </c>
      <c r="AM3852">
        <v>94.468271328425502</v>
      </c>
      <c r="AN3852">
        <v>1.0000000433709699</v>
      </c>
    </row>
    <row r="3853" spans="1:40" x14ac:dyDescent="0.25">
      <c r="A3853" t="str">
        <f>"20190304164721202"</f>
        <v>20190304164721202</v>
      </c>
      <c r="B3853" t="str">
        <f>"1551689241192635"</f>
        <v>1551689241192635</v>
      </c>
      <c r="C3853" t="s">
        <v>40</v>
      </c>
      <c r="D3853">
        <v>4.3304660000000004</v>
      </c>
      <c r="E3853">
        <v>0.58582140000000005</v>
      </c>
      <c r="F3853" t="s">
        <v>41</v>
      </c>
      <c r="G3853">
        <v>-278.70069999999998</v>
      </c>
      <c r="H3853">
        <v>1.02756</v>
      </c>
      <c r="I3853">
        <v>141.62819999999999</v>
      </c>
      <c r="J3853">
        <v>-278.12810000000002</v>
      </c>
      <c r="K3853">
        <v>1.1092900000000001</v>
      </c>
      <c r="L3853">
        <v>141.52449999999999</v>
      </c>
      <c r="M3853">
        <v>-0.99993209999999999</v>
      </c>
      <c r="N3853">
        <v>-9.6159650000000006E-3</v>
      </c>
      <c r="O3853">
        <v>6.582498E-3</v>
      </c>
      <c r="P3853">
        <v>-0.93570880000000001</v>
      </c>
      <c r="Q3853">
        <v>0.34641349999999999</v>
      </c>
      <c r="R3853">
        <v>-6.6683359999999997E-2</v>
      </c>
      <c r="S3853">
        <v>-3.3383790000000002</v>
      </c>
      <c r="T3853">
        <v>-0.28076889999999999</v>
      </c>
      <c r="U3853">
        <v>0.36633300000000002</v>
      </c>
      <c r="V3853">
        <v>-7.2214340000000002E-2</v>
      </c>
      <c r="W3853">
        <v>0.35551909999999998</v>
      </c>
      <c r="X3853">
        <v>0.93187509999999996</v>
      </c>
      <c r="Y3853">
        <v>0.1021536</v>
      </c>
      <c r="Z3853">
        <v>4.2810640000000002E-3</v>
      </c>
      <c r="AA3853">
        <v>0.99475939999999996</v>
      </c>
      <c r="AB3853">
        <v>43</v>
      </c>
      <c r="AC3853">
        <v>-0.57259999999996503</v>
      </c>
      <c r="AD3853">
        <v>-8.1729999999999803E-2</v>
      </c>
      <c r="AE3853">
        <v>0.103700000000003</v>
      </c>
      <c r="AF3853">
        <v>9.7995358892620399E-2</v>
      </c>
      <c r="AG3853">
        <v>-8.1729999999999803E-2</v>
      </c>
      <c r="AH3853">
        <v>0.56218051291621196</v>
      </c>
      <c r="AI3853">
        <v>98.1505178246871</v>
      </c>
      <c r="AJ3853">
        <v>80.111952768581901</v>
      </c>
      <c r="AK3853">
        <v>0.57648053945231204</v>
      </c>
      <c r="AL3853">
        <v>69.174737215185104</v>
      </c>
      <c r="AM3853">
        <v>94.431199219449297</v>
      </c>
      <c r="AN3853">
        <v>0.99999997168322696</v>
      </c>
    </row>
    <row r="3854" spans="1:40" x14ac:dyDescent="0.25">
      <c r="A3854" t="str">
        <f>"20190304164721223"</f>
        <v>20190304164721223</v>
      </c>
      <c r="B3854" t="str">
        <f>"1551689241213131"</f>
        <v>1551689241213131</v>
      </c>
      <c r="C3854" t="s">
        <v>40</v>
      </c>
      <c r="D3854">
        <v>4.5109190000000003</v>
      </c>
      <c r="E3854">
        <v>0.58557459999999995</v>
      </c>
      <c r="F3854" t="s">
        <v>41</v>
      </c>
      <c r="G3854">
        <v>-279.08150000000001</v>
      </c>
      <c r="H3854">
        <v>1.0270859999999999</v>
      </c>
      <c r="I3854">
        <v>141.6301</v>
      </c>
      <c r="J3854">
        <v>-278.54140000000001</v>
      </c>
      <c r="K3854">
        <v>1.109305</v>
      </c>
      <c r="L3854">
        <v>141.52770000000001</v>
      </c>
      <c r="M3854">
        <v>-0.99992829999999999</v>
      </c>
      <c r="N3854">
        <v>-9.6243209999999999E-3</v>
      </c>
      <c r="O3854">
        <v>7.1436360000000001E-3</v>
      </c>
      <c r="P3854">
        <v>-0.93605249999999995</v>
      </c>
      <c r="Q3854">
        <v>0.34564400000000001</v>
      </c>
      <c r="R3854">
        <v>-6.5850909999999999E-2</v>
      </c>
      <c r="S3854">
        <v>-3.3390200000000001</v>
      </c>
      <c r="T3854">
        <v>-0.28793180000000002</v>
      </c>
      <c r="U3854">
        <v>0.36889650000000002</v>
      </c>
      <c r="V3854">
        <v>-7.1925559999999999E-2</v>
      </c>
      <c r="W3854">
        <v>0.35475649999999997</v>
      </c>
      <c r="X3854">
        <v>0.93218800000000002</v>
      </c>
      <c r="Y3854">
        <v>0.1023119</v>
      </c>
      <c r="Z3854">
        <v>4.3401899999999998E-3</v>
      </c>
      <c r="AA3854">
        <v>0.99474289999999999</v>
      </c>
      <c r="AB3854">
        <v>43</v>
      </c>
      <c r="AC3854">
        <v>-0.54009999999999503</v>
      </c>
      <c r="AD3854">
        <v>-8.2218999999999806E-2</v>
      </c>
      <c r="AE3854">
        <v>0.102399999999988</v>
      </c>
      <c r="AF3854">
        <v>9.6382881160282402E-2</v>
      </c>
      <c r="AG3854">
        <v>-8.2218999999999806E-2</v>
      </c>
      <c r="AH3854">
        <v>0.52898456853063203</v>
      </c>
      <c r="AI3854">
        <v>98.693786794487806</v>
      </c>
      <c r="AJ3854">
        <v>79.673780010669105</v>
      </c>
      <c r="AK3854">
        <v>0.54394328517346002</v>
      </c>
      <c r="AL3854">
        <v>69.221477645258901</v>
      </c>
      <c r="AM3854">
        <v>94.412073714009907</v>
      </c>
      <c r="AN3854">
        <v>0.99999996390878099</v>
      </c>
    </row>
    <row r="3855" spans="1:40" x14ac:dyDescent="0.25">
      <c r="A3855" t="str">
        <f>"20190304164721247"</f>
        <v>20190304164721247</v>
      </c>
      <c r="B3855" t="str">
        <f>"1551689241242411"</f>
        <v>1551689241242411</v>
      </c>
      <c r="C3855" t="s">
        <v>40</v>
      </c>
      <c r="D3855">
        <v>4.360525</v>
      </c>
      <c r="E3855">
        <v>0.58531169999999899</v>
      </c>
      <c r="F3855" t="s">
        <v>41</v>
      </c>
      <c r="G3855">
        <v>-279.46350000000001</v>
      </c>
      <c r="H3855">
        <v>1.0281549999999999</v>
      </c>
      <c r="I3855">
        <v>141.62989999999999</v>
      </c>
      <c r="J3855">
        <v>-278.97649999999999</v>
      </c>
      <c r="K3855">
        <v>1.10934</v>
      </c>
      <c r="L3855">
        <v>141.53120000000001</v>
      </c>
      <c r="M3855">
        <v>-0.99992409999999998</v>
      </c>
      <c r="N3855">
        <v>-9.633005E-3</v>
      </c>
      <c r="O3855">
        <v>7.6877730000000002E-3</v>
      </c>
      <c r="P3855">
        <v>-0.93627689999999997</v>
      </c>
      <c r="Q3855">
        <v>0.34521360000000001</v>
      </c>
      <c r="R3855">
        <v>-6.4911239999999995E-2</v>
      </c>
      <c r="S3855">
        <v>-3.3394780000000002</v>
      </c>
      <c r="T3855">
        <v>-0.29395779999999999</v>
      </c>
      <c r="U3855">
        <v>0.36943049999999999</v>
      </c>
      <c r="V3855">
        <v>-7.1525000000000005E-2</v>
      </c>
      <c r="W3855">
        <v>0.35432979999999997</v>
      </c>
      <c r="X3855">
        <v>0.93238120000000002</v>
      </c>
      <c r="Y3855">
        <v>0.1019007</v>
      </c>
      <c r="Z3855">
        <v>4.3564909999999997E-3</v>
      </c>
      <c r="AA3855">
        <v>0.99478509999999998</v>
      </c>
      <c r="AB3855">
        <v>43</v>
      </c>
      <c r="AC3855">
        <v>-0.48700000000002303</v>
      </c>
      <c r="AD3855">
        <v>-8.1184999999999993E-2</v>
      </c>
      <c r="AE3855">
        <v>9.8699999999979499E-2</v>
      </c>
      <c r="AF3855">
        <v>9.2484201881583197E-2</v>
      </c>
      <c r="AG3855">
        <v>-8.1184999999999993E-2</v>
      </c>
      <c r="AH3855">
        <v>0.47506314707685099</v>
      </c>
      <c r="AI3855">
        <v>99.522366328337299</v>
      </c>
      <c r="AJ3855">
        <v>78.983581917162198</v>
      </c>
      <c r="AK3855">
        <v>0.49074364543337201</v>
      </c>
      <c r="AL3855">
        <v>69.247626496015897</v>
      </c>
      <c r="AM3855">
        <v>94.386693076751996</v>
      </c>
      <c r="AN3855">
        <v>1.0000000674532299</v>
      </c>
    </row>
    <row r="3856" spans="1:40" x14ac:dyDescent="0.25">
      <c r="A3856" t="str">
        <f>"20190304164721268"</f>
        <v>20190304164721268</v>
      </c>
      <c r="B3856" t="str">
        <f>"1551689241262908"</f>
        <v>1551689241262908</v>
      </c>
      <c r="C3856" t="s">
        <v>40</v>
      </c>
      <c r="D3856">
        <v>4.4997480000000003</v>
      </c>
      <c r="E3856">
        <v>0.58511939999999996</v>
      </c>
      <c r="F3856" t="s">
        <v>41</v>
      </c>
      <c r="G3856">
        <v>-279.84690000000001</v>
      </c>
      <c r="H3856">
        <v>1.0312159999999999</v>
      </c>
      <c r="I3856">
        <v>141.62809999999999</v>
      </c>
      <c r="J3856">
        <v>-279.41140000000001</v>
      </c>
      <c r="K3856">
        <v>1.1093850000000001</v>
      </c>
      <c r="L3856">
        <v>141.53489999999999</v>
      </c>
      <c r="M3856">
        <v>-0.99992009999999998</v>
      </c>
      <c r="N3856">
        <v>-9.6416990000000001E-3</v>
      </c>
      <c r="O3856">
        <v>8.1713989999999993E-3</v>
      </c>
      <c r="P3856">
        <v>-0.93621529999999997</v>
      </c>
      <c r="Q3856">
        <v>0.34540650000000001</v>
      </c>
      <c r="R3856">
        <v>-6.4772930000000006E-2</v>
      </c>
      <c r="S3856">
        <v>-3.3404539999999998</v>
      </c>
      <c r="T3856">
        <v>-0.29988419999999999</v>
      </c>
      <c r="U3856">
        <v>0.37109379999999997</v>
      </c>
      <c r="V3856">
        <v>-7.1876369999999995E-2</v>
      </c>
      <c r="W3856">
        <v>0.35452289999999997</v>
      </c>
      <c r="X3856">
        <v>0.93228069999999996</v>
      </c>
      <c r="Y3856">
        <v>0.1018633</v>
      </c>
      <c r="Z3856">
        <v>4.3915259999999998E-3</v>
      </c>
      <c r="AA3856">
        <v>0.99478869999999997</v>
      </c>
      <c r="AB3856">
        <v>43</v>
      </c>
      <c r="AC3856">
        <v>-0.43549999999999001</v>
      </c>
      <c r="AD3856">
        <v>-7.81690000000001E-2</v>
      </c>
      <c r="AE3856">
        <v>9.3199999999995897E-2</v>
      </c>
      <c r="AF3856">
        <v>8.6959157250962996E-2</v>
      </c>
      <c r="AG3856">
        <v>-7.81690000000001E-2</v>
      </c>
      <c r="AH3856">
        <v>0.42320940121221101</v>
      </c>
      <c r="AI3856">
        <v>100.25532226296799</v>
      </c>
      <c r="AJ3856">
        <v>78.388731627319004</v>
      </c>
      <c r="AK3856">
        <v>0.439065467630052</v>
      </c>
      <c r="AL3856">
        <v>69.235793166660301</v>
      </c>
      <c r="AM3856">
        <v>94.408631511320607</v>
      </c>
      <c r="AN3856">
        <v>1.0000000013906301</v>
      </c>
    </row>
    <row r="3857" spans="1:40" x14ac:dyDescent="0.25">
      <c r="A3857" t="str">
        <f>"20190304164721292"</f>
        <v>20190304164721292</v>
      </c>
      <c r="B3857" t="str">
        <f>"1551689241282442"</f>
        <v>1551689241282442</v>
      </c>
      <c r="C3857" t="s">
        <v>40</v>
      </c>
      <c r="D3857">
        <v>4.3758980000000003</v>
      </c>
      <c r="E3857">
        <v>0.56069060000000004</v>
      </c>
      <c r="F3857" t="s">
        <v>41</v>
      </c>
      <c r="G3857">
        <v>-280.2312</v>
      </c>
      <c r="H3857">
        <v>1.035485</v>
      </c>
      <c r="I3857">
        <v>141.6259</v>
      </c>
      <c r="J3857">
        <v>-279.84769999999997</v>
      </c>
      <c r="K3857">
        <v>1.109442</v>
      </c>
      <c r="L3857">
        <v>141.53870000000001</v>
      </c>
      <c r="M3857">
        <v>-0.99991669999999999</v>
      </c>
      <c r="N3857">
        <v>-9.6506969999999997E-3</v>
      </c>
      <c r="O3857">
        <v>8.5861219999999999E-3</v>
      </c>
      <c r="P3857">
        <v>-0.93630029999999997</v>
      </c>
      <c r="Q3857">
        <v>0.34524519999999997</v>
      </c>
      <c r="R3857">
        <v>-6.4404089999999997E-2</v>
      </c>
      <c r="S3857">
        <v>-3.3411870000000001</v>
      </c>
      <c r="T3857">
        <v>-0.30122409999999999</v>
      </c>
      <c r="U3857">
        <v>0.37062070000000003</v>
      </c>
      <c r="V3857">
        <v>-7.1945129999999996E-2</v>
      </c>
      <c r="W3857">
        <v>0.35436050000000002</v>
      </c>
      <c r="X3857">
        <v>0.93233710000000003</v>
      </c>
      <c r="Y3857">
        <v>0.10128810000000001</v>
      </c>
      <c r="Z3857">
        <v>4.3464659999999898E-3</v>
      </c>
      <c r="AA3857">
        <v>0.9948477</v>
      </c>
      <c r="AB3857">
        <v>43</v>
      </c>
      <c r="AC3857">
        <v>-0.38350000000002599</v>
      </c>
      <c r="AD3857">
        <v>-7.3956999999999995E-2</v>
      </c>
      <c r="AE3857">
        <v>8.7199999999995698E-2</v>
      </c>
      <c r="AF3857">
        <v>8.1038191607666094E-2</v>
      </c>
      <c r="AG3857">
        <v>-7.3956999999999995E-2</v>
      </c>
      <c r="AH3857">
        <v>0.37111140860369801</v>
      </c>
      <c r="AI3857">
        <v>101.017498388989</v>
      </c>
      <c r="AJ3857">
        <v>77.681899793015006</v>
      </c>
      <c r="AK3857">
        <v>0.38698902302760702</v>
      </c>
      <c r="AL3857">
        <v>69.245743280404497</v>
      </c>
      <c r="AM3857">
        <v>94.412566453786297</v>
      </c>
      <c r="AN3857">
        <v>0.99999996686368797</v>
      </c>
    </row>
    <row r="3858" spans="1:40" x14ac:dyDescent="0.25">
      <c r="A3858" t="str">
        <f>"20190304164721315"</f>
        <v>20190304164721315</v>
      </c>
      <c r="B3858" t="str">
        <f>"1551689241312684"</f>
        <v>1551689241312684</v>
      </c>
      <c r="C3858" t="s">
        <v>40</v>
      </c>
      <c r="D3858">
        <v>4.3228839999999904</v>
      </c>
      <c r="E3858">
        <v>0.54734130000000003</v>
      </c>
      <c r="F3858" t="s">
        <v>41</v>
      </c>
      <c r="G3858">
        <v>-280.62299999999999</v>
      </c>
      <c r="H3858">
        <v>1.048603</v>
      </c>
      <c r="I3858">
        <v>141.5813</v>
      </c>
      <c r="J3858">
        <v>-280.28309999999999</v>
      </c>
      <c r="K3858">
        <v>1.1095060000000001</v>
      </c>
      <c r="L3858">
        <v>141.5427</v>
      </c>
      <c r="M3858">
        <v>-0.99991350000000001</v>
      </c>
      <c r="N3858">
        <v>-9.6599249999999998E-3</v>
      </c>
      <c r="O3858">
        <v>8.9214749999999999E-3</v>
      </c>
      <c r="P3858">
        <v>-0.93613590000000002</v>
      </c>
      <c r="Q3858">
        <v>0.34556629999999999</v>
      </c>
      <c r="R3858">
        <v>-6.5066899999999997E-2</v>
      </c>
      <c r="S3858">
        <v>-3.312408</v>
      </c>
      <c r="T3858">
        <v>-0.26000240000000002</v>
      </c>
      <c r="U3858">
        <v>0.18086240000000001</v>
      </c>
      <c r="V3858">
        <v>-7.2975079999999998E-2</v>
      </c>
      <c r="W3858">
        <v>0.35467850000000001</v>
      </c>
      <c r="X3858">
        <v>0.93213619999999997</v>
      </c>
      <c r="Y3858">
        <v>4.547383E-2</v>
      </c>
      <c r="Z3858">
        <v>1.388196E-3</v>
      </c>
      <c r="AA3858">
        <v>0.99896450000000003</v>
      </c>
      <c r="AB3858">
        <v>43</v>
      </c>
      <c r="AC3858">
        <v>-0.33989999999999998</v>
      </c>
      <c r="AD3858">
        <v>-6.09029999999997E-2</v>
      </c>
      <c r="AE3858">
        <v>3.8600000000002403E-2</v>
      </c>
      <c r="AF3858">
        <v>3.4473235188615697E-2</v>
      </c>
      <c r="AG3858">
        <v>-6.09029999999997E-2</v>
      </c>
      <c r="AH3858">
        <v>0.32977807815311699</v>
      </c>
      <c r="AI3858">
        <v>100.40795674238601</v>
      </c>
      <c r="AJ3858">
        <v>84.032280300621593</v>
      </c>
      <c r="AK3858">
        <v>0.33712187734368798</v>
      </c>
      <c r="AL3858">
        <v>69.226259363500603</v>
      </c>
      <c r="AM3858">
        <v>94.476441571402404</v>
      </c>
      <c r="AN3858">
        <v>1.0000000480068401</v>
      </c>
    </row>
    <row r="3859" spans="1:40" x14ac:dyDescent="0.25">
      <c r="A3859" t="str">
        <f>"20190304164721337"</f>
        <v>20190304164721337</v>
      </c>
      <c r="B3859" t="str">
        <f>"1551689241333180"</f>
        <v>1551689241333180</v>
      </c>
      <c r="C3859" t="s">
        <v>40</v>
      </c>
      <c r="D3859">
        <v>4.3000439999999998</v>
      </c>
      <c r="E3859">
        <v>0.5447959</v>
      </c>
      <c r="F3859" t="s">
        <v>41</v>
      </c>
      <c r="G3859">
        <v>-281.37549999999999</v>
      </c>
      <c r="H3859">
        <v>1.0233890000000001</v>
      </c>
      <c r="I3859">
        <v>141.56700000000001</v>
      </c>
      <c r="J3859">
        <v>-280.69889999999998</v>
      </c>
      <c r="K3859">
        <v>1.1095649999999999</v>
      </c>
      <c r="L3859">
        <v>141.54660000000001</v>
      </c>
      <c r="M3859">
        <v>-0.99991140000000001</v>
      </c>
      <c r="N3859">
        <v>-9.6688869999999993E-3</v>
      </c>
      <c r="O3859">
        <v>9.1673009999999992E-3</v>
      </c>
      <c r="P3859">
        <v>-0.93566689999999997</v>
      </c>
      <c r="Q3859">
        <v>0.34673159999999997</v>
      </c>
      <c r="R3859">
        <v>-6.5611939999999994E-2</v>
      </c>
      <c r="S3859">
        <v>-3.3059690000000002</v>
      </c>
      <c r="T3859">
        <v>-0.26074249999999999</v>
      </c>
      <c r="U3859">
        <v>7.2814939999999995E-2</v>
      </c>
      <c r="V3859">
        <v>-7.3799020000000007E-2</v>
      </c>
      <c r="W3859">
        <v>0.3558365</v>
      </c>
      <c r="X3859">
        <v>0.93162979999999995</v>
      </c>
      <c r="Y3859">
        <v>1.28307E-2</v>
      </c>
      <c r="Z3859" s="1">
        <v>-6.6000760000000004E-5</v>
      </c>
      <c r="AA3859">
        <v>0.99991770000000002</v>
      </c>
      <c r="AB3859">
        <v>43</v>
      </c>
      <c r="AC3859">
        <v>-0.67660000000000697</v>
      </c>
      <c r="AD3859">
        <v>-8.6176000000000003E-2</v>
      </c>
      <c r="AE3859">
        <v>2.0399999999994999E-2</v>
      </c>
      <c r="AF3859">
        <v>1.3969842733852799E-2</v>
      </c>
      <c r="AG3859">
        <v>-8.6176000000000003E-2</v>
      </c>
      <c r="AH3859">
        <v>0.66596500913701995</v>
      </c>
      <c r="AI3859">
        <v>97.371510395953194</v>
      </c>
      <c r="AJ3859">
        <v>88.798291730401303</v>
      </c>
      <c r="AK3859">
        <v>0.67166275233697503</v>
      </c>
      <c r="AL3859">
        <v>69.155279700196004</v>
      </c>
      <c r="AM3859">
        <v>94.529225201484806</v>
      </c>
      <c r="AN3859">
        <v>0.99999999716662502</v>
      </c>
    </row>
    <row r="3860" spans="1:40" x14ac:dyDescent="0.25">
      <c r="A3860" t="str">
        <f>"20190304164721358"</f>
        <v>20190304164721358</v>
      </c>
      <c r="B3860" t="str">
        <f>"1551689241352700"</f>
        <v>1551689241352700</v>
      </c>
      <c r="C3860" t="s">
        <v>40</v>
      </c>
      <c r="D3860">
        <v>4.2627290000000002</v>
      </c>
      <c r="E3860">
        <v>0.54361919999999897</v>
      </c>
      <c r="F3860" t="s">
        <v>41</v>
      </c>
      <c r="G3860">
        <v>-281.76330000000002</v>
      </c>
      <c r="H3860">
        <v>1.0314030000000001</v>
      </c>
      <c r="I3860">
        <v>141.5641</v>
      </c>
      <c r="J3860">
        <v>-281.11720000000003</v>
      </c>
      <c r="K3860">
        <v>1.109623</v>
      </c>
      <c r="L3860">
        <v>141.5506</v>
      </c>
      <c r="M3860">
        <v>-0.99990950000000001</v>
      </c>
      <c r="N3860">
        <v>-9.6779580000000004E-3</v>
      </c>
      <c r="O3860">
        <v>9.3574330000000001E-3</v>
      </c>
      <c r="P3860">
        <v>-0.93558019999999997</v>
      </c>
      <c r="Q3860">
        <v>0.3467655</v>
      </c>
      <c r="R3860">
        <v>-6.6661659999999998E-2</v>
      </c>
      <c r="S3860">
        <v>-3.2998050000000001</v>
      </c>
      <c r="T3860">
        <v>-0.24239250000000001</v>
      </c>
      <c r="U3860">
        <v>5.3405759999999997E-2</v>
      </c>
      <c r="V3860">
        <v>-7.5076480000000001E-2</v>
      </c>
      <c r="W3860">
        <v>0.35586849999999998</v>
      </c>
      <c r="X3860">
        <v>0.93151550000000005</v>
      </c>
      <c r="Y3860">
        <v>6.8232419999999898E-3</v>
      </c>
      <c r="Z3860">
        <v>-3.1259799999999998E-4</v>
      </c>
      <c r="AA3860">
        <v>0.99997670000000005</v>
      </c>
      <c r="AB3860">
        <v>43</v>
      </c>
      <c r="AC3860">
        <v>-0.64609999999998902</v>
      </c>
      <c r="AD3860">
        <v>-7.8219999999999901E-2</v>
      </c>
      <c r="AE3860">
        <v>1.3499999999993399E-2</v>
      </c>
      <c r="AF3860">
        <v>7.3456726556024197E-3</v>
      </c>
      <c r="AG3860">
        <v>-7.8219999999999901E-2</v>
      </c>
      <c r="AH3860">
        <v>0.63686773656953499</v>
      </c>
      <c r="AI3860">
        <v>97.001530804454106</v>
      </c>
      <c r="AJ3860">
        <v>89.339176167231003</v>
      </c>
      <c r="AK3860">
        <v>0.64169528686906097</v>
      </c>
      <c r="AL3860">
        <v>69.153317809458798</v>
      </c>
      <c r="AM3860">
        <v>94.607854242642802</v>
      </c>
      <c r="AN3860">
        <v>0.99999999694084496</v>
      </c>
    </row>
    <row r="3861" spans="1:40" x14ac:dyDescent="0.25">
      <c r="A3861" t="str">
        <f>"20190304164721381"</f>
        <v>20190304164721381</v>
      </c>
      <c r="B3861" t="str">
        <f>"1551689241373196"</f>
        <v>1551689241373196</v>
      </c>
      <c r="C3861" t="s">
        <v>40</v>
      </c>
      <c r="D3861">
        <v>4.2916249999999998</v>
      </c>
      <c r="E3861">
        <v>0.54285939999999999</v>
      </c>
      <c r="F3861" t="s">
        <v>41</v>
      </c>
      <c r="G3861">
        <v>-282.15129999999999</v>
      </c>
      <c r="H3861">
        <v>1.0367109999999999</v>
      </c>
      <c r="I3861">
        <v>141.56379999999999</v>
      </c>
      <c r="J3861">
        <v>-281.56380000000001</v>
      </c>
      <c r="K3861">
        <v>1.1096809999999999</v>
      </c>
      <c r="L3861">
        <v>141.5548</v>
      </c>
      <c r="M3861">
        <v>-0.99990800000000002</v>
      </c>
      <c r="N3861">
        <v>-9.6875920000000001E-3</v>
      </c>
      <c r="O3861">
        <v>9.506937E-3</v>
      </c>
      <c r="P3861">
        <v>-0.93553450000000005</v>
      </c>
      <c r="Q3861">
        <v>0.34689530000000002</v>
      </c>
      <c r="R3861">
        <v>-6.6627259999999994E-2</v>
      </c>
      <c r="S3861">
        <v>-3.2956539999999999</v>
      </c>
      <c r="T3861">
        <v>-0.23237060000000001</v>
      </c>
      <c r="U3861">
        <v>4.1992189999999999E-2</v>
      </c>
      <c r="V3861">
        <v>-7.5229340000000006E-2</v>
      </c>
      <c r="W3861">
        <v>0.3559968</v>
      </c>
      <c r="X3861">
        <v>0.93145409999999995</v>
      </c>
      <c r="Y3861">
        <v>3.2418669999999998E-3</v>
      </c>
      <c r="Z3861">
        <v>-4.4757050000000001E-4</v>
      </c>
      <c r="AA3861">
        <v>0.99999459999999996</v>
      </c>
      <c r="AB3861">
        <v>43</v>
      </c>
      <c r="AC3861">
        <v>-0.58749999999997704</v>
      </c>
      <c r="AD3861">
        <v>-7.2969999999999702E-2</v>
      </c>
      <c r="AE3861">
        <v>8.9999999999861302E-3</v>
      </c>
      <c r="AF3861">
        <v>3.3621515834512E-3</v>
      </c>
      <c r="AG3861">
        <v>-7.2969999999999702E-2</v>
      </c>
      <c r="AH3861">
        <v>0.57863468601443502</v>
      </c>
      <c r="AI3861">
        <v>97.187349666666606</v>
      </c>
      <c r="AJ3861">
        <v>89.667087140488505</v>
      </c>
      <c r="AK3861">
        <v>0.58322724972543405</v>
      </c>
      <c r="AL3861">
        <v>69.145450762427103</v>
      </c>
      <c r="AM3861">
        <v>94.617498615786801</v>
      </c>
      <c r="AN3861">
        <v>0.99999995780694095</v>
      </c>
    </row>
    <row r="3862" spans="1:40" x14ac:dyDescent="0.25">
      <c r="A3862" t="str">
        <f>"20190304164721402"</f>
        <v>20190304164721402</v>
      </c>
      <c r="B3862" t="str">
        <f>"1551689241392719"</f>
        <v>1551689241392719</v>
      </c>
      <c r="C3862" t="s">
        <v>40</v>
      </c>
      <c r="D3862">
        <v>4.2612350000000001</v>
      </c>
      <c r="E3862">
        <v>0.54243869999999905</v>
      </c>
      <c r="F3862" t="s">
        <v>41</v>
      </c>
      <c r="G3862">
        <v>-282.5412</v>
      </c>
      <c r="H3862">
        <v>1.0425329999999999</v>
      </c>
      <c r="I3862">
        <v>141.56530000000001</v>
      </c>
      <c r="J3862">
        <v>-281.97140000000002</v>
      </c>
      <c r="K3862">
        <v>1.1097269999999999</v>
      </c>
      <c r="L3862">
        <v>141.55879999999999</v>
      </c>
      <c r="M3862">
        <v>-0.99990679999999998</v>
      </c>
      <c r="N3862">
        <v>-9.6962309999999996E-3</v>
      </c>
      <c r="O3862">
        <v>9.6072759999999997E-3</v>
      </c>
      <c r="P3862">
        <v>-0.93550739999999999</v>
      </c>
      <c r="Q3862">
        <v>0.34689140000000002</v>
      </c>
      <c r="R3862">
        <v>-6.7027290000000003E-2</v>
      </c>
      <c r="S3862">
        <v>-3.2931520000000001</v>
      </c>
      <c r="T3862">
        <v>-0.2262229</v>
      </c>
      <c r="U3862">
        <v>3.5202030000000002E-2</v>
      </c>
      <c r="V3862">
        <v>-7.5760209999999995E-2</v>
      </c>
      <c r="W3862">
        <v>0.3559929</v>
      </c>
      <c r="X3862">
        <v>0.93141260000000003</v>
      </c>
      <c r="Y3862">
        <v>1.094933E-3</v>
      </c>
      <c r="Z3862">
        <v>-5.2321889999999997E-4</v>
      </c>
      <c r="AA3862">
        <v>0.99999930000000004</v>
      </c>
      <c r="AB3862">
        <v>43</v>
      </c>
      <c r="AC3862">
        <v>-0.56979999999998598</v>
      </c>
      <c r="AD3862">
        <v>-6.7194000000000198E-2</v>
      </c>
      <c r="AE3862">
        <v>6.5000000000168196E-3</v>
      </c>
      <c r="AF3862">
        <v>1.0111568023435801E-3</v>
      </c>
      <c r="AG3862">
        <v>-6.7194000000000198E-2</v>
      </c>
      <c r="AH3862">
        <v>0.56202144793473496</v>
      </c>
      <c r="AI3862">
        <v>96.817779834382804</v>
      </c>
      <c r="AJ3862">
        <v>89.896916826033902</v>
      </c>
      <c r="AK3862">
        <v>0.56602487932310397</v>
      </c>
      <c r="AL3862">
        <v>69.145690646112698</v>
      </c>
      <c r="AM3862">
        <v>94.650146747856397</v>
      </c>
      <c r="AN3862">
        <v>0.99999999285420704</v>
      </c>
    </row>
    <row r="3863" spans="1:40" x14ac:dyDescent="0.25">
      <c r="A3863" t="str">
        <f>"20190304164721424"</f>
        <v>20190304164721424</v>
      </c>
      <c r="B3863" t="str">
        <f>"1551689241413212"</f>
        <v>1551689241413212</v>
      </c>
      <c r="C3863" t="s">
        <v>40</v>
      </c>
      <c r="D3863">
        <v>4.2805920000000004</v>
      </c>
      <c r="E3863">
        <v>0.5421802</v>
      </c>
      <c r="F3863" t="s">
        <v>41</v>
      </c>
      <c r="G3863">
        <v>-282.92770000000002</v>
      </c>
      <c r="H3863">
        <v>1.0424169999999999</v>
      </c>
      <c r="I3863">
        <v>141.5675</v>
      </c>
      <c r="J3863">
        <v>-282.39780000000002</v>
      </c>
      <c r="K3863">
        <v>1.1097589999999999</v>
      </c>
      <c r="L3863">
        <v>141.56290000000001</v>
      </c>
      <c r="M3863">
        <v>-0.99990599999999996</v>
      </c>
      <c r="N3863">
        <v>-9.705277E-3</v>
      </c>
      <c r="O3863">
        <v>9.6854880000000008E-3</v>
      </c>
      <c r="P3863">
        <v>-0.93533319999999998</v>
      </c>
      <c r="Q3863">
        <v>0.34721960000000002</v>
      </c>
      <c r="R3863">
        <v>-6.7752380000000001E-2</v>
      </c>
      <c r="S3863">
        <v>-3.2949519999999999</v>
      </c>
      <c r="T3863">
        <v>-0.23200580000000001</v>
      </c>
      <c r="U3863">
        <v>2.9357910000000001E-2</v>
      </c>
      <c r="V3863">
        <v>-7.6589760000000007E-2</v>
      </c>
      <c r="W3863">
        <v>0.3563212</v>
      </c>
      <c r="X3863">
        <v>0.93121920000000002</v>
      </c>
      <c r="Y3863">
        <v>-7.5641269999999995E-4</v>
      </c>
      <c r="Z3863">
        <v>-6.1747780000000001E-4</v>
      </c>
      <c r="AA3863">
        <v>0.99999950000000004</v>
      </c>
      <c r="AB3863">
        <v>43</v>
      </c>
      <c r="AC3863">
        <v>-0.52989999999999704</v>
      </c>
      <c r="AD3863">
        <v>-6.7341999999999999E-2</v>
      </c>
      <c r="AE3863">
        <v>4.5999999999821696E-3</v>
      </c>
      <c r="AF3863">
        <v>-5.2433006224039398E-4</v>
      </c>
      <c r="AG3863">
        <v>-6.7341999999999999E-2</v>
      </c>
      <c r="AH3863">
        <v>0.52149791509828602</v>
      </c>
      <c r="AI3863">
        <v>97.357989381183501</v>
      </c>
      <c r="AJ3863">
        <v>90.057606921610599</v>
      </c>
      <c r="AK3863">
        <v>0.52582819945099202</v>
      </c>
      <c r="AL3863">
        <v>69.125560442461804</v>
      </c>
      <c r="AM3863">
        <v>94.701809315344306</v>
      </c>
      <c r="AN3863">
        <v>0.99999999367746795</v>
      </c>
    </row>
    <row r="3864" spans="1:40" x14ac:dyDescent="0.25">
      <c r="A3864" t="str">
        <f>"20190304164721448"</f>
        <v>20190304164721448</v>
      </c>
      <c r="B3864" t="str">
        <f>"1551689241442492"</f>
        <v>1551689241442492</v>
      </c>
      <c r="C3864" t="s">
        <v>40</v>
      </c>
      <c r="D3864">
        <v>4.2681879999999897</v>
      </c>
      <c r="E3864">
        <v>0.54177889999999995</v>
      </c>
      <c r="F3864" t="s">
        <v>51</v>
      </c>
      <c r="G3864">
        <v>-297.98590000000002</v>
      </c>
      <c r="H3864" s="1">
        <v>-8.7682439999999904E-6</v>
      </c>
      <c r="I3864">
        <v>141.6816</v>
      </c>
      <c r="J3864">
        <v>-282.8365</v>
      </c>
      <c r="K3864">
        <v>1.109793</v>
      </c>
      <c r="L3864">
        <v>141.56720000000001</v>
      </c>
      <c r="M3864">
        <v>-0.99990540000000006</v>
      </c>
      <c r="N3864">
        <v>-9.7147109999999991E-3</v>
      </c>
      <c r="O3864">
        <v>9.7459820000000003E-3</v>
      </c>
      <c r="P3864">
        <v>-0.93522649999999996</v>
      </c>
      <c r="Q3864">
        <v>0.34739989999999998</v>
      </c>
      <c r="R3864">
        <v>-6.8301990000000007E-2</v>
      </c>
      <c r="S3864">
        <v>-3.2963260000000001</v>
      </c>
      <c r="T3864">
        <v>-0.2346772</v>
      </c>
      <c r="U3864">
        <v>2.5100709999999998E-2</v>
      </c>
      <c r="V3864">
        <v>-7.7223890000000003E-2</v>
      </c>
      <c r="W3864">
        <v>0.35650300000000001</v>
      </c>
      <c r="X3864">
        <v>0.93109730000000002</v>
      </c>
      <c r="Y3864">
        <v>-2.1075320000000001E-3</v>
      </c>
      <c r="Z3864">
        <v>-6.8354829999999996E-4</v>
      </c>
      <c r="AA3864">
        <v>0.99999760000000004</v>
      </c>
      <c r="AB3864">
        <v>43</v>
      </c>
      <c r="AC3864">
        <v>-15.1494</v>
      </c>
      <c r="AD3864">
        <v>-1.109801768244</v>
      </c>
      <c r="AE3864">
        <v>0.114399999999989</v>
      </c>
      <c r="AF3864">
        <v>-3.3080647780907697E-2</v>
      </c>
      <c r="AG3864">
        <v>-1.109801768244</v>
      </c>
      <c r="AH3864">
        <v>15.0689309811653</v>
      </c>
      <c r="AI3864">
        <v>94.212124332896906</v>
      </c>
      <c r="AJ3864">
        <v>90.125780551983695</v>
      </c>
      <c r="AK3864">
        <v>15.109779456007301</v>
      </c>
      <c r="AL3864">
        <v>69.114413168624196</v>
      </c>
      <c r="AM3864">
        <v>94.741179370342493</v>
      </c>
      <c r="AN3864">
        <v>1.0000000501315001</v>
      </c>
    </row>
    <row r="3865" spans="1:40" x14ac:dyDescent="0.25">
      <c r="A3865" t="str">
        <f>"20190304164721470"</f>
        <v>20190304164721470</v>
      </c>
      <c r="B3865" t="str">
        <f>"1551689241462988"</f>
        <v>1551689241462988</v>
      </c>
      <c r="C3865" t="s">
        <v>40</v>
      </c>
      <c r="D3865">
        <v>4.268751</v>
      </c>
      <c r="E3865">
        <v>0.54160240000000004</v>
      </c>
      <c r="F3865" t="s">
        <v>51</v>
      </c>
      <c r="G3865">
        <v>-298.60989999999998</v>
      </c>
      <c r="H3865" s="1">
        <v>-8.7091139999999993E-6</v>
      </c>
      <c r="I3865">
        <v>141.6653</v>
      </c>
      <c r="J3865">
        <v>-283.28149999999999</v>
      </c>
      <c r="K3865">
        <v>1.1098170000000001</v>
      </c>
      <c r="L3865">
        <v>141.57159999999999</v>
      </c>
      <c r="M3865">
        <v>-0.99990480000000004</v>
      </c>
      <c r="N3865">
        <v>-9.7242600000000002E-3</v>
      </c>
      <c r="O3865">
        <v>9.7957280000000001E-3</v>
      </c>
      <c r="P3865">
        <v>-0.93531050000000004</v>
      </c>
      <c r="Q3865">
        <v>0.34713549999999999</v>
      </c>
      <c r="R3865">
        <v>-6.8492490000000003E-2</v>
      </c>
      <c r="S3865">
        <v>-3.2953800000000002</v>
      </c>
      <c r="T3865">
        <v>-0.2318598</v>
      </c>
      <c r="U3865">
        <v>2.0477289999999999E-2</v>
      </c>
      <c r="V3865">
        <v>-7.7488730000000006E-2</v>
      </c>
      <c r="W3865">
        <v>0.35624280000000003</v>
      </c>
      <c r="X3865">
        <v>0.93117479999999997</v>
      </c>
      <c r="Y3865">
        <v>-3.5544919999999998E-3</v>
      </c>
      <c r="Z3865">
        <v>-7.3538619999999897E-4</v>
      </c>
      <c r="AA3865">
        <v>0.99999340000000003</v>
      </c>
      <c r="AB3865">
        <v>43</v>
      </c>
      <c r="AC3865">
        <v>-15.328399999999901</v>
      </c>
      <c r="AD3865">
        <v>-1.109825709114</v>
      </c>
      <c r="AE3865">
        <v>9.3700000000012496E-2</v>
      </c>
      <c r="AF3865">
        <v>-5.6169978640501703E-2</v>
      </c>
      <c r="AG3865">
        <v>-1.109825709114</v>
      </c>
      <c r="AH3865">
        <v>15.248648481443</v>
      </c>
      <c r="AI3865">
        <v>94.1627279577732</v>
      </c>
      <c r="AJ3865">
        <v>90.211053993352905</v>
      </c>
      <c r="AK3865">
        <v>15.2890859334927</v>
      </c>
      <c r="AL3865">
        <v>69.130367430896101</v>
      </c>
      <c r="AM3865">
        <v>94.756970652487396</v>
      </c>
      <c r="AN3865">
        <v>0.99999997199194601</v>
      </c>
    </row>
    <row r="3866" spans="1:40" x14ac:dyDescent="0.25">
      <c r="A3866" t="str">
        <f>"20190304164721493"</f>
        <v>20190304164721493</v>
      </c>
      <c r="B3866" t="str">
        <f>"1551689241482511"</f>
        <v>1551689241482511</v>
      </c>
      <c r="C3866" t="s">
        <v>40</v>
      </c>
      <c r="D3866">
        <v>4.2666919999999999</v>
      </c>
      <c r="E3866">
        <v>0.54158379999999995</v>
      </c>
      <c r="F3866" t="s">
        <v>51</v>
      </c>
      <c r="G3866">
        <v>-298.85910000000001</v>
      </c>
      <c r="H3866" s="1">
        <v>-8.6843400000000003E-6</v>
      </c>
      <c r="I3866">
        <v>141.65430000000001</v>
      </c>
      <c r="J3866">
        <v>-283.71260000000001</v>
      </c>
      <c r="K3866">
        <v>1.1098330000000001</v>
      </c>
      <c r="L3866">
        <v>141.57589999999999</v>
      </c>
      <c r="M3866">
        <v>-0.99990420000000002</v>
      </c>
      <c r="N3866">
        <v>-9.7336230000000003E-3</v>
      </c>
      <c r="O3866">
        <v>9.837541E-3</v>
      </c>
      <c r="P3866">
        <v>-0.93532539999999997</v>
      </c>
      <c r="Q3866">
        <v>0.34718339999999998</v>
      </c>
      <c r="R3866">
        <v>-6.8048209999999998E-2</v>
      </c>
      <c r="S3866">
        <v>-3.2959290000000001</v>
      </c>
      <c r="T3866">
        <v>-0.2348181</v>
      </c>
      <c r="U3866">
        <v>1.7501829999999999E-2</v>
      </c>
      <c r="V3866">
        <v>-7.7104350000000002E-2</v>
      </c>
      <c r="W3866">
        <v>0.35629499999999997</v>
      </c>
      <c r="X3866">
        <v>0.93118679999999998</v>
      </c>
      <c r="Y3866">
        <v>-4.4965200000000004E-3</v>
      </c>
      <c r="Z3866">
        <v>-7.8620489999999996E-4</v>
      </c>
      <c r="AA3866">
        <v>0.99998960000000003</v>
      </c>
      <c r="AB3866">
        <v>43</v>
      </c>
      <c r="AC3866">
        <v>-15.1465</v>
      </c>
      <c r="AD3866">
        <v>-1.1098416843400001</v>
      </c>
      <c r="AE3866">
        <v>7.8400000000016207E-2</v>
      </c>
      <c r="AF3866">
        <v>-7.0238071547923095E-2</v>
      </c>
      <c r="AG3866">
        <v>-1.1098416843400001</v>
      </c>
      <c r="AH3866">
        <v>15.065652214538201</v>
      </c>
      <c r="AI3866">
        <v>94.213153202718004</v>
      </c>
      <c r="AJ3866">
        <v>90.267118598443602</v>
      </c>
      <c r="AK3866">
        <v>15.106639553534499</v>
      </c>
      <c r="AL3866">
        <v>69.127167875569</v>
      </c>
      <c r="AM3866">
        <v>94.733420639566901</v>
      </c>
      <c r="AN3866">
        <v>1.0000000321540801</v>
      </c>
    </row>
    <row r="3867" spans="1:40" x14ac:dyDescent="0.25">
      <c r="A3867" t="str">
        <f>"20190304164721515"</f>
        <v>20190304164721515</v>
      </c>
      <c r="B3867" t="str">
        <f>"1551689241512764"</f>
        <v>1551689241512764</v>
      </c>
      <c r="C3867" t="s">
        <v>40</v>
      </c>
      <c r="D3867">
        <v>4.2746810000000002</v>
      </c>
      <c r="E3867">
        <v>0.54159990000000002</v>
      </c>
      <c r="F3867" t="s">
        <v>51</v>
      </c>
      <c r="G3867">
        <v>-299.09640000000002</v>
      </c>
      <c r="H3867" s="1">
        <v>-8.6653059999999996E-6</v>
      </c>
      <c r="I3867">
        <v>141.66120000000001</v>
      </c>
      <c r="J3867">
        <v>-284.13749999999999</v>
      </c>
      <c r="K3867">
        <v>1.1098570000000001</v>
      </c>
      <c r="L3867">
        <v>141.58009999999999</v>
      </c>
      <c r="M3867">
        <v>-0.99990389999999996</v>
      </c>
      <c r="N3867">
        <v>-9.74269E-3</v>
      </c>
      <c r="O3867">
        <v>9.8756409999999992E-3</v>
      </c>
      <c r="P3867">
        <v>-0.93542749999999997</v>
      </c>
      <c r="Q3867">
        <v>0.34697090000000003</v>
      </c>
      <c r="R3867">
        <v>-6.7726700000000001E-2</v>
      </c>
      <c r="S3867">
        <v>-3.2970579999999998</v>
      </c>
      <c r="T3867">
        <v>-0.23786089999999999</v>
      </c>
      <c r="U3867">
        <v>1.8280029999999999E-2</v>
      </c>
      <c r="V3867">
        <v>-7.6838229999999993E-2</v>
      </c>
      <c r="W3867">
        <v>0.3560873</v>
      </c>
      <c r="X3867">
        <v>0.93128820000000001</v>
      </c>
      <c r="Y3867">
        <v>-4.3000779999999997E-3</v>
      </c>
      <c r="Z3867">
        <v>-7.9129509999999897E-4</v>
      </c>
      <c r="AA3867">
        <v>0.9999905</v>
      </c>
      <c r="AB3867">
        <v>43</v>
      </c>
      <c r="AC3867">
        <v>-14.9589</v>
      </c>
      <c r="AD3867">
        <v>-1.1098656653059999</v>
      </c>
      <c r="AE3867">
        <v>8.11000000000206E-2</v>
      </c>
      <c r="AF3867">
        <v>-6.6274855004458705E-2</v>
      </c>
      <c r="AG3867">
        <v>-1.1098656653059999</v>
      </c>
      <c r="AH3867">
        <v>14.8770784787491</v>
      </c>
      <c r="AI3867">
        <v>94.266456742299894</v>
      </c>
      <c r="AJ3867">
        <v>90.255241267009296</v>
      </c>
      <c r="AK3867">
        <v>14.9185675657648</v>
      </c>
      <c r="AL3867">
        <v>69.139902690183604</v>
      </c>
      <c r="AM3867">
        <v>94.716646143233206</v>
      </c>
      <c r="AN3867">
        <v>0.99999999513503102</v>
      </c>
    </row>
    <row r="3868" spans="1:40" x14ac:dyDescent="0.25">
      <c r="A3868" t="str">
        <f>"20190304164721538"</f>
        <v>20190304164721538</v>
      </c>
      <c r="B3868" t="str">
        <f>"1551689241533260"</f>
        <v>1551689241533260</v>
      </c>
      <c r="C3868" t="s">
        <v>40</v>
      </c>
      <c r="D3868">
        <v>4.2829769999999998</v>
      </c>
      <c r="E3868">
        <v>0.54157200000000005</v>
      </c>
      <c r="F3868" t="s">
        <v>41</v>
      </c>
      <c r="G3868">
        <v>-285.23430000000002</v>
      </c>
      <c r="H3868">
        <v>1.029107</v>
      </c>
      <c r="I3868">
        <v>141.5865</v>
      </c>
      <c r="J3868">
        <v>-284.56979999999999</v>
      </c>
      <c r="K3868">
        <v>1.1098699999999999</v>
      </c>
      <c r="L3868">
        <v>141.58449999999999</v>
      </c>
      <c r="M3868">
        <v>-0.99990330000000005</v>
      </c>
      <c r="N3868">
        <v>-9.7519010000000003E-3</v>
      </c>
      <c r="O3868">
        <v>9.9126419999999993E-3</v>
      </c>
      <c r="P3868">
        <v>-0.93575810000000004</v>
      </c>
      <c r="Q3868">
        <v>0.3461727</v>
      </c>
      <c r="R3868">
        <v>-6.7244949999999998E-2</v>
      </c>
      <c r="S3868">
        <v>-3.2985530000000001</v>
      </c>
      <c r="T3868">
        <v>-0.2429345</v>
      </c>
      <c r="U3868">
        <v>1.8402100000000001E-2</v>
      </c>
      <c r="V3868">
        <v>-7.6410259999999994E-2</v>
      </c>
      <c r="W3868">
        <v>0.35529809999999901</v>
      </c>
      <c r="X3868">
        <v>0.93162480000000003</v>
      </c>
      <c r="Y3868">
        <v>-4.3010790000000002E-3</v>
      </c>
      <c r="Z3868">
        <v>-8.1166389999999999E-4</v>
      </c>
      <c r="AA3868">
        <v>0.99999039999999995</v>
      </c>
      <c r="AB3868">
        <v>43</v>
      </c>
      <c r="AC3868">
        <v>-0.66450000000003195</v>
      </c>
      <c r="AD3868">
        <v>-8.0763000000000099E-2</v>
      </c>
      <c r="AE3868">
        <v>2.0000000000095402E-3</v>
      </c>
      <c r="AF3868">
        <v>-4.5205854038967196E-3</v>
      </c>
      <c r="AG3868">
        <v>-8.0763000000000099E-2</v>
      </c>
      <c r="AH3868">
        <v>0.65481444161276003</v>
      </c>
      <c r="AI3868">
        <v>97.031027398885897</v>
      </c>
      <c r="AJ3868">
        <v>90.395541596867801</v>
      </c>
      <c r="AK3868">
        <v>0.65979167227695801</v>
      </c>
      <c r="AL3868">
        <v>69.188285046209899</v>
      </c>
      <c r="AM3868">
        <v>94.688805991356304</v>
      </c>
      <c r="AN3868">
        <v>1.0000000178359501</v>
      </c>
    </row>
    <row r="3869" spans="1:40" x14ac:dyDescent="0.25">
      <c r="A3869" t="str">
        <f>"20190304164721560"</f>
        <v>20190304164721560</v>
      </c>
      <c r="B3869" t="str">
        <f>"1551689241552780"</f>
        <v>1551689241552780</v>
      </c>
      <c r="C3869" t="s">
        <v>40</v>
      </c>
      <c r="D3869">
        <v>4.3878190000000004</v>
      </c>
      <c r="E3869">
        <v>0.54157339999999998</v>
      </c>
      <c r="F3869" t="s">
        <v>41</v>
      </c>
      <c r="G3869">
        <v>-285.62329999999997</v>
      </c>
      <c r="H3869">
        <v>1.0313349999999999</v>
      </c>
      <c r="I3869">
        <v>141.59100000000001</v>
      </c>
      <c r="J3869">
        <v>-285.02780000000001</v>
      </c>
      <c r="K3869">
        <v>1.1098859999999999</v>
      </c>
      <c r="L3869">
        <v>141.5891</v>
      </c>
      <c r="M3869">
        <v>-0.99990290000000004</v>
      </c>
      <c r="N3869">
        <v>-9.7616630000000003E-3</v>
      </c>
      <c r="O3869">
        <v>9.9506790000000005E-3</v>
      </c>
      <c r="P3869">
        <v>-0.93598099999999995</v>
      </c>
      <c r="Q3869">
        <v>0.34570659999999998</v>
      </c>
      <c r="R3869">
        <v>-6.6530850000000002E-2</v>
      </c>
      <c r="S3869">
        <v>-3.2983090000000002</v>
      </c>
      <c r="T3869">
        <v>-0.24585689999999999</v>
      </c>
      <c r="U3869">
        <v>2.005005E-2</v>
      </c>
      <c r="V3869">
        <v>-7.5748220000000005E-2</v>
      </c>
      <c r="W3869">
        <v>0.35483989999999999</v>
      </c>
      <c r="X3869">
        <v>0.9318535</v>
      </c>
      <c r="Y3869">
        <v>-3.8395980000000001E-3</v>
      </c>
      <c r="Z3869">
        <v>-8.0532889999999999E-4</v>
      </c>
      <c r="AA3869">
        <v>0.99999229999999995</v>
      </c>
      <c r="AB3869">
        <v>43</v>
      </c>
      <c r="AC3869">
        <v>-0.59549999999995795</v>
      </c>
      <c r="AD3869">
        <v>-7.8550999999999996E-2</v>
      </c>
      <c r="AE3869">
        <v>1.90000000000623E-3</v>
      </c>
      <c r="AF3869">
        <v>-3.95715314324063E-3</v>
      </c>
      <c r="AG3869">
        <v>-7.8550999999999996E-2</v>
      </c>
      <c r="AH3869">
        <v>0.58530542993114199</v>
      </c>
      <c r="AI3869">
        <v>97.643543741539304</v>
      </c>
      <c r="AJ3869">
        <v>90.387361380909795</v>
      </c>
      <c r="AK3869">
        <v>0.59056613936872304</v>
      </c>
      <c r="AL3869">
        <v>69.216368467209307</v>
      </c>
      <c r="AM3869">
        <v>94.647223830550004</v>
      </c>
      <c r="AN3869">
        <v>1.00000004646371</v>
      </c>
    </row>
    <row r="3870" spans="1:40" x14ac:dyDescent="0.25">
      <c r="A3870" t="str">
        <f>"20190304164721582"</f>
        <v>20190304164721582</v>
      </c>
      <c r="B3870" t="str">
        <f>"1551689241572300"</f>
        <v>1551689241572300</v>
      </c>
      <c r="C3870" t="s">
        <v>40</v>
      </c>
      <c r="D3870">
        <v>4.2789669999999997</v>
      </c>
      <c r="E3870">
        <v>0.51783710000000005</v>
      </c>
      <c r="F3870" t="s">
        <v>41</v>
      </c>
      <c r="G3870">
        <v>-286.0147</v>
      </c>
      <c r="H3870">
        <v>1.0356129999999999</v>
      </c>
      <c r="I3870">
        <v>141.5959</v>
      </c>
      <c r="J3870">
        <v>-285.43779999999998</v>
      </c>
      <c r="K3870">
        <v>1.1099000000000001</v>
      </c>
      <c r="L3870">
        <v>141.5932</v>
      </c>
      <c r="M3870">
        <v>-0.99990250000000003</v>
      </c>
      <c r="N3870">
        <v>-9.7703800000000004E-3</v>
      </c>
      <c r="O3870">
        <v>9.9835240000000006E-3</v>
      </c>
      <c r="P3870">
        <v>-0.93608190000000002</v>
      </c>
      <c r="Q3870">
        <v>0.34559420000000002</v>
      </c>
      <c r="R3870">
        <v>-6.5691830000000007E-2</v>
      </c>
      <c r="S3870">
        <v>-3.2985229999999999</v>
      </c>
      <c r="T3870">
        <v>-0.2483137</v>
      </c>
      <c r="U3870">
        <v>2.2735600000000002E-2</v>
      </c>
      <c r="V3870">
        <v>-7.4950699999999995E-2</v>
      </c>
      <c r="W3870">
        <v>0.3547342</v>
      </c>
      <c r="X3870">
        <v>0.93195819999999996</v>
      </c>
      <c r="Y3870">
        <v>-3.0604349999999998E-3</v>
      </c>
      <c r="Z3870">
        <v>-7.8305589999999895E-4</v>
      </c>
      <c r="AA3870">
        <v>0.99999499999999997</v>
      </c>
      <c r="AB3870">
        <v>43</v>
      </c>
      <c r="AC3870">
        <v>-0.57690000000002295</v>
      </c>
      <c r="AD3870">
        <v>-7.42870000000002E-2</v>
      </c>
      <c r="AE3870">
        <v>2.7000000000043599E-3</v>
      </c>
      <c r="AF3870">
        <v>-3.0099948612611698E-3</v>
      </c>
      <c r="AG3870">
        <v>-7.42870000000002E-2</v>
      </c>
      <c r="AH3870">
        <v>0.56748858132288904</v>
      </c>
      <c r="AI3870">
        <v>97.457784221005596</v>
      </c>
      <c r="AJ3870">
        <v>90.303897541435404</v>
      </c>
      <c r="AK3870">
        <v>0.57233810669038099</v>
      </c>
      <c r="AL3870">
        <v>69.222845510485996</v>
      </c>
      <c r="AM3870">
        <v>94.597991790707397</v>
      </c>
      <c r="AN3870">
        <v>1.0000000233136801</v>
      </c>
    </row>
    <row r="3871" spans="1:40" x14ac:dyDescent="0.25">
      <c r="A3871" t="str">
        <f>"20190304164721603"</f>
        <v>20190304164721603</v>
      </c>
      <c r="B3871" t="str">
        <f>"1551689241592800"</f>
        <v>1551689241592800</v>
      </c>
      <c r="C3871" t="s">
        <v>40</v>
      </c>
      <c r="D3871">
        <v>4.286905</v>
      </c>
      <c r="E3871">
        <v>0.51484070000000004</v>
      </c>
      <c r="F3871" t="s">
        <v>51</v>
      </c>
      <c r="G3871">
        <v>-302.92829999999998</v>
      </c>
      <c r="H3871" s="1">
        <v>-8.8098460000000008E-6</v>
      </c>
      <c r="I3871">
        <v>140.7353</v>
      </c>
      <c r="J3871">
        <v>-285.85399999999998</v>
      </c>
      <c r="K3871">
        <v>1.109907</v>
      </c>
      <c r="L3871">
        <v>141.59739999999999</v>
      </c>
      <c r="M3871">
        <v>-0.99990210000000002</v>
      </c>
      <c r="N3871">
        <v>-9.7792039999999997E-3</v>
      </c>
      <c r="O3871">
        <v>1.001574E-2</v>
      </c>
      <c r="P3871">
        <v>-0.93617019999999995</v>
      </c>
      <c r="Q3871">
        <v>0.34560439999999998</v>
      </c>
      <c r="R3871">
        <v>-6.4366670000000001E-2</v>
      </c>
      <c r="S3871">
        <v>-3.270203</v>
      </c>
      <c r="T3871">
        <v>-0.2075206</v>
      </c>
      <c r="U3871">
        <v>-0.1604004</v>
      </c>
      <c r="V3871">
        <v>-7.3664489999999999E-2</v>
      </c>
      <c r="W3871">
        <v>0.354751599999999</v>
      </c>
      <c r="X3871">
        <v>0.9320541</v>
      </c>
      <c r="Y3871">
        <v>-5.8841169999999998E-2</v>
      </c>
      <c r="Z3871">
        <v>-2.688991E-3</v>
      </c>
      <c r="AA3871">
        <v>0.99826369999999998</v>
      </c>
      <c r="AB3871">
        <v>43</v>
      </c>
      <c r="AC3871">
        <v>-17.074299999999901</v>
      </c>
      <c r="AD3871">
        <v>-1.109915809846</v>
      </c>
      <c r="AE3871">
        <v>-0.86209999999999798</v>
      </c>
      <c r="AF3871">
        <v>-1.0287406167056701</v>
      </c>
      <c r="AG3871">
        <v>-1.109915809846</v>
      </c>
      <c r="AH3871">
        <v>16.993183738369599</v>
      </c>
      <c r="AI3871">
        <v>93.730176256039201</v>
      </c>
      <c r="AJ3871">
        <v>93.464368316199696</v>
      </c>
      <c r="AK3871">
        <v>17.060437096610201</v>
      </c>
      <c r="AL3871">
        <v>69.221778710755999</v>
      </c>
      <c r="AM3871">
        <v>94.518953452998801</v>
      </c>
      <c r="AN3871">
        <v>1.0000000000581599</v>
      </c>
    </row>
    <row r="3872" spans="1:40" x14ac:dyDescent="0.25">
      <c r="A3872" t="str">
        <f>"20190304164721625"</f>
        <v>20190304164721625</v>
      </c>
      <c r="B3872" t="str">
        <f>"1551689241623052"</f>
        <v>1551689241623052</v>
      </c>
      <c r="C3872" t="s">
        <v>40</v>
      </c>
      <c r="D3872">
        <v>4.2716269999999996</v>
      </c>
      <c r="E3872">
        <v>0.51327789999999995</v>
      </c>
      <c r="F3872" t="s">
        <v>51</v>
      </c>
      <c r="G3872">
        <v>-303.0813</v>
      </c>
      <c r="H3872" s="1">
        <v>-8.8041710000000002E-6</v>
      </c>
      <c r="I3872">
        <v>140.64230000000001</v>
      </c>
      <c r="J3872">
        <v>-286.28449999999998</v>
      </c>
      <c r="K3872">
        <v>1.1099110000000001</v>
      </c>
      <c r="L3872">
        <v>141.60169999999999</v>
      </c>
      <c r="M3872">
        <v>-0.9999017</v>
      </c>
      <c r="N3872">
        <v>-9.788372E-3</v>
      </c>
      <c r="O3872">
        <v>1.004797E-2</v>
      </c>
      <c r="P3872">
        <v>-0.93633690000000003</v>
      </c>
      <c r="Q3872">
        <v>0.34528910000000002</v>
      </c>
      <c r="R3872">
        <v>-6.3629340000000006E-2</v>
      </c>
      <c r="S3872">
        <v>-3.2698670000000001</v>
      </c>
      <c r="T3872">
        <v>-0.21066960000000001</v>
      </c>
      <c r="U3872">
        <v>-0.1812744</v>
      </c>
      <c r="V3872">
        <v>-7.2965950000000002E-2</v>
      </c>
      <c r="W3872">
        <v>0.35444569999999997</v>
      </c>
      <c r="X3872">
        <v>0.93222539999999998</v>
      </c>
      <c r="Y3872">
        <v>-6.5212790000000007E-2</v>
      </c>
      <c r="Z3872">
        <v>-2.9648159999999999E-3</v>
      </c>
      <c r="AA3872">
        <v>0.99786699999999995</v>
      </c>
      <c r="AB3872">
        <v>43</v>
      </c>
      <c r="AC3872">
        <v>-16.796800000000001</v>
      </c>
      <c r="AD3872">
        <v>-1.1099198041709999</v>
      </c>
      <c r="AE3872">
        <v>-0.95939999999998704</v>
      </c>
      <c r="AF3872">
        <v>-1.12324471475779</v>
      </c>
      <c r="AG3872">
        <v>-1.1099198041709999</v>
      </c>
      <c r="AH3872">
        <v>16.7135695795751</v>
      </c>
      <c r="AI3872">
        <v>93.790810872212901</v>
      </c>
      <c r="AJ3872">
        <v>93.844813122851093</v>
      </c>
      <c r="AK3872">
        <v>16.788001928526899</v>
      </c>
      <c r="AL3872">
        <v>69.240523343077797</v>
      </c>
      <c r="AM3872">
        <v>94.4754572592919</v>
      </c>
      <c r="AN3872">
        <v>0.99999999025652597</v>
      </c>
    </row>
    <row r="3873" spans="1:40" x14ac:dyDescent="0.25">
      <c r="A3873" t="str">
        <f>"20190304164721649"</f>
        <v>20190304164721649</v>
      </c>
      <c r="B3873" t="str">
        <f>"1551689241642572"</f>
        <v>1551689241642572</v>
      </c>
      <c r="C3873" t="s">
        <v>40</v>
      </c>
      <c r="D3873">
        <v>4.2850960000000002</v>
      </c>
      <c r="E3873">
        <v>0.51243130000000003</v>
      </c>
      <c r="F3873" t="s">
        <v>51</v>
      </c>
      <c r="G3873">
        <v>-302.88529999999997</v>
      </c>
      <c r="H3873" s="1">
        <v>-8.7702930000000006E-6</v>
      </c>
      <c r="I3873">
        <v>140.62309999999999</v>
      </c>
      <c r="J3873">
        <v>-286.74400000000003</v>
      </c>
      <c r="K3873">
        <v>1.109918</v>
      </c>
      <c r="L3873">
        <v>141.60640000000001</v>
      </c>
      <c r="M3873">
        <v>-0.99990129999999999</v>
      </c>
      <c r="N3873">
        <v>-9.7980519999999998E-3</v>
      </c>
      <c r="O3873">
        <v>1.008158E-2</v>
      </c>
      <c r="P3873">
        <v>-0.9364671</v>
      </c>
      <c r="Q3873">
        <v>0.34494859999999999</v>
      </c>
      <c r="R3873">
        <v>-6.3562320000000005E-2</v>
      </c>
      <c r="S3873">
        <v>-3.271515</v>
      </c>
      <c r="T3873">
        <v>-0.2187316</v>
      </c>
      <c r="U3873">
        <v>-0.19285579999999999</v>
      </c>
      <c r="V3873">
        <v>-7.2937089999999996E-2</v>
      </c>
      <c r="W3873">
        <v>0.35411399999999998</v>
      </c>
      <c r="X3873">
        <v>0.93235369999999995</v>
      </c>
      <c r="Y3873">
        <v>-6.8717669999999995E-2</v>
      </c>
      <c r="Z3873">
        <v>-3.2042059999999998E-3</v>
      </c>
      <c r="AA3873">
        <v>0.99763100000000005</v>
      </c>
      <c r="AB3873">
        <v>43</v>
      </c>
      <c r="AC3873">
        <v>-16.141299999999902</v>
      </c>
      <c r="AD3873">
        <v>-1.109926770293</v>
      </c>
      <c r="AE3873">
        <v>-0.98330000000001405</v>
      </c>
      <c r="AF3873">
        <v>-1.1406143139507401</v>
      </c>
      <c r="AG3873">
        <v>-1.109926770293</v>
      </c>
      <c r="AH3873">
        <v>16.054932903672501</v>
      </c>
      <c r="AI3873">
        <v>93.944829271848207</v>
      </c>
      <c r="AJ3873">
        <v>94.063720913302006</v>
      </c>
      <c r="AK3873">
        <v>16.133623554243201</v>
      </c>
      <c r="AL3873">
        <v>69.2608463689171</v>
      </c>
      <c r="AM3873">
        <v>94.473081161815898</v>
      </c>
      <c r="AN3873">
        <v>0.99999998299867798</v>
      </c>
    </row>
    <row r="3874" spans="1:40" x14ac:dyDescent="0.25">
      <c r="A3874" t="str">
        <f>"20190304164721672"</f>
        <v>20190304164721672</v>
      </c>
      <c r="B3874" t="str">
        <f>"1551689241663068"</f>
        <v>1551689241663068</v>
      </c>
      <c r="C3874" t="s">
        <v>40</v>
      </c>
      <c r="D3874">
        <v>4.2544009999999997</v>
      </c>
      <c r="E3874">
        <v>0.51206479999999999</v>
      </c>
      <c r="F3874" t="s">
        <v>51</v>
      </c>
      <c r="G3874">
        <v>-303.25490000000002</v>
      </c>
      <c r="H3874" s="1">
        <v>-8.8175649999999993E-6</v>
      </c>
      <c r="I3874">
        <v>140.6036</v>
      </c>
      <c r="J3874">
        <v>-287.18790000000001</v>
      </c>
      <c r="K3874">
        <v>1.109923</v>
      </c>
      <c r="L3874">
        <v>141.61089999999999</v>
      </c>
      <c r="M3874">
        <v>-0.99990089999999998</v>
      </c>
      <c r="N3874">
        <v>-9.8074570000000003E-3</v>
      </c>
      <c r="O3874">
        <v>1.011336E-2</v>
      </c>
      <c r="P3874">
        <v>-0.93641989999999997</v>
      </c>
      <c r="Q3874">
        <v>0.34507860000000001</v>
      </c>
      <c r="R3874">
        <v>-6.355218E-2</v>
      </c>
      <c r="S3874">
        <v>-3.2710569999999999</v>
      </c>
      <c r="T3874">
        <v>-0.21989359999999999</v>
      </c>
      <c r="U3874">
        <v>-0.1986694</v>
      </c>
      <c r="V3874">
        <v>-7.2960609999999995E-2</v>
      </c>
      <c r="W3874">
        <v>0.35425129999999999</v>
      </c>
      <c r="X3874">
        <v>0.93229969999999995</v>
      </c>
      <c r="Y3874">
        <v>-7.0517540000000004E-2</v>
      </c>
      <c r="Z3874">
        <v>-3.2914810000000002E-3</v>
      </c>
      <c r="AA3874">
        <v>0.99750510000000003</v>
      </c>
      <c r="AB3874">
        <v>44</v>
      </c>
      <c r="AC3874">
        <v>-16.067</v>
      </c>
      <c r="AD3874">
        <v>-1.1099318175649999</v>
      </c>
      <c r="AE3874">
        <v>-1.0072999999999801</v>
      </c>
      <c r="AF3874">
        <v>-1.1642134648898199</v>
      </c>
      <c r="AG3874">
        <v>-1.1099318175649999</v>
      </c>
      <c r="AH3874">
        <v>15.9800284657881</v>
      </c>
      <c r="AI3874">
        <v>93.962767606074294</v>
      </c>
      <c r="AJ3874">
        <v>94.166880908554106</v>
      </c>
      <c r="AK3874">
        <v>16.0607799125345</v>
      </c>
      <c r="AL3874">
        <v>69.252434347260703</v>
      </c>
      <c r="AM3874">
        <v>94.474775855441607</v>
      </c>
      <c r="AN3874">
        <v>0.99999998239167598</v>
      </c>
    </row>
    <row r="3875" spans="1:40" x14ac:dyDescent="0.25">
      <c r="A3875" t="str">
        <f>"20190304164721694"</f>
        <v>20190304164721694</v>
      </c>
      <c r="B3875" t="str">
        <f>"1551689241682589"</f>
        <v>1551689241682589</v>
      </c>
      <c r="C3875" t="s">
        <v>40</v>
      </c>
      <c r="D3875">
        <v>4.274527</v>
      </c>
      <c r="E3875">
        <v>0.51166699999999998</v>
      </c>
      <c r="F3875" t="s">
        <v>51</v>
      </c>
      <c r="G3875">
        <v>-303.78480000000002</v>
      </c>
      <c r="H3875" s="1">
        <v>-8.8901910000000004E-6</v>
      </c>
      <c r="I3875">
        <v>140.59190000000001</v>
      </c>
      <c r="J3875">
        <v>-287.6191</v>
      </c>
      <c r="K3875">
        <v>1.10991</v>
      </c>
      <c r="L3875">
        <v>141.61529999999999</v>
      </c>
      <c r="M3875">
        <v>-0.99990049999999997</v>
      </c>
      <c r="N3875">
        <v>-9.8166350000000006E-3</v>
      </c>
      <c r="O3875">
        <v>1.014397E-2</v>
      </c>
      <c r="P3875">
        <v>-0.93633359999999999</v>
      </c>
      <c r="Q3875">
        <v>0.34536030000000001</v>
      </c>
      <c r="R3875">
        <v>-6.3292639999999997E-2</v>
      </c>
      <c r="S3875">
        <v>-3.2706300000000001</v>
      </c>
      <c r="T3875">
        <v>-0.21872659999999999</v>
      </c>
      <c r="U3875">
        <v>-0.2008057</v>
      </c>
      <c r="V3875">
        <v>-7.2732019999999994E-2</v>
      </c>
      <c r="W3875">
        <v>0.35454020000000003</v>
      </c>
      <c r="X3875">
        <v>0.93220780000000003</v>
      </c>
      <c r="Y3875">
        <v>-7.1205199999999996E-2</v>
      </c>
      <c r="Z3875">
        <v>-3.3040069999999999E-3</v>
      </c>
      <c r="AA3875">
        <v>0.99745620000000002</v>
      </c>
      <c r="AB3875">
        <v>44</v>
      </c>
      <c r="AC3875">
        <v>-16.165700000000001</v>
      </c>
      <c r="AD3875">
        <v>-1.109918890191</v>
      </c>
      <c r="AE3875">
        <v>-1.0233999999999801</v>
      </c>
      <c r="AF3875">
        <v>-1.181790821099</v>
      </c>
      <c r="AG3875">
        <v>-1.109918890191</v>
      </c>
      <c r="AH3875">
        <v>16.078991854130798</v>
      </c>
      <c r="AI3875">
        <v>93.938224479697993</v>
      </c>
      <c r="AJ3875">
        <v>94.203627442237504</v>
      </c>
      <c r="AK3875">
        <v>16.1605237703745</v>
      </c>
      <c r="AL3875">
        <v>69.234733957756802</v>
      </c>
      <c r="AM3875">
        <v>94.461250771983501</v>
      </c>
      <c r="AN3875">
        <v>1.00000004126507</v>
      </c>
    </row>
    <row r="3876" spans="1:40" x14ac:dyDescent="0.25">
      <c r="A3876" t="str">
        <f>"20190304164721717"</f>
        <v>20190304164721717</v>
      </c>
      <c r="B3876" t="str">
        <f>"1551689241712844"</f>
        <v>1551689241712844</v>
      </c>
      <c r="C3876" t="s">
        <v>40</v>
      </c>
      <c r="D3876">
        <v>4.2999429999999998</v>
      </c>
      <c r="E3876">
        <v>0.51125750000000003</v>
      </c>
      <c r="F3876" t="s">
        <v>51</v>
      </c>
      <c r="G3876">
        <v>-304.28879999999998</v>
      </c>
      <c r="H3876" s="1">
        <v>-8.9583879999999993E-6</v>
      </c>
      <c r="I3876">
        <v>140.5779</v>
      </c>
      <c r="J3876">
        <v>-288.06990000000002</v>
      </c>
      <c r="K3876">
        <v>1.1099190000000001</v>
      </c>
      <c r="L3876">
        <v>141.6199</v>
      </c>
      <c r="M3876">
        <v>-0.99990000000000001</v>
      </c>
      <c r="N3876">
        <v>-9.8261800000000003E-3</v>
      </c>
      <c r="O3876">
        <v>1.0175419999999999E-2</v>
      </c>
      <c r="P3876">
        <v>-0.93646359999999995</v>
      </c>
      <c r="Q3876">
        <v>0.34505249999999998</v>
      </c>
      <c r="R3876">
        <v>-6.3045489999999996E-2</v>
      </c>
      <c r="S3876">
        <v>-3.270508</v>
      </c>
      <c r="T3876">
        <v>-0.21776100000000001</v>
      </c>
      <c r="U3876">
        <v>-0.203537</v>
      </c>
      <c r="V3876">
        <v>-7.2518079999999999E-2</v>
      </c>
      <c r="W3876">
        <v>0.354242</v>
      </c>
      <c r="X3876">
        <v>0.93233779999999999</v>
      </c>
      <c r="Y3876">
        <v>-7.2068069999999998E-2</v>
      </c>
      <c r="Z3876">
        <v>-3.3255419999999999E-3</v>
      </c>
      <c r="AA3876">
        <v>0.99739409999999895</v>
      </c>
      <c r="AB3876">
        <v>44</v>
      </c>
      <c r="AC3876">
        <v>-16.218899999999898</v>
      </c>
      <c r="AD3876">
        <v>-1.109927958388</v>
      </c>
      <c r="AE3876">
        <v>-1.042</v>
      </c>
      <c r="AF3876">
        <v>-1.2013848774782401</v>
      </c>
      <c r="AG3876">
        <v>-1.109927958388</v>
      </c>
      <c r="AH3876">
        <v>16.132216405364598</v>
      </c>
      <c r="AI3876">
        <v>93.925023978298299</v>
      </c>
      <c r="AJ3876">
        <v>94.259021358616593</v>
      </c>
      <c r="AK3876">
        <v>16.214921271660899</v>
      </c>
      <c r="AL3876">
        <v>69.253004962552893</v>
      </c>
      <c r="AM3876">
        <v>94.447563080640904</v>
      </c>
      <c r="AN3876">
        <v>1.00000001989986</v>
      </c>
    </row>
    <row r="3877" spans="1:40" x14ac:dyDescent="0.25">
      <c r="A3877" t="str">
        <f>"20190304164721740"</f>
        <v>20190304164721740</v>
      </c>
      <c r="B3877" t="str">
        <f>"1551689241732364"</f>
        <v>1551689241732364</v>
      </c>
      <c r="C3877" t="s">
        <v>40</v>
      </c>
      <c r="D3877">
        <v>4.3035240000000003</v>
      </c>
      <c r="E3877">
        <v>0.51093129999999998</v>
      </c>
      <c r="F3877" t="s">
        <v>51</v>
      </c>
      <c r="G3877">
        <v>-304.57010000000002</v>
      </c>
      <c r="H3877" s="1">
        <v>-8.9997719999999999E-6</v>
      </c>
      <c r="I3877">
        <v>140.5812</v>
      </c>
      <c r="J3877">
        <v>-288.50799999999998</v>
      </c>
      <c r="K3877">
        <v>1.10992</v>
      </c>
      <c r="L3877">
        <v>141.62440000000001</v>
      </c>
      <c r="M3877">
        <v>-0.9998996</v>
      </c>
      <c r="N3877">
        <v>-9.8354429999999993E-3</v>
      </c>
      <c r="O3877">
        <v>1.020569E-2</v>
      </c>
      <c r="P3877">
        <v>-0.93660679999999996</v>
      </c>
      <c r="Q3877">
        <v>0.34473320000000002</v>
      </c>
      <c r="R3877">
        <v>-6.2667479999999998E-2</v>
      </c>
      <c r="S3877">
        <v>-3.2707519999999999</v>
      </c>
      <c r="T3877">
        <v>-0.2200155</v>
      </c>
      <c r="U3877">
        <v>-0.2059021</v>
      </c>
      <c r="V3877">
        <v>-7.2171910000000006E-2</v>
      </c>
      <c r="W3877">
        <v>0.35393239999999998</v>
      </c>
      <c r="X3877">
        <v>0.93248220000000004</v>
      </c>
      <c r="Y3877">
        <v>-7.280615E-2</v>
      </c>
      <c r="Z3877">
        <v>-3.3873660000000002E-3</v>
      </c>
      <c r="AA3877">
        <v>0.99734040000000002</v>
      </c>
      <c r="AB3877">
        <v>44</v>
      </c>
      <c r="AC3877">
        <v>-16.062100000000001</v>
      </c>
      <c r="AD3877">
        <v>-1.1099289997720001</v>
      </c>
      <c r="AE3877">
        <v>-1.0432000000000099</v>
      </c>
      <c r="AF3877">
        <v>-1.2013658116436401</v>
      </c>
      <c r="AG3877">
        <v>-1.1099289997720001</v>
      </c>
      <c r="AH3877">
        <v>15.9746555910215</v>
      </c>
      <c r="AI3877">
        <v>93.963402468827198</v>
      </c>
      <c r="AJ3877">
        <v>94.300803975224696</v>
      </c>
      <c r="AK3877">
        <v>16.058170613419101</v>
      </c>
      <c r="AL3877">
        <v>69.271971973215798</v>
      </c>
      <c r="AM3877">
        <v>94.425734179760397</v>
      </c>
      <c r="AN3877">
        <v>0.99999999083982405</v>
      </c>
    </row>
    <row r="3878" spans="1:40" x14ac:dyDescent="0.25">
      <c r="A3878" t="str">
        <f>"20190304164721762"</f>
        <v>20190304164721762</v>
      </c>
      <c r="B3878" t="str">
        <f>"1551689241752860"</f>
        <v>1551689241752860</v>
      </c>
      <c r="C3878" t="s">
        <v>40</v>
      </c>
      <c r="D3878">
        <v>4.3195750000000004</v>
      </c>
      <c r="E3878">
        <v>0.51064290000000001</v>
      </c>
      <c r="F3878" t="s">
        <v>51</v>
      </c>
      <c r="G3878">
        <v>-304.91739999999999</v>
      </c>
      <c r="H3878" s="1">
        <v>-9.0515940000000001E-6</v>
      </c>
      <c r="I3878">
        <v>140.58770000000001</v>
      </c>
      <c r="J3878">
        <v>-288.95609999999999</v>
      </c>
      <c r="K3878">
        <v>1.109918</v>
      </c>
      <c r="L3878">
        <v>141.62899999999999</v>
      </c>
      <c r="M3878">
        <v>-0.99989919999999999</v>
      </c>
      <c r="N3878">
        <v>-9.8448619999999994E-3</v>
      </c>
      <c r="O3878">
        <v>1.023632E-2</v>
      </c>
      <c r="P3878">
        <v>-0.93675850000000005</v>
      </c>
      <c r="Q3878">
        <v>0.34439380000000003</v>
      </c>
      <c r="R3878">
        <v>-6.2262360000000003E-2</v>
      </c>
      <c r="S3878">
        <v>-3.2706599999999999</v>
      </c>
      <c r="T3878">
        <v>-0.22122800000000001</v>
      </c>
      <c r="U3878">
        <v>-0.20661930000000001</v>
      </c>
      <c r="V3878">
        <v>-7.1798630000000002E-2</v>
      </c>
      <c r="W3878">
        <v>0.3536029</v>
      </c>
      <c r="X3878">
        <v>0.93263600000000002</v>
      </c>
      <c r="Y3878">
        <v>-7.3053389999999996E-2</v>
      </c>
      <c r="Z3878">
        <v>-3.4162229999999999E-3</v>
      </c>
      <c r="AA3878">
        <v>0.99732220000000005</v>
      </c>
      <c r="AB3878">
        <v>44</v>
      </c>
      <c r="AC3878">
        <v>-15.9612999999999</v>
      </c>
      <c r="AD3878">
        <v>-1.1099270515940001</v>
      </c>
      <c r="AE3878">
        <v>-1.0412999999999699</v>
      </c>
      <c r="AF3878">
        <v>-1.19886563009081</v>
      </c>
      <c r="AG3878">
        <v>-1.1099270515940001</v>
      </c>
      <c r="AH3878">
        <v>15.873371749948101</v>
      </c>
      <c r="AI3878">
        <v>93.988507518151394</v>
      </c>
      <c r="AJ3878">
        <v>94.319169088100594</v>
      </c>
      <c r="AK3878">
        <v>15.9572286933202</v>
      </c>
      <c r="AL3878">
        <v>69.292155972055994</v>
      </c>
      <c r="AM3878">
        <v>94.402210873533406</v>
      </c>
      <c r="AN3878">
        <v>0.99999998132714296</v>
      </c>
    </row>
    <row r="3879" spans="1:40" x14ac:dyDescent="0.25">
      <c r="A3879" t="str">
        <f>"20190304164721783"</f>
        <v>20190304164721783</v>
      </c>
      <c r="B3879" t="str">
        <f>"1551689241772380"</f>
        <v>1551689241772380</v>
      </c>
      <c r="C3879" t="s">
        <v>40</v>
      </c>
      <c r="D3879">
        <v>4.2785510000000002</v>
      </c>
      <c r="E3879">
        <v>0.51039570000000001</v>
      </c>
      <c r="F3879" t="s">
        <v>51</v>
      </c>
      <c r="G3879">
        <v>-305.28769999999997</v>
      </c>
      <c r="H3879" s="1">
        <v>-9.1062939999999998E-6</v>
      </c>
      <c r="I3879">
        <v>140.59289999999999</v>
      </c>
      <c r="J3879">
        <v>-289.3578</v>
      </c>
      <c r="K3879">
        <v>1.109917</v>
      </c>
      <c r="L3879">
        <v>141.63310000000001</v>
      </c>
      <c r="M3879">
        <v>-0.99989890000000003</v>
      </c>
      <c r="N3879">
        <v>-9.8532849999999998E-3</v>
      </c>
      <c r="O3879">
        <v>1.026344E-2</v>
      </c>
      <c r="P3879">
        <v>-0.9368824</v>
      </c>
      <c r="Q3879">
        <v>0.34412900000000002</v>
      </c>
      <c r="R3879">
        <v>-6.1861810000000003E-2</v>
      </c>
      <c r="S3879">
        <v>-3.2704770000000001</v>
      </c>
      <c r="T3879">
        <v>-0.22226850000000001</v>
      </c>
      <c r="U3879">
        <v>-0.20748900000000001</v>
      </c>
      <c r="V3879">
        <v>-7.1425799999999998E-2</v>
      </c>
      <c r="W3879">
        <v>0.3533464</v>
      </c>
      <c r="X3879">
        <v>0.93276179999999997</v>
      </c>
      <c r="Y3879">
        <v>-7.3345399999999894E-2</v>
      </c>
      <c r="Z3879">
        <v>-3.444332E-3</v>
      </c>
      <c r="AA3879">
        <v>0.99730059999999998</v>
      </c>
      <c r="AB3879">
        <v>44</v>
      </c>
      <c r="AC3879">
        <v>-15.9298999999999</v>
      </c>
      <c r="AD3879">
        <v>-1.109926106294</v>
      </c>
      <c r="AE3879">
        <v>-1.04020000000002</v>
      </c>
      <c r="AF3879">
        <v>-1.19785815093523</v>
      </c>
      <c r="AG3879">
        <v>-1.109926106294</v>
      </c>
      <c r="AH3879">
        <v>15.841803728145599</v>
      </c>
      <c r="AI3879">
        <v>93.996400298271396</v>
      </c>
      <c r="AJ3879">
        <v>94.3241201818512</v>
      </c>
      <c r="AK3879">
        <v>15.925751017527601</v>
      </c>
      <c r="AL3879">
        <v>69.307865859802305</v>
      </c>
      <c r="AM3879">
        <v>94.378852248723405</v>
      </c>
      <c r="AN3879">
        <v>0.99999994941891801</v>
      </c>
    </row>
    <row r="3880" spans="1:40" x14ac:dyDescent="0.25">
      <c r="A3880" t="str">
        <f>"20190304164721804"</f>
        <v>20190304164721804</v>
      </c>
      <c r="B3880" t="str">
        <f>"1551689241792880"</f>
        <v>1551689241792880</v>
      </c>
      <c r="C3880" t="s">
        <v>40</v>
      </c>
      <c r="D3880">
        <v>4.4870089999999996</v>
      </c>
      <c r="E3880">
        <v>0.51023379999999996</v>
      </c>
      <c r="F3880" t="s">
        <v>51</v>
      </c>
      <c r="G3880">
        <v>-305.60500000000002</v>
      </c>
      <c r="H3880" s="1">
        <v>-9.153742E-6</v>
      </c>
      <c r="I3880">
        <v>140.59909999999999</v>
      </c>
      <c r="J3880">
        <v>-289.78050000000002</v>
      </c>
      <c r="K3880">
        <v>1.1099159999999999</v>
      </c>
      <c r="L3880">
        <v>141.63749999999999</v>
      </c>
      <c r="M3880">
        <v>-0.99989850000000002</v>
      </c>
      <c r="N3880">
        <v>-9.8621160000000006E-3</v>
      </c>
      <c r="O3880">
        <v>1.029206E-2</v>
      </c>
      <c r="P3880">
        <v>-0.93690189999999995</v>
      </c>
      <c r="Q3880">
        <v>0.3440511</v>
      </c>
      <c r="R3880">
        <v>-6.2001130000000002E-2</v>
      </c>
      <c r="S3880">
        <v>-3.2704469999999999</v>
      </c>
      <c r="T3880">
        <v>-0.22342049999999999</v>
      </c>
      <c r="U3880">
        <v>-0.20812990000000001</v>
      </c>
      <c r="V3880">
        <v>-7.1592820000000001E-2</v>
      </c>
      <c r="W3880">
        <v>0.35327720000000001</v>
      </c>
      <c r="X3880">
        <v>0.93277529999999997</v>
      </c>
      <c r="Y3880">
        <v>-7.3566450000000005E-2</v>
      </c>
      <c r="Z3880">
        <v>-3.4713410000000002E-3</v>
      </c>
      <c r="AA3880">
        <v>0.99728430000000001</v>
      </c>
      <c r="AB3880">
        <v>44</v>
      </c>
      <c r="AC3880">
        <v>-15.8245</v>
      </c>
      <c r="AD3880">
        <v>-1.1099251537419901</v>
      </c>
      <c r="AE3880">
        <v>-1.03839999999999</v>
      </c>
      <c r="AF3880">
        <v>-1.1953641368394701</v>
      </c>
      <c r="AG3880">
        <v>-1.1099251537419901</v>
      </c>
      <c r="AH3880">
        <v>15.735892030178301</v>
      </c>
      <c r="AI3880">
        <v>94.023101026757701</v>
      </c>
      <c r="AJ3880">
        <v>94.344083808425495</v>
      </c>
      <c r="AK3880">
        <v>15.8202126171547</v>
      </c>
      <c r="AL3880">
        <v>69.312105944137897</v>
      </c>
      <c r="AM3880">
        <v>94.388988390732393</v>
      </c>
      <c r="AN3880">
        <v>1.0000000361027399</v>
      </c>
    </row>
    <row r="3881" spans="1:40" x14ac:dyDescent="0.25">
      <c r="A3881" t="str">
        <f>"20190304164721828"</f>
        <v>20190304164721828</v>
      </c>
      <c r="B3881" t="str">
        <f>"1551689241823132"</f>
        <v>1551689241823132</v>
      </c>
      <c r="C3881" t="s">
        <v>40</v>
      </c>
      <c r="D3881">
        <v>4.2965010000000001</v>
      </c>
      <c r="E3881">
        <v>0.50999059999999996</v>
      </c>
      <c r="F3881" t="s">
        <v>51</v>
      </c>
      <c r="G3881">
        <v>-306.05560000000003</v>
      </c>
      <c r="H3881" s="1">
        <v>-9.2173200000000004E-6</v>
      </c>
      <c r="I3881">
        <v>140.59540000000001</v>
      </c>
      <c r="J3881">
        <v>-290.25549999999998</v>
      </c>
      <c r="K3881">
        <v>1.10992</v>
      </c>
      <c r="L3881">
        <v>141.64240000000001</v>
      </c>
      <c r="M3881">
        <v>-0.99989810000000001</v>
      </c>
      <c r="N3881">
        <v>-9.8719949999999997E-3</v>
      </c>
      <c r="O3881">
        <v>1.0324059999999999E-2</v>
      </c>
      <c r="P3881">
        <v>-0.93684769999999995</v>
      </c>
      <c r="Q3881">
        <v>0.34427479999999999</v>
      </c>
      <c r="R3881">
        <v>-6.1573860000000001E-2</v>
      </c>
      <c r="S3881">
        <v>-3.2700809999999998</v>
      </c>
      <c r="T3881">
        <v>-0.22301280000000001</v>
      </c>
      <c r="U3881">
        <v>-0.20938109999999999</v>
      </c>
      <c r="V3881">
        <v>-7.1196060000000005E-2</v>
      </c>
      <c r="W3881">
        <v>0.35350969999999998</v>
      </c>
      <c r="X3881">
        <v>0.93271760000000004</v>
      </c>
      <c r="Y3881">
        <v>-7.398499E-2</v>
      </c>
      <c r="Z3881">
        <v>-3.4842580000000001E-3</v>
      </c>
      <c r="AA3881">
        <v>0.99725319999999995</v>
      </c>
      <c r="AB3881">
        <v>44</v>
      </c>
      <c r="AC3881">
        <v>-15.8001</v>
      </c>
      <c r="AD3881">
        <v>-1.1099292173199999</v>
      </c>
      <c r="AE3881">
        <v>-1.0469999999999899</v>
      </c>
      <c r="AF3881">
        <v>-1.2041569910444401</v>
      </c>
      <c r="AG3881">
        <v>-1.1099292173199999</v>
      </c>
      <c r="AH3881">
        <v>15.7112548665484</v>
      </c>
      <c r="AI3881">
        <v>94.029196881398903</v>
      </c>
      <c r="AJ3881">
        <v>94.382749588797793</v>
      </c>
      <c r="AK3881">
        <v>15.796375103427399</v>
      </c>
      <c r="AL3881">
        <v>69.297866220216207</v>
      </c>
      <c r="AM3881">
        <v>94.365028296365907</v>
      </c>
      <c r="AN3881">
        <v>1.00000005415168</v>
      </c>
    </row>
    <row r="3882" spans="1:40" x14ac:dyDescent="0.25">
      <c r="A3882" t="str">
        <f>"20190304164721850"</f>
        <v>20190304164721850</v>
      </c>
      <c r="B3882" t="str">
        <f>"1551689241842652"</f>
        <v>1551689241842652</v>
      </c>
      <c r="C3882" t="s">
        <v>40</v>
      </c>
      <c r="D3882">
        <v>4.2881679999999998</v>
      </c>
      <c r="E3882">
        <v>0.50988959999999905</v>
      </c>
      <c r="F3882" t="s">
        <v>51</v>
      </c>
      <c r="G3882">
        <v>-306.74680000000001</v>
      </c>
      <c r="H3882" s="1">
        <v>-9.3137610000000005E-6</v>
      </c>
      <c r="I3882">
        <v>140.58590000000001</v>
      </c>
      <c r="J3882">
        <v>-290.68349999999998</v>
      </c>
      <c r="K3882">
        <v>1.1099129999999999</v>
      </c>
      <c r="L3882">
        <v>141.64680000000001</v>
      </c>
      <c r="M3882">
        <v>-0.99989749999999999</v>
      </c>
      <c r="N3882">
        <v>-9.8808769999999997E-3</v>
      </c>
      <c r="O3882">
        <v>1.0352979999999999E-2</v>
      </c>
      <c r="P3882">
        <v>-0.93675819999999999</v>
      </c>
      <c r="Q3882">
        <v>0.34445140000000002</v>
      </c>
      <c r="R3882">
        <v>-6.1948980000000001E-2</v>
      </c>
      <c r="S3882">
        <v>-3.2693180000000002</v>
      </c>
      <c r="T3882">
        <v>-0.2200377</v>
      </c>
      <c r="U3882">
        <v>-0.20944209999999999</v>
      </c>
      <c r="V3882">
        <v>-7.1597670000000002E-2</v>
      </c>
      <c r="W3882">
        <v>0.35369339999999999</v>
      </c>
      <c r="X3882">
        <v>0.93261709999999998</v>
      </c>
      <c r="Y3882">
        <v>-7.4052300000000001E-2</v>
      </c>
      <c r="Z3882">
        <v>-3.4466119999999999E-3</v>
      </c>
      <c r="AA3882">
        <v>0.99724840000000003</v>
      </c>
      <c r="AB3882">
        <v>44</v>
      </c>
      <c r="AC3882">
        <v>-16.063300000000002</v>
      </c>
      <c r="AD3882">
        <v>-1.1099223137609999</v>
      </c>
      <c r="AE3882">
        <v>-1.0609</v>
      </c>
      <c r="AF3882">
        <v>-1.2213484552435201</v>
      </c>
      <c r="AG3882">
        <v>-1.1099223137609999</v>
      </c>
      <c r="AH3882">
        <v>15.9755133330814</v>
      </c>
      <c r="AI3882">
        <v>93.962795212901995</v>
      </c>
      <c r="AJ3882">
        <v>94.371831470274799</v>
      </c>
      <c r="AK3882">
        <v>16.060530683858801</v>
      </c>
      <c r="AL3882">
        <v>69.286611826175502</v>
      </c>
      <c r="AM3882">
        <v>94.390026202187698</v>
      </c>
      <c r="AN3882">
        <v>0.99999995138269804</v>
      </c>
    </row>
    <row r="3883" spans="1:40" x14ac:dyDescent="0.25">
      <c r="A3883" t="str">
        <f>"20190304164721872"</f>
        <v>20190304164721872</v>
      </c>
      <c r="B3883" t="str">
        <f>"1551689241863148"</f>
        <v>1551689241863148</v>
      </c>
      <c r="C3883" t="s">
        <v>40</v>
      </c>
      <c r="D3883">
        <v>4.2874999999999996</v>
      </c>
      <c r="E3883">
        <v>0.50969989999999998</v>
      </c>
      <c r="F3883" t="s">
        <v>51</v>
      </c>
      <c r="G3883">
        <v>-307.26409999999998</v>
      </c>
      <c r="H3883" s="1">
        <v>-9.3848959999999996E-6</v>
      </c>
      <c r="I3883">
        <v>140.5753</v>
      </c>
      <c r="J3883">
        <v>-291.11860000000001</v>
      </c>
      <c r="K3883">
        <v>1.109917</v>
      </c>
      <c r="L3883">
        <v>141.65129999999999</v>
      </c>
      <c r="M3883">
        <v>-0.99989720000000004</v>
      </c>
      <c r="N3883">
        <v>-9.8899230000000001E-3</v>
      </c>
      <c r="O3883">
        <v>1.038213E-2</v>
      </c>
      <c r="P3883">
        <v>-0.93680719999999995</v>
      </c>
      <c r="Q3883">
        <v>0.34420309999999998</v>
      </c>
      <c r="R3883">
        <v>-6.2584909999999994E-2</v>
      </c>
      <c r="S3883">
        <v>-3.269012</v>
      </c>
      <c r="T3883">
        <v>-0.21883079999999999</v>
      </c>
      <c r="U3883">
        <v>-0.2112579</v>
      </c>
      <c r="V3883">
        <v>-7.2261480000000003E-2</v>
      </c>
      <c r="W3883">
        <v>0.35345389999999999</v>
      </c>
      <c r="X3883">
        <v>0.93265679999999995</v>
      </c>
      <c r="Y3883">
        <v>-7.4639529999999996E-2</v>
      </c>
      <c r="Z3883">
        <v>-3.4538640000000001E-3</v>
      </c>
      <c r="AA3883">
        <v>0.9972046</v>
      </c>
      <c r="AB3883">
        <v>44</v>
      </c>
      <c r="AC3883">
        <v>-16.145499999999899</v>
      </c>
      <c r="AD3883">
        <v>-1.1099263848959999</v>
      </c>
      <c r="AE3883">
        <v>-1.0759999999999901</v>
      </c>
      <c r="AF3883">
        <v>-1.2377512453794099</v>
      </c>
      <c r="AG3883">
        <v>-1.1099263848959999</v>
      </c>
      <c r="AH3883">
        <v>16.057905384138301</v>
      </c>
      <c r="AI3883">
        <v>93.942352358149506</v>
      </c>
      <c r="AJ3883">
        <v>94.407671404781595</v>
      </c>
      <c r="AK3883">
        <v>16.143738416217801</v>
      </c>
      <c r="AL3883">
        <v>69.301283744476095</v>
      </c>
      <c r="AM3883">
        <v>94.430378688990402</v>
      </c>
      <c r="AN3883">
        <v>1.0000000437516099</v>
      </c>
    </row>
    <row r="3884" spans="1:40" x14ac:dyDescent="0.25">
      <c r="A3884" t="str">
        <f>"20190304164721894"</f>
        <v>20190304164721894</v>
      </c>
      <c r="B3884" t="str">
        <f>"1551689241882672"</f>
        <v>1551689241882672</v>
      </c>
      <c r="C3884" t="s">
        <v>40</v>
      </c>
      <c r="D3884">
        <v>4.2877140000000002</v>
      </c>
      <c r="E3884">
        <v>0.50957089999999905</v>
      </c>
      <c r="F3884" t="s">
        <v>51</v>
      </c>
      <c r="G3884">
        <v>-307.64980000000003</v>
      </c>
      <c r="H3884" s="1">
        <v>-9.4378850000000005E-6</v>
      </c>
      <c r="I3884">
        <v>140.56720000000001</v>
      </c>
      <c r="J3884">
        <v>-291.5455</v>
      </c>
      <c r="K3884">
        <v>1.109928</v>
      </c>
      <c r="L3884">
        <v>141.6557</v>
      </c>
      <c r="M3884">
        <v>-0.99989689999999998</v>
      </c>
      <c r="N3884">
        <v>-9.9015700000000002E-3</v>
      </c>
      <c r="O3884">
        <v>1.0410559999999999E-2</v>
      </c>
      <c r="P3884">
        <v>-0.93658649999999999</v>
      </c>
      <c r="Q3884">
        <v>0.3447112</v>
      </c>
      <c r="R3884">
        <v>-6.3087180000000007E-2</v>
      </c>
      <c r="S3884">
        <v>-3.2686769999999998</v>
      </c>
      <c r="T3884">
        <v>-0.21946370000000001</v>
      </c>
      <c r="U3884">
        <v>-0.2143555</v>
      </c>
      <c r="V3884">
        <v>-7.2788359999999996E-2</v>
      </c>
      <c r="W3884">
        <v>0.35397079999999997</v>
      </c>
      <c r="X3884">
        <v>0.93241969999999996</v>
      </c>
      <c r="Y3884">
        <v>-7.5611670000000006E-2</v>
      </c>
      <c r="Z3884">
        <v>-3.5026329999999998E-3</v>
      </c>
      <c r="AA3884">
        <v>0.9971312</v>
      </c>
      <c r="AB3884">
        <v>44</v>
      </c>
      <c r="AC3884">
        <v>-16.104299999999999</v>
      </c>
      <c r="AD3884">
        <v>-1.109937437885</v>
      </c>
      <c r="AE3884">
        <v>-1.08849999999998</v>
      </c>
      <c r="AF3884">
        <v>-1.2501923128616601</v>
      </c>
      <c r="AG3884">
        <v>-1.109937437885</v>
      </c>
      <c r="AH3884">
        <v>16.016359591111001</v>
      </c>
      <c r="AI3884">
        <v>93.952288813015201</v>
      </c>
      <c r="AJ3884">
        <v>94.463298412057398</v>
      </c>
      <c r="AK3884">
        <v>16.103375934472002</v>
      </c>
      <c r="AL3884">
        <v>69.269619395178296</v>
      </c>
      <c r="AM3884">
        <v>94.463682061990099</v>
      </c>
      <c r="AN3884">
        <v>0.99999998477610896</v>
      </c>
    </row>
    <row r="3885" spans="1:40" x14ac:dyDescent="0.25">
      <c r="A3885" t="str">
        <f>"20190304164721929"</f>
        <v>20190304164721929</v>
      </c>
      <c r="B3885" t="str">
        <f>"1551689241922684"</f>
        <v>1551689241922684</v>
      </c>
      <c r="C3885" t="s">
        <v>40</v>
      </c>
      <c r="D3885">
        <v>4.2841889999999996</v>
      </c>
      <c r="E3885">
        <v>0.50943329999999998</v>
      </c>
      <c r="F3885" t="s">
        <v>51</v>
      </c>
      <c r="G3885">
        <v>-308.18110000000001</v>
      </c>
      <c r="H3885" s="1">
        <v>-9.509485E-6</v>
      </c>
      <c r="I3885">
        <v>140.5514</v>
      </c>
      <c r="J3885">
        <v>-292.233</v>
      </c>
      <c r="K3885">
        <v>1.109934</v>
      </c>
      <c r="L3885">
        <v>141.66299999999899</v>
      </c>
      <c r="M3885">
        <v>-0.99989609999999995</v>
      </c>
      <c r="N3885">
        <v>-9.9266730000000004E-3</v>
      </c>
      <c r="O3885">
        <v>1.0456389999999999E-2</v>
      </c>
      <c r="P3885">
        <v>-0.93635299999999999</v>
      </c>
      <c r="Q3885">
        <v>0.34518280000000001</v>
      </c>
      <c r="R3885">
        <v>-6.3967070000000001E-2</v>
      </c>
      <c r="S3885">
        <v>-3.2687680000000001</v>
      </c>
      <c r="T3885">
        <v>-0.2180945</v>
      </c>
      <c r="U3885">
        <v>-0.2169952</v>
      </c>
      <c r="V3885">
        <v>-7.3708650000000001E-2</v>
      </c>
      <c r="W3885">
        <v>0.35446309999999998</v>
      </c>
      <c r="X3885">
        <v>0.9321604</v>
      </c>
      <c r="Y3885">
        <v>-7.6457549999999999E-2</v>
      </c>
      <c r="Z3885">
        <v>-3.5180089999999999E-3</v>
      </c>
      <c r="AA3885">
        <v>0.99706660000000003</v>
      </c>
      <c r="AB3885">
        <v>44</v>
      </c>
      <c r="AC3885">
        <v>-15.9481</v>
      </c>
      <c r="AD3885">
        <v>-1.1099435094850001</v>
      </c>
      <c r="AE3885">
        <v>-1.1115999999999799</v>
      </c>
      <c r="AF3885">
        <v>-1.2721746524637101</v>
      </c>
      <c r="AG3885">
        <v>-1.1099435094850001</v>
      </c>
      <c r="AH3885">
        <v>15.859157369897799</v>
      </c>
      <c r="AI3885">
        <v>93.990685498022501</v>
      </c>
      <c r="AJ3885">
        <v>94.586277410559802</v>
      </c>
      <c r="AK3885">
        <v>15.948770342061</v>
      </c>
      <c r="AL3885">
        <v>69.239458098473406</v>
      </c>
      <c r="AM3885">
        <v>94.521137727058303</v>
      </c>
      <c r="AN3885">
        <v>1.00000003283729</v>
      </c>
    </row>
    <row r="3886" spans="1:40" x14ac:dyDescent="0.25">
      <c r="A3886" t="str">
        <f>"20190304164721951"</f>
        <v>20190304164721951</v>
      </c>
      <c r="B3886" t="str">
        <f>"1551689241943180"</f>
        <v>1551689241943180</v>
      </c>
      <c r="C3886" t="s">
        <v>40</v>
      </c>
      <c r="D3886">
        <v>4.2987960000000003</v>
      </c>
      <c r="E3886">
        <v>0.50939040000000002</v>
      </c>
      <c r="F3886" t="s">
        <v>51</v>
      </c>
      <c r="G3886">
        <v>-309.0129</v>
      </c>
      <c r="H3886" s="1">
        <v>-9.6212440000000007E-6</v>
      </c>
      <c r="I3886">
        <v>140.52549999999999</v>
      </c>
      <c r="J3886">
        <v>-292.67770000000002</v>
      </c>
      <c r="K3886">
        <v>1.109936</v>
      </c>
      <c r="L3886">
        <v>141.66759999999999</v>
      </c>
      <c r="M3886">
        <v>-0.9998956</v>
      </c>
      <c r="N3886">
        <v>-9.9439339999999998E-3</v>
      </c>
      <c r="O3886">
        <v>1.0485799999999899E-2</v>
      </c>
      <c r="P3886">
        <v>-0.9362646</v>
      </c>
      <c r="Q3886">
        <v>0.3454255</v>
      </c>
      <c r="R3886">
        <v>-6.3953969999999999E-2</v>
      </c>
      <c r="S3886">
        <v>-3.2684630000000001</v>
      </c>
      <c r="T3886">
        <v>-0.21619949999999999</v>
      </c>
      <c r="U3886">
        <v>-0.22155759999999999</v>
      </c>
      <c r="V3886">
        <v>-7.3722739999999995E-2</v>
      </c>
      <c r="W3886">
        <v>0.3547208</v>
      </c>
      <c r="X3886">
        <v>0.93206120000000003</v>
      </c>
      <c r="Y3886">
        <v>-7.7878340000000004E-2</v>
      </c>
      <c r="Z3886">
        <v>-3.5461720000000002E-3</v>
      </c>
      <c r="AA3886">
        <v>0.99695659999999997</v>
      </c>
      <c r="AB3886">
        <v>44</v>
      </c>
      <c r="AC3886">
        <v>-16.335199999999901</v>
      </c>
      <c r="AD3886">
        <v>-1.109945621244</v>
      </c>
      <c r="AE3886">
        <v>-1.1420999999999899</v>
      </c>
      <c r="AF3886">
        <v>-1.3073268180701401</v>
      </c>
      <c r="AG3886">
        <v>-1.109945621244</v>
      </c>
      <c r="AH3886">
        <v>16.247675740588299</v>
      </c>
      <c r="AI3886">
        <v>93.895487978846305</v>
      </c>
      <c r="AJ3886">
        <v>94.600244795187606</v>
      </c>
      <c r="AK3886">
        <v>16.3379328454571</v>
      </c>
      <c r="AL3886">
        <v>69.223665829524293</v>
      </c>
      <c r="AM3886">
        <v>94.522477678104906</v>
      </c>
      <c r="AN3886">
        <v>0.99999998444559302</v>
      </c>
    </row>
    <row r="3887" spans="1:40" x14ac:dyDescent="0.25">
      <c r="A3887" t="str">
        <f>"20190304164721972"</f>
        <v>20190304164721972</v>
      </c>
      <c r="B3887" t="str">
        <f>"1551689241962704"</f>
        <v>1551689241962704</v>
      </c>
      <c r="C3887" t="s">
        <v>40</v>
      </c>
      <c r="D3887">
        <v>4.2917500000000004</v>
      </c>
      <c r="E3887">
        <v>0.50932979999999906</v>
      </c>
      <c r="F3887" t="s">
        <v>51</v>
      </c>
      <c r="G3887">
        <v>-309.48759999999999</v>
      </c>
      <c r="H3887" s="1">
        <v>-9.6905419999999997E-6</v>
      </c>
      <c r="I3887">
        <v>140.52930000000001</v>
      </c>
      <c r="J3887">
        <v>-293.09739999999999</v>
      </c>
      <c r="K3887">
        <v>1.109936</v>
      </c>
      <c r="L3887">
        <v>141.6721</v>
      </c>
      <c r="M3887">
        <v>-0.99989519999999998</v>
      </c>
      <c r="N3887">
        <v>-9.9624819999999999E-3</v>
      </c>
      <c r="O3887">
        <v>1.05139E-2</v>
      </c>
      <c r="P3887">
        <v>-0.93612019999999996</v>
      </c>
      <c r="Q3887">
        <v>0.34570529999999999</v>
      </c>
      <c r="R3887">
        <v>-6.4553910000000006E-2</v>
      </c>
      <c r="S3887">
        <v>-3.2687379999999999</v>
      </c>
      <c r="T3887">
        <v>-0.215832</v>
      </c>
      <c r="U3887">
        <v>-0.22134400000000001</v>
      </c>
      <c r="V3887">
        <v>-7.4347549999999998E-2</v>
      </c>
      <c r="W3887">
        <v>0.35501680000000002</v>
      </c>
      <c r="X3887">
        <v>0.93189889999999997</v>
      </c>
      <c r="Y3887">
        <v>-7.7836600000000006E-2</v>
      </c>
      <c r="Z3887">
        <v>-3.5408879999999998E-3</v>
      </c>
      <c r="AA3887">
        <v>0.99695990000000001</v>
      </c>
      <c r="AB3887">
        <v>44</v>
      </c>
      <c r="AC3887">
        <v>-16.390199999999901</v>
      </c>
      <c r="AD3887">
        <v>-1.109945690542</v>
      </c>
      <c r="AE3887">
        <v>-1.14279999999999</v>
      </c>
      <c r="AF3887">
        <v>-1.3090958059975699</v>
      </c>
      <c r="AG3887">
        <v>-1.109945690542</v>
      </c>
      <c r="AH3887">
        <v>16.3028746767637</v>
      </c>
      <c r="AI3887">
        <v>93.882389793472299</v>
      </c>
      <c r="AJ3887">
        <v>94.590912872399997</v>
      </c>
      <c r="AK3887">
        <v>16.392969041375601</v>
      </c>
      <c r="AL3887">
        <v>69.205526486687006</v>
      </c>
      <c r="AM3887">
        <v>94.561436191864004</v>
      </c>
      <c r="AN3887">
        <v>1.0000000231472199</v>
      </c>
    </row>
    <row r="3888" spans="1:40" x14ac:dyDescent="0.25">
      <c r="A3888" t="str">
        <f>"20190304164721994"</f>
        <v>20190304164721994</v>
      </c>
      <c r="B3888" t="str">
        <f>"1551689241983196"</f>
        <v>1551689241983196</v>
      </c>
      <c r="C3888" t="s">
        <v>40</v>
      </c>
      <c r="D3888">
        <v>4.2928230000000003</v>
      </c>
      <c r="E3888">
        <v>0.50924840000000005</v>
      </c>
      <c r="F3888" t="s">
        <v>51</v>
      </c>
      <c r="G3888">
        <v>-309.97609999999997</v>
      </c>
      <c r="H3888" s="1">
        <v>-9.7454669999999998E-6</v>
      </c>
      <c r="I3888">
        <v>140.51429999999999</v>
      </c>
      <c r="J3888">
        <v>-293.53190000000001</v>
      </c>
      <c r="K3888">
        <v>1.109936</v>
      </c>
      <c r="L3888">
        <v>141.67670000000001</v>
      </c>
      <c r="M3888">
        <v>-0.99989470000000003</v>
      </c>
      <c r="N3888">
        <v>-9.9844129999999993E-3</v>
      </c>
      <c r="O3888">
        <v>1.054282E-2</v>
      </c>
      <c r="P3888">
        <v>-0.93610420000000005</v>
      </c>
      <c r="Q3888">
        <v>0.34580080000000002</v>
      </c>
      <c r="R3888">
        <v>-6.4271990000000001E-2</v>
      </c>
      <c r="S3888">
        <v>-3.2686459999999999</v>
      </c>
      <c r="T3888">
        <v>-0.214947</v>
      </c>
      <c r="U3888">
        <v>-0.22421260000000001</v>
      </c>
      <c r="V3888">
        <v>-7.4093010000000001E-2</v>
      </c>
      <c r="W3888">
        <v>0.35513230000000001</v>
      </c>
      <c r="X3888">
        <v>0.93187520000000001</v>
      </c>
      <c r="Y3888">
        <v>-7.8737509999999997E-2</v>
      </c>
      <c r="Z3888">
        <v>-3.5638660000000002E-3</v>
      </c>
      <c r="AA3888">
        <v>0.99688900000000003</v>
      </c>
      <c r="AB3888">
        <v>44</v>
      </c>
      <c r="AC3888">
        <v>-16.444199999999899</v>
      </c>
      <c r="AD3888">
        <v>-1.1099457454670001</v>
      </c>
      <c r="AE3888">
        <v>-1.1624000000000101</v>
      </c>
      <c r="AF3888">
        <v>-1.32968440878883</v>
      </c>
      <c r="AG3888">
        <v>-1.1099457454670001</v>
      </c>
      <c r="AH3888">
        <v>16.356879950404</v>
      </c>
      <c r="AI3888">
        <v>93.869302883912894</v>
      </c>
      <c r="AJ3888">
        <v>94.647472273465098</v>
      </c>
      <c r="AK3888">
        <v>16.4483300640759</v>
      </c>
      <c r="AL3888">
        <v>69.198448272396107</v>
      </c>
      <c r="AM3888">
        <v>94.546000126178001</v>
      </c>
      <c r="AN3888">
        <v>1.0000000565045899</v>
      </c>
    </row>
    <row r="3889" spans="1:40" x14ac:dyDescent="0.25">
      <c r="A3889" t="str">
        <f>"20190304164722017"</f>
        <v>20190304164722017</v>
      </c>
      <c r="B3889" t="str">
        <f>"1551689242012477"</f>
        <v>1551689242012477</v>
      </c>
      <c r="C3889" t="s">
        <v>40</v>
      </c>
      <c r="D3889">
        <v>4.2597889999999996</v>
      </c>
      <c r="E3889">
        <v>0.50918129999999995</v>
      </c>
      <c r="F3889" t="s">
        <v>51</v>
      </c>
      <c r="G3889">
        <v>-310.39769999999999</v>
      </c>
      <c r="H3889" s="1">
        <v>-9.5600419999999998E-6</v>
      </c>
      <c r="I3889">
        <v>140.51949999999999</v>
      </c>
      <c r="J3889">
        <v>-293.97660000000002</v>
      </c>
      <c r="K3889">
        <v>1.109939</v>
      </c>
      <c r="L3889">
        <v>141.6814</v>
      </c>
      <c r="M3889">
        <v>-0.99989410000000001</v>
      </c>
      <c r="N3889">
        <v>-1.000798E-2</v>
      </c>
      <c r="O3889">
        <v>1.05722E-2</v>
      </c>
      <c r="P3889">
        <v>-0.93577880000000002</v>
      </c>
      <c r="Q3889">
        <v>0.34658850000000002</v>
      </c>
      <c r="R3889">
        <v>-6.4768610000000004E-2</v>
      </c>
      <c r="S3889">
        <v>-3.268799</v>
      </c>
      <c r="T3889">
        <v>-0.21512139999999999</v>
      </c>
      <c r="U3889">
        <v>-0.22427369999999999</v>
      </c>
      <c r="V3889">
        <v>-7.4612830000000005E-2</v>
      </c>
      <c r="W3889">
        <v>0.35593849999999999</v>
      </c>
      <c r="X3889">
        <v>0.93152599999999997</v>
      </c>
      <c r="Y3889">
        <v>-7.8781630000000005E-2</v>
      </c>
      <c r="Z3889">
        <v>-3.5703530000000001E-3</v>
      </c>
      <c r="AA3889">
        <v>0.99688549999999998</v>
      </c>
      <c r="AB3889">
        <v>44</v>
      </c>
      <c r="AC3889">
        <v>-16.4210999999999</v>
      </c>
      <c r="AD3889">
        <v>-1.109948560042</v>
      </c>
      <c r="AE3889">
        <v>-1.1618999999999999</v>
      </c>
      <c r="AF3889">
        <v>-1.3294073675457101</v>
      </c>
      <c r="AG3889">
        <v>-1.109948560042</v>
      </c>
      <c r="AH3889">
        <v>16.333644477802899</v>
      </c>
      <c r="AI3889">
        <v>93.8747694082615</v>
      </c>
      <c r="AJ3889">
        <v>94.653089106995694</v>
      </c>
      <c r="AK3889">
        <v>16.425201724243301</v>
      </c>
      <c r="AL3889">
        <v>69.149025931134801</v>
      </c>
      <c r="AM3889">
        <v>94.579467520764197</v>
      </c>
      <c r="AN3889">
        <v>0.99999998942942903</v>
      </c>
    </row>
    <row r="3890" spans="1:40" x14ac:dyDescent="0.25">
      <c r="A3890" t="str">
        <f>"20190304164722040"</f>
        <v>20190304164722040</v>
      </c>
      <c r="B3890" t="str">
        <f>"1551689242032973"</f>
        <v>1551689242032973</v>
      </c>
      <c r="C3890" t="s">
        <v>40</v>
      </c>
      <c r="D3890">
        <v>4.3063250000000002</v>
      </c>
      <c r="E3890">
        <v>0.50916030000000001</v>
      </c>
      <c r="F3890" t="s">
        <v>51</v>
      </c>
      <c r="G3890">
        <v>-310.97910000000002</v>
      </c>
      <c r="H3890" s="1">
        <v>-9.3366359999999998E-6</v>
      </c>
      <c r="I3890">
        <v>140.5052</v>
      </c>
      <c r="J3890">
        <v>-294.45179999999999</v>
      </c>
      <c r="K3890">
        <v>1.1099410000000001</v>
      </c>
      <c r="L3890">
        <v>141.68639999999999</v>
      </c>
      <c r="M3890">
        <v>-0.99989360000000005</v>
      </c>
      <c r="N3890">
        <v>-1.003249E-2</v>
      </c>
      <c r="O3890">
        <v>1.0603609999999999E-2</v>
      </c>
      <c r="P3890">
        <v>-0.93582520000000002</v>
      </c>
      <c r="Q3890">
        <v>0.34637600000000002</v>
      </c>
      <c r="R3890">
        <v>-6.5231440000000002E-2</v>
      </c>
      <c r="S3890">
        <v>-3.2693180000000002</v>
      </c>
      <c r="T3890">
        <v>-0.21342610000000001</v>
      </c>
      <c r="U3890">
        <v>-0.2261658</v>
      </c>
      <c r="V3890">
        <v>-7.510588E-2</v>
      </c>
      <c r="W3890">
        <v>0.3557495</v>
      </c>
      <c r="X3890">
        <v>0.93155849999999996</v>
      </c>
      <c r="Y3890">
        <v>-7.9378039999999997E-2</v>
      </c>
      <c r="Z3890">
        <v>-3.5688400000000002E-3</v>
      </c>
      <c r="AA3890">
        <v>0.99683820000000001</v>
      </c>
      <c r="AB3890">
        <v>44</v>
      </c>
      <c r="AC3890">
        <v>-16.5273</v>
      </c>
      <c r="AD3890">
        <v>-1.109950336636</v>
      </c>
      <c r="AE3890">
        <v>-1.18119999999998</v>
      </c>
      <c r="AF3890">
        <v>-1.35033200273535</v>
      </c>
      <c r="AG3890">
        <v>-1.109950336636</v>
      </c>
      <c r="AH3890">
        <v>16.440072663076599</v>
      </c>
      <c r="AI3890">
        <v>93.849534595073393</v>
      </c>
      <c r="AJ3890">
        <v>94.695541233874707</v>
      </c>
      <c r="AK3890">
        <v>16.5327364775058</v>
      </c>
      <c r="AL3890">
        <v>69.160611752791198</v>
      </c>
      <c r="AM3890">
        <v>94.609439045657794</v>
      </c>
      <c r="AN3890">
        <v>0.99999991944153299</v>
      </c>
    </row>
    <row r="3891" spans="1:40" x14ac:dyDescent="0.25">
      <c r="A3891" t="str">
        <f>"20190304164722062"</f>
        <v>20190304164722062</v>
      </c>
      <c r="B3891" t="str">
        <f>"1551689242052496"</f>
        <v>1551689242052496</v>
      </c>
      <c r="C3891" t="s">
        <v>40</v>
      </c>
      <c r="D3891">
        <v>4.2729730000000004</v>
      </c>
      <c r="E3891">
        <v>0.50911839999999997</v>
      </c>
      <c r="F3891" t="s">
        <v>51</v>
      </c>
      <c r="G3891">
        <v>-311.34789999999998</v>
      </c>
      <c r="H3891" s="1">
        <v>-9.19971E-6</v>
      </c>
      <c r="I3891">
        <v>140.51249999999999</v>
      </c>
      <c r="J3891">
        <v>-294.8802</v>
      </c>
      <c r="K3891">
        <v>1.109942</v>
      </c>
      <c r="L3891">
        <v>141.691</v>
      </c>
      <c r="M3891">
        <v>-0.99989300000000003</v>
      </c>
      <c r="N3891">
        <v>-1.005353E-2</v>
      </c>
      <c r="O3891">
        <v>1.0631639999999999E-2</v>
      </c>
      <c r="P3891">
        <v>-0.9360617</v>
      </c>
      <c r="Q3891">
        <v>0.34572819999999999</v>
      </c>
      <c r="R3891">
        <v>-6.5272789999999997E-2</v>
      </c>
      <c r="S3891">
        <v>-3.2693789999999998</v>
      </c>
      <c r="T3891">
        <v>-0.21477460000000001</v>
      </c>
      <c r="U3891">
        <v>-0.22715759999999999</v>
      </c>
      <c r="V3891">
        <v>-7.5176099999999996E-2</v>
      </c>
      <c r="W3891">
        <v>0.35512379999999999</v>
      </c>
      <c r="X3891">
        <v>0.9317917</v>
      </c>
      <c r="Y3891">
        <v>-7.9702259999999997E-2</v>
      </c>
      <c r="Z3891">
        <v>-3.6038400000000001E-3</v>
      </c>
      <c r="AA3891">
        <v>0.99681220000000004</v>
      </c>
      <c r="AB3891">
        <v>44</v>
      </c>
      <c r="AC3891">
        <v>-16.467699999999901</v>
      </c>
      <c r="AD3891">
        <v>-1.10995119971</v>
      </c>
      <c r="AE3891">
        <v>-1.1785000000000101</v>
      </c>
      <c r="AF3891">
        <v>-1.34743070877519</v>
      </c>
      <c r="AG3891">
        <v>-1.10995119971</v>
      </c>
      <c r="AH3891">
        <v>16.380203228655802</v>
      </c>
      <c r="AI3891">
        <v>93.863526345373003</v>
      </c>
      <c r="AJ3891">
        <v>94.702546231315594</v>
      </c>
      <c r="AK3891">
        <v>16.472966308250399</v>
      </c>
      <c r="AL3891">
        <v>69.198969446202497</v>
      </c>
      <c r="AM3891">
        <v>94.612580331523105</v>
      </c>
      <c r="AN3891">
        <v>1.0000000657632599</v>
      </c>
    </row>
    <row r="3892" spans="1:40" x14ac:dyDescent="0.25">
      <c r="A3892" t="str">
        <f>"20190304164722083"</f>
        <v>20190304164722083</v>
      </c>
      <c r="B3892" t="str">
        <f>"1551689242072989"</f>
        <v>1551689242072989</v>
      </c>
      <c r="C3892" t="s">
        <v>40</v>
      </c>
      <c r="D3892">
        <v>4.246181</v>
      </c>
      <c r="E3892">
        <v>0.50904859999999996</v>
      </c>
      <c r="F3892" t="s">
        <v>51</v>
      </c>
      <c r="G3892">
        <v>-311.5573</v>
      </c>
      <c r="H3892" s="1">
        <v>-9.1234680000000008E-6</v>
      </c>
      <c r="I3892">
        <v>140.5222</v>
      </c>
      <c r="J3892">
        <v>-295.2921</v>
      </c>
      <c r="K3892">
        <v>1.109947</v>
      </c>
      <c r="L3892">
        <v>141.69540000000001</v>
      </c>
      <c r="M3892">
        <v>-0.99989249999999996</v>
      </c>
      <c r="N3892">
        <v>-1.007415E-2</v>
      </c>
      <c r="O3892">
        <v>1.0658539999999999E-2</v>
      </c>
      <c r="P3892">
        <v>-0.93597529999999995</v>
      </c>
      <c r="Q3892">
        <v>0.34599449999999998</v>
      </c>
      <c r="R3892">
        <v>-6.5103969999999997E-2</v>
      </c>
      <c r="S3892">
        <v>-3.2693180000000002</v>
      </c>
      <c r="T3892">
        <v>-0.21759120000000001</v>
      </c>
      <c r="U3892">
        <v>-0.229126</v>
      </c>
      <c r="V3892">
        <v>-7.5031470000000003E-2</v>
      </c>
      <c r="W3892">
        <v>0.35540820000000001</v>
      </c>
      <c r="X3892">
        <v>0.93169489999999999</v>
      </c>
      <c r="Y3892">
        <v>-8.0320580000000003E-2</v>
      </c>
      <c r="Z3892">
        <v>-3.6729290000000001E-3</v>
      </c>
      <c r="AA3892">
        <v>0.99676229999999999</v>
      </c>
      <c r="AB3892">
        <v>44</v>
      </c>
      <c r="AC3892">
        <v>-16.265199999999901</v>
      </c>
      <c r="AD3892">
        <v>-1.109956123468</v>
      </c>
      <c r="AE3892">
        <v>-1.1732</v>
      </c>
      <c r="AF3892">
        <v>-1.34029616302846</v>
      </c>
      <c r="AG3892">
        <v>-1.109956123468</v>
      </c>
      <c r="AH3892">
        <v>16.176827495462302</v>
      </c>
      <c r="AI3892">
        <v>93.911776509362596</v>
      </c>
      <c r="AJ3892">
        <v>94.736300450259293</v>
      </c>
      <c r="AK3892">
        <v>16.270161161420599</v>
      </c>
      <c r="AL3892">
        <v>69.181536970886199</v>
      </c>
      <c r="AM3892">
        <v>94.604220707645496</v>
      </c>
      <c r="AN3892">
        <v>1.0000000484017999</v>
      </c>
    </row>
    <row r="3893" spans="1:40" x14ac:dyDescent="0.25">
      <c r="A3893" t="str">
        <f>"20190304164722106"</f>
        <v>20190304164722106</v>
      </c>
      <c r="B3893" t="str">
        <f>"1551689242103244"</f>
        <v>1551689242103244</v>
      </c>
      <c r="C3893" t="s">
        <v>40</v>
      </c>
      <c r="D3893">
        <v>4.2626710000000001</v>
      </c>
      <c r="E3893">
        <v>0.50899689999999997</v>
      </c>
      <c r="F3893" t="s">
        <v>51</v>
      </c>
      <c r="G3893">
        <v>-311.99560000000002</v>
      </c>
      <c r="H3893" s="1">
        <v>-8.9548090000000007E-6</v>
      </c>
      <c r="I3893">
        <v>140.50829999999999</v>
      </c>
      <c r="J3893">
        <v>-295.73869999999999</v>
      </c>
      <c r="K3893">
        <v>1.1099509999999999</v>
      </c>
      <c r="L3893">
        <v>141.7002</v>
      </c>
      <c r="M3893">
        <v>-0.99989189999999994</v>
      </c>
      <c r="N3893">
        <v>-1.0098620000000001E-2</v>
      </c>
      <c r="O3893">
        <v>1.0687800000000001E-2</v>
      </c>
      <c r="P3893">
        <v>-0.93589270000000002</v>
      </c>
      <c r="Q3893">
        <v>0.34626420000000002</v>
      </c>
      <c r="R3893">
        <v>-6.4853839999999996E-2</v>
      </c>
      <c r="S3893">
        <v>-3.2693479999999999</v>
      </c>
      <c r="T3893">
        <v>-0.21724959999999999</v>
      </c>
      <c r="U3893">
        <v>-0.23234560000000001</v>
      </c>
      <c r="V3893">
        <v>-7.4807570000000004E-2</v>
      </c>
      <c r="W3893">
        <v>0.35569959999999901</v>
      </c>
      <c r="X3893">
        <v>0.93160160000000003</v>
      </c>
      <c r="Y3893">
        <v>-8.132383E-2</v>
      </c>
      <c r="Z3893">
        <v>-3.7082170000000002E-3</v>
      </c>
      <c r="AA3893">
        <v>0.99668089999999998</v>
      </c>
      <c r="AB3893">
        <v>44</v>
      </c>
      <c r="AC3893">
        <v>-16.256900000000002</v>
      </c>
      <c r="AD3893">
        <v>-1.109959954809</v>
      </c>
      <c r="AE3893">
        <v>-1.1919</v>
      </c>
      <c r="AF3893">
        <v>-1.35928862885127</v>
      </c>
      <c r="AG3893">
        <v>-1.109959954809</v>
      </c>
      <c r="AH3893">
        <v>16.168264210381299</v>
      </c>
      <c r="AI3893">
        <v>93.913461304884194</v>
      </c>
      <c r="AJ3893">
        <v>94.805635655356397</v>
      </c>
      <c r="AK3893">
        <v>16.263223673506399</v>
      </c>
      <c r="AL3893">
        <v>69.163671783826899</v>
      </c>
      <c r="AM3893">
        <v>94.590997926183903</v>
      </c>
      <c r="AN3893">
        <v>0.99999995954601095</v>
      </c>
    </row>
    <row r="3894" spans="1:40" x14ac:dyDescent="0.25">
      <c r="A3894" t="str">
        <f>"20190304164722130"</f>
        <v>20190304164722130</v>
      </c>
      <c r="B3894" t="str">
        <f>"1551689242122765"</f>
        <v>1551689242122765</v>
      </c>
      <c r="C3894" t="s">
        <v>40</v>
      </c>
      <c r="D3894">
        <v>4.2438440000000002</v>
      </c>
      <c r="E3894">
        <v>0.50895440000000003</v>
      </c>
      <c r="F3894" t="s">
        <v>51</v>
      </c>
      <c r="G3894">
        <v>-312.45490000000001</v>
      </c>
      <c r="H3894" s="1">
        <v>-8.7832629999999999E-6</v>
      </c>
      <c r="I3894">
        <v>140.51339999999999</v>
      </c>
      <c r="J3894">
        <v>-296.22829999999999</v>
      </c>
      <c r="K3894">
        <v>1.1099570000000001</v>
      </c>
      <c r="L3894">
        <v>141.7054</v>
      </c>
      <c r="M3894">
        <v>-0.99989139999999999</v>
      </c>
      <c r="N3894">
        <v>-1.0129030000000001E-2</v>
      </c>
      <c r="O3894">
        <v>1.072001E-2</v>
      </c>
      <c r="P3894">
        <v>-0.93563960000000002</v>
      </c>
      <c r="Q3894">
        <v>0.34692840000000003</v>
      </c>
      <c r="R3894">
        <v>-6.4957799999999996E-2</v>
      </c>
      <c r="S3894">
        <v>-3.2697449999999999</v>
      </c>
      <c r="T3894">
        <v>-0.21711279999999999</v>
      </c>
      <c r="U3894">
        <v>-0.23213200000000001</v>
      </c>
      <c r="V3894">
        <v>-7.4938859999999996E-2</v>
      </c>
      <c r="W3894">
        <v>0.35638940000000002</v>
      </c>
      <c r="X3894">
        <v>0.93132740000000003</v>
      </c>
      <c r="Y3894">
        <v>-8.128291E-2</v>
      </c>
      <c r="Z3894">
        <v>-3.7068330000000001E-3</v>
      </c>
      <c r="AA3894">
        <v>0.99668420000000002</v>
      </c>
      <c r="AB3894">
        <v>44</v>
      </c>
      <c r="AC3894">
        <v>-16.226600000000001</v>
      </c>
      <c r="AD3894">
        <v>-1.1099657832630001</v>
      </c>
      <c r="AE3894">
        <v>-1.1919999999999999</v>
      </c>
      <c r="AF3894">
        <v>-1.35956229981268</v>
      </c>
      <c r="AG3894">
        <v>-1.1099657832630001</v>
      </c>
      <c r="AH3894">
        <v>16.1377832816836</v>
      </c>
      <c r="AI3894">
        <v>93.920793107643306</v>
      </c>
      <c r="AJ3894">
        <v>94.815634673985699</v>
      </c>
      <c r="AK3894">
        <v>16.232944370436101</v>
      </c>
      <c r="AL3894">
        <v>69.121378051472504</v>
      </c>
      <c r="AM3894">
        <v>94.600368985562895</v>
      </c>
      <c r="AN3894">
        <v>0.99999998158060899</v>
      </c>
    </row>
    <row r="3895" spans="1:40" x14ac:dyDescent="0.25">
      <c r="A3895" t="str">
        <f>"20190304164722153"</f>
        <v>20190304164722153</v>
      </c>
      <c r="B3895" t="str">
        <f>"1551689242143261"</f>
        <v>1551689242143261</v>
      </c>
      <c r="C3895" t="s">
        <v>40</v>
      </c>
      <c r="D3895">
        <v>4.2637210000000003</v>
      </c>
      <c r="E3895">
        <v>0.50890950000000001</v>
      </c>
      <c r="F3895" t="s">
        <v>51</v>
      </c>
      <c r="G3895">
        <v>-313.09710000000001</v>
      </c>
      <c r="H3895" s="1">
        <v>-8.5393490000000004E-6</v>
      </c>
      <c r="I3895">
        <v>140.50530000000001</v>
      </c>
      <c r="J3895">
        <v>-296.67099999999999</v>
      </c>
      <c r="K3895">
        <v>1.1099600000000001</v>
      </c>
      <c r="L3895">
        <v>141.71019999999999</v>
      </c>
      <c r="M3895">
        <v>-0.99989059999999996</v>
      </c>
      <c r="N3895">
        <v>-1.015977E-2</v>
      </c>
      <c r="O3895">
        <v>1.074935E-2</v>
      </c>
      <c r="P3895">
        <v>-0.93561150000000004</v>
      </c>
      <c r="Q3895">
        <v>0.3470821</v>
      </c>
      <c r="R3895">
        <v>-6.4541379999999995E-2</v>
      </c>
      <c r="S3895">
        <v>-3.2700200000000001</v>
      </c>
      <c r="T3895">
        <v>-0.21516740000000001</v>
      </c>
      <c r="U3895">
        <v>-0.23265079999999999</v>
      </c>
      <c r="V3895">
        <v>-7.4549599999999994E-2</v>
      </c>
      <c r="W3895">
        <v>0.35657159999999999</v>
      </c>
      <c r="X3895">
        <v>0.93128889999999998</v>
      </c>
      <c r="Y3895">
        <v>-8.1466810000000001E-2</v>
      </c>
      <c r="Z3895">
        <v>-3.6856290000000002E-3</v>
      </c>
      <c r="AA3895">
        <v>0.99666920000000003</v>
      </c>
      <c r="AB3895">
        <v>45</v>
      </c>
      <c r="AC3895">
        <v>-16.426100000000002</v>
      </c>
      <c r="AD3895">
        <v>-1.109968539349</v>
      </c>
      <c r="AE3895">
        <v>-1.2048999999999801</v>
      </c>
      <c r="AF3895">
        <v>-1.3751637608615801</v>
      </c>
      <c r="AG3895">
        <v>-1.109968539349</v>
      </c>
      <c r="AH3895">
        <v>16.3379954438014</v>
      </c>
      <c r="AI3895">
        <v>93.872927903807593</v>
      </c>
      <c r="AJ3895">
        <v>94.811226738949401</v>
      </c>
      <c r="AK3895">
        <v>16.433295489621202</v>
      </c>
      <c r="AL3895">
        <v>69.110204711731697</v>
      </c>
      <c r="AM3895">
        <v>94.576763146318797</v>
      </c>
      <c r="AN3895">
        <v>0.99999998202496398</v>
      </c>
    </row>
    <row r="3896" spans="1:40" x14ac:dyDescent="0.25">
      <c r="A3896" t="str">
        <f>"20190304164722176"</f>
        <v>20190304164722176</v>
      </c>
      <c r="B3896" t="str">
        <f>"1551689242172541"</f>
        <v>1551689242172541</v>
      </c>
      <c r="C3896" t="s">
        <v>40</v>
      </c>
      <c r="D3896">
        <v>4.2824910000000003</v>
      </c>
      <c r="E3896">
        <v>0.50881679999999996</v>
      </c>
      <c r="F3896" t="s">
        <v>51</v>
      </c>
      <c r="G3896">
        <v>-313.52429999999998</v>
      </c>
      <c r="H3896" s="1">
        <v>-8.3812739999999994E-6</v>
      </c>
      <c r="I3896">
        <v>140.51560000000001</v>
      </c>
      <c r="J3896">
        <v>-297.1232</v>
      </c>
      <c r="K3896">
        <v>1.1099600000000001</v>
      </c>
      <c r="L3896">
        <v>141.71510000000001</v>
      </c>
      <c r="M3896">
        <v>-0.99988999999999995</v>
      </c>
      <c r="N3896">
        <v>-1.0194989999999999E-2</v>
      </c>
      <c r="O3896">
        <v>1.077933E-2</v>
      </c>
      <c r="P3896">
        <v>-0.93569610000000003</v>
      </c>
      <c r="Q3896">
        <v>0.3469489</v>
      </c>
      <c r="R3896">
        <v>-6.4028409999999994E-2</v>
      </c>
      <c r="S3896">
        <v>-3.270416</v>
      </c>
      <c r="T3896">
        <v>-0.2153921</v>
      </c>
      <c r="U3896">
        <v>-0.2318115</v>
      </c>
      <c r="V3896">
        <v>-7.4065889999999995E-2</v>
      </c>
      <c r="W3896">
        <v>0.35647230000000002</v>
      </c>
      <c r="X3896">
        <v>0.93136549999999996</v>
      </c>
      <c r="Y3896">
        <v>-8.1233739999999999E-2</v>
      </c>
      <c r="Z3896">
        <v>-3.6826459999999999E-3</v>
      </c>
      <c r="AA3896">
        <v>0.99668820000000002</v>
      </c>
      <c r="AB3896">
        <v>45</v>
      </c>
      <c r="AC3896">
        <v>-16.4010999999999</v>
      </c>
      <c r="AD3896">
        <v>-1.109968381274</v>
      </c>
      <c r="AE3896">
        <v>-1.1995</v>
      </c>
      <c r="AF3896">
        <v>-1.36999103154271</v>
      </c>
      <c r="AG3896">
        <v>-1.109968381274</v>
      </c>
      <c r="AH3896">
        <v>16.312899286215</v>
      </c>
      <c r="AI3896">
        <v>93.878927951814703</v>
      </c>
      <c r="AJ3896">
        <v>94.800553169426806</v>
      </c>
      <c r="AK3896">
        <v>16.407912370442698</v>
      </c>
      <c r="AL3896">
        <v>69.116294212433701</v>
      </c>
      <c r="AM3896">
        <v>94.546819657353197</v>
      </c>
      <c r="AN3896">
        <v>0.99999997565951504</v>
      </c>
    </row>
    <row r="3897" spans="1:40" x14ac:dyDescent="0.25">
      <c r="A3897" t="str">
        <f>"20190304164722195"</f>
        <v>20190304164722195</v>
      </c>
      <c r="B3897" t="str">
        <f>"1551689242193037"</f>
        <v>1551689242193037</v>
      </c>
      <c r="C3897" t="s">
        <v>40</v>
      </c>
      <c r="D3897">
        <v>4.2462019999999896</v>
      </c>
      <c r="E3897">
        <v>0.5087545</v>
      </c>
      <c r="F3897" t="s">
        <v>51</v>
      </c>
      <c r="G3897">
        <v>-313.87310000000002</v>
      </c>
      <c r="H3897" s="1">
        <v>-8.253681E-6</v>
      </c>
      <c r="I3897">
        <v>140.52969999999999</v>
      </c>
      <c r="J3897">
        <v>-297.53210000000001</v>
      </c>
      <c r="K3897">
        <v>1.1099540000000001</v>
      </c>
      <c r="L3897">
        <v>141.71950000000001</v>
      </c>
      <c r="M3897">
        <v>-0.99988940000000004</v>
      </c>
      <c r="N3897">
        <v>-1.023172E-2</v>
      </c>
      <c r="O3897">
        <v>1.080531E-2</v>
      </c>
      <c r="P3897">
        <v>-0.93563960000000002</v>
      </c>
      <c r="Q3897">
        <v>0.34716370000000002</v>
      </c>
      <c r="R3897">
        <v>-6.3687309999999997E-2</v>
      </c>
      <c r="S3897">
        <v>-3.2706909999999998</v>
      </c>
      <c r="T3897">
        <v>-0.21673999999999999</v>
      </c>
      <c r="U3897">
        <v>-0.23147580000000001</v>
      </c>
      <c r="V3897">
        <v>-7.3748869999999994E-2</v>
      </c>
      <c r="W3897">
        <v>0.35672039999999999</v>
      </c>
      <c r="X3897">
        <v>0.93129569999999995</v>
      </c>
      <c r="Y3897">
        <v>-8.1149470000000001E-2</v>
      </c>
      <c r="Z3897">
        <v>-3.7028040000000001E-3</v>
      </c>
      <c r="AA3897">
        <v>0.996695</v>
      </c>
      <c r="AB3897">
        <v>45</v>
      </c>
      <c r="AC3897">
        <v>-16.341000000000001</v>
      </c>
      <c r="AD3897">
        <v>-1.1099622536810001</v>
      </c>
      <c r="AE3897">
        <v>-1.18980000000001</v>
      </c>
      <c r="AF3897">
        <v>-1.3600673315549501</v>
      </c>
      <c r="AG3897">
        <v>-1.1099622536810001</v>
      </c>
      <c r="AH3897">
        <v>16.252598228988301</v>
      </c>
      <c r="AI3897">
        <v>93.8933507141832</v>
      </c>
      <c r="AJ3897">
        <v>94.783541409775097</v>
      </c>
      <c r="AK3897">
        <v>16.3471327315794</v>
      </c>
      <c r="AL3897">
        <v>69.101079605191103</v>
      </c>
      <c r="AM3897">
        <v>94.527777165282203</v>
      </c>
      <c r="AN3897">
        <v>1.00000001022046</v>
      </c>
    </row>
    <row r="3898" spans="1:40" x14ac:dyDescent="0.25">
      <c r="A3898" t="str">
        <f>"20190304164722218"</f>
        <v>20190304164722218</v>
      </c>
      <c r="B3898" t="str">
        <f>"1551689242212557"</f>
        <v>1551689242212557</v>
      </c>
      <c r="C3898" t="s">
        <v>40</v>
      </c>
      <c r="D3898">
        <v>4.3124609999999999</v>
      </c>
      <c r="E3898">
        <v>0.50875409999999999</v>
      </c>
      <c r="F3898" t="s">
        <v>51</v>
      </c>
      <c r="G3898">
        <v>-314.30810000000002</v>
      </c>
      <c r="H3898" s="1">
        <v>-8.0912789999999907E-6</v>
      </c>
      <c r="I3898">
        <v>140.53479999999999</v>
      </c>
      <c r="J3898">
        <v>-297.97770000000003</v>
      </c>
      <c r="K3898">
        <v>1.1099669999999999</v>
      </c>
      <c r="L3898">
        <v>141.7244</v>
      </c>
      <c r="M3898">
        <v>-0.99988860000000002</v>
      </c>
      <c r="N3898">
        <v>-1.0274989999999999E-2</v>
      </c>
      <c r="O3898">
        <v>1.0832369999999999E-2</v>
      </c>
      <c r="P3898">
        <v>-0.93559460000000005</v>
      </c>
      <c r="Q3898">
        <v>0.34733550000000002</v>
      </c>
      <c r="R3898">
        <v>-6.3413129999999998E-2</v>
      </c>
      <c r="S3898">
        <v>-3.2709350000000001</v>
      </c>
      <c r="T3898">
        <v>-0.21641730000000001</v>
      </c>
      <c r="U3898">
        <v>-0.23100280000000001</v>
      </c>
      <c r="V3898">
        <v>-7.3500040000000003E-2</v>
      </c>
      <c r="W3898">
        <v>0.35693200000000003</v>
      </c>
      <c r="X3898">
        <v>0.93123429999999996</v>
      </c>
      <c r="Y3898">
        <v>-8.1028610000000001E-2</v>
      </c>
      <c r="Z3898">
        <v>-3.6957090000000001E-3</v>
      </c>
      <c r="AA3898">
        <v>0.9967049</v>
      </c>
      <c r="AB3898">
        <v>45</v>
      </c>
      <c r="AC3898">
        <v>-16.330399999999901</v>
      </c>
      <c r="AD3898">
        <v>-1.1099750912789901</v>
      </c>
      <c r="AE3898">
        <v>-1.18960000000001</v>
      </c>
      <c r="AF3898">
        <v>-1.3601857032170801</v>
      </c>
      <c r="AG3898">
        <v>-1.1099750912789901</v>
      </c>
      <c r="AH3898">
        <v>16.2419149095489</v>
      </c>
      <c r="AI3898">
        <v>93.895928524800397</v>
      </c>
      <c r="AJ3898">
        <v>94.787087893709895</v>
      </c>
      <c r="AK3898">
        <v>16.336521960917</v>
      </c>
      <c r="AL3898">
        <v>69.088101583153701</v>
      </c>
      <c r="AM3898">
        <v>94.512859869284895</v>
      </c>
      <c r="AN3898">
        <v>1.0000000150002399</v>
      </c>
    </row>
    <row r="3899" spans="1:40" x14ac:dyDescent="0.25">
      <c r="A3899" t="str">
        <f>"20190304164722241"</f>
        <v>20190304164722241</v>
      </c>
      <c r="B3899" t="str">
        <f>"1551689242233057"</f>
        <v>1551689242233057</v>
      </c>
      <c r="C3899" t="s">
        <v>40</v>
      </c>
      <c r="D3899">
        <v>4.2982509999999996</v>
      </c>
      <c r="E3899">
        <v>0.53199449999999904</v>
      </c>
      <c r="F3899" t="s">
        <v>51</v>
      </c>
      <c r="G3899">
        <v>-314.75349999999997</v>
      </c>
      <c r="H3899" s="1">
        <v>-7.9249999999999995E-6</v>
      </c>
      <c r="I3899">
        <v>140.54</v>
      </c>
      <c r="J3899">
        <v>-298.43689999999998</v>
      </c>
      <c r="K3899">
        <v>1.109974</v>
      </c>
      <c r="L3899">
        <v>141.7294</v>
      </c>
      <c r="M3899">
        <v>-0.99988779999999999</v>
      </c>
      <c r="N3899">
        <v>-1.032339E-2</v>
      </c>
      <c r="O3899">
        <v>1.0855760000000001E-2</v>
      </c>
      <c r="P3899">
        <v>-0.9355753</v>
      </c>
      <c r="Q3899">
        <v>0.34747800000000001</v>
      </c>
      <c r="R3899">
        <v>-6.2914250000000005E-2</v>
      </c>
      <c r="S3899">
        <v>-3.2711790000000001</v>
      </c>
      <c r="T3899">
        <v>-0.21643899999999999</v>
      </c>
      <c r="U3899">
        <v>-0.2309418</v>
      </c>
      <c r="V3899">
        <v>-7.3025090000000001E-2</v>
      </c>
      <c r="W3899">
        <v>0.35711910000000002</v>
      </c>
      <c r="X3899">
        <v>0.93119989999999997</v>
      </c>
      <c r="Y3899">
        <v>-8.1028059999999999E-2</v>
      </c>
      <c r="Z3899">
        <v>-3.698523E-3</v>
      </c>
      <c r="AA3899">
        <v>0.9967049</v>
      </c>
      <c r="AB3899">
        <v>45</v>
      </c>
      <c r="AC3899">
        <v>-16.316599999999902</v>
      </c>
      <c r="AD3899">
        <v>-1.109981925</v>
      </c>
      <c r="AE3899">
        <v>-1.1894</v>
      </c>
      <c r="AF3899">
        <v>-1.36020697271373</v>
      </c>
      <c r="AG3899">
        <v>-1.109981925</v>
      </c>
      <c r="AH3899">
        <v>16.228023170299199</v>
      </c>
      <c r="AI3899">
        <v>93.899253611960205</v>
      </c>
      <c r="AJ3899">
        <v>94.791241306759204</v>
      </c>
      <c r="AK3899">
        <v>16.322712976040901</v>
      </c>
      <c r="AL3899">
        <v>69.076624519795899</v>
      </c>
      <c r="AM3899">
        <v>94.483982478284503</v>
      </c>
      <c r="AN3899">
        <v>0.99999998455716299</v>
      </c>
    </row>
    <row r="3900" spans="1:40" x14ac:dyDescent="0.25">
      <c r="A3900" t="str">
        <f>"20190304164722262"</f>
        <v>20190304164722262</v>
      </c>
      <c r="B3900" t="str">
        <f>"1551689242253083"</f>
        <v>1551689242253083</v>
      </c>
      <c r="C3900" t="s">
        <v>40</v>
      </c>
      <c r="D3900">
        <v>4.2303430000000004</v>
      </c>
      <c r="E3900">
        <v>0.53929649999999996</v>
      </c>
      <c r="F3900" t="s">
        <v>51</v>
      </c>
      <c r="G3900">
        <v>-313.19150000000002</v>
      </c>
      <c r="H3900" s="1">
        <v>-8.7707700000000004E-6</v>
      </c>
      <c r="I3900">
        <v>141.51660000000001</v>
      </c>
      <c r="J3900">
        <v>-298.86320000000001</v>
      </c>
      <c r="K3900">
        <v>1.1099779999999999</v>
      </c>
      <c r="L3900">
        <v>141.73400000000001</v>
      </c>
      <c r="M3900">
        <v>-0.99988719999999998</v>
      </c>
      <c r="N3900">
        <v>-1.037329E-2</v>
      </c>
      <c r="O3900">
        <v>1.08722E-2</v>
      </c>
      <c r="P3900">
        <v>-0.93557999999999997</v>
      </c>
      <c r="Q3900">
        <v>0.34754180000000001</v>
      </c>
      <c r="R3900">
        <v>-6.2488149999999999E-2</v>
      </c>
      <c r="S3900">
        <v>-3.295471</v>
      </c>
      <c r="T3900">
        <v>-0.2479172</v>
      </c>
      <c r="U3900">
        <v>-4.7531129999999998E-2</v>
      </c>
      <c r="V3900">
        <v>-7.2618189999999999E-2</v>
      </c>
      <c r="W3900">
        <v>0.35722859999999901</v>
      </c>
      <c r="X3900">
        <v>0.93118970000000001</v>
      </c>
      <c r="Y3900">
        <v>-2.518863E-2</v>
      </c>
      <c r="Z3900">
        <v>-1.781024E-3</v>
      </c>
      <c r="AA3900">
        <v>0.99968109999999999</v>
      </c>
      <c r="AB3900">
        <v>45</v>
      </c>
      <c r="AC3900">
        <v>-14.3283</v>
      </c>
      <c r="AD3900">
        <v>-1.10998677077</v>
      </c>
      <c r="AE3900">
        <v>-0.21739999999999701</v>
      </c>
      <c r="AF3900">
        <v>-0.37094998280230701</v>
      </c>
      <c r="AG3900">
        <v>-1.10998677077</v>
      </c>
      <c r="AH3900">
        <v>14.2396523631531</v>
      </c>
      <c r="AI3900">
        <v>94.455710925509393</v>
      </c>
      <c r="AJ3900">
        <v>91.492245878943706</v>
      </c>
      <c r="AK3900">
        <v>14.2876650977155</v>
      </c>
      <c r="AL3900">
        <v>69.069907156266098</v>
      </c>
      <c r="AM3900">
        <v>94.459147162656507</v>
      </c>
      <c r="AN3900">
        <v>0.999999965781462</v>
      </c>
    </row>
    <row r="3901" spans="1:40" x14ac:dyDescent="0.25">
      <c r="A3901" t="str">
        <f>"20190304164722284"</f>
        <v>20190304164722284</v>
      </c>
      <c r="B3901" t="str">
        <f>"1551689242272600"</f>
        <v>1551689242272600</v>
      </c>
      <c r="C3901" t="s">
        <v>40</v>
      </c>
      <c r="D3901">
        <v>4.2032249999999998</v>
      </c>
      <c r="E3901">
        <v>0.54206709999999902</v>
      </c>
      <c r="F3901" t="s">
        <v>41</v>
      </c>
      <c r="G3901">
        <v>-299.8313</v>
      </c>
      <c r="H3901">
        <v>1.034918</v>
      </c>
      <c r="I3901">
        <v>141.7372</v>
      </c>
      <c r="J3901">
        <v>-299.30509999999998</v>
      </c>
      <c r="K3901">
        <v>1.110004</v>
      </c>
      <c r="L3901">
        <v>141.7388</v>
      </c>
      <c r="M3901">
        <v>-0.99988650000000001</v>
      </c>
      <c r="N3901">
        <v>-1.0430719999999999E-2</v>
      </c>
      <c r="O3901">
        <v>1.0884599999999999E-2</v>
      </c>
      <c r="P3901">
        <v>-0.93541620000000003</v>
      </c>
      <c r="Q3901">
        <v>0.34810639999999998</v>
      </c>
      <c r="R3901">
        <v>-6.1797850000000001E-2</v>
      </c>
      <c r="S3901">
        <v>-3.3023380000000002</v>
      </c>
      <c r="T3901">
        <v>-0.25603289999999901</v>
      </c>
      <c r="U3901">
        <v>1.094055E-2</v>
      </c>
      <c r="V3901">
        <v>-7.1941110000000003E-2</v>
      </c>
      <c r="W3901">
        <v>0.35784359999999998</v>
      </c>
      <c r="X3901">
        <v>0.93100609999999995</v>
      </c>
      <c r="Y3901">
        <v>-7.52228599999999E-3</v>
      </c>
      <c r="Z3901">
        <v>-1.0596830000000001E-3</v>
      </c>
      <c r="AA3901">
        <v>0.99997119999999995</v>
      </c>
      <c r="AB3901">
        <v>45</v>
      </c>
      <c r="AC3901">
        <v>-0.52620000000001699</v>
      </c>
      <c r="AD3901">
        <v>-7.5085999999999903E-2</v>
      </c>
      <c r="AE3901">
        <v>-1.59999999999627E-3</v>
      </c>
      <c r="AF3901">
        <v>-7.1814662487005299E-3</v>
      </c>
      <c r="AG3901">
        <v>-7.5085999999999903E-2</v>
      </c>
      <c r="AH3901">
        <v>0.51565190288701002</v>
      </c>
      <c r="AI3901">
        <v>98.284032393468905</v>
      </c>
      <c r="AJ3901">
        <v>90.7979047585182</v>
      </c>
      <c r="AK3901">
        <v>0.52113948785759401</v>
      </c>
      <c r="AL3901">
        <v>69.032176120834393</v>
      </c>
      <c r="AM3901">
        <v>94.418603921526795</v>
      </c>
      <c r="AN3901">
        <v>0.99999996180310002</v>
      </c>
    </row>
    <row r="3902" spans="1:40" x14ac:dyDescent="0.25">
      <c r="A3902" t="str">
        <f>"20190304164722307"</f>
        <v>20190304164722307</v>
      </c>
      <c r="B3902" t="str">
        <f>"1551689242302856"</f>
        <v>1551689242302856</v>
      </c>
      <c r="C3902" t="s">
        <v>40</v>
      </c>
      <c r="D3902">
        <v>4.2042390000000003</v>
      </c>
      <c r="E3902">
        <v>0.54312139999999998</v>
      </c>
      <c r="F3902" t="s">
        <v>41</v>
      </c>
      <c r="G3902">
        <v>-300.23250000000002</v>
      </c>
      <c r="H3902">
        <v>1.037609</v>
      </c>
      <c r="I3902">
        <v>141.74879999999999</v>
      </c>
      <c r="J3902">
        <v>-299.75839999999999</v>
      </c>
      <c r="K3902">
        <v>1.110012</v>
      </c>
      <c r="L3902">
        <v>141.74379999999999</v>
      </c>
      <c r="M3902">
        <v>-0.99988569999999999</v>
      </c>
      <c r="N3902">
        <v>-1.0497039999999999E-2</v>
      </c>
      <c r="O3902">
        <v>1.089379E-2</v>
      </c>
      <c r="P3902">
        <v>-0.93535690000000005</v>
      </c>
      <c r="Q3902">
        <v>0.34835280000000002</v>
      </c>
      <c r="R3902">
        <v>-6.1306550000000001E-2</v>
      </c>
      <c r="S3902">
        <v>-3.3054809999999999</v>
      </c>
      <c r="T3902">
        <v>-0.25813229999999998</v>
      </c>
      <c r="U3902">
        <v>3.4530640000000001E-2</v>
      </c>
      <c r="V3902">
        <v>-7.1461499999999997E-2</v>
      </c>
      <c r="W3902">
        <v>0.35815079999999999</v>
      </c>
      <c r="X3902">
        <v>0.930925</v>
      </c>
      <c r="Y3902">
        <v>-4.2219929999999999E-4</v>
      </c>
      <c r="Z3902">
        <v>-7.5385350000000003E-4</v>
      </c>
      <c r="AA3902">
        <v>0.99999959999999999</v>
      </c>
      <c r="AB3902">
        <v>45</v>
      </c>
      <c r="AC3902">
        <v>-0.474100000000021</v>
      </c>
      <c r="AD3902">
        <v>-7.2402999999999995E-2</v>
      </c>
      <c r="AE3902">
        <v>4.9999999999954499E-3</v>
      </c>
      <c r="AF3902">
        <v>-1.6155890287742399E-4</v>
      </c>
      <c r="AG3902">
        <v>-7.2402999999999995E-2</v>
      </c>
      <c r="AH3902">
        <v>0.46332176311287998</v>
      </c>
      <c r="AI3902">
        <v>98.881741982262398</v>
      </c>
      <c r="AJ3902">
        <v>90.019978864882702</v>
      </c>
      <c r="AK3902">
        <v>0.46894485463037799</v>
      </c>
      <c r="AL3902">
        <v>69.0133273936693</v>
      </c>
      <c r="AM3902">
        <v>94.389642789186396</v>
      </c>
      <c r="AN3902">
        <v>1.00000004857394</v>
      </c>
    </row>
    <row r="3903" spans="1:40" x14ac:dyDescent="0.25">
      <c r="A3903" t="str">
        <f>"20190304164722331"</f>
        <v>20190304164722331</v>
      </c>
      <c r="B3903" t="str">
        <f>"1551689242323352"</f>
        <v>1551689242323352</v>
      </c>
      <c r="C3903" t="s">
        <v>40</v>
      </c>
      <c r="D3903">
        <v>4.1896250000000004</v>
      </c>
      <c r="E3903">
        <v>0.54351930000000004</v>
      </c>
      <c r="F3903" t="s">
        <v>41</v>
      </c>
      <c r="G3903">
        <v>-300.63380000000001</v>
      </c>
      <c r="H3903">
        <v>1.0386519999999999</v>
      </c>
      <c r="I3903">
        <v>141.7552</v>
      </c>
      <c r="J3903">
        <v>-300.23410000000001</v>
      </c>
      <c r="K3903">
        <v>1.1100350000000001</v>
      </c>
      <c r="L3903">
        <v>141.749</v>
      </c>
      <c r="M3903">
        <v>-0.99988469999999996</v>
      </c>
      <c r="N3903">
        <v>-1.0578550000000001E-2</v>
      </c>
      <c r="O3903">
        <v>1.089998E-2</v>
      </c>
      <c r="P3903">
        <v>-0.93555200000000005</v>
      </c>
      <c r="Q3903">
        <v>0.34795969999999998</v>
      </c>
      <c r="R3903">
        <v>-6.0554419999999998E-2</v>
      </c>
      <c r="S3903">
        <v>-3.3106379999999902</v>
      </c>
      <c r="T3903">
        <v>-0.26993699999999998</v>
      </c>
      <c r="U3903">
        <v>4.2587279999999998E-2</v>
      </c>
      <c r="V3903">
        <v>-7.0720909999999998E-2</v>
      </c>
      <c r="W3903">
        <v>0.35783470000000001</v>
      </c>
      <c r="X3903">
        <v>0.93110309999999996</v>
      </c>
      <c r="Y3903">
        <v>1.9822030000000001E-3</v>
      </c>
      <c r="Z3903">
        <v>-6.8088570000000002E-4</v>
      </c>
      <c r="AA3903">
        <v>0.99999780000000005</v>
      </c>
      <c r="AB3903">
        <v>45</v>
      </c>
      <c r="AC3903">
        <v>-0.399699999999995</v>
      </c>
      <c r="AD3903">
        <v>-7.1382999999999905E-2</v>
      </c>
      <c r="AE3903">
        <v>6.2000000000068597E-3</v>
      </c>
      <c r="AF3903">
        <v>1.7857243165253899E-3</v>
      </c>
      <c r="AG3903">
        <v>-7.1382999999999905E-2</v>
      </c>
      <c r="AH3903">
        <v>0.38739100947578298</v>
      </c>
      <c r="AI3903">
        <v>100.44044211124201</v>
      </c>
      <c r="AJ3903">
        <v>89.735890251609803</v>
      </c>
      <c r="AK3903">
        <v>0.39391688935992702</v>
      </c>
      <c r="AL3903">
        <v>69.032724177333805</v>
      </c>
      <c r="AM3903">
        <v>94.343498071868098</v>
      </c>
      <c r="AN3903">
        <v>1.0000000512324601</v>
      </c>
    </row>
    <row r="3904" spans="1:40" x14ac:dyDescent="0.25">
      <c r="A3904" t="str">
        <f>"20190304164722354"</f>
        <v>20190304164722354</v>
      </c>
      <c r="B3904" t="str">
        <f>"1551689242342872"</f>
        <v>1551689242342872</v>
      </c>
      <c r="C3904" t="s">
        <v>40</v>
      </c>
      <c r="D3904">
        <v>4.2000289999999998</v>
      </c>
      <c r="E3904">
        <v>0.54370149999999995</v>
      </c>
      <c r="F3904" t="s">
        <v>41</v>
      </c>
      <c r="G3904">
        <v>-301.0412</v>
      </c>
      <c r="H3904">
        <v>1.043288</v>
      </c>
      <c r="I3904">
        <v>141.7611</v>
      </c>
      <c r="J3904">
        <v>-300.69830000000002</v>
      </c>
      <c r="K3904">
        <v>1.110055</v>
      </c>
      <c r="L3904">
        <v>141.75399999999999</v>
      </c>
      <c r="M3904">
        <v>-0.99988359999999998</v>
      </c>
      <c r="N3904">
        <v>-1.0674919999999999E-2</v>
      </c>
      <c r="O3904">
        <v>1.090313E-2</v>
      </c>
      <c r="P3904">
        <v>-0.9354903</v>
      </c>
      <c r="Q3904">
        <v>0.34821149999999901</v>
      </c>
      <c r="R3904">
        <v>-6.005593E-2</v>
      </c>
      <c r="S3904">
        <v>-3.3117369999999999</v>
      </c>
      <c r="T3904">
        <v>-0.27407229999999999</v>
      </c>
      <c r="U3904">
        <v>4.8355099999999998E-2</v>
      </c>
      <c r="V3904">
        <v>-7.0227129999999999E-2</v>
      </c>
      <c r="W3904">
        <v>0.35817579999999999</v>
      </c>
      <c r="X3904">
        <v>0.93100930000000004</v>
      </c>
      <c r="Y3904">
        <v>3.7100670000000001E-3</v>
      </c>
      <c r="Z3904">
        <v>-6.1139199999999999E-4</v>
      </c>
      <c r="AA3904">
        <v>0.99999289999999996</v>
      </c>
      <c r="AB3904">
        <v>45</v>
      </c>
      <c r="AC3904">
        <v>-0.34289999999998599</v>
      </c>
      <c r="AD3904">
        <v>-6.6767000000000007E-2</v>
      </c>
      <c r="AE3904">
        <v>7.1000000000083201E-3</v>
      </c>
      <c r="AF3904">
        <v>3.23797286564657E-3</v>
      </c>
      <c r="AG3904">
        <v>-6.6767000000000007E-2</v>
      </c>
      <c r="AH3904">
        <v>0.33043461571605898</v>
      </c>
      <c r="AI3904">
        <v>101.42274007883999</v>
      </c>
      <c r="AJ3904">
        <v>89.438568985314902</v>
      </c>
      <c r="AK3904">
        <v>0.33712809438060598</v>
      </c>
      <c r="AL3904">
        <v>69.011792924244602</v>
      </c>
      <c r="AM3904">
        <v>94.313719138875598</v>
      </c>
      <c r="AN3904">
        <v>1.00000003509008</v>
      </c>
    </row>
    <row r="3905" spans="1:40" x14ac:dyDescent="0.25">
      <c r="A3905" t="str">
        <f>"20190304164722375"</f>
        <v>20190304164722375</v>
      </c>
      <c r="B3905" t="str">
        <f>"1551689242363368"</f>
        <v>1551689242363368</v>
      </c>
      <c r="C3905" t="s">
        <v>40</v>
      </c>
      <c r="D3905">
        <v>4.1768859999999997</v>
      </c>
      <c r="E3905">
        <v>0.54377399999999998</v>
      </c>
      <c r="F3905" t="s">
        <v>51</v>
      </c>
      <c r="G3905">
        <v>-314.10969999999998</v>
      </c>
      <c r="H3905" s="1">
        <v>-8.5446759999999906E-6</v>
      </c>
      <c r="I3905">
        <v>141.96940000000001</v>
      </c>
      <c r="J3905">
        <v>-301.11189999999999</v>
      </c>
      <c r="K3905">
        <v>1.1100730000000001</v>
      </c>
      <c r="L3905">
        <v>141.7585</v>
      </c>
      <c r="M3905">
        <v>-0.9998823</v>
      </c>
      <c r="N3905">
        <v>-1.078256E-2</v>
      </c>
      <c r="O3905">
        <v>1.0904189999999999E-2</v>
      </c>
      <c r="P3905">
        <v>-0.93549349999999998</v>
      </c>
      <c r="Q3905">
        <v>0.34820079999999998</v>
      </c>
      <c r="R3905">
        <v>-6.0064760000000002E-2</v>
      </c>
      <c r="S3905">
        <v>-3.3123469999999999</v>
      </c>
      <c r="T3905">
        <v>-0.27416430000000003</v>
      </c>
      <c r="U3905">
        <v>5.3192139999999999E-2</v>
      </c>
      <c r="V3905">
        <v>-7.023923E-2</v>
      </c>
      <c r="W3905">
        <v>0.35826439999999998</v>
      </c>
      <c r="X3905">
        <v>0.93097430000000003</v>
      </c>
      <c r="Y3905">
        <v>5.1605469999999997E-3</v>
      </c>
      <c r="Z3905">
        <v>-5.4244180000000001E-4</v>
      </c>
      <c r="AA3905">
        <v>0.9999865</v>
      </c>
      <c r="AB3905">
        <v>45</v>
      </c>
      <c r="AC3905">
        <v>-12.9977999999999</v>
      </c>
      <c r="AD3905">
        <v>-1.110081544676</v>
      </c>
      <c r="AE3905">
        <v>0.210900000000009</v>
      </c>
      <c r="AF3905">
        <v>6.86481311541558E-2</v>
      </c>
      <c r="AG3905">
        <v>-1.110081544676</v>
      </c>
      <c r="AH3905">
        <v>12.905220153714501</v>
      </c>
      <c r="AI3905">
        <v>94.916298822537797</v>
      </c>
      <c r="AJ3905">
        <v>89.695223247504103</v>
      </c>
      <c r="AK3905">
        <v>12.9530575856661</v>
      </c>
      <c r="AL3905">
        <v>69.006355762939506</v>
      </c>
      <c r="AM3905">
        <v>94.314621167927697</v>
      </c>
      <c r="AN3905">
        <v>1.0000000384994201</v>
      </c>
    </row>
    <row r="3906" spans="1:40" x14ac:dyDescent="0.25">
      <c r="A3906" t="str">
        <f>"20190304164722397"</f>
        <v>20190304164722397</v>
      </c>
      <c r="B3906" t="str">
        <f>"1551689242392648"</f>
        <v>1551689242392648</v>
      </c>
      <c r="C3906" t="s">
        <v>40</v>
      </c>
      <c r="D3906">
        <v>4.1855799999999999</v>
      </c>
      <c r="E3906">
        <v>0.5439522</v>
      </c>
      <c r="F3906" t="s">
        <v>41</v>
      </c>
      <c r="G3906">
        <v>-302.2251</v>
      </c>
      <c r="H3906">
        <v>1.017617</v>
      </c>
      <c r="I3906">
        <v>141.77690000000001</v>
      </c>
      <c r="J3906">
        <v>-301.56139999999999</v>
      </c>
      <c r="K3906">
        <v>1.1100989999999999</v>
      </c>
      <c r="L3906">
        <v>141.76339999999999</v>
      </c>
      <c r="M3906">
        <v>-0.99988100000000002</v>
      </c>
      <c r="N3906">
        <v>-1.092695E-2</v>
      </c>
      <c r="O3906">
        <v>1.0903919999999999E-2</v>
      </c>
      <c r="P3906">
        <v>-0.93557760000000001</v>
      </c>
      <c r="Q3906">
        <v>0.3479699</v>
      </c>
      <c r="R3906">
        <v>-6.009772E-2</v>
      </c>
      <c r="S3906">
        <v>-3.312805</v>
      </c>
      <c r="T3906">
        <v>-0.27520660000000002</v>
      </c>
      <c r="U3906">
        <v>5.4626460000000002E-2</v>
      </c>
      <c r="V3906">
        <v>-7.0273939999999993E-2</v>
      </c>
      <c r="W3906">
        <v>0.358168599999999</v>
      </c>
      <c r="X3906">
        <v>0.93100850000000002</v>
      </c>
      <c r="Y3906">
        <v>5.5897109999999998E-3</v>
      </c>
      <c r="Z3906">
        <v>-5.2284089999999998E-4</v>
      </c>
      <c r="AA3906">
        <v>0.99998430000000005</v>
      </c>
      <c r="AB3906">
        <v>45</v>
      </c>
      <c r="AC3906">
        <v>-0.66370000000000495</v>
      </c>
      <c r="AD3906">
        <v>-9.2481999999999898E-2</v>
      </c>
      <c r="AE3906">
        <v>1.35000000000218E-2</v>
      </c>
      <c r="AF3906">
        <v>6.14261593493303E-3</v>
      </c>
      <c r="AG3906">
        <v>-9.2481999999999898E-2</v>
      </c>
      <c r="AH3906">
        <v>0.65116955020923895</v>
      </c>
      <c r="AI3906">
        <v>98.082986689134799</v>
      </c>
      <c r="AJ3906">
        <v>89.459533190181205</v>
      </c>
      <c r="AK3906">
        <v>0.65773279922338201</v>
      </c>
      <c r="AL3906">
        <v>69.0122339935903</v>
      </c>
      <c r="AM3906">
        <v>94.316587285987694</v>
      </c>
      <c r="AN3906">
        <v>0.99999999987066601</v>
      </c>
    </row>
    <row r="3907" spans="1:40" x14ac:dyDescent="0.25">
      <c r="A3907" t="str">
        <f>"20190304164722419"</f>
        <v>20190304164722419</v>
      </c>
      <c r="B3907" t="str">
        <f>"1551689242413144"</f>
        <v>1551689242413144</v>
      </c>
      <c r="C3907" t="s">
        <v>40</v>
      </c>
      <c r="D3907">
        <v>4.1671899999999997</v>
      </c>
      <c r="E3907">
        <v>0.54396489999999997</v>
      </c>
      <c r="F3907" t="s">
        <v>41</v>
      </c>
      <c r="G3907">
        <v>-302.62779999999998</v>
      </c>
      <c r="H3907">
        <v>1.0212540000000001</v>
      </c>
      <c r="I3907">
        <v>141.78190000000001</v>
      </c>
      <c r="J3907">
        <v>-302.00389999999999</v>
      </c>
      <c r="K3907">
        <v>1.110123</v>
      </c>
      <c r="L3907">
        <v>141.76830000000001</v>
      </c>
      <c r="M3907">
        <v>-0.99987919999999997</v>
      </c>
      <c r="N3907">
        <v>-1.108279E-2</v>
      </c>
      <c r="O3907">
        <v>1.090387E-2</v>
      </c>
      <c r="P3907">
        <v>-0.93567040000000001</v>
      </c>
      <c r="Q3907">
        <v>0.34761239999999999</v>
      </c>
      <c r="R3907">
        <v>-6.0717710000000001E-2</v>
      </c>
      <c r="S3907">
        <v>-3.312897</v>
      </c>
      <c r="T3907">
        <v>-0.27610269999999998</v>
      </c>
      <c r="U3907">
        <v>5.6228640000000003E-2</v>
      </c>
      <c r="V3907">
        <v>-7.0896710000000002E-2</v>
      </c>
      <c r="W3907">
        <v>0.35795709999999997</v>
      </c>
      <c r="X3907">
        <v>0.93104260000000005</v>
      </c>
      <c r="Y3907">
        <v>6.0707900000000004E-3</v>
      </c>
      <c r="Z3907">
        <v>-5.0018250000000001E-4</v>
      </c>
      <c r="AA3907">
        <v>0.99998149999999997</v>
      </c>
      <c r="AB3907">
        <v>45</v>
      </c>
      <c r="AC3907">
        <v>-0.62389999999999102</v>
      </c>
      <c r="AD3907">
        <v>-8.8868999999999795E-2</v>
      </c>
      <c r="AE3907">
        <v>1.35999999999967E-2</v>
      </c>
      <c r="AF3907">
        <v>6.6607702491194801E-3</v>
      </c>
      <c r="AG3907">
        <v>-8.8868999999999795E-2</v>
      </c>
      <c r="AH3907">
        <v>0.61160790293098599</v>
      </c>
      <c r="AI3907">
        <v>98.266955422465799</v>
      </c>
      <c r="AJ3907">
        <v>89.376039886120097</v>
      </c>
      <c r="AK3907">
        <v>0.618066575660705</v>
      </c>
      <c r="AL3907">
        <v>69.025212037828794</v>
      </c>
      <c r="AM3907">
        <v>94.354535642103698</v>
      </c>
      <c r="AN3907">
        <v>0.99999997597199597</v>
      </c>
    </row>
    <row r="3908" spans="1:40" x14ac:dyDescent="0.25">
      <c r="A3908" t="str">
        <f>"20190304164722441"</f>
        <v>20190304164722441</v>
      </c>
      <c r="B3908" t="str">
        <f>"1551689242432664"</f>
        <v>1551689242432664</v>
      </c>
      <c r="C3908" t="s">
        <v>40</v>
      </c>
      <c r="D3908">
        <v>4.1682040000000002</v>
      </c>
      <c r="E3908">
        <v>0.54392589999999996</v>
      </c>
      <c r="F3908" t="s">
        <v>41</v>
      </c>
      <c r="G3908">
        <v>-303.03030000000001</v>
      </c>
      <c r="H3908">
        <v>1.0242340000000001</v>
      </c>
      <c r="I3908">
        <v>141.78530000000001</v>
      </c>
      <c r="J3908">
        <v>-302.4699</v>
      </c>
      <c r="K3908">
        <v>1.1101510000000001</v>
      </c>
      <c r="L3908">
        <v>141.77330000000001</v>
      </c>
      <c r="M3908">
        <v>-0.99987729999999997</v>
      </c>
      <c r="N3908">
        <v>-1.125527E-2</v>
      </c>
      <c r="O3908">
        <v>1.0902149999999999E-2</v>
      </c>
      <c r="P3908">
        <v>-0.93591020000000003</v>
      </c>
      <c r="Q3908">
        <v>0.34690379999999998</v>
      </c>
      <c r="R3908">
        <v>-6.1073660000000002E-2</v>
      </c>
      <c r="S3908">
        <v>-3.312805</v>
      </c>
      <c r="T3908">
        <v>-0.27728720000000001</v>
      </c>
      <c r="U3908">
        <v>5.4626460000000002E-2</v>
      </c>
      <c r="V3908">
        <v>-7.125629E-2</v>
      </c>
      <c r="W3908">
        <v>0.35741119999999998</v>
      </c>
      <c r="X3908">
        <v>0.93122490000000002</v>
      </c>
      <c r="Y3908">
        <v>5.5912770000000004E-3</v>
      </c>
      <c r="Z3908">
        <v>-5.2321140000000002E-4</v>
      </c>
      <c r="AA3908">
        <v>0.99998419999999999</v>
      </c>
      <c r="AB3908">
        <v>45</v>
      </c>
      <c r="AC3908">
        <v>-0.560400000000015</v>
      </c>
      <c r="AD3908">
        <v>-8.5916999999999993E-2</v>
      </c>
      <c r="AE3908">
        <v>1.2000000000000399E-2</v>
      </c>
      <c r="AF3908">
        <v>5.7541456015668801E-3</v>
      </c>
      <c r="AG3908">
        <v>-8.5916999999999993E-2</v>
      </c>
      <c r="AH3908">
        <v>0.54763130061060805</v>
      </c>
      <c r="AI3908">
        <v>98.915877464092105</v>
      </c>
      <c r="AJ3908">
        <v>89.397996197200399</v>
      </c>
      <c r="AK3908">
        <v>0.55435988535343195</v>
      </c>
      <c r="AL3908">
        <v>69.058706611000105</v>
      </c>
      <c r="AM3908">
        <v>94.375682316595004</v>
      </c>
      <c r="AN3908">
        <v>1.0000000195650001</v>
      </c>
    </row>
    <row r="3909" spans="1:40" x14ac:dyDescent="0.25">
      <c r="A3909" t="str">
        <f>"20190304164722463"</f>
        <v>20190304164722463</v>
      </c>
      <c r="B3909" t="str">
        <f>"1551689242452695"</f>
        <v>1551689242452695</v>
      </c>
      <c r="C3909" t="s">
        <v>40</v>
      </c>
      <c r="D3909">
        <v>4.134557</v>
      </c>
      <c r="E3909">
        <v>0.54391400000000001</v>
      </c>
      <c r="F3909" t="s">
        <v>41</v>
      </c>
      <c r="G3909">
        <v>-303.43349999999998</v>
      </c>
      <c r="H3909">
        <v>1.0288740000000001</v>
      </c>
      <c r="I3909">
        <v>141.78909999999999</v>
      </c>
      <c r="J3909">
        <v>-302.88810000000001</v>
      </c>
      <c r="K3909">
        <v>1.1101749999999999</v>
      </c>
      <c r="L3909">
        <v>141.77789999999999</v>
      </c>
      <c r="M3909">
        <v>-0.99987550000000003</v>
      </c>
      <c r="N3909">
        <v>-1.141902E-2</v>
      </c>
      <c r="O3909">
        <v>1.089735E-2</v>
      </c>
      <c r="P3909">
        <v>-0.93599049999999995</v>
      </c>
      <c r="Q3909">
        <v>0.34656360000000003</v>
      </c>
      <c r="R3909">
        <v>-6.1770510000000001E-2</v>
      </c>
      <c r="S3909">
        <v>-3.312592</v>
      </c>
      <c r="T3909">
        <v>-0.279526</v>
      </c>
      <c r="U3909">
        <v>5.3176880000000003E-2</v>
      </c>
      <c r="V3909">
        <v>-7.1952269999999999E-2</v>
      </c>
      <c r="W3909">
        <v>0.35722419999999999</v>
      </c>
      <c r="X3909">
        <v>0.93124309999999999</v>
      </c>
      <c r="Y3909">
        <v>5.1613930000000002E-3</v>
      </c>
      <c r="Z3909">
        <v>-5.4668149999999999E-4</v>
      </c>
      <c r="AA3909">
        <v>0.9999865</v>
      </c>
      <c r="AB3909">
        <v>45</v>
      </c>
      <c r="AC3909">
        <v>-0.54539999999997202</v>
      </c>
      <c r="AD3909">
        <v>-8.1300999999999804E-2</v>
      </c>
      <c r="AE3909">
        <v>1.12000000000023E-2</v>
      </c>
      <c r="AF3909">
        <v>5.1413362163960303E-3</v>
      </c>
      <c r="AG3909">
        <v>-8.1300999999999804E-2</v>
      </c>
      <c r="AH3909">
        <v>0.53363678192180597</v>
      </c>
      <c r="AI3909">
        <v>98.662157020846493</v>
      </c>
      <c r="AJ3909">
        <v>89.447999534255402</v>
      </c>
      <c r="AK3909">
        <v>0.53981895201905505</v>
      </c>
      <c r="AL3909">
        <v>69.070177482901002</v>
      </c>
      <c r="AM3909">
        <v>94.418166402416404</v>
      </c>
      <c r="AN3909">
        <v>0.99999998476070096</v>
      </c>
    </row>
    <row r="3910" spans="1:40" x14ac:dyDescent="0.25">
      <c r="A3910" t="str">
        <f>"20190304164722485"</f>
        <v>20190304164722485</v>
      </c>
      <c r="B3910" t="str">
        <f>"1551689242473187"</f>
        <v>1551689242473187</v>
      </c>
      <c r="C3910" t="s">
        <v>40</v>
      </c>
      <c r="D3910">
        <v>4.1418470000000003</v>
      </c>
      <c r="E3910">
        <v>0.54392719999999894</v>
      </c>
      <c r="F3910" t="s">
        <v>41</v>
      </c>
      <c r="G3910">
        <v>-303.8349</v>
      </c>
      <c r="H3910">
        <v>1.0299039999999999</v>
      </c>
      <c r="I3910">
        <v>141.79259999999999</v>
      </c>
      <c r="J3910">
        <v>-303.33120000000002</v>
      </c>
      <c r="K3910">
        <v>1.110206</v>
      </c>
      <c r="L3910">
        <v>141.78270000000001</v>
      </c>
      <c r="M3910">
        <v>-0.99987340000000002</v>
      </c>
      <c r="N3910">
        <v>-1.160393E-2</v>
      </c>
      <c r="O3910">
        <v>1.0892539999999999E-2</v>
      </c>
      <c r="P3910">
        <v>-0.93601619999999996</v>
      </c>
      <c r="Q3910">
        <v>0.34644330000000001</v>
      </c>
      <c r="R3910">
        <v>-6.2056790000000001E-2</v>
      </c>
      <c r="S3910">
        <v>-3.3125610000000001</v>
      </c>
      <c r="T3910">
        <v>-0.28080749999999999</v>
      </c>
      <c r="U3910">
        <v>5.1284789999999997E-2</v>
      </c>
      <c r="V3910">
        <v>-7.2236720000000004E-2</v>
      </c>
      <c r="W3910">
        <v>0.35727540000000002</v>
      </c>
      <c r="X3910">
        <v>0.93120150000000002</v>
      </c>
      <c r="Y3910">
        <v>4.5975199999999999E-3</v>
      </c>
      <c r="Z3910">
        <v>-5.741845E-4</v>
      </c>
      <c r="AA3910">
        <v>0.99998929999999997</v>
      </c>
      <c r="AB3910">
        <v>45</v>
      </c>
      <c r="AC3910">
        <v>-0.50369999999998005</v>
      </c>
      <c r="AD3910">
        <v>-8.0301999999999804E-2</v>
      </c>
      <c r="AE3910">
        <v>9.8999999999875802E-3</v>
      </c>
      <c r="AF3910">
        <v>4.3031442033025996E-3</v>
      </c>
      <c r="AG3910">
        <v>-8.0301999999999804E-2</v>
      </c>
      <c r="AH3910">
        <v>0.49129595439109602</v>
      </c>
      <c r="AI3910">
        <v>99.282522276730504</v>
      </c>
      <c r="AJ3910">
        <v>89.498172751572795</v>
      </c>
      <c r="AK3910">
        <v>0.49783395128807001</v>
      </c>
      <c r="AL3910">
        <v>69.067037980099997</v>
      </c>
      <c r="AM3910">
        <v>94.435760602402695</v>
      </c>
      <c r="AN3910">
        <v>1.0000000443818799</v>
      </c>
    </row>
    <row r="3911" spans="1:40" x14ac:dyDescent="0.25">
      <c r="A3911" t="str">
        <f>"20190304164722509"</f>
        <v>20190304164722509</v>
      </c>
      <c r="B3911" t="str">
        <f>"1551689242502468"</f>
        <v>1551689242502468</v>
      </c>
      <c r="C3911" t="s">
        <v>40</v>
      </c>
      <c r="D3911">
        <v>4.1083230000000004</v>
      </c>
      <c r="E3911">
        <v>0.54400249999999895</v>
      </c>
      <c r="F3911" t="s">
        <v>41</v>
      </c>
      <c r="G3911">
        <v>-304.2373</v>
      </c>
      <c r="H3911">
        <v>1.033361</v>
      </c>
      <c r="I3911">
        <v>141.797</v>
      </c>
      <c r="J3911">
        <v>-303.80790000000002</v>
      </c>
      <c r="K3911">
        <v>1.110241</v>
      </c>
      <c r="L3911">
        <v>141.78790000000001</v>
      </c>
      <c r="M3911">
        <v>-0.99987110000000001</v>
      </c>
      <c r="N3911">
        <v>-1.1814659999999999E-2</v>
      </c>
      <c r="O3911">
        <v>1.088691E-2</v>
      </c>
      <c r="P3911">
        <v>-0.93589549999999999</v>
      </c>
      <c r="Q3911">
        <v>0.34670489999999998</v>
      </c>
      <c r="R3911">
        <v>-6.2414490000000003E-2</v>
      </c>
      <c r="S3911">
        <v>-3.3124690000000001</v>
      </c>
      <c r="T3911">
        <v>-0.28099489999999999</v>
      </c>
      <c r="U3911">
        <v>5.1284789999999997E-2</v>
      </c>
      <c r="V3911">
        <v>-7.2590349999999998E-2</v>
      </c>
      <c r="W3911">
        <v>0.35773139999999998</v>
      </c>
      <c r="X3911">
        <v>0.93099889999999996</v>
      </c>
      <c r="Y3911">
        <v>4.6033280000000003E-3</v>
      </c>
      <c r="Z3911">
        <v>-5.712197E-4</v>
      </c>
      <c r="AA3911">
        <v>0.99998929999999997</v>
      </c>
      <c r="AB3911">
        <v>45</v>
      </c>
      <c r="AC3911">
        <v>-0.42939999999998602</v>
      </c>
      <c r="AD3911">
        <v>-7.6880000000000004E-2</v>
      </c>
      <c r="AE3911">
        <v>9.0999999999894499E-3</v>
      </c>
      <c r="AF3911">
        <v>4.2869376512431898E-3</v>
      </c>
      <c r="AG3911">
        <v>-7.6880000000000004E-2</v>
      </c>
      <c r="AH3911">
        <v>0.41614003417747297</v>
      </c>
      <c r="AI3911">
        <v>100.466575357067</v>
      </c>
      <c r="AJ3911">
        <v>89.409778617889998</v>
      </c>
      <c r="AK3911">
        <v>0.42320378103185002</v>
      </c>
      <c r="AL3911">
        <v>69.039061982405698</v>
      </c>
      <c r="AM3911">
        <v>94.458354359052606</v>
      </c>
      <c r="AN3911">
        <v>1.0000000326301399</v>
      </c>
    </row>
    <row r="3912" spans="1:40" x14ac:dyDescent="0.25">
      <c r="A3912" t="str">
        <f>"20190304164722531"</f>
        <v>20190304164722531</v>
      </c>
      <c r="B3912" t="str">
        <f>"1551689242522966"</f>
        <v>1551689242522966</v>
      </c>
      <c r="C3912" t="s">
        <v>40</v>
      </c>
      <c r="D3912">
        <v>4.1104770000000004</v>
      </c>
      <c r="E3912">
        <v>0.54403199999999996</v>
      </c>
      <c r="F3912" t="s">
        <v>41</v>
      </c>
      <c r="G3912">
        <v>-304.64359999999999</v>
      </c>
      <c r="H3912">
        <v>1.0396609999999999</v>
      </c>
      <c r="I3912">
        <v>141.80090000000001</v>
      </c>
      <c r="J3912">
        <v>-304.2638</v>
      </c>
      <c r="K3912">
        <v>1.1102700000000001</v>
      </c>
      <c r="L3912">
        <v>141.7928</v>
      </c>
      <c r="M3912">
        <v>-0.9998686</v>
      </c>
      <c r="N3912">
        <v>-1.2025589999999999E-2</v>
      </c>
      <c r="O3912">
        <v>1.087954E-2</v>
      </c>
      <c r="P3912">
        <v>-0.93578660000000002</v>
      </c>
      <c r="Q3912">
        <v>0.34700589999999998</v>
      </c>
      <c r="R3912">
        <v>-6.2374840000000001E-2</v>
      </c>
      <c r="S3912">
        <v>-3.3125610000000001</v>
      </c>
      <c r="T3912">
        <v>-0.27985199999999999</v>
      </c>
      <c r="U3912">
        <v>5.0994869999999998E-2</v>
      </c>
      <c r="V3912">
        <v>-7.2543629999999998E-2</v>
      </c>
      <c r="W3912">
        <v>0.35822749999999998</v>
      </c>
      <c r="X3912">
        <v>0.93081179999999997</v>
      </c>
      <c r="Y3912">
        <v>4.5227109999999996E-3</v>
      </c>
      <c r="Z3912">
        <v>-5.6882510000000005E-4</v>
      </c>
      <c r="AA3912">
        <v>0.99998960000000003</v>
      </c>
      <c r="AB3912">
        <v>45</v>
      </c>
      <c r="AC3912">
        <v>-0.37979999999998798</v>
      </c>
      <c r="AD3912">
        <v>-7.0608999999999894E-2</v>
      </c>
      <c r="AE3912">
        <v>8.1000000000130898E-3</v>
      </c>
      <c r="AF3912">
        <v>3.8346949162105601E-3</v>
      </c>
      <c r="AG3912">
        <v>-7.0608999999999894E-2</v>
      </c>
      <c r="AH3912">
        <v>0.36718059216830201</v>
      </c>
      <c r="AI3912">
        <v>100.88454854747199</v>
      </c>
      <c r="AJ3912">
        <v>89.401646351426706</v>
      </c>
      <c r="AK3912">
        <v>0.37392769759829902</v>
      </c>
      <c r="AL3912">
        <v>69.008620829220902</v>
      </c>
      <c r="AM3912">
        <v>94.4563884478288</v>
      </c>
      <c r="AN3912">
        <v>1.0000000635145301</v>
      </c>
    </row>
    <row r="3913" spans="1:40" x14ac:dyDescent="0.25">
      <c r="A3913" t="str">
        <f>"20190304164722554"</f>
        <v>20190304164722554</v>
      </c>
      <c r="B3913" t="str">
        <f>"1551689242542990"</f>
        <v>1551689242542990</v>
      </c>
      <c r="C3913" t="s">
        <v>40</v>
      </c>
      <c r="D3913">
        <v>4.1117790000000003</v>
      </c>
      <c r="E3913">
        <v>0.54403049999999997</v>
      </c>
      <c r="F3913" t="s">
        <v>51</v>
      </c>
      <c r="G3913">
        <v>-317.45609999999999</v>
      </c>
      <c r="H3913" s="1">
        <v>-7.125048E-6</v>
      </c>
      <c r="I3913">
        <v>141.99789999999999</v>
      </c>
      <c r="J3913">
        <v>-304.709</v>
      </c>
      <c r="K3913">
        <v>1.1103050000000001</v>
      </c>
      <c r="L3913">
        <v>141.79769999999999</v>
      </c>
      <c r="M3913">
        <v>-0.99986609999999998</v>
      </c>
      <c r="N3913">
        <v>-1.223695E-2</v>
      </c>
      <c r="O3913">
        <v>1.0870909999999999E-2</v>
      </c>
      <c r="P3913">
        <v>-0.93594180000000005</v>
      </c>
      <c r="Q3913">
        <v>0.34659570000000001</v>
      </c>
      <c r="R3913">
        <v>-6.2325569999999997E-2</v>
      </c>
      <c r="S3913">
        <v>-3.3126530000000001</v>
      </c>
      <c r="T3913">
        <v>-0.27879749999999998</v>
      </c>
      <c r="U3913">
        <v>5.1483149999999998E-2</v>
      </c>
      <c r="V3913">
        <v>-7.2488670000000005E-2</v>
      </c>
      <c r="W3913">
        <v>0.3580159</v>
      </c>
      <c r="X3913">
        <v>0.93089739999999999</v>
      </c>
      <c r="Y3913">
        <v>4.677278E-3</v>
      </c>
      <c r="Z3913">
        <v>-5.5523839999999905E-4</v>
      </c>
      <c r="AA3913">
        <v>0.99998889999999996</v>
      </c>
      <c r="AB3913">
        <v>45</v>
      </c>
      <c r="AC3913">
        <v>-12.7470999999999</v>
      </c>
      <c r="AD3913">
        <v>-1.1103121250479999</v>
      </c>
      <c r="AE3913">
        <v>0.20019999999999499</v>
      </c>
      <c r="AF3913">
        <v>6.1141461780046501E-2</v>
      </c>
      <c r="AG3913">
        <v>-1.1103121250479999</v>
      </c>
      <c r="AH3913">
        <v>12.652552533278101</v>
      </c>
      <c r="AI3913">
        <v>95.015028710582996</v>
      </c>
      <c r="AJ3913">
        <v>89.723129349870405</v>
      </c>
      <c r="AK3913">
        <v>12.7013234310737</v>
      </c>
      <c r="AL3913">
        <v>69.021604026858199</v>
      </c>
      <c r="AM3913">
        <v>94.452617986247205</v>
      </c>
      <c r="AN3913">
        <v>0.999999980628969</v>
      </c>
    </row>
    <row r="3914" spans="1:40" x14ac:dyDescent="0.25">
      <c r="A3914" t="str">
        <f>"20190304164722577"</f>
        <v>20190304164722577</v>
      </c>
      <c r="B3914" t="str">
        <f>"1551689242573246"</f>
        <v>1551689242573246</v>
      </c>
      <c r="C3914" t="s">
        <v>40</v>
      </c>
      <c r="D3914">
        <v>4.0989559999999896</v>
      </c>
      <c r="E3914">
        <v>0.54401560000000004</v>
      </c>
      <c r="F3914" t="s">
        <v>51</v>
      </c>
      <c r="G3914">
        <v>-317.83539999999999</v>
      </c>
      <c r="H3914" s="1">
        <v>-6.9580460000000001E-6</v>
      </c>
      <c r="I3914">
        <v>142.0025</v>
      </c>
      <c r="J3914">
        <v>-305.15120000000002</v>
      </c>
      <c r="K3914">
        <v>1.110333</v>
      </c>
      <c r="L3914">
        <v>141.80250000000001</v>
      </c>
      <c r="M3914">
        <v>-0.99986359999999996</v>
      </c>
      <c r="N3914">
        <v>-1.2445609999999999E-2</v>
      </c>
      <c r="O3914">
        <v>1.086167E-2</v>
      </c>
      <c r="P3914">
        <v>-0.93610950000000004</v>
      </c>
      <c r="Q3914">
        <v>0.346132</v>
      </c>
      <c r="R3914">
        <v>-6.2383950000000001E-2</v>
      </c>
      <c r="S3914">
        <v>-3.3125309999999999</v>
      </c>
      <c r="T3914">
        <v>-0.28019539999999998</v>
      </c>
      <c r="U3914">
        <v>5.1681520000000002E-2</v>
      </c>
      <c r="V3914">
        <v>-7.2540590000000002E-2</v>
      </c>
      <c r="W3914">
        <v>0.35774830000000002</v>
      </c>
      <c r="X3914">
        <v>0.93099620000000005</v>
      </c>
      <c r="Y3914">
        <v>4.7465720000000001E-3</v>
      </c>
      <c r="Z3914">
        <v>-5.5206989999999996E-4</v>
      </c>
      <c r="AA3914">
        <v>0.99998860000000001</v>
      </c>
      <c r="AB3914">
        <v>45</v>
      </c>
      <c r="AC3914">
        <v>-12.684199999999899</v>
      </c>
      <c r="AD3914">
        <v>-1.1103399580460001</v>
      </c>
      <c r="AE3914">
        <v>0.19999999999998799</v>
      </c>
      <c r="AF3914">
        <v>6.1733012204428901E-2</v>
      </c>
      <c r="AG3914">
        <v>-1.1103399580460001</v>
      </c>
      <c r="AH3914">
        <v>12.5891801385446</v>
      </c>
      <c r="AI3914">
        <v>95.040267995882502</v>
      </c>
      <c r="AJ3914">
        <v>89.719043443095799</v>
      </c>
      <c r="AK3914">
        <v>12.638200914210699</v>
      </c>
      <c r="AL3914">
        <v>69.038023333165995</v>
      </c>
      <c r="AM3914">
        <v>94.455323376987494</v>
      </c>
      <c r="AN3914">
        <v>0.99999995388243801</v>
      </c>
    </row>
    <row r="3915" spans="1:40" x14ac:dyDescent="0.25">
      <c r="A3915" t="str">
        <f>"20190304164722598"</f>
        <v>20190304164722598</v>
      </c>
      <c r="B3915" t="str">
        <f>"1551689242592767"</f>
        <v>1551689242592767</v>
      </c>
      <c r="C3915" t="s">
        <v>40</v>
      </c>
      <c r="D3915">
        <v>4.1067650000000002</v>
      </c>
      <c r="E3915">
        <v>0.54402410000000001</v>
      </c>
      <c r="F3915" t="s">
        <v>41</v>
      </c>
      <c r="G3915">
        <v>-306.23059999999998</v>
      </c>
      <c r="H3915">
        <v>1.0185090000000001</v>
      </c>
      <c r="I3915">
        <v>141.8194</v>
      </c>
      <c r="J3915">
        <v>-305.58670000000001</v>
      </c>
      <c r="K3915">
        <v>1.110349</v>
      </c>
      <c r="L3915">
        <v>141.80719999999999</v>
      </c>
      <c r="M3915">
        <v>-0.99986120000000001</v>
      </c>
      <c r="N3915">
        <v>-1.264433E-2</v>
      </c>
      <c r="O3915">
        <v>1.085235E-2</v>
      </c>
      <c r="P3915">
        <v>-0.93605510000000003</v>
      </c>
      <c r="Q3915">
        <v>0.34633740000000002</v>
      </c>
      <c r="R3915">
        <v>-6.2059639999999999E-2</v>
      </c>
      <c r="S3915">
        <v>-3.312408</v>
      </c>
      <c r="T3915">
        <v>-0.28185830000000001</v>
      </c>
      <c r="U3915">
        <v>5.1269530000000001E-2</v>
      </c>
      <c r="V3915">
        <v>-7.2207610000000005E-2</v>
      </c>
      <c r="W3915">
        <v>0.35813790000000001</v>
      </c>
      <c r="X3915">
        <v>0.93087229999999999</v>
      </c>
      <c r="Y3915">
        <v>4.6325200000000002E-3</v>
      </c>
      <c r="Z3915">
        <v>-5.5860079999999997E-4</v>
      </c>
      <c r="AA3915">
        <v>0.99998909999999996</v>
      </c>
      <c r="AB3915">
        <v>45</v>
      </c>
      <c r="AC3915">
        <v>-0.64389999999997305</v>
      </c>
      <c r="AD3915">
        <v>-9.1839999999999894E-2</v>
      </c>
      <c r="AE3915">
        <v>1.2200000000007E-2</v>
      </c>
      <c r="AF3915">
        <v>5.1070368474613803E-3</v>
      </c>
      <c r="AG3915">
        <v>-9.1839999999999894E-2</v>
      </c>
      <c r="AH3915">
        <v>0.63115907184002296</v>
      </c>
      <c r="AI3915">
        <v>98.278740892502995</v>
      </c>
      <c r="AJ3915">
        <v>89.536400117724696</v>
      </c>
      <c r="AK3915">
        <v>0.63782634109240199</v>
      </c>
      <c r="AL3915">
        <v>69.014117219928707</v>
      </c>
      <c r="AM3915">
        <v>94.435542012892896</v>
      </c>
      <c r="AN3915">
        <v>0.99999996663280499</v>
      </c>
    </row>
    <row r="3916" spans="1:40" x14ac:dyDescent="0.25">
      <c r="A3916" t="str">
        <f>"20190304164722621"</f>
        <v>20190304164722621</v>
      </c>
      <c r="B3916" t="str">
        <f>"1551689242613262"</f>
        <v>1551689242613262</v>
      </c>
      <c r="C3916" t="s">
        <v>40</v>
      </c>
      <c r="D3916">
        <v>4.1040109999999999</v>
      </c>
      <c r="E3916">
        <v>0.54401509999999997</v>
      </c>
      <c r="F3916" t="s">
        <v>41</v>
      </c>
      <c r="G3916">
        <v>-306.63150000000002</v>
      </c>
      <c r="H3916">
        <v>1.021657</v>
      </c>
      <c r="I3916">
        <v>141.82419999999999</v>
      </c>
      <c r="J3916">
        <v>-306.0367</v>
      </c>
      <c r="K3916">
        <v>1.110371</v>
      </c>
      <c r="L3916">
        <v>141.81209999999999</v>
      </c>
      <c r="M3916">
        <v>-0.99985900000000005</v>
      </c>
      <c r="N3916">
        <v>-1.283726E-2</v>
      </c>
      <c r="O3916">
        <v>1.084305E-2</v>
      </c>
      <c r="P3916">
        <v>-0.93596990000000002</v>
      </c>
      <c r="Q3916">
        <v>0.34659630000000002</v>
      </c>
      <c r="R3916">
        <v>-6.1902060000000002E-2</v>
      </c>
      <c r="S3916">
        <v>-3.3125</v>
      </c>
      <c r="T3916">
        <v>-0.28128049999999999</v>
      </c>
      <c r="U3916">
        <v>5.2948000000000002E-2</v>
      </c>
      <c r="V3916">
        <v>-7.2041099999999997E-2</v>
      </c>
      <c r="W3916">
        <v>0.35857470000000002</v>
      </c>
      <c r="X3916">
        <v>0.93071709999999996</v>
      </c>
      <c r="Y3916">
        <v>5.1455399999999997E-3</v>
      </c>
      <c r="Z3916">
        <v>-5.2884690000000001E-4</v>
      </c>
      <c r="AA3916">
        <v>0.99998659999999995</v>
      </c>
      <c r="AB3916">
        <v>45</v>
      </c>
      <c r="AC3916">
        <v>-0.59480000000001998</v>
      </c>
      <c r="AD3916">
        <v>-8.8713999999999904E-2</v>
      </c>
      <c r="AE3916">
        <v>1.21000000000037E-2</v>
      </c>
      <c r="AF3916">
        <v>5.5264248812255399E-3</v>
      </c>
      <c r="AG3916">
        <v>-8.8713999999999904E-2</v>
      </c>
      <c r="AH3916">
        <v>0.58195569209792297</v>
      </c>
      <c r="AI3916">
        <v>98.667121832597005</v>
      </c>
      <c r="AJ3916">
        <v>89.455918537931495</v>
      </c>
      <c r="AK3916">
        <v>0.58870463114633398</v>
      </c>
      <c r="AL3916">
        <v>68.987311367593904</v>
      </c>
      <c r="AM3916">
        <v>94.426089385218901</v>
      </c>
      <c r="AN3916">
        <v>1.0000000279008501</v>
      </c>
    </row>
    <row r="3917" spans="1:40" x14ac:dyDescent="0.25">
      <c r="A3917" t="str">
        <f>"20190304164722642"</f>
        <v>20190304164722642</v>
      </c>
      <c r="B3917" t="str">
        <f>"1551689242632786"</f>
        <v>1551689242632786</v>
      </c>
      <c r="C3917" t="s">
        <v>40</v>
      </c>
      <c r="D3917">
        <v>4.1228040000000004</v>
      </c>
      <c r="E3917">
        <v>0.54402980000000001</v>
      </c>
      <c r="F3917" t="s">
        <v>41</v>
      </c>
      <c r="G3917">
        <v>-307.03269999999998</v>
      </c>
      <c r="H3917">
        <v>1.026103</v>
      </c>
      <c r="I3917">
        <v>141.82830000000001</v>
      </c>
      <c r="J3917">
        <v>-306.4692</v>
      </c>
      <c r="K3917">
        <v>1.1103860000000001</v>
      </c>
      <c r="L3917">
        <v>141.8168</v>
      </c>
      <c r="M3917">
        <v>-0.99985670000000004</v>
      </c>
      <c r="N3917">
        <v>-1.301092E-2</v>
      </c>
      <c r="O3917">
        <v>1.0834399999999999E-2</v>
      </c>
      <c r="P3917">
        <v>-0.9359999</v>
      </c>
      <c r="Q3917">
        <v>0.34654420000000002</v>
      </c>
      <c r="R3917">
        <v>-6.1739130000000003E-2</v>
      </c>
      <c r="S3917">
        <v>-3.3125309999999999</v>
      </c>
      <c r="T3917">
        <v>-0.28030719999999998</v>
      </c>
      <c r="U3917">
        <v>5.3329469999999997E-2</v>
      </c>
      <c r="V3917">
        <v>-7.1871420000000005E-2</v>
      </c>
      <c r="W3917">
        <v>0.35868460000000002</v>
      </c>
      <c r="X3917">
        <v>0.93068779999999995</v>
      </c>
      <c r="Y3917">
        <v>5.2683570000000004E-3</v>
      </c>
      <c r="Z3917">
        <v>-5.1748690000000003E-4</v>
      </c>
      <c r="AA3917">
        <v>0.99998600000000004</v>
      </c>
      <c r="AB3917">
        <v>45</v>
      </c>
      <c r="AC3917">
        <v>-0.56349999999997602</v>
      </c>
      <c r="AD3917">
        <v>-8.4283000000000094E-2</v>
      </c>
      <c r="AE3917">
        <v>1.15000000000122E-2</v>
      </c>
      <c r="AF3917">
        <v>5.2756497033584803E-3</v>
      </c>
      <c r="AG3917">
        <v>-8.4283000000000094E-2</v>
      </c>
      <c r="AH3917">
        <v>0.55126413958893805</v>
      </c>
      <c r="AI3917">
        <v>98.692268642030996</v>
      </c>
      <c r="AJ3917">
        <v>89.451690735990098</v>
      </c>
      <c r="AK3917">
        <v>0.55769490598850302</v>
      </c>
      <c r="AL3917">
        <v>68.9805644023198</v>
      </c>
      <c r="AM3917">
        <v>94.415844263423807</v>
      </c>
      <c r="AN3917">
        <v>0.99999996217940701</v>
      </c>
    </row>
    <row r="3918" spans="1:40" x14ac:dyDescent="0.25">
      <c r="A3918" t="str">
        <f>"20190304164722664"</f>
        <v>20190304164722664</v>
      </c>
      <c r="B3918" t="str">
        <f>"1551689242653278"</f>
        <v>1551689242653278</v>
      </c>
      <c r="C3918" t="s">
        <v>40</v>
      </c>
      <c r="D3918">
        <v>4.137486</v>
      </c>
      <c r="E3918">
        <v>0.54403199999999996</v>
      </c>
      <c r="F3918" t="s">
        <v>41</v>
      </c>
      <c r="G3918">
        <v>-307.43279999999999</v>
      </c>
      <c r="H3918">
        <v>1.0287440000000001</v>
      </c>
      <c r="I3918">
        <v>141.833</v>
      </c>
      <c r="J3918">
        <v>-306.90750000000003</v>
      </c>
      <c r="K3918">
        <v>1.110395</v>
      </c>
      <c r="L3918">
        <v>141.82149999999999</v>
      </c>
      <c r="M3918">
        <v>-0.99985480000000004</v>
      </c>
      <c r="N3918">
        <v>-1.317728E-2</v>
      </c>
      <c r="O3918">
        <v>1.0825420000000001E-2</v>
      </c>
      <c r="P3918">
        <v>-0.93611619999999995</v>
      </c>
      <c r="Q3918">
        <v>0.34621469999999999</v>
      </c>
      <c r="R3918">
        <v>-6.1823309999999999E-2</v>
      </c>
      <c r="S3918">
        <v>-3.3126220000000002</v>
      </c>
      <c r="T3918">
        <v>-0.28073199999999998</v>
      </c>
      <c r="U3918">
        <v>5.450439E-2</v>
      </c>
      <c r="V3918">
        <v>-7.1948880000000007E-2</v>
      </c>
      <c r="W3918">
        <v>0.35851189999999999</v>
      </c>
      <c r="X3918">
        <v>0.93074840000000003</v>
      </c>
      <c r="Y3918">
        <v>5.6298040000000004E-3</v>
      </c>
      <c r="Z3918">
        <v>-4.979572E-4</v>
      </c>
      <c r="AA3918">
        <v>0.99998399999999998</v>
      </c>
      <c r="AB3918">
        <v>45</v>
      </c>
      <c r="AC3918">
        <v>-0.52529999999995802</v>
      </c>
      <c r="AD3918">
        <v>-8.1650999999999904E-2</v>
      </c>
      <c r="AE3918">
        <v>1.15000000000122E-2</v>
      </c>
      <c r="AF3918">
        <v>5.6751899371207896E-3</v>
      </c>
      <c r="AG3918">
        <v>-8.1650999999999904E-2</v>
      </c>
      <c r="AH3918">
        <v>0.51300512853191704</v>
      </c>
      <c r="AI3918">
        <v>99.042919703926302</v>
      </c>
      <c r="AJ3918">
        <v>89.366183397652193</v>
      </c>
      <c r="AK3918">
        <v>0.51949336423276005</v>
      </c>
      <c r="AL3918">
        <v>68.991165285279706</v>
      </c>
      <c r="AM3918">
        <v>94.420297942171104</v>
      </c>
      <c r="AN3918">
        <v>1.00000000393871</v>
      </c>
    </row>
    <row r="3919" spans="1:40" x14ac:dyDescent="0.25">
      <c r="A3919" t="str">
        <f>"20190304164722687"</f>
        <v>20190304164722687</v>
      </c>
      <c r="B3919" t="str">
        <f>"1551689242682560"</f>
        <v>1551689242682560</v>
      </c>
      <c r="C3919" t="s">
        <v>40</v>
      </c>
      <c r="D3919">
        <v>4.1338400000000002</v>
      </c>
      <c r="E3919">
        <v>0.54403990000000002</v>
      </c>
      <c r="F3919" t="s">
        <v>41</v>
      </c>
      <c r="G3919">
        <v>-307.83269999999999</v>
      </c>
      <c r="H3919">
        <v>1.0316240000000001</v>
      </c>
      <c r="I3919">
        <v>141.83670000000001</v>
      </c>
      <c r="J3919">
        <v>-307.35860000000002</v>
      </c>
      <c r="K3919">
        <v>1.11042</v>
      </c>
      <c r="L3919">
        <v>141.82640000000001</v>
      </c>
      <c r="M3919">
        <v>-0.99985270000000004</v>
      </c>
      <c r="N3919">
        <v>-1.334014E-2</v>
      </c>
      <c r="O3919">
        <v>1.081622E-2</v>
      </c>
      <c r="P3919">
        <v>-0.93603899999999995</v>
      </c>
      <c r="Q3919">
        <v>0.34642590000000001</v>
      </c>
      <c r="R3919">
        <v>-6.1810179999999999E-2</v>
      </c>
      <c r="S3919">
        <v>-3.312592</v>
      </c>
      <c r="T3919">
        <v>-0.28207080000000001</v>
      </c>
      <c r="U3919">
        <v>5.3802490000000001E-2</v>
      </c>
      <c r="V3919">
        <v>-7.1927060000000001E-2</v>
      </c>
      <c r="W3919">
        <v>0.35887329999999901</v>
      </c>
      <c r="X3919">
        <v>0.93061079999999996</v>
      </c>
      <c r="Y3919">
        <v>5.4280680000000003E-3</v>
      </c>
      <c r="Z3919">
        <v>-5.0822710000000002E-4</v>
      </c>
      <c r="AA3919">
        <v>0.99998520000000002</v>
      </c>
      <c r="AB3919">
        <v>45</v>
      </c>
      <c r="AC3919">
        <v>-0.47409999999996399</v>
      </c>
      <c r="AD3919">
        <v>-7.8796000000000005E-2</v>
      </c>
      <c r="AE3919">
        <v>1.03000000000008E-2</v>
      </c>
      <c r="AF3919">
        <v>5.0320384285825097E-3</v>
      </c>
      <c r="AG3919">
        <v>-7.8796000000000005E-2</v>
      </c>
      <c r="AH3919">
        <v>0.46144331404425598</v>
      </c>
      <c r="AI3919">
        <v>99.689789205124697</v>
      </c>
      <c r="AJ3919">
        <v>89.375214403037802</v>
      </c>
      <c r="AK3919">
        <v>0.468149616151602</v>
      </c>
      <c r="AL3919">
        <v>68.968982456867195</v>
      </c>
      <c r="AM3919">
        <v>94.419613503785399</v>
      </c>
      <c r="AN3919">
        <v>1.00000000424488</v>
      </c>
    </row>
    <row r="3920" spans="1:40" x14ac:dyDescent="0.25">
      <c r="A3920" t="str">
        <f>"20190304164722710"</f>
        <v>20190304164722710</v>
      </c>
      <c r="B3920" t="str">
        <f>"1551689242703055"</f>
        <v>1551689242703055</v>
      </c>
      <c r="C3920" t="s">
        <v>40</v>
      </c>
      <c r="D3920">
        <v>4.1428770000000004</v>
      </c>
      <c r="E3920">
        <v>0.54406739999999998</v>
      </c>
      <c r="F3920" t="s">
        <v>41</v>
      </c>
      <c r="G3920">
        <v>-308.2346</v>
      </c>
      <c r="H3920">
        <v>1.0361009999999999</v>
      </c>
      <c r="I3920">
        <v>141.8409</v>
      </c>
      <c r="J3920">
        <v>-307.82810000000001</v>
      </c>
      <c r="K3920">
        <v>1.1104419999999999</v>
      </c>
      <c r="L3920">
        <v>141.83150000000001</v>
      </c>
      <c r="M3920">
        <v>-0.99985060000000003</v>
      </c>
      <c r="N3920">
        <v>-1.350433E-2</v>
      </c>
      <c r="O3920">
        <v>1.0806400000000001E-2</v>
      </c>
      <c r="P3920">
        <v>-0.93584699999999998</v>
      </c>
      <c r="Q3920">
        <v>0.34686400000000001</v>
      </c>
      <c r="R3920">
        <v>-6.2260019999999999E-2</v>
      </c>
      <c r="S3920">
        <v>-3.3125309999999999</v>
      </c>
      <c r="T3920">
        <v>-0.28112949999999998</v>
      </c>
      <c r="U3920">
        <v>5.3482059999999998E-2</v>
      </c>
      <c r="V3920">
        <v>-7.2365689999999996E-2</v>
      </c>
      <c r="W3920">
        <v>0.35946159999999999</v>
      </c>
      <c r="X3920">
        <v>0.93034969999999995</v>
      </c>
      <c r="Y3920">
        <v>5.3415509999999999E-3</v>
      </c>
      <c r="Z3920">
        <v>-5.0727949999999997E-4</v>
      </c>
      <c r="AA3920">
        <v>0.99998560000000003</v>
      </c>
      <c r="AB3920">
        <v>45</v>
      </c>
      <c r="AC3920">
        <v>-0.40649999999999398</v>
      </c>
      <c r="AD3920">
        <v>-7.4340999999999893E-2</v>
      </c>
      <c r="AE3920">
        <v>9.3999999999994002E-3</v>
      </c>
      <c r="AF3920">
        <v>4.8443163794345797E-3</v>
      </c>
      <c r="AG3920">
        <v>-7.4340999999999893E-2</v>
      </c>
      <c r="AH3920">
        <v>0.393426592918868</v>
      </c>
      <c r="AI3920">
        <v>100.699527347867</v>
      </c>
      <c r="AJ3920">
        <v>89.294544745515196</v>
      </c>
      <c r="AK3920">
        <v>0.40041795126833801</v>
      </c>
      <c r="AL3920">
        <v>68.932865267141295</v>
      </c>
      <c r="AM3920">
        <v>94.447700582782204</v>
      </c>
      <c r="AN3920">
        <v>0.99999999962691299</v>
      </c>
    </row>
    <row r="3921" spans="1:40" x14ac:dyDescent="0.25">
      <c r="A3921" t="str">
        <f>"20190304164722733"</f>
        <v>20190304164722733</v>
      </c>
      <c r="B3921" t="str">
        <f>"1551689242722574"</f>
        <v>1551689242722574</v>
      </c>
      <c r="C3921" t="s">
        <v>40</v>
      </c>
      <c r="D3921">
        <v>4.1284960000000002</v>
      </c>
      <c r="E3921">
        <v>0.54409549999999995</v>
      </c>
      <c r="F3921" t="s">
        <v>41</v>
      </c>
      <c r="G3921">
        <v>-308.64139999999998</v>
      </c>
      <c r="H3921">
        <v>1.041833</v>
      </c>
      <c r="I3921">
        <v>141.84450000000001</v>
      </c>
      <c r="J3921">
        <v>-308.2747</v>
      </c>
      <c r="K3921">
        <v>1.1104579999999999</v>
      </c>
      <c r="L3921">
        <v>141.83629999999999</v>
      </c>
      <c r="M3921">
        <v>-0.99984839999999997</v>
      </c>
      <c r="N3921">
        <v>-1.366039E-2</v>
      </c>
      <c r="O3921">
        <v>1.07971E-2</v>
      </c>
      <c r="P3921">
        <v>-0.93593570000000004</v>
      </c>
      <c r="Q3921">
        <v>0.34658660000000002</v>
      </c>
      <c r="R3921">
        <v>-6.2466870000000001E-2</v>
      </c>
      <c r="S3921">
        <v>-3.3127140000000002</v>
      </c>
      <c r="T3921">
        <v>-0.27948679999999998</v>
      </c>
      <c r="U3921">
        <v>5.2337649999999999E-2</v>
      </c>
      <c r="V3921">
        <v>-7.2565240000000003E-2</v>
      </c>
      <c r="W3921">
        <v>0.35933029999999999</v>
      </c>
      <c r="X3921">
        <v>0.93038489999999996</v>
      </c>
      <c r="Y3921">
        <v>5.0056370000000003E-3</v>
      </c>
      <c r="Z3921">
        <v>-5.1691430000000004E-4</v>
      </c>
      <c r="AA3921">
        <v>0.99998739999999997</v>
      </c>
      <c r="AB3921">
        <v>45</v>
      </c>
      <c r="AC3921">
        <v>-0.36669999999997999</v>
      </c>
      <c r="AD3921">
        <v>-6.8624999999999894E-2</v>
      </c>
      <c r="AE3921">
        <v>8.2000000000164094E-3</v>
      </c>
      <c r="AF3921">
        <v>4.0964607179376899E-3</v>
      </c>
      <c r="AG3921">
        <v>-6.8624999999999894E-2</v>
      </c>
      <c r="AH3921">
        <v>0.35436281773136902</v>
      </c>
      <c r="AI3921">
        <v>100.959371260084</v>
      </c>
      <c r="AJ3921">
        <v>89.3376859986586</v>
      </c>
      <c r="AK3921">
        <v>0.360969774643153</v>
      </c>
      <c r="AL3921">
        <v>68.940927292568603</v>
      </c>
      <c r="AM3921">
        <v>94.459747747074402</v>
      </c>
      <c r="AN3921">
        <v>1.0000000203511701</v>
      </c>
    </row>
    <row r="3922" spans="1:40" x14ac:dyDescent="0.25">
      <c r="A3922" t="str">
        <f>"20190304164722755"</f>
        <v>20190304164722755</v>
      </c>
      <c r="B3922" t="str">
        <f>"1551689242743071"</f>
        <v>1551689242743071</v>
      </c>
      <c r="C3922" t="s">
        <v>40</v>
      </c>
      <c r="D3922">
        <v>4.1685699999999999</v>
      </c>
      <c r="E3922">
        <v>0.54411009999999904</v>
      </c>
      <c r="F3922" t="s">
        <v>42</v>
      </c>
      <c r="G3922">
        <v>-321.38229999999999</v>
      </c>
      <c r="H3922" s="1">
        <v>-4.2353470000000002E-6</v>
      </c>
      <c r="I3922">
        <v>142.03890000000001</v>
      </c>
      <c r="J3922">
        <v>-308.70569999999998</v>
      </c>
      <c r="K3922">
        <v>1.1104849999999999</v>
      </c>
      <c r="L3922">
        <v>141.8409</v>
      </c>
      <c r="M3922">
        <v>-0.99984660000000003</v>
      </c>
      <c r="N3922">
        <v>-1.3814119999999999E-2</v>
      </c>
      <c r="O3922">
        <v>1.0787690000000001E-2</v>
      </c>
      <c r="P3922">
        <v>-0.9358339</v>
      </c>
      <c r="Q3922">
        <v>0.34689439999999999</v>
      </c>
      <c r="R3922">
        <v>-6.2284800000000001E-2</v>
      </c>
      <c r="S3922">
        <v>-3.3127140000000002</v>
      </c>
      <c r="T3922">
        <v>-0.28065279999999998</v>
      </c>
      <c r="U3922">
        <v>5.1223749999999998E-2</v>
      </c>
      <c r="V3922">
        <v>-7.2373480000000004E-2</v>
      </c>
      <c r="W3922">
        <v>0.35977969999999998</v>
      </c>
      <c r="X3922">
        <v>0.93022609999999994</v>
      </c>
      <c r="Y3922">
        <v>4.68016E-3</v>
      </c>
      <c r="Z3922">
        <v>-5.3312610000000001E-4</v>
      </c>
      <c r="AA3922">
        <v>0.99998889999999996</v>
      </c>
      <c r="AB3922">
        <v>44</v>
      </c>
      <c r="AC3922">
        <v>-12.676600000000001</v>
      </c>
      <c r="AD3922">
        <v>-1.1104892353469999</v>
      </c>
      <c r="AE3922">
        <v>0.198000000000007</v>
      </c>
      <c r="AF3922">
        <v>6.0758079422145797E-2</v>
      </c>
      <c r="AG3922">
        <v>-1.1104892353469999</v>
      </c>
      <c r="AH3922">
        <v>12.5814714290208</v>
      </c>
      <c r="AI3922">
        <v>95.044016625293096</v>
      </c>
      <c r="AJ3922">
        <v>89.723311022815906</v>
      </c>
      <c r="AK3922">
        <v>12.630530519550801</v>
      </c>
      <c r="AL3922">
        <v>68.913332183823101</v>
      </c>
      <c r="AM3922">
        <v>94.448766107061303</v>
      </c>
      <c r="AN3922">
        <v>0.99999997513030403</v>
      </c>
    </row>
    <row r="3923" spans="1:40" x14ac:dyDescent="0.25">
      <c r="A3923" t="str">
        <f>"20190304164722778"</f>
        <v>20190304164722778</v>
      </c>
      <c r="B3923" t="str">
        <f>"1551689242773328"</f>
        <v>1551689242773328</v>
      </c>
      <c r="C3923" t="s">
        <v>40</v>
      </c>
      <c r="D3923">
        <v>4.1763379999999897</v>
      </c>
      <c r="E3923">
        <v>0.54411369999999903</v>
      </c>
      <c r="F3923" t="s">
        <v>41</v>
      </c>
      <c r="G3923">
        <v>-309.81279999999998</v>
      </c>
      <c r="H3923">
        <v>1.017075</v>
      </c>
      <c r="I3923">
        <v>141.85830000000001</v>
      </c>
      <c r="J3923">
        <v>-309.149</v>
      </c>
      <c r="K3923">
        <v>1.110511</v>
      </c>
      <c r="L3923">
        <v>141.84569999999999</v>
      </c>
      <c r="M3923">
        <v>-0.99984439999999997</v>
      </c>
      <c r="N3923">
        <v>-1.397281E-2</v>
      </c>
      <c r="O3923">
        <v>1.0777989999999999E-2</v>
      </c>
      <c r="P3923">
        <v>-0.93583910000000003</v>
      </c>
      <c r="Q3923">
        <v>0.3468946</v>
      </c>
      <c r="R3923">
        <v>-6.2208180000000002E-2</v>
      </c>
      <c r="S3923">
        <v>-3.3127439999999999</v>
      </c>
      <c r="T3923">
        <v>-0.27963919999999998</v>
      </c>
      <c r="U3923">
        <v>5.096436E-2</v>
      </c>
      <c r="V3923">
        <v>-7.2287439999999994E-2</v>
      </c>
      <c r="W3923">
        <v>0.35992790000000002</v>
      </c>
      <c r="X3923">
        <v>0.93017550000000004</v>
      </c>
      <c r="Y3923">
        <v>4.6114140000000003E-3</v>
      </c>
      <c r="Z3923">
        <v>-5.3116190000000003E-4</v>
      </c>
      <c r="AA3923">
        <v>0.99998920000000002</v>
      </c>
      <c r="AB3923">
        <v>44</v>
      </c>
      <c r="AC3923">
        <v>-0.66379999999997996</v>
      </c>
      <c r="AD3923">
        <v>-9.3436000000000005E-2</v>
      </c>
      <c r="AE3923">
        <v>1.26000000000203E-2</v>
      </c>
      <c r="AF3923">
        <v>5.3384078468736804E-3</v>
      </c>
      <c r="AG3923">
        <v>-9.3436000000000005E-2</v>
      </c>
      <c r="AH3923">
        <v>0.65100345520690095</v>
      </c>
      <c r="AI3923">
        <v>98.167390907295896</v>
      </c>
      <c r="AJ3923">
        <v>89.530169339674401</v>
      </c>
      <c r="AK3923">
        <v>0.65769619383546896</v>
      </c>
      <c r="AL3923">
        <v>68.904232125772594</v>
      </c>
      <c r="AM3923">
        <v>94.443739210521997</v>
      </c>
      <c r="AN3923">
        <v>1.0000000139902001</v>
      </c>
    </row>
    <row r="3924" spans="1:40" x14ac:dyDescent="0.25">
      <c r="A3924" t="str">
        <f>"20190304164722798"</f>
        <v>20190304164722798</v>
      </c>
      <c r="B3924" t="str">
        <f>"1551689242792847"</f>
        <v>1551689242792847</v>
      </c>
      <c r="C3924" t="s">
        <v>40</v>
      </c>
      <c r="D3924">
        <v>4.191141</v>
      </c>
      <c r="E3924">
        <v>0.54412680000000002</v>
      </c>
      <c r="F3924" t="s">
        <v>41</v>
      </c>
      <c r="G3924">
        <v>-310.21080000000001</v>
      </c>
      <c r="H3924">
        <v>1.0206999999999999</v>
      </c>
      <c r="I3924">
        <v>141.86170000000001</v>
      </c>
      <c r="J3924">
        <v>-309.58390000000003</v>
      </c>
      <c r="K3924">
        <v>1.110533</v>
      </c>
      <c r="L3924">
        <v>141.85040000000001</v>
      </c>
      <c r="M3924">
        <v>-0.99984240000000002</v>
      </c>
      <c r="N3924">
        <v>-1.412209E-2</v>
      </c>
      <c r="O3924">
        <v>1.076888E-2</v>
      </c>
      <c r="P3924">
        <v>-0.93581579999999998</v>
      </c>
      <c r="Q3924">
        <v>0.34695320000000002</v>
      </c>
      <c r="R3924">
        <v>-6.2230710000000002E-2</v>
      </c>
      <c r="S3924">
        <v>-3.312897</v>
      </c>
      <c r="T3924">
        <v>-0.28012379999999998</v>
      </c>
      <c r="U3924">
        <v>5.0277710000000003E-2</v>
      </c>
      <c r="V3924">
        <v>-7.2301509999999999E-2</v>
      </c>
      <c r="W3924">
        <v>0.36012499999999997</v>
      </c>
      <c r="X3924">
        <v>0.93009810000000004</v>
      </c>
      <c r="Y3924">
        <v>4.413284E-3</v>
      </c>
      <c r="Z3924">
        <v>-5.3953409999999997E-4</v>
      </c>
      <c r="AA3924">
        <v>0.99999009999999999</v>
      </c>
      <c r="AB3924">
        <v>44</v>
      </c>
      <c r="AC3924">
        <v>-0.62689999999997703</v>
      </c>
      <c r="AD3924">
        <v>-8.9832999999999996E-2</v>
      </c>
      <c r="AE3924">
        <v>1.1300000000005601E-2</v>
      </c>
      <c r="AF3924">
        <v>4.4561872437738599E-3</v>
      </c>
      <c r="AG3924">
        <v>-8.9832999999999996E-2</v>
      </c>
      <c r="AH3924">
        <v>0.61437383730751705</v>
      </c>
      <c r="AI3924">
        <v>98.318553240486196</v>
      </c>
      <c r="AJ3924">
        <v>89.584428520516198</v>
      </c>
      <c r="AK3924">
        <v>0.620922730669215</v>
      </c>
      <c r="AL3924">
        <v>68.892127097096406</v>
      </c>
      <c r="AM3924">
        <v>94.444969057182306</v>
      </c>
      <c r="AN3924">
        <v>0.99999999979844501</v>
      </c>
    </row>
    <row r="3925" spans="1:40" x14ac:dyDescent="0.25">
      <c r="A3925" t="str">
        <f>"20190304164722823"</f>
        <v>20190304164722823</v>
      </c>
      <c r="B3925" t="str">
        <f>"1551689242813343"</f>
        <v>1551689242813343</v>
      </c>
      <c r="C3925" t="s">
        <v>40</v>
      </c>
      <c r="D3925">
        <v>4.2108610000000004</v>
      </c>
      <c r="E3925">
        <v>0.54411889999999996</v>
      </c>
      <c r="F3925" t="s">
        <v>41</v>
      </c>
      <c r="G3925">
        <v>-310.60820000000001</v>
      </c>
      <c r="H3925">
        <v>1.0238259999999999</v>
      </c>
      <c r="I3925">
        <v>141.86609999999999</v>
      </c>
      <c r="J3925">
        <v>-310.05900000000003</v>
      </c>
      <c r="K3925">
        <v>1.1105510000000001</v>
      </c>
      <c r="L3925">
        <v>141.85550000000001</v>
      </c>
      <c r="M3925">
        <v>-0.99984030000000002</v>
      </c>
      <c r="N3925">
        <v>-1.4276280000000001E-2</v>
      </c>
      <c r="O3925">
        <v>1.0759070000000001E-2</v>
      </c>
      <c r="P3925">
        <v>-0.93573450000000002</v>
      </c>
      <c r="Q3925">
        <v>0.34720000000000001</v>
      </c>
      <c r="R3925">
        <v>-6.2076350000000002E-2</v>
      </c>
      <c r="S3925">
        <v>-3.3130799999999998</v>
      </c>
      <c r="T3925">
        <v>-0.28048440000000002</v>
      </c>
      <c r="U3925">
        <v>5.0064089999999999E-2</v>
      </c>
      <c r="V3925">
        <v>-7.2137300000000001E-2</v>
      </c>
      <c r="W3925">
        <v>0.36051420000000001</v>
      </c>
      <c r="X3925">
        <v>0.92996009999999996</v>
      </c>
      <c r="Y3925">
        <v>4.3578699999999998E-3</v>
      </c>
      <c r="Z3925">
        <v>-5.4047109999999998E-4</v>
      </c>
      <c r="AA3925">
        <v>0.9999903</v>
      </c>
      <c r="AB3925">
        <v>44</v>
      </c>
      <c r="AC3925">
        <v>-0.54919999999998403</v>
      </c>
      <c r="AD3925">
        <v>-8.6724999999999899E-2</v>
      </c>
      <c r="AE3925">
        <v>1.05999999999824E-2</v>
      </c>
      <c r="AF3925">
        <v>4.5758425108690303E-3</v>
      </c>
      <c r="AG3925">
        <v>-8.6724999999999899E-2</v>
      </c>
      <c r="AH3925">
        <v>0.53592342942294202</v>
      </c>
      <c r="AI3925">
        <v>99.191788947640305</v>
      </c>
      <c r="AJ3925">
        <v>89.510806808486706</v>
      </c>
      <c r="AK3925">
        <v>0.54291443724046495</v>
      </c>
      <c r="AL3925">
        <v>68.868222572994398</v>
      </c>
      <c r="AM3925">
        <v>94.435569523196705</v>
      </c>
      <c r="AN3925">
        <v>1.0000000330224601</v>
      </c>
    </row>
    <row r="3926" spans="1:40" x14ac:dyDescent="0.25">
      <c r="A3926" t="str">
        <f>"20190304164722843"</f>
        <v>20190304164722843</v>
      </c>
      <c r="B3926" t="str">
        <f>"1551689242832863"</f>
        <v>1551689242832863</v>
      </c>
      <c r="C3926" t="s">
        <v>40</v>
      </c>
      <c r="D3926">
        <v>4.1952569999999998</v>
      </c>
      <c r="E3926">
        <v>0.54413429999999996</v>
      </c>
      <c r="F3926" t="s">
        <v>41</v>
      </c>
      <c r="G3926">
        <v>-311.0068</v>
      </c>
      <c r="H3926">
        <v>1.0304719999999901</v>
      </c>
      <c r="I3926">
        <v>141.87049999999999</v>
      </c>
      <c r="J3926">
        <v>-310.46159999999998</v>
      </c>
      <c r="K3926">
        <v>1.1105659999999999</v>
      </c>
      <c r="L3926">
        <v>141.85980000000001</v>
      </c>
      <c r="M3926">
        <v>-0.99983849999999996</v>
      </c>
      <c r="N3926">
        <v>-1.440045E-2</v>
      </c>
      <c r="O3926">
        <v>1.0750300000000001E-2</v>
      </c>
      <c r="P3926">
        <v>-0.9357086</v>
      </c>
      <c r="Q3926">
        <v>0.34722710000000001</v>
      </c>
      <c r="R3926">
        <v>-6.2312949999999999E-2</v>
      </c>
      <c r="S3926">
        <v>-3.3133240000000002</v>
      </c>
      <c r="T3926">
        <v>-0.2799914</v>
      </c>
      <c r="U3926">
        <v>5.1773069999999997E-2</v>
      </c>
      <c r="V3926">
        <v>-7.2365399999999996E-2</v>
      </c>
      <c r="W3926">
        <v>0.36065649999999999</v>
      </c>
      <c r="X3926">
        <v>0.92988720000000002</v>
      </c>
      <c r="Y3926">
        <v>4.8788049999999999E-3</v>
      </c>
      <c r="Z3926">
        <v>-5.1119559999999997E-4</v>
      </c>
      <c r="AA3926">
        <v>0.99998799999999999</v>
      </c>
      <c r="AB3926">
        <v>44</v>
      </c>
      <c r="AC3926">
        <v>-0.545200000000022</v>
      </c>
      <c r="AD3926">
        <v>-8.0094000000000096E-2</v>
      </c>
      <c r="AE3926">
        <v>1.06999999999857E-2</v>
      </c>
      <c r="AF3926">
        <v>4.7355476629073797E-3</v>
      </c>
      <c r="AG3926">
        <v>-8.0094000000000096E-2</v>
      </c>
      <c r="AH3926">
        <v>0.53376826781105102</v>
      </c>
      <c r="AI3926">
        <v>98.533453906103503</v>
      </c>
      <c r="AJ3926">
        <v>89.4916899473603</v>
      </c>
      <c r="AK3926">
        <v>0.53976479875004602</v>
      </c>
      <c r="AL3926">
        <v>68.859481335974905</v>
      </c>
      <c r="AM3926">
        <v>94.449886101361699</v>
      </c>
      <c r="AN3926">
        <v>1.0000000334166199</v>
      </c>
    </row>
    <row r="3927" spans="1:40" x14ac:dyDescent="0.25">
      <c r="A3927" t="str">
        <f>"20190304164722866"</f>
        <v>20190304164722866</v>
      </c>
      <c r="B3927" t="str">
        <f>"1551689242853359"</f>
        <v>1551689242853359</v>
      </c>
      <c r="C3927" t="s">
        <v>40</v>
      </c>
      <c r="D3927">
        <v>4.2318600000000002</v>
      </c>
      <c r="E3927">
        <v>0.54412569999999905</v>
      </c>
      <c r="F3927" t="s">
        <v>41</v>
      </c>
      <c r="G3927">
        <v>-311.40210000000002</v>
      </c>
      <c r="H3927">
        <v>1.031083</v>
      </c>
      <c r="I3927">
        <v>141.875</v>
      </c>
      <c r="J3927">
        <v>-310.8954</v>
      </c>
      <c r="K3927">
        <v>1.110579</v>
      </c>
      <c r="L3927">
        <v>141.86449999999999</v>
      </c>
      <c r="M3927">
        <v>-0.99983699999999998</v>
      </c>
      <c r="N3927">
        <v>-1.452618E-2</v>
      </c>
      <c r="O3927">
        <v>1.073912E-2</v>
      </c>
      <c r="P3927">
        <v>-0.93572929999999999</v>
      </c>
      <c r="Q3927">
        <v>0.3471554</v>
      </c>
      <c r="R3927">
        <v>-6.2402020000000002E-2</v>
      </c>
      <c r="S3927">
        <v>-3.3135379999999999</v>
      </c>
      <c r="T3927">
        <v>-0.28015079999999998</v>
      </c>
      <c r="U3927">
        <v>5.2032469999999997E-2</v>
      </c>
      <c r="V3927">
        <v>-7.2445179999999998E-2</v>
      </c>
      <c r="W3927">
        <v>0.36070140000000001</v>
      </c>
      <c r="X3927">
        <v>0.92986349999999995</v>
      </c>
      <c r="Y3927">
        <v>4.9667269999999998E-3</v>
      </c>
      <c r="Z3927">
        <v>-5.0475849999999996E-4</v>
      </c>
      <c r="AA3927">
        <v>0.99998750000000003</v>
      </c>
      <c r="AB3927">
        <v>44</v>
      </c>
      <c r="AC3927">
        <v>-0.50670000000002302</v>
      </c>
      <c r="AD3927">
        <v>-7.9495999999999997E-2</v>
      </c>
      <c r="AE3927">
        <v>1.05000000000075E-2</v>
      </c>
      <c r="AF3927">
        <v>4.9358679350614597E-3</v>
      </c>
      <c r="AG3927">
        <v>-7.9495999999999997E-2</v>
      </c>
      <c r="AH3927">
        <v>0.49461415640054102</v>
      </c>
      <c r="AI3927">
        <v>99.130230813932499</v>
      </c>
      <c r="AJ3927">
        <v>89.428251274005802</v>
      </c>
      <c r="AK3927">
        <v>0.50098616799278095</v>
      </c>
      <c r="AL3927">
        <v>68.856721612618998</v>
      </c>
      <c r="AM3927">
        <v>94.454885273572501</v>
      </c>
      <c r="AN3927">
        <v>0.99999996634971999</v>
      </c>
    </row>
    <row r="3928" spans="1:40" x14ac:dyDescent="0.25">
      <c r="A3928" t="str">
        <f>"20190304164722889"</f>
        <v>20190304164722889</v>
      </c>
      <c r="B3928" t="str">
        <f>"1551689242882639"</f>
        <v>1551689242882639</v>
      </c>
      <c r="C3928" t="s">
        <v>40</v>
      </c>
      <c r="D3928">
        <v>4.2659729999999998</v>
      </c>
      <c r="E3928">
        <v>0.54347900000000005</v>
      </c>
      <c r="F3928" t="s">
        <v>41</v>
      </c>
      <c r="G3928">
        <v>-311.79899999999998</v>
      </c>
      <c r="H3928">
        <v>1.0340469999999999</v>
      </c>
      <c r="I3928">
        <v>141.87860000000001</v>
      </c>
      <c r="J3928">
        <v>-311.34870000000001</v>
      </c>
      <c r="K3928">
        <v>1.1105969999999901</v>
      </c>
      <c r="L3928">
        <v>141.86940000000001</v>
      </c>
      <c r="M3928">
        <v>-0.99983540000000004</v>
      </c>
      <c r="N3928">
        <v>-1.464609E-2</v>
      </c>
      <c r="O3928">
        <v>1.0722260000000001E-2</v>
      </c>
      <c r="P3928">
        <v>-0.93585799999999997</v>
      </c>
      <c r="Q3928">
        <v>0.34675400000000001</v>
      </c>
      <c r="R3928">
        <v>-6.2706349999999994E-2</v>
      </c>
      <c r="S3928">
        <v>-3.3136290000000002</v>
      </c>
      <c r="T3928">
        <v>-0.28060849999999998</v>
      </c>
      <c r="U3928">
        <v>5.1757810000000001E-2</v>
      </c>
      <c r="V3928">
        <v>-7.27381E-2</v>
      </c>
      <c r="W3928">
        <v>0.36041279999999998</v>
      </c>
      <c r="X3928">
        <v>0.92995260000000002</v>
      </c>
      <c r="Y3928">
        <v>4.9004269999999997E-3</v>
      </c>
      <c r="Z3928">
        <v>-5.0640050000000001E-4</v>
      </c>
      <c r="AA3928">
        <v>0.99998779999999998</v>
      </c>
      <c r="AB3928">
        <v>44</v>
      </c>
      <c r="AC3928">
        <v>-0.45030000000002701</v>
      </c>
      <c r="AD3928">
        <v>-7.6549999999999896E-2</v>
      </c>
      <c r="AE3928">
        <v>9.1999999999927695E-3</v>
      </c>
      <c r="AF3928">
        <v>4.2480071673899897E-3</v>
      </c>
      <c r="AG3928">
        <v>-7.6549999999999896E-2</v>
      </c>
      <c r="AH3928">
        <v>0.43772803278383599</v>
      </c>
      <c r="AI3928">
        <v>99.919131823372993</v>
      </c>
      <c r="AJ3928">
        <v>89.443980683739397</v>
      </c>
      <c r="AK3928">
        <v>0.444391470158576</v>
      </c>
      <c r="AL3928">
        <v>68.874450974219599</v>
      </c>
      <c r="AM3928">
        <v>94.472398103953395</v>
      </c>
      <c r="AN3928">
        <v>1.0000000279211001</v>
      </c>
    </row>
    <row r="3929" spans="1:40" x14ac:dyDescent="0.25">
      <c r="A3929" t="str">
        <f>"20190304164722911"</f>
        <v>20190304164722911</v>
      </c>
      <c r="B3929" t="str">
        <f>"1551689242903134"</f>
        <v>1551689242903134</v>
      </c>
      <c r="C3929" t="s">
        <v>40</v>
      </c>
      <c r="D3929">
        <v>4.3033809999999999</v>
      </c>
      <c r="E3929">
        <v>0.54304839999999999</v>
      </c>
      <c r="F3929" t="s">
        <v>41</v>
      </c>
      <c r="G3929">
        <v>-312.19659999999999</v>
      </c>
      <c r="H3929">
        <v>1.0376939999999999</v>
      </c>
      <c r="I3929">
        <v>141.881</v>
      </c>
      <c r="J3929">
        <v>-311.80450000000002</v>
      </c>
      <c r="K3929">
        <v>1.1106020000000001</v>
      </c>
      <c r="L3929">
        <v>141.8742</v>
      </c>
      <c r="M3929">
        <v>-0.999834</v>
      </c>
      <c r="N3929">
        <v>-1.475359E-2</v>
      </c>
      <c r="O3929">
        <v>1.06947E-2</v>
      </c>
      <c r="P3929">
        <v>-0.93592209999999998</v>
      </c>
      <c r="Q3929">
        <v>0.34649679999999999</v>
      </c>
      <c r="R3929">
        <v>-6.3165429999999995E-2</v>
      </c>
      <c r="S3929">
        <v>-3.3141479999999999</v>
      </c>
      <c r="T3929">
        <v>-0.28502640000000001</v>
      </c>
      <c r="U3929">
        <v>4.426575E-2</v>
      </c>
      <c r="V3929">
        <v>-7.3177880000000001E-2</v>
      </c>
      <c r="W3929">
        <v>0.3602553</v>
      </c>
      <c r="X3929">
        <v>0.92997909999999995</v>
      </c>
      <c r="Y3929">
        <v>2.675247E-3</v>
      </c>
      <c r="Z3929">
        <v>-6.2585780000000001E-4</v>
      </c>
      <c r="AA3929">
        <v>0.9999962</v>
      </c>
      <c r="AB3929">
        <v>44</v>
      </c>
      <c r="AC3929">
        <v>-0.39209999999996997</v>
      </c>
      <c r="AD3929">
        <v>-7.2907999999999903E-2</v>
      </c>
      <c r="AE3929">
        <v>6.7999999999983603E-3</v>
      </c>
      <c r="AF3929">
        <v>2.51870587831421E-3</v>
      </c>
      <c r="AG3929">
        <v>-7.2907999999999903E-2</v>
      </c>
      <c r="AH3929">
        <v>0.37904879717988199</v>
      </c>
      <c r="AI3929">
        <v>100.88733323375401</v>
      </c>
      <c r="AJ3929">
        <v>89.619286240067296</v>
      </c>
      <c r="AK3929">
        <v>0.38600506601185602</v>
      </c>
      <c r="AL3929">
        <v>68.884124412743802</v>
      </c>
      <c r="AM3929">
        <v>94.499200176988793</v>
      </c>
      <c r="AN3929">
        <v>1.0000000048680899</v>
      </c>
    </row>
    <row r="3930" spans="1:40" x14ac:dyDescent="0.25">
      <c r="A3930" t="str">
        <f>"20190304164722932"</f>
        <v>20190304164722932</v>
      </c>
      <c r="B3930" t="str">
        <f>"1551689242922658"</f>
        <v>1551689242922658</v>
      </c>
      <c r="C3930" t="s">
        <v>40</v>
      </c>
      <c r="D3930">
        <v>4.279566</v>
      </c>
      <c r="E3930">
        <v>0.54263600000000001</v>
      </c>
      <c r="F3930" t="s">
        <v>42</v>
      </c>
      <c r="G3930">
        <v>-324.56599999999997</v>
      </c>
      <c r="H3930" s="1">
        <v>-2.9532989999999999E-6</v>
      </c>
      <c r="I3930">
        <v>142.02099999999999</v>
      </c>
      <c r="J3930">
        <v>-312.21749999999997</v>
      </c>
      <c r="K3930">
        <v>1.1106229999999999</v>
      </c>
      <c r="L3930">
        <v>141.87860000000001</v>
      </c>
      <c r="M3930">
        <v>-0.99983310000000003</v>
      </c>
      <c r="N3930">
        <v>-1.4839410000000001E-2</v>
      </c>
      <c r="O3930">
        <v>1.0655609999999999E-2</v>
      </c>
      <c r="P3930">
        <v>-0.93596849999999998</v>
      </c>
      <c r="Q3930">
        <v>0.34636359999999999</v>
      </c>
      <c r="R3930">
        <v>-6.3209290000000001E-2</v>
      </c>
      <c r="S3930">
        <v>-3.3147579999999999</v>
      </c>
      <c r="T3930">
        <v>-0.28847889999999998</v>
      </c>
      <c r="U3930">
        <v>3.8131709999999999E-2</v>
      </c>
      <c r="V3930">
        <v>-7.3194590000000004E-2</v>
      </c>
      <c r="W3930">
        <v>0.36020099999999999</v>
      </c>
      <c r="X3930">
        <v>0.92999880000000001</v>
      </c>
      <c r="Y3930">
        <v>8.6997820000000005E-4</v>
      </c>
      <c r="Z3930">
        <v>-7.2339850000000005E-4</v>
      </c>
      <c r="AA3930">
        <v>0.99999930000000004</v>
      </c>
      <c r="AB3930">
        <v>44</v>
      </c>
      <c r="AC3930">
        <v>-12.3485</v>
      </c>
      <c r="AD3930">
        <v>-1.1106259532989999</v>
      </c>
      <c r="AE3930">
        <v>0.14240000000000899</v>
      </c>
      <c r="AF3930">
        <v>1.07099981641959E-2</v>
      </c>
      <c r="AG3930">
        <v>-1.1106259532989999</v>
      </c>
      <c r="AH3930">
        <v>12.2502345171941</v>
      </c>
      <c r="AI3930">
        <v>95.180363096524005</v>
      </c>
      <c r="AJ3930">
        <v>89.9499080988044</v>
      </c>
      <c r="AK3930">
        <v>12.300481715707599</v>
      </c>
      <c r="AL3930">
        <v>68.887459106885899</v>
      </c>
      <c r="AM3930">
        <v>94.500128403422195</v>
      </c>
      <c r="AN3930">
        <v>0.99999998820385305</v>
      </c>
    </row>
    <row r="3931" spans="1:40" x14ac:dyDescent="0.25">
      <c r="A3931" t="str">
        <f>"20190304164722967"</f>
        <v>20190304164722967</v>
      </c>
      <c r="B3931" t="str">
        <f>"1551689242962670"</f>
        <v>1551689242962670</v>
      </c>
      <c r="C3931" t="s">
        <v>40</v>
      </c>
      <c r="D3931">
        <v>4.9203099999999997</v>
      </c>
      <c r="E3931">
        <v>0.54186060000000003</v>
      </c>
      <c r="F3931" t="s">
        <v>42</v>
      </c>
      <c r="G3931">
        <v>-324.85599999999999</v>
      </c>
      <c r="H3931" s="1">
        <v>-2.8249510000000002E-6</v>
      </c>
      <c r="I3931">
        <v>142.00630000000001</v>
      </c>
      <c r="J3931">
        <v>-312.88350000000003</v>
      </c>
      <c r="K3931">
        <v>1.1106640000000001</v>
      </c>
      <c r="L3931">
        <v>141.88560000000001</v>
      </c>
      <c r="M3931">
        <v>-0.99983259999999996</v>
      </c>
      <c r="N3931">
        <v>-1.4955899999999999E-2</v>
      </c>
      <c r="O3931">
        <v>1.055302E-2</v>
      </c>
      <c r="P3931">
        <v>-0.93557290000000004</v>
      </c>
      <c r="Q3931">
        <v>0.34759889999999999</v>
      </c>
      <c r="R3931">
        <v>-6.2276079999999998E-2</v>
      </c>
      <c r="S3931">
        <v>-3.315277</v>
      </c>
      <c r="T3931">
        <v>-0.29133559999999997</v>
      </c>
      <c r="U3931">
        <v>3.3508299999999998E-2</v>
      </c>
      <c r="V3931">
        <v>-7.2183010000000006E-2</v>
      </c>
      <c r="W3931">
        <v>0.36153429999999998</v>
      </c>
      <c r="X3931">
        <v>0.92956039999999995</v>
      </c>
      <c r="Y3931">
        <v>-4.1761769999999998E-4</v>
      </c>
      <c r="Z3931">
        <v>-7.8938879999999997E-4</v>
      </c>
      <c r="AA3931">
        <v>0.99999959999999999</v>
      </c>
      <c r="AB3931">
        <v>44</v>
      </c>
      <c r="AC3931">
        <v>-11.972499999999901</v>
      </c>
      <c r="AD3931">
        <v>-1.1106668249510001</v>
      </c>
      <c r="AE3931">
        <v>0.120699999999999</v>
      </c>
      <c r="AF3931">
        <v>-5.6185224628180304E-3</v>
      </c>
      <c r="AG3931">
        <v>-1.1106668249510001</v>
      </c>
      <c r="AH3931">
        <v>11.8709567937349</v>
      </c>
      <c r="AI3931">
        <v>95.345129111865802</v>
      </c>
      <c r="AJ3931">
        <v>90.027118083721007</v>
      </c>
      <c r="AK3931">
        <v>11.922802840044</v>
      </c>
      <c r="AL3931">
        <v>68.805547140375495</v>
      </c>
      <c r="AM3931">
        <v>94.440269723223295</v>
      </c>
      <c r="AN3931">
        <v>0.99999998712865401</v>
      </c>
    </row>
    <row r="3932" spans="1:40" x14ac:dyDescent="0.25">
      <c r="A3932" t="str">
        <f>"20190304164722989"</f>
        <v>20190304164722989</v>
      </c>
      <c r="B3932" t="str">
        <f>"1551689242983167"</f>
        <v>1551689242983167</v>
      </c>
      <c r="C3932" t="s">
        <v>40</v>
      </c>
      <c r="D3932">
        <v>4.3295820000000003</v>
      </c>
      <c r="E3932">
        <v>0.54150769999999904</v>
      </c>
      <c r="F3932" t="s">
        <v>41</v>
      </c>
      <c r="G3932">
        <v>-313.76519999999999</v>
      </c>
      <c r="H3932">
        <v>1.033461</v>
      </c>
      <c r="I3932">
        <v>141.8938</v>
      </c>
      <c r="J3932">
        <v>-313.3451</v>
      </c>
      <c r="K3932">
        <v>1.110695</v>
      </c>
      <c r="L3932">
        <v>141.8904</v>
      </c>
      <c r="M3932">
        <v>-0.99983259999999996</v>
      </c>
      <c r="N3932">
        <v>-1.502394E-2</v>
      </c>
      <c r="O3932">
        <v>1.045336E-2</v>
      </c>
      <c r="P3932">
        <v>-0.93549459999999995</v>
      </c>
      <c r="Q3932">
        <v>0.34791709999999998</v>
      </c>
      <c r="R3932">
        <v>-6.167541E-2</v>
      </c>
      <c r="S3932">
        <v>-3.3164980000000002</v>
      </c>
      <c r="T3932">
        <v>-0.29047849999999997</v>
      </c>
      <c r="U3932">
        <v>2.9541020000000001E-2</v>
      </c>
      <c r="V3932">
        <v>-7.1506449999999999E-2</v>
      </c>
      <c r="W3932">
        <v>0.36191129999999999</v>
      </c>
      <c r="X3932">
        <v>0.92946600000000001</v>
      </c>
      <c r="Y3932">
        <v>-1.5134219999999999E-3</v>
      </c>
      <c r="Z3932">
        <v>-8.3450929999999998E-4</v>
      </c>
      <c r="AA3932">
        <v>0.99999850000000001</v>
      </c>
      <c r="AB3932">
        <v>44</v>
      </c>
      <c r="AC3932">
        <v>-0.42009999999998998</v>
      </c>
      <c r="AD3932">
        <v>-7.7233999999999997E-2</v>
      </c>
      <c r="AE3932">
        <v>3.3999999999991802E-3</v>
      </c>
      <c r="AF3932">
        <v>-9.5970213198609804E-4</v>
      </c>
      <c r="AG3932">
        <v>-7.7233999999999997E-2</v>
      </c>
      <c r="AH3932">
        <v>0.40637806626385398</v>
      </c>
      <c r="AI3932">
        <v>100.76095426734599</v>
      </c>
      <c r="AJ3932">
        <v>90.135309417742405</v>
      </c>
      <c r="AK3932">
        <v>0.413653411111925</v>
      </c>
      <c r="AL3932">
        <v>68.782378090344693</v>
      </c>
      <c r="AM3932">
        <v>94.399260891777004</v>
      </c>
      <c r="AN3932">
        <v>1.0000000033076399</v>
      </c>
    </row>
    <row r="3933" spans="1:40" x14ac:dyDescent="0.25">
      <c r="A3933" t="str">
        <f>"20190304164723012"</f>
        <v>20190304164723012</v>
      </c>
      <c r="B3933" t="str">
        <f>"1551689243002687"</f>
        <v>1551689243002687</v>
      </c>
      <c r="C3933" t="s">
        <v>40</v>
      </c>
      <c r="D3933">
        <v>4.3329950000000004</v>
      </c>
      <c r="E3933">
        <v>0.5411667</v>
      </c>
      <c r="F3933" t="s">
        <v>41</v>
      </c>
      <c r="G3933">
        <v>-314.1619</v>
      </c>
      <c r="H3933">
        <v>1.039004</v>
      </c>
      <c r="I3933">
        <v>141.89789999999999</v>
      </c>
      <c r="J3933">
        <v>-313.7808</v>
      </c>
      <c r="K3933">
        <v>1.110725</v>
      </c>
      <c r="L3933">
        <v>141.89490000000001</v>
      </c>
      <c r="M3933">
        <v>-0.99983299999999997</v>
      </c>
      <c r="N3933">
        <v>-1.507933E-2</v>
      </c>
      <c r="O3933">
        <v>1.033801E-2</v>
      </c>
      <c r="P3933">
        <v>-0.9355388</v>
      </c>
      <c r="Q3933">
        <v>0.34790349999999998</v>
      </c>
      <c r="R3933">
        <v>-6.1079189999999998E-2</v>
      </c>
      <c r="S3933">
        <v>-3.3171080000000002</v>
      </c>
      <c r="T3933">
        <v>-0.29125050000000002</v>
      </c>
      <c r="U3933">
        <v>2.919006E-2</v>
      </c>
      <c r="V3933">
        <v>-7.0820170000000002E-2</v>
      </c>
      <c r="W3933">
        <v>0.36194730000000003</v>
      </c>
      <c r="X3933">
        <v>0.92950460000000001</v>
      </c>
      <c r="Y3933">
        <v>-1.505677E-3</v>
      </c>
      <c r="Z3933">
        <v>-8.2762069999999996E-4</v>
      </c>
      <c r="AA3933">
        <v>0.99999850000000001</v>
      </c>
      <c r="AB3933">
        <v>44</v>
      </c>
      <c r="AC3933">
        <v>-0.38110000000000299</v>
      </c>
      <c r="AD3933">
        <v>-7.1720999999999896E-2</v>
      </c>
      <c r="AE3933">
        <v>2.9999999999858998E-3</v>
      </c>
      <c r="AF3933">
        <v>-9.0825741883135305E-4</v>
      </c>
      <c r="AG3933">
        <v>-7.1720999999999896E-2</v>
      </c>
      <c r="AH3933">
        <v>0.368075244149418</v>
      </c>
      <c r="AI3933">
        <v>101.02612724063999</v>
      </c>
      <c r="AJ3933">
        <v>90.141381991904794</v>
      </c>
      <c r="AK3933">
        <v>0.374998816169055</v>
      </c>
      <c r="AL3933">
        <v>68.780166985680495</v>
      </c>
      <c r="AM3933">
        <v>94.3570223123657</v>
      </c>
      <c r="AN3933">
        <v>1.00000007293863</v>
      </c>
    </row>
    <row r="3934" spans="1:40" x14ac:dyDescent="0.25">
      <c r="A3934" t="str">
        <f>"20190304164723032"</f>
        <v>20190304164723032</v>
      </c>
      <c r="B3934" t="str">
        <f>"1551689243023183"</f>
        <v>1551689243023183</v>
      </c>
      <c r="C3934" t="s">
        <v>40</v>
      </c>
      <c r="D3934">
        <v>4.3129609999999996</v>
      </c>
      <c r="E3934">
        <v>0.54083809999999999</v>
      </c>
      <c r="F3934" t="s">
        <v>42</v>
      </c>
      <c r="G3934">
        <v>-326.35169999999999</v>
      </c>
      <c r="H3934" s="1">
        <v>-2.1833879999999998E-6</v>
      </c>
      <c r="I3934">
        <v>142.00649999999999</v>
      </c>
      <c r="J3934">
        <v>-314.17779999999999</v>
      </c>
      <c r="K3934">
        <v>1.1107479999999901</v>
      </c>
      <c r="L3934">
        <v>141.8989</v>
      </c>
      <c r="M3934">
        <v>-0.99983359999999999</v>
      </c>
      <c r="N3934">
        <v>-1.5122979999999999E-2</v>
      </c>
      <c r="O3934">
        <v>1.0216609999999999E-2</v>
      </c>
      <c r="P3934">
        <v>-0.9353148</v>
      </c>
      <c r="Q3934">
        <v>0.3484158</v>
      </c>
      <c r="R3934">
        <v>-6.1587910000000003E-2</v>
      </c>
      <c r="S3934">
        <v>-3.3176570000000001</v>
      </c>
      <c r="T3934">
        <v>-0.29313990000000001</v>
      </c>
      <c r="U3934">
        <v>2.9495239999999999E-2</v>
      </c>
      <c r="V3934">
        <v>-7.1228100000000003E-2</v>
      </c>
      <c r="W3934">
        <v>0.36249350000000002</v>
      </c>
      <c r="X3934">
        <v>0.92926050000000004</v>
      </c>
      <c r="Y3934">
        <v>-1.294559E-3</v>
      </c>
      <c r="Z3934">
        <v>-8.1354470000000005E-4</v>
      </c>
      <c r="AA3934">
        <v>0.99999879999999997</v>
      </c>
      <c r="AB3934">
        <v>44</v>
      </c>
      <c r="AC3934">
        <v>-12.1739</v>
      </c>
      <c r="AD3934">
        <v>-1.11075018338799</v>
      </c>
      <c r="AE3934">
        <v>0.10759999999999</v>
      </c>
      <c r="AF3934">
        <v>-1.6657154756688601E-2</v>
      </c>
      <c r="AG3934">
        <v>-1.11075018338799</v>
      </c>
      <c r="AH3934">
        <v>12.073859418555701</v>
      </c>
      <c r="AI3934">
        <v>95.256198764761194</v>
      </c>
      <c r="AJ3934">
        <v>90.079045483939595</v>
      </c>
      <c r="AK3934">
        <v>12.12485565645</v>
      </c>
      <c r="AL3934">
        <v>68.746591047109504</v>
      </c>
      <c r="AM3934">
        <v>94.383168238798305</v>
      </c>
      <c r="AN3934">
        <v>1.0000000283160499</v>
      </c>
    </row>
    <row r="3935" spans="1:40" x14ac:dyDescent="0.25">
      <c r="A3935" t="str">
        <f>"20190304164723055"</f>
        <v>20190304164723055</v>
      </c>
      <c r="B3935" t="str">
        <f>"1551689243042704"</f>
        <v>1551689243042704</v>
      </c>
      <c r="C3935" t="s">
        <v>40</v>
      </c>
      <c r="D3935">
        <v>4.3371719999999998</v>
      </c>
      <c r="E3935">
        <v>0.54054769999999996</v>
      </c>
      <c r="F3935" t="s">
        <v>42</v>
      </c>
      <c r="G3935">
        <v>-326.75760000000002</v>
      </c>
      <c r="H3935" s="1">
        <v>-2.0073529999999998E-6</v>
      </c>
      <c r="I3935">
        <v>141.99940000000001</v>
      </c>
      <c r="J3935">
        <v>-314.60680000000002</v>
      </c>
      <c r="K3935">
        <v>1.1107750000000001</v>
      </c>
      <c r="L3935">
        <v>141.90309999999999</v>
      </c>
      <c r="M3935">
        <v>-0.99983440000000001</v>
      </c>
      <c r="N3935">
        <v>-1.516349E-2</v>
      </c>
      <c r="O3935">
        <v>1.007212E-2</v>
      </c>
      <c r="P3935">
        <v>-0.93537559999999997</v>
      </c>
      <c r="Q3935">
        <v>0.34809459999999998</v>
      </c>
      <c r="R3935">
        <v>-6.2470900000000003E-2</v>
      </c>
      <c r="S3935">
        <v>-3.3183590000000001</v>
      </c>
      <c r="T3935">
        <v>-0.29299999999999998</v>
      </c>
      <c r="U3935">
        <v>2.6535030000000001E-2</v>
      </c>
      <c r="V3935">
        <v>-7.1991260000000001E-2</v>
      </c>
      <c r="W3935">
        <v>0.36220770000000002</v>
      </c>
      <c r="X3935">
        <v>0.9293131</v>
      </c>
      <c r="Y3935">
        <v>-2.0409949999999999E-3</v>
      </c>
      <c r="Z3935">
        <v>-8.4052119999999996E-4</v>
      </c>
      <c r="AA3935">
        <v>0.99999760000000004</v>
      </c>
      <c r="AB3935">
        <v>44</v>
      </c>
      <c r="AC3935">
        <v>-12.1508</v>
      </c>
      <c r="AD3935">
        <v>-1.1107770073529999</v>
      </c>
      <c r="AE3935">
        <v>9.6300000000013597E-2</v>
      </c>
      <c r="AF3935">
        <v>-2.5886941035257599E-2</v>
      </c>
      <c r="AG3935">
        <v>-1.1107770073529999</v>
      </c>
      <c r="AH3935">
        <v>12.0504557116264</v>
      </c>
      <c r="AI3935">
        <v>95.266469074544901</v>
      </c>
      <c r="AJ3935">
        <v>90.123083327281506</v>
      </c>
      <c r="AK3935">
        <v>12.101569259879</v>
      </c>
      <c r="AL3935">
        <v>68.764159482779803</v>
      </c>
      <c r="AM3935">
        <v>94.429695172908595</v>
      </c>
      <c r="AN3935">
        <v>0.99999999864364297</v>
      </c>
    </row>
    <row r="3936" spans="1:40" x14ac:dyDescent="0.25">
      <c r="A3936" t="str">
        <f>"20190304164723078"</f>
        <v>20190304164723078</v>
      </c>
      <c r="B3936" t="str">
        <f>"1551689243072959"</f>
        <v>1551689243072959</v>
      </c>
      <c r="C3936" t="s">
        <v>40</v>
      </c>
      <c r="D3936">
        <v>4.3363820000000004</v>
      </c>
      <c r="E3936">
        <v>0.54013719999999998</v>
      </c>
      <c r="F3936" t="s">
        <v>41</v>
      </c>
      <c r="G3936">
        <v>-315.7081</v>
      </c>
      <c r="H3936">
        <v>1.012532</v>
      </c>
      <c r="I3936">
        <v>141.91040000000001</v>
      </c>
      <c r="J3936">
        <v>-315.06560000000002</v>
      </c>
      <c r="K3936">
        <v>1.1107929999999999</v>
      </c>
      <c r="L3936">
        <v>141.9076</v>
      </c>
      <c r="M3936">
        <v>-0.99983560000000005</v>
      </c>
      <c r="N3936">
        <v>-1.5199900000000001E-2</v>
      </c>
      <c r="O3936">
        <v>9.9057020000000006E-3</v>
      </c>
      <c r="P3936">
        <v>-0.93515749999999997</v>
      </c>
      <c r="Q3936">
        <v>0.34850750000000003</v>
      </c>
      <c r="R3936">
        <v>-6.3429379999999994E-2</v>
      </c>
      <c r="S3936">
        <v>-3.3188780000000002</v>
      </c>
      <c r="T3936">
        <v>-0.29605939999999997</v>
      </c>
      <c r="U3936">
        <v>2.1682739999999999E-2</v>
      </c>
      <c r="V3936">
        <v>-7.2803850000000003E-2</v>
      </c>
      <c r="W3936">
        <v>0.36264859999999999</v>
      </c>
      <c r="X3936">
        <v>0.92907779999999995</v>
      </c>
      <c r="Y3936">
        <v>-3.3313829999999998E-3</v>
      </c>
      <c r="Z3936">
        <v>-9.0519829999999996E-4</v>
      </c>
      <c r="AA3936">
        <v>0.99999400000000005</v>
      </c>
      <c r="AB3936">
        <v>44</v>
      </c>
      <c r="AC3936">
        <v>-0.64249999999998397</v>
      </c>
      <c r="AD3936">
        <v>-9.8260999999999904E-2</v>
      </c>
      <c r="AE3936">
        <v>2.80000000000768E-3</v>
      </c>
      <c r="AF3936">
        <v>-3.4838030890305101E-3</v>
      </c>
      <c r="AG3936">
        <v>-9.8260999999999904E-2</v>
      </c>
      <c r="AH3936">
        <v>0.62781243284153299</v>
      </c>
      <c r="AI3936">
        <v>98.895250630015298</v>
      </c>
      <c r="AJ3936">
        <v>90.317937578867799</v>
      </c>
      <c r="AK3936">
        <v>0.635465035887394</v>
      </c>
      <c r="AL3936">
        <v>68.737054637301298</v>
      </c>
      <c r="AM3936">
        <v>94.480622157034404</v>
      </c>
      <c r="AN3936">
        <v>0.99999998305481097</v>
      </c>
    </row>
    <row r="3937" spans="1:40" x14ac:dyDescent="0.25">
      <c r="A3937" t="str">
        <f>"20190304164723101"</f>
        <v>20190304164723101</v>
      </c>
      <c r="B3937" t="str">
        <f>"1551689243092482"</f>
        <v>1551689243092482</v>
      </c>
      <c r="C3937" t="s">
        <v>40</v>
      </c>
      <c r="D3937">
        <v>4.3861990000000004</v>
      </c>
      <c r="E3937">
        <v>0.54004090000000005</v>
      </c>
      <c r="F3937" t="s">
        <v>41</v>
      </c>
      <c r="G3937">
        <v>-316.10039999999998</v>
      </c>
      <c r="H3937">
        <v>1.017971</v>
      </c>
      <c r="I3937">
        <v>141.9118</v>
      </c>
      <c r="J3937">
        <v>-315.51319999999998</v>
      </c>
      <c r="K3937">
        <v>1.110808</v>
      </c>
      <c r="L3937">
        <v>141.9119</v>
      </c>
      <c r="M3937">
        <v>-0.99983659999999996</v>
      </c>
      <c r="N3937">
        <v>-1.5229950000000001E-2</v>
      </c>
      <c r="O3937">
        <v>9.736293E-3</v>
      </c>
      <c r="P3937">
        <v>-0.93514070000000005</v>
      </c>
      <c r="Q3937">
        <v>0.34846549999999998</v>
      </c>
      <c r="R3937">
        <v>-6.3904119999999995E-2</v>
      </c>
      <c r="S3937">
        <v>-3.319855</v>
      </c>
      <c r="T3937">
        <v>-0.29787760000000002</v>
      </c>
      <c r="U3937">
        <v>1.2527470000000001E-2</v>
      </c>
      <c r="V3937">
        <v>-7.3129529999999998E-2</v>
      </c>
      <c r="W3937">
        <v>0.36263220000000002</v>
      </c>
      <c r="X3937">
        <v>0.92905870000000002</v>
      </c>
      <c r="Y3937">
        <v>-5.9093169999999999E-3</v>
      </c>
      <c r="Z3937">
        <v>-1.033469E-3</v>
      </c>
      <c r="AA3937">
        <v>0.99998200000000004</v>
      </c>
      <c r="AB3937">
        <v>44</v>
      </c>
      <c r="AC3937">
        <v>-0.58719999999999495</v>
      </c>
      <c r="AD3937">
        <v>-9.2837000000000003E-2</v>
      </c>
      <c r="AE3937">
        <v>-1.0000000000331901E-4</v>
      </c>
      <c r="AF3937">
        <v>-5.6759342375377296E-3</v>
      </c>
      <c r="AG3937">
        <v>-9.2837000000000003E-2</v>
      </c>
      <c r="AH3937">
        <v>0.57285218798386905</v>
      </c>
      <c r="AI3937">
        <v>99.204934862518598</v>
      </c>
      <c r="AJ3937">
        <v>90.567679485091304</v>
      </c>
      <c r="AK3937">
        <v>0.58035381800792396</v>
      </c>
      <c r="AL3937">
        <v>68.738064512264998</v>
      </c>
      <c r="AM3937">
        <v>94.500675707933993</v>
      </c>
      <c r="AN3937">
        <v>1.0000000543402701</v>
      </c>
    </row>
    <row r="3938" spans="1:40" x14ac:dyDescent="0.25">
      <c r="A3938" t="str">
        <f>"20190304164723121"</f>
        <v>20190304164723121</v>
      </c>
      <c r="B3938" t="str">
        <f>"1551689243112978"</f>
        <v>1551689243112978</v>
      </c>
      <c r="C3938" t="s">
        <v>40</v>
      </c>
      <c r="D3938">
        <v>4.3554219999999999</v>
      </c>
      <c r="E3938">
        <v>0.54012269999999996</v>
      </c>
      <c r="F3938" t="s">
        <v>41</v>
      </c>
      <c r="G3938">
        <v>-316.49180000000001</v>
      </c>
      <c r="H3938">
        <v>1.0225740000000001</v>
      </c>
      <c r="I3938">
        <v>141.9143</v>
      </c>
      <c r="J3938">
        <v>-315.9228</v>
      </c>
      <c r="K3938">
        <v>1.1108340000000001</v>
      </c>
      <c r="L3938">
        <v>141.91569999999999</v>
      </c>
      <c r="M3938">
        <v>-0.99983789999999995</v>
      </c>
      <c r="N3938">
        <v>-1.5253259999999999E-2</v>
      </c>
      <c r="O3938">
        <v>9.5774780000000004E-3</v>
      </c>
      <c r="P3938">
        <v>-0.9350619</v>
      </c>
      <c r="Q3938">
        <v>0.348560799999999</v>
      </c>
      <c r="R3938">
        <v>-6.4536769999999993E-2</v>
      </c>
      <c r="S3938">
        <v>-3.32016</v>
      </c>
      <c r="T3938">
        <v>-0.29937229999999998</v>
      </c>
      <c r="U3938">
        <v>7.8735349999999992E-3</v>
      </c>
      <c r="V3938">
        <v>-7.3620379999999999E-2</v>
      </c>
      <c r="W3938">
        <v>0.36274679999999998</v>
      </c>
      <c r="X3938">
        <v>0.9289752</v>
      </c>
      <c r="Y3938">
        <v>-7.1465119999999998E-3</v>
      </c>
      <c r="Z3938">
        <v>-1.0921450000000001E-3</v>
      </c>
      <c r="AA3938">
        <v>0.99997389999999997</v>
      </c>
      <c r="AB3938">
        <v>44</v>
      </c>
      <c r="AC3938">
        <v>-0.56900000000001605</v>
      </c>
      <c r="AD3938">
        <v>-8.8260000000000199E-2</v>
      </c>
      <c r="AE3938">
        <v>-1.39999999998963E-3</v>
      </c>
      <c r="AF3938">
        <v>-6.6892099650987099E-3</v>
      </c>
      <c r="AG3938">
        <v>-8.8260000000000199E-2</v>
      </c>
      <c r="AH3938">
        <v>0.55559276886009601</v>
      </c>
      <c r="AI3938">
        <v>99.025787846465803</v>
      </c>
      <c r="AJ3938">
        <v>90.6897947625922</v>
      </c>
      <c r="AK3938">
        <v>0.56259923385975696</v>
      </c>
      <c r="AL3938">
        <v>68.731018829884405</v>
      </c>
      <c r="AM3938">
        <v>94.531164714016498</v>
      </c>
      <c r="AN3938">
        <v>1.00000006173831</v>
      </c>
    </row>
    <row r="3939" spans="1:40" x14ac:dyDescent="0.25">
      <c r="A3939" t="str">
        <f>"20190304164723145"</f>
        <v>20190304164723145</v>
      </c>
      <c r="B3939" t="str">
        <f>"1551689243132495"</f>
        <v>1551689243132495</v>
      </c>
      <c r="C3939" t="s">
        <v>40</v>
      </c>
      <c r="D3939">
        <v>4.3194919999999897</v>
      </c>
      <c r="E3939">
        <v>0.54023739999999998</v>
      </c>
      <c r="F3939" t="s">
        <v>41</v>
      </c>
      <c r="G3939">
        <v>-316.88150000000002</v>
      </c>
      <c r="H3939">
        <v>1.024376</v>
      </c>
      <c r="I3939">
        <v>141.9177</v>
      </c>
      <c r="J3939">
        <v>-316.35489999999999</v>
      </c>
      <c r="K3939">
        <v>1.110843</v>
      </c>
      <c r="L3939">
        <v>141.91970000000001</v>
      </c>
      <c r="M3939">
        <v>-0.99983920000000004</v>
      </c>
      <c r="N3939">
        <v>-1.5274009999999999E-2</v>
      </c>
      <c r="O3939">
        <v>9.4082109999999997E-3</v>
      </c>
      <c r="P3939">
        <v>-0.93509529999999996</v>
      </c>
      <c r="Q3939">
        <v>0.34843190000000002</v>
      </c>
      <c r="R3939">
        <v>-6.4745090000000005E-2</v>
      </c>
      <c r="S3939">
        <v>-3.3203740000000002</v>
      </c>
      <c r="T3939">
        <v>-0.29950169999999998</v>
      </c>
      <c r="U3939">
        <v>6.0119630000000004E-3</v>
      </c>
      <c r="V3939">
        <v>-7.3677380000000001E-2</v>
      </c>
      <c r="W3939">
        <v>0.36263659999999998</v>
      </c>
      <c r="X3939">
        <v>0.92901359999999999</v>
      </c>
      <c r="Y3939">
        <v>-7.5365950000000001E-3</v>
      </c>
      <c r="Z3939">
        <v>-1.1003439999999901E-3</v>
      </c>
      <c r="AA3939">
        <v>0.99997100000000005</v>
      </c>
      <c r="AB3939">
        <v>44</v>
      </c>
      <c r="AC3939">
        <v>-0.52660000000003004</v>
      </c>
      <c r="AD3939">
        <v>-8.6467000000000002E-2</v>
      </c>
      <c r="AE3939">
        <v>-2.0000000000095402E-3</v>
      </c>
      <c r="AF3939">
        <v>-6.7722670559630703E-3</v>
      </c>
      <c r="AG3939">
        <v>-8.6467000000000002E-2</v>
      </c>
      <c r="AH3939">
        <v>0.51273414575236498</v>
      </c>
      <c r="AI3939">
        <v>99.571422527093404</v>
      </c>
      <c r="AJ3939">
        <v>90.756726973345593</v>
      </c>
      <c r="AK3939">
        <v>0.52001798998735105</v>
      </c>
      <c r="AL3939">
        <v>68.737791993940405</v>
      </c>
      <c r="AM3939">
        <v>94.534471651940194</v>
      </c>
      <c r="AN3939">
        <v>0.99999996448409101</v>
      </c>
    </row>
    <row r="3940" spans="1:40" x14ac:dyDescent="0.25">
      <c r="A3940" t="str">
        <f>"20190304164723167"</f>
        <v>20190304164723167</v>
      </c>
      <c r="B3940" t="str">
        <f>"1551689243162751"</f>
        <v>1551689243162751</v>
      </c>
      <c r="C3940" t="s">
        <v>40</v>
      </c>
      <c r="D3940">
        <v>4.3173110000000001</v>
      </c>
      <c r="E3940">
        <v>0.5404234</v>
      </c>
      <c r="F3940" t="s">
        <v>41</v>
      </c>
      <c r="G3940">
        <v>-317.27210000000002</v>
      </c>
      <c r="H3940">
        <v>1.0279860000000001</v>
      </c>
      <c r="I3940">
        <v>141.92189999999999</v>
      </c>
      <c r="J3940">
        <v>-316.80180000000001</v>
      </c>
      <c r="K3940">
        <v>1.1108579999999999</v>
      </c>
      <c r="L3940">
        <v>141.9238</v>
      </c>
      <c r="M3940">
        <v>-0.99984050000000002</v>
      </c>
      <c r="N3940">
        <v>-1.5291920000000001E-2</v>
      </c>
      <c r="O3940">
        <v>9.2326030000000007E-3</v>
      </c>
      <c r="P3940">
        <v>-0.93488669999999996</v>
      </c>
      <c r="Q3940">
        <v>0.34907690000000002</v>
      </c>
      <c r="R3940">
        <v>-6.4286140000000006E-2</v>
      </c>
      <c r="S3940">
        <v>-3.320557</v>
      </c>
      <c r="T3940">
        <v>-0.30002630000000002</v>
      </c>
      <c r="U3940">
        <v>7.446289E-3</v>
      </c>
      <c r="V3940">
        <v>-7.3057469999999999E-2</v>
      </c>
      <c r="W3940">
        <v>0.36329420000000001</v>
      </c>
      <c r="X3940">
        <v>0.92880560000000001</v>
      </c>
      <c r="Y3940">
        <v>-6.9322849999999998E-3</v>
      </c>
      <c r="Z3940">
        <v>-1.057218E-3</v>
      </c>
      <c r="AA3940">
        <v>0.99997539999999996</v>
      </c>
      <c r="AB3940">
        <v>43</v>
      </c>
      <c r="AC3940">
        <v>-0.47030000000000799</v>
      </c>
      <c r="AD3940">
        <v>-8.2871999999999807E-2</v>
      </c>
      <c r="AE3940">
        <v>-1.90000000000623E-3</v>
      </c>
      <c r="AF3940">
        <v>-6.0545279373794602E-3</v>
      </c>
      <c r="AG3940">
        <v>-8.2871999999999807E-2</v>
      </c>
      <c r="AH3940">
        <v>0.45610058157769801</v>
      </c>
      <c r="AI3940">
        <v>100.297224440761</v>
      </c>
      <c r="AJ3940">
        <v>90.7605307640994</v>
      </c>
      <c r="AK3940">
        <v>0.46360777194527097</v>
      </c>
      <c r="AL3940">
        <v>68.697356519296903</v>
      </c>
      <c r="AM3940">
        <v>94.497479255889502</v>
      </c>
      <c r="AN3940">
        <v>0.99999995613389903</v>
      </c>
    </row>
    <row r="3941" spans="1:40" x14ac:dyDescent="0.25">
      <c r="A3941" t="str">
        <f>"20190304164723191"</f>
        <v>20190304164723191</v>
      </c>
      <c r="B3941" t="str">
        <f>"1551689243183248"</f>
        <v>1551689243183248</v>
      </c>
      <c r="C3941" t="s">
        <v>40</v>
      </c>
      <c r="D3941">
        <v>4.3099220000000003</v>
      </c>
      <c r="E3941">
        <v>0.54051979999999999</v>
      </c>
      <c r="F3941" t="s">
        <v>41</v>
      </c>
      <c r="G3941">
        <v>-317.66430000000003</v>
      </c>
      <c r="H3941">
        <v>1.033568</v>
      </c>
      <c r="I3941">
        <v>141.92699999999999</v>
      </c>
      <c r="J3941">
        <v>-317.26409999999998</v>
      </c>
      <c r="K3941">
        <v>1.1108739999999999</v>
      </c>
      <c r="L3941">
        <v>141.92789999999999</v>
      </c>
      <c r="M3941">
        <v>-0.99984189999999995</v>
      </c>
      <c r="N3941">
        <v>-1.5307029999999999E-2</v>
      </c>
      <c r="O3941">
        <v>9.0510139999999996E-3</v>
      </c>
      <c r="P3941">
        <v>-0.9347666</v>
      </c>
      <c r="Q3941">
        <v>0.34947450000000002</v>
      </c>
      <c r="R3941">
        <v>-6.3870159999999995E-2</v>
      </c>
      <c r="S3941">
        <v>-3.3208310000000001</v>
      </c>
      <c r="T3941">
        <v>-0.2977089</v>
      </c>
      <c r="U3941">
        <v>1.0787959999999999E-2</v>
      </c>
      <c r="V3941">
        <v>-7.2475910000000004E-2</v>
      </c>
      <c r="W3941">
        <v>0.36370380000000002</v>
      </c>
      <c r="X3941">
        <v>0.92869089999999999</v>
      </c>
      <c r="Y3941">
        <v>-5.7516249999999998E-3</v>
      </c>
      <c r="Z3941">
        <v>-9.7287519999999996E-4</v>
      </c>
      <c r="AA3941">
        <v>0.99998299999999996</v>
      </c>
      <c r="AB3941">
        <v>43</v>
      </c>
      <c r="AC3941">
        <v>-0.40020000000004002</v>
      </c>
      <c r="AD3941">
        <v>-7.7305999999999805E-2</v>
      </c>
      <c r="AE3941">
        <v>-8.9999999997303305E-4</v>
      </c>
      <c r="AF3941">
        <v>-4.3599179468871299E-3</v>
      </c>
      <c r="AG3941">
        <v>-7.7305999999999805E-2</v>
      </c>
      <c r="AH3941">
        <v>0.38578050154084698</v>
      </c>
      <c r="AI3941">
        <v>101.330632715457</v>
      </c>
      <c r="AJ3941">
        <v>90.647503597899501</v>
      </c>
      <c r="AK3941">
        <v>0.39347404220559601</v>
      </c>
      <c r="AL3941">
        <v>68.672165899872198</v>
      </c>
      <c r="AM3941">
        <v>94.462371915463905</v>
      </c>
      <c r="AN3941">
        <v>0.99999999970378795</v>
      </c>
    </row>
    <row r="3942" spans="1:40" x14ac:dyDescent="0.25">
      <c r="A3942" t="str">
        <f>"20190304164723212"</f>
        <v>20190304164723212</v>
      </c>
      <c r="B3942" t="str">
        <f>"1551689243202767"</f>
        <v>1551689243202767</v>
      </c>
      <c r="C3942" t="s">
        <v>40</v>
      </c>
      <c r="D3942">
        <v>4.3210290000000002</v>
      </c>
      <c r="E3942">
        <v>0.54062529999999998</v>
      </c>
      <c r="F3942" t="s">
        <v>42</v>
      </c>
      <c r="G3942">
        <v>-329.70609999999999</v>
      </c>
      <c r="H3942" s="1">
        <v>-7.3696060000000001E-7</v>
      </c>
      <c r="I3942">
        <v>141.9787</v>
      </c>
      <c r="J3942">
        <v>-317.67610000000002</v>
      </c>
      <c r="K3942">
        <v>1.1108849999999999</v>
      </c>
      <c r="L3942">
        <v>141.9315</v>
      </c>
      <c r="M3942">
        <v>-0.99984320000000004</v>
      </c>
      <c r="N3942">
        <v>-1.531804E-2</v>
      </c>
      <c r="O3942">
        <v>8.889213E-3</v>
      </c>
      <c r="P3942">
        <v>-0.93467889999999998</v>
      </c>
      <c r="Q3942">
        <v>0.34968729999999998</v>
      </c>
      <c r="R3942">
        <v>-6.3985609999999998E-2</v>
      </c>
      <c r="S3942">
        <v>-3.3211360000000001</v>
      </c>
      <c r="T3942">
        <v>-0.29652640000000002</v>
      </c>
      <c r="U3942">
        <v>1.358032E-2</v>
      </c>
      <c r="V3942">
        <v>-7.2443060000000004E-2</v>
      </c>
      <c r="W3942">
        <v>0.3639249</v>
      </c>
      <c r="X3942">
        <v>0.92860679999999995</v>
      </c>
      <c r="Y3942">
        <v>-4.7548800000000004E-3</v>
      </c>
      <c r="Z3942">
        <v>-9.0448049999999999E-4</v>
      </c>
      <c r="AA3942">
        <v>0.99998830000000005</v>
      </c>
      <c r="AB3942">
        <v>43</v>
      </c>
      <c r="AC3942">
        <v>-12.0299999999999</v>
      </c>
      <c r="AD3942">
        <v>-1.1108857369606</v>
      </c>
      <c r="AE3942">
        <v>4.72000000000036E-2</v>
      </c>
      <c r="AF3942">
        <v>-5.9246441619490497E-2</v>
      </c>
      <c r="AG3942">
        <v>-1.1108857369606</v>
      </c>
      <c r="AH3942">
        <v>11.928231106347299</v>
      </c>
      <c r="AI3942">
        <v>95.3205894712505</v>
      </c>
      <c r="AJ3942">
        <v>90.284580598012496</v>
      </c>
      <c r="AK3942">
        <v>11.979994765769201</v>
      </c>
      <c r="AL3942">
        <v>68.658564906482994</v>
      </c>
      <c r="AM3942">
        <v>94.460759816357907</v>
      </c>
      <c r="AN3942">
        <v>0.99999995939420605</v>
      </c>
    </row>
    <row r="3943" spans="1:40" x14ac:dyDescent="0.25">
      <c r="A3943" t="str">
        <f>"20190304164723234"</f>
        <v>20190304164723234</v>
      </c>
      <c r="B3943" t="str">
        <f>"1551689243223263"</f>
        <v>1551689243223263</v>
      </c>
      <c r="C3943" t="s">
        <v>40</v>
      </c>
      <c r="D3943">
        <v>4.297879</v>
      </c>
      <c r="E3943">
        <v>0.54074129999999998</v>
      </c>
      <c r="F3943" t="s">
        <v>42</v>
      </c>
      <c r="G3943">
        <v>-330.14550000000003</v>
      </c>
      <c r="H3943" s="1">
        <v>-5.0756979999999999E-6</v>
      </c>
      <c r="I3943">
        <v>141.98570000000001</v>
      </c>
      <c r="J3943">
        <v>-318.07810000000001</v>
      </c>
      <c r="K3943">
        <v>1.1108929999999999</v>
      </c>
      <c r="L3943">
        <v>141.935</v>
      </c>
      <c r="M3943">
        <v>-0.99984450000000002</v>
      </c>
      <c r="N3943">
        <v>-1.532684E-2</v>
      </c>
      <c r="O3943">
        <v>8.73120199999999E-3</v>
      </c>
      <c r="P3943">
        <v>-0.93449210000000005</v>
      </c>
      <c r="Q3943">
        <v>0.35012749999999998</v>
      </c>
      <c r="R3943">
        <v>-6.4307320000000001E-2</v>
      </c>
      <c r="S3943">
        <v>-3.3213499999999998</v>
      </c>
      <c r="T3943">
        <v>-0.2958962</v>
      </c>
      <c r="U3943">
        <v>1.4434809999999999E-2</v>
      </c>
      <c r="V3943">
        <v>-7.2618569999999993E-2</v>
      </c>
      <c r="W3943">
        <v>0.36436950000000001</v>
      </c>
      <c r="X3943">
        <v>0.92841879999999999</v>
      </c>
      <c r="Y3943">
        <v>-4.3424129999999998E-3</v>
      </c>
      <c r="Z3943">
        <v>-8.6909589999999896E-4</v>
      </c>
      <c r="AA3943">
        <v>0.99999020000000005</v>
      </c>
      <c r="AB3943">
        <v>43</v>
      </c>
      <c r="AC3943">
        <v>-12.067399999999999</v>
      </c>
      <c r="AD3943">
        <v>-1.110898075698</v>
      </c>
      <c r="AE3943">
        <v>5.0700000000006101E-2</v>
      </c>
      <c r="AF3943">
        <v>-5.42177412907308E-2</v>
      </c>
      <c r="AG3943">
        <v>-1.110898075698</v>
      </c>
      <c r="AH3943">
        <v>11.965977133883101</v>
      </c>
      <c r="AI3943">
        <v>95.303971319723601</v>
      </c>
      <c r="AJ3943">
        <v>90.259604916327206</v>
      </c>
      <c r="AK3943">
        <v>12.017555611133</v>
      </c>
      <c r="AL3943">
        <v>68.631214831032594</v>
      </c>
      <c r="AM3943">
        <v>94.472425045483604</v>
      </c>
      <c r="AN3943">
        <v>1.00000002871626</v>
      </c>
    </row>
    <row r="3944" spans="1:40" x14ac:dyDescent="0.25">
      <c r="A3944" t="str">
        <f>"20190304164723256"</f>
        <v>20190304164723256</v>
      </c>
      <c r="B3944" t="str">
        <f>"1551689243252543"</f>
        <v>1551689243252543</v>
      </c>
      <c r="C3944" t="s">
        <v>40</v>
      </c>
      <c r="D3944">
        <v>4.2864529999999998</v>
      </c>
      <c r="E3944">
        <v>0.54089770000000004</v>
      </c>
      <c r="F3944" t="s">
        <v>42</v>
      </c>
      <c r="G3944">
        <v>-330.60590000000002</v>
      </c>
      <c r="H3944" s="1">
        <v>-4.8989669999999997E-6</v>
      </c>
      <c r="I3944">
        <v>141.98599999999999</v>
      </c>
      <c r="J3944">
        <v>-318.51589999999999</v>
      </c>
      <c r="K3944">
        <v>1.1108990000000001</v>
      </c>
      <c r="L3944">
        <v>141.93860000000001</v>
      </c>
      <c r="M3944">
        <v>-0.99984580000000001</v>
      </c>
      <c r="N3944">
        <v>-1.533442E-2</v>
      </c>
      <c r="O3944">
        <v>8.5587279999999998E-3</v>
      </c>
      <c r="P3944">
        <v>-0.93435579999999996</v>
      </c>
      <c r="Q3944">
        <v>0.3504294</v>
      </c>
      <c r="R3944">
        <v>-6.4642859999999996E-2</v>
      </c>
      <c r="S3944">
        <v>-3.321625</v>
      </c>
      <c r="T3944">
        <v>-0.294545099999999</v>
      </c>
      <c r="U3944">
        <v>1.3534549999999999E-2</v>
      </c>
      <c r="V3944">
        <v>-7.2793800000000006E-2</v>
      </c>
      <c r="W3944">
        <v>0.36467579999999999</v>
      </c>
      <c r="X3944">
        <v>0.92828480000000002</v>
      </c>
      <c r="Y3944">
        <v>-4.4417450000000004E-3</v>
      </c>
      <c r="Z3944">
        <v>-8.5709169999999995E-4</v>
      </c>
      <c r="AA3944">
        <v>0.99998969999999998</v>
      </c>
      <c r="AB3944">
        <v>43</v>
      </c>
      <c r="AC3944">
        <v>-12.09</v>
      </c>
      <c r="AD3944">
        <v>-1.1109038989669999</v>
      </c>
      <c r="AE3944">
        <v>4.7399999999981901E-2</v>
      </c>
      <c r="AF3944">
        <v>-5.5619334221324798E-2</v>
      </c>
      <c r="AG3944">
        <v>-1.1109038989669999</v>
      </c>
      <c r="AH3944">
        <v>11.988742577187599</v>
      </c>
      <c r="AI3944">
        <v>95.293981857735204</v>
      </c>
      <c r="AJ3944">
        <v>90.265810215464995</v>
      </c>
      <c r="AK3944">
        <v>12.0402304614634</v>
      </c>
      <c r="AL3944">
        <v>68.612368271768702</v>
      </c>
      <c r="AM3944">
        <v>94.483817667385793</v>
      </c>
      <c r="AN3944">
        <v>1.0000000231675501</v>
      </c>
    </row>
    <row r="3945" spans="1:40" x14ac:dyDescent="0.25">
      <c r="A3945" t="str">
        <f>"20190304164723278"</f>
        <v>20190304164723278</v>
      </c>
      <c r="B3945" t="str">
        <f>"1551689243273039"</f>
        <v>1551689243273039</v>
      </c>
      <c r="C3945" t="s">
        <v>40</v>
      </c>
      <c r="D3945">
        <v>4.3153889999999997</v>
      </c>
      <c r="E3945">
        <v>0.54087969999999996</v>
      </c>
      <c r="F3945" t="s">
        <v>41</v>
      </c>
      <c r="G3945">
        <v>-319.5865</v>
      </c>
      <c r="H3945">
        <v>1.016138</v>
      </c>
      <c r="I3945">
        <v>141.94299999999899</v>
      </c>
      <c r="J3945">
        <v>-318.95670000000001</v>
      </c>
      <c r="K3945">
        <v>1.1109100000000001</v>
      </c>
      <c r="L3945">
        <v>141.94229999999999</v>
      </c>
      <c r="M3945">
        <v>-0.99984720000000005</v>
      </c>
      <c r="N3945">
        <v>-1.534024E-2</v>
      </c>
      <c r="O3945">
        <v>8.3845529999999995E-3</v>
      </c>
      <c r="P3945">
        <v>-0.93432090000000001</v>
      </c>
      <c r="Q3945">
        <v>0.3504929</v>
      </c>
      <c r="R3945">
        <v>-6.4801819999999996E-2</v>
      </c>
      <c r="S3945">
        <v>-3.32193</v>
      </c>
      <c r="T3945">
        <v>-0.29402830000000002</v>
      </c>
      <c r="U3945">
        <v>1.3031010000000001E-2</v>
      </c>
      <c r="V3945">
        <v>-7.279128E-2</v>
      </c>
      <c r="W3945">
        <v>0.36474420000000002</v>
      </c>
      <c r="X3945">
        <v>0.92825809999999997</v>
      </c>
      <c r="Y3945">
        <v>-4.4202360000000001E-3</v>
      </c>
      <c r="Z3945">
        <v>-8.4146639999999897E-4</v>
      </c>
      <c r="AA3945">
        <v>0.99998989999999999</v>
      </c>
      <c r="AB3945">
        <v>43</v>
      </c>
      <c r="AC3945">
        <v>-0.62979999999998804</v>
      </c>
      <c r="AD3945">
        <v>-9.4771999999999995E-2</v>
      </c>
      <c r="AE3945">
        <v>6.9999999999481501E-4</v>
      </c>
      <c r="AF3945">
        <v>-4.4797966276550003E-3</v>
      </c>
      <c r="AG3945">
        <v>-9.4771999999999995E-2</v>
      </c>
      <c r="AH3945">
        <v>0.61583864118940701</v>
      </c>
      <c r="AI3945">
        <v>98.748442239319203</v>
      </c>
      <c r="AJ3945">
        <v>90.416779486517697</v>
      </c>
      <c r="AK3945">
        <v>0.62310435124771801</v>
      </c>
      <c r="AL3945">
        <v>68.6081588372966</v>
      </c>
      <c r="AM3945">
        <v>94.4837915182176</v>
      </c>
      <c r="AN3945">
        <v>1.0000000010466401</v>
      </c>
    </row>
    <row r="3946" spans="1:40" x14ac:dyDescent="0.25">
      <c r="A3946" t="str">
        <f>"20190304164723302"</f>
        <v>20190304164723302</v>
      </c>
      <c r="B3946" t="str">
        <f>"1551689243292559"</f>
        <v>1551689243292559</v>
      </c>
      <c r="C3946" t="s">
        <v>40</v>
      </c>
      <c r="D3946">
        <v>4.2721400000000003</v>
      </c>
      <c r="E3946">
        <v>0.54083729999999997</v>
      </c>
      <c r="F3946" t="s">
        <v>41</v>
      </c>
      <c r="G3946">
        <v>-319.9742</v>
      </c>
      <c r="H3946">
        <v>1.0209919999999999</v>
      </c>
      <c r="I3946">
        <v>141.9462</v>
      </c>
      <c r="J3946">
        <v>-319.399</v>
      </c>
      <c r="K3946">
        <v>1.1109169999999999</v>
      </c>
      <c r="L3946">
        <v>141.94579999999999</v>
      </c>
      <c r="M3946">
        <v>-0.99984870000000003</v>
      </c>
      <c r="N3946">
        <v>-1.5344669999999999E-2</v>
      </c>
      <c r="O3946">
        <v>8.2093849999999996E-3</v>
      </c>
      <c r="P3946">
        <v>-0.93425639999999999</v>
      </c>
      <c r="Q3946">
        <v>0.35061799999999999</v>
      </c>
      <c r="R3946">
        <v>-6.5055310000000005E-2</v>
      </c>
      <c r="S3946">
        <v>-3.3218380000000001</v>
      </c>
      <c r="T3946">
        <v>-0.29362450000000001</v>
      </c>
      <c r="U3946">
        <v>1.202393E-2</v>
      </c>
      <c r="V3946">
        <v>-7.2882069999999993E-2</v>
      </c>
      <c r="W3946">
        <v>0.36487209999999998</v>
      </c>
      <c r="X3946">
        <v>0.92820069999999999</v>
      </c>
      <c r="Y3946">
        <v>-4.548102E-3</v>
      </c>
      <c r="Z3946">
        <v>-8.3403920000000003E-4</v>
      </c>
      <c r="AA3946">
        <v>0.99998929999999997</v>
      </c>
      <c r="AB3946">
        <v>43</v>
      </c>
      <c r="AC3946">
        <v>-0.57519999999999505</v>
      </c>
      <c r="AD3946">
        <v>-8.9925000000000005E-2</v>
      </c>
      <c r="AE3946">
        <v>4.0000000001327803E-4</v>
      </c>
      <c r="AF3946">
        <v>-4.2194779048055596E-3</v>
      </c>
      <c r="AG3946">
        <v>-8.9925000000000005E-2</v>
      </c>
      <c r="AH3946">
        <v>0.56146110093308199</v>
      </c>
      <c r="AI3946">
        <v>99.099100856287805</v>
      </c>
      <c r="AJ3946">
        <v>90.430579650340903</v>
      </c>
      <c r="AK3946">
        <v>0.56863246256239897</v>
      </c>
      <c r="AL3946">
        <v>68.600288098052701</v>
      </c>
      <c r="AM3946">
        <v>94.489637633618102</v>
      </c>
      <c r="AN3946">
        <v>0.99999999248319205</v>
      </c>
    </row>
    <row r="3947" spans="1:40" x14ac:dyDescent="0.25">
      <c r="A3947" t="str">
        <f>"20190304164723322"</f>
        <v>20190304164723322</v>
      </c>
      <c r="B3947" t="str">
        <f>"1551689243313059"</f>
        <v>1551689243313059</v>
      </c>
      <c r="C3947" t="s">
        <v>40</v>
      </c>
      <c r="D3947">
        <v>4.2683150000000003</v>
      </c>
      <c r="E3947">
        <v>0.54079569999999999</v>
      </c>
      <c r="F3947" t="s">
        <v>41</v>
      </c>
      <c r="G3947">
        <v>-320.36160000000001</v>
      </c>
      <c r="H3947">
        <v>1.0261610000000001</v>
      </c>
      <c r="I3947">
        <v>141.94890000000001</v>
      </c>
      <c r="J3947">
        <v>-319.8021</v>
      </c>
      <c r="K3947">
        <v>1.1109209999999901</v>
      </c>
      <c r="L3947">
        <v>141.94899999999899</v>
      </c>
      <c r="M3947">
        <v>-0.99985000000000002</v>
      </c>
      <c r="N3947">
        <v>-1.534752E-2</v>
      </c>
      <c r="O3947">
        <v>8.0495549999999999E-3</v>
      </c>
      <c r="P3947">
        <v>-0.93427499999999997</v>
      </c>
      <c r="Q3947">
        <v>0.350612799999999</v>
      </c>
      <c r="R3947">
        <v>-6.4818929999999997E-2</v>
      </c>
      <c r="S3947">
        <v>-3.321564</v>
      </c>
      <c r="T3947">
        <v>-0.29243920000000001</v>
      </c>
      <c r="U3947">
        <v>1.025391E-2</v>
      </c>
      <c r="V3947">
        <v>-7.2497489999999998E-2</v>
      </c>
      <c r="W3947">
        <v>0.36487029999999998</v>
      </c>
      <c r="X3947">
        <v>0.92823149999999999</v>
      </c>
      <c r="Y3947">
        <v>-4.919919E-3</v>
      </c>
      <c r="Z3947">
        <v>-8.3797910000000001E-4</v>
      </c>
      <c r="AA3947">
        <v>0.99998750000000003</v>
      </c>
      <c r="AB3947">
        <v>43</v>
      </c>
      <c r="AC3947">
        <v>-0.55950000000001399</v>
      </c>
      <c r="AD3947">
        <v>-8.4759999999999697E-2</v>
      </c>
      <c r="AE3947" s="1">
        <v>-9.9999999974897906E-5</v>
      </c>
      <c r="AF3947">
        <v>-4.5009557736650201E-3</v>
      </c>
      <c r="AG3947">
        <v>-8.4759999999999697E-2</v>
      </c>
      <c r="AH3947">
        <v>0.54692907032848004</v>
      </c>
      <c r="AI3947">
        <v>98.809006548642301</v>
      </c>
      <c r="AJ3947">
        <v>90.471505286667394</v>
      </c>
      <c r="AK3947">
        <v>0.55347621825445403</v>
      </c>
      <c r="AL3947">
        <v>68.600398356325996</v>
      </c>
      <c r="AM3947">
        <v>94.465895471980701</v>
      </c>
      <c r="AN3947">
        <v>0.99999996973531902</v>
      </c>
    </row>
    <row r="3948" spans="1:40" x14ac:dyDescent="0.25">
      <c r="A3948" t="str">
        <f>"20190304164723345"</f>
        <v>20190304164723345</v>
      </c>
      <c r="B3948" t="str">
        <f>"1551689243332576"</f>
        <v>1551689243332576</v>
      </c>
      <c r="C3948" t="s">
        <v>40</v>
      </c>
      <c r="D3948">
        <v>4.2343719999999996</v>
      </c>
      <c r="E3948">
        <v>0.54075430000000002</v>
      </c>
      <c r="F3948" t="s">
        <v>41</v>
      </c>
      <c r="G3948">
        <v>-320.74709999999999</v>
      </c>
      <c r="H3948">
        <v>1.027955</v>
      </c>
      <c r="I3948">
        <v>141.95230000000001</v>
      </c>
      <c r="J3948">
        <v>-320.22620000000001</v>
      </c>
      <c r="K3948">
        <v>1.1109290000000001</v>
      </c>
      <c r="L3948">
        <v>141.9522</v>
      </c>
      <c r="M3948">
        <v>-0.99985119999999905</v>
      </c>
      <c r="N3948">
        <v>-1.5349430000000001E-2</v>
      </c>
      <c r="O3948">
        <v>7.8812740000000006E-3</v>
      </c>
      <c r="P3948">
        <v>-0.93422989999999995</v>
      </c>
      <c r="Q3948">
        <v>0.35073389999999999</v>
      </c>
      <c r="R3948">
        <v>-6.4811380000000002E-2</v>
      </c>
      <c r="S3948">
        <v>-3.3212280000000001</v>
      </c>
      <c r="T3948">
        <v>-0.29169</v>
      </c>
      <c r="U3948">
        <v>1.0269169999999999E-2</v>
      </c>
      <c r="V3948">
        <v>-7.2333099999999997E-2</v>
      </c>
      <c r="W3948">
        <v>0.36499290000000001</v>
      </c>
      <c r="X3948">
        <v>0.92819620000000003</v>
      </c>
      <c r="Y3948">
        <v>-4.7481550000000004E-3</v>
      </c>
      <c r="Z3948">
        <v>-8.1468199999999995E-4</v>
      </c>
      <c r="AA3948">
        <v>0.9999884</v>
      </c>
      <c r="AB3948">
        <v>43</v>
      </c>
      <c r="AC3948">
        <v>-0.52089999999998304</v>
      </c>
      <c r="AD3948">
        <v>-8.2974000000000103E-2</v>
      </c>
      <c r="AE3948">
        <v>1.0000000000331901E-4</v>
      </c>
      <c r="AF3948">
        <v>-3.90671623811797E-3</v>
      </c>
      <c r="AG3948">
        <v>-8.2974000000000103E-2</v>
      </c>
      <c r="AH3948">
        <v>0.50799514172574101</v>
      </c>
      <c r="AI3948">
        <v>99.276289081049299</v>
      </c>
      <c r="AJ3948">
        <v>90.440622205084097</v>
      </c>
      <c r="AK3948">
        <v>0.51474169359468203</v>
      </c>
      <c r="AL3948">
        <v>68.592855141132304</v>
      </c>
      <c r="AM3948">
        <v>94.455978536270607</v>
      </c>
      <c r="AN3948">
        <v>1.00000004005022</v>
      </c>
    </row>
    <row r="3949" spans="1:40" x14ac:dyDescent="0.25">
      <c r="A3949" t="str">
        <f>"20190304164723368"</f>
        <v>20190304164723368</v>
      </c>
      <c r="B3949" t="str">
        <f>"1551689243362831"</f>
        <v>1551689243362831</v>
      </c>
      <c r="C3949" t="s">
        <v>40</v>
      </c>
      <c r="D3949">
        <v>4.2183599999999997</v>
      </c>
      <c r="E3949">
        <v>0.5406839</v>
      </c>
      <c r="F3949" t="s">
        <v>41</v>
      </c>
      <c r="G3949">
        <v>-321.13409999999999</v>
      </c>
      <c r="H3949">
        <v>1.0314859999999999</v>
      </c>
      <c r="I3949">
        <v>141.95500000000001</v>
      </c>
      <c r="J3949">
        <v>-320.6814</v>
      </c>
      <c r="K3949">
        <v>1.1109329999999999</v>
      </c>
      <c r="L3949">
        <v>141.95570000000001</v>
      </c>
      <c r="M3949">
        <v>-0.99985259999999998</v>
      </c>
      <c r="N3949">
        <v>-1.535047E-2</v>
      </c>
      <c r="O3949">
        <v>7.7004269999999897E-3</v>
      </c>
      <c r="P3949">
        <v>-0.93415910000000002</v>
      </c>
      <c r="Q3949">
        <v>0.35086390000000001</v>
      </c>
      <c r="R3949">
        <v>-6.5127420000000005E-2</v>
      </c>
      <c r="S3949">
        <v>-3.3209230000000001</v>
      </c>
      <c r="T3949">
        <v>-0.29056079999999901</v>
      </c>
      <c r="U3949">
        <v>9.6588130000000005E-3</v>
      </c>
      <c r="V3949">
        <v>-7.247961E-2</v>
      </c>
      <c r="W3949">
        <v>0.36512299999999998</v>
      </c>
      <c r="X3949">
        <v>0.92813349999999994</v>
      </c>
      <c r="Y3949">
        <v>-4.7515789999999997E-3</v>
      </c>
      <c r="Z3949">
        <v>-7.9844539999999998E-4</v>
      </c>
      <c r="AA3949">
        <v>0.9999884</v>
      </c>
      <c r="AB3949">
        <v>43</v>
      </c>
      <c r="AC3949">
        <v>-0.452699999999993</v>
      </c>
      <c r="AD3949">
        <v>-7.9446999999999796E-2</v>
      </c>
      <c r="AE3949">
        <v>-6.9999999999481501E-4</v>
      </c>
      <c r="AF3949">
        <v>-4.0612904231671302E-3</v>
      </c>
      <c r="AG3949">
        <v>-7.9446999999999796E-2</v>
      </c>
      <c r="AH3949">
        <v>0.43915573961087301</v>
      </c>
      <c r="AI3949">
        <v>100.253955400523</v>
      </c>
      <c r="AJ3949">
        <v>90.529853412509894</v>
      </c>
      <c r="AK3949">
        <v>0.44630268150894398</v>
      </c>
      <c r="AL3949">
        <v>68.584846267476607</v>
      </c>
      <c r="AM3949">
        <v>94.465268029433005</v>
      </c>
      <c r="AN3949">
        <v>0.99999994640849899</v>
      </c>
    </row>
    <row r="3950" spans="1:40" x14ac:dyDescent="0.25">
      <c r="A3950" t="str">
        <f>"20190304164723393"</f>
        <v>20190304164723393</v>
      </c>
      <c r="B3950" t="str">
        <f>"1551689243383327"</f>
        <v>1551689243383327</v>
      </c>
      <c r="C3950" t="s">
        <v>40</v>
      </c>
      <c r="D3950">
        <v>4.2401439999999999</v>
      </c>
      <c r="E3950">
        <v>0.54065879999999999</v>
      </c>
      <c r="F3950" t="s">
        <v>41</v>
      </c>
      <c r="G3950">
        <v>-321.52289999999999</v>
      </c>
      <c r="H3950">
        <v>1.0377540000000001</v>
      </c>
      <c r="I3950">
        <v>141.95840000000001</v>
      </c>
      <c r="J3950">
        <v>-321.1429</v>
      </c>
      <c r="K3950">
        <v>1.1109309999999999</v>
      </c>
      <c r="L3950">
        <v>141.95910000000001</v>
      </c>
      <c r="M3950">
        <v>-0.99985400000000002</v>
      </c>
      <c r="N3950">
        <v>-1.535066E-2</v>
      </c>
      <c r="O3950">
        <v>7.5170280000000003E-3</v>
      </c>
      <c r="P3950">
        <v>-0.9343901</v>
      </c>
      <c r="Q3950">
        <v>0.35017789999999999</v>
      </c>
      <c r="R3950">
        <v>-6.5502959999999999E-2</v>
      </c>
      <c r="S3950">
        <v>-3.320557</v>
      </c>
      <c r="T3950">
        <v>-0.28887000000000002</v>
      </c>
      <c r="U3950">
        <v>9.2773439999999999E-3</v>
      </c>
      <c r="V3950">
        <v>-7.2685899999999998E-2</v>
      </c>
      <c r="W3950">
        <v>0.3644405</v>
      </c>
      <c r="X3950">
        <v>0.92838560000000003</v>
      </c>
      <c r="Y3950">
        <v>-4.6839849999999999E-3</v>
      </c>
      <c r="Z3950">
        <v>-7.7686849999999996E-4</v>
      </c>
      <c r="AA3950">
        <v>0.99998869999999895</v>
      </c>
      <c r="AB3950">
        <v>43</v>
      </c>
      <c r="AC3950">
        <v>-0.37999999999999501</v>
      </c>
      <c r="AD3950">
        <v>-7.3176999999999798E-2</v>
      </c>
      <c r="AE3950">
        <v>-6.9999999999481501E-4</v>
      </c>
      <c r="AF3950">
        <v>-3.4296055057570999E-3</v>
      </c>
      <c r="AG3950">
        <v>-7.3176999999999798E-2</v>
      </c>
      <c r="AH3950">
        <v>0.366396731202492</v>
      </c>
      <c r="AI3950">
        <v>101.294060632572</v>
      </c>
      <c r="AJ3950">
        <v>90.536293491496195</v>
      </c>
      <c r="AK3950">
        <v>0.37364849813534101</v>
      </c>
      <c r="AL3950">
        <v>68.626845152151205</v>
      </c>
      <c r="AM3950">
        <v>94.476714346888102</v>
      </c>
      <c r="AN3950">
        <v>0.99999997019320896</v>
      </c>
    </row>
    <row r="3951" spans="1:40" x14ac:dyDescent="0.25">
      <c r="A3951" t="str">
        <f>"20190304164723412"</f>
        <v>20190304164723412</v>
      </c>
      <c r="B3951" t="str">
        <f>"1551689243402847"</f>
        <v>1551689243402847</v>
      </c>
      <c r="C3951" t="s">
        <v>40</v>
      </c>
      <c r="D3951">
        <v>4.1927789999999998</v>
      </c>
      <c r="E3951">
        <v>0.54062299999999996</v>
      </c>
      <c r="F3951" t="s">
        <v>42</v>
      </c>
      <c r="G3951">
        <v>-333.83929999999998</v>
      </c>
      <c r="H3951" s="1">
        <v>-3.5242940000000001E-6</v>
      </c>
      <c r="I3951">
        <v>141.99010000000001</v>
      </c>
      <c r="J3951">
        <v>-321.52370000000002</v>
      </c>
      <c r="K3951">
        <v>1.1109329999999999</v>
      </c>
      <c r="L3951">
        <v>141.96180000000001</v>
      </c>
      <c r="M3951">
        <v>-0.99985500000000005</v>
      </c>
      <c r="N3951">
        <v>-1.535021E-2</v>
      </c>
      <c r="O3951">
        <v>7.365524E-3</v>
      </c>
      <c r="P3951">
        <v>-0.93440480000000004</v>
      </c>
      <c r="Q3951">
        <v>0.35016639999999999</v>
      </c>
      <c r="R3951">
        <v>-6.5354090000000004E-2</v>
      </c>
      <c r="S3951">
        <v>-3.320068</v>
      </c>
      <c r="T3951">
        <v>-0.2905064</v>
      </c>
      <c r="U3951">
        <v>8.1176759999999903E-3</v>
      </c>
      <c r="V3951">
        <v>-7.2395409999999993E-2</v>
      </c>
      <c r="W3951">
        <v>0.364429</v>
      </c>
      <c r="X3951">
        <v>0.92841289999999999</v>
      </c>
      <c r="Y3951">
        <v>-4.8803470000000002E-3</v>
      </c>
      <c r="Z3951">
        <v>-7.8100800000000003E-4</v>
      </c>
      <c r="AA3951">
        <v>0.99998779999999998</v>
      </c>
      <c r="AB3951">
        <v>43</v>
      </c>
      <c r="AC3951">
        <v>-12.3155999999999</v>
      </c>
      <c r="AD3951">
        <v>-1.1109365242939999</v>
      </c>
      <c r="AE3951">
        <v>2.8300000000001501E-2</v>
      </c>
      <c r="AF3951">
        <v>-6.1918477154741303E-2</v>
      </c>
      <c r="AG3951">
        <v>-1.1109365242939999</v>
      </c>
      <c r="AH3951">
        <v>12.216071974055099</v>
      </c>
      <c r="AI3951">
        <v>95.196151244641896</v>
      </c>
      <c r="AJ3951">
        <v>90.290407345508399</v>
      </c>
      <c r="AK3951">
        <v>12.2666388360512</v>
      </c>
      <c r="AL3951">
        <v>68.627554551219504</v>
      </c>
      <c r="AM3951">
        <v>94.458764816652803</v>
      </c>
      <c r="AN3951">
        <v>1.00000005215823</v>
      </c>
    </row>
    <row r="3952" spans="1:40" x14ac:dyDescent="0.25">
      <c r="A3952" t="str">
        <f>"20190304164723434"</f>
        <v>20190304164723434</v>
      </c>
      <c r="B3952" t="str">
        <f>"1551689243423344"</f>
        <v>1551689243423344</v>
      </c>
      <c r="C3952" t="s">
        <v>40</v>
      </c>
      <c r="D3952">
        <v>4.1651579999999999</v>
      </c>
      <c r="E3952">
        <v>0.54057880000000003</v>
      </c>
      <c r="F3952" t="s">
        <v>42</v>
      </c>
      <c r="G3952">
        <v>-334.2362</v>
      </c>
      <c r="H3952" s="1">
        <v>-3.3353359999999998E-6</v>
      </c>
      <c r="I3952">
        <v>141.98519999999999</v>
      </c>
      <c r="J3952">
        <v>-321.93680000000001</v>
      </c>
      <c r="K3952">
        <v>1.110932</v>
      </c>
      <c r="L3952">
        <v>141.96469999999999</v>
      </c>
      <c r="M3952">
        <v>-0.99985619999999997</v>
      </c>
      <c r="N3952">
        <v>-1.5349170000000001E-2</v>
      </c>
      <c r="O3952">
        <v>7.2011530000000001E-3</v>
      </c>
      <c r="P3952">
        <v>-0.934284</v>
      </c>
      <c r="Q3952">
        <v>0.350468</v>
      </c>
      <c r="R3952">
        <v>-6.5463809999999997E-2</v>
      </c>
      <c r="S3952">
        <v>-3.319763</v>
      </c>
      <c r="T3952">
        <v>-0.29011169999999997</v>
      </c>
      <c r="U3952">
        <v>6.1035159999999998E-3</v>
      </c>
      <c r="V3952">
        <v>-7.2350899999999996E-2</v>
      </c>
      <c r="W3952">
        <v>0.36472779999999999</v>
      </c>
      <c r="X3952">
        <v>0.92829899999999999</v>
      </c>
      <c r="Y3952">
        <v>-5.3209980000000004E-3</v>
      </c>
      <c r="Z3952">
        <v>-7.9072229999999999E-4</v>
      </c>
      <c r="AA3952">
        <v>0.99998549999999997</v>
      </c>
      <c r="AB3952">
        <v>43</v>
      </c>
      <c r="AC3952">
        <v>-12.299399999999901</v>
      </c>
      <c r="AD3952">
        <v>-1.1109353353360001</v>
      </c>
      <c r="AE3952">
        <v>2.0499999999998401E-2</v>
      </c>
      <c r="AF3952">
        <v>-6.75298933482395E-2</v>
      </c>
      <c r="AG3952">
        <v>-1.1109353353360001</v>
      </c>
      <c r="AH3952">
        <v>12.1996978402736</v>
      </c>
      <c r="AI3952">
        <v>95.2030687938</v>
      </c>
      <c r="AJ3952">
        <v>90.317150343682897</v>
      </c>
      <c r="AK3952">
        <v>12.2503618313815</v>
      </c>
      <c r="AL3952">
        <v>68.609168593930207</v>
      </c>
      <c r="AM3952">
        <v>94.4565790739682</v>
      </c>
      <c r="AN3952">
        <v>1.0000000271123199</v>
      </c>
    </row>
    <row r="3953" spans="1:40" x14ac:dyDescent="0.25">
      <c r="A3953" t="str">
        <f>"20190304164723457"</f>
        <v>20190304164723457</v>
      </c>
      <c r="B3953" t="str">
        <f>"1551689243452623"</f>
        <v>1551689243452623</v>
      </c>
      <c r="C3953" t="s">
        <v>40</v>
      </c>
      <c r="D3953">
        <v>4.161721</v>
      </c>
      <c r="E3953">
        <v>0.54051660000000001</v>
      </c>
      <c r="F3953" t="s">
        <v>42</v>
      </c>
      <c r="G3953">
        <v>-334.71420000000001</v>
      </c>
      <c r="H3953" s="1">
        <v>-3.1073100000000002E-6</v>
      </c>
      <c r="I3953">
        <v>141.97720000000001</v>
      </c>
      <c r="J3953">
        <v>-322.3766</v>
      </c>
      <c r="K3953">
        <v>1.110935</v>
      </c>
      <c r="L3953">
        <v>141.96770000000001</v>
      </c>
      <c r="M3953">
        <v>-0.99985769999999996</v>
      </c>
      <c r="N3953">
        <v>-1.534746E-2</v>
      </c>
      <c r="O3953">
        <v>7.0254640000000004E-3</v>
      </c>
      <c r="P3953">
        <v>-0.93426980000000004</v>
      </c>
      <c r="Q3953">
        <v>0.35040719999999997</v>
      </c>
      <c r="R3953">
        <v>-6.599236E-2</v>
      </c>
      <c r="S3953">
        <v>-3.3195190000000001</v>
      </c>
      <c r="T3953">
        <v>-0.28861809999999899</v>
      </c>
      <c r="U3953">
        <v>3.2501219999999998E-3</v>
      </c>
      <c r="V3953">
        <v>-7.2715340000000003E-2</v>
      </c>
      <c r="W3953">
        <v>0.36466520000000002</v>
      </c>
      <c r="X3953">
        <v>0.92829510000000004</v>
      </c>
      <c r="Y3953">
        <v>-6.0025869999999898E-3</v>
      </c>
      <c r="Z3953">
        <v>-8.086422E-4</v>
      </c>
      <c r="AA3953">
        <v>0.99998160000000003</v>
      </c>
      <c r="AB3953">
        <v>43</v>
      </c>
      <c r="AC3953">
        <v>-12.3376</v>
      </c>
      <c r="AD3953">
        <v>-1.11093810731</v>
      </c>
      <c r="AE3953">
        <v>9.5000000000027198E-3</v>
      </c>
      <c r="AF3953">
        <v>-7.6566983851046197E-2</v>
      </c>
      <c r="AG3953">
        <v>-1.11093810731</v>
      </c>
      <c r="AH3953">
        <v>12.2381344102174</v>
      </c>
      <c r="AI3953">
        <v>95.186807619551104</v>
      </c>
      <c r="AJ3953">
        <v>90.358462134794706</v>
      </c>
      <c r="AK3953">
        <v>12.2886931698956</v>
      </c>
      <c r="AL3953">
        <v>68.613020244010599</v>
      </c>
      <c r="AM3953">
        <v>94.478955014260407</v>
      </c>
      <c r="AN3953">
        <v>1.0000000107231799</v>
      </c>
    </row>
    <row r="3954" spans="1:40" x14ac:dyDescent="0.25">
      <c r="A3954" t="str">
        <f>"20190304164723480"</f>
        <v>20190304164723480</v>
      </c>
      <c r="B3954" t="str">
        <f>"1551689243473119"</f>
        <v>1551689243473119</v>
      </c>
      <c r="C3954" t="s">
        <v>40</v>
      </c>
      <c r="D3954">
        <v>4.1778529999999998</v>
      </c>
      <c r="E3954">
        <v>0.5404757</v>
      </c>
      <c r="F3954" t="s">
        <v>41</v>
      </c>
      <c r="G3954">
        <v>-323.42250000000001</v>
      </c>
      <c r="H3954">
        <v>1.020346</v>
      </c>
      <c r="I3954">
        <v>141.9684</v>
      </c>
      <c r="J3954">
        <v>-322.82159999999999</v>
      </c>
      <c r="K3954">
        <v>1.1109420000000001</v>
      </c>
      <c r="L3954">
        <v>141.97069999999999</v>
      </c>
      <c r="M3954">
        <v>-0.99985869999999999</v>
      </c>
      <c r="N3954">
        <v>-1.5345269999999999E-2</v>
      </c>
      <c r="O3954">
        <v>6.8482309999999998E-3</v>
      </c>
      <c r="P3954">
        <v>-0.93401590000000001</v>
      </c>
      <c r="Q3954">
        <v>0.35099839999999999</v>
      </c>
      <c r="R3954">
        <v>-6.6441139999999996E-2</v>
      </c>
      <c r="S3954">
        <v>-3.3190309999999998</v>
      </c>
      <c r="T3954">
        <v>-0.28756939999999998</v>
      </c>
      <c r="U3954">
        <v>1.5716549999999999E-3</v>
      </c>
      <c r="V3954">
        <v>-7.2997000000000006E-2</v>
      </c>
      <c r="W3954">
        <v>0.36525079999999999</v>
      </c>
      <c r="X3954">
        <v>0.9280427</v>
      </c>
      <c r="Y3954">
        <v>-6.3302150000000001E-3</v>
      </c>
      <c r="Z3954">
        <v>-8.097019E-4</v>
      </c>
      <c r="AA3954">
        <v>0.99997959999999997</v>
      </c>
      <c r="AB3954">
        <v>43</v>
      </c>
      <c r="AC3954">
        <v>-0.60090000000002397</v>
      </c>
      <c r="AD3954">
        <v>-9.0596000000000093E-2</v>
      </c>
      <c r="AE3954">
        <v>-2.29999999999108E-3</v>
      </c>
      <c r="AF3954">
        <v>-6.27294642825798E-3</v>
      </c>
      <c r="AG3954">
        <v>-9.0596000000000093E-2</v>
      </c>
      <c r="AH3954">
        <v>0.58751568064672499</v>
      </c>
      <c r="AI3954">
        <v>98.765577548917705</v>
      </c>
      <c r="AJ3954">
        <v>90.611727840695707</v>
      </c>
      <c r="AK3954">
        <v>0.59449277546381996</v>
      </c>
      <c r="AL3954">
        <v>68.576981396173693</v>
      </c>
      <c r="AM3954">
        <v>94.497450893476199</v>
      </c>
      <c r="AN3954">
        <v>0.99999998096646403</v>
      </c>
    </row>
    <row r="3955" spans="1:40" x14ac:dyDescent="0.25">
      <c r="A3955" t="str">
        <f>"20190304164723502"</f>
        <v>20190304164723502</v>
      </c>
      <c r="B3955" t="str">
        <f>"1551689243492642"</f>
        <v>1551689243492642</v>
      </c>
      <c r="C3955" t="s">
        <v>40</v>
      </c>
      <c r="D3955">
        <v>4.1677839999999904</v>
      </c>
      <c r="E3955">
        <v>0.54042800000000002</v>
      </c>
      <c r="F3955" t="s">
        <v>41</v>
      </c>
      <c r="G3955">
        <v>-323.8066</v>
      </c>
      <c r="H3955">
        <v>1.026526</v>
      </c>
      <c r="I3955">
        <v>141.97120000000001</v>
      </c>
      <c r="J3955">
        <v>-323.2328</v>
      </c>
      <c r="K3955">
        <v>1.1109469999999999</v>
      </c>
      <c r="L3955">
        <v>141.9734</v>
      </c>
      <c r="M3955">
        <v>-0.99985999999999997</v>
      </c>
      <c r="N3955">
        <v>-1.53429E-2</v>
      </c>
      <c r="O3955">
        <v>6.6841119999999999E-3</v>
      </c>
      <c r="P3955">
        <v>-0.93377379999999999</v>
      </c>
      <c r="Q3955">
        <v>0.35153610000000002</v>
      </c>
      <c r="R3955">
        <v>-6.7002969999999995E-2</v>
      </c>
      <c r="S3955">
        <v>-3.3189090000000001</v>
      </c>
      <c r="T3955">
        <v>-0.28447329999999998</v>
      </c>
      <c r="U3955">
        <v>9.1552729999999996E-4</v>
      </c>
      <c r="V3955">
        <v>-7.3404040000000004E-2</v>
      </c>
      <c r="W3955">
        <v>0.3657821</v>
      </c>
      <c r="X3955">
        <v>0.92780130000000005</v>
      </c>
      <c r="Y3955">
        <v>-6.3650039999999996E-3</v>
      </c>
      <c r="Z3955">
        <v>-7.9067600000000003E-4</v>
      </c>
      <c r="AA3955">
        <v>0.99997939999999996</v>
      </c>
      <c r="AB3955">
        <v>43</v>
      </c>
      <c r="AC3955">
        <v>-0.57380000000000497</v>
      </c>
      <c r="AD3955">
        <v>-8.4420999999999802E-2</v>
      </c>
      <c r="AE3955">
        <v>-2.1999999999877599E-3</v>
      </c>
      <c r="AF3955">
        <v>-5.9078651916293296E-3</v>
      </c>
      <c r="AG3955">
        <v>-8.4420999999999802E-2</v>
      </c>
      <c r="AH3955">
        <v>0.56161585134421099</v>
      </c>
      <c r="AI3955">
        <v>98.548120786696799</v>
      </c>
      <c r="AJ3955">
        <v>90.602695340041194</v>
      </c>
      <c r="AK3955">
        <v>0.56795613615243701</v>
      </c>
      <c r="AL3955">
        <v>68.544277040932997</v>
      </c>
      <c r="AM3955">
        <v>94.523597257079402</v>
      </c>
      <c r="AN3955">
        <v>0.99999997502520999</v>
      </c>
    </row>
    <row r="3956" spans="1:40" x14ac:dyDescent="0.25">
      <c r="A3956" t="str">
        <f>"20190304164723523"</f>
        <v>20190304164723523</v>
      </c>
      <c r="B3956" t="str">
        <f>"1551689243513135"</f>
        <v>1551689243513135</v>
      </c>
      <c r="C3956" t="s">
        <v>40</v>
      </c>
      <c r="D3956">
        <v>4.155106</v>
      </c>
      <c r="E3956">
        <v>0.54038209999999998</v>
      </c>
      <c r="F3956" t="s">
        <v>41</v>
      </c>
      <c r="G3956">
        <v>-324.19</v>
      </c>
      <c r="H3956">
        <v>1.029711</v>
      </c>
      <c r="I3956">
        <v>141.97329999999999</v>
      </c>
      <c r="J3956">
        <v>-323.64190000000002</v>
      </c>
      <c r="K3956">
        <v>1.110954</v>
      </c>
      <c r="L3956">
        <v>141.976</v>
      </c>
      <c r="M3956">
        <v>-0.99986109999999995</v>
      </c>
      <c r="N3956">
        <v>-1.534022E-2</v>
      </c>
      <c r="O3956">
        <v>6.5210090000000004E-3</v>
      </c>
      <c r="P3956">
        <v>-0.93378950000000005</v>
      </c>
      <c r="Q3956">
        <v>0.35147850000000003</v>
      </c>
      <c r="R3956">
        <v>-6.7084889999999994E-2</v>
      </c>
      <c r="S3956">
        <v>-3.3187869999999999</v>
      </c>
      <c r="T3956">
        <v>-0.28167439999999999</v>
      </c>
      <c r="U3956">
        <v>-4.577637E-4</v>
      </c>
      <c r="V3956">
        <v>-7.3333350000000005E-2</v>
      </c>
      <c r="W3956">
        <v>0.36572260000000001</v>
      </c>
      <c r="X3956">
        <v>0.92783040000000006</v>
      </c>
      <c r="Y3956">
        <v>-6.6158709999999997E-3</v>
      </c>
      <c r="Z3956">
        <v>-7.8367140000000003E-4</v>
      </c>
      <c r="AA3956">
        <v>0.99997780000000003</v>
      </c>
      <c r="AB3956">
        <v>43</v>
      </c>
      <c r="AC3956">
        <v>-0.54809999999997605</v>
      </c>
      <c r="AD3956">
        <v>-8.1242999999999899E-2</v>
      </c>
      <c r="AE3956">
        <v>-2.7000000000043599E-3</v>
      </c>
      <c r="AF3956">
        <v>-6.1396366575342202E-3</v>
      </c>
      <c r="AG3956">
        <v>-8.1242999999999899E-2</v>
      </c>
      <c r="AH3956">
        <v>0.53628816621467901</v>
      </c>
      <c r="AI3956">
        <v>98.613757149568997</v>
      </c>
      <c r="AJ3956">
        <v>90.655915835994406</v>
      </c>
      <c r="AK3956">
        <v>0.54244181015956905</v>
      </c>
      <c r="AL3956">
        <v>68.547941076092002</v>
      </c>
      <c r="AM3956">
        <v>94.519117817212802</v>
      </c>
      <c r="AN3956">
        <v>1.0000000257685699</v>
      </c>
    </row>
    <row r="3957" spans="1:40" x14ac:dyDescent="0.25">
      <c r="A3957" t="str">
        <f>"20190304164723546"</f>
        <v>20190304164723546</v>
      </c>
      <c r="B3957" t="str">
        <f>"1551689243543392"</f>
        <v>1551689243543392</v>
      </c>
      <c r="C3957" t="s">
        <v>40</v>
      </c>
      <c r="D3957">
        <v>4.127516</v>
      </c>
      <c r="E3957">
        <v>0.54031689999999999</v>
      </c>
      <c r="F3957" t="s">
        <v>41</v>
      </c>
      <c r="G3957">
        <v>-324.57229999999998</v>
      </c>
      <c r="H3957">
        <v>1.0323150000000001</v>
      </c>
      <c r="I3957">
        <v>141.976</v>
      </c>
      <c r="J3957">
        <v>-324.06209999999999</v>
      </c>
      <c r="K3957">
        <v>1.110954</v>
      </c>
      <c r="L3957">
        <v>141.9786</v>
      </c>
      <c r="M3957">
        <v>-0.99986229999999998</v>
      </c>
      <c r="N3957">
        <v>-1.533721E-2</v>
      </c>
      <c r="O3957">
        <v>6.3532019999999996E-3</v>
      </c>
      <c r="P3957">
        <v>-0.93370319999999996</v>
      </c>
      <c r="Q3957">
        <v>0.35169430000000002</v>
      </c>
      <c r="R3957">
        <v>-6.7156679999999996E-2</v>
      </c>
      <c r="S3957">
        <v>-3.3182680000000002</v>
      </c>
      <c r="T3957">
        <v>-0.28059289999999998</v>
      </c>
      <c r="U3957">
        <v>-9.6130369999999996E-4</v>
      </c>
      <c r="V3957">
        <v>-7.3248030000000006E-2</v>
      </c>
      <c r="W3957">
        <v>0.36593429999999999</v>
      </c>
      <c r="X3957">
        <v>0.92775359999999996</v>
      </c>
      <c r="Y3957">
        <v>-6.6006040000000004E-3</v>
      </c>
      <c r="Z3957">
        <v>-7.6826659999999997E-4</v>
      </c>
      <c r="AA3957">
        <v>0.99997789999999998</v>
      </c>
      <c r="AB3957">
        <v>43</v>
      </c>
      <c r="AC3957">
        <v>-0.51019999999999699</v>
      </c>
      <c r="AD3957">
        <v>-7.8639000000000098E-2</v>
      </c>
      <c r="AE3957">
        <v>-2.6000000000010398E-3</v>
      </c>
      <c r="AF3957">
        <v>-5.70617302484977E-3</v>
      </c>
      <c r="AG3957">
        <v>-7.8639000000000098E-2</v>
      </c>
      <c r="AH3957">
        <v>0.49833446192620401</v>
      </c>
      <c r="AI3957">
        <v>98.966956659346593</v>
      </c>
      <c r="AJ3957">
        <v>90.656035993581696</v>
      </c>
      <c r="AK3957">
        <v>0.50453333752574703</v>
      </c>
      <c r="AL3957">
        <v>68.534906757107294</v>
      </c>
      <c r="AM3957">
        <v>94.514253888663305</v>
      </c>
      <c r="AN3957">
        <v>0.99999996406416403</v>
      </c>
    </row>
    <row r="3958" spans="1:40" x14ac:dyDescent="0.25">
      <c r="A3958" t="str">
        <f>"20190304164723569"</f>
        <v>20190304164723569</v>
      </c>
      <c r="B3958" t="str">
        <f>"1551689243562912"</f>
        <v>1551689243562912</v>
      </c>
      <c r="C3958" t="s">
        <v>40</v>
      </c>
      <c r="D3958">
        <v>4.15517</v>
      </c>
      <c r="E3958">
        <v>0.54028030000000005</v>
      </c>
      <c r="F3958" t="s">
        <v>41</v>
      </c>
      <c r="G3958">
        <v>-324.95510000000002</v>
      </c>
      <c r="H3958">
        <v>1.0358529999999999</v>
      </c>
      <c r="I3958">
        <v>141.97790000000001</v>
      </c>
      <c r="J3958">
        <v>-324.50810000000001</v>
      </c>
      <c r="K3958">
        <v>1.1109560000000001</v>
      </c>
      <c r="L3958">
        <v>141.9812</v>
      </c>
      <c r="M3958">
        <v>-0.99986330000000001</v>
      </c>
      <c r="N3958">
        <v>-1.533375E-2</v>
      </c>
      <c r="O3958">
        <v>6.1750859999999998E-3</v>
      </c>
      <c r="P3958">
        <v>-0.93358050000000004</v>
      </c>
      <c r="Q3958">
        <v>0.352047099999999</v>
      </c>
      <c r="R3958">
        <v>-6.7009020000000002E-2</v>
      </c>
      <c r="S3958">
        <v>-3.3179020000000001</v>
      </c>
      <c r="T3958">
        <v>-0.2790958</v>
      </c>
      <c r="U3958">
        <v>-3.0822750000000002E-3</v>
      </c>
      <c r="V3958">
        <v>-7.2933369999999997E-2</v>
      </c>
      <c r="W3958">
        <v>0.36628260000000001</v>
      </c>
      <c r="X3958">
        <v>0.92764100000000005</v>
      </c>
      <c r="Y3958">
        <v>-7.060696E-3</v>
      </c>
      <c r="Z3958">
        <v>-7.746548E-4</v>
      </c>
      <c r="AA3958">
        <v>0.99997480000000005</v>
      </c>
      <c r="AB3958">
        <v>43</v>
      </c>
      <c r="AC3958">
        <v>-0.44700000000000201</v>
      </c>
      <c r="AD3958">
        <v>-7.5102999999999906E-2</v>
      </c>
      <c r="AE3958">
        <v>-3.2999999999958601E-3</v>
      </c>
      <c r="AF3958">
        <v>-5.8941468931792999E-3</v>
      </c>
      <c r="AG3958">
        <v>-7.5102999999999906E-2</v>
      </c>
      <c r="AH3958">
        <v>0.43470049005230299</v>
      </c>
      <c r="AI3958">
        <v>99.801316291454796</v>
      </c>
      <c r="AJ3958">
        <v>90.776831530986399</v>
      </c>
      <c r="AK3958">
        <v>0.44117991525942202</v>
      </c>
      <c r="AL3958">
        <v>68.513463067939696</v>
      </c>
      <c r="AM3958">
        <v>94.495484503333898</v>
      </c>
      <c r="AN3958">
        <v>1.0000000222016501</v>
      </c>
    </row>
    <row r="3959" spans="1:40" x14ac:dyDescent="0.25">
      <c r="A3959" t="str">
        <f>"20190304164723593"</f>
        <v>20190304164723593</v>
      </c>
      <c r="B3959" t="str">
        <f>"1551689243582431"</f>
        <v>1551689243582431</v>
      </c>
      <c r="C3959" t="s">
        <v>40</v>
      </c>
      <c r="D3959">
        <v>4.1400069999999998</v>
      </c>
      <c r="E3959">
        <v>0.54024799999999995</v>
      </c>
      <c r="F3959" t="s">
        <v>42</v>
      </c>
      <c r="G3959">
        <v>-337.80430000000001</v>
      </c>
      <c r="H3959" s="1">
        <v>-1.6440000000000001E-6</v>
      </c>
      <c r="I3959">
        <v>141.9675</v>
      </c>
      <c r="J3959">
        <v>-324.95049999999998</v>
      </c>
      <c r="K3959">
        <v>1.1109599999999999</v>
      </c>
      <c r="L3959">
        <v>141.9838</v>
      </c>
      <c r="M3959">
        <v>-0.99986459999999999</v>
      </c>
      <c r="N3959">
        <v>-1.5330089999999999E-2</v>
      </c>
      <c r="O3959">
        <v>5.9981640000000003E-3</v>
      </c>
      <c r="P3959">
        <v>-0.93348569999999997</v>
      </c>
      <c r="Q3959">
        <v>0.35224800000000001</v>
      </c>
      <c r="R3959">
        <v>-6.7273949999999999E-2</v>
      </c>
      <c r="S3959">
        <v>-3.3177490000000001</v>
      </c>
      <c r="T3959">
        <v>-0.2772133</v>
      </c>
      <c r="U3959">
        <v>-3.433228E-3</v>
      </c>
      <c r="V3959">
        <v>-7.3032559999999996E-2</v>
      </c>
      <c r="W3959">
        <v>0.3664791</v>
      </c>
      <c r="X3959">
        <v>0.92755560000000004</v>
      </c>
      <c r="Y3959">
        <v>-6.9908720000000004E-3</v>
      </c>
      <c r="Z3959">
        <v>-7.53724E-4</v>
      </c>
      <c r="AA3959">
        <v>0.99997530000000001</v>
      </c>
      <c r="AB3959">
        <v>42</v>
      </c>
      <c r="AC3959">
        <v>-12.8538</v>
      </c>
      <c r="AD3959">
        <v>-1.1109616440000001</v>
      </c>
      <c r="AE3959">
        <v>-1.6300000000001001E-2</v>
      </c>
      <c r="AF3959">
        <v>-9.2715354680741296E-2</v>
      </c>
      <c r="AG3959">
        <v>-1.1109616440000001</v>
      </c>
      <c r="AH3959">
        <v>12.7581644287181</v>
      </c>
      <c r="AI3959">
        <v>94.976545508417104</v>
      </c>
      <c r="AJ3959">
        <v>90.416369066035102</v>
      </c>
      <c r="AK3959">
        <v>12.806779122856801</v>
      </c>
      <c r="AL3959">
        <v>68.501363438024299</v>
      </c>
      <c r="AM3959">
        <v>94.501986044215798</v>
      </c>
      <c r="AN3959">
        <v>1.0000000383241601</v>
      </c>
    </row>
    <row r="3960" spans="1:40" x14ac:dyDescent="0.25">
      <c r="A3960" t="str">
        <f>"20190304164723613"</f>
        <v>20190304164723613</v>
      </c>
      <c r="B3960" t="str">
        <f>"1551689243602927"</f>
        <v>1551689243602927</v>
      </c>
      <c r="C3960" t="s">
        <v>40</v>
      </c>
      <c r="D3960">
        <v>4.1547790000000004</v>
      </c>
      <c r="E3960">
        <v>0.54022389999999998</v>
      </c>
      <c r="F3960" t="s">
        <v>42</v>
      </c>
      <c r="G3960">
        <v>-338.30560000000003</v>
      </c>
      <c r="H3960" s="1">
        <v>-1.405725E-6</v>
      </c>
      <c r="I3960">
        <v>141.96270000000001</v>
      </c>
      <c r="J3960">
        <v>-325.3528</v>
      </c>
      <c r="K3960">
        <v>1.1109690000000001</v>
      </c>
      <c r="L3960">
        <v>141.98609999999999</v>
      </c>
      <c r="M3960">
        <v>-0.99986560000000002</v>
      </c>
      <c r="N3960">
        <v>-1.5326579999999999E-2</v>
      </c>
      <c r="O3960">
        <v>5.8371539999999998E-3</v>
      </c>
      <c r="P3960">
        <v>-0.93327139999999997</v>
      </c>
      <c r="Q3960">
        <v>0.35282210000000003</v>
      </c>
      <c r="R3960">
        <v>-6.7241120000000001E-2</v>
      </c>
      <c r="S3960">
        <v>-3.3175349999999999</v>
      </c>
      <c r="T3960">
        <v>-0.275972099999999</v>
      </c>
      <c r="U3960">
        <v>-5.2490230000000002E-3</v>
      </c>
      <c r="V3960">
        <v>-7.2847839999999997E-2</v>
      </c>
      <c r="W3960">
        <v>0.36704690000000001</v>
      </c>
      <c r="X3960">
        <v>0.92734550000000004</v>
      </c>
      <c r="Y3960">
        <v>-7.3764039999999996E-3</v>
      </c>
      <c r="Z3960">
        <v>-7.5831019999999996E-4</v>
      </c>
      <c r="AA3960">
        <v>0.99997250000000004</v>
      </c>
      <c r="AB3960">
        <v>42</v>
      </c>
      <c r="AC3960">
        <v>-12.9528</v>
      </c>
      <c r="AD3960">
        <v>-1.1109704057250001</v>
      </c>
      <c r="AE3960">
        <v>-2.3399999999980901E-2</v>
      </c>
      <c r="AF3960">
        <v>-9.8292864262240903E-2</v>
      </c>
      <c r="AG3960">
        <v>-1.1109704057250001</v>
      </c>
      <c r="AH3960">
        <v>12.8578527906164</v>
      </c>
      <c r="AI3960">
        <v>94.938178251004302</v>
      </c>
      <c r="AJ3960">
        <v>90.437993549002002</v>
      </c>
      <c r="AK3960">
        <v>12.9061340111872</v>
      </c>
      <c r="AL3960">
        <v>68.466392158458802</v>
      </c>
      <c r="AM3960">
        <v>94.491659122302906</v>
      </c>
      <c r="AN3960">
        <v>0.99999995548126097</v>
      </c>
    </row>
    <row r="3961" spans="1:40" x14ac:dyDescent="0.25">
      <c r="A3961" t="str">
        <f>"20190304164723636"</f>
        <v>20190304164723636</v>
      </c>
      <c r="B3961" t="str">
        <f>"1551689243633185"</f>
        <v>1551689243633185</v>
      </c>
      <c r="C3961" t="s">
        <v>40</v>
      </c>
      <c r="D3961">
        <v>4.170655</v>
      </c>
      <c r="E3961">
        <v>0.54019019999999995</v>
      </c>
      <c r="F3961" t="s">
        <v>42</v>
      </c>
      <c r="G3961">
        <v>-338.83640000000003</v>
      </c>
      <c r="H3961" s="1">
        <v>-1.155454E-6</v>
      </c>
      <c r="I3961">
        <v>141.96510000000001</v>
      </c>
      <c r="J3961">
        <v>-325.75459999999998</v>
      </c>
      <c r="K3961">
        <v>1.110975</v>
      </c>
      <c r="L3961">
        <v>141.98830000000001</v>
      </c>
      <c r="M3961">
        <v>-0.99986649999999999</v>
      </c>
      <c r="N3961">
        <v>-1.532293E-2</v>
      </c>
      <c r="O3961">
        <v>5.6765030000000003E-3</v>
      </c>
      <c r="P3961">
        <v>-0.93318190000000001</v>
      </c>
      <c r="Q3961">
        <v>0.35310780000000003</v>
      </c>
      <c r="R3961">
        <v>-6.6983680000000004E-2</v>
      </c>
      <c r="S3961">
        <v>-3.3175050000000001</v>
      </c>
      <c r="T3961">
        <v>-0.27334239999999999</v>
      </c>
      <c r="U3961">
        <v>-5.172729E-3</v>
      </c>
      <c r="V3961">
        <v>-7.2440350000000001E-2</v>
      </c>
      <c r="W3961">
        <v>0.36732769999999998</v>
      </c>
      <c r="X3961">
        <v>0.92726629999999999</v>
      </c>
      <c r="Y3961">
        <v>-7.1946830000000003E-3</v>
      </c>
      <c r="Z3961">
        <v>-7.3118409999999999E-4</v>
      </c>
      <c r="AA3961">
        <v>0.99997380000000002</v>
      </c>
      <c r="AB3961">
        <v>42</v>
      </c>
      <c r="AC3961">
        <v>-13.081799999999999</v>
      </c>
      <c r="AD3961">
        <v>-1.1109761554539901</v>
      </c>
      <c r="AE3961">
        <v>-2.3200000000002701E-2</v>
      </c>
      <c r="AF3961">
        <v>-9.6769293021097394E-2</v>
      </c>
      <c r="AG3961">
        <v>-1.1109761554539901</v>
      </c>
      <c r="AH3961">
        <v>12.987785812938601</v>
      </c>
      <c r="AI3961">
        <v>94.8890484460984</v>
      </c>
      <c r="AJ3961">
        <v>90.426891046763103</v>
      </c>
      <c r="AK3961">
        <v>13.035574887086099</v>
      </c>
      <c r="AL3961">
        <v>68.449096662011897</v>
      </c>
      <c r="AM3961">
        <v>94.467015983263096</v>
      </c>
      <c r="AN3961">
        <v>1.0000000173055501</v>
      </c>
    </row>
    <row r="3962" spans="1:40" x14ac:dyDescent="0.25">
      <c r="A3962" t="str">
        <f>"20190304164723659"</f>
        <v>20190304164723659</v>
      </c>
      <c r="B3962" t="str">
        <f>"1551689243652703"</f>
        <v>1551689243652703</v>
      </c>
      <c r="C3962" t="s">
        <v>40</v>
      </c>
      <c r="D3962">
        <v>4.2105129999999997</v>
      </c>
      <c r="E3962">
        <v>0.54017079999999995</v>
      </c>
      <c r="F3962" t="s">
        <v>41</v>
      </c>
      <c r="G3962">
        <v>-326.83789999999999</v>
      </c>
      <c r="H3962">
        <v>1.0223660000000001</v>
      </c>
      <c r="I3962">
        <v>141.9872</v>
      </c>
      <c r="J3962">
        <v>-326.20729999999998</v>
      </c>
      <c r="K3962">
        <v>1.1109719999999901</v>
      </c>
      <c r="L3962">
        <v>141.9907</v>
      </c>
      <c r="M3962">
        <v>-0.99986770000000003</v>
      </c>
      <c r="N3962">
        <v>-1.5318699999999999E-2</v>
      </c>
      <c r="O3962">
        <v>5.4953550000000004E-3</v>
      </c>
      <c r="P3962">
        <v>-0.93319759999999996</v>
      </c>
      <c r="Q3962">
        <v>0.35317920000000003</v>
      </c>
      <c r="R3962">
        <v>-6.6385659999999999E-2</v>
      </c>
      <c r="S3962">
        <v>-3.3171390000000001</v>
      </c>
      <c r="T3962">
        <v>-0.27149959999999901</v>
      </c>
      <c r="U3962">
        <v>-4.5776369999999999E-3</v>
      </c>
      <c r="V3962">
        <v>-7.1672879999999994E-2</v>
      </c>
      <c r="W3962">
        <v>0.367396</v>
      </c>
      <c r="X3962">
        <v>0.92729879999999998</v>
      </c>
      <c r="Y3962">
        <v>-6.8366729999999997E-3</v>
      </c>
      <c r="Z3962">
        <v>-6.9674329999999999E-4</v>
      </c>
      <c r="AA3962">
        <v>0.99997639999999999</v>
      </c>
      <c r="AB3962">
        <v>42</v>
      </c>
      <c r="AC3962">
        <v>-0.63060000000001504</v>
      </c>
      <c r="AD3962">
        <v>-8.8605999999999893E-2</v>
      </c>
      <c r="AE3962">
        <v>-3.5000000000024998E-3</v>
      </c>
      <c r="AF3962">
        <v>-6.8308649640005398E-3</v>
      </c>
      <c r="AG3962">
        <v>-8.8605999999999893E-2</v>
      </c>
      <c r="AH3962">
        <v>0.61836312709879804</v>
      </c>
      <c r="AI3962">
        <v>98.153982812354499</v>
      </c>
      <c r="AJ3962">
        <v>90.632902896275596</v>
      </c>
      <c r="AK3962">
        <v>0.62471644840484297</v>
      </c>
      <c r="AL3962">
        <v>68.444887493931702</v>
      </c>
      <c r="AM3962">
        <v>94.419724369646801</v>
      </c>
      <c r="AN3962">
        <v>0.99999994351246502</v>
      </c>
    </row>
    <row r="3963" spans="1:40" x14ac:dyDescent="0.25">
      <c r="A3963" t="str">
        <f>"20190304164723681"</f>
        <v>20190304164723681</v>
      </c>
      <c r="B3963" t="str">
        <f>"1551689243673199"</f>
        <v>1551689243673199</v>
      </c>
      <c r="C3963" t="s">
        <v>40</v>
      </c>
      <c r="D3963">
        <v>4.5795659999999998</v>
      </c>
      <c r="E3963">
        <v>0.54014099999999998</v>
      </c>
      <c r="F3963" t="s">
        <v>41</v>
      </c>
      <c r="G3963">
        <v>-327.21879999999999</v>
      </c>
      <c r="H3963">
        <v>1.028403</v>
      </c>
      <c r="I3963">
        <v>141.98990000000001</v>
      </c>
      <c r="J3963">
        <v>-326.64159999999998</v>
      </c>
      <c r="K3963">
        <v>1.110975</v>
      </c>
      <c r="L3963">
        <v>141.99289999999999</v>
      </c>
      <c r="M3963">
        <v>-0.99986850000000005</v>
      </c>
      <c r="N3963">
        <v>-1.531449E-2</v>
      </c>
      <c r="O3963">
        <v>5.3215390000000001E-3</v>
      </c>
      <c r="P3963">
        <v>-0.93291930000000001</v>
      </c>
      <c r="Q3963">
        <v>0.35393269999999999</v>
      </c>
      <c r="R3963">
        <v>-6.6279749999999998E-2</v>
      </c>
      <c r="S3963">
        <v>-3.3170169999999999</v>
      </c>
      <c r="T3963">
        <v>-0.27091029999999999</v>
      </c>
      <c r="U3963">
        <v>-3.585815E-3</v>
      </c>
      <c r="V3963">
        <v>-7.140349E-2</v>
      </c>
      <c r="W3963">
        <v>0.36814190000000002</v>
      </c>
      <c r="X3963">
        <v>0.92702379999999995</v>
      </c>
      <c r="Y3963">
        <v>-6.3662980000000003E-3</v>
      </c>
      <c r="Z3963">
        <v>-6.6090219999999996E-4</v>
      </c>
      <c r="AA3963">
        <v>0.99997950000000002</v>
      </c>
      <c r="AB3963">
        <v>42</v>
      </c>
      <c r="AC3963">
        <v>-0.57720000000000404</v>
      </c>
      <c r="AD3963">
        <v>-8.2572000000000007E-2</v>
      </c>
      <c r="AE3963">
        <v>-2.9999999999858998E-3</v>
      </c>
      <c r="AF3963">
        <v>-5.95014354317722E-3</v>
      </c>
      <c r="AG3963">
        <v>-8.2572000000000007E-2</v>
      </c>
      <c r="AH3963">
        <v>0.56560111229672605</v>
      </c>
      <c r="AI3963">
        <v>98.305470468715896</v>
      </c>
      <c r="AJ3963">
        <v>90.602731376134201</v>
      </c>
      <c r="AK3963">
        <v>0.57162763896043201</v>
      </c>
      <c r="AL3963">
        <v>68.398931483590999</v>
      </c>
      <c r="AM3963">
        <v>94.404478881579706</v>
      </c>
      <c r="AN3963">
        <v>1.0000000213431099</v>
      </c>
    </row>
    <row r="3964" spans="1:40" x14ac:dyDescent="0.25">
      <c r="A3964" t="str">
        <f>"20190304164723703"</f>
        <v>20190304164723703</v>
      </c>
      <c r="B3964" t="str">
        <f>"1551689243692720"</f>
        <v>1551689243692720</v>
      </c>
      <c r="C3964" t="s">
        <v>40</v>
      </c>
      <c r="D3964">
        <v>4.2644250000000001</v>
      </c>
      <c r="E3964">
        <v>0.54012269999999996</v>
      </c>
      <c r="F3964" t="s">
        <v>41</v>
      </c>
      <c r="G3964">
        <v>-327.60000000000002</v>
      </c>
      <c r="H3964">
        <v>1.03372</v>
      </c>
      <c r="I3964">
        <v>141.99199999999999</v>
      </c>
      <c r="J3964">
        <v>-327.03339999999997</v>
      </c>
      <c r="K3964">
        <v>1.110976</v>
      </c>
      <c r="L3964">
        <v>141.9949</v>
      </c>
      <c r="M3964">
        <v>-0.99986960000000003</v>
      </c>
      <c r="N3964">
        <v>-1.5310570000000001E-2</v>
      </c>
      <c r="O3964">
        <v>5.1644079999999997E-3</v>
      </c>
      <c r="P3964">
        <v>-0.93290110000000004</v>
      </c>
      <c r="Q3964">
        <v>0.35396030000000001</v>
      </c>
      <c r="R3964">
        <v>-6.6390909999999997E-2</v>
      </c>
      <c r="S3964">
        <v>-3.3168950000000001</v>
      </c>
      <c r="T3964">
        <v>-0.26749780000000001</v>
      </c>
      <c r="U3964">
        <v>-4.1351319999999997E-3</v>
      </c>
      <c r="V3964">
        <v>-7.1367840000000002E-2</v>
      </c>
      <c r="W3964">
        <v>0.36816579999999999</v>
      </c>
      <c r="X3964">
        <v>0.92701699999999998</v>
      </c>
      <c r="Y3964">
        <v>-6.3760300000000004E-3</v>
      </c>
      <c r="Z3964">
        <v>-6.4244159999999999E-4</v>
      </c>
      <c r="AA3964">
        <v>0.99997950000000002</v>
      </c>
      <c r="AB3964">
        <v>42</v>
      </c>
      <c r="AC3964">
        <v>-0.56660000000004995</v>
      </c>
      <c r="AD3964">
        <v>-7.7255999999999894E-2</v>
      </c>
      <c r="AE3964">
        <v>-2.8999999999825801E-3</v>
      </c>
      <c r="AF3964">
        <v>-5.72011550018781E-3</v>
      </c>
      <c r="AG3964">
        <v>-7.7255999999999894E-2</v>
      </c>
      <c r="AH3964">
        <v>0.55623653766195702</v>
      </c>
      <c r="AI3964">
        <v>97.906843428258597</v>
      </c>
      <c r="AJ3964">
        <v>90.589186257965295</v>
      </c>
      <c r="AK3964">
        <v>0.56160510600198199</v>
      </c>
      <c r="AL3964">
        <v>68.397457542391805</v>
      </c>
      <c r="AM3964">
        <v>94.402320646100804</v>
      </c>
      <c r="AN3964">
        <v>0.99999997158245202</v>
      </c>
    </row>
    <row r="3965" spans="1:40" x14ac:dyDescent="0.25">
      <c r="A3965" t="str">
        <f>"20190304164723726"</f>
        <v>20190304164723726</v>
      </c>
      <c r="B3965" t="str">
        <f>"1551689243722975"</f>
        <v>1551689243722975</v>
      </c>
      <c r="C3965" t="s">
        <v>40</v>
      </c>
      <c r="D3965">
        <v>4.1937540000000002</v>
      </c>
      <c r="E3965">
        <v>0.5114803</v>
      </c>
      <c r="F3965" t="s">
        <v>41</v>
      </c>
      <c r="G3965">
        <v>-327.97750000000002</v>
      </c>
      <c r="H3965">
        <v>1.0350790000000001</v>
      </c>
      <c r="I3965">
        <v>141.9941</v>
      </c>
      <c r="J3965">
        <v>-327.46910000000003</v>
      </c>
      <c r="K3965">
        <v>1.1109830000000001</v>
      </c>
      <c r="L3965">
        <v>141.99700000000001</v>
      </c>
      <c r="M3965">
        <v>-0.9998705</v>
      </c>
      <c r="N3965">
        <v>-1.5306149999999999E-2</v>
      </c>
      <c r="O3965">
        <v>4.9896990000000002E-3</v>
      </c>
      <c r="P3965">
        <v>-0.93286199999999997</v>
      </c>
      <c r="Q3965">
        <v>0.35406159999999998</v>
      </c>
      <c r="R3965">
        <v>-6.6402520000000007E-2</v>
      </c>
      <c r="S3965">
        <v>-3.3166809999999902</v>
      </c>
      <c r="T3965">
        <v>-0.26669880000000001</v>
      </c>
      <c r="U3965">
        <v>-3.5095209999999998E-3</v>
      </c>
      <c r="V3965">
        <v>-7.1215940000000005E-2</v>
      </c>
      <c r="W3965">
        <v>0.3682629</v>
      </c>
      <c r="X3965">
        <v>0.92699019999999999</v>
      </c>
      <c r="Y3965">
        <v>-6.0147300000000002E-3</v>
      </c>
      <c r="Z3965">
        <v>-6.1186159999999999E-4</v>
      </c>
      <c r="AA3965">
        <v>0.99998169999999997</v>
      </c>
      <c r="AB3965">
        <v>42</v>
      </c>
      <c r="AC3965">
        <v>-0.50839999999999397</v>
      </c>
      <c r="AD3965">
        <v>-7.5903999999999902E-2</v>
      </c>
      <c r="AE3965">
        <v>-2.9000000000110001E-3</v>
      </c>
      <c r="AF3965">
        <v>-5.3184766072522597E-3</v>
      </c>
      <c r="AG3965">
        <v>-7.5903999999999902E-2</v>
      </c>
      <c r="AH3965">
        <v>0.497294652060362</v>
      </c>
      <c r="AI3965">
        <v>98.6778076344916</v>
      </c>
      <c r="AJ3965">
        <v>90.612744666481603</v>
      </c>
      <c r="AK3965">
        <v>0.503082174577135</v>
      </c>
      <c r="AL3965">
        <v>68.391475534004996</v>
      </c>
      <c r="AM3965">
        <v>94.393113928995803</v>
      </c>
      <c r="AN3965">
        <v>1.00000005226126</v>
      </c>
    </row>
    <row r="3966" spans="1:40" x14ac:dyDescent="0.25">
      <c r="A3966" t="str">
        <f>"20190304164723748"</f>
        <v>20190304164723748</v>
      </c>
      <c r="B3966" t="str">
        <f>"1551689243742496"</f>
        <v>1551689243742496</v>
      </c>
      <c r="C3966" t="s">
        <v>40</v>
      </c>
      <c r="D3966">
        <v>4.1924919999999997</v>
      </c>
      <c r="E3966">
        <v>0.50537609999999999</v>
      </c>
      <c r="F3966" t="s">
        <v>42</v>
      </c>
      <c r="G3966">
        <v>-347.02480000000003</v>
      </c>
      <c r="H3966" s="1">
        <v>-1.534343E-6</v>
      </c>
      <c r="I3966">
        <v>140.6525</v>
      </c>
      <c r="J3966">
        <v>-327.87520000000001</v>
      </c>
      <c r="K3966">
        <v>1.110984</v>
      </c>
      <c r="L3966">
        <v>141.99889999999999</v>
      </c>
      <c r="M3966">
        <v>-0.99987139999999997</v>
      </c>
      <c r="N3966">
        <v>-1.530197E-2</v>
      </c>
      <c r="O3966">
        <v>4.8269669999999997E-3</v>
      </c>
      <c r="P3966">
        <v>-0.93297019999999997</v>
      </c>
      <c r="Q3966">
        <v>0.35373120000000002</v>
      </c>
      <c r="R3966">
        <v>-6.6641900000000004E-2</v>
      </c>
      <c r="S3966">
        <v>-3.2703859999999998</v>
      </c>
      <c r="T3966">
        <v>-0.18579490000000001</v>
      </c>
      <c r="U3966">
        <v>-0.22483829999999999</v>
      </c>
      <c r="V3966">
        <v>-7.130338E-2</v>
      </c>
      <c r="W3966">
        <v>0.36793039999999999</v>
      </c>
      <c r="X3966">
        <v>0.92711540000000003</v>
      </c>
      <c r="Y3966">
        <v>-7.3249700000000001E-2</v>
      </c>
      <c r="Z3966">
        <v>-2.8382429999999998E-3</v>
      </c>
      <c r="AA3966">
        <v>0.99730960000000002</v>
      </c>
      <c r="AB3966">
        <v>42</v>
      </c>
      <c r="AC3966">
        <v>-19.1496</v>
      </c>
      <c r="AD3966">
        <v>-1.110985534343</v>
      </c>
      <c r="AE3966">
        <v>-1.3463999999999801</v>
      </c>
      <c r="AF3966">
        <v>-1.43402660514709</v>
      </c>
      <c r="AG3966">
        <v>-1.110985534343</v>
      </c>
      <c r="AH3966">
        <v>19.078975601627199</v>
      </c>
      <c r="AI3966">
        <v>93.323267302780096</v>
      </c>
      <c r="AJ3966">
        <v>94.298420963438005</v>
      </c>
      <c r="AK3966">
        <v>19.165021032320102</v>
      </c>
      <c r="AL3966">
        <v>68.411962860129293</v>
      </c>
      <c r="AM3966">
        <v>94.397895053649904</v>
      </c>
      <c r="AN3966">
        <v>0.99999995808037101</v>
      </c>
    </row>
    <row r="3967" spans="1:40" x14ac:dyDescent="0.25">
      <c r="A3967" t="str">
        <f>"20190304164723770"</f>
        <v>20190304164723770</v>
      </c>
      <c r="B3967" t="str">
        <f>"1551689243762995"</f>
        <v>1551689243762995</v>
      </c>
      <c r="C3967" t="s">
        <v>40</v>
      </c>
      <c r="D3967">
        <v>4.220021</v>
      </c>
      <c r="E3967">
        <v>0.50238430000000001</v>
      </c>
      <c r="F3967" t="s">
        <v>42</v>
      </c>
      <c r="G3967">
        <v>-347.01199999999898</v>
      </c>
      <c r="H3967" s="1">
        <v>-1.4692479999999999E-6</v>
      </c>
      <c r="I3967">
        <v>140.3871</v>
      </c>
      <c r="J3967">
        <v>-328.30059999999997</v>
      </c>
      <c r="K3967">
        <v>1.110984</v>
      </c>
      <c r="L3967">
        <v>142.0008</v>
      </c>
      <c r="M3967">
        <v>-0.99987210000000004</v>
      </c>
      <c r="N3967">
        <v>-1.529753E-2</v>
      </c>
      <c r="O3967">
        <v>4.6561950000000001E-3</v>
      </c>
      <c r="P3967">
        <v>-0.93289730000000004</v>
      </c>
      <c r="Q3967">
        <v>0.35394890000000001</v>
      </c>
      <c r="R3967">
        <v>-6.6505120000000001E-2</v>
      </c>
      <c r="S3967">
        <v>-3.267792</v>
      </c>
      <c r="T3967">
        <v>-0.18971170000000001</v>
      </c>
      <c r="U3967">
        <v>-0.27520749999999999</v>
      </c>
      <c r="V3967">
        <v>-7.1006929999999996E-2</v>
      </c>
      <c r="W3967">
        <v>0.3681432</v>
      </c>
      <c r="X3967">
        <v>0.92705369999999998</v>
      </c>
      <c r="Y3967">
        <v>-8.8369290000000003E-2</v>
      </c>
      <c r="Z3967">
        <v>-3.4348949999999999E-3</v>
      </c>
      <c r="AA3967">
        <v>0.99608189999999996</v>
      </c>
      <c r="AB3967">
        <v>42</v>
      </c>
      <c r="AC3967">
        <v>-18.711399999999902</v>
      </c>
      <c r="AD3967">
        <v>-1.1109854692479999</v>
      </c>
      <c r="AE3967">
        <v>-1.6136999999999899</v>
      </c>
      <c r="AF3967">
        <v>-1.6948856504059</v>
      </c>
      <c r="AG3967">
        <v>-1.1109854692479999</v>
      </c>
      <c r="AH3967">
        <v>18.6384602434517</v>
      </c>
      <c r="AI3967">
        <v>93.397217752574704</v>
      </c>
      <c r="AJ3967">
        <v>95.195892889025203</v>
      </c>
      <c r="AK3967">
        <v>18.7483099592353</v>
      </c>
      <c r="AL3967">
        <v>68.398850463261994</v>
      </c>
      <c r="AM3967">
        <v>94.379972067665506</v>
      </c>
      <c r="AN3967">
        <v>0.99999998124897704</v>
      </c>
    </row>
    <row r="3968" spans="1:40" x14ac:dyDescent="0.25">
      <c r="A3968" t="str">
        <f>"20190304164723793"</f>
        <v>20190304164723793</v>
      </c>
      <c r="B3968" t="str">
        <f>"1551689243782511"</f>
        <v>1551689243782511</v>
      </c>
      <c r="C3968" t="s">
        <v>40</v>
      </c>
      <c r="D3968">
        <v>4.2243890000000004</v>
      </c>
      <c r="E3968">
        <v>0.50086719999999996</v>
      </c>
      <c r="F3968" t="s">
        <v>42</v>
      </c>
      <c r="G3968">
        <v>-346.89479999999998</v>
      </c>
      <c r="H3968" s="1">
        <v>-1.496169E-6</v>
      </c>
      <c r="I3968">
        <v>140.29929999999999</v>
      </c>
      <c r="J3968">
        <v>-328.72750000000002</v>
      </c>
      <c r="K3968">
        <v>1.1109869999999999</v>
      </c>
      <c r="L3968">
        <v>142.0026</v>
      </c>
      <c r="M3968">
        <v>-0.99987309999999996</v>
      </c>
      <c r="N3968">
        <v>-1.5292989999999999E-2</v>
      </c>
      <c r="O3968">
        <v>4.4846460000000001E-3</v>
      </c>
      <c r="P3968">
        <v>-0.93284619999999996</v>
      </c>
      <c r="Q3968">
        <v>0.35397620000000002</v>
      </c>
      <c r="R3968">
        <v>-6.707552E-2</v>
      </c>
      <c r="S3968">
        <v>-3.2685550000000001</v>
      </c>
      <c r="T3968">
        <v>-0.1952932</v>
      </c>
      <c r="U3968">
        <v>-0.29907230000000001</v>
      </c>
      <c r="V3968">
        <v>-7.1416469999999996E-2</v>
      </c>
      <c r="W3968">
        <v>0.36816579999999999</v>
      </c>
      <c r="X3968">
        <v>0.92701330000000004</v>
      </c>
      <c r="Y3968">
        <v>-9.5368190000000005E-2</v>
      </c>
      <c r="Z3968">
        <v>-3.7710069999999998E-3</v>
      </c>
      <c r="AA3968">
        <v>0.99543490000000001</v>
      </c>
      <c r="AB3968">
        <v>42</v>
      </c>
      <c r="AC3968">
        <v>-18.167299999999901</v>
      </c>
      <c r="AD3968">
        <v>-1.110988496169</v>
      </c>
      <c r="AE3968">
        <v>-1.70330000000001</v>
      </c>
      <c r="AF3968">
        <v>-1.7781743791757501</v>
      </c>
      <c r="AG3968">
        <v>-1.110988496169</v>
      </c>
      <c r="AH3968">
        <v>18.092406824752999</v>
      </c>
      <c r="AI3968">
        <v>93.497104421449805</v>
      </c>
      <c r="AJ3968">
        <v>95.613168698528199</v>
      </c>
      <c r="AK3968">
        <v>18.213494565122499</v>
      </c>
      <c r="AL3968">
        <v>68.397458491756197</v>
      </c>
      <c r="AM3968">
        <v>94.405326094021902</v>
      </c>
      <c r="AN3968">
        <v>1.00000001342689</v>
      </c>
    </row>
    <row r="3969" spans="1:40" x14ac:dyDescent="0.25">
      <c r="A3969" t="str">
        <f>"20190304164723815"</f>
        <v>20190304164723815</v>
      </c>
      <c r="B3969" t="str">
        <f>"1551689243803008"</f>
        <v>1551689243803008</v>
      </c>
      <c r="C3969" t="s">
        <v>40</v>
      </c>
      <c r="D3969">
        <v>4.2110070000000004</v>
      </c>
      <c r="E3969">
        <v>0.4998322</v>
      </c>
      <c r="F3969" t="s">
        <v>42</v>
      </c>
      <c r="G3969">
        <v>-347.0949</v>
      </c>
      <c r="H3969" s="1">
        <v>-1.395169E-6</v>
      </c>
      <c r="I3969">
        <v>140.2423</v>
      </c>
      <c r="J3969">
        <v>-329.13850000000002</v>
      </c>
      <c r="K3969">
        <v>1.1109800000000001</v>
      </c>
      <c r="L3969">
        <v>142.0043</v>
      </c>
      <c r="M3969">
        <v>-0.99987389999999998</v>
      </c>
      <c r="N3969">
        <v>-1.5288299999999901E-2</v>
      </c>
      <c r="O3969">
        <v>4.3193559999999999E-3</v>
      </c>
      <c r="P3969">
        <v>-0.93281170000000002</v>
      </c>
      <c r="Q3969">
        <v>0.35401680000000002</v>
      </c>
      <c r="R3969">
        <v>-6.7340449999999996E-2</v>
      </c>
      <c r="S3969">
        <v>-3.268494</v>
      </c>
      <c r="T3969">
        <v>-0.1977023</v>
      </c>
      <c r="U3969">
        <v>-0.31323240000000002</v>
      </c>
      <c r="V3969">
        <v>-7.1526770000000003E-2</v>
      </c>
      <c r="W3969">
        <v>0.36820170000000002</v>
      </c>
      <c r="X3969">
        <v>0.92699050000000005</v>
      </c>
      <c r="Y3969">
        <v>-9.9465600000000001E-2</v>
      </c>
      <c r="Z3969">
        <v>-3.9561860000000004E-3</v>
      </c>
      <c r="AA3969">
        <v>0.9950331</v>
      </c>
      <c r="AB3969">
        <v>42</v>
      </c>
      <c r="AC3969">
        <v>-17.956399999999899</v>
      </c>
      <c r="AD3969">
        <v>-1.110981395169</v>
      </c>
      <c r="AE3969">
        <v>-1.762</v>
      </c>
      <c r="AF3969">
        <v>-1.83260434623954</v>
      </c>
      <c r="AG3969">
        <v>-1.110981395169</v>
      </c>
      <c r="AH3969">
        <v>17.8808253639497</v>
      </c>
      <c r="AI3969">
        <v>93.536882757020905</v>
      </c>
      <c r="AJ3969">
        <v>95.851807404506104</v>
      </c>
      <c r="AK3969">
        <v>18.0087932423673</v>
      </c>
      <c r="AL3969">
        <v>68.395245380583006</v>
      </c>
      <c r="AM3969">
        <v>94.412211196719895</v>
      </c>
      <c r="AN3969">
        <v>0.99999997889988601</v>
      </c>
    </row>
    <row r="3970" spans="1:40" x14ac:dyDescent="0.25">
      <c r="A3970" t="str">
        <f>"20190304164723837"</f>
        <v>20190304164723837</v>
      </c>
      <c r="B3970" t="str">
        <f>"1551689243833264"</f>
        <v>1551689243833264</v>
      </c>
      <c r="C3970" t="s">
        <v>40</v>
      </c>
      <c r="D3970">
        <v>4.1963010000000001</v>
      </c>
      <c r="E3970">
        <v>0.49880200000000002</v>
      </c>
      <c r="F3970" t="s">
        <v>42</v>
      </c>
      <c r="G3970">
        <v>-347.3734</v>
      </c>
      <c r="H3970" s="1">
        <v>-1.2658560000000001E-6</v>
      </c>
      <c r="I3970">
        <v>140.20529999999999</v>
      </c>
      <c r="J3970">
        <v>-329.53680000000003</v>
      </c>
      <c r="K3970">
        <v>1.1109800000000001</v>
      </c>
      <c r="L3970">
        <v>142.0059</v>
      </c>
      <c r="M3970">
        <v>-0.99987470000000001</v>
      </c>
      <c r="N3970">
        <v>-1.528384E-2</v>
      </c>
      <c r="O3970">
        <v>4.1592499999999998E-3</v>
      </c>
      <c r="P3970">
        <v>-0.93273459999999997</v>
      </c>
      <c r="Q3970">
        <v>0.35410950000000002</v>
      </c>
      <c r="R3970">
        <v>-6.7918179999999995E-2</v>
      </c>
      <c r="S3970">
        <v>-3.2683719999999998</v>
      </c>
      <c r="T3970">
        <v>-0.19913030000000001</v>
      </c>
      <c r="U3970">
        <v>-0.32243349999999998</v>
      </c>
      <c r="V3970">
        <v>-7.1954599999999994E-2</v>
      </c>
      <c r="W3970">
        <v>0.36828899999999998</v>
      </c>
      <c r="X3970">
        <v>0.92692269999999999</v>
      </c>
      <c r="Y3970">
        <v>-0.1020756</v>
      </c>
      <c r="Z3970">
        <v>-4.0712580000000003E-3</v>
      </c>
      <c r="AA3970">
        <v>0.99476830000000005</v>
      </c>
      <c r="AB3970">
        <v>42</v>
      </c>
      <c r="AC3970">
        <v>-17.836599999999901</v>
      </c>
      <c r="AD3970">
        <v>-1.1109812658560001</v>
      </c>
      <c r="AE3970">
        <v>-1.8006</v>
      </c>
      <c r="AF3970">
        <v>-1.8676074396684099</v>
      </c>
      <c r="AG3970">
        <v>-1.1109812658560001</v>
      </c>
      <c r="AH3970">
        <v>17.760745813237602</v>
      </c>
      <c r="AI3970">
        <v>93.559762126048199</v>
      </c>
      <c r="AJ3970">
        <v>96.002800914885796</v>
      </c>
      <c r="AK3970">
        <v>17.893192246332799</v>
      </c>
      <c r="AL3970">
        <v>68.389865241080301</v>
      </c>
      <c r="AM3970">
        <v>94.438820595767993</v>
      </c>
      <c r="AN3970">
        <v>0.99999997187872403</v>
      </c>
    </row>
    <row r="3971" spans="1:40" x14ac:dyDescent="0.25">
      <c r="A3971" t="str">
        <f>"20190304164723860"</f>
        <v>20190304164723860</v>
      </c>
      <c r="B3971" t="str">
        <f>"1551689243852786"</f>
        <v>1551689243852786</v>
      </c>
      <c r="C3971" t="s">
        <v>40</v>
      </c>
      <c r="D3971">
        <v>4.2071839999999998</v>
      </c>
      <c r="E3971">
        <v>0.4983205</v>
      </c>
      <c r="F3971" t="s">
        <v>42</v>
      </c>
      <c r="G3971">
        <v>-347.63920000000002</v>
      </c>
      <c r="H3971" s="1">
        <v>-1.1416049999999999E-6</v>
      </c>
      <c r="I3971">
        <v>140.1669</v>
      </c>
      <c r="J3971">
        <v>-329.98340000000002</v>
      </c>
      <c r="K3971">
        <v>1.110976</v>
      </c>
      <c r="L3971">
        <v>142.0076</v>
      </c>
      <c r="M3971">
        <v>-0.99987550000000003</v>
      </c>
      <c r="N3971">
        <v>-1.52791E-2</v>
      </c>
      <c r="O3971">
        <v>3.9796570000000002E-3</v>
      </c>
      <c r="P3971">
        <v>-0.93258609999999997</v>
      </c>
      <c r="Q3971">
        <v>0.35439229999999999</v>
      </c>
      <c r="R3971">
        <v>-6.8480869999999999E-2</v>
      </c>
      <c r="S3971">
        <v>-3.2683719999999998</v>
      </c>
      <c r="T3971">
        <v>-0.2005875</v>
      </c>
      <c r="U3971">
        <v>-0.33201599999999998</v>
      </c>
      <c r="V3971">
        <v>-7.2348739999999995E-2</v>
      </c>
      <c r="W3971">
        <v>0.36856470000000002</v>
      </c>
      <c r="X3971">
        <v>0.92678240000000001</v>
      </c>
      <c r="Y3971">
        <v>-0.1047749</v>
      </c>
      <c r="Z3971">
        <v>-4.1901550000000001E-3</v>
      </c>
      <c r="AA3971">
        <v>0.99448709999999996</v>
      </c>
      <c r="AB3971">
        <v>42</v>
      </c>
      <c r="AC3971">
        <v>-17.655799999999999</v>
      </c>
      <c r="AD3971">
        <v>-1.1109771416050001</v>
      </c>
      <c r="AE3971">
        <v>-1.84069999999999</v>
      </c>
      <c r="AF3971">
        <v>-1.9035018475758401</v>
      </c>
      <c r="AG3971">
        <v>-1.1109771416050001</v>
      </c>
      <c r="AH3971">
        <v>17.579477197199601</v>
      </c>
      <c r="AI3971">
        <v>93.595176055977106</v>
      </c>
      <c r="AJ3971">
        <v>96.179897117349697</v>
      </c>
      <c r="AK3971">
        <v>17.717099311675</v>
      </c>
      <c r="AL3971">
        <v>68.3728729912755</v>
      </c>
      <c r="AM3971">
        <v>94.463709705881897</v>
      </c>
      <c r="AN3971">
        <v>0.99999994760771704</v>
      </c>
    </row>
    <row r="3972" spans="1:40" x14ac:dyDescent="0.25">
      <c r="A3972" t="str">
        <f>"20190304164723882"</f>
        <v>20190304164723882</v>
      </c>
      <c r="B3972" t="str">
        <f>"1551689243873279"</f>
        <v>1551689243873279</v>
      </c>
      <c r="C3972" t="s">
        <v>40</v>
      </c>
      <c r="D3972">
        <v>4.1969139999999996</v>
      </c>
      <c r="E3972">
        <v>0.49817630000000002</v>
      </c>
      <c r="F3972" t="s">
        <v>42</v>
      </c>
      <c r="G3972">
        <v>-348.03739999999999</v>
      </c>
      <c r="H3972" s="1">
        <v>-9.6412300000000001E-7</v>
      </c>
      <c r="I3972">
        <v>140.14189999999999</v>
      </c>
      <c r="J3972">
        <v>-330.38330000000002</v>
      </c>
      <c r="K3972">
        <v>1.110986</v>
      </c>
      <c r="L3972">
        <v>142.00899999999999</v>
      </c>
      <c r="M3972">
        <v>-0.99987610000000005</v>
      </c>
      <c r="N3972">
        <v>-1.5274920000000001E-2</v>
      </c>
      <c r="O3972">
        <v>3.8190120000000001E-3</v>
      </c>
      <c r="P3972">
        <v>-0.93247869999999999</v>
      </c>
      <c r="Q3972">
        <v>0.35452250000000002</v>
      </c>
      <c r="R3972">
        <v>-6.9264409999999998E-2</v>
      </c>
      <c r="S3972">
        <v>-3.268494</v>
      </c>
      <c r="T3972">
        <v>-0.20113220000000001</v>
      </c>
      <c r="U3972">
        <v>-0.33773799999999998</v>
      </c>
      <c r="V3972">
        <v>-7.2982099999999994E-2</v>
      </c>
      <c r="W3972">
        <v>0.36868970000000001</v>
      </c>
      <c r="X3972">
        <v>0.92668309999999998</v>
      </c>
      <c r="Y3972">
        <v>-0.1063296</v>
      </c>
      <c r="Z3972">
        <v>-4.2511179999999999E-3</v>
      </c>
      <c r="AA3972">
        <v>0.99432180000000003</v>
      </c>
      <c r="AB3972">
        <v>42</v>
      </c>
      <c r="AC3972">
        <v>-17.6540999999999</v>
      </c>
      <c r="AD3972">
        <v>-1.1109869641229999</v>
      </c>
      <c r="AE3972">
        <v>-1.86709999999999</v>
      </c>
      <c r="AF3972">
        <v>-1.9269685273612001</v>
      </c>
      <c r="AG3972">
        <v>-1.1109869641229999</v>
      </c>
      <c r="AH3972">
        <v>17.577996027113802</v>
      </c>
      <c r="AI3972">
        <v>93.594990940848305</v>
      </c>
      <c r="AJ3972">
        <v>96.256006459302995</v>
      </c>
      <c r="AK3972">
        <v>17.718167062908101</v>
      </c>
      <c r="AL3972">
        <v>68.365170198045305</v>
      </c>
      <c r="AM3972">
        <v>94.503106709711304</v>
      </c>
      <c r="AN3972">
        <v>1.0000000248160501</v>
      </c>
    </row>
    <row r="3973" spans="1:40" x14ac:dyDescent="0.25">
      <c r="A3973" t="str">
        <f>"20190304164723903"</f>
        <v>20190304164723903</v>
      </c>
      <c r="B3973" t="str">
        <f>"1551689243892800"</f>
        <v>1551689243892800</v>
      </c>
      <c r="C3973" t="s">
        <v>40</v>
      </c>
      <c r="D3973">
        <v>4.2126029999999997</v>
      </c>
      <c r="E3973">
        <v>0.49806529999999999</v>
      </c>
      <c r="F3973" t="s">
        <v>42</v>
      </c>
      <c r="G3973">
        <v>-348.47449999999998</v>
      </c>
      <c r="H3973" s="1">
        <v>-7.7147600000000002E-7</v>
      </c>
      <c r="I3973">
        <v>140.12270000000001</v>
      </c>
      <c r="J3973">
        <v>-330.78840000000002</v>
      </c>
      <c r="K3973">
        <v>1.1109880000000001</v>
      </c>
      <c r="L3973">
        <v>142.0104</v>
      </c>
      <c r="M3973">
        <v>-0.99987689999999996</v>
      </c>
      <c r="N3973">
        <v>-1.527063E-2</v>
      </c>
      <c r="O3973">
        <v>3.656163E-3</v>
      </c>
      <c r="P3973">
        <v>-0.93242700000000001</v>
      </c>
      <c r="Q3973">
        <v>0.35453810000000002</v>
      </c>
      <c r="R3973">
        <v>-6.9878739999999995E-2</v>
      </c>
      <c r="S3973">
        <v>-3.2682500000000001</v>
      </c>
      <c r="T3973">
        <v>-0.20070489999999999</v>
      </c>
      <c r="U3973">
        <v>-0.34075929999999999</v>
      </c>
      <c r="V3973">
        <v>-7.3443949999999994E-2</v>
      </c>
      <c r="W3973">
        <v>0.36870039999999998</v>
      </c>
      <c r="X3973">
        <v>0.92664230000000003</v>
      </c>
      <c r="Y3973">
        <v>-0.107084</v>
      </c>
      <c r="Z3973">
        <v>-4.2650029999999998E-3</v>
      </c>
      <c r="AA3973">
        <v>0.99424080000000004</v>
      </c>
      <c r="AB3973">
        <v>42</v>
      </c>
      <c r="AC3973">
        <v>-17.6860999999999</v>
      </c>
      <c r="AD3973">
        <v>-1.1109887714759901</v>
      </c>
      <c r="AE3973">
        <v>-1.8876999999999899</v>
      </c>
      <c r="AF3973">
        <v>-1.9447705801741999</v>
      </c>
      <c r="AG3973">
        <v>-1.1109887714759901</v>
      </c>
      <c r="AH3973">
        <v>17.610371715367101</v>
      </c>
      <c r="AI3973">
        <v>93.588089966423695</v>
      </c>
      <c r="AJ3973">
        <v>96.301823950943003</v>
      </c>
      <c r="AK3973">
        <v>17.752228609762099</v>
      </c>
      <c r="AL3973">
        <v>68.364509547835993</v>
      </c>
      <c r="AM3973">
        <v>94.531683933081695</v>
      </c>
      <c r="AN3973">
        <v>0.99999997545052599</v>
      </c>
    </row>
    <row r="3974" spans="1:40" x14ac:dyDescent="0.25">
      <c r="A3974" t="str">
        <f>"20190304164723925"</f>
        <v>20190304164723925</v>
      </c>
      <c r="B3974" t="str">
        <f>"1551689243923056"</f>
        <v>1551689243923056</v>
      </c>
      <c r="C3974" t="s">
        <v>40</v>
      </c>
      <c r="D3974">
        <v>4.2012409999999996</v>
      </c>
      <c r="E3974">
        <v>0.49787870000000001</v>
      </c>
      <c r="F3974" t="s">
        <v>42</v>
      </c>
      <c r="G3974">
        <v>-348.92919999999998</v>
      </c>
      <c r="H3974" s="1">
        <v>-5.713445E-7</v>
      </c>
      <c r="I3974">
        <v>140.1035</v>
      </c>
      <c r="J3974">
        <v>-331.20409999999998</v>
      </c>
      <c r="K3974">
        <v>1.1109910000000001</v>
      </c>
      <c r="L3974">
        <v>142.01179999999999</v>
      </c>
      <c r="M3974">
        <v>-0.99987740000000003</v>
      </c>
      <c r="N3974">
        <v>-1.5266180000000001E-2</v>
      </c>
      <c r="O3974">
        <v>3.4891430000000001E-3</v>
      </c>
      <c r="P3974">
        <v>-0.9323825</v>
      </c>
      <c r="Q3974">
        <v>0.3545509</v>
      </c>
      <c r="R3974">
        <v>-7.0403220000000002E-2</v>
      </c>
      <c r="S3974">
        <v>-3.267792</v>
      </c>
      <c r="T3974">
        <v>-0.20012859999999999</v>
      </c>
      <c r="U3974">
        <v>-0.34347529999999998</v>
      </c>
      <c r="V3974">
        <v>-7.3812210000000003E-2</v>
      </c>
      <c r="W3974">
        <v>0.36870839999999999</v>
      </c>
      <c r="X3974">
        <v>0.92660989999999999</v>
      </c>
      <c r="Y3974">
        <v>-0.1077496</v>
      </c>
      <c r="Z3974">
        <v>-4.2728729999999999E-3</v>
      </c>
      <c r="AA3974">
        <v>0.99416890000000002</v>
      </c>
      <c r="AB3974">
        <v>42</v>
      </c>
      <c r="AC3974">
        <v>-17.725099999999902</v>
      </c>
      <c r="AD3974">
        <v>-1.1109915713445</v>
      </c>
      <c r="AE3974">
        <v>-1.9082999999999899</v>
      </c>
      <c r="AF3974">
        <v>-1.9625192733178101</v>
      </c>
      <c r="AG3974">
        <v>-1.1109915713445</v>
      </c>
      <c r="AH3974">
        <v>17.649787509153601</v>
      </c>
      <c r="AI3974">
        <v>93.579810181810402</v>
      </c>
      <c r="AJ3974">
        <v>96.344782926823697</v>
      </c>
      <c r="AK3974">
        <v>17.793279160627399</v>
      </c>
      <c r="AL3974">
        <v>68.364017377486107</v>
      </c>
      <c r="AM3974">
        <v>94.554469761351896</v>
      </c>
      <c r="AN3974">
        <v>1.0000000166768199</v>
      </c>
    </row>
    <row r="3975" spans="1:40" x14ac:dyDescent="0.25">
      <c r="A3975" t="str">
        <f>"20190304164723948"</f>
        <v>20190304164723948</v>
      </c>
      <c r="B3975" t="str">
        <f>"1551689243942575"</f>
        <v>1551689243942575</v>
      </c>
      <c r="C3975" t="s">
        <v>40</v>
      </c>
      <c r="D3975">
        <v>4.2000190000000002</v>
      </c>
      <c r="E3975">
        <v>0.49778909999999998</v>
      </c>
      <c r="F3975" t="s">
        <v>42</v>
      </c>
      <c r="G3975">
        <v>-349.38380000000001</v>
      </c>
      <c r="H3975" s="1">
        <v>-3.7153980000000002E-7</v>
      </c>
      <c r="I3975">
        <v>140.0857</v>
      </c>
      <c r="J3975">
        <v>-331.62520000000001</v>
      </c>
      <c r="K3975">
        <v>1.110994</v>
      </c>
      <c r="L3975">
        <v>142.01310000000001</v>
      </c>
      <c r="M3975">
        <v>-0.99987809999999999</v>
      </c>
      <c r="N3975">
        <v>-1.5261540000000001E-2</v>
      </c>
      <c r="O3975">
        <v>3.3196800000000002E-3</v>
      </c>
      <c r="P3975">
        <v>-0.93225250000000004</v>
      </c>
      <c r="Q3975">
        <v>0.35477500000000001</v>
      </c>
      <c r="R3975">
        <v>-7.0994299999999996E-2</v>
      </c>
      <c r="S3975">
        <v>-3.267395</v>
      </c>
      <c r="T3975">
        <v>-0.19967599999999999</v>
      </c>
      <c r="U3975">
        <v>-0.34616089999999999</v>
      </c>
      <c r="V3975">
        <v>-7.4244480000000002E-2</v>
      </c>
      <c r="W3975">
        <v>0.36892649999999999</v>
      </c>
      <c r="X3975">
        <v>0.9264886</v>
      </c>
      <c r="Y3975">
        <v>-0.1084015</v>
      </c>
      <c r="Z3975">
        <v>-4.2821400000000003E-3</v>
      </c>
      <c r="AA3975">
        <v>0.99409789999999998</v>
      </c>
      <c r="AB3975">
        <v>42</v>
      </c>
      <c r="AC3975">
        <v>-17.758600000000001</v>
      </c>
      <c r="AD3975">
        <v>-1.1109943715398001</v>
      </c>
      <c r="AE3975">
        <v>-1.9274</v>
      </c>
      <c r="AF3975">
        <v>-1.97869491881226</v>
      </c>
      <c r="AG3975">
        <v>-1.1109943715398001</v>
      </c>
      <c r="AH3975">
        <v>17.683697143470098</v>
      </c>
      <c r="AI3975">
        <v>93.572697030474401</v>
      </c>
      <c r="AJ3975">
        <v>96.384482126226203</v>
      </c>
      <c r="AK3975">
        <v>17.8287040117137</v>
      </c>
      <c r="AL3975">
        <v>68.350574504037098</v>
      </c>
      <c r="AM3975">
        <v>94.581626338599605</v>
      </c>
      <c r="AN3975">
        <v>1.0000000655713299</v>
      </c>
    </row>
    <row r="3976" spans="1:40" x14ac:dyDescent="0.25">
      <c r="A3976" t="str">
        <f>"20190304164723971"</f>
        <v>20190304164723971</v>
      </c>
      <c r="B3976" t="str">
        <f>"1551689243963071"</f>
        <v>1551689243963071</v>
      </c>
      <c r="C3976" t="s">
        <v>40</v>
      </c>
      <c r="D3976">
        <v>4.1720639999999998</v>
      </c>
      <c r="E3976">
        <v>0.4977258</v>
      </c>
      <c r="F3976" t="s">
        <v>42</v>
      </c>
      <c r="G3976">
        <v>-349.87630000000001</v>
      </c>
      <c r="H3976" s="1">
        <v>-1.555492E-7</v>
      </c>
      <c r="I3976">
        <v>140.06799999999899</v>
      </c>
      <c r="J3976">
        <v>-332.04820000000001</v>
      </c>
      <c r="K3976">
        <v>1.1109929999999999</v>
      </c>
      <c r="L3976">
        <v>142.01429999999999</v>
      </c>
      <c r="M3976">
        <v>-0.99987879999999996</v>
      </c>
      <c r="N3976">
        <v>-1.5256769999999999E-2</v>
      </c>
      <c r="O3976">
        <v>3.149626E-3</v>
      </c>
      <c r="P3976">
        <v>-0.93213900000000005</v>
      </c>
      <c r="Q3976">
        <v>0.35501139999999998</v>
      </c>
      <c r="R3976">
        <v>-7.1302740000000003E-2</v>
      </c>
      <c r="S3976">
        <v>-3.2671809999999999</v>
      </c>
      <c r="T3976">
        <v>-0.1988827</v>
      </c>
      <c r="U3976">
        <v>-0.34819029999999901</v>
      </c>
      <c r="V3976">
        <v>-7.4394420000000003E-2</v>
      </c>
      <c r="W3976">
        <v>0.36915680000000001</v>
      </c>
      <c r="X3976">
        <v>0.92638469999999995</v>
      </c>
      <c r="Y3976">
        <v>-0.10885069999999999</v>
      </c>
      <c r="Z3976">
        <v>-4.2774789999999998E-3</v>
      </c>
      <c r="AA3976">
        <v>0.99404890000000001</v>
      </c>
      <c r="AB3976">
        <v>42</v>
      </c>
      <c r="AC3976">
        <v>-17.828099999999999</v>
      </c>
      <c r="AD3976">
        <v>-1.1109931555491901</v>
      </c>
      <c r="AE3976">
        <v>-1.9462999999999999</v>
      </c>
      <c r="AF3976">
        <v>-1.99479336700992</v>
      </c>
      <c r="AG3976">
        <v>-1.1109931555491901</v>
      </c>
      <c r="AH3976">
        <v>17.7537477546446</v>
      </c>
      <c r="AI3976">
        <v>93.5584498543287</v>
      </c>
      <c r="AJ3976">
        <v>96.410808942089005</v>
      </c>
      <c r="AK3976">
        <v>17.8999739023355</v>
      </c>
      <c r="AL3976">
        <v>68.336374335569801</v>
      </c>
      <c r="AM3976">
        <v>94.591352313900998</v>
      </c>
      <c r="AN3976">
        <v>0.99999994255373104</v>
      </c>
    </row>
    <row r="3977" spans="1:40" x14ac:dyDescent="0.25">
      <c r="A3977" t="str">
        <f>"20190304164724005"</f>
        <v>20190304164724005</v>
      </c>
      <c r="B3977" t="str">
        <f>"1551689243993329"</f>
        <v>1551689243993329</v>
      </c>
      <c r="C3977" t="s">
        <v>40</v>
      </c>
      <c r="D3977">
        <v>4.1480309999999996</v>
      </c>
      <c r="E3977">
        <v>0.49764839999999999</v>
      </c>
      <c r="F3977" t="s">
        <v>42</v>
      </c>
      <c r="G3977">
        <v>-350.41629999999998</v>
      </c>
      <c r="H3977" s="1">
        <v>-4.208576E-6</v>
      </c>
      <c r="I3977">
        <v>140.04810000000001</v>
      </c>
      <c r="J3977">
        <v>-332.65859999999998</v>
      </c>
      <c r="K3977">
        <v>1.1109960000000001</v>
      </c>
      <c r="L3977">
        <v>142.01599999999999</v>
      </c>
      <c r="M3977">
        <v>-0.99987950000000003</v>
      </c>
      <c r="N3977">
        <v>-1.524995E-2</v>
      </c>
      <c r="O3977">
        <v>2.9081630000000001E-3</v>
      </c>
      <c r="P3977">
        <v>-0.93205309999999997</v>
      </c>
      <c r="Q3977">
        <v>0.35526170000000001</v>
      </c>
      <c r="R3977">
        <v>-7.1176710000000004E-2</v>
      </c>
      <c r="S3977">
        <v>-3.2668759999999999</v>
      </c>
      <c r="T3977">
        <v>-0.1975981</v>
      </c>
      <c r="U3977">
        <v>-0.34970089999999998</v>
      </c>
      <c r="V3977">
        <v>-7.4040850000000005E-2</v>
      </c>
      <c r="W3977">
        <v>0.36940020000000001</v>
      </c>
      <c r="X3977">
        <v>0.92631609999999998</v>
      </c>
      <c r="Y3977">
        <v>-0.1090776</v>
      </c>
      <c r="Z3977">
        <v>-4.2525519999999997E-3</v>
      </c>
      <c r="AA3977">
        <v>0.99402420000000002</v>
      </c>
      <c r="AB3977">
        <v>42</v>
      </c>
      <c r="AC3977">
        <v>-17.7577</v>
      </c>
      <c r="AD3977">
        <v>-1.11100020857599</v>
      </c>
      <c r="AE3977">
        <v>-1.96789999999998</v>
      </c>
      <c r="AF3977">
        <v>-2.0117608537287599</v>
      </c>
      <c r="AG3977">
        <v>-1.11100020857599</v>
      </c>
      <c r="AH3977">
        <v>17.683522281007999</v>
      </c>
      <c r="AI3977">
        <v>93.572008264913507</v>
      </c>
      <c r="AJ3977">
        <v>96.490333766642607</v>
      </c>
      <c r="AK3977">
        <v>17.832231028644699</v>
      </c>
      <c r="AL3977">
        <v>68.321369998542394</v>
      </c>
      <c r="AM3977">
        <v>94.569960876375802</v>
      </c>
      <c r="AN3977">
        <v>1.00000003617398</v>
      </c>
    </row>
    <row r="3978" spans="1:40" x14ac:dyDescent="0.25">
      <c r="A3978" t="str">
        <f>"20190304164724028"</f>
        <v>20190304164724028</v>
      </c>
      <c r="B3978" t="str">
        <f>"1551689244022608"</f>
        <v>1551689244022608</v>
      </c>
      <c r="C3978" t="s">
        <v>40</v>
      </c>
      <c r="D3978">
        <v>4.1474029999999997</v>
      </c>
      <c r="E3978">
        <v>0.49739230000000001</v>
      </c>
      <c r="F3978" t="s">
        <v>42</v>
      </c>
      <c r="G3978">
        <v>-351.1508</v>
      </c>
      <c r="H3978" s="1">
        <v>-3.8888869999999996E-6</v>
      </c>
      <c r="I3978">
        <v>140.0309</v>
      </c>
      <c r="J3978">
        <v>-333.09160000000003</v>
      </c>
      <c r="K3978">
        <v>1.110989</v>
      </c>
      <c r="L3978">
        <v>142.0171</v>
      </c>
      <c r="M3978">
        <v>-0.99988010000000005</v>
      </c>
      <c r="N3978">
        <v>-1.5245119999999999E-2</v>
      </c>
      <c r="O3978">
        <v>2.7401180000000002E-3</v>
      </c>
      <c r="P3978">
        <v>-0.93174420000000002</v>
      </c>
      <c r="Q3978">
        <v>0.35597010000000001</v>
      </c>
      <c r="R3978">
        <v>-7.1683189999999994E-2</v>
      </c>
      <c r="S3978">
        <v>-3.2666930000000001</v>
      </c>
      <c r="T3978">
        <v>-0.19626070000000001</v>
      </c>
      <c r="U3978">
        <v>-0.35066219999999998</v>
      </c>
      <c r="V3978">
        <v>-7.438736E-2</v>
      </c>
      <c r="W3978">
        <v>0.37009969999999998</v>
      </c>
      <c r="X3978">
        <v>0.92600899999999997</v>
      </c>
      <c r="Y3978">
        <v>-0.1092086</v>
      </c>
      <c r="Z3978">
        <v>-4.2264690000000001E-3</v>
      </c>
      <c r="AA3978">
        <v>0.9940099</v>
      </c>
      <c r="AB3978">
        <v>41</v>
      </c>
      <c r="AC3978">
        <v>-18.059199999999901</v>
      </c>
      <c r="AD3978">
        <v>-1.110992888887</v>
      </c>
      <c r="AE3978">
        <v>-1.98619999999999</v>
      </c>
      <c r="AF3978">
        <v>-2.0280987246036699</v>
      </c>
      <c r="AG3978">
        <v>-1.110992888887</v>
      </c>
      <c r="AH3978">
        <v>17.9864303926235</v>
      </c>
      <c r="AI3978">
        <v>93.512375846052905</v>
      </c>
      <c r="AJ3978">
        <v>96.433336080665597</v>
      </c>
      <c r="AK3978">
        <v>18.1344745693</v>
      </c>
      <c r="AL3978">
        <v>68.278233091837507</v>
      </c>
      <c r="AM3978">
        <v>94.592773117713406</v>
      </c>
      <c r="AN3978">
        <v>0.999999967674429</v>
      </c>
    </row>
    <row r="3979" spans="1:40" x14ac:dyDescent="0.25">
      <c r="A3979" t="str">
        <f>"20190304164724048"</f>
        <v>20190304164724048</v>
      </c>
      <c r="B3979" t="str">
        <f>"1551689244043104"</f>
        <v>1551689244043104</v>
      </c>
      <c r="C3979" t="s">
        <v>40</v>
      </c>
      <c r="D3979">
        <v>4.1302989999999999</v>
      </c>
      <c r="E3979">
        <v>0.49719540000000001</v>
      </c>
      <c r="F3979" t="s">
        <v>42</v>
      </c>
      <c r="G3979">
        <v>-351.7466</v>
      </c>
      <c r="H3979" s="1">
        <v>-3.6262070000000001E-6</v>
      </c>
      <c r="I3979">
        <v>140.00409999999999</v>
      </c>
      <c r="J3979">
        <v>-333.48790000000002</v>
      </c>
      <c r="K3979">
        <v>1.110986</v>
      </c>
      <c r="L3979">
        <v>142.0181</v>
      </c>
      <c r="M3979">
        <v>-0.99988060000000001</v>
      </c>
      <c r="N3979">
        <v>-1.524067E-2</v>
      </c>
      <c r="O3979">
        <v>2.5883410000000001E-3</v>
      </c>
      <c r="P3979">
        <v>-0.93189699999999998</v>
      </c>
      <c r="Q3979">
        <v>0.3554813</v>
      </c>
      <c r="R3979">
        <v>-7.2122160000000005E-2</v>
      </c>
      <c r="S3979">
        <v>-3.267029</v>
      </c>
      <c r="T3979">
        <v>-0.1945682</v>
      </c>
      <c r="U3979">
        <v>-0.3525238</v>
      </c>
      <c r="V3979">
        <v>-7.4682559999999995E-2</v>
      </c>
      <c r="W3979">
        <v>0.36960979999999999</v>
      </c>
      <c r="X3979">
        <v>0.92618100000000003</v>
      </c>
      <c r="Y3979">
        <v>-0.1096099</v>
      </c>
      <c r="Z3979">
        <v>-4.2045260000000001E-3</v>
      </c>
      <c r="AA3979">
        <v>0.99396580000000001</v>
      </c>
      <c r="AB3979">
        <v>41</v>
      </c>
      <c r="AC3979">
        <v>-18.258699999999902</v>
      </c>
      <c r="AD3979">
        <v>-1.110989626207</v>
      </c>
      <c r="AE3979">
        <v>-2.01400000000001</v>
      </c>
      <c r="AF3979">
        <v>-2.0537461440604998</v>
      </c>
      <c r="AG3979">
        <v>-1.110989626207</v>
      </c>
      <c r="AH3979">
        <v>18.186899997232398</v>
      </c>
      <c r="AI3979">
        <v>93.4736803671329</v>
      </c>
      <c r="AJ3979">
        <v>96.442802292525698</v>
      </c>
      <c r="AK3979">
        <v>18.336180155177299</v>
      </c>
      <c r="AL3979">
        <v>68.308446867974098</v>
      </c>
      <c r="AM3979">
        <v>94.610068119258102</v>
      </c>
      <c r="AN3979">
        <v>1.0000000668925899</v>
      </c>
    </row>
    <row r="3980" spans="1:40" x14ac:dyDescent="0.25">
      <c r="A3980" t="str">
        <f>"20190304164724072"</f>
        <v>20190304164724072</v>
      </c>
      <c r="B3980" t="str">
        <f>"1551689244063431"</f>
        <v>1551689244063431</v>
      </c>
      <c r="C3980" t="s">
        <v>40</v>
      </c>
      <c r="D3980">
        <v>4.127567</v>
      </c>
      <c r="E3980">
        <v>0.49700919999999998</v>
      </c>
      <c r="F3980" t="s">
        <v>42</v>
      </c>
      <c r="G3980">
        <v>-351.91649999999998</v>
      </c>
      <c r="H3980" s="1">
        <v>-3.5564279999999999E-6</v>
      </c>
      <c r="I3980">
        <v>140.01589999999999</v>
      </c>
      <c r="J3980">
        <v>-333.9008</v>
      </c>
      <c r="K3980">
        <v>1.1109880000000001</v>
      </c>
      <c r="L3980">
        <v>142.01900000000001</v>
      </c>
      <c r="M3980">
        <v>-0.99988109999999997</v>
      </c>
      <c r="N3980">
        <v>-1.523599E-2</v>
      </c>
      <c r="O3980">
        <v>2.4323299999999999E-3</v>
      </c>
      <c r="P3980">
        <v>-0.93167759999999999</v>
      </c>
      <c r="Q3980">
        <v>0.35607850000000002</v>
      </c>
      <c r="R3980">
        <v>-7.2010820000000003E-2</v>
      </c>
      <c r="S3980">
        <v>-3.2669069999999998</v>
      </c>
      <c r="T3980">
        <v>-0.19694919999999999</v>
      </c>
      <c r="U3980">
        <v>-0.3549194</v>
      </c>
      <c r="V3980">
        <v>-7.4423009999999998E-2</v>
      </c>
      <c r="W3980">
        <v>0.37020029999999998</v>
      </c>
      <c r="X3980">
        <v>0.92596599999999996</v>
      </c>
      <c r="Y3980">
        <v>-0.110172699999999</v>
      </c>
      <c r="Z3980">
        <v>-4.2601289999999997E-3</v>
      </c>
      <c r="AA3980">
        <v>0.99390330000000005</v>
      </c>
      <c r="AB3980">
        <v>41</v>
      </c>
      <c r="AC3980">
        <v>-18.015699999999899</v>
      </c>
      <c r="AD3980">
        <v>-1.110991556428</v>
      </c>
      <c r="AE3980">
        <v>-2.0031000000000101</v>
      </c>
      <c r="AF3980">
        <v>-2.0392588092104602</v>
      </c>
      <c r="AG3980">
        <v>-1.110991556428</v>
      </c>
      <c r="AH3980">
        <v>17.9433696877473</v>
      </c>
      <c r="AI3980">
        <v>93.520429157065806</v>
      </c>
      <c r="AJ3980">
        <v>96.483828783953697</v>
      </c>
      <c r="AK3980">
        <v>18.093020601341401</v>
      </c>
      <c r="AL3980">
        <v>68.272030079516099</v>
      </c>
      <c r="AM3980">
        <v>94.595177239304903</v>
      </c>
      <c r="AN3980">
        <v>1.0000000398467701</v>
      </c>
    </row>
    <row r="3981" spans="1:40" x14ac:dyDescent="0.25">
      <c r="A3981" t="str">
        <f>"20190304164724093"</f>
        <v>20190304164724093</v>
      </c>
      <c r="B3981" t="str">
        <f>"1551689244082955"</f>
        <v>1551689244082955</v>
      </c>
      <c r="C3981" t="s">
        <v>40</v>
      </c>
      <c r="D3981">
        <v>4.2932730000000001</v>
      </c>
      <c r="E3981">
        <v>0.49698629999999999</v>
      </c>
      <c r="F3981" t="s">
        <v>42</v>
      </c>
      <c r="G3981">
        <v>-352.48590000000002</v>
      </c>
      <c r="H3981" s="1">
        <v>-3.3044070000000001E-6</v>
      </c>
      <c r="I3981">
        <v>139.98670000000001</v>
      </c>
      <c r="J3981">
        <v>-334.29919999999998</v>
      </c>
      <c r="K3981">
        <v>1.110986</v>
      </c>
      <c r="L3981">
        <v>142.01990000000001</v>
      </c>
      <c r="M3981">
        <v>-0.99988140000000003</v>
      </c>
      <c r="N3981">
        <v>-1.5231430000000001E-2</v>
      </c>
      <c r="O3981">
        <v>2.2859239999999999E-3</v>
      </c>
      <c r="P3981">
        <v>-0.93178879999999997</v>
      </c>
      <c r="Q3981">
        <v>0.35574670000000003</v>
      </c>
      <c r="R3981">
        <v>-7.2208359999999999E-2</v>
      </c>
      <c r="S3981">
        <v>-3.267029</v>
      </c>
      <c r="T3981">
        <v>-0.1952989</v>
      </c>
      <c r="U3981">
        <v>-0.35723880000000002</v>
      </c>
      <c r="V3981">
        <v>-7.4482229999999996E-2</v>
      </c>
      <c r="W3981">
        <v>0.36986669999999999</v>
      </c>
      <c r="X3981">
        <v>0.92609450000000004</v>
      </c>
      <c r="Y3981">
        <v>-0.11072319999999999</v>
      </c>
      <c r="Z3981">
        <v>-4.2448579999999998E-3</v>
      </c>
      <c r="AA3981">
        <v>0.99384220000000001</v>
      </c>
      <c r="AB3981">
        <v>41</v>
      </c>
      <c r="AC3981">
        <v>-18.186699999999998</v>
      </c>
      <c r="AD3981">
        <v>-1.1109893044070001</v>
      </c>
      <c r="AE3981">
        <v>-2.0331999999999901</v>
      </c>
      <c r="AF3981">
        <v>-2.0671540546963301</v>
      </c>
      <c r="AG3981">
        <v>-1.1109893044070001</v>
      </c>
      <c r="AH3981">
        <v>18.115237224194001</v>
      </c>
      <c r="AI3981">
        <v>93.486924474376593</v>
      </c>
      <c r="AJ3981">
        <v>96.509939647501696</v>
      </c>
      <c r="AK3981">
        <v>18.2666155269436</v>
      </c>
      <c r="AL3981">
        <v>68.292603450643895</v>
      </c>
      <c r="AM3981">
        <v>94.598182672123997</v>
      </c>
      <c r="AN3981">
        <v>1.0000000006424501</v>
      </c>
    </row>
    <row r="3982" spans="1:40" x14ac:dyDescent="0.25">
      <c r="A3982" t="str">
        <f>"20190304164724116"</f>
        <v>20190304164724116</v>
      </c>
      <c r="B3982" t="str">
        <f>"1551689244102472"</f>
        <v>1551689244102472</v>
      </c>
      <c r="C3982" t="s">
        <v>40</v>
      </c>
      <c r="D3982">
        <v>4.3557540000000001</v>
      </c>
      <c r="E3982">
        <v>0.52206459999999999</v>
      </c>
      <c r="F3982" t="s">
        <v>42</v>
      </c>
      <c r="G3982">
        <v>-352.74380000000002</v>
      </c>
      <c r="H3982" s="1">
        <v>-3.194905E-6</v>
      </c>
      <c r="I3982">
        <v>139.99100000000001</v>
      </c>
      <c r="J3982">
        <v>-334.70839999999998</v>
      </c>
      <c r="K3982">
        <v>1.1109869999999999</v>
      </c>
      <c r="L3982">
        <v>142.02070000000001</v>
      </c>
      <c r="M3982">
        <v>-0.99988180000000004</v>
      </c>
      <c r="N3982">
        <v>-1.5226669999999999E-2</v>
      </c>
      <c r="O3982">
        <v>2.142597E-3</v>
      </c>
      <c r="P3982">
        <v>-0.9317377</v>
      </c>
      <c r="Q3982">
        <v>0.35583670000000001</v>
      </c>
      <c r="R3982">
        <v>-7.2425669999999998E-2</v>
      </c>
      <c r="S3982">
        <v>-3.2669069999999998</v>
      </c>
      <c r="T3982">
        <v>-0.1967788</v>
      </c>
      <c r="U3982">
        <v>-0.35932920000000002</v>
      </c>
      <c r="V3982">
        <v>-7.4561180000000005E-2</v>
      </c>
      <c r="W3982">
        <v>0.36995230000000001</v>
      </c>
      <c r="X3982">
        <v>0.92605400000000004</v>
      </c>
      <c r="Y3982">
        <v>-0.1112088</v>
      </c>
      <c r="Z3982">
        <v>-4.2824769999999998E-3</v>
      </c>
      <c r="AA3982">
        <v>0.9937878</v>
      </c>
      <c r="AB3982">
        <v>41</v>
      </c>
      <c r="AC3982">
        <v>-18.035399999999999</v>
      </c>
      <c r="AD3982">
        <v>-1.1109901949050001</v>
      </c>
      <c r="AE3982">
        <v>-2.0296999999999898</v>
      </c>
      <c r="AF3982">
        <v>-2.0606209233275399</v>
      </c>
      <c r="AG3982">
        <v>-1.1109901949050001</v>
      </c>
      <c r="AH3982">
        <v>17.963696295788399</v>
      </c>
      <c r="AI3982">
        <v>93.5160320864765</v>
      </c>
      <c r="AJ3982">
        <v>96.5438137124668</v>
      </c>
      <c r="AK3982">
        <v>18.1155966617209</v>
      </c>
      <c r="AL3982">
        <v>68.287325435288693</v>
      </c>
      <c r="AM3982">
        <v>94.603236183877897</v>
      </c>
      <c r="AN3982">
        <v>1.00000004237714</v>
      </c>
    </row>
    <row r="3983" spans="1:40" x14ac:dyDescent="0.25">
      <c r="A3983" t="str">
        <f>"20190304164724138"</f>
        <v>20190304164724138</v>
      </c>
      <c r="B3983" t="str">
        <f>"1551689244132728"</f>
        <v>1551689244132728</v>
      </c>
      <c r="C3983" t="s">
        <v>40</v>
      </c>
      <c r="D3983">
        <v>4.5936899999999996</v>
      </c>
      <c r="E3983">
        <v>0.52885179999999998</v>
      </c>
      <c r="F3983" t="s">
        <v>42</v>
      </c>
      <c r="G3983">
        <v>-346.15890000000002</v>
      </c>
      <c r="H3983" s="1">
        <v>-2.1135050000000001E-6</v>
      </c>
      <c r="I3983">
        <v>141.43299999999999</v>
      </c>
      <c r="J3983">
        <v>-335.12799999999999</v>
      </c>
      <c r="K3983">
        <v>1.1109800000000001</v>
      </c>
      <c r="L3983">
        <v>142.0214</v>
      </c>
      <c r="M3983">
        <v>-0.99988220000000005</v>
      </c>
      <c r="N3983">
        <v>-1.5221800000000001E-2</v>
      </c>
      <c r="O3983">
        <v>2.0058699999999999E-3</v>
      </c>
      <c r="P3983">
        <v>-0.9316873</v>
      </c>
      <c r="Q3983">
        <v>0.35582320000000001</v>
      </c>
      <c r="R3983">
        <v>-7.3134850000000001E-2</v>
      </c>
      <c r="S3983">
        <v>-3.329895</v>
      </c>
      <c r="T3983">
        <v>-0.3230866</v>
      </c>
      <c r="U3983">
        <v>-0.17086789999999999</v>
      </c>
      <c r="V3983">
        <v>-7.5136679999999997E-2</v>
      </c>
      <c r="W3983">
        <v>0.3699345</v>
      </c>
      <c r="X3983">
        <v>0.92601449999999996</v>
      </c>
      <c r="Y3983">
        <v>-5.2955339999999997E-2</v>
      </c>
      <c r="Z3983">
        <v>-3.1293369999999998E-3</v>
      </c>
      <c r="AA3983">
        <v>0.99859200000000004</v>
      </c>
      <c r="AB3983">
        <v>41</v>
      </c>
      <c r="AC3983">
        <v>-11.0308999999999</v>
      </c>
      <c r="AD3983">
        <v>-1.11098211350499</v>
      </c>
      <c r="AE3983">
        <v>-0.58840000000000703</v>
      </c>
      <c r="AF3983">
        <v>-0.60441438485640098</v>
      </c>
      <c r="AG3983">
        <v>-1.11098211350499</v>
      </c>
      <c r="AH3983">
        <v>10.919251115060399</v>
      </c>
      <c r="AI3983">
        <v>95.800763089448495</v>
      </c>
      <c r="AJ3983">
        <v>93.168265759872696</v>
      </c>
      <c r="AK3983">
        <v>10.9922537688545</v>
      </c>
      <c r="AL3983">
        <v>68.288421177648303</v>
      </c>
      <c r="AM3983">
        <v>94.638808775954004</v>
      </c>
      <c r="AN3983">
        <v>0.99999995459096003</v>
      </c>
    </row>
    <row r="3984" spans="1:40" x14ac:dyDescent="0.25">
      <c r="A3984" t="str">
        <f>"20190304164724161"</f>
        <v>20190304164724161</v>
      </c>
      <c r="B3984" t="str">
        <f>"1551689244152504"</f>
        <v>1551689244152504</v>
      </c>
      <c r="C3984" t="s">
        <v>40</v>
      </c>
      <c r="D3984">
        <v>4.2107419999999998</v>
      </c>
      <c r="E3984">
        <v>0.53011750000000002</v>
      </c>
      <c r="F3984" t="s">
        <v>41</v>
      </c>
      <c r="G3984">
        <v>-336.0428</v>
      </c>
      <c r="H3984">
        <v>0.76634599999999997</v>
      </c>
      <c r="I3984">
        <v>141.96850000000001</v>
      </c>
      <c r="J3984">
        <v>-335.54910000000001</v>
      </c>
      <c r="K3984">
        <v>1.110978</v>
      </c>
      <c r="L3984">
        <v>142.02209999999999</v>
      </c>
      <c r="M3984">
        <v>-0.99988250000000001</v>
      </c>
      <c r="N3984">
        <v>-1.521689E-2</v>
      </c>
      <c r="O3984">
        <v>1.8785919999999999E-3</v>
      </c>
      <c r="P3984">
        <v>-0.93159740000000002</v>
      </c>
      <c r="Q3984">
        <v>0.3559213</v>
      </c>
      <c r="R3984">
        <v>-7.3799550000000005E-2</v>
      </c>
      <c r="S3984">
        <v>-3.7412109999999998</v>
      </c>
      <c r="T3984">
        <v>-1.409513</v>
      </c>
      <c r="U3984">
        <v>-0.21698000000000001</v>
      </c>
      <c r="V3984">
        <v>-7.5674539999999998E-2</v>
      </c>
      <c r="W3984">
        <v>0.37002849999999998</v>
      </c>
      <c r="X3984">
        <v>0.92593320000000001</v>
      </c>
      <c r="Y3984">
        <v>-5.568364E-2</v>
      </c>
      <c r="Z3984">
        <v>-1.122863E-2</v>
      </c>
      <c r="AA3984">
        <v>0.99838530000000003</v>
      </c>
      <c r="AB3984">
        <v>41</v>
      </c>
      <c r="AC3984">
        <v>-0.49369999999998898</v>
      </c>
      <c r="AD3984">
        <v>-0.34463199999999999</v>
      </c>
      <c r="AE3984">
        <v>-5.3599999999988698E-2</v>
      </c>
      <c r="AF3984">
        <v>-3.68028422705216E-2</v>
      </c>
      <c r="AG3984">
        <v>-0.34463199999999999</v>
      </c>
      <c r="AH3984">
        <v>0.33314994724366298</v>
      </c>
      <c r="AI3984">
        <v>135.796872860728</v>
      </c>
      <c r="AJ3984">
        <v>96.303864712448004</v>
      </c>
      <c r="AK3984">
        <v>0.48074374875981901</v>
      </c>
      <c r="AL3984">
        <v>68.282625239363298</v>
      </c>
      <c r="AM3984">
        <v>94.672277239991303</v>
      </c>
      <c r="AN3984">
        <v>1.0000000088393499</v>
      </c>
    </row>
    <row r="3985" spans="1:40" x14ac:dyDescent="0.25">
      <c r="A3985" t="str">
        <f>"20190304164724181"</f>
        <v>20190304164724181</v>
      </c>
      <c r="B3985" t="str">
        <f>"1551689244173000"</f>
        <v>1551689244173000</v>
      </c>
      <c r="C3985" t="s">
        <v>40</v>
      </c>
      <c r="D3985">
        <v>4.2303069999999998</v>
      </c>
      <c r="E3985">
        <v>0.52911960000000002</v>
      </c>
      <c r="F3985" t="s">
        <v>41</v>
      </c>
      <c r="G3985">
        <v>-336.41</v>
      </c>
      <c r="H3985">
        <v>0.79274709999999904</v>
      </c>
      <c r="I3985">
        <v>141.9751</v>
      </c>
      <c r="J3985">
        <v>-335.93520000000001</v>
      </c>
      <c r="K3985">
        <v>1.1109719999999901</v>
      </c>
      <c r="L3985">
        <v>142.02279999999999</v>
      </c>
      <c r="M3985">
        <v>-0.99988279999999996</v>
      </c>
      <c r="N3985">
        <v>-1.5212399999999999E-2</v>
      </c>
      <c r="O3985">
        <v>1.775427E-3</v>
      </c>
      <c r="P3985">
        <v>-0.93149420000000005</v>
      </c>
      <c r="Q3985">
        <v>0.3559988</v>
      </c>
      <c r="R3985">
        <v>-7.4722949999999996E-2</v>
      </c>
      <c r="S3985">
        <v>-3.7308650000000001</v>
      </c>
      <c r="T3985">
        <v>-1.3790119999999999</v>
      </c>
      <c r="U3985">
        <v>-0.2055054</v>
      </c>
      <c r="V3985">
        <v>-7.6491100000000006E-2</v>
      </c>
      <c r="W3985">
        <v>0.3701024</v>
      </c>
      <c r="X3985">
        <v>0.92583660000000001</v>
      </c>
      <c r="Y3985">
        <v>-5.3015069999999997E-2</v>
      </c>
      <c r="Z3985">
        <v>-1.050334E-2</v>
      </c>
      <c r="AA3985">
        <v>0.9985385</v>
      </c>
      <c r="AB3985">
        <v>41</v>
      </c>
      <c r="AC3985">
        <v>-0.47480000000001599</v>
      </c>
      <c r="AD3985">
        <v>-0.31822489999999898</v>
      </c>
      <c r="AE3985">
        <v>-4.7699999999991798E-2</v>
      </c>
      <c r="AF3985">
        <v>-3.3600304596098703E-2</v>
      </c>
      <c r="AG3985">
        <v>-0.31822489999999898</v>
      </c>
      <c r="AH3985">
        <v>0.32858610388718001</v>
      </c>
      <c r="AI3985">
        <v>133.93335113250501</v>
      </c>
      <c r="AJ3985">
        <v>95.838613537966907</v>
      </c>
      <c r="AK3985">
        <v>0.45865552990966602</v>
      </c>
      <c r="AL3985">
        <v>68.278068273960599</v>
      </c>
      <c r="AM3985">
        <v>94.722956759269806</v>
      </c>
      <c r="AN3985">
        <v>1.0000000423822599</v>
      </c>
    </row>
    <row r="3986" spans="1:40" x14ac:dyDescent="0.25">
      <c r="A3986" t="str">
        <f>"20190304164724205"</f>
        <v>20190304164724205</v>
      </c>
      <c r="B3986" t="str">
        <f>"1551689244192517"</f>
        <v>1551689244192517</v>
      </c>
      <c r="C3986" t="s">
        <v>40</v>
      </c>
      <c r="D3986">
        <v>4.2230109999999996</v>
      </c>
      <c r="E3986">
        <v>0.52934490000000001</v>
      </c>
      <c r="F3986" t="s">
        <v>41</v>
      </c>
      <c r="G3986">
        <v>-336.77789999999999</v>
      </c>
      <c r="H3986">
        <v>0.79554409999999998</v>
      </c>
      <c r="I3986">
        <v>141.9734</v>
      </c>
      <c r="J3986">
        <v>-336.35840000000002</v>
      </c>
      <c r="K3986">
        <v>1.1109530000000001</v>
      </c>
      <c r="L3986">
        <v>142.02350000000001</v>
      </c>
      <c r="M3986">
        <v>-0.99988299999999997</v>
      </c>
      <c r="N3986">
        <v>-1.5207460000000001E-2</v>
      </c>
      <c r="O3986">
        <v>1.682799E-3</v>
      </c>
      <c r="P3986">
        <v>-0.9316643</v>
      </c>
      <c r="Q3986">
        <v>0.35549750000000002</v>
      </c>
      <c r="R3986">
        <v>-7.4990039999999994E-2</v>
      </c>
      <c r="S3986">
        <v>-3.7376399999999999</v>
      </c>
      <c r="T3986">
        <v>-1.39903</v>
      </c>
      <c r="U3986">
        <v>-0.22016910000000001</v>
      </c>
      <c r="V3986">
        <v>-7.6657619999999996E-2</v>
      </c>
      <c r="W3986">
        <v>0.36960229999999999</v>
      </c>
      <c r="X3986">
        <v>0.92602260000000003</v>
      </c>
      <c r="Y3986">
        <v>-5.6404370000000002E-2</v>
      </c>
      <c r="Z3986">
        <v>-1.123029E-2</v>
      </c>
      <c r="AA3986">
        <v>0.99834480000000003</v>
      </c>
      <c r="AB3986">
        <v>41</v>
      </c>
      <c r="AC3986">
        <v>-0.41949999999997001</v>
      </c>
      <c r="AD3986">
        <v>-0.31540889999999999</v>
      </c>
      <c r="AE3986">
        <v>-5.0100000000014598E-2</v>
      </c>
      <c r="AF3986">
        <v>-3.2623187096537699E-2</v>
      </c>
      <c r="AG3986">
        <v>-0.31540889999999999</v>
      </c>
      <c r="AH3986">
        <v>0.26931212340551203</v>
      </c>
      <c r="AI3986">
        <v>139.301421773524</v>
      </c>
      <c r="AJ3986">
        <v>96.906885555577503</v>
      </c>
      <c r="AK3986">
        <v>0.41602411750850599</v>
      </c>
      <c r="AL3986">
        <v>68.308909024181006</v>
      </c>
      <c r="AM3986">
        <v>94.7322455167035</v>
      </c>
      <c r="AN3986">
        <v>1.0000000532900499</v>
      </c>
    </row>
    <row r="3987" spans="1:40" x14ac:dyDescent="0.25">
      <c r="A3987" t="str">
        <f>"20190304164724228"</f>
        <v>20190304164724228</v>
      </c>
      <c r="B3987" t="str">
        <f>"1551689244222773"</f>
        <v>1551689244222773</v>
      </c>
      <c r="C3987" t="s">
        <v>40</v>
      </c>
      <c r="D3987">
        <v>4.2609629999999896</v>
      </c>
      <c r="E3987">
        <v>0.53003219999999995</v>
      </c>
      <c r="F3987" t="s">
        <v>41</v>
      </c>
      <c r="G3987">
        <v>-337.15159999999997</v>
      </c>
      <c r="H3987">
        <v>0.81337619999999999</v>
      </c>
      <c r="I3987">
        <v>141.97640000000001</v>
      </c>
      <c r="J3987">
        <v>-336.77449999999999</v>
      </c>
      <c r="K3987">
        <v>1.110935</v>
      </c>
      <c r="L3987">
        <v>142.0241</v>
      </c>
      <c r="M3987">
        <v>-0.99988310000000002</v>
      </c>
      <c r="N3987">
        <v>-1.520255E-2</v>
      </c>
      <c r="O3987">
        <v>1.615207E-3</v>
      </c>
      <c r="P3987">
        <v>-0.93174970000000001</v>
      </c>
      <c r="Q3987">
        <v>0.35529909999999998</v>
      </c>
      <c r="R3987">
        <v>-7.4866459999999996E-2</v>
      </c>
      <c r="S3987">
        <v>-3.7370000000000001</v>
      </c>
      <c r="T3987">
        <v>-1.4018250000000001</v>
      </c>
      <c r="U3987">
        <v>-0.22286990000000001</v>
      </c>
      <c r="V3987">
        <v>-7.6453019999999997E-2</v>
      </c>
      <c r="W3987">
        <v>0.36940460000000003</v>
      </c>
      <c r="X3987">
        <v>0.92611829999999995</v>
      </c>
      <c r="Y3987">
        <v>-5.7010640000000001E-2</v>
      </c>
      <c r="Z3987">
        <v>-1.134313E-2</v>
      </c>
      <c r="AA3987">
        <v>0.99830909999999995</v>
      </c>
      <c r="AB3987">
        <v>41</v>
      </c>
      <c r="AC3987">
        <v>-0.377099999999984</v>
      </c>
      <c r="AD3987">
        <v>-0.29755879999999901</v>
      </c>
      <c r="AE3987">
        <v>-4.7699999999991798E-2</v>
      </c>
      <c r="AF3987">
        <v>-2.9953036355313999E-2</v>
      </c>
      <c r="AG3987">
        <v>-0.29755879999999901</v>
      </c>
      <c r="AH3987">
        <v>0.23376479011019599</v>
      </c>
      <c r="AI3987">
        <v>141.61966409760899</v>
      </c>
      <c r="AJ3987">
        <v>97.301706343460907</v>
      </c>
      <c r="AK3987">
        <v>0.379584510932159</v>
      </c>
      <c r="AL3987">
        <v>68.321097068941299</v>
      </c>
      <c r="AM3987">
        <v>94.719186734664405</v>
      </c>
      <c r="AN3987">
        <v>0.99999996418158399</v>
      </c>
    </row>
    <row r="3988" spans="1:40" x14ac:dyDescent="0.25">
      <c r="A3988" t="str">
        <f>"20190304164724250"</f>
        <v>20190304164724250</v>
      </c>
      <c r="B3988" t="str">
        <f>"1551689244243269"</f>
        <v>1551689244243269</v>
      </c>
      <c r="C3988" t="s">
        <v>40</v>
      </c>
      <c r="D3988">
        <v>4.2764540000000002</v>
      </c>
      <c r="E3988">
        <v>0.53120179999999995</v>
      </c>
      <c r="F3988" t="s">
        <v>41</v>
      </c>
      <c r="G3988">
        <v>-337.5247</v>
      </c>
      <c r="H3988">
        <v>0.8305823</v>
      </c>
      <c r="I3988">
        <v>141.9804</v>
      </c>
      <c r="J3988">
        <v>-337.19310000000002</v>
      </c>
      <c r="K3988">
        <v>1.1109119999999999</v>
      </c>
      <c r="L3988">
        <v>142.0247</v>
      </c>
      <c r="M3988">
        <v>-0.99988319999999997</v>
      </c>
      <c r="N3988">
        <v>-1.519765E-2</v>
      </c>
      <c r="O3988">
        <v>1.567595E-3</v>
      </c>
      <c r="P3988">
        <v>-0.9315116</v>
      </c>
      <c r="Q3988">
        <v>0.3560914</v>
      </c>
      <c r="R3988">
        <v>-7.4062230000000007E-2</v>
      </c>
      <c r="S3988">
        <v>-3.7342219999999999</v>
      </c>
      <c r="T3988">
        <v>-1.3953519999999999</v>
      </c>
      <c r="U3988">
        <v>-0.2190704</v>
      </c>
      <c r="V3988">
        <v>-7.5585340000000001E-2</v>
      </c>
      <c r="W3988">
        <v>0.37019229999999997</v>
      </c>
      <c r="X3988">
        <v>0.925875</v>
      </c>
      <c r="Y3988">
        <v>-5.6092679999999999E-2</v>
      </c>
      <c r="Z3988">
        <v>-1.1114000000000001E-2</v>
      </c>
      <c r="AA3988">
        <v>0.99836369999999997</v>
      </c>
      <c r="AB3988">
        <v>41</v>
      </c>
      <c r="AC3988">
        <v>-0.33159999999998002</v>
      </c>
      <c r="AD3988">
        <v>-0.28032970000000001</v>
      </c>
      <c r="AE3988">
        <v>-4.4299999999992602E-2</v>
      </c>
      <c r="AF3988">
        <v>-2.6331385059534401E-2</v>
      </c>
      <c r="AG3988">
        <v>-0.28032970000000001</v>
      </c>
      <c r="AH3988">
        <v>0.19477203940989499</v>
      </c>
      <c r="AI3988">
        <v>144.96505762056</v>
      </c>
      <c r="AJ3988">
        <v>97.699183063632205</v>
      </c>
      <c r="AK3988">
        <v>0.34236563769913197</v>
      </c>
      <c r="AL3988">
        <v>68.272522571575493</v>
      </c>
      <c r="AM3988">
        <v>94.667086273825603</v>
      </c>
      <c r="AN3988">
        <v>0.99999999911360204</v>
      </c>
    </row>
    <row r="3989" spans="1:40" x14ac:dyDescent="0.25">
      <c r="A3989" t="str">
        <f>"20190304164724272"</f>
        <v>20190304164724272</v>
      </c>
      <c r="B3989" t="str">
        <f>"1551689244263296"</f>
        <v>1551689244263296</v>
      </c>
      <c r="C3989" t="s">
        <v>40</v>
      </c>
      <c r="D3989">
        <v>4.2826209999999998</v>
      </c>
      <c r="E3989">
        <v>0.53215840000000003</v>
      </c>
      <c r="F3989" t="s">
        <v>41</v>
      </c>
      <c r="G3989">
        <v>-337.89870000000002</v>
      </c>
      <c r="H3989">
        <v>0.85101130000000003</v>
      </c>
      <c r="I3989">
        <v>141.9855</v>
      </c>
      <c r="J3989">
        <v>-337.57429999999999</v>
      </c>
      <c r="K3989">
        <v>1.1109039999999999</v>
      </c>
      <c r="L3989">
        <v>142.02529999999999</v>
      </c>
      <c r="M3989">
        <v>-0.99988339999999998</v>
      </c>
      <c r="N3989">
        <v>-1.519322E-2</v>
      </c>
      <c r="O3989">
        <v>1.5393339999999901E-3</v>
      </c>
      <c r="P3989">
        <v>-0.93156470000000002</v>
      </c>
      <c r="Q3989">
        <v>0.35618509999999998</v>
      </c>
      <c r="R3989">
        <v>-7.2934639999999995E-2</v>
      </c>
      <c r="S3989">
        <v>-3.7290040000000002</v>
      </c>
      <c r="T3989">
        <v>-1.3734029999999999</v>
      </c>
      <c r="U3989">
        <v>-0.2088013</v>
      </c>
      <c r="V3989">
        <v>-7.4416289999999996E-2</v>
      </c>
      <c r="W3989">
        <v>0.37028620000000001</v>
      </c>
      <c r="X3989">
        <v>0.92593219999999998</v>
      </c>
      <c r="Y3989">
        <v>-5.3681130000000001E-2</v>
      </c>
      <c r="Z3989">
        <v>-1.0511899999999999E-2</v>
      </c>
      <c r="AA3989">
        <v>0.99850280000000002</v>
      </c>
      <c r="AB3989">
        <v>41</v>
      </c>
      <c r="AC3989">
        <v>-0.324400000000025</v>
      </c>
      <c r="AD3989">
        <v>-0.25989269999999998</v>
      </c>
      <c r="AE3989">
        <v>-3.9799999999985403E-2</v>
      </c>
      <c r="AF3989">
        <v>-2.46883763937834E-2</v>
      </c>
      <c r="AG3989">
        <v>-0.25989269999999998</v>
      </c>
      <c r="AH3989">
        <v>0.19869757285557199</v>
      </c>
      <c r="AI3989">
        <v>142.38877104845901</v>
      </c>
      <c r="AJ3989">
        <v>97.082759358079201</v>
      </c>
      <c r="AK3989">
        <v>0.32807690699125103</v>
      </c>
      <c r="AL3989">
        <v>68.266732006337804</v>
      </c>
      <c r="AM3989">
        <v>94.594931103981196</v>
      </c>
      <c r="AN3989">
        <v>1.00000004656232</v>
      </c>
    </row>
    <row r="3990" spans="1:40" x14ac:dyDescent="0.25">
      <c r="A3990" t="str">
        <f>"20190304164724293"</f>
        <v>20190304164724293</v>
      </c>
      <c r="B3990" t="str">
        <f>"1551689244282817"</f>
        <v>1551689244282817</v>
      </c>
      <c r="C3990" t="s">
        <v>40</v>
      </c>
      <c r="D3990">
        <v>4.2792269999999997</v>
      </c>
      <c r="E3990">
        <v>0.53289049999999905</v>
      </c>
      <c r="F3990" t="s">
        <v>41</v>
      </c>
      <c r="G3990">
        <v>-338.26679999999999</v>
      </c>
      <c r="H3990">
        <v>0.85851549999999999</v>
      </c>
      <c r="I3990">
        <v>141.9888</v>
      </c>
      <c r="J3990">
        <v>-337.97359999999998</v>
      </c>
      <c r="K3990">
        <v>1.1108929999999999</v>
      </c>
      <c r="L3990">
        <v>142.02590000000001</v>
      </c>
      <c r="M3990">
        <v>-0.99988350000000004</v>
      </c>
      <c r="N3990">
        <v>-1.518861E-2</v>
      </c>
      <c r="O3990">
        <v>1.5211020000000001E-3</v>
      </c>
      <c r="P3990">
        <v>-0.93169049999999998</v>
      </c>
      <c r="Q3990">
        <v>0.3561377</v>
      </c>
      <c r="R3990">
        <v>-7.1546979999999996E-2</v>
      </c>
      <c r="S3990">
        <v>-3.723846</v>
      </c>
      <c r="T3990">
        <v>-1.3571839999999999</v>
      </c>
      <c r="U3990">
        <v>-0.1972351</v>
      </c>
      <c r="V3990">
        <v>-7.2999079999999994E-2</v>
      </c>
      <c r="W3990">
        <v>0.37023929999999999</v>
      </c>
      <c r="X3990">
        <v>0.92606370000000005</v>
      </c>
      <c r="Y3990">
        <v>-5.0908490000000001E-2</v>
      </c>
      <c r="Z3990">
        <v>-9.8959219999999997E-3</v>
      </c>
      <c r="AA3990">
        <v>0.99865429999999999</v>
      </c>
      <c r="AB3990">
        <v>41</v>
      </c>
      <c r="AC3990">
        <v>-0.29320000000001301</v>
      </c>
      <c r="AD3990">
        <v>-0.25237749999999998</v>
      </c>
      <c r="AE3990">
        <v>-3.7100000000009403E-2</v>
      </c>
      <c r="AF3990">
        <v>-2.1712332836585999E-2</v>
      </c>
      <c r="AG3990">
        <v>-0.25237749999999998</v>
      </c>
      <c r="AH3990">
        <v>0.169520692808631</v>
      </c>
      <c r="AI3990">
        <v>145.89484949004299</v>
      </c>
      <c r="AJ3990">
        <v>97.298746773023893</v>
      </c>
      <c r="AK3990">
        <v>0.30480008726011698</v>
      </c>
      <c r="AL3990">
        <v>68.269623500232299</v>
      </c>
      <c r="AM3990">
        <v>94.507150294157</v>
      </c>
      <c r="AN3990">
        <v>0.99999999070151302</v>
      </c>
    </row>
    <row r="3991" spans="1:40" x14ac:dyDescent="0.25">
      <c r="A3991" t="str">
        <f>"20190304164724316"</f>
        <v>20190304164724316</v>
      </c>
      <c r="B3991" t="str">
        <f>"1551689244313073"</f>
        <v>1551689244313073</v>
      </c>
      <c r="C3991" t="s">
        <v>40</v>
      </c>
      <c r="D3991">
        <v>4.3048390000000003</v>
      </c>
      <c r="E3991">
        <v>0.53364029999999996</v>
      </c>
      <c r="F3991" t="s">
        <v>41</v>
      </c>
      <c r="G3991">
        <v>-338.63659999999999</v>
      </c>
      <c r="H3991">
        <v>0.87113379999999996</v>
      </c>
      <c r="I3991">
        <v>141.99299999999999</v>
      </c>
      <c r="J3991">
        <v>-338.3836</v>
      </c>
      <c r="K3991">
        <v>1.110878</v>
      </c>
      <c r="L3991">
        <v>142.0265</v>
      </c>
      <c r="M3991">
        <v>-0.99988359999999998</v>
      </c>
      <c r="N3991">
        <v>-1.518386E-2</v>
      </c>
      <c r="O3991">
        <v>1.5122219999999999E-3</v>
      </c>
      <c r="P3991">
        <v>-0.93180499999999999</v>
      </c>
      <c r="Q3991">
        <v>0.35608010000000001</v>
      </c>
      <c r="R3991">
        <v>-7.0331660000000004E-2</v>
      </c>
      <c r="S3991">
        <v>-3.7197879999999999</v>
      </c>
      <c r="T3991">
        <v>-1.3451500000000001</v>
      </c>
      <c r="U3991">
        <v>-0.18672179999999999</v>
      </c>
      <c r="V3991">
        <v>-7.1766159999999996E-2</v>
      </c>
      <c r="W3991">
        <v>0.37018079999999998</v>
      </c>
      <c r="X3991">
        <v>0.92618350000000005</v>
      </c>
      <c r="Y3991">
        <v>-4.8361929999999997E-2</v>
      </c>
      <c r="Z3991">
        <v>-9.357532E-3</v>
      </c>
      <c r="AA3991">
        <v>0.99878599999999995</v>
      </c>
      <c r="AB3991">
        <v>41</v>
      </c>
      <c r="AC3991">
        <v>-0.25299999999998501</v>
      </c>
      <c r="AD3991">
        <v>-0.23974419999999999</v>
      </c>
      <c r="AE3991">
        <v>-3.3500000000003603E-2</v>
      </c>
      <c r="AF3991">
        <v>-1.79988776654171E-2</v>
      </c>
      <c r="AG3991">
        <v>-0.23974419999999999</v>
      </c>
      <c r="AH3991">
        <v>0.13436982988791901</v>
      </c>
      <c r="AI3991">
        <v>150.51281800588399</v>
      </c>
      <c r="AJ3991">
        <v>97.629372114134497</v>
      </c>
      <c r="AK3991">
        <v>0.27542057333279002</v>
      </c>
      <c r="AL3991">
        <v>68.273232820193101</v>
      </c>
      <c r="AM3991">
        <v>94.430761541536</v>
      </c>
      <c r="AN3991">
        <v>1.0000000410410099</v>
      </c>
    </row>
    <row r="3992" spans="1:40" x14ac:dyDescent="0.25">
      <c r="A3992" t="str">
        <f>"20190304164724339"</f>
        <v>20190304164724339</v>
      </c>
      <c r="B3992" t="str">
        <f>"1551689244333568"</f>
        <v>1551689244333568</v>
      </c>
      <c r="C3992" t="s">
        <v>40</v>
      </c>
      <c r="D3992">
        <v>4.2935790000000003</v>
      </c>
      <c r="E3992">
        <v>0.53404719999999894</v>
      </c>
      <c r="F3992" t="s">
        <v>41</v>
      </c>
      <c r="G3992">
        <v>-339.32499999999999</v>
      </c>
      <c r="H3992">
        <v>0.77304799999999996</v>
      </c>
      <c r="I3992">
        <v>141.98179999999999</v>
      </c>
      <c r="J3992">
        <v>-338.80959999999999</v>
      </c>
      <c r="K3992">
        <v>1.110873</v>
      </c>
      <c r="L3992">
        <v>142.02719999999999</v>
      </c>
      <c r="M3992">
        <v>-0.99988370000000004</v>
      </c>
      <c r="N3992">
        <v>-1.5178850000000001E-2</v>
      </c>
      <c r="O3992">
        <v>1.5090800000000001E-3</v>
      </c>
      <c r="P3992">
        <v>-0.93173879999999998</v>
      </c>
      <c r="Q3992">
        <v>0.356454299999999</v>
      </c>
      <c r="R3992">
        <v>-6.9306930000000003E-2</v>
      </c>
      <c r="S3992">
        <v>-3.715576</v>
      </c>
      <c r="T3992">
        <v>-1.3333660000000001</v>
      </c>
      <c r="U3992">
        <v>-0.1784821</v>
      </c>
      <c r="V3992">
        <v>-7.0730269999999998E-2</v>
      </c>
      <c r="W3992">
        <v>0.37055110000000002</v>
      </c>
      <c r="X3992">
        <v>0.92611509999999997</v>
      </c>
      <c r="Y3992">
        <v>-4.6382140000000002E-2</v>
      </c>
      <c r="Z3992">
        <v>-8.9321060000000004E-3</v>
      </c>
      <c r="AA3992">
        <v>0.99888379999999999</v>
      </c>
      <c r="AB3992">
        <v>41</v>
      </c>
      <c r="AC3992">
        <v>-0.51539999999999897</v>
      </c>
      <c r="AD3992">
        <v>-0.33782499999999999</v>
      </c>
      <c r="AE3992">
        <v>-4.5400000000000697E-2</v>
      </c>
      <c r="AF3992">
        <v>-3.2375446755436001E-2</v>
      </c>
      <c r="AG3992">
        <v>-0.33782499999999999</v>
      </c>
      <c r="AH3992">
        <v>0.36130048392994102</v>
      </c>
      <c r="AI3992">
        <v>132.96254181951599</v>
      </c>
      <c r="AJ3992">
        <v>95.120489487684793</v>
      </c>
      <c r="AK3992">
        <v>0.495693393001787</v>
      </c>
      <c r="AL3992">
        <v>68.250391712164003</v>
      </c>
      <c r="AM3992">
        <v>94.367377359547604</v>
      </c>
      <c r="AN3992">
        <v>1.0000000336267401</v>
      </c>
    </row>
    <row r="3993" spans="1:40" x14ac:dyDescent="0.25">
      <c r="A3993" t="str">
        <f>"20190304164724361"</f>
        <v>20190304164724361</v>
      </c>
      <c r="B3993" t="str">
        <f>"1551689244352623"</f>
        <v>1551689244352623</v>
      </c>
      <c r="C3993" t="s">
        <v>40</v>
      </c>
      <c r="D3993">
        <v>4.0277129999999897</v>
      </c>
      <c r="E3993">
        <v>0.53414050000000002</v>
      </c>
      <c r="F3993" t="s">
        <v>41</v>
      </c>
      <c r="G3993">
        <v>-339.69510000000002</v>
      </c>
      <c r="H3993">
        <v>0.79498169999999901</v>
      </c>
      <c r="I3993">
        <v>141.98689999999999</v>
      </c>
      <c r="J3993">
        <v>-339.2038</v>
      </c>
      <c r="K3993">
        <v>1.1108640000000001</v>
      </c>
      <c r="L3993">
        <v>142.02780000000001</v>
      </c>
      <c r="M3993">
        <v>-0.99988370000000004</v>
      </c>
      <c r="N3993">
        <v>-1.5174099999999999E-2</v>
      </c>
      <c r="O3993">
        <v>1.5088759999999999E-3</v>
      </c>
      <c r="P3993">
        <v>-0.93143010000000004</v>
      </c>
      <c r="Q3993">
        <v>0.35727160000000002</v>
      </c>
      <c r="R3993">
        <v>-6.9246740000000001E-2</v>
      </c>
      <c r="S3993">
        <v>-3.7140810000000002</v>
      </c>
      <c r="T3993">
        <v>-1.3249789999999999</v>
      </c>
      <c r="U3993">
        <v>-0.1695557</v>
      </c>
      <c r="V3993">
        <v>-7.0663710000000005E-2</v>
      </c>
      <c r="W3993">
        <v>0.37136019999999997</v>
      </c>
      <c r="X3993">
        <v>0.92579599999999995</v>
      </c>
      <c r="Y3993">
        <v>-4.4181779999999997E-2</v>
      </c>
      <c r="Z3993">
        <v>-8.4867869999999904E-3</v>
      </c>
      <c r="AA3993">
        <v>0.99898739999999997</v>
      </c>
      <c r="AB3993">
        <v>41</v>
      </c>
      <c r="AC3993">
        <v>-0.491300000000023</v>
      </c>
      <c r="AD3993">
        <v>-0.31588229999999901</v>
      </c>
      <c r="AE3993">
        <v>-4.0900000000021898E-2</v>
      </c>
      <c r="AF3993">
        <v>-2.9521523183917299E-2</v>
      </c>
      <c r="AG3993">
        <v>-0.31588229999999901</v>
      </c>
      <c r="AH3993">
        <v>0.34826166529923003</v>
      </c>
      <c r="AI3993">
        <v>132.10678384787801</v>
      </c>
      <c r="AJ3993">
        <v>94.845278186778899</v>
      </c>
      <c r="AK3993">
        <v>0.47110437835089303</v>
      </c>
      <c r="AL3993">
        <v>68.200471084707203</v>
      </c>
      <c r="AM3993">
        <v>94.364781472269399</v>
      </c>
      <c r="AN3993">
        <v>0.99999999583550103</v>
      </c>
    </row>
    <row r="3994" spans="1:40" x14ac:dyDescent="0.25">
      <c r="A3994" t="str">
        <f>"20190304164724382"</f>
        <v>20190304164724382</v>
      </c>
      <c r="B3994" t="str">
        <f>"1551689244373119"</f>
        <v>1551689244373119</v>
      </c>
      <c r="C3994" t="s">
        <v>40</v>
      </c>
      <c r="D3994">
        <v>4.3057650000000001</v>
      </c>
      <c r="E3994">
        <v>0.53413120000000003</v>
      </c>
      <c r="F3994" t="s">
        <v>41</v>
      </c>
      <c r="G3994">
        <v>-340.06240000000003</v>
      </c>
      <c r="H3994">
        <v>0.80576400000000004</v>
      </c>
      <c r="I3994">
        <v>141.99019999999999</v>
      </c>
      <c r="J3994">
        <v>-339.59480000000002</v>
      </c>
      <c r="K3994">
        <v>1.110865</v>
      </c>
      <c r="L3994">
        <v>142.0284</v>
      </c>
      <c r="M3994">
        <v>-0.99988379999999999</v>
      </c>
      <c r="N3994">
        <v>-1.516958E-2</v>
      </c>
      <c r="O3994">
        <v>1.509189E-3</v>
      </c>
      <c r="P3994">
        <v>-0.93117119999999998</v>
      </c>
      <c r="Q3994">
        <v>0.35781259999999998</v>
      </c>
      <c r="R3994">
        <v>-6.993249E-2</v>
      </c>
      <c r="S3994">
        <v>-3.7149350000000001</v>
      </c>
      <c r="T3994">
        <v>-1.3199559999999999</v>
      </c>
      <c r="U3994">
        <v>-0.16448969999999999</v>
      </c>
      <c r="V3994">
        <v>-7.1344329999999997E-2</v>
      </c>
      <c r="W3994">
        <v>0.371894</v>
      </c>
      <c r="X3994">
        <v>0.9255295</v>
      </c>
      <c r="Y3994">
        <v>-4.2915229999999999E-2</v>
      </c>
      <c r="Z3994">
        <v>-8.2278739999999996E-3</v>
      </c>
      <c r="AA3994">
        <v>0.99904479999999996</v>
      </c>
      <c r="AB3994">
        <v>41</v>
      </c>
      <c r="AC3994">
        <v>-0.46760000000000401</v>
      </c>
      <c r="AD3994">
        <v>-0.30510100000000001</v>
      </c>
      <c r="AE3994">
        <v>-3.8200000000017498E-2</v>
      </c>
      <c r="AF3994">
        <v>-2.7342343750321199E-2</v>
      </c>
      <c r="AG3994">
        <v>-0.30510100000000001</v>
      </c>
      <c r="AH3994">
        <v>0.32858109614379599</v>
      </c>
      <c r="AI3994">
        <v>132.77940552757499</v>
      </c>
      <c r="AJ3994">
        <v>94.756816225586405</v>
      </c>
      <c r="AK3994">
        <v>0.44922128256107702</v>
      </c>
      <c r="AL3994">
        <v>68.167527506005598</v>
      </c>
      <c r="AM3994">
        <v>94.407921313845705</v>
      </c>
      <c r="AN3994">
        <v>1.00000000801469</v>
      </c>
    </row>
    <row r="3995" spans="1:40" x14ac:dyDescent="0.25">
      <c r="A3995" t="str">
        <f>"20190304164724407"</f>
        <v>20190304164724407</v>
      </c>
      <c r="B3995" t="str">
        <f>"1551689244403372"</f>
        <v>1551689244403372</v>
      </c>
      <c r="C3995" t="s">
        <v>40</v>
      </c>
      <c r="D3995">
        <v>4.3185719999999996</v>
      </c>
      <c r="E3995">
        <v>0.53412689999999996</v>
      </c>
      <c r="F3995" t="s">
        <v>41</v>
      </c>
      <c r="G3995">
        <v>-340.4289</v>
      </c>
      <c r="H3995">
        <v>0.81493199999999999</v>
      </c>
      <c r="I3995">
        <v>141.99109999999999</v>
      </c>
      <c r="J3995">
        <v>-340.02109999999999</v>
      </c>
      <c r="K3995">
        <v>1.11086</v>
      </c>
      <c r="L3995">
        <v>142.029</v>
      </c>
      <c r="M3995">
        <v>-0.99988390000000005</v>
      </c>
      <c r="N3995">
        <v>-1.516486E-2</v>
      </c>
      <c r="O3995">
        <v>1.5091410000000001E-3</v>
      </c>
      <c r="P3995">
        <v>-0.93101940000000005</v>
      </c>
      <c r="Q3995">
        <v>0.35811959999999998</v>
      </c>
      <c r="R3995">
        <v>-7.038084E-2</v>
      </c>
      <c r="S3995">
        <v>-3.7157900000000001</v>
      </c>
      <c r="T3995">
        <v>-1.3182069999999999</v>
      </c>
      <c r="U3995">
        <v>-0.1668549</v>
      </c>
      <c r="V3995">
        <v>-7.178822E-2</v>
      </c>
      <c r="W3995">
        <v>0.372195</v>
      </c>
      <c r="X3995">
        <v>0.92537420000000004</v>
      </c>
      <c r="Y3995">
        <v>-4.351025E-2</v>
      </c>
      <c r="Z3995">
        <v>-8.3230619999999905E-3</v>
      </c>
      <c r="AA3995">
        <v>0.99901830000000003</v>
      </c>
      <c r="AB3995">
        <v>41</v>
      </c>
      <c r="AC3995">
        <v>-0.40780000000000799</v>
      </c>
      <c r="AD3995">
        <v>-0.29592800000000002</v>
      </c>
      <c r="AE3995">
        <v>-3.7900000000007601E-2</v>
      </c>
      <c r="AF3995">
        <v>-2.5304377349263E-2</v>
      </c>
      <c r="AG3995">
        <v>-0.29592800000000002</v>
      </c>
      <c r="AH3995">
        <v>0.26788378236806998</v>
      </c>
      <c r="AI3995">
        <v>137.720926042022</v>
      </c>
      <c r="AJ3995">
        <v>95.396163910915902</v>
      </c>
      <c r="AK3995">
        <v>0.39996926576032898</v>
      </c>
      <c r="AL3995">
        <v>68.148948420486903</v>
      </c>
      <c r="AM3995">
        <v>94.435978786535699</v>
      </c>
      <c r="AN3995">
        <v>1.0000000382906999</v>
      </c>
    </row>
    <row r="3996" spans="1:40" x14ac:dyDescent="0.25">
      <c r="A3996" t="str">
        <f>"20190304164724429"</f>
        <v>20190304164724429</v>
      </c>
      <c r="B3996" t="str">
        <f>"1551689244423869"</f>
        <v>1551689244423869</v>
      </c>
      <c r="C3996" t="s">
        <v>40</v>
      </c>
      <c r="D3996">
        <v>4.3243179999999999</v>
      </c>
      <c r="E3996">
        <v>0.53412320000000002</v>
      </c>
      <c r="F3996" t="s">
        <v>41</v>
      </c>
      <c r="G3996">
        <v>-340.7996</v>
      </c>
      <c r="H3996">
        <v>0.83490200000000003</v>
      </c>
      <c r="I3996">
        <v>141.99369999999999</v>
      </c>
      <c r="J3996">
        <v>-340.43900000000002</v>
      </c>
      <c r="K3996">
        <v>1.110859</v>
      </c>
      <c r="L3996">
        <v>142.02959999999999</v>
      </c>
      <c r="M3996">
        <v>-0.999884</v>
      </c>
      <c r="N3996">
        <v>-1.516033E-2</v>
      </c>
      <c r="O3996">
        <v>1.5080619999999999E-3</v>
      </c>
      <c r="P3996">
        <v>-0.93122439999999995</v>
      </c>
      <c r="Q3996">
        <v>0.3574097</v>
      </c>
      <c r="R3996">
        <v>-7.1272450000000001E-2</v>
      </c>
      <c r="S3996">
        <v>-3.7160639999999998</v>
      </c>
      <c r="T3996">
        <v>-1.3171930000000001</v>
      </c>
      <c r="U3996">
        <v>-0.16998289999999999</v>
      </c>
      <c r="V3996">
        <v>-7.2674870000000003E-2</v>
      </c>
      <c r="W3996">
        <v>0.37148500000000001</v>
      </c>
      <c r="X3996">
        <v>0.92559020000000003</v>
      </c>
      <c r="Y3996">
        <v>-4.4299669999999999E-2</v>
      </c>
      <c r="Z3996">
        <v>-8.4579779999999997E-3</v>
      </c>
      <c r="AA3996">
        <v>0.9989825</v>
      </c>
      <c r="AB3996">
        <v>41</v>
      </c>
      <c r="AC3996">
        <v>-0.360599999999976</v>
      </c>
      <c r="AD3996">
        <v>-0.27595700000000001</v>
      </c>
      <c r="AE3996">
        <v>-3.5899999999998003E-2</v>
      </c>
      <c r="AF3996">
        <v>-2.3067272285246201E-2</v>
      </c>
      <c r="AG3996">
        <v>-0.27595700000000001</v>
      </c>
      <c r="AH3996">
        <v>0.22820873129354499</v>
      </c>
      <c r="AI3996">
        <v>140.26711655646699</v>
      </c>
      <c r="AJ3996">
        <v>95.771836866757297</v>
      </c>
      <c r="AK3996">
        <v>0.35883643897783102</v>
      </c>
      <c r="AL3996">
        <v>68.192769280540602</v>
      </c>
      <c r="AM3996">
        <v>94.489500792600793</v>
      </c>
      <c r="AN3996">
        <v>0.99999998014527802</v>
      </c>
    </row>
    <row r="3997" spans="1:40" x14ac:dyDescent="0.25">
      <c r="A3997" t="str">
        <f>"20190304164724451"</f>
        <v>20190304164724451</v>
      </c>
      <c r="B3997" t="str">
        <f>"1551689244443388"</f>
        <v>1551689244443388</v>
      </c>
      <c r="C3997" t="s">
        <v>40</v>
      </c>
      <c r="D3997">
        <v>4.3181050000000001</v>
      </c>
      <c r="E3997">
        <v>0.53414259999999902</v>
      </c>
      <c r="F3997" t="s">
        <v>41</v>
      </c>
      <c r="G3997">
        <v>-341.16849999999999</v>
      </c>
      <c r="H3997">
        <v>0.85164139999999999</v>
      </c>
      <c r="I3997">
        <v>141.99529999999999</v>
      </c>
      <c r="J3997">
        <v>-340.82810000000001</v>
      </c>
      <c r="K3997">
        <v>1.110852</v>
      </c>
      <c r="L3997">
        <v>142.03020000000001</v>
      </c>
      <c r="M3997">
        <v>-0.99988390000000005</v>
      </c>
      <c r="N3997">
        <v>-1.515611E-2</v>
      </c>
      <c r="O3997">
        <v>1.5070210000000001E-3</v>
      </c>
      <c r="P3997">
        <v>-0.93132230000000005</v>
      </c>
      <c r="Q3997">
        <v>0.35702220000000001</v>
      </c>
      <c r="R3997">
        <v>-7.1930679999999997E-2</v>
      </c>
      <c r="S3997">
        <v>-3.7148439999999998</v>
      </c>
      <c r="T3997">
        <v>-1.3200670000000001</v>
      </c>
      <c r="U3997">
        <v>-0.17468259999999999</v>
      </c>
      <c r="V3997">
        <v>-7.3329749999999999E-2</v>
      </c>
      <c r="W3997">
        <v>0.37109579999999998</v>
      </c>
      <c r="X3997">
        <v>0.92569469999999998</v>
      </c>
      <c r="Y3997">
        <v>-4.5485289999999998E-2</v>
      </c>
      <c r="Z3997">
        <v>-8.6901909999999999E-3</v>
      </c>
      <c r="AA3997">
        <v>0.99892720000000002</v>
      </c>
      <c r="AB3997">
        <v>40</v>
      </c>
      <c r="AC3997">
        <v>-0.34039999999998799</v>
      </c>
      <c r="AD3997">
        <v>-0.25921059999999901</v>
      </c>
      <c r="AE3997">
        <v>-3.4900000000021601E-2</v>
      </c>
      <c r="AF3997">
        <v>-2.25011309517342E-2</v>
      </c>
      <c r="AG3997">
        <v>-0.25921059999999901</v>
      </c>
      <c r="AH3997">
        <v>0.21625365496750401</v>
      </c>
      <c r="AI3997">
        <v>140.01068950947399</v>
      </c>
      <c r="AJ3997">
        <v>95.940234009024294</v>
      </c>
      <c r="AK3997">
        <v>0.33832244875750001</v>
      </c>
      <c r="AL3997">
        <v>68.2167862728475</v>
      </c>
      <c r="AM3997">
        <v>94.529279250978107</v>
      </c>
      <c r="AN3997">
        <v>1.00000001131039</v>
      </c>
    </row>
    <row r="3998" spans="1:40" x14ac:dyDescent="0.25">
      <c r="A3998" t="str">
        <f>"20190304164724472"</f>
        <v>20190304164724472</v>
      </c>
      <c r="B3998" t="str">
        <f>"1551689244462912"</f>
        <v>1551689244462912</v>
      </c>
      <c r="C3998" t="s">
        <v>40</v>
      </c>
      <c r="D3998">
        <v>4.3304269999999896</v>
      </c>
      <c r="E3998">
        <v>0.53415539999999995</v>
      </c>
      <c r="F3998" t="s">
        <v>41</v>
      </c>
      <c r="G3998">
        <v>-341.53339999999997</v>
      </c>
      <c r="H3998">
        <v>0.85995409999999906</v>
      </c>
      <c r="I3998">
        <v>141.99700000000001</v>
      </c>
      <c r="J3998">
        <v>-341.21629999999999</v>
      </c>
      <c r="K3998">
        <v>1.110854</v>
      </c>
      <c r="L3998">
        <v>142.0308</v>
      </c>
      <c r="M3998">
        <v>-0.99988410000000005</v>
      </c>
      <c r="N3998">
        <v>-1.515186E-2</v>
      </c>
      <c r="O3998">
        <v>1.5059029999999901E-3</v>
      </c>
      <c r="P3998">
        <v>-0.93134890000000004</v>
      </c>
      <c r="Q3998">
        <v>0.35681350000000001</v>
      </c>
      <c r="R3998">
        <v>-7.2620100000000007E-2</v>
      </c>
      <c r="S3998">
        <v>-3.7140499999999999</v>
      </c>
      <c r="T3998">
        <v>-1.3211949999999999</v>
      </c>
      <c r="U3998">
        <v>-0.17669679999999999</v>
      </c>
      <c r="V3998">
        <v>-7.4015800000000007E-2</v>
      </c>
      <c r="W3998">
        <v>0.3708842</v>
      </c>
      <c r="X3998">
        <v>0.92572489999999996</v>
      </c>
      <c r="Y3998">
        <v>-4.5996080000000002E-2</v>
      </c>
      <c r="Z3998">
        <v>-8.7901619999999903E-3</v>
      </c>
      <c r="AA3998">
        <v>0.99890290000000004</v>
      </c>
      <c r="AB3998">
        <v>40</v>
      </c>
      <c r="AC3998">
        <v>-0.31709999999998201</v>
      </c>
      <c r="AD3998">
        <v>-0.25089990000000001</v>
      </c>
      <c r="AE3998">
        <v>-3.3799999999985099E-2</v>
      </c>
      <c r="AF3998">
        <v>-2.1171831555927001E-2</v>
      </c>
      <c r="AG3998">
        <v>-0.25089990000000001</v>
      </c>
      <c r="AH3998">
        <v>0.19582801863985</v>
      </c>
      <c r="AI3998">
        <v>141.866283157749</v>
      </c>
      <c r="AJ3998">
        <v>96.170532243856101</v>
      </c>
      <c r="AK3998">
        <v>0.31897902620055102</v>
      </c>
      <c r="AL3998">
        <v>68.229841696573899</v>
      </c>
      <c r="AM3998">
        <v>94.571326472715498</v>
      </c>
      <c r="AN3998">
        <v>1.00000000946964</v>
      </c>
    </row>
    <row r="3999" spans="1:40" x14ac:dyDescent="0.25">
      <c r="A3999" t="str">
        <f>"20190304164724495"</f>
        <v>20190304164724495</v>
      </c>
      <c r="B3999" t="str">
        <f>"1551689244483404"</f>
        <v>1551689244483404</v>
      </c>
      <c r="C3999" t="s">
        <v>40</v>
      </c>
      <c r="D3999">
        <v>4.2955699999999997</v>
      </c>
      <c r="E3999">
        <v>0.5341901</v>
      </c>
      <c r="F3999" t="s">
        <v>41</v>
      </c>
      <c r="G3999">
        <v>-341.89789999999999</v>
      </c>
      <c r="H3999">
        <v>0.86823859999999997</v>
      </c>
      <c r="I3999">
        <v>141.99789999999999</v>
      </c>
      <c r="J3999">
        <v>-341.61180000000002</v>
      </c>
      <c r="K3999">
        <v>1.11086</v>
      </c>
      <c r="L3999">
        <v>142.03139999999999</v>
      </c>
      <c r="M3999">
        <v>-0.99988429999999995</v>
      </c>
      <c r="N3999">
        <v>-1.514737E-2</v>
      </c>
      <c r="O3999">
        <v>1.5047789999999999E-3</v>
      </c>
      <c r="P3999">
        <v>-0.93121869999999995</v>
      </c>
      <c r="Q3999">
        <v>0.3570796</v>
      </c>
      <c r="R3999">
        <v>-7.297911E-2</v>
      </c>
      <c r="S3999">
        <v>-3.7136230000000001</v>
      </c>
      <c r="T3999">
        <v>-1.322009</v>
      </c>
      <c r="U3999">
        <v>-0.17955019999999999</v>
      </c>
      <c r="V3999">
        <v>-7.4372110000000005E-2</v>
      </c>
      <c r="W3999">
        <v>0.37114399999999997</v>
      </c>
      <c r="X3999">
        <v>0.92559219999999998</v>
      </c>
      <c r="Y3999">
        <v>-4.6715979999999997E-2</v>
      </c>
      <c r="Z3999">
        <v>-8.9252700000000008E-3</v>
      </c>
      <c r="AA3999">
        <v>0.99886830000000004</v>
      </c>
      <c r="AB3999">
        <v>40</v>
      </c>
      <c r="AC3999">
        <v>-0.28609999999997598</v>
      </c>
      <c r="AD3999">
        <v>-0.24262139999999899</v>
      </c>
      <c r="AE3999">
        <v>-3.3500000000003603E-2</v>
      </c>
      <c r="AF3999">
        <v>-1.9849049917715099E-2</v>
      </c>
      <c r="AG3999">
        <v>-0.24262139999999899</v>
      </c>
      <c r="AH3999">
        <v>0.16733620921637399</v>
      </c>
      <c r="AI3999">
        <v>145.21862566865599</v>
      </c>
      <c r="AJ3999">
        <v>96.764689635601002</v>
      </c>
      <c r="AK3999">
        <v>0.29539894284763701</v>
      </c>
      <c r="AL3999">
        <v>68.2138119675936</v>
      </c>
      <c r="AM3999">
        <v>94.593894473705404</v>
      </c>
      <c r="AN3999">
        <v>1.00000000009134</v>
      </c>
    </row>
    <row r="4000" spans="1:40" x14ac:dyDescent="0.25">
      <c r="A4000" t="str">
        <f>"20190304164724517"</f>
        <v>20190304164724517</v>
      </c>
      <c r="B4000" t="str">
        <f>"1551689244512684"</f>
        <v>1551689244512684</v>
      </c>
      <c r="C4000" t="s">
        <v>40</v>
      </c>
      <c r="D4000">
        <v>4.3501699999999897</v>
      </c>
      <c r="E4000">
        <v>0.53270519999999999</v>
      </c>
      <c r="F4000" t="s">
        <v>41</v>
      </c>
      <c r="G4000">
        <v>-342.5795</v>
      </c>
      <c r="H4000">
        <v>0.7668315</v>
      </c>
      <c r="I4000">
        <v>141.98490000000001</v>
      </c>
      <c r="J4000">
        <v>-342.02620000000002</v>
      </c>
      <c r="K4000">
        <v>1.1108579999999999</v>
      </c>
      <c r="L4000">
        <v>142.03200000000001</v>
      </c>
      <c r="M4000">
        <v>-0.9998842</v>
      </c>
      <c r="N4000">
        <v>-1.5142640000000001E-2</v>
      </c>
      <c r="O4000">
        <v>1.5041849999999999E-3</v>
      </c>
      <c r="P4000">
        <v>-0.93130480000000004</v>
      </c>
      <c r="Q4000">
        <v>0.3567728</v>
      </c>
      <c r="R4000">
        <v>-7.3377269999999994E-2</v>
      </c>
      <c r="S4000">
        <v>-3.713867</v>
      </c>
      <c r="T4000">
        <v>-1.3202719999999999</v>
      </c>
      <c r="U4000">
        <v>-0.17886350000000001</v>
      </c>
      <c r="V4000">
        <v>-7.4768669999999995E-2</v>
      </c>
      <c r="W4000">
        <v>0.37083450000000001</v>
      </c>
      <c r="X4000">
        <v>0.92568430000000002</v>
      </c>
      <c r="Y4000">
        <v>-4.6546919999999999E-2</v>
      </c>
      <c r="Z4000">
        <v>-8.8833509999999994E-3</v>
      </c>
      <c r="AA4000">
        <v>0.9988766</v>
      </c>
      <c r="AB4000">
        <v>40</v>
      </c>
      <c r="AC4000">
        <v>-0.55329999999997803</v>
      </c>
      <c r="AD4000">
        <v>-0.34402649999999901</v>
      </c>
      <c r="AE4000">
        <v>-4.7100000000000301E-2</v>
      </c>
      <c r="AF4000">
        <v>-3.4637694191088197E-2</v>
      </c>
      <c r="AG4000">
        <v>-0.34402649999999901</v>
      </c>
      <c r="AH4000">
        <v>0.39978380268128499</v>
      </c>
      <c r="AI4000">
        <v>130.607130788826</v>
      </c>
      <c r="AJ4000">
        <v>94.951801508290899</v>
      </c>
      <c r="AK4000">
        <v>0.52856512507678199</v>
      </c>
      <c r="AL4000">
        <v>68.232907779904806</v>
      </c>
      <c r="AM4000">
        <v>94.617826423060393</v>
      </c>
      <c r="AN4000">
        <v>1.00000000183515</v>
      </c>
    </row>
    <row r="4001" spans="1:40" x14ac:dyDescent="0.25">
      <c r="A4001" t="str">
        <f>"20190304164724540"</f>
        <v>20190304164724540</v>
      </c>
      <c r="B4001" t="str">
        <f>"1551689244533180"</f>
        <v>1551689244533180</v>
      </c>
      <c r="C4001" t="s">
        <v>40</v>
      </c>
      <c r="D4001">
        <v>4.3168870000000004</v>
      </c>
      <c r="E4001">
        <v>0.52281809999999995</v>
      </c>
      <c r="F4001" t="s">
        <v>41</v>
      </c>
      <c r="G4001">
        <v>-342.98809999999997</v>
      </c>
      <c r="H4001">
        <v>0.89052719999999896</v>
      </c>
      <c r="I4001">
        <v>141.9939</v>
      </c>
      <c r="J4001">
        <v>-342.4522</v>
      </c>
      <c r="K4001">
        <v>1.110857</v>
      </c>
      <c r="L4001">
        <v>142.0326</v>
      </c>
      <c r="M4001">
        <v>-0.99988429999999995</v>
      </c>
      <c r="N4001">
        <v>-1.513781E-2</v>
      </c>
      <c r="O4001">
        <v>1.5034110000000001E-3</v>
      </c>
      <c r="P4001">
        <v>-0.93129629999999997</v>
      </c>
      <c r="Q4001">
        <v>0.35668299999999997</v>
      </c>
      <c r="R4001">
        <v>-7.3923610000000001E-2</v>
      </c>
      <c r="S4001">
        <v>-3.5189819999999998</v>
      </c>
      <c r="T4001">
        <v>-0.8061161</v>
      </c>
      <c r="U4001">
        <v>-0.1409454</v>
      </c>
      <c r="V4001">
        <v>-7.53133E-2</v>
      </c>
      <c r="W4001">
        <v>0.37074069999999998</v>
      </c>
      <c r="X4001">
        <v>0.92567770000000005</v>
      </c>
      <c r="Y4001">
        <v>-4.0374140000000003E-2</v>
      </c>
      <c r="Z4001">
        <v>-5.1907780000000001E-3</v>
      </c>
      <c r="AA4001">
        <v>0.99917109999999998</v>
      </c>
      <c r="AB4001">
        <v>40</v>
      </c>
      <c r="AC4001">
        <v>-0.53589999999996896</v>
      </c>
      <c r="AD4001">
        <v>-0.22032979999999999</v>
      </c>
      <c r="AE4001">
        <v>-3.8700000000005702E-2</v>
      </c>
      <c r="AF4001">
        <v>-3.3818793483541998E-2</v>
      </c>
      <c r="AG4001">
        <v>-0.22032979999999999</v>
      </c>
      <c r="AH4001">
        <v>0.45870572861713999</v>
      </c>
      <c r="AI4001">
        <v>115.59577954001701</v>
      </c>
      <c r="AJ4001">
        <v>94.216591617460793</v>
      </c>
      <c r="AK4001">
        <v>0.50999987943812697</v>
      </c>
      <c r="AL4001">
        <v>68.238694170717096</v>
      </c>
      <c r="AM4001">
        <v>94.651349553692697</v>
      </c>
      <c r="AN4001">
        <v>0.99999998203533402</v>
      </c>
    </row>
    <row r="4002" spans="1:40" x14ac:dyDescent="0.25">
      <c r="A4002" t="str">
        <f>"20190304164724562"</f>
        <v>20190304164724562</v>
      </c>
      <c r="B4002" t="str">
        <f>"1551689244552704"</f>
        <v>1551689244552704</v>
      </c>
      <c r="C4002" t="s">
        <v>40</v>
      </c>
      <c r="D4002">
        <v>4.3013529999999998</v>
      </c>
      <c r="E4002">
        <v>0.47877910000000001</v>
      </c>
      <c r="F4002" t="s">
        <v>41</v>
      </c>
      <c r="G4002">
        <v>-343.36709999999999</v>
      </c>
      <c r="H4002">
        <v>0.93353900000000001</v>
      </c>
      <c r="I4002">
        <v>141.97790000000001</v>
      </c>
      <c r="J4002">
        <v>-342.8261</v>
      </c>
      <c r="K4002">
        <v>1.11086</v>
      </c>
      <c r="L4002">
        <v>142.03319999999999</v>
      </c>
      <c r="M4002">
        <v>-0.99988449999999995</v>
      </c>
      <c r="N4002">
        <v>-1.5133560000000001E-2</v>
      </c>
      <c r="O4002">
        <v>1.5027440000000001E-3</v>
      </c>
      <c r="P4002">
        <v>-0.93105890000000002</v>
      </c>
      <c r="Q4002">
        <v>0.3572514</v>
      </c>
      <c r="R4002">
        <v>-7.4171920000000002E-2</v>
      </c>
      <c r="S4002">
        <v>-3.4618839999999902</v>
      </c>
      <c r="T4002">
        <v>-0.67101480000000002</v>
      </c>
      <c r="U4002">
        <v>-0.20741270000000001</v>
      </c>
      <c r="V4002">
        <v>-7.5559470000000004E-2</v>
      </c>
      <c r="W4002">
        <v>0.3713012</v>
      </c>
      <c r="X4002">
        <v>0.92543299999999995</v>
      </c>
      <c r="Y4002">
        <v>-6.0079319999999999E-2</v>
      </c>
      <c r="Z4002">
        <v>-6.4892209999999999E-3</v>
      </c>
      <c r="AA4002">
        <v>0.99817250000000002</v>
      </c>
      <c r="AB4002">
        <v>40</v>
      </c>
      <c r="AC4002">
        <v>-0.54099999999999604</v>
      </c>
      <c r="AD4002">
        <v>-0.17732100000000001</v>
      </c>
      <c r="AE4002">
        <v>-5.5299999999988303E-2</v>
      </c>
      <c r="AF4002">
        <v>-5.0720457660039603E-2</v>
      </c>
      <c r="AG4002">
        <v>-0.17732100000000001</v>
      </c>
      <c r="AH4002">
        <v>0.48893329191574397</v>
      </c>
      <c r="AI4002">
        <v>109.836062743833</v>
      </c>
      <c r="AJ4002">
        <v>95.922506379180703</v>
      </c>
      <c r="AK4002">
        <v>0.52256202101742</v>
      </c>
      <c r="AL4002">
        <v>68.204112540272206</v>
      </c>
      <c r="AM4002">
        <v>94.667714423206803</v>
      </c>
      <c r="AN4002">
        <v>1.00000002605856</v>
      </c>
    </row>
    <row r="4003" spans="1:40" x14ac:dyDescent="0.25">
      <c r="A4003" t="str">
        <f>"20190304164724584"</f>
        <v>20190304164724584</v>
      </c>
      <c r="B4003" t="str">
        <f>"1551689244573197"</f>
        <v>1551689244573197</v>
      </c>
      <c r="C4003" t="s">
        <v>40</v>
      </c>
      <c r="D4003">
        <v>4.2228389999999996</v>
      </c>
      <c r="E4003">
        <v>0.47848889999999999</v>
      </c>
      <c r="F4003" t="s">
        <v>42</v>
      </c>
      <c r="G4003">
        <v>-360.09609999999998</v>
      </c>
      <c r="H4003" s="1">
        <v>-4.2859129999999996E-6</v>
      </c>
      <c r="I4003">
        <v>139.30699999999999</v>
      </c>
      <c r="J4003">
        <v>-343.22109999999998</v>
      </c>
      <c r="K4003">
        <v>1.11086</v>
      </c>
      <c r="L4003">
        <v>142.03370000000001</v>
      </c>
      <c r="M4003">
        <v>-0.99988440000000001</v>
      </c>
      <c r="N4003">
        <v>-1.512909E-2</v>
      </c>
      <c r="O4003">
        <v>1.5023129999999999E-3</v>
      </c>
      <c r="P4003">
        <v>-0.93076150000000002</v>
      </c>
      <c r="Q4003">
        <v>0.35792210000000002</v>
      </c>
      <c r="R4003">
        <v>-7.4665159999999994E-2</v>
      </c>
      <c r="S4003">
        <v>-3.2616879999999999</v>
      </c>
      <c r="T4003">
        <v>-0.2098043</v>
      </c>
      <c r="U4003">
        <v>-0.51486209999999999</v>
      </c>
      <c r="V4003">
        <v>-7.6050939999999997E-2</v>
      </c>
      <c r="W4003">
        <v>0.3719635</v>
      </c>
      <c r="X4003">
        <v>0.92512669999999997</v>
      </c>
      <c r="Y4003">
        <v>-0.15701019999999999</v>
      </c>
      <c r="Z4003">
        <v>-6.2835369999999996E-3</v>
      </c>
      <c r="AA4003">
        <v>0.98757700000000004</v>
      </c>
      <c r="AB4003">
        <v>40</v>
      </c>
      <c r="AC4003">
        <v>-16.875</v>
      </c>
      <c r="AD4003">
        <v>-1.110864285913</v>
      </c>
      <c r="AE4003">
        <v>-2.7266999999999899</v>
      </c>
      <c r="AF4003">
        <v>-2.7404777872874502</v>
      </c>
      <c r="AG4003">
        <v>-1.110864285913</v>
      </c>
      <c r="AH4003">
        <v>16.799934743926698</v>
      </c>
      <c r="AI4003">
        <v>93.733859604996496</v>
      </c>
      <c r="AJ4003">
        <v>99.264732943857695</v>
      </c>
      <c r="AK4003">
        <v>17.0581958414285</v>
      </c>
      <c r="AL4003">
        <v>68.163237541838498</v>
      </c>
      <c r="AM4003">
        <v>94.699488179793207</v>
      </c>
      <c r="AN4003">
        <v>1.0000000009300101</v>
      </c>
    </row>
    <row r="4004" spans="1:40" x14ac:dyDescent="0.25">
      <c r="A4004" t="str">
        <f>"20190304164724608"</f>
        <v>20190304164724608</v>
      </c>
      <c r="B4004" t="str">
        <f>"1551689244603455"</f>
        <v>1551689244603455</v>
      </c>
      <c r="C4004" t="s">
        <v>40</v>
      </c>
      <c r="D4004">
        <v>4.1989809999999999</v>
      </c>
      <c r="E4004">
        <v>0.47945389999999999</v>
      </c>
      <c r="F4004" t="s">
        <v>42</v>
      </c>
      <c r="G4004">
        <v>-361.12119999999999</v>
      </c>
      <c r="H4004" s="1">
        <v>-3.8662240000000002E-6</v>
      </c>
      <c r="I4004">
        <v>139.19380000000001</v>
      </c>
      <c r="J4004">
        <v>-343.65190000000001</v>
      </c>
      <c r="K4004">
        <v>1.1108579999999999</v>
      </c>
      <c r="L4004">
        <v>142.03440000000001</v>
      </c>
      <c r="M4004">
        <v>-0.99988469999999996</v>
      </c>
      <c r="N4004">
        <v>-1.5124149999999999E-2</v>
      </c>
      <c r="O4004">
        <v>1.5016439999999999E-3</v>
      </c>
      <c r="P4004">
        <v>-0.93073850000000002</v>
      </c>
      <c r="Q4004">
        <v>0.3579137</v>
      </c>
      <c r="R4004">
        <v>-7.4991820000000001E-2</v>
      </c>
      <c r="S4004">
        <v>-3.2594910000000001</v>
      </c>
      <c r="T4004">
        <v>-0.2022822</v>
      </c>
      <c r="U4004">
        <v>-0.51712040000000004</v>
      </c>
      <c r="V4004">
        <v>-7.6377379999999995E-2</v>
      </c>
      <c r="W4004">
        <v>0.37195020000000001</v>
      </c>
      <c r="X4004">
        <v>0.92510519999999996</v>
      </c>
      <c r="Y4004">
        <v>-0.15780250000000001</v>
      </c>
      <c r="Z4004">
        <v>-6.1337170000000003E-3</v>
      </c>
      <c r="AA4004">
        <v>0.98745170000000004</v>
      </c>
      <c r="AB4004">
        <v>40</v>
      </c>
      <c r="AC4004">
        <v>-17.469299999999901</v>
      </c>
      <c r="AD4004">
        <v>-1.110861866224</v>
      </c>
      <c r="AE4004">
        <v>-2.84059999999999</v>
      </c>
      <c r="AF4004">
        <v>-2.8555830413205801</v>
      </c>
      <c r="AG4004">
        <v>-1.110861866224</v>
      </c>
      <c r="AH4004">
        <v>17.396481711715499</v>
      </c>
      <c r="AI4004">
        <v>93.605570691798505</v>
      </c>
      <c r="AJ4004">
        <v>99.321809443015496</v>
      </c>
      <c r="AK4004">
        <v>17.664256127495499</v>
      </c>
      <c r="AL4004">
        <v>68.164059449705704</v>
      </c>
      <c r="AM4004">
        <v>94.719678458090598</v>
      </c>
      <c r="AN4004">
        <v>1.00000004326137</v>
      </c>
    </row>
    <row r="4005" spans="1:40" x14ac:dyDescent="0.25">
      <c r="A4005" t="str">
        <f>"20190304164724630"</f>
        <v>20190304164724630</v>
      </c>
      <c r="B4005" t="str">
        <f>"1551689244622972"</f>
        <v>1551689244622972</v>
      </c>
      <c r="C4005" t="s">
        <v>40</v>
      </c>
      <c r="D4005">
        <v>4.2405569999999999</v>
      </c>
      <c r="E4005">
        <v>0.48037170000000001</v>
      </c>
      <c r="F4005" t="s">
        <v>42</v>
      </c>
      <c r="G4005">
        <v>-360.94189999999998</v>
      </c>
      <c r="H4005" s="1">
        <v>-3.9192980000000003E-6</v>
      </c>
      <c r="I4005">
        <v>139.32810000000001</v>
      </c>
      <c r="J4005">
        <v>-344.05450000000002</v>
      </c>
      <c r="K4005">
        <v>1.1108610000000001</v>
      </c>
      <c r="L4005">
        <v>142.035</v>
      </c>
      <c r="M4005">
        <v>-0.99988469999999996</v>
      </c>
      <c r="N4005">
        <v>-1.511944E-2</v>
      </c>
      <c r="O4005">
        <v>1.5013870000000001E-3</v>
      </c>
      <c r="P4005">
        <v>-0.930871</v>
      </c>
      <c r="Q4005">
        <v>0.35747679999999998</v>
      </c>
      <c r="R4005">
        <v>-7.5430079999999997E-2</v>
      </c>
      <c r="S4005">
        <v>-3.262756</v>
      </c>
      <c r="T4005">
        <v>-0.2096288</v>
      </c>
      <c r="U4005">
        <v>-0.51068119999999995</v>
      </c>
      <c r="V4005">
        <v>-7.6814499999999994E-2</v>
      </c>
      <c r="W4005">
        <v>0.37151099999999998</v>
      </c>
      <c r="X4005">
        <v>0.9252454</v>
      </c>
      <c r="Y4005">
        <v>-0.15572839999999999</v>
      </c>
      <c r="Z4005">
        <v>-6.2265609999999898E-3</v>
      </c>
      <c r="AA4005">
        <v>0.98778030000000006</v>
      </c>
      <c r="AB4005">
        <v>40</v>
      </c>
      <c r="AC4005">
        <v>-16.8873999999999</v>
      </c>
      <c r="AD4005">
        <v>-1.110864919298</v>
      </c>
      <c r="AE4005">
        <v>-2.7068999999999899</v>
      </c>
      <c r="AF4005">
        <v>-2.7207762069407599</v>
      </c>
      <c r="AG4005">
        <v>-1.110864919298</v>
      </c>
      <c r="AH4005">
        <v>16.812389835914601</v>
      </c>
      <c r="AI4005">
        <v>93.731864819642894</v>
      </c>
      <c r="AJ4005">
        <v>99.192571914780004</v>
      </c>
      <c r="AK4005">
        <v>17.067310743990902</v>
      </c>
      <c r="AL4005">
        <v>68.191164536808799</v>
      </c>
      <c r="AM4005">
        <v>94.745850917483907</v>
      </c>
      <c r="AN4005">
        <v>0.99999997037620403</v>
      </c>
    </row>
    <row r="4006" spans="1:40" x14ac:dyDescent="0.25">
      <c r="A4006" t="str">
        <f>"20190304164724653"</f>
        <v>20190304164724653</v>
      </c>
      <c r="B4006" t="str">
        <f>"1551689244643467"</f>
        <v>1551689244643467</v>
      </c>
      <c r="C4006" t="s">
        <v>40</v>
      </c>
      <c r="D4006">
        <v>4.2209500000000002</v>
      </c>
      <c r="E4006">
        <v>0.48109800000000003</v>
      </c>
      <c r="F4006" t="s">
        <v>42</v>
      </c>
      <c r="G4006">
        <v>-360.7004</v>
      </c>
      <c r="H4006" s="1">
        <v>-3.9990509999999997E-6</v>
      </c>
      <c r="I4006">
        <v>139.46260000000001</v>
      </c>
      <c r="J4006">
        <v>-344.45179999999999</v>
      </c>
      <c r="K4006">
        <v>1.11086</v>
      </c>
      <c r="L4006">
        <v>142.03559999999999</v>
      </c>
      <c r="M4006">
        <v>-0.99988469999999996</v>
      </c>
      <c r="N4006">
        <v>-1.511477E-2</v>
      </c>
      <c r="O4006">
        <v>1.5012479999999999E-3</v>
      </c>
      <c r="P4006">
        <v>-0.93101259999999997</v>
      </c>
      <c r="Q4006">
        <v>0.35704580000000002</v>
      </c>
      <c r="R4006">
        <v>-7.5722890000000001E-2</v>
      </c>
      <c r="S4006">
        <v>-3.265625</v>
      </c>
      <c r="T4006">
        <v>-0.21793270000000001</v>
      </c>
      <c r="U4006">
        <v>-0.5046387</v>
      </c>
      <c r="V4006">
        <v>-7.7107270000000006E-2</v>
      </c>
      <c r="W4006">
        <v>0.37107800000000002</v>
      </c>
      <c r="X4006">
        <v>0.92539479999999996</v>
      </c>
      <c r="Y4006">
        <v>-0.15378810000000001</v>
      </c>
      <c r="Z4006">
        <v>-6.3433739999999997E-3</v>
      </c>
      <c r="AA4006">
        <v>0.9880835</v>
      </c>
      <c r="AB4006">
        <v>40</v>
      </c>
      <c r="AC4006">
        <v>-16.2486</v>
      </c>
      <c r="AD4006">
        <v>-1.1108639990510001</v>
      </c>
      <c r="AE4006">
        <v>-2.5729999999999702</v>
      </c>
      <c r="AF4006">
        <v>-2.58560354637831</v>
      </c>
      <c r="AG4006">
        <v>-1.1108639990510001</v>
      </c>
      <c r="AH4006">
        <v>16.1709840687442</v>
      </c>
      <c r="AI4006">
        <v>93.8806156058223</v>
      </c>
      <c r="AJ4006">
        <v>99.084217634287398</v>
      </c>
      <c r="AK4006">
        <v>16.4140211488536</v>
      </c>
      <c r="AL4006">
        <v>68.217883714880202</v>
      </c>
      <c r="AM4006">
        <v>94.7630905532246</v>
      </c>
      <c r="AN4006">
        <v>0.99999997451894596</v>
      </c>
    </row>
    <row r="4007" spans="1:40" x14ac:dyDescent="0.25">
      <c r="A4007" t="str">
        <f>"20190304164724674"</f>
        <v>20190304164724674</v>
      </c>
      <c r="B4007" t="str">
        <f>"1551689244662988"</f>
        <v>1551689244662988</v>
      </c>
      <c r="C4007" t="s">
        <v>40</v>
      </c>
      <c r="D4007">
        <v>4.2739669999999998</v>
      </c>
      <c r="E4007">
        <v>0.48170170000000001</v>
      </c>
      <c r="F4007" t="s">
        <v>42</v>
      </c>
      <c r="G4007">
        <v>-360.69439999999997</v>
      </c>
      <c r="H4007" s="1">
        <v>-3.9865540000000001E-6</v>
      </c>
      <c r="I4007">
        <v>139.54759999999999</v>
      </c>
      <c r="J4007">
        <v>-344.83049999999997</v>
      </c>
      <c r="K4007">
        <v>1.110862</v>
      </c>
      <c r="L4007">
        <v>142.0361</v>
      </c>
      <c r="M4007">
        <v>-0.99988480000000002</v>
      </c>
      <c r="N4007">
        <v>-1.511032E-2</v>
      </c>
      <c r="O4007">
        <v>1.500927E-3</v>
      </c>
      <c r="P4007">
        <v>-0.93077989999999999</v>
      </c>
      <c r="Q4007">
        <v>0.35752050000000002</v>
      </c>
      <c r="R4007">
        <v>-7.6342060000000003E-2</v>
      </c>
      <c r="S4007">
        <v>-3.2672729999999999</v>
      </c>
      <c r="T4007">
        <v>-0.2234565</v>
      </c>
      <c r="U4007">
        <v>-0.50045779999999995</v>
      </c>
      <c r="V4007">
        <v>-7.7726160000000002E-2</v>
      </c>
      <c r="W4007">
        <v>0.37154520000000002</v>
      </c>
      <c r="X4007">
        <v>0.92515559999999997</v>
      </c>
      <c r="Y4007">
        <v>-0.15246209999999999</v>
      </c>
      <c r="Z4007">
        <v>-6.4170959999999997E-3</v>
      </c>
      <c r="AA4007">
        <v>0.98828850000000001</v>
      </c>
      <c r="AB4007">
        <v>40</v>
      </c>
      <c r="AC4007">
        <v>-15.863899999999999</v>
      </c>
      <c r="AD4007">
        <v>-1.110865986554</v>
      </c>
      <c r="AE4007">
        <v>-2.4885000000000099</v>
      </c>
      <c r="AF4007">
        <v>-2.5003445503828399</v>
      </c>
      <c r="AG4007">
        <v>-1.110865986554</v>
      </c>
      <c r="AH4007">
        <v>15.784606132367999</v>
      </c>
      <c r="AI4007">
        <v>93.976227078292993</v>
      </c>
      <c r="AJ4007">
        <v>99.001092552282401</v>
      </c>
      <c r="AK4007">
        <v>16.019973060673401</v>
      </c>
      <c r="AL4007">
        <v>68.189055497110502</v>
      </c>
      <c r="AM4007">
        <v>94.802378320608994</v>
      </c>
      <c r="AN4007">
        <v>1.00000003790137</v>
      </c>
    </row>
    <row r="4008" spans="1:40" x14ac:dyDescent="0.25">
      <c r="A4008" t="str">
        <f>"20190304164724697"</f>
        <v>20190304164724697</v>
      </c>
      <c r="B4008" t="str">
        <f>"1551689244693245"</f>
        <v>1551689244693245</v>
      </c>
      <c r="C4008" t="s">
        <v>40</v>
      </c>
      <c r="D4008">
        <v>4.2807250000000003</v>
      </c>
      <c r="E4008">
        <v>0.4827147</v>
      </c>
      <c r="F4008" t="s">
        <v>42</v>
      </c>
      <c r="G4008">
        <v>-360.94639999999998</v>
      </c>
      <c r="H4008" s="1">
        <v>-3.8722360000000001E-6</v>
      </c>
      <c r="I4008">
        <v>139.58260000000001</v>
      </c>
      <c r="J4008">
        <v>-345.23489999999998</v>
      </c>
      <c r="K4008">
        <v>1.110862</v>
      </c>
      <c r="L4008">
        <v>142.0367</v>
      </c>
      <c r="M4008">
        <v>-0.99988500000000002</v>
      </c>
      <c r="N4008">
        <v>-1.510559E-2</v>
      </c>
      <c r="O4008">
        <v>1.5006679999999999E-3</v>
      </c>
      <c r="P4008">
        <v>-0.93053600000000003</v>
      </c>
      <c r="Q4008">
        <v>0.35805550000000003</v>
      </c>
      <c r="R4008">
        <v>-7.6808879999999996E-2</v>
      </c>
      <c r="S4008">
        <v>-3.268799</v>
      </c>
      <c r="T4008">
        <v>-0.22531860000000001</v>
      </c>
      <c r="U4008">
        <v>-0.49763489999999999</v>
      </c>
      <c r="V4008">
        <v>-7.8191860000000002E-2</v>
      </c>
      <c r="W4008">
        <v>0.37207190000000001</v>
      </c>
      <c r="X4008">
        <v>0.92490459999999997</v>
      </c>
      <c r="Y4008">
        <v>-0.1515551</v>
      </c>
      <c r="Z4008">
        <v>-6.4205060000000003E-3</v>
      </c>
      <c r="AA4008">
        <v>0.98842790000000003</v>
      </c>
      <c r="AB4008">
        <v>40</v>
      </c>
      <c r="AC4008">
        <v>-15.711499999999999</v>
      </c>
      <c r="AD4008">
        <v>-1.1108658722360001</v>
      </c>
      <c r="AE4008">
        <v>-2.45409999999998</v>
      </c>
      <c r="AF4008">
        <v>-2.4656453304597998</v>
      </c>
      <c r="AG4008">
        <v>-1.1108658722360001</v>
      </c>
      <c r="AH4008">
        <v>15.6315173745873</v>
      </c>
      <c r="AI4008">
        <v>94.015454061375294</v>
      </c>
      <c r="AJ4008">
        <v>98.963725157946399</v>
      </c>
      <c r="AK4008">
        <v>15.863724824698</v>
      </c>
      <c r="AL4008">
        <v>68.156546233529994</v>
      </c>
      <c r="AM4008">
        <v>94.832321051144206</v>
      </c>
      <c r="AN4008">
        <v>0.99999999242051396</v>
      </c>
    </row>
    <row r="4009" spans="1:40" x14ac:dyDescent="0.25">
      <c r="A4009" t="str">
        <f>"20190304164724720"</f>
        <v>20190304164724720</v>
      </c>
      <c r="B4009" t="str">
        <f>"1551689244712765"</f>
        <v>1551689244712765</v>
      </c>
      <c r="C4009" t="s">
        <v>40</v>
      </c>
      <c r="D4009">
        <v>4.278708</v>
      </c>
      <c r="E4009">
        <v>0.48307840000000002</v>
      </c>
      <c r="F4009" t="s">
        <v>42</v>
      </c>
      <c r="G4009">
        <v>-361.1943</v>
      </c>
      <c r="H4009" s="1">
        <v>-3.76655E-6</v>
      </c>
      <c r="I4009">
        <v>139.64109999999999</v>
      </c>
      <c r="J4009">
        <v>-345.65190000000001</v>
      </c>
      <c r="K4009">
        <v>1.110867</v>
      </c>
      <c r="L4009">
        <v>142.03739999999999</v>
      </c>
      <c r="M4009">
        <v>-0.99988489999999997</v>
      </c>
      <c r="N4009">
        <v>-1.5100850000000001E-2</v>
      </c>
      <c r="O4009">
        <v>1.5005280000000001E-3</v>
      </c>
      <c r="P4009">
        <v>-0.93034890000000003</v>
      </c>
      <c r="Q4009">
        <v>0.35842020000000002</v>
      </c>
      <c r="R4009">
        <v>-7.7370060000000004E-2</v>
      </c>
      <c r="S4009">
        <v>-3.2710270000000001</v>
      </c>
      <c r="T4009">
        <v>-0.22768269999999999</v>
      </c>
      <c r="U4009">
        <v>-0.49098209999999998</v>
      </c>
      <c r="V4009">
        <v>-7.8752580000000003E-2</v>
      </c>
      <c r="W4009">
        <v>0.37242950000000002</v>
      </c>
      <c r="X4009">
        <v>0.92471309999999995</v>
      </c>
      <c r="Y4009">
        <v>-0.14948710000000001</v>
      </c>
      <c r="Z4009">
        <v>-6.3853690000000001E-3</v>
      </c>
      <c r="AA4009">
        <v>0.98874309999999999</v>
      </c>
      <c r="AB4009">
        <v>40</v>
      </c>
      <c r="AC4009">
        <v>-15.542399999999899</v>
      </c>
      <c r="AD4009">
        <v>-1.1108707665499999</v>
      </c>
      <c r="AE4009">
        <v>-2.3962999999999899</v>
      </c>
      <c r="AF4009">
        <v>-2.4076081455513498</v>
      </c>
      <c r="AG4009">
        <v>-1.1108707665499999</v>
      </c>
      <c r="AH4009">
        <v>15.4616350223571</v>
      </c>
      <c r="AI4009">
        <v>94.060695048404796</v>
      </c>
      <c r="AJ4009">
        <v>98.850732730752398</v>
      </c>
      <c r="AK4009">
        <v>15.6873442114043</v>
      </c>
      <c r="AL4009">
        <v>68.1344711346661</v>
      </c>
      <c r="AM4009">
        <v>94.867811182846197</v>
      </c>
      <c r="AN4009">
        <v>1.00000000931925</v>
      </c>
    </row>
    <row r="4010" spans="1:40" x14ac:dyDescent="0.25">
      <c r="A4010" t="str">
        <f>"20190304164724743"</f>
        <v>20190304164724743</v>
      </c>
      <c r="B4010" t="str">
        <f>"1551689244733261"</f>
        <v>1551689244733261</v>
      </c>
      <c r="C4010" t="s">
        <v>40</v>
      </c>
      <c r="D4010">
        <v>4.28653</v>
      </c>
      <c r="E4010">
        <v>0.48333680000000001</v>
      </c>
      <c r="F4010" t="s">
        <v>42</v>
      </c>
      <c r="G4010">
        <v>-361.5333</v>
      </c>
      <c r="H4010" s="1">
        <v>-3.6246870000000001E-6</v>
      </c>
      <c r="I4010">
        <v>139.65459999999999</v>
      </c>
      <c r="J4010">
        <v>-346.07530000000003</v>
      </c>
      <c r="K4010">
        <v>1.1108709999999999</v>
      </c>
      <c r="L4010">
        <v>142.03799999999899</v>
      </c>
      <c r="M4010">
        <v>-0.99988500000000002</v>
      </c>
      <c r="N4010">
        <v>-1.5096119999999999E-2</v>
      </c>
      <c r="O4010">
        <v>1.500209E-3</v>
      </c>
      <c r="P4010">
        <v>-0.93014680000000005</v>
      </c>
      <c r="Q4010">
        <v>0.35895749999999998</v>
      </c>
      <c r="R4010">
        <v>-7.7308279999999993E-2</v>
      </c>
      <c r="S4010">
        <v>-3.2719420000000001</v>
      </c>
      <c r="T4010">
        <v>-0.22886670000000001</v>
      </c>
      <c r="U4010">
        <v>-0.49089050000000001</v>
      </c>
      <c r="V4010">
        <v>-7.8689980000000007E-2</v>
      </c>
      <c r="W4010">
        <v>0.3729596</v>
      </c>
      <c r="X4010">
        <v>0.92450480000000002</v>
      </c>
      <c r="Y4010">
        <v>-0.1494154</v>
      </c>
      <c r="Z4010">
        <v>-6.4078700000000004E-3</v>
      </c>
      <c r="AA4010">
        <v>0.98875369999999996</v>
      </c>
      <c r="AB4010">
        <v>40</v>
      </c>
      <c r="AC4010">
        <v>-15.457999999999901</v>
      </c>
      <c r="AD4010">
        <v>-1.110874624687</v>
      </c>
      <c r="AE4010">
        <v>-2.3833999999999902</v>
      </c>
      <c r="AF4010">
        <v>-2.3945110333481501</v>
      </c>
      <c r="AG4010">
        <v>-1.110874624687</v>
      </c>
      <c r="AH4010">
        <v>15.3768378489816</v>
      </c>
      <c r="AI4010">
        <v>94.083022469912507</v>
      </c>
      <c r="AJ4010">
        <v>98.851122268440193</v>
      </c>
      <c r="AK4010">
        <v>15.601758482763101</v>
      </c>
      <c r="AL4010">
        <v>68.101741488610301</v>
      </c>
      <c r="AM4010">
        <v>94.8650509955378</v>
      </c>
      <c r="AN4010">
        <v>1.0000000507037901</v>
      </c>
    </row>
    <row r="4011" spans="1:40" x14ac:dyDescent="0.25">
      <c r="A4011" t="str">
        <f>"20190304164724762"</f>
        <v>20190304164724762</v>
      </c>
      <c r="B4011" t="str">
        <f>"1551689244752781"</f>
        <v>1551689244752781</v>
      </c>
      <c r="C4011" t="s">
        <v>40</v>
      </c>
      <c r="D4011">
        <v>4.3019040000000004</v>
      </c>
      <c r="E4011">
        <v>0.48362109999999903</v>
      </c>
      <c r="F4011" t="s">
        <v>42</v>
      </c>
      <c r="G4011">
        <v>-361.96289999999999</v>
      </c>
      <c r="H4011" s="1">
        <v>-3.440962E-6</v>
      </c>
      <c r="I4011">
        <v>139.6567</v>
      </c>
      <c r="J4011">
        <v>-346.41019999999997</v>
      </c>
      <c r="K4011">
        <v>1.110868</v>
      </c>
      <c r="L4011">
        <v>142.0385</v>
      </c>
      <c r="M4011">
        <v>-0.99988500000000002</v>
      </c>
      <c r="N4011">
        <v>-1.509243E-2</v>
      </c>
      <c r="O4011">
        <v>1.500059E-3</v>
      </c>
      <c r="P4011">
        <v>-0.93005760000000004</v>
      </c>
      <c r="Q4011">
        <v>0.35908190000000001</v>
      </c>
      <c r="R4011">
        <v>-7.7800839999999996E-2</v>
      </c>
      <c r="S4011">
        <v>-3.2728269999999999</v>
      </c>
      <c r="T4011">
        <v>-0.2288395</v>
      </c>
      <c r="U4011">
        <v>-0.49052430000000002</v>
      </c>
      <c r="V4011">
        <v>-7.9182269999999999E-2</v>
      </c>
      <c r="W4011">
        <v>0.3730791</v>
      </c>
      <c r="X4011">
        <v>0.92441450000000003</v>
      </c>
      <c r="Y4011">
        <v>-0.1492686</v>
      </c>
      <c r="Z4011">
        <v>-6.3993670000000004E-3</v>
      </c>
      <c r="AA4011">
        <v>0.98877599999999999</v>
      </c>
      <c r="AB4011">
        <v>40</v>
      </c>
      <c r="AC4011">
        <v>-15.5527</v>
      </c>
      <c r="AD4011">
        <v>-1.110871440962</v>
      </c>
      <c r="AE4011">
        <v>-2.3817999999999899</v>
      </c>
      <c r="AF4011">
        <v>-2.3932003095024599</v>
      </c>
      <c r="AG4011">
        <v>-1.110871440962</v>
      </c>
      <c r="AH4011">
        <v>15.471984438676399</v>
      </c>
      <c r="AI4011">
        <v>94.058624985193404</v>
      </c>
      <c r="AJ4011">
        <v>98.792805044783904</v>
      </c>
      <c r="AK4011">
        <v>15.6953415238532</v>
      </c>
      <c r="AL4011">
        <v>68.094361018998498</v>
      </c>
      <c r="AM4011">
        <v>94.895815514056693</v>
      </c>
      <c r="AN4011">
        <v>1.0000000072747</v>
      </c>
    </row>
    <row r="4012" spans="1:40" x14ac:dyDescent="0.25">
      <c r="A4012" t="str">
        <f>"20190304164724785"</f>
        <v>20190304164724785</v>
      </c>
      <c r="B4012" t="str">
        <f>"1551689244783038"</f>
        <v>1551689244783038</v>
      </c>
      <c r="C4012" t="s">
        <v>40</v>
      </c>
      <c r="D4012">
        <v>4.3026790000000004</v>
      </c>
      <c r="E4012">
        <v>0.48390329999999898</v>
      </c>
      <c r="F4012" t="s">
        <v>42</v>
      </c>
      <c r="G4012">
        <v>-362.20119999999997</v>
      </c>
      <c r="H4012" s="1">
        <v>-3.3436820000000002E-6</v>
      </c>
      <c r="I4012">
        <v>139.67529999999999</v>
      </c>
      <c r="J4012">
        <v>-346.80840000000001</v>
      </c>
      <c r="K4012">
        <v>1.1108769999999999</v>
      </c>
      <c r="L4012">
        <v>142.03909999999999</v>
      </c>
      <c r="M4012">
        <v>-0.99988509999999997</v>
      </c>
      <c r="N4012">
        <v>-1.508808E-2</v>
      </c>
      <c r="O4012">
        <v>1.4997949999999999E-3</v>
      </c>
      <c r="P4012">
        <v>-0.929956</v>
      </c>
      <c r="Q4012">
        <v>0.35920170000000001</v>
      </c>
      <c r="R4012">
        <v>-7.8462320000000002E-2</v>
      </c>
      <c r="S4012">
        <v>-3.2735289999999999</v>
      </c>
      <c r="T4012">
        <v>-0.2302892</v>
      </c>
      <c r="U4012">
        <v>-0.48988340000000002</v>
      </c>
      <c r="V4012">
        <v>-7.9843449999999996E-2</v>
      </c>
      <c r="W4012">
        <v>0.3731932</v>
      </c>
      <c r="X4012">
        <v>0.92431160000000001</v>
      </c>
      <c r="Y4012">
        <v>-0.1490437</v>
      </c>
      <c r="Z4012">
        <v>-6.4218309999999898E-3</v>
      </c>
      <c r="AA4012">
        <v>0.98880979999999996</v>
      </c>
      <c r="AB4012">
        <v>40</v>
      </c>
      <c r="AC4012">
        <v>-15.3927999999999</v>
      </c>
      <c r="AD4012">
        <v>-1.1108803436820001</v>
      </c>
      <c r="AE4012">
        <v>-2.3637999999999901</v>
      </c>
      <c r="AF4012">
        <v>-2.3748021995266502</v>
      </c>
      <c r="AG4012">
        <v>-1.1108803436820001</v>
      </c>
      <c r="AH4012">
        <v>15.311327748264199</v>
      </c>
      <c r="AI4012">
        <v>94.100838483312501</v>
      </c>
      <c r="AJ4012">
        <v>98.816383839015202</v>
      </c>
      <c r="AK4012">
        <v>15.534171945733799</v>
      </c>
      <c r="AL4012">
        <v>68.087315354262998</v>
      </c>
      <c r="AM4012">
        <v>94.937041735523096</v>
      </c>
      <c r="AN4012">
        <v>1.0000000374643501</v>
      </c>
    </row>
    <row r="4013" spans="1:40" x14ac:dyDescent="0.25">
      <c r="A4013" t="str">
        <f>"20190304164724810"</f>
        <v>20190304164724810</v>
      </c>
      <c r="B4013" t="str">
        <f>"1551689244803533"</f>
        <v>1551689244803533</v>
      </c>
      <c r="C4013" t="s">
        <v>40</v>
      </c>
      <c r="D4013">
        <v>4.299188</v>
      </c>
      <c r="E4013">
        <v>0.48407559999999999</v>
      </c>
      <c r="F4013" t="s">
        <v>42</v>
      </c>
      <c r="G4013">
        <v>-362.4212</v>
      </c>
      <c r="H4013" s="1">
        <v>-3.258485E-6</v>
      </c>
      <c r="I4013">
        <v>139.7098</v>
      </c>
      <c r="J4013">
        <v>-347.23390000000001</v>
      </c>
      <c r="K4013">
        <v>1.110876</v>
      </c>
      <c r="L4013">
        <v>142.03970000000001</v>
      </c>
      <c r="M4013">
        <v>-0.99988520000000003</v>
      </c>
      <c r="N4013">
        <v>-1.508341E-2</v>
      </c>
      <c r="O4013">
        <v>1.499652E-3</v>
      </c>
      <c r="P4013">
        <v>-0.9297839</v>
      </c>
      <c r="Q4013">
        <v>0.35953059999999998</v>
      </c>
      <c r="R4013">
        <v>-7.8992899999999894E-2</v>
      </c>
      <c r="S4013">
        <v>-3.27475</v>
      </c>
      <c r="T4013">
        <v>-0.23300609999999999</v>
      </c>
      <c r="U4013">
        <v>-0.48854059999999999</v>
      </c>
      <c r="V4013">
        <v>-8.0373440000000004E-2</v>
      </c>
      <c r="W4013">
        <v>0.37351570000000001</v>
      </c>
      <c r="X4013">
        <v>0.92413529999999999</v>
      </c>
      <c r="Y4013">
        <v>-0.1485851</v>
      </c>
      <c r="Z4013">
        <v>-6.4624869999999899E-3</v>
      </c>
      <c r="AA4013">
        <v>0.98887849999999999</v>
      </c>
      <c r="AB4013">
        <v>40</v>
      </c>
      <c r="AC4013">
        <v>-15.187299999999899</v>
      </c>
      <c r="AD4013">
        <v>-1.110879258485</v>
      </c>
      <c r="AE4013">
        <v>-2.3298999999999999</v>
      </c>
      <c r="AF4013">
        <v>-2.3404416551687</v>
      </c>
      <c r="AG4013">
        <v>-1.110879258485</v>
      </c>
      <c r="AH4013">
        <v>15.104832361228899</v>
      </c>
      <c r="AI4013">
        <v>94.156797908527807</v>
      </c>
      <c r="AJ4013">
        <v>98.807742323881897</v>
      </c>
      <c r="AK4013">
        <v>15.3253933237946</v>
      </c>
      <c r="AL4013">
        <v>68.067395377714902</v>
      </c>
      <c r="AM4013">
        <v>94.970592893408707</v>
      </c>
      <c r="AN4013">
        <v>0.99999996035500605</v>
      </c>
    </row>
    <row r="4014" spans="1:40" x14ac:dyDescent="0.25">
      <c r="A4014" t="str">
        <f>"20190304164724832"</f>
        <v>20190304164724832</v>
      </c>
      <c r="B4014" t="str">
        <f>"1551689244823052"</f>
        <v>1551689244823052</v>
      </c>
      <c r="C4014" t="s">
        <v>40</v>
      </c>
      <c r="D4014">
        <v>4.3021969999999996</v>
      </c>
      <c r="E4014">
        <v>0.48427979999999998</v>
      </c>
      <c r="F4014" t="s">
        <v>42</v>
      </c>
      <c r="G4014">
        <v>-362.77850000000001</v>
      </c>
      <c r="H4014" s="1">
        <v>-3.108362E-6</v>
      </c>
      <c r="I4014">
        <v>139.7217</v>
      </c>
      <c r="J4014">
        <v>-347.6336</v>
      </c>
      <c r="K4014">
        <v>1.1108769999999999</v>
      </c>
      <c r="L4014">
        <v>142.0403</v>
      </c>
      <c r="M4014">
        <v>-0.99988520000000003</v>
      </c>
      <c r="N4014">
        <v>-1.5079E-2</v>
      </c>
      <c r="O4014">
        <v>1.499507E-3</v>
      </c>
      <c r="P4014">
        <v>-0.92976610000000004</v>
      </c>
      <c r="Q4014">
        <v>0.35947509999999999</v>
      </c>
      <c r="R4014">
        <v>-7.9453839999999998E-2</v>
      </c>
      <c r="S4014">
        <v>-3.275604</v>
      </c>
      <c r="T4014">
        <v>-0.2340882</v>
      </c>
      <c r="U4014">
        <v>-0.48844910000000002</v>
      </c>
      <c r="V4014">
        <v>-8.083427E-2</v>
      </c>
      <c r="W4014">
        <v>0.37345509999999998</v>
      </c>
      <c r="X4014">
        <v>0.92411969999999999</v>
      </c>
      <c r="Y4014">
        <v>-0.14851700000000001</v>
      </c>
      <c r="Z4014">
        <v>-6.4826650000000003E-3</v>
      </c>
      <c r="AA4014">
        <v>0.98888860000000001</v>
      </c>
      <c r="AB4014">
        <v>40</v>
      </c>
      <c r="AC4014">
        <v>-15.1449</v>
      </c>
      <c r="AD4014">
        <v>-1.1108801083619999</v>
      </c>
      <c r="AE4014">
        <v>-2.3186</v>
      </c>
      <c r="AF4014">
        <v>-2.3290658999155101</v>
      </c>
      <c r="AG4014">
        <v>-1.1108801083619999</v>
      </c>
      <c r="AH4014">
        <v>15.0622233290515</v>
      </c>
      <c r="AI4014">
        <v>94.168717732439205</v>
      </c>
      <c r="AJ4014">
        <v>98.790008604440999</v>
      </c>
      <c r="AK4014">
        <v>15.2816613689587</v>
      </c>
      <c r="AL4014">
        <v>68.071140551912606</v>
      </c>
      <c r="AM4014">
        <v>94.999032295094807</v>
      </c>
      <c r="AN4014">
        <v>1.0000000554252599</v>
      </c>
    </row>
    <row r="4015" spans="1:40" x14ac:dyDescent="0.25">
      <c r="A4015" t="str">
        <f>"20190304164724854"</f>
        <v>20190304164724854</v>
      </c>
      <c r="B4015" t="str">
        <f>"1551689244842572"</f>
        <v>1551689244842572</v>
      </c>
      <c r="C4015" t="s">
        <v>40</v>
      </c>
      <c r="D4015">
        <v>4.3148869999999997</v>
      </c>
      <c r="E4015">
        <v>0.48446810000000001</v>
      </c>
      <c r="F4015" t="s">
        <v>42</v>
      </c>
      <c r="G4015">
        <v>-363.06599999999997</v>
      </c>
      <c r="H4015" s="1">
        <v>-2.9899200000000001E-6</v>
      </c>
      <c r="I4015">
        <v>139.74010000000001</v>
      </c>
      <c r="J4015">
        <v>-348.01319999999998</v>
      </c>
      <c r="K4015">
        <v>1.1108819999999999</v>
      </c>
      <c r="L4015">
        <v>142.04089999999999</v>
      </c>
      <c r="M4015">
        <v>-0.99988520000000003</v>
      </c>
      <c r="N4015">
        <v>-1.5074779999999999E-2</v>
      </c>
      <c r="O4015">
        <v>1.499539E-3</v>
      </c>
      <c r="P4015">
        <v>-0.92973760000000005</v>
      </c>
      <c r="Q4015">
        <v>0.3594812</v>
      </c>
      <c r="R4015">
        <v>-7.9758590000000004E-2</v>
      </c>
      <c r="S4015">
        <v>-3.2760929999999999</v>
      </c>
      <c r="T4015">
        <v>-0.23582549999999999</v>
      </c>
      <c r="U4015">
        <v>-0.48828129999999997</v>
      </c>
      <c r="V4015">
        <v>-8.1138689999999999E-2</v>
      </c>
      <c r="W4015">
        <v>0.37345729999999999</v>
      </c>
      <c r="X4015">
        <v>0.92409209999999997</v>
      </c>
      <c r="Y4015">
        <v>-0.14844019999999999</v>
      </c>
      <c r="Z4015">
        <v>-6.5180799999999999E-3</v>
      </c>
      <c r="AA4015">
        <v>0.98889990000000005</v>
      </c>
      <c r="AB4015">
        <v>40</v>
      </c>
      <c r="AC4015">
        <v>-15.0527999999999</v>
      </c>
      <c r="AD4015">
        <v>-1.11088498992</v>
      </c>
      <c r="AE4015">
        <v>-2.3007999999999802</v>
      </c>
      <c r="AF4015">
        <v>-2.3110727342193398</v>
      </c>
      <c r="AG4015">
        <v>-1.11088498992</v>
      </c>
      <c r="AH4015">
        <v>14.9696641424601</v>
      </c>
      <c r="AI4015">
        <v>94.194575137588302</v>
      </c>
      <c r="AJ4015">
        <v>98.776249065348296</v>
      </c>
      <c r="AK4015">
        <v>15.1876913051898</v>
      </c>
      <c r="AL4015">
        <v>68.071003982115897</v>
      </c>
      <c r="AM4015">
        <v>95.017911702846007</v>
      </c>
      <c r="AN4015">
        <v>1.0000000256103001</v>
      </c>
    </row>
    <row r="4016" spans="1:40" x14ac:dyDescent="0.25">
      <c r="A4016" t="str">
        <f>"20190304164724876"</f>
        <v>20190304164724876</v>
      </c>
      <c r="B4016" t="str">
        <f>"1551689244872829"</f>
        <v>1551689244872829</v>
      </c>
      <c r="C4016" t="s">
        <v>40</v>
      </c>
      <c r="D4016">
        <v>4.286232</v>
      </c>
      <c r="E4016">
        <v>0.48471900000000001</v>
      </c>
      <c r="F4016" t="s">
        <v>42</v>
      </c>
      <c r="G4016">
        <v>-363.35649999999998</v>
      </c>
      <c r="H4016" s="1">
        <v>-2.8700699999999999E-6</v>
      </c>
      <c r="I4016">
        <v>139.75799999999899</v>
      </c>
      <c r="J4016">
        <v>-348.40679999999998</v>
      </c>
      <c r="K4016">
        <v>1.1108819999999999</v>
      </c>
      <c r="L4016">
        <v>142.04150000000001</v>
      </c>
      <c r="M4016">
        <v>-0.99988529999999998</v>
      </c>
      <c r="N4016">
        <v>-1.5070409999999999E-2</v>
      </c>
      <c r="O4016">
        <v>1.4992149999999999E-3</v>
      </c>
      <c r="P4016">
        <v>-0.92964500000000005</v>
      </c>
      <c r="Q4016">
        <v>0.35960940000000002</v>
      </c>
      <c r="R4016">
        <v>-8.0257529999999994E-2</v>
      </c>
      <c r="S4016">
        <v>-3.2766419999999998</v>
      </c>
      <c r="T4016">
        <v>-0.2372369</v>
      </c>
      <c r="U4016">
        <v>-0.48751830000000002</v>
      </c>
      <c r="V4016">
        <v>-8.163753E-2</v>
      </c>
      <c r="W4016">
        <v>0.37358029999999998</v>
      </c>
      <c r="X4016">
        <v>0.9239984</v>
      </c>
      <c r="Y4016">
        <v>-0.14818629999999999</v>
      </c>
      <c r="Z4016">
        <v>-6.5381909999999996E-3</v>
      </c>
      <c r="AA4016">
        <v>0.98893790000000004</v>
      </c>
      <c r="AB4016">
        <v>40</v>
      </c>
      <c r="AC4016">
        <v>-14.9497</v>
      </c>
      <c r="AD4016">
        <v>-1.11088487007</v>
      </c>
      <c r="AE4016">
        <v>-2.2835000000000298</v>
      </c>
      <c r="AF4016">
        <v>-2.2935372939306999</v>
      </c>
      <c r="AG4016">
        <v>-1.11088487007</v>
      </c>
      <c r="AH4016">
        <v>14.866044942557</v>
      </c>
      <c r="AI4016">
        <v>94.223771884668196</v>
      </c>
      <c r="AJ4016">
        <v>98.770458097472698</v>
      </c>
      <c r="AK4016">
        <v>15.0828933148559</v>
      </c>
      <c r="AL4016">
        <v>68.063405795866899</v>
      </c>
      <c r="AM4016">
        <v>95.049112147304996</v>
      </c>
      <c r="AN4016">
        <v>0.99999998502757503</v>
      </c>
    </row>
    <row r="4017" spans="1:40" x14ac:dyDescent="0.25">
      <c r="A4017" t="str">
        <f>"20190304164724898"</f>
        <v>20190304164724898</v>
      </c>
      <c r="B4017" t="str">
        <f>"1551689244893325"</f>
        <v>1551689244893325</v>
      </c>
      <c r="C4017" t="s">
        <v>40</v>
      </c>
      <c r="D4017">
        <v>4.2707389999999998</v>
      </c>
      <c r="E4017">
        <v>0.48480190000000001</v>
      </c>
      <c r="F4017" t="s">
        <v>42</v>
      </c>
      <c r="G4017">
        <v>-363.6748</v>
      </c>
      <c r="H4017" s="1">
        <v>-2.7366390000000002E-6</v>
      </c>
      <c r="I4017">
        <v>139.7697</v>
      </c>
      <c r="J4017">
        <v>-348.79410000000001</v>
      </c>
      <c r="K4017">
        <v>1.1108880000000001</v>
      </c>
      <c r="L4017">
        <v>142.0421</v>
      </c>
      <c r="M4017">
        <v>-0.99988540000000004</v>
      </c>
      <c r="N4017">
        <v>-1.5066039999999999E-2</v>
      </c>
      <c r="O4017">
        <v>1.4991290000000001E-3</v>
      </c>
      <c r="P4017">
        <v>-0.9295892</v>
      </c>
      <c r="Q4017">
        <v>0.35970859999999999</v>
      </c>
      <c r="R4017">
        <v>-8.0459970000000006E-2</v>
      </c>
      <c r="S4017">
        <v>-3.2771300000000001</v>
      </c>
      <c r="T4017">
        <v>-0.23844280000000001</v>
      </c>
      <c r="U4017">
        <v>-0.48760989999999999</v>
      </c>
      <c r="V4017">
        <v>-8.1839490000000001E-2</v>
      </c>
      <c r="W4017">
        <v>0.37367450000000002</v>
      </c>
      <c r="X4017">
        <v>0.9239425</v>
      </c>
      <c r="Y4017">
        <v>-0.1481876</v>
      </c>
      <c r="Z4017">
        <v>-6.5646879999999999E-3</v>
      </c>
      <c r="AA4017">
        <v>0.98893750000000002</v>
      </c>
      <c r="AB4017">
        <v>39</v>
      </c>
      <c r="AC4017">
        <v>-14.8806999999999</v>
      </c>
      <c r="AD4017">
        <v>-1.110890736639</v>
      </c>
      <c r="AE4017">
        <v>-2.2724000000000002</v>
      </c>
      <c r="AF4017">
        <v>-2.2822785771283498</v>
      </c>
      <c r="AG4017">
        <v>-1.110890736639</v>
      </c>
      <c r="AH4017">
        <v>14.796692183178701</v>
      </c>
      <c r="AI4017">
        <v>94.243543137924803</v>
      </c>
      <c r="AJ4017">
        <v>98.768344018750795</v>
      </c>
      <c r="AK4017">
        <v>15.0128269588413</v>
      </c>
      <c r="AL4017">
        <v>68.057588378340995</v>
      </c>
      <c r="AM4017">
        <v>95.061842790157399</v>
      </c>
      <c r="AN4017">
        <v>1.0000000386899699</v>
      </c>
    </row>
    <row r="4018" spans="1:40" x14ac:dyDescent="0.25">
      <c r="A4018" t="str">
        <f>"20190304164724920"</f>
        <v>20190304164724920</v>
      </c>
      <c r="B4018" t="str">
        <f>"1551689244912848"</f>
        <v>1551689244912848</v>
      </c>
      <c r="C4018" t="s">
        <v>40</v>
      </c>
      <c r="D4018">
        <v>4.4472399999999999</v>
      </c>
      <c r="E4018">
        <v>0.48481849999999999</v>
      </c>
      <c r="F4018" t="s">
        <v>42</v>
      </c>
      <c r="G4018">
        <v>-364.00659999999999</v>
      </c>
      <c r="H4018" s="1">
        <v>-2.5960319999999998E-6</v>
      </c>
      <c r="I4018">
        <v>139.77619999999999</v>
      </c>
      <c r="J4018">
        <v>-349.19709999999998</v>
      </c>
      <c r="K4018">
        <v>1.110884</v>
      </c>
      <c r="L4018">
        <v>142.0427</v>
      </c>
      <c r="M4018">
        <v>-0.99988549999999998</v>
      </c>
      <c r="N4018">
        <v>-1.5061339999999999E-2</v>
      </c>
      <c r="O4018">
        <v>1.498807E-3</v>
      </c>
      <c r="P4018">
        <v>-0.9294521</v>
      </c>
      <c r="Q4018">
        <v>0.36009989999999997</v>
      </c>
      <c r="R4018">
        <v>-8.0292489999999994E-2</v>
      </c>
      <c r="S4018">
        <v>-3.2776179999999999</v>
      </c>
      <c r="T4018">
        <v>-0.23934910000000001</v>
      </c>
      <c r="U4018">
        <v>-0.48817440000000001</v>
      </c>
      <c r="V4018">
        <v>-8.1671629999999995E-2</v>
      </c>
      <c r="W4018">
        <v>0.37405919999999998</v>
      </c>
      <c r="X4018">
        <v>0.92380169999999995</v>
      </c>
      <c r="Y4018">
        <v>-0.14832899999999999</v>
      </c>
      <c r="Z4018">
        <v>-6.5903860000000002E-3</v>
      </c>
      <c r="AA4018">
        <v>0.98891609999999996</v>
      </c>
      <c r="AB4018">
        <v>39</v>
      </c>
      <c r="AC4018">
        <v>-14.8095</v>
      </c>
      <c r="AD4018">
        <v>-1.110886596032</v>
      </c>
      <c r="AE4018">
        <v>-2.2665000000000002</v>
      </c>
      <c r="AF4018">
        <v>-2.2761821315491599</v>
      </c>
      <c r="AG4018">
        <v>-1.110886596032</v>
      </c>
      <c r="AH4018">
        <v>14.7251273624373</v>
      </c>
      <c r="AI4018">
        <v>94.263860215707496</v>
      </c>
      <c r="AJ4018">
        <v>98.787125225549303</v>
      </c>
      <c r="AK4018">
        <v>14.9413670714974</v>
      </c>
      <c r="AL4018">
        <v>68.033823812471894</v>
      </c>
      <c r="AM4018">
        <v>95.052280213482604</v>
      </c>
      <c r="AN4018">
        <v>1.0000000605871899</v>
      </c>
    </row>
    <row r="4019" spans="1:40" x14ac:dyDescent="0.25">
      <c r="A4019" t="str">
        <f>"20190304164724942"</f>
        <v>20190304164724942</v>
      </c>
      <c r="B4019" t="str">
        <f>"1551689244933340"</f>
        <v>1551689244933340</v>
      </c>
      <c r="C4019" t="s">
        <v>40</v>
      </c>
      <c r="D4019">
        <v>4.3521169999999998</v>
      </c>
      <c r="E4019">
        <v>0.51520059999999901</v>
      </c>
      <c r="F4019" t="s">
        <v>42</v>
      </c>
      <c r="G4019">
        <v>-364.46260000000001</v>
      </c>
      <c r="H4019" s="1">
        <v>-2.3989539999999998E-6</v>
      </c>
      <c r="I4019">
        <v>139.77080000000001</v>
      </c>
      <c r="J4019">
        <v>-349.56990000000002</v>
      </c>
      <c r="K4019">
        <v>1.1108880000000001</v>
      </c>
      <c r="L4019">
        <v>142.04320000000001</v>
      </c>
      <c r="M4019">
        <v>-0.99988560000000004</v>
      </c>
      <c r="N4019">
        <v>-1.505717E-2</v>
      </c>
      <c r="O4019">
        <v>1.49866E-3</v>
      </c>
      <c r="P4019">
        <v>-0.9291604</v>
      </c>
      <c r="Q4019">
        <v>0.36089110000000002</v>
      </c>
      <c r="R4019">
        <v>-8.0118190000000006E-2</v>
      </c>
      <c r="S4019">
        <v>-3.2780149999999999</v>
      </c>
      <c r="T4019">
        <v>-0.23854539999999999</v>
      </c>
      <c r="U4019">
        <v>-0.48783870000000001</v>
      </c>
      <c r="V4019">
        <v>-8.1496719999999995E-2</v>
      </c>
      <c r="W4019">
        <v>0.3748418</v>
      </c>
      <c r="X4019">
        <v>0.92349979999999998</v>
      </c>
      <c r="Y4019">
        <v>-0.14821570000000001</v>
      </c>
      <c r="Z4019">
        <v>-6.5661039999999997E-3</v>
      </c>
      <c r="AA4019">
        <v>0.98893330000000002</v>
      </c>
      <c r="AB4019">
        <v>39</v>
      </c>
      <c r="AC4019">
        <v>-14.8926999999999</v>
      </c>
      <c r="AD4019">
        <v>-1.11089039895399</v>
      </c>
      <c r="AE4019">
        <v>-2.2724000000000002</v>
      </c>
      <c r="AF4019">
        <v>-2.28230898941632</v>
      </c>
      <c r="AG4019">
        <v>-1.11089039895399</v>
      </c>
      <c r="AH4019">
        <v>14.808754563966</v>
      </c>
      <c r="AI4019">
        <v>94.240176541457103</v>
      </c>
      <c r="AJ4019">
        <v>98.76142761426</v>
      </c>
      <c r="AK4019">
        <v>15.0247204146181</v>
      </c>
      <c r="AL4019">
        <v>67.985464213152397</v>
      </c>
      <c r="AM4019">
        <v>95.043155563099006</v>
      </c>
      <c r="AN4019">
        <v>0.99999998549901903</v>
      </c>
    </row>
    <row r="4020" spans="1:40" x14ac:dyDescent="0.25">
      <c r="A4020" t="str">
        <f>"20190304164724964"</f>
        <v>20190304164724964</v>
      </c>
      <c r="B4020" t="str">
        <f>"1551689244952861"</f>
        <v>1551689244952861</v>
      </c>
      <c r="C4020" t="s">
        <v>40</v>
      </c>
      <c r="D4020">
        <v>4.3069459999999999</v>
      </c>
      <c r="E4020">
        <v>0.52674560000000004</v>
      </c>
      <c r="F4020" t="s">
        <v>42</v>
      </c>
      <c r="G4020">
        <v>-363.23230000000001</v>
      </c>
      <c r="H4020" s="1">
        <v>-3.2589319999999999E-6</v>
      </c>
      <c r="I4020">
        <v>141.01929999999999</v>
      </c>
      <c r="J4020">
        <v>-349.9599</v>
      </c>
      <c r="K4020">
        <v>1.110881</v>
      </c>
      <c r="L4020">
        <v>142.0438</v>
      </c>
      <c r="M4020">
        <v>-0.99988560000000004</v>
      </c>
      <c r="N4020">
        <v>-1.505299E-2</v>
      </c>
      <c r="O4020">
        <v>1.4983349999999999E-3</v>
      </c>
      <c r="P4020">
        <v>-0.92894200000000005</v>
      </c>
      <c r="Q4020">
        <v>0.36147509999999999</v>
      </c>
      <c r="R4020">
        <v>-8.0017640000000001E-2</v>
      </c>
      <c r="S4020">
        <v>-3.3119510000000001</v>
      </c>
      <c r="T4020">
        <v>-0.2692966</v>
      </c>
      <c r="U4020">
        <v>-0.24819949999999999</v>
      </c>
      <c r="V4020">
        <v>-8.1395190000000006E-2</v>
      </c>
      <c r="W4020">
        <v>0.37541910000000001</v>
      </c>
      <c r="X4020">
        <v>0.92327420000000004</v>
      </c>
      <c r="Y4020">
        <v>-7.5926289999999994E-2</v>
      </c>
      <c r="Z4020">
        <v>-3.749797E-3</v>
      </c>
      <c r="AA4020">
        <v>0.99710639999999995</v>
      </c>
      <c r="AB4020">
        <v>39</v>
      </c>
      <c r="AC4020">
        <v>-13.272399999999999</v>
      </c>
      <c r="AD4020">
        <v>-1.110884258932</v>
      </c>
      <c r="AE4020">
        <v>-1.02450000000001</v>
      </c>
      <c r="AF4020">
        <v>-1.0371647894413001</v>
      </c>
      <c r="AG4020">
        <v>-1.110884258932</v>
      </c>
      <c r="AH4020">
        <v>13.179070842293701</v>
      </c>
      <c r="AI4020">
        <v>94.803378530070006</v>
      </c>
      <c r="AJ4020">
        <v>94.499781457004701</v>
      </c>
      <c r="AK4020">
        <v>13.2664118322701</v>
      </c>
      <c r="AL4020">
        <v>67.949781001636396</v>
      </c>
      <c r="AM4020">
        <v>95.038129477449701</v>
      </c>
      <c r="AN4020">
        <v>0.99999996299279204</v>
      </c>
    </row>
    <row r="4021" spans="1:40" x14ac:dyDescent="0.25">
      <c r="A4021" t="str">
        <f>"20190304164724986"</f>
        <v>20190304164724986</v>
      </c>
      <c r="B4021" t="str">
        <f>"1551689244983116"</f>
        <v>1551689244983116</v>
      </c>
      <c r="C4021" t="s">
        <v>40</v>
      </c>
      <c r="D4021">
        <v>4.2569530000000002</v>
      </c>
      <c r="E4021">
        <v>0.53317999999999999</v>
      </c>
      <c r="F4021" t="s">
        <v>42</v>
      </c>
      <c r="G4021">
        <v>-363.39949999999999</v>
      </c>
      <c r="H4021" s="1">
        <v>-3.2898039999999999E-6</v>
      </c>
      <c r="I4021">
        <v>141.40479999999999</v>
      </c>
      <c r="J4021">
        <v>-350.35059999999999</v>
      </c>
      <c r="K4021">
        <v>1.110892</v>
      </c>
      <c r="L4021">
        <v>142.0444</v>
      </c>
      <c r="M4021">
        <v>-0.99988569999999999</v>
      </c>
      <c r="N4021">
        <v>-1.5048829999999999E-2</v>
      </c>
      <c r="O4021">
        <v>1.4978909999999999E-3</v>
      </c>
      <c r="P4021">
        <v>-0.92900229999999995</v>
      </c>
      <c r="Q4021">
        <v>0.36117080000000001</v>
      </c>
      <c r="R4021">
        <v>-8.0687519999999999E-2</v>
      </c>
      <c r="S4021">
        <v>-3.3227839999999902</v>
      </c>
      <c r="T4021">
        <v>-0.27465499999999998</v>
      </c>
      <c r="U4021">
        <v>-0.15797420000000001</v>
      </c>
      <c r="V4021">
        <v>-8.2064789999999999E-2</v>
      </c>
      <c r="W4021">
        <v>0.3751119</v>
      </c>
      <c r="X4021">
        <v>0.92333980000000004</v>
      </c>
      <c r="Y4021">
        <v>-4.8785599999999998E-2</v>
      </c>
      <c r="Z4021">
        <v>-2.4807840000000002E-3</v>
      </c>
      <c r="AA4021">
        <v>0.99880619999999998</v>
      </c>
      <c r="AB4021">
        <v>39</v>
      </c>
      <c r="AC4021">
        <v>-13.0489</v>
      </c>
      <c r="AD4021">
        <v>-1.1108952898039901</v>
      </c>
      <c r="AE4021">
        <v>-0.63960000000000095</v>
      </c>
      <c r="AF4021">
        <v>-0.65441570302867902</v>
      </c>
      <c r="AG4021">
        <v>-1.1108952898039901</v>
      </c>
      <c r="AH4021">
        <v>12.9542639893725</v>
      </c>
      <c r="AI4021">
        <v>94.895206713672195</v>
      </c>
      <c r="AJ4021">
        <v>92.891975225517598</v>
      </c>
      <c r="AK4021">
        <v>13.0182680784977</v>
      </c>
      <c r="AL4021">
        <v>67.968770353977604</v>
      </c>
      <c r="AM4021">
        <v>95.079000884069004</v>
      </c>
      <c r="AN4021">
        <v>0.99999997677169605</v>
      </c>
    </row>
    <row r="4022" spans="1:40" x14ac:dyDescent="0.25">
      <c r="A4022" t="str">
        <f>"20190304164725011"</f>
        <v>20190304164725011</v>
      </c>
      <c r="B4022" t="str">
        <f>"1551689245002640"</f>
        <v>1551689245002640</v>
      </c>
      <c r="C4022" t="s">
        <v>40</v>
      </c>
      <c r="D4022">
        <v>4.2331019999999997</v>
      </c>
      <c r="E4022">
        <v>0.53536169999999905</v>
      </c>
      <c r="F4022" t="s">
        <v>42</v>
      </c>
      <c r="G4022">
        <v>-363.55869999999999</v>
      </c>
      <c r="H4022" s="1">
        <v>-3.277518E-6</v>
      </c>
      <c r="I4022">
        <v>141.61539999999999</v>
      </c>
      <c r="J4022">
        <v>-350.77910000000003</v>
      </c>
      <c r="K4022">
        <v>1.1108979999999999</v>
      </c>
      <c r="L4022">
        <v>142.04499999999999</v>
      </c>
      <c r="M4022">
        <v>-0.99988580000000005</v>
      </c>
      <c r="N4022">
        <v>-1.504427E-2</v>
      </c>
      <c r="O4022">
        <v>1.497747E-3</v>
      </c>
      <c r="P4022">
        <v>-0.9291741</v>
      </c>
      <c r="Q4022">
        <v>0.36041020000000001</v>
      </c>
      <c r="R4022">
        <v>-8.2098039999999997E-2</v>
      </c>
      <c r="S4022">
        <v>-3.3287659999999999</v>
      </c>
      <c r="T4022">
        <v>-0.27997420000000001</v>
      </c>
      <c r="U4022">
        <v>-0.1080933</v>
      </c>
      <c r="V4022">
        <v>-8.3475339999999995E-2</v>
      </c>
      <c r="W4022">
        <v>0.37434970000000001</v>
      </c>
      <c r="X4022">
        <v>0.92352270000000003</v>
      </c>
      <c r="Y4022">
        <v>-3.380822E-2</v>
      </c>
      <c r="Z4022">
        <v>-1.777027E-3</v>
      </c>
      <c r="AA4022">
        <v>0.99942679999999995</v>
      </c>
      <c r="AB4022">
        <v>39</v>
      </c>
      <c r="AC4022">
        <v>-12.779599999999901</v>
      </c>
      <c r="AD4022">
        <v>-1.1109012775180001</v>
      </c>
      <c r="AE4022">
        <v>-0.42959999999999299</v>
      </c>
      <c r="AF4022">
        <v>-0.44538060367753501</v>
      </c>
      <c r="AG4022">
        <v>-1.1109012775180001</v>
      </c>
      <c r="AH4022">
        <v>12.6832106011554</v>
      </c>
      <c r="AI4022">
        <v>95.002599446816603</v>
      </c>
      <c r="AJ4022">
        <v>92.011158558849601</v>
      </c>
      <c r="AK4022">
        <v>12.7395563770402</v>
      </c>
      <c r="AL4022">
        <v>68.015874054950203</v>
      </c>
      <c r="AM4022">
        <v>95.164814098773405</v>
      </c>
      <c r="AN4022">
        <v>1.00000000384674</v>
      </c>
    </row>
    <row r="4023" spans="1:40" x14ac:dyDescent="0.25">
      <c r="A4023" t="str">
        <f>"20190304164725044"</f>
        <v>20190304164725044</v>
      </c>
      <c r="B4023" t="str">
        <f>"1551689245032893"</f>
        <v>1551689245032893</v>
      </c>
      <c r="C4023" t="s">
        <v>40</v>
      </c>
      <c r="D4023">
        <v>4.2469060000000001</v>
      </c>
      <c r="E4023">
        <v>0.53716769999999903</v>
      </c>
      <c r="F4023" t="s">
        <v>42</v>
      </c>
      <c r="G4023">
        <v>-363.9794</v>
      </c>
      <c r="H4023" s="1">
        <v>-3.1143080000000002E-6</v>
      </c>
      <c r="I4023">
        <v>141.68020000000001</v>
      </c>
      <c r="J4023">
        <v>-351.35579999999999</v>
      </c>
      <c r="K4023">
        <v>1.1108979999999999</v>
      </c>
      <c r="L4023">
        <v>142.04589999999999</v>
      </c>
      <c r="M4023">
        <v>-0.99988589999999999</v>
      </c>
      <c r="N4023">
        <v>-1.5037999999999999E-2</v>
      </c>
      <c r="O4023">
        <v>1.497616E-3</v>
      </c>
      <c r="P4023">
        <v>-0.92901840000000002</v>
      </c>
      <c r="Q4023">
        <v>0.36043619999999998</v>
      </c>
      <c r="R4023">
        <v>-8.3730879999999994E-2</v>
      </c>
      <c r="S4023">
        <v>-3.329224</v>
      </c>
      <c r="T4023">
        <v>-0.28017950000000003</v>
      </c>
      <c r="U4023">
        <v>-9.1995240000000006E-2</v>
      </c>
      <c r="V4023">
        <v>-8.5107890000000005E-2</v>
      </c>
      <c r="W4023">
        <v>0.37436740000000002</v>
      </c>
      <c r="X4023">
        <v>0.92336649999999998</v>
      </c>
      <c r="Y4023">
        <v>-2.8994909999999999E-2</v>
      </c>
      <c r="Z4023">
        <v>-1.539512E-3</v>
      </c>
      <c r="AA4023">
        <v>0.99957839999999998</v>
      </c>
      <c r="AB4023">
        <v>39</v>
      </c>
      <c r="AC4023">
        <v>-12.6236</v>
      </c>
      <c r="AD4023">
        <v>-1.1109011143080001</v>
      </c>
      <c r="AE4023">
        <v>-0.36569999999997499</v>
      </c>
      <c r="AF4023">
        <v>-0.38165385286605202</v>
      </c>
      <c r="AG4023">
        <v>-1.1109011143080001</v>
      </c>
      <c r="AH4023">
        <v>12.526112978009101</v>
      </c>
      <c r="AI4023">
        <v>95.0657820685541</v>
      </c>
      <c r="AJ4023">
        <v>91.745185605244302</v>
      </c>
      <c r="AK4023">
        <v>12.581067811876199</v>
      </c>
      <c r="AL4023">
        <v>68.014780262871696</v>
      </c>
      <c r="AM4023">
        <v>95.266147139398399</v>
      </c>
      <c r="AN4023">
        <v>0.99999999822263097</v>
      </c>
    </row>
    <row r="4024" spans="1:40" x14ac:dyDescent="0.25">
      <c r="A4024" t="str">
        <f>"20190304164725064"</f>
        <v>20190304164725064</v>
      </c>
      <c r="B4024" t="str">
        <f>"1551689245053389"</f>
        <v>1551689245053389</v>
      </c>
      <c r="C4024" t="s">
        <v>40</v>
      </c>
      <c r="D4024">
        <v>4.2375410000000002</v>
      </c>
      <c r="E4024">
        <v>0.53811880000000001</v>
      </c>
      <c r="F4024" t="s">
        <v>42</v>
      </c>
      <c r="G4024">
        <v>-364.47919999999999</v>
      </c>
      <c r="H4024" s="1">
        <v>-2.9110499999999999E-6</v>
      </c>
      <c r="I4024">
        <v>141.72219999999999</v>
      </c>
      <c r="J4024">
        <v>-351.71420000000001</v>
      </c>
      <c r="K4024">
        <v>1.110895</v>
      </c>
      <c r="L4024">
        <v>142.04640000000001</v>
      </c>
      <c r="M4024">
        <v>-0.99988600000000005</v>
      </c>
      <c r="N4024">
        <v>-1.5033970000000001E-2</v>
      </c>
      <c r="O4024">
        <v>1.4973479999999999E-3</v>
      </c>
      <c r="P4024">
        <v>-0.92868910000000005</v>
      </c>
      <c r="Q4024">
        <v>0.36106240000000001</v>
      </c>
      <c r="R4024">
        <v>-8.4681149999999997E-2</v>
      </c>
      <c r="S4024">
        <v>-3.331207</v>
      </c>
      <c r="T4024">
        <v>-0.28198849999999998</v>
      </c>
      <c r="U4024">
        <v>-8.2138059999999999E-2</v>
      </c>
      <c r="V4024">
        <v>-8.6057309999999998E-2</v>
      </c>
      <c r="W4024">
        <v>0.37498510000000002</v>
      </c>
      <c r="X4024">
        <v>0.92302779999999995</v>
      </c>
      <c r="Y4024">
        <v>-2.6033420000000002E-2</v>
      </c>
      <c r="Z4024">
        <v>-1.3999139999999999E-3</v>
      </c>
      <c r="AA4024">
        <v>0.99966010000000005</v>
      </c>
      <c r="AB4024">
        <v>39</v>
      </c>
      <c r="AC4024">
        <v>-12.764999999999899</v>
      </c>
      <c r="AD4024">
        <v>-1.1108979110499999</v>
      </c>
      <c r="AE4024">
        <v>-0.32420000000001797</v>
      </c>
      <c r="AF4024">
        <v>-0.34073647767201498</v>
      </c>
      <c r="AG4024">
        <v>-1.1108979110499999</v>
      </c>
      <c r="AH4024">
        <v>12.668614076820999</v>
      </c>
      <c r="AI4024">
        <v>95.009587778717105</v>
      </c>
      <c r="AJ4024">
        <v>91.540662334969099</v>
      </c>
      <c r="AK4024">
        <v>12.721791467533899</v>
      </c>
      <c r="AL4024">
        <v>67.976608133282497</v>
      </c>
      <c r="AM4024">
        <v>95.326500358742706</v>
      </c>
      <c r="AN4024">
        <v>1.0000000026996401</v>
      </c>
    </row>
    <row r="4025" spans="1:40" x14ac:dyDescent="0.25">
      <c r="A4025" t="str">
        <f>"20190304164725087"</f>
        <v>20190304164725087</v>
      </c>
      <c r="B4025" t="str">
        <f>"1551689245082669"</f>
        <v>1551689245082669</v>
      </c>
      <c r="C4025" t="s">
        <v>40</v>
      </c>
      <c r="D4025">
        <v>4.2709679999999999</v>
      </c>
      <c r="E4025">
        <v>0.53898610000000002</v>
      </c>
      <c r="F4025" t="s">
        <v>42</v>
      </c>
      <c r="G4025">
        <v>-364.98289999999997</v>
      </c>
      <c r="H4025" s="1">
        <v>-2.698045E-6</v>
      </c>
      <c r="I4025">
        <v>141.7337</v>
      </c>
      <c r="J4025">
        <v>-352.11250000000001</v>
      </c>
      <c r="K4025">
        <v>1.110892</v>
      </c>
      <c r="L4025">
        <v>142.047</v>
      </c>
      <c r="M4025">
        <v>-0.99988600000000005</v>
      </c>
      <c r="N4025">
        <v>-1.5029509999999999E-2</v>
      </c>
      <c r="O4025">
        <v>1.497382E-3</v>
      </c>
      <c r="P4025">
        <v>-0.92875300000000005</v>
      </c>
      <c r="Q4025">
        <v>0.36077350000000002</v>
      </c>
      <c r="R4025">
        <v>-8.5206309999999993E-2</v>
      </c>
      <c r="S4025">
        <v>-3.3316349999999999</v>
      </c>
      <c r="T4025">
        <v>-0.27893630000000003</v>
      </c>
      <c r="U4025">
        <v>-7.8491210000000006E-2</v>
      </c>
      <c r="V4025">
        <v>-8.6582820000000005E-2</v>
      </c>
      <c r="W4025">
        <v>0.37469330000000001</v>
      </c>
      <c r="X4025">
        <v>0.9230971</v>
      </c>
      <c r="Y4025">
        <v>-2.4943469999999999E-2</v>
      </c>
      <c r="Z4025">
        <v>-1.332738E-3</v>
      </c>
      <c r="AA4025">
        <v>0.99968800000000002</v>
      </c>
      <c r="AB4025">
        <v>39</v>
      </c>
      <c r="AC4025">
        <v>-12.870399999999901</v>
      </c>
      <c r="AD4025">
        <v>-1.1108946980450001</v>
      </c>
      <c r="AE4025">
        <v>-0.31329999999999802</v>
      </c>
      <c r="AF4025">
        <v>-0.33011579272127101</v>
      </c>
      <c r="AG4025">
        <v>-1.1108946980450001</v>
      </c>
      <c r="AH4025">
        <v>12.7747993045139</v>
      </c>
      <c r="AI4025">
        <v>94.968280046967607</v>
      </c>
      <c r="AJ4025">
        <v>91.480260692298799</v>
      </c>
      <c r="AK4025">
        <v>12.827258504347499</v>
      </c>
      <c r="AL4025">
        <v>67.994640778862504</v>
      </c>
      <c r="AM4025">
        <v>95.358437946096998</v>
      </c>
      <c r="AN4025">
        <v>0.99999995490622495</v>
      </c>
    </row>
    <row r="4026" spans="1:40" x14ac:dyDescent="0.25">
      <c r="A4026" t="str">
        <f>"20190304164725110"</f>
        <v>20190304164725110</v>
      </c>
      <c r="B4026" t="str">
        <f>"1551689245103176"</f>
        <v>1551689245103176</v>
      </c>
      <c r="C4026" t="s">
        <v>40</v>
      </c>
      <c r="D4026">
        <v>4.2742230000000001</v>
      </c>
      <c r="E4026">
        <v>0.53941759999999905</v>
      </c>
      <c r="F4026" t="s">
        <v>42</v>
      </c>
      <c r="G4026">
        <v>-365.30070000000001</v>
      </c>
      <c r="H4026" s="1">
        <v>-2.56773E-6</v>
      </c>
      <c r="I4026">
        <v>141.75640000000001</v>
      </c>
      <c r="J4026">
        <v>-352.51740000000001</v>
      </c>
      <c r="K4026">
        <v>1.1108960000000001</v>
      </c>
      <c r="L4026">
        <v>142.04759999999999</v>
      </c>
      <c r="M4026">
        <v>-0.99988600000000005</v>
      </c>
      <c r="N4026">
        <v>-1.502499E-2</v>
      </c>
      <c r="O4026">
        <v>1.497059E-3</v>
      </c>
      <c r="P4026">
        <v>-0.92898539999999996</v>
      </c>
      <c r="Q4026">
        <v>0.36002729999999999</v>
      </c>
      <c r="R4026">
        <v>-8.5830429999999999E-2</v>
      </c>
      <c r="S4026">
        <v>-3.3324280000000002</v>
      </c>
      <c r="T4026">
        <v>-0.28070339999999999</v>
      </c>
      <c r="U4026">
        <v>-7.3394780000000007E-2</v>
      </c>
      <c r="V4026">
        <v>-8.7207129999999994E-2</v>
      </c>
      <c r="W4026">
        <v>0.37394640000000001</v>
      </c>
      <c r="X4026">
        <v>0.92334119999999997</v>
      </c>
      <c r="Y4026">
        <v>-2.3414609999999999E-2</v>
      </c>
      <c r="Z4026">
        <v>-1.263997E-3</v>
      </c>
      <c r="AA4026">
        <v>0.99972499999999997</v>
      </c>
      <c r="AB4026">
        <v>39</v>
      </c>
      <c r="AC4026">
        <v>-12.783299999999899</v>
      </c>
      <c r="AD4026">
        <v>-1.1108985677299901</v>
      </c>
      <c r="AE4026">
        <v>-0.29119999999997498</v>
      </c>
      <c r="AF4026">
        <v>-0.308014266416613</v>
      </c>
      <c r="AG4026">
        <v>-1.1108985677299901</v>
      </c>
      <c r="AH4026">
        <v>12.687086304459401</v>
      </c>
      <c r="AI4026">
        <v>95.002667087810195</v>
      </c>
      <c r="AJ4026">
        <v>91.390741026614606</v>
      </c>
      <c r="AK4026">
        <v>12.739353488811799</v>
      </c>
      <c r="AL4026">
        <v>68.040790709858896</v>
      </c>
      <c r="AM4026">
        <v>95.395429604065399</v>
      </c>
      <c r="AN4026">
        <v>0.99999998260661804</v>
      </c>
    </row>
    <row r="4027" spans="1:40" x14ac:dyDescent="0.25">
      <c r="A4027" t="str">
        <f>"20190304164725131"</f>
        <v>20190304164725131</v>
      </c>
      <c r="B4027" t="str">
        <f>"1551689245122685"</f>
        <v>1551689245122685</v>
      </c>
      <c r="C4027" t="s">
        <v>40</v>
      </c>
      <c r="D4027">
        <v>4.2832889999999999</v>
      </c>
      <c r="E4027">
        <v>0.53979790000000005</v>
      </c>
      <c r="F4027" t="s">
        <v>42</v>
      </c>
      <c r="G4027">
        <v>-365.51799999999997</v>
      </c>
      <c r="H4027" s="1">
        <v>-2.4788490000000002E-6</v>
      </c>
      <c r="I4027">
        <v>141.77279999999999</v>
      </c>
      <c r="J4027">
        <v>-352.88490000000002</v>
      </c>
      <c r="K4027">
        <v>1.110903</v>
      </c>
      <c r="L4027">
        <v>142.04810000000001</v>
      </c>
      <c r="M4027">
        <v>-0.99988619999999995</v>
      </c>
      <c r="N4027">
        <v>-1.502089E-2</v>
      </c>
      <c r="O4027">
        <v>1.4969110000000001E-3</v>
      </c>
      <c r="P4027">
        <v>-0.92882290000000001</v>
      </c>
      <c r="Q4027">
        <v>0.36031200000000002</v>
      </c>
      <c r="R4027">
        <v>-8.6392999999999998E-2</v>
      </c>
      <c r="S4027">
        <v>-3.3331599999999999</v>
      </c>
      <c r="T4027">
        <v>-0.2848175</v>
      </c>
      <c r="U4027">
        <v>-7.0434570000000002E-2</v>
      </c>
      <c r="V4027">
        <v>-8.7769330000000007E-2</v>
      </c>
      <c r="W4027">
        <v>0.37422420000000001</v>
      </c>
      <c r="X4027">
        <v>0.92317539999999998</v>
      </c>
      <c r="Y4027">
        <v>-2.252324E-2</v>
      </c>
      <c r="Z4027">
        <v>-1.2352089999999999E-3</v>
      </c>
      <c r="AA4027">
        <v>0.99974549999999995</v>
      </c>
      <c r="AB4027">
        <v>39</v>
      </c>
      <c r="AC4027">
        <v>-12.633100000000001</v>
      </c>
      <c r="AD4027">
        <v>-1.110905478849</v>
      </c>
      <c r="AE4027">
        <v>-0.27530000000001498</v>
      </c>
      <c r="AF4027">
        <v>-0.29195589660514099</v>
      </c>
      <c r="AG4027">
        <v>-1.110905478849</v>
      </c>
      <c r="AH4027">
        <v>12.5357835441286</v>
      </c>
      <c r="AI4027">
        <v>95.062885293428593</v>
      </c>
      <c r="AJ4027">
        <v>91.334166079715303</v>
      </c>
      <c r="AK4027">
        <v>12.588296878201801</v>
      </c>
      <c r="AL4027">
        <v>68.023628524572501</v>
      </c>
      <c r="AM4027">
        <v>95.430974578416297</v>
      </c>
      <c r="AN4027">
        <v>1.00000001315972</v>
      </c>
    </row>
    <row r="4028" spans="1:40" x14ac:dyDescent="0.25">
      <c r="A4028" t="str">
        <f>"20190304164725153"</f>
        <v>20190304164725153</v>
      </c>
      <c r="B4028" t="str">
        <f>"1551689245143181"</f>
        <v>1551689245143181</v>
      </c>
      <c r="C4028" t="s">
        <v>40</v>
      </c>
      <c r="D4028">
        <v>4.2782660000000003</v>
      </c>
      <c r="E4028">
        <v>0.53998849999999998</v>
      </c>
      <c r="F4028" t="s">
        <v>42</v>
      </c>
      <c r="G4028">
        <v>-365.84859999999998</v>
      </c>
      <c r="H4028" s="1">
        <v>-2.3406629999999999E-6</v>
      </c>
      <c r="I4028">
        <v>141.78630000000001</v>
      </c>
      <c r="J4028">
        <v>-353.26560000000001</v>
      </c>
      <c r="K4028">
        <v>1.110897</v>
      </c>
      <c r="L4028">
        <v>142.0487</v>
      </c>
      <c r="M4028">
        <v>-0.99988619999999995</v>
      </c>
      <c r="N4028">
        <v>-1.50166E-2</v>
      </c>
      <c r="O4028">
        <v>1.4967649999999999E-3</v>
      </c>
      <c r="P4028">
        <v>-0.92843600000000004</v>
      </c>
      <c r="Q4028">
        <v>0.36118800000000001</v>
      </c>
      <c r="R4028">
        <v>-8.6892220000000006E-2</v>
      </c>
      <c r="S4028">
        <v>-3.334473</v>
      </c>
      <c r="T4028">
        <v>-0.28574549999999999</v>
      </c>
      <c r="U4028">
        <v>-6.7306519999999995E-2</v>
      </c>
      <c r="V4028">
        <v>-8.8267300000000007E-2</v>
      </c>
      <c r="W4028">
        <v>0.3750907</v>
      </c>
      <c r="X4028">
        <v>0.92277620000000005</v>
      </c>
      <c r="Y4028">
        <v>-2.1580849999999999E-2</v>
      </c>
      <c r="Z4028">
        <v>-1.1908789999999999E-3</v>
      </c>
      <c r="AA4028">
        <v>0.99976640000000006</v>
      </c>
      <c r="AB4028">
        <v>39</v>
      </c>
      <c r="AC4028">
        <v>-12.582999999999901</v>
      </c>
      <c r="AD4028">
        <v>-1.1108993406629999</v>
      </c>
      <c r="AE4028">
        <v>-0.26239999999998498</v>
      </c>
      <c r="AF4028">
        <v>-0.279061459600985</v>
      </c>
      <c r="AG4028">
        <v>-1.1108993406629999</v>
      </c>
      <c r="AH4028">
        <v>12.485320200842899</v>
      </c>
      <c r="AI4028">
        <v>95.083321855998605</v>
      </c>
      <c r="AJ4028">
        <v>91.280414264682193</v>
      </c>
      <c r="AK4028">
        <v>12.537750721756099</v>
      </c>
      <c r="AL4028">
        <v>67.970081990304294</v>
      </c>
      <c r="AM4028">
        <v>95.463950513474899</v>
      </c>
      <c r="AN4028">
        <v>1.0000000323811</v>
      </c>
    </row>
    <row r="4029" spans="1:40" x14ac:dyDescent="0.25">
      <c r="A4029" t="str">
        <f>"20190304164725177"</f>
        <v>20190304164725177</v>
      </c>
      <c r="B4029" t="str">
        <f>"1551689245173437"</f>
        <v>1551689245173437</v>
      </c>
      <c r="C4029" t="s">
        <v>40</v>
      </c>
      <c r="D4029">
        <v>4.3136950000000001</v>
      </c>
      <c r="E4029">
        <v>0.54023840000000001</v>
      </c>
      <c r="F4029" t="s">
        <v>42</v>
      </c>
      <c r="G4029">
        <v>-366.26330000000002</v>
      </c>
      <c r="H4029" s="1">
        <v>-2.1664640000000002E-6</v>
      </c>
      <c r="I4029">
        <v>141.80029999999999</v>
      </c>
      <c r="J4029">
        <v>-353.6617</v>
      </c>
      <c r="K4029">
        <v>1.1108979999999999</v>
      </c>
      <c r="L4029">
        <v>142.04920000000001</v>
      </c>
      <c r="M4029">
        <v>-0.9998861</v>
      </c>
      <c r="N4029">
        <v>-1.5012090000000001E-2</v>
      </c>
      <c r="O4029">
        <v>1.502747E-3</v>
      </c>
      <c r="P4029">
        <v>-0.9280254</v>
      </c>
      <c r="Q4029">
        <v>0.36204340000000002</v>
      </c>
      <c r="R4029">
        <v>-8.771081E-2</v>
      </c>
      <c r="S4029">
        <v>-3.3362120000000002</v>
      </c>
      <c r="T4029">
        <v>-0.28514329999999999</v>
      </c>
      <c r="U4029">
        <v>-6.3720700000000005E-2</v>
      </c>
      <c r="V4029">
        <v>-8.9088829999999994E-2</v>
      </c>
      <c r="W4029">
        <v>0.3759361</v>
      </c>
      <c r="X4029">
        <v>0.92235310000000004</v>
      </c>
      <c r="Y4029">
        <v>-2.0507210000000001E-2</v>
      </c>
      <c r="Z4029">
        <v>-1.1346419999999999E-3</v>
      </c>
      <c r="AA4029">
        <v>0.99978909999999999</v>
      </c>
      <c r="AB4029">
        <v>39</v>
      </c>
      <c r="AC4029">
        <v>-12.601599999999999</v>
      </c>
      <c r="AD4029">
        <v>-1.1109001664639999</v>
      </c>
      <c r="AE4029">
        <v>-0.24890000000001999</v>
      </c>
      <c r="AF4029">
        <v>-0.26577424154429002</v>
      </c>
      <c r="AG4029">
        <v>-1.1109001664639999</v>
      </c>
      <c r="AH4029">
        <v>12.5040755438642</v>
      </c>
      <c r="AI4029">
        <v>95.075861417085804</v>
      </c>
      <c r="AJ4029">
        <v>91.217638980070205</v>
      </c>
      <c r="AK4029">
        <v>12.5561395474079</v>
      </c>
      <c r="AL4029">
        <v>67.917818789557401</v>
      </c>
      <c r="AM4029">
        <v>95.517007077288099</v>
      </c>
      <c r="AN4029">
        <v>1.00000000599679</v>
      </c>
    </row>
    <row r="4030" spans="1:40" x14ac:dyDescent="0.25">
      <c r="A4030" t="str">
        <f>"20190304164725199"</f>
        <v>20190304164725199</v>
      </c>
      <c r="B4030" t="str">
        <f>"1551689245192960"</f>
        <v>1551689245192960</v>
      </c>
      <c r="C4030" t="s">
        <v>40</v>
      </c>
      <c r="D4030">
        <v>4.3050649999999999</v>
      </c>
      <c r="E4030">
        <v>0.54035900000000003</v>
      </c>
      <c r="F4030" t="s">
        <v>41</v>
      </c>
      <c r="G4030">
        <v>-354.69490000000002</v>
      </c>
      <c r="H4030">
        <v>1.0224230000000001</v>
      </c>
      <c r="I4030">
        <v>142.03</v>
      </c>
      <c r="J4030">
        <v>-354.05700000000002</v>
      </c>
      <c r="K4030">
        <v>1.110892</v>
      </c>
      <c r="L4030">
        <v>142.0498</v>
      </c>
      <c r="M4030">
        <v>-0.99988619999999995</v>
      </c>
      <c r="N4030">
        <v>-1.500757E-2</v>
      </c>
      <c r="O4030">
        <v>1.528777E-3</v>
      </c>
      <c r="P4030">
        <v>-0.92768810000000002</v>
      </c>
      <c r="Q4030">
        <v>0.36258550000000001</v>
      </c>
      <c r="R4030">
        <v>-8.903055E-2</v>
      </c>
      <c r="S4030">
        <v>-3.3383180000000001</v>
      </c>
      <c r="T4030">
        <v>-0.28582000000000002</v>
      </c>
      <c r="U4030">
        <v>-6.2057500000000002E-2</v>
      </c>
      <c r="V4030">
        <v>-9.0422130000000003E-2</v>
      </c>
      <c r="W4030">
        <v>0.37647160000000002</v>
      </c>
      <c r="X4030">
        <v>0.92200490000000002</v>
      </c>
      <c r="Y4030">
        <v>-2.002497E-2</v>
      </c>
      <c r="Z4030">
        <v>-1.1139500000000001E-3</v>
      </c>
      <c r="AA4030">
        <v>0.99979879999999999</v>
      </c>
      <c r="AB4030">
        <v>39</v>
      </c>
      <c r="AC4030">
        <v>-0.63790000000005798</v>
      </c>
      <c r="AD4030">
        <v>-8.8469000000000103E-2</v>
      </c>
      <c r="AE4030">
        <v>-1.9800000000003599E-2</v>
      </c>
      <c r="AF4030">
        <v>-2.0383605948538799E-2</v>
      </c>
      <c r="AG4030">
        <v>-8.8469000000000103E-2</v>
      </c>
      <c r="AH4030">
        <v>0.62584289961065498</v>
      </c>
      <c r="AI4030">
        <v>98.041798362259897</v>
      </c>
      <c r="AJ4030">
        <v>91.865455196481705</v>
      </c>
      <c r="AK4030">
        <v>0.63239354072091702</v>
      </c>
      <c r="AL4030">
        <v>67.884704791154306</v>
      </c>
      <c r="AM4030">
        <v>95.601154638502706</v>
      </c>
      <c r="AN4030">
        <v>1.00000003141215</v>
      </c>
    </row>
    <row r="4031" spans="1:40" x14ac:dyDescent="0.25">
      <c r="A4031" t="str">
        <f>"20190304164725222"</f>
        <v>20190304164725222</v>
      </c>
      <c r="B4031" t="str">
        <f>"1551689245213452"</f>
        <v>1551689245213452</v>
      </c>
      <c r="C4031" t="s">
        <v>40</v>
      </c>
      <c r="D4031">
        <v>4.8188769999999996</v>
      </c>
      <c r="E4031">
        <v>0.54041090000000003</v>
      </c>
      <c r="F4031" t="s">
        <v>41</v>
      </c>
      <c r="G4031">
        <v>-355.04430000000002</v>
      </c>
      <c r="H4031">
        <v>1.026397</v>
      </c>
      <c r="I4031">
        <v>142.03120000000001</v>
      </c>
      <c r="J4031">
        <v>-354.44439999999997</v>
      </c>
      <c r="K4031">
        <v>1.1108819999999999</v>
      </c>
      <c r="L4031">
        <v>142.0505</v>
      </c>
      <c r="M4031">
        <v>-0.99988630000000001</v>
      </c>
      <c r="N4031">
        <v>-1.500315E-2</v>
      </c>
      <c r="O4031">
        <v>1.5776340000000001E-3</v>
      </c>
      <c r="P4031">
        <v>-0.92735230000000002</v>
      </c>
      <c r="Q4031">
        <v>0.36304969999999998</v>
      </c>
      <c r="R4031">
        <v>-9.0624170000000004E-2</v>
      </c>
      <c r="S4031">
        <v>-3.3393250000000001</v>
      </c>
      <c r="T4031">
        <v>-0.28588409999999997</v>
      </c>
      <c r="U4031">
        <v>-6.4392089999999999E-2</v>
      </c>
      <c r="V4031">
        <v>-9.2045550000000004E-2</v>
      </c>
      <c r="W4031">
        <v>0.37693009999999999</v>
      </c>
      <c r="X4031">
        <v>0.92165680000000005</v>
      </c>
      <c r="Y4031">
        <v>-2.076366E-2</v>
      </c>
      <c r="Z4031">
        <v>-1.1543879999999999E-3</v>
      </c>
      <c r="AA4031">
        <v>0.9997838</v>
      </c>
      <c r="AB4031">
        <v>39</v>
      </c>
      <c r="AC4031">
        <v>-0.59990000000004695</v>
      </c>
      <c r="AD4031">
        <v>-8.4484999999999894E-2</v>
      </c>
      <c r="AE4031">
        <v>-1.9299999999986901E-2</v>
      </c>
      <c r="AF4031">
        <v>-1.98531527519572E-2</v>
      </c>
      <c r="AG4031">
        <v>-8.4484999999999894E-2</v>
      </c>
      <c r="AH4031">
        <v>0.58821445553756302</v>
      </c>
      <c r="AI4031">
        <v>98.168881649375805</v>
      </c>
      <c r="AJ4031">
        <v>91.933087859287099</v>
      </c>
      <c r="AK4031">
        <v>0.59458229758591397</v>
      </c>
      <c r="AL4031">
        <v>67.856344170192898</v>
      </c>
      <c r="AM4031">
        <v>95.703198973032798</v>
      </c>
      <c r="AN4031">
        <v>0.99999997027352505</v>
      </c>
    </row>
    <row r="4032" spans="1:40" x14ac:dyDescent="0.25">
      <c r="A4032" t="str">
        <f>"20190304164725244"</f>
        <v>20190304164725244</v>
      </c>
      <c r="B4032" t="str">
        <f>"1551689245232973"</f>
        <v>1551689245232973</v>
      </c>
      <c r="C4032" t="s">
        <v>40</v>
      </c>
      <c r="D4032">
        <v>4.3148359999999997</v>
      </c>
      <c r="E4032">
        <v>0.54046159999999999</v>
      </c>
      <c r="F4032" t="s">
        <v>41</v>
      </c>
      <c r="G4032">
        <v>-355.39769999999999</v>
      </c>
      <c r="H4032">
        <v>1.0297080000000001</v>
      </c>
      <c r="I4032">
        <v>142.0309</v>
      </c>
      <c r="J4032">
        <v>-354.83010000000002</v>
      </c>
      <c r="K4032">
        <v>1.1108499999999999</v>
      </c>
      <c r="L4032">
        <v>142.05119999999999</v>
      </c>
      <c r="M4032">
        <v>-0.99988619999999995</v>
      </c>
      <c r="N4032">
        <v>-1.499875E-2</v>
      </c>
      <c r="O4032">
        <v>1.6616459999999999E-3</v>
      </c>
      <c r="P4032">
        <v>-0.92707530000000005</v>
      </c>
      <c r="Q4032">
        <v>0.36312169999999999</v>
      </c>
      <c r="R4032">
        <v>-9.3137029999999996E-2</v>
      </c>
      <c r="S4032">
        <v>-3.339569</v>
      </c>
      <c r="T4032">
        <v>-0.28437950000000001</v>
      </c>
      <c r="U4032">
        <v>-6.9198609999999994E-2</v>
      </c>
      <c r="V4032">
        <v>-9.4611029999999999E-2</v>
      </c>
      <c r="W4032">
        <v>0.3769999</v>
      </c>
      <c r="X4032">
        <v>0.92136850000000003</v>
      </c>
      <c r="Y4032">
        <v>-2.2278889999999999E-2</v>
      </c>
      <c r="Z4032">
        <v>-1.2305630000000001E-3</v>
      </c>
      <c r="AA4032">
        <v>0.99975099999999995</v>
      </c>
      <c r="AB4032">
        <v>39</v>
      </c>
      <c r="AC4032">
        <v>-0.56759999999997002</v>
      </c>
      <c r="AD4032">
        <v>-8.1141999999999798E-2</v>
      </c>
      <c r="AE4032">
        <v>-2.02999999999917E-2</v>
      </c>
      <c r="AF4032">
        <v>-2.0818318106354001E-2</v>
      </c>
      <c r="AG4032">
        <v>-8.1141999999999798E-2</v>
      </c>
      <c r="AH4032">
        <v>0.55621295290861505</v>
      </c>
      <c r="AI4032">
        <v>98.294203160125605</v>
      </c>
      <c r="AJ4032">
        <v>92.143504973001995</v>
      </c>
      <c r="AK4032">
        <v>0.56248580027952599</v>
      </c>
      <c r="AL4032">
        <v>67.852028068618793</v>
      </c>
      <c r="AM4032">
        <v>95.862887109938299</v>
      </c>
      <c r="AN4032">
        <v>1.00000004219495</v>
      </c>
    </row>
    <row r="4033" spans="1:40" x14ac:dyDescent="0.25">
      <c r="A4033" t="str">
        <f>"20190304164725265"</f>
        <v>20190304164725265</v>
      </c>
      <c r="B4033" t="str">
        <f>"1551689245262760"</f>
        <v>1551689245262760</v>
      </c>
      <c r="C4033" t="s">
        <v>40</v>
      </c>
      <c r="D4033">
        <v>4.338273</v>
      </c>
      <c r="E4033">
        <v>0.54076359999999901</v>
      </c>
      <c r="F4033" t="s">
        <v>42</v>
      </c>
      <c r="G4033">
        <v>-367.86559999999997</v>
      </c>
      <c r="H4033" s="1">
        <v>-1.465172E-6</v>
      </c>
      <c r="I4033">
        <v>141.74789999999999</v>
      </c>
      <c r="J4033">
        <v>-355.1986</v>
      </c>
      <c r="K4033">
        <v>1.110816</v>
      </c>
      <c r="L4033">
        <v>142.05189999999999</v>
      </c>
      <c r="M4033">
        <v>-0.99988600000000005</v>
      </c>
      <c r="N4033">
        <v>-1.4994560000000001E-2</v>
      </c>
      <c r="O4033">
        <v>1.7872840000000001E-3</v>
      </c>
      <c r="P4033">
        <v>-0.92680430000000003</v>
      </c>
      <c r="Q4033">
        <v>0.36348130000000001</v>
      </c>
      <c r="R4033">
        <v>-9.4421909999999998E-2</v>
      </c>
      <c r="S4033">
        <v>-3.3396300000000001</v>
      </c>
      <c r="T4033">
        <v>-0.28459699999999999</v>
      </c>
      <c r="U4033">
        <v>-7.7667239999999999E-2</v>
      </c>
      <c r="V4033">
        <v>-9.5980120000000002E-2</v>
      </c>
      <c r="W4033">
        <v>0.37735980000000002</v>
      </c>
      <c r="X4033">
        <v>0.92107950000000005</v>
      </c>
      <c r="Y4033">
        <v>-2.492627E-2</v>
      </c>
      <c r="Z4033">
        <v>-1.3725899999999999E-3</v>
      </c>
      <c r="AA4033">
        <v>0.99968829999999997</v>
      </c>
      <c r="AB4033">
        <v>39</v>
      </c>
      <c r="AC4033">
        <v>-12.6669999999999</v>
      </c>
      <c r="AD4033">
        <v>-1.110817465172</v>
      </c>
      <c r="AE4033">
        <v>-0.30400000000000199</v>
      </c>
      <c r="AF4033">
        <v>-0.32415023928955</v>
      </c>
      <c r="AG4033">
        <v>-1.110817465172</v>
      </c>
      <c r="AH4033">
        <v>12.5698274752686</v>
      </c>
      <c r="AI4033">
        <v>95.048538352302103</v>
      </c>
      <c r="AJ4033">
        <v>91.477214011826803</v>
      </c>
      <c r="AK4033">
        <v>12.6229771281018</v>
      </c>
      <c r="AL4033">
        <v>67.829762375224007</v>
      </c>
      <c r="AM4033">
        <v>95.948976160130101</v>
      </c>
      <c r="AN4033">
        <v>1.00000002370575</v>
      </c>
    </row>
    <row r="4034" spans="1:40" x14ac:dyDescent="0.25">
      <c r="A4034" t="str">
        <f>"20190304164725288"</f>
        <v>20190304164725288</v>
      </c>
      <c r="B4034" t="str">
        <f>"1551689245283256"</f>
        <v>1551689245283256</v>
      </c>
      <c r="C4034" t="s">
        <v>40</v>
      </c>
      <c r="D4034">
        <v>4.3486000000000002</v>
      </c>
      <c r="E4034">
        <v>0.54097589999999995</v>
      </c>
      <c r="F4034" t="s">
        <v>42</v>
      </c>
      <c r="G4034">
        <v>-368.19869999999997</v>
      </c>
      <c r="H4034" s="1">
        <v>-1.319184E-6</v>
      </c>
      <c r="I4034">
        <v>141.7364</v>
      </c>
      <c r="J4034">
        <v>-355.58940000000001</v>
      </c>
      <c r="K4034">
        <v>1.110773</v>
      </c>
      <c r="L4034">
        <v>142.05269999999999</v>
      </c>
      <c r="M4034">
        <v>-0.99988580000000005</v>
      </c>
      <c r="N4034">
        <v>-1.4990170000000001E-2</v>
      </c>
      <c r="O4034">
        <v>1.9733429999999998E-3</v>
      </c>
      <c r="P4034">
        <v>-0.92671139999999996</v>
      </c>
      <c r="Q4034">
        <v>0.3634867</v>
      </c>
      <c r="R4034">
        <v>-9.5307870000000003E-2</v>
      </c>
      <c r="S4034">
        <v>-3.3406370000000001</v>
      </c>
      <c r="T4034">
        <v>-0.2854486</v>
      </c>
      <c r="U4034">
        <v>-8.1039429999999996E-2</v>
      </c>
      <c r="V4034">
        <v>-9.6998119999999993E-2</v>
      </c>
      <c r="W4034">
        <v>0.37737039999999999</v>
      </c>
      <c r="X4034">
        <v>0.92096849999999997</v>
      </c>
      <c r="Y4034">
        <v>-2.6107749999999999E-2</v>
      </c>
      <c r="Z4034">
        <v>-1.4481190000000001E-3</v>
      </c>
      <c r="AA4034">
        <v>0.99965809999999999</v>
      </c>
      <c r="AB4034">
        <v>39</v>
      </c>
      <c r="AC4034">
        <v>-12.6092999999999</v>
      </c>
      <c r="AD4034">
        <v>-1.110774319184</v>
      </c>
      <c r="AE4034">
        <v>-0.31629999999998398</v>
      </c>
      <c r="AF4034">
        <v>-0.33855903705414297</v>
      </c>
      <c r="AG4034">
        <v>-1.110774319184</v>
      </c>
      <c r="AH4034">
        <v>12.511620302360001</v>
      </c>
      <c r="AI4034">
        <v>95.071537810057293</v>
      </c>
      <c r="AJ4034">
        <v>91.550020781696006</v>
      </c>
      <c r="AK4034">
        <v>12.565392329734699</v>
      </c>
      <c r="AL4034">
        <v>67.8291063722818</v>
      </c>
      <c r="AM4034">
        <v>96.012332742771207</v>
      </c>
      <c r="AN4034">
        <v>1.0000000160359701</v>
      </c>
    </row>
    <row r="4035" spans="1:40" x14ac:dyDescent="0.25">
      <c r="A4035" t="str">
        <f>"20190304164725310"</f>
        <v>20190304164725310</v>
      </c>
      <c r="B4035" t="str">
        <f>"1551689245302779"</f>
        <v>1551689245302779</v>
      </c>
      <c r="C4035" t="s">
        <v>40</v>
      </c>
      <c r="D4035">
        <v>4.3790879999999897</v>
      </c>
      <c r="E4035">
        <v>0.54122510000000001</v>
      </c>
      <c r="F4035" t="s">
        <v>42</v>
      </c>
      <c r="G4035">
        <v>-368.51979999999998</v>
      </c>
      <c r="H4035" s="1">
        <v>-1.1786560000000001E-6</v>
      </c>
      <c r="I4035">
        <v>141.726</v>
      </c>
      <c r="J4035">
        <v>-355.97969999999998</v>
      </c>
      <c r="K4035">
        <v>1.1107359999999999</v>
      </c>
      <c r="L4035">
        <v>142.05369999999999</v>
      </c>
      <c r="M4035">
        <v>-0.99988540000000004</v>
      </c>
      <c r="N4035">
        <v>-1.498585E-2</v>
      </c>
      <c r="O4035">
        <v>2.2093070000000002E-3</v>
      </c>
      <c r="P4035">
        <v>-0.92697030000000002</v>
      </c>
      <c r="Q4035">
        <v>0.3628652</v>
      </c>
      <c r="R4035">
        <v>-9.51597E-2</v>
      </c>
      <c r="S4035">
        <v>-3.3411559999999998</v>
      </c>
      <c r="T4035">
        <v>-0.2870202</v>
      </c>
      <c r="U4035">
        <v>-8.4411620000000007E-2</v>
      </c>
      <c r="V4035">
        <v>-9.7027719999999998E-2</v>
      </c>
      <c r="W4035">
        <v>0.37675920000000002</v>
      </c>
      <c r="X4035">
        <v>0.92121560000000002</v>
      </c>
      <c r="Y4035">
        <v>-2.734112E-2</v>
      </c>
      <c r="Z4035">
        <v>-1.533726E-3</v>
      </c>
      <c r="AA4035">
        <v>0.99962499999999999</v>
      </c>
      <c r="AB4035">
        <v>39</v>
      </c>
      <c r="AC4035">
        <v>-12.540099999999899</v>
      </c>
      <c r="AD4035">
        <v>-1.1107371786560001</v>
      </c>
      <c r="AE4035">
        <v>-0.327699999999993</v>
      </c>
      <c r="AF4035">
        <v>-0.35264247007275501</v>
      </c>
      <c r="AG4035">
        <v>-1.1107371786560001</v>
      </c>
      <c r="AH4035">
        <v>12.441799792172899</v>
      </c>
      <c r="AI4035">
        <v>95.099498558511399</v>
      </c>
      <c r="AJ4035">
        <v>91.623520522639595</v>
      </c>
      <c r="AK4035">
        <v>12.496258474449901</v>
      </c>
      <c r="AL4035">
        <v>67.866916697636498</v>
      </c>
      <c r="AM4035">
        <v>96.012552651393506</v>
      </c>
      <c r="AN4035">
        <v>1.0000000274581899</v>
      </c>
    </row>
    <row r="4036" spans="1:40" x14ac:dyDescent="0.25">
      <c r="A4036" t="str">
        <f>"20190304164725332"</f>
        <v>20190304164725332</v>
      </c>
      <c r="B4036" t="str">
        <f>"1551689245323272"</f>
        <v>1551689245323272</v>
      </c>
      <c r="C4036" t="s">
        <v>40</v>
      </c>
      <c r="D4036">
        <v>4.3397379999999997</v>
      </c>
      <c r="E4036">
        <v>0.54140759999999999</v>
      </c>
      <c r="F4036" t="s">
        <v>42</v>
      </c>
      <c r="G4036">
        <v>-368.7328</v>
      </c>
      <c r="H4036" s="1">
        <v>-1.0897229999999999E-6</v>
      </c>
      <c r="I4036">
        <v>141.73500000000001</v>
      </c>
      <c r="J4036">
        <v>-356.35199999999998</v>
      </c>
      <c r="K4036">
        <v>1.1106940000000001</v>
      </c>
      <c r="L4036">
        <v>142.0548</v>
      </c>
      <c r="M4036">
        <v>-0.99988480000000002</v>
      </c>
      <c r="N4036">
        <v>-1.498174E-2</v>
      </c>
      <c r="O4036">
        <v>2.4736910000000001E-3</v>
      </c>
      <c r="P4036">
        <v>-0.92702189999999995</v>
      </c>
      <c r="Q4036">
        <v>0.36296430000000002</v>
      </c>
      <c r="R4036">
        <v>-9.4274129999999998E-2</v>
      </c>
      <c r="S4036">
        <v>-3.341675</v>
      </c>
      <c r="T4036">
        <v>-0.29104760000000002</v>
      </c>
      <c r="U4036">
        <v>-8.3480830000000006E-2</v>
      </c>
      <c r="V4036">
        <v>-9.6352060000000003E-2</v>
      </c>
      <c r="W4036">
        <v>0.37686340000000002</v>
      </c>
      <c r="X4036">
        <v>0.92124379999999995</v>
      </c>
      <c r="Y4036">
        <v>-2.7319429999999999E-2</v>
      </c>
      <c r="Z4036">
        <v>-1.5704339999999999E-3</v>
      </c>
      <c r="AA4036">
        <v>0.99962549999999994</v>
      </c>
      <c r="AB4036">
        <v>39</v>
      </c>
      <c r="AC4036">
        <v>-12.380800000000001</v>
      </c>
      <c r="AD4036">
        <v>-1.1106950897229999</v>
      </c>
      <c r="AE4036">
        <v>-0.31979999999998598</v>
      </c>
      <c r="AF4036">
        <v>-0.347632818372897</v>
      </c>
      <c r="AG4036">
        <v>-1.1106950897229999</v>
      </c>
      <c r="AH4036">
        <v>12.2811967841198</v>
      </c>
      <c r="AI4036">
        <v>95.165637676901497</v>
      </c>
      <c r="AJ4036">
        <v>91.621387278306202</v>
      </c>
      <c r="AK4036">
        <v>12.336218489027299</v>
      </c>
      <c r="AL4036">
        <v>67.860469364717602</v>
      </c>
      <c r="AM4036">
        <v>95.970805854921494</v>
      </c>
      <c r="AN4036">
        <v>0.99999994038212003</v>
      </c>
    </row>
    <row r="4037" spans="1:40" x14ac:dyDescent="0.25">
      <c r="A4037" t="str">
        <f>"20190304164725355"</f>
        <v>20190304164725355</v>
      </c>
      <c r="B4037" t="str">
        <f>"1551689245342791"</f>
        <v>1551689245342791</v>
      </c>
      <c r="C4037" t="s">
        <v>40</v>
      </c>
      <c r="D4037">
        <v>4.3727499999999999</v>
      </c>
      <c r="E4037">
        <v>0.54163119999999998</v>
      </c>
      <c r="F4037" t="s">
        <v>42</v>
      </c>
      <c r="G4037">
        <v>-369.01010000000002</v>
      </c>
      <c r="H4037" s="1">
        <v>-9.7548740000000005E-7</v>
      </c>
      <c r="I4037">
        <v>141.75290000000001</v>
      </c>
      <c r="J4037">
        <v>-356.74130000000002</v>
      </c>
      <c r="K4037">
        <v>1.1106560000000001</v>
      </c>
      <c r="L4037">
        <v>142.05600000000001</v>
      </c>
      <c r="M4037">
        <v>-0.99988410000000005</v>
      </c>
      <c r="N4037">
        <v>-1.497742E-2</v>
      </c>
      <c r="O4037">
        <v>2.7811680000000001E-3</v>
      </c>
      <c r="P4037">
        <v>-0.92749890000000001</v>
      </c>
      <c r="Q4037">
        <v>0.36199949999999997</v>
      </c>
      <c r="R4037">
        <v>-9.3286469999999996E-2</v>
      </c>
      <c r="S4037">
        <v>-3.3429259999999998</v>
      </c>
      <c r="T4037">
        <v>-0.29332839999999999</v>
      </c>
      <c r="U4037">
        <v>-7.9696660000000002E-2</v>
      </c>
      <c r="V4037">
        <v>-9.5621999999999999E-2</v>
      </c>
      <c r="W4037">
        <v>0.37590869999999998</v>
      </c>
      <c r="X4037">
        <v>0.92170989999999997</v>
      </c>
      <c r="Y4037">
        <v>-2.6487710000000001E-2</v>
      </c>
      <c r="Z4037">
        <v>-1.56049799999999E-3</v>
      </c>
      <c r="AA4037">
        <v>0.99964790000000003</v>
      </c>
      <c r="AB4037">
        <v>39</v>
      </c>
      <c r="AC4037">
        <v>-12.268800000000001</v>
      </c>
      <c r="AD4037">
        <v>-1.1106569754873901</v>
      </c>
      <c r="AE4037">
        <v>-0.30309999999999998</v>
      </c>
      <c r="AF4037">
        <v>-0.334484771205526</v>
      </c>
      <c r="AG4037">
        <v>-1.1106569754873901</v>
      </c>
      <c r="AH4037">
        <v>12.168249937808801</v>
      </c>
      <c r="AI4037">
        <v>95.213262884842393</v>
      </c>
      <c r="AJ4037">
        <v>91.574568325044694</v>
      </c>
      <c r="AK4037">
        <v>12.223409734126999</v>
      </c>
      <c r="AL4037">
        <v>67.919513486736804</v>
      </c>
      <c r="AM4037">
        <v>95.922912826863396</v>
      </c>
      <c r="AN4037">
        <v>1.00000002868884</v>
      </c>
    </row>
    <row r="4038" spans="1:40" x14ac:dyDescent="0.25">
      <c r="A4038" t="str">
        <f>"20190304164725377"</f>
        <v>20190304164725377</v>
      </c>
      <c r="B4038" t="str">
        <f>"1551689245373048"</f>
        <v>1551689245373048</v>
      </c>
      <c r="C4038" t="s">
        <v>40</v>
      </c>
      <c r="D4038">
        <v>4.3863050000000001</v>
      </c>
      <c r="E4038">
        <v>0.54186679999999998</v>
      </c>
      <c r="F4038" t="s">
        <v>41</v>
      </c>
      <c r="G4038">
        <v>-357.79390000000001</v>
      </c>
      <c r="H4038">
        <v>1.0167379999999999</v>
      </c>
      <c r="I4038">
        <v>142.03270000000001</v>
      </c>
      <c r="J4038">
        <v>-357.12909999999999</v>
      </c>
      <c r="K4038">
        <v>1.110641</v>
      </c>
      <c r="L4038">
        <v>142.0574</v>
      </c>
      <c r="M4038">
        <v>-0.99988319999999997</v>
      </c>
      <c r="N4038">
        <v>-1.497303E-2</v>
      </c>
      <c r="O4038">
        <v>3.1114850000000002E-3</v>
      </c>
      <c r="P4038">
        <v>-0.92758459999999998</v>
      </c>
      <c r="Q4038">
        <v>0.36212119999999998</v>
      </c>
      <c r="R4038">
        <v>-9.1952889999999995E-2</v>
      </c>
      <c r="S4038">
        <v>-3.3434140000000001</v>
      </c>
      <c r="T4038">
        <v>-0.29831639999999998</v>
      </c>
      <c r="U4038">
        <v>-7.4722289999999997E-2</v>
      </c>
      <c r="V4038">
        <v>-9.4574309999999995E-2</v>
      </c>
      <c r="W4038">
        <v>0.37603199999999998</v>
      </c>
      <c r="X4038">
        <v>0.92176769999999997</v>
      </c>
      <c r="Y4038">
        <v>-2.5328380000000001E-2</v>
      </c>
      <c r="Z4038">
        <v>-1.548209E-3</v>
      </c>
      <c r="AA4038">
        <v>0.99967799999999996</v>
      </c>
      <c r="AB4038">
        <v>38</v>
      </c>
      <c r="AC4038">
        <v>-0.66480000000001305</v>
      </c>
      <c r="AD4038">
        <v>-9.3903E-2</v>
      </c>
      <c r="AE4038">
        <v>-2.4699999999995701E-2</v>
      </c>
      <c r="AF4038">
        <v>-2.6245706253751201E-2</v>
      </c>
      <c r="AG4038">
        <v>-9.3903E-2</v>
      </c>
      <c r="AH4038">
        <v>0.65173471800734495</v>
      </c>
      <c r="AI4038">
        <v>98.192295421372904</v>
      </c>
      <c r="AJ4038">
        <v>92.3060856698321</v>
      </c>
      <c r="AK4038">
        <v>0.65898767299690197</v>
      </c>
      <c r="AL4038">
        <v>67.911889569041804</v>
      </c>
      <c r="AM4038">
        <v>95.858107004039994</v>
      </c>
      <c r="AN4038">
        <v>1.00000002894963</v>
      </c>
    </row>
    <row r="4039" spans="1:40" x14ac:dyDescent="0.25">
      <c r="A4039" t="str">
        <f>"20190304164725400"</f>
        <v>20190304164725400</v>
      </c>
      <c r="B4039" t="str">
        <f>"1551689245392571"</f>
        <v>1551689245392571</v>
      </c>
      <c r="C4039" t="s">
        <v>40</v>
      </c>
      <c r="D4039">
        <v>4.4147990000000004</v>
      </c>
      <c r="E4039">
        <v>0.542022</v>
      </c>
      <c r="F4039" t="s">
        <v>41</v>
      </c>
      <c r="G4039">
        <v>-358.1388</v>
      </c>
      <c r="H4039">
        <v>1.0199469999999999</v>
      </c>
      <c r="I4039">
        <v>142.03729999999999</v>
      </c>
      <c r="J4039">
        <v>-357.5213</v>
      </c>
      <c r="K4039">
        <v>1.1106240000000001</v>
      </c>
      <c r="L4039">
        <v>142.05889999999999</v>
      </c>
      <c r="M4039">
        <v>-0.99988200000000005</v>
      </c>
      <c r="N4039">
        <v>-1.4968560000000001E-2</v>
      </c>
      <c r="O4039">
        <v>3.4585089999999998E-3</v>
      </c>
      <c r="P4039">
        <v>-0.92760659999999895</v>
      </c>
      <c r="Q4039">
        <v>0.36237200000000003</v>
      </c>
      <c r="R4039">
        <v>-9.073436E-2</v>
      </c>
      <c r="S4039">
        <v>-3.3448790000000002</v>
      </c>
      <c r="T4039">
        <v>-0.30053380000000002</v>
      </c>
      <c r="U4039">
        <v>-6.7153930000000001E-2</v>
      </c>
      <c r="V4039">
        <v>-9.3662099999999998E-2</v>
      </c>
      <c r="W4039">
        <v>0.37628159999999999</v>
      </c>
      <c r="X4039">
        <v>0.92175890000000005</v>
      </c>
      <c r="Y4039">
        <v>-2.341095E-2</v>
      </c>
      <c r="Z4039">
        <v>-1.48356799999999E-3</v>
      </c>
      <c r="AA4039">
        <v>0.99972479999999997</v>
      </c>
      <c r="AB4039">
        <v>38</v>
      </c>
      <c r="AC4039">
        <v>-0.61750000000000604</v>
      </c>
      <c r="AD4039">
        <v>-9.0677000000000105E-2</v>
      </c>
      <c r="AE4039">
        <v>-2.1600000000006499E-2</v>
      </c>
      <c r="AF4039">
        <v>-2.32353156543849E-2</v>
      </c>
      <c r="AG4039">
        <v>-9.0677000000000105E-2</v>
      </c>
      <c r="AH4039">
        <v>0.60440441368440501</v>
      </c>
      <c r="AI4039">
        <v>98.526075005573503</v>
      </c>
      <c r="AJ4039">
        <v>92.201556180910401</v>
      </c>
      <c r="AK4039">
        <v>0.61161008289902197</v>
      </c>
      <c r="AL4039">
        <v>67.896453140996002</v>
      </c>
      <c r="AM4039">
        <v>95.802045389448494</v>
      </c>
      <c r="AN4039">
        <v>0.99999995060208802</v>
      </c>
    </row>
    <row r="4040" spans="1:40" x14ac:dyDescent="0.25">
      <c r="A4040" t="str">
        <f>"20190304164725422"</f>
        <v>20190304164725422</v>
      </c>
      <c r="B4040" t="str">
        <f>"1551689245413067"</f>
        <v>1551689245413067</v>
      </c>
      <c r="C4040" t="s">
        <v>40</v>
      </c>
      <c r="D4040">
        <v>4.3577389999999996</v>
      </c>
      <c r="E4040">
        <v>0.54210349999999996</v>
      </c>
      <c r="F4040" t="s">
        <v>41</v>
      </c>
      <c r="G4040">
        <v>-358.48390000000001</v>
      </c>
      <c r="H4040">
        <v>1.023827</v>
      </c>
      <c r="I4040">
        <v>142.04140000000001</v>
      </c>
      <c r="J4040">
        <v>-357.90230000000003</v>
      </c>
      <c r="K4040">
        <v>1.1106049999999901</v>
      </c>
      <c r="L4040">
        <v>142.06059999999999</v>
      </c>
      <c r="M4040">
        <v>-0.99988089999999996</v>
      </c>
      <c r="N4040">
        <v>-1.496422E-2</v>
      </c>
      <c r="O4040">
        <v>3.801048E-3</v>
      </c>
      <c r="P4040">
        <v>-0.92777279999999995</v>
      </c>
      <c r="Q4040">
        <v>0.36215839999999999</v>
      </c>
      <c r="R4040">
        <v>-8.9882199999999995E-2</v>
      </c>
      <c r="S4040">
        <v>-3.3458559999999999</v>
      </c>
      <c r="T4040">
        <v>-0.30175010000000002</v>
      </c>
      <c r="U4040">
        <v>-6.2225339999999997E-2</v>
      </c>
      <c r="V4040">
        <v>-9.3116959999999999E-2</v>
      </c>
      <c r="W4040">
        <v>0.37606820000000002</v>
      </c>
      <c r="X4040">
        <v>0.92190130000000003</v>
      </c>
      <c r="Y4040">
        <v>-2.227902E-2</v>
      </c>
      <c r="Z4040">
        <v>-1.45492E-3</v>
      </c>
      <c r="AA4040">
        <v>0.99975069999999999</v>
      </c>
      <c r="AB4040">
        <v>38</v>
      </c>
      <c r="AC4040">
        <v>-0.58159999999998002</v>
      </c>
      <c r="AD4040">
        <v>-8.67779999999998E-2</v>
      </c>
      <c r="AE4040">
        <v>-1.9199999999983602E-2</v>
      </c>
      <c r="AF4040">
        <v>-2.0945020926879599E-2</v>
      </c>
      <c r="AG4040">
        <v>-8.67779999999998E-2</v>
      </c>
      <c r="AH4040">
        <v>0.568872180006326</v>
      </c>
      <c r="AI4040">
        <v>98.667477873598699</v>
      </c>
      <c r="AJ4040">
        <v>92.108592255359397</v>
      </c>
      <c r="AK4040">
        <v>0.57583389303754695</v>
      </c>
      <c r="AL4040">
        <v>67.909651258159499</v>
      </c>
      <c r="AM4040">
        <v>95.767619220704304</v>
      </c>
      <c r="AN4040">
        <v>1.0000000331162799</v>
      </c>
    </row>
    <row r="4041" spans="1:40" x14ac:dyDescent="0.25">
      <c r="A4041" t="str">
        <f>"20190304164725445"</f>
        <v>20190304164725445</v>
      </c>
      <c r="B4041" t="str">
        <f>"1551689245432584"</f>
        <v>1551689245432584</v>
      </c>
      <c r="C4041" t="s">
        <v>40</v>
      </c>
      <c r="D4041">
        <v>3.578608</v>
      </c>
      <c r="E4041">
        <v>0.54210349999999996</v>
      </c>
      <c r="F4041" t="s">
        <v>41</v>
      </c>
      <c r="G4041">
        <v>-358.82780000000002</v>
      </c>
      <c r="H4041">
        <v>1.026289</v>
      </c>
      <c r="I4041">
        <v>142.0446</v>
      </c>
      <c r="J4041">
        <v>-358.27690000000001</v>
      </c>
      <c r="K4041">
        <v>1.1106020000000001</v>
      </c>
      <c r="L4041">
        <v>142.06229999999999</v>
      </c>
      <c r="M4041">
        <v>-0.99987969999999904</v>
      </c>
      <c r="N4041">
        <v>-1.495995E-2</v>
      </c>
      <c r="O4041">
        <v>4.1378830000000002E-3</v>
      </c>
      <c r="P4041">
        <v>-0.92762829999999996</v>
      </c>
      <c r="Q4041">
        <v>0.3625216</v>
      </c>
      <c r="R4041">
        <v>-8.9913199999999999E-2</v>
      </c>
      <c r="S4041">
        <v>-3.3468629999999999</v>
      </c>
      <c r="T4041">
        <v>-0.3048517</v>
      </c>
      <c r="U4041">
        <v>-5.8288569999999998E-2</v>
      </c>
      <c r="V4041">
        <v>-9.3449980000000002E-2</v>
      </c>
      <c r="W4041">
        <v>0.37642740000000002</v>
      </c>
      <c r="X4041">
        <v>0.92172089999999995</v>
      </c>
      <c r="Y4041">
        <v>-2.14355E-2</v>
      </c>
      <c r="Z4041">
        <v>-1.4491930000000001E-3</v>
      </c>
      <c r="AA4041">
        <v>0.99976920000000002</v>
      </c>
      <c r="AB4041">
        <v>38</v>
      </c>
      <c r="AC4041">
        <v>-0.55090000000001205</v>
      </c>
      <c r="AD4041">
        <v>-8.4312999999999999E-2</v>
      </c>
      <c r="AE4041">
        <v>-1.7699999999990699E-2</v>
      </c>
      <c r="AF4041">
        <v>-1.9522849700075E-2</v>
      </c>
      <c r="AG4041">
        <v>-8.4312999999999999E-2</v>
      </c>
      <c r="AH4041">
        <v>0.53822808834158797</v>
      </c>
      <c r="AI4041">
        <v>98.897227843858403</v>
      </c>
      <c r="AJ4041">
        <v>92.077347384946705</v>
      </c>
      <c r="AK4041">
        <v>0.54514154006941395</v>
      </c>
      <c r="AL4041">
        <v>67.887436501290097</v>
      </c>
      <c r="AM4041">
        <v>95.789231671962497</v>
      </c>
      <c r="AN4041">
        <v>0.99999995186478396</v>
      </c>
    </row>
    <row r="4042" spans="1:40" x14ac:dyDescent="0.25">
      <c r="A4042" t="str">
        <f>"20190304164725578"</f>
        <v>20190304164725578</v>
      </c>
      <c r="B4042" t="str">
        <f>"1551689245573128"</f>
        <v>1551689245573128</v>
      </c>
      <c r="C4042" t="s">
        <v>40</v>
      </c>
      <c r="D4042">
        <v>4.3989649999999996</v>
      </c>
      <c r="E4042">
        <v>0.50180570000000002</v>
      </c>
      <c r="F4042" t="s">
        <v>42</v>
      </c>
      <c r="G4042">
        <v>-363.56670000000003</v>
      </c>
      <c r="H4042" s="1">
        <v>-3.297048E-6</v>
      </c>
      <c r="I4042">
        <v>141.70160000000001</v>
      </c>
      <c r="J4042">
        <v>-360.56</v>
      </c>
      <c r="K4042">
        <v>1.1105929999999999</v>
      </c>
      <c r="L4042">
        <v>142.07560000000001</v>
      </c>
      <c r="M4042">
        <v>-0.99986949999999997</v>
      </c>
      <c r="N4042">
        <v>-1.49345E-2</v>
      </c>
      <c r="O4042">
        <v>6.1738840000000001E-3</v>
      </c>
      <c r="P4042">
        <v>-0.92677129999999996</v>
      </c>
      <c r="Q4042">
        <v>0.36395660000000002</v>
      </c>
      <c r="R4042">
        <v>-9.2901590000000006E-2</v>
      </c>
      <c r="S4042">
        <v>-3.668091</v>
      </c>
      <c r="T4042">
        <v>-1.1996450000000001</v>
      </c>
      <c r="U4042">
        <v>-0.40109250000000002</v>
      </c>
      <c r="V4042">
        <v>-9.829367E-2</v>
      </c>
      <c r="W4042">
        <v>0.37783359999999999</v>
      </c>
      <c r="X4042">
        <v>0.92064120000000005</v>
      </c>
      <c r="Y4042">
        <v>-0.10867309999999999</v>
      </c>
      <c r="Z4042">
        <v>-1.997987E-2</v>
      </c>
      <c r="AA4042">
        <v>0.9938768</v>
      </c>
      <c r="AB4042">
        <v>38</v>
      </c>
      <c r="AC4042">
        <v>-3.0067000000000199</v>
      </c>
      <c r="AD4042">
        <v>-1.1105962970479999</v>
      </c>
      <c r="AE4042">
        <v>-0.373999999999995</v>
      </c>
      <c r="AF4042">
        <v>-0.346061738571041</v>
      </c>
      <c r="AG4042">
        <v>-1.1105962970479999</v>
      </c>
      <c r="AH4042">
        <v>2.6484874922361201</v>
      </c>
      <c r="AI4042">
        <v>112.57743525914999</v>
      </c>
      <c r="AJ4042">
        <v>97.444316164397605</v>
      </c>
      <c r="AK4042">
        <v>2.8926923200455898</v>
      </c>
      <c r="AL4042">
        <v>67.800445840986299</v>
      </c>
      <c r="AM4042">
        <v>96.0941857014503</v>
      </c>
      <c r="AN4042">
        <v>1.0000000469942301</v>
      </c>
    </row>
    <row r="4043" spans="1:40" x14ac:dyDescent="0.25">
      <c r="A4043" t="str">
        <f>"20190304164725601"</f>
        <v>20190304164725601</v>
      </c>
      <c r="B4043" t="str">
        <f>"1551689245592651"</f>
        <v>1551689245592651</v>
      </c>
      <c r="C4043" t="s">
        <v>40</v>
      </c>
      <c r="D4043">
        <v>4.4027159999999999</v>
      </c>
      <c r="E4043">
        <v>0.50219409999999998</v>
      </c>
      <c r="F4043" t="s">
        <v>42</v>
      </c>
      <c r="G4043">
        <v>-369.30160000000001</v>
      </c>
      <c r="H4043" s="1">
        <v>-6.6167539999999997E-7</v>
      </c>
      <c r="I4043">
        <v>141.04349999999999</v>
      </c>
      <c r="J4043">
        <v>-360.94540000000001</v>
      </c>
      <c r="K4043">
        <v>1.110598</v>
      </c>
      <c r="L4043">
        <v>142.07830000000001</v>
      </c>
      <c r="M4043">
        <v>-0.99986730000000001</v>
      </c>
      <c r="N4043">
        <v>-1.493035E-2</v>
      </c>
      <c r="O4043">
        <v>6.5177119999999897E-3</v>
      </c>
      <c r="P4043">
        <v>-0.92659380000000002</v>
      </c>
      <c r="Q4043">
        <v>0.36438310000000002</v>
      </c>
      <c r="R4043">
        <v>-9.3000589999999994E-2</v>
      </c>
      <c r="S4043">
        <v>-3.3651119999999999</v>
      </c>
      <c r="T4043">
        <v>-0.42752899999999999</v>
      </c>
      <c r="U4043">
        <v>-0.39727780000000001</v>
      </c>
      <c r="V4043">
        <v>-9.8708199999999996E-2</v>
      </c>
      <c r="W4043">
        <v>0.37825389999999998</v>
      </c>
      <c r="X4043">
        <v>0.92042420000000003</v>
      </c>
      <c r="Y4043">
        <v>-0.1225859</v>
      </c>
      <c r="Z4043">
        <v>-9.3771749999999997E-3</v>
      </c>
      <c r="AA4043">
        <v>0.99241360000000001</v>
      </c>
      <c r="AB4043">
        <v>38</v>
      </c>
      <c r="AC4043">
        <v>-8.3561999999999994</v>
      </c>
      <c r="AD4043">
        <v>-1.11059866167539</v>
      </c>
      <c r="AE4043">
        <v>-1.0348000000000099</v>
      </c>
      <c r="AF4043">
        <v>-1.07062124692536</v>
      </c>
      <c r="AG4043">
        <v>-1.11059866167539</v>
      </c>
      <c r="AH4043">
        <v>8.2065044421413997</v>
      </c>
      <c r="AI4043">
        <v>97.643108713462496</v>
      </c>
      <c r="AJ4043">
        <v>97.432833296631202</v>
      </c>
      <c r="AK4043">
        <v>8.3502319968112104</v>
      </c>
      <c r="AL4043">
        <v>67.774433276168907</v>
      </c>
      <c r="AM4043">
        <v>96.121123686562399</v>
      </c>
      <c r="AN4043">
        <v>1.00000001477904</v>
      </c>
    </row>
    <row r="4044" spans="1:40" x14ac:dyDescent="0.25">
      <c r="A4044" t="str">
        <f>"20190304164725622"</f>
        <v>20190304164725622</v>
      </c>
      <c r="B4044" t="str">
        <f>"1551689245613144"</f>
        <v>1551689245613144</v>
      </c>
      <c r="C4044" t="s">
        <v>40</v>
      </c>
      <c r="D4044">
        <v>4.438847</v>
      </c>
      <c r="E4044">
        <v>0.50207469999999998</v>
      </c>
      <c r="F4044" t="s">
        <v>42</v>
      </c>
      <c r="G4044">
        <v>-370.54590000000002</v>
      </c>
      <c r="H4044" s="1">
        <v>-4.3285409999999998E-6</v>
      </c>
      <c r="I4044">
        <v>140.95949999999999</v>
      </c>
      <c r="J4044">
        <v>-361.31169999999997</v>
      </c>
      <c r="K4044">
        <v>1.1106009999999999</v>
      </c>
      <c r="L4044">
        <v>142.08099999999999</v>
      </c>
      <c r="M4044">
        <v>-0.99986529999999996</v>
      </c>
      <c r="N4044">
        <v>-1.492632E-2</v>
      </c>
      <c r="O4044">
        <v>6.8447229999999996E-3</v>
      </c>
      <c r="P4044">
        <v>-0.92642469999999999</v>
      </c>
      <c r="Q4044">
        <v>0.36487520000000001</v>
      </c>
      <c r="R4044">
        <v>-9.2756610000000003E-2</v>
      </c>
      <c r="S4044">
        <v>-3.3509220000000002</v>
      </c>
      <c r="T4044">
        <v>-0.38764330000000002</v>
      </c>
      <c r="U4044">
        <v>-0.3904572</v>
      </c>
      <c r="V4044">
        <v>-9.8765130000000007E-2</v>
      </c>
      <c r="W4044">
        <v>0.3787394</v>
      </c>
      <c r="X4044">
        <v>0.92021839999999999</v>
      </c>
      <c r="Y4044">
        <v>-0.1215965</v>
      </c>
      <c r="Z4044">
        <v>-8.5855940000000002E-3</v>
      </c>
      <c r="AA4044">
        <v>0.99254249999999999</v>
      </c>
      <c r="AB4044">
        <v>38</v>
      </c>
      <c r="AC4044">
        <v>-9.2342000000000404</v>
      </c>
      <c r="AD4044">
        <v>-1.110605328541</v>
      </c>
      <c r="AE4044">
        <v>-1.1215000000000199</v>
      </c>
      <c r="AF4044">
        <v>-1.16803615091823</v>
      </c>
      <c r="AG4044">
        <v>-1.110605328541</v>
      </c>
      <c r="AH4044">
        <v>9.0966355125642693</v>
      </c>
      <c r="AI4044">
        <v>96.904641314433704</v>
      </c>
      <c r="AJ4044">
        <v>97.316918478384494</v>
      </c>
      <c r="AK4044">
        <v>9.2383185858726993</v>
      </c>
      <c r="AL4044">
        <v>67.744379824317406</v>
      </c>
      <c r="AM4044">
        <v>96.125986536878898</v>
      </c>
      <c r="AN4044">
        <v>0.999999993857418</v>
      </c>
    </row>
    <row r="4045" spans="1:40" x14ac:dyDescent="0.25">
      <c r="A4045" t="str">
        <f>"20190304164725645"</f>
        <v>20190304164725645</v>
      </c>
      <c r="B4045" t="str">
        <f>"1551689245632664"</f>
        <v>1551689245632664</v>
      </c>
      <c r="C4045" t="s">
        <v>40</v>
      </c>
      <c r="D4045">
        <v>4.4191799999999999</v>
      </c>
      <c r="E4045">
        <v>0.50204099999999996</v>
      </c>
      <c r="F4045" t="s">
        <v>42</v>
      </c>
      <c r="G4045">
        <v>-371.62700000000001</v>
      </c>
      <c r="H4045" s="1">
        <v>-3.9105969999999996E-6</v>
      </c>
      <c r="I4045">
        <v>140.8801</v>
      </c>
      <c r="J4045">
        <v>-361.6859</v>
      </c>
      <c r="K4045">
        <v>1.1105969999999901</v>
      </c>
      <c r="L4045">
        <v>142.0839</v>
      </c>
      <c r="M4045">
        <v>-0.99986280000000005</v>
      </c>
      <c r="N4045">
        <v>-1.4922110000000001E-2</v>
      </c>
      <c r="O4045">
        <v>7.1790609999999996E-3</v>
      </c>
      <c r="P4045">
        <v>-0.92615650000000005</v>
      </c>
      <c r="Q4045">
        <v>0.36553059999999998</v>
      </c>
      <c r="R4045">
        <v>-9.2853130000000006E-2</v>
      </c>
      <c r="S4045">
        <v>-3.3410030000000002</v>
      </c>
      <c r="T4045">
        <v>-0.35971239999999999</v>
      </c>
      <c r="U4045">
        <v>-0.38891599999999998</v>
      </c>
      <c r="V4045">
        <v>-9.916846E-2</v>
      </c>
      <c r="W4045">
        <v>0.37938709999999998</v>
      </c>
      <c r="X4045">
        <v>0.91990819999999995</v>
      </c>
      <c r="Y4045">
        <v>-0.1219311</v>
      </c>
      <c r="Z4045">
        <v>-8.1006840000000004E-3</v>
      </c>
      <c r="AA4045">
        <v>0.99250550000000004</v>
      </c>
      <c r="AB4045">
        <v>38</v>
      </c>
      <c r="AC4045">
        <v>-9.9410999999999401</v>
      </c>
      <c r="AD4045">
        <v>-1.1106009105969901</v>
      </c>
      <c r="AE4045">
        <v>-1.2038</v>
      </c>
      <c r="AF4045">
        <v>-1.2596502765325599</v>
      </c>
      <c r="AG4045">
        <v>-1.1106009105969901</v>
      </c>
      <c r="AH4045">
        <v>9.8115134768171401</v>
      </c>
      <c r="AI4045">
        <v>96.4058945523375</v>
      </c>
      <c r="AJ4045">
        <v>97.315893481302595</v>
      </c>
      <c r="AK4045">
        <v>9.9541925793884296</v>
      </c>
      <c r="AL4045">
        <v>67.704277213024497</v>
      </c>
      <c r="AM4045">
        <v>96.152870222199894</v>
      </c>
      <c r="AN4045">
        <v>1.0000000257662101</v>
      </c>
    </row>
    <row r="4046" spans="1:40" x14ac:dyDescent="0.25">
      <c r="A4046" t="str">
        <f>"20190304164725670"</f>
        <v>20190304164725670</v>
      </c>
      <c r="B4046" t="str">
        <f>"1551689245662919"</f>
        <v>1551689245662919</v>
      </c>
      <c r="C4046" t="s">
        <v>40</v>
      </c>
      <c r="D4046">
        <v>4.4602000000000004</v>
      </c>
      <c r="E4046">
        <v>0.50145669999999998</v>
      </c>
      <c r="F4046" t="s">
        <v>42</v>
      </c>
      <c r="G4046">
        <v>-372.4742</v>
      </c>
      <c r="H4046" s="1">
        <v>-3.5332220000000001E-6</v>
      </c>
      <c r="I4046">
        <v>140.8278</v>
      </c>
      <c r="J4046">
        <v>-362.11349999999999</v>
      </c>
      <c r="K4046">
        <v>1.1106</v>
      </c>
      <c r="L4046">
        <v>142.0873</v>
      </c>
      <c r="M4046">
        <v>-0.99986019999999998</v>
      </c>
      <c r="N4046">
        <v>-1.491731E-2</v>
      </c>
      <c r="O4046">
        <v>7.5609619999999897E-3</v>
      </c>
      <c r="P4046">
        <v>-0.92611350000000003</v>
      </c>
      <c r="Q4046">
        <v>0.36565940000000002</v>
      </c>
      <c r="R4046">
        <v>-9.2776810000000001E-2</v>
      </c>
      <c r="S4046">
        <v>-3.3358150000000002</v>
      </c>
      <c r="T4046">
        <v>-0.34340500000000002</v>
      </c>
      <c r="U4046">
        <v>-0.38836670000000001</v>
      </c>
      <c r="V4046">
        <v>-9.9445069999999997E-2</v>
      </c>
      <c r="W4046">
        <v>0.37951020000000002</v>
      </c>
      <c r="X4046">
        <v>0.91982750000000002</v>
      </c>
      <c r="Y4046">
        <v>-0.12238889999999999</v>
      </c>
      <c r="Z4046">
        <v>-7.8424140000000007E-3</v>
      </c>
      <c r="AA4046">
        <v>0.99245130000000004</v>
      </c>
      <c r="AB4046">
        <v>38</v>
      </c>
      <c r="AC4046">
        <v>-10.3607</v>
      </c>
      <c r="AD4046">
        <v>-1.1106035332219999</v>
      </c>
      <c r="AE4046">
        <v>-1.2595000000000001</v>
      </c>
      <c r="AF4046">
        <v>-1.3228308952218499</v>
      </c>
      <c r="AG4046">
        <v>-1.1106035332219999</v>
      </c>
      <c r="AH4046">
        <v>10.2349869778164</v>
      </c>
      <c r="AI4046">
        <v>96.142269015957496</v>
      </c>
      <c r="AJ4046">
        <v>97.364423710941693</v>
      </c>
      <c r="AK4046">
        <v>10.3797052087923</v>
      </c>
      <c r="AL4046">
        <v>67.696652714448902</v>
      </c>
      <c r="AM4046">
        <v>96.170437333639498</v>
      </c>
      <c r="AN4046">
        <v>0.99999997180379696</v>
      </c>
    </row>
    <row r="4047" spans="1:40" x14ac:dyDescent="0.25">
      <c r="A4047" t="str">
        <f>"20190304164725692"</f>
        <v>20190304164725692</v>
      </c>
      <c r="B4047" t="str">
        <f>"1551689245683417"</f>
        <v>1551689245683417</v>
      </c>
      <c r="C4047" t="s">
        <v>40</v>
      </c>
      <c r="D4047">
        <v>4.468744</v>
      </c>
      <c r="E4047">
        <v>0.50098359999999997</v>
      </c>
      <c r="F4047" t="s">
        <v>42</v>
      </c>
      <c r="G4047">
        <v>-373.43490000000003</v>
      </c>
      <c r="H4047" s="1">
        <v>-3.103148E-6</v>
      </c>
      <c r="I4047">
        <v>140.7604</v>
      </c>
      <c r="J4047">
        <v>-362.46949999999998</v>
      </c>
      <c r="K4047">
        <v>1.1105969999999901</v>
      </c>
      <c r="L4047">
        <v>142.09030000000001</v>
      </c>
      <c r="M4047">
        <v>-0.99985780000000002</v>
      </c>
      <c r="N4047">
        <v>-1.4913360000000001E-2</v>
      </c>
      <c r="O4047">
        <v>7.8793779999999994E-3</v>
      </c>
      <c r="P4047">
        <v>-0.92606710000000003</v>
      </c>
      <c r="Q4047">
        <v>0.3657958</v>
      </c>
      <c r="R4047">
        <v>-9.2700679999999994E-2</v>
      </c>
      <c r="S4047">
        <v>-3.3291930000000001</v>
      </c>
      <c r="T4047">
        <v>-0.3265865</v>
      </c>
      <c r="U4047">
        <v>-0.39018249999999999</v>
      </c>
      <c r="V4047">
        <v>-9.9663409999999994E-2</v>
      </c>
      <c r="W4047">
        <v>0.37964170000000003</v>
      </c>
      <c r="X4047">
        <v>0.9197497</v>
      </c>
      <c r="Y4047">
        <v>-0.12352440000000001</v>
      </c>
      <c r="Z4047">
        <v>-7.6022549999999996E-3</v>
      </c>
      <c r="AA4047">
        <v>0.99231239999999998</v>
      </c>
      <c r="AB4047">
        <v>38</v>
      </c>
      <c r="AC4047">
        <v>-10.965400000000001</v>
      </c>
      <c r="AD4047">
        <v>-1.11060010314799</v>
      </c>
      <c r="AE4047">
        <v>-1.3299000000000001</v>
      </c>
      <c r="AF4047">
        <v>-1.40209452581736</v>
      </c>
      <c r="AG4047">
        <v>-1.11060010314799</v>
      </c>
      <c r="AH4047">
        <v>10.8449438333122</v>
      </c>
      <c r="AI4047">
        <v>95.799183902245204</v>
      </c>
      <c r="AJ4047">
        <v>97.3666537798793</v>
      </c>
      <c r="AK4047">
        <v>10.991456154492701</v>
      </c>
      <c r="AL4047">
        <v>67.6885109840469</v>
      </c>
      <c r="AM4047">
        <v>96.184399226817703</v>
      </c>
      <c r="AN4047">
        <v>1.0000000631609001</v>
      </c>
    </row>
    <row r="4048" spans="1:40" x14ac:dyDescent="0.25">
      <c r="A4048" t="str">
        <f>"20190304164725712"</f>
        <v>20190304164725712</v>
      </c>
      <c r="B4048" t="str">
        <f>"1551689245702936"</f>
        <v>1551689245702936</v>
      </c>
      <c r="C4048" t="s">
        <v>40</v>
      </c>
      <c r="D4048">
        <v>4.4485890000000001</v>
      </c>
      <c r="E4048">
        <v>0.50075379999999903</v>
      </c>
      <c r="F4048" t="s">
        <v>42</v>
      </c>
      <c r="G4048">
        <v>-374.08359999999999</v>
      </c>
      <c r="H4048" s="1">
        <v>-2.8138259999999999E-6</v>
      </c>
      <c r="I4048">
        <v>140.71879999999999</v>
      </c>
      <c r="J4048">
        <v>-362.82470000000001</v>
      </c>
      <c r="K4048">
        <v>1.1106009999999999</v>
      </c>
      <c r="L4048">
        <v>142.0934</v>
      </c>
      <c r="M4048">
        <v>-0.9998553</v>
      </c>
      <c r="N4048">
        <v>-1.4909250000000001E-2</v>
      </c>
      <c r="O4048">
        <v>8.197256E-3</v>
      </c>
      <c r="P4048">
        <v>-0.92616209999999999</v>
      </c>
      <c r="Q4048">
        <v>0.36561939999999998</v>
      </c>
      <c r="R4048">
        <v>-9.244666E-2</v>
      </c>
      <c r="S4048">
        <v>-3.3258359999999998</v>
      </c>
      <c r="T4048">
        <v>-0.31803680000000001</v>
      </c>
      <c r="U4048">
        <v>-0.3927155</v>
      </c>
      <c r="V4048">
        <v>-9.9704630000000002E-2</v>
      </c>
      <c r="W4048">
        <v>0.37946299999999999</v>
      </c>
      <c r="X4048">
        <v>0.91981889999999999</v>
      </c>
      <c r="Y4048">
        <v>-0.1247267</v>
      </c>
      <c r="Z4048">
        <v>-7.5229499999999996E-3</v>
      </c>
      <c r="AA4048">
        <v>0.99216260000000001</v>
      </c>
      <c r="AB4048">
        <v>38</v>
      </c>
      <c r="AC4048">
        <v>-11.258899999999899</v>
      </c>
      <c r="AD4048">
        <v>-1.1106038138259999</v>
      </c>
      <c r="AE4048">
        <v>-1.37460000000001</v>
      </c>
      <c r="AF4048">
        <v>-1.4529263682533999</v>
      </c>
      <c r="AG4048">
        <v>-1.1106038138259999</v>
      </c>
      <c r="AH4048">
        <v>11.1404446049923</v>
      </c>
      <c r="AI4048">
        <v>95.645574461358194</v>
      </c>
      <c r="AJ4048">
        <v>97.430522477635904</v>
      </c>
      <c r="AK4048">
        <v>11.289550117686399</v>
      </c>
      <c r="AL4048">
        <v>67.699576274481799</v>
      </c>
      <c r="AM4048">
        <v>96.186475365263505</v>
      </c>
      <c r="AN4048">
        <v>0.99999999520482297</v>
      </c>
    </row>
    <row r="4049" spans="1:40" x14ac:dyDescent="0.25">
      <c r="A4049" t="str">
        <f>"20190304164725738"</f>
        <v>20190304164725738</v>
      </c>
      <c r="B4049" t="str">
        <f>"1551689245723433"</f>
        <v>1551689245723433</v>
      </c>
      <c r="C4049" t="s">
        <v>40</v>
      </c>
      <c r="D4049">
        <v>4.4396399999999998</v>
      </c>
      <c r="E4049">
        <v>0.50057600000000002</v>
      </c>
      <c r="F4049" t="s">
        <v>42</v>
      </c>
      <c r="G4049">
        <v>-374.6463</v>
      </c>
      <c r="H4049" s="1">
        <v>-2.5656320000000001E-6</v>
      </c>
      <c r="I4049">
        <v>140.69329999999999</v>
      </c>
      <c r="J4049">
        <v>-363.23059999999998</v>
      </c>
      <c r="K4049">
        <v>1.1106</v>
      </c>
      <c r="L4049">
        <v>142.09710000000001</v>
      </c>
      <c r="M4049">
        <v>-0.99985230000000003</v>
      </c>
      <c r="N4049">
        <v>-1.490465E-2</v>
      </c>
      <c r="O4049">
        <v>8.5601930000000007E-3</v>
      </c>
      <c r="P4049">
        <v>-0.92612629999999996</v>
      </c>
      <c r="Q4049">
        <v>0.36570839999999999</v>
      </c>
      <c r="R4049">
        <v>-9.2453889999999997E-2</v>
      </c>
      <c r="S4049">
        <v>-3.3230590000000002</v>
      </c>
      <c r="T4049">
        <v>-0.31219390000000002</v>
      </c>
      <c r="U4049">
        <v>-0.39353939999999998</v>
      </c>
      <c r="V4049">
        <v>-0.10004830000000001</v>
      </c>
      <c r="W4049">
        <v>0.37954680000000002</v>
      </c>
      <c r="X4049">
        <v>0.91974699999999998</v>
      </c>
      <c r="Y4049">
        <v>-0.12544350000000001</v>
      </c>
      <c r="Z4049">
        <v>-7.4726489999999996E-3</v>
      </c>
      <c r="AA4049">
        <v>0.99207259999999997</v>
      </c>
      <c r="AB4049">
        <v>38</v>
      </c>
      <c r="AC4049">
        <v>-11.415699999999999</v>
      </c>
      <c r="AD4049">
        <v>-1.110602565632</v>
      </c>
      <c r="AE4049">
        <v>-1.4038000000000099</v>
      </c>
      <c r="AF4049">
        <v>-1.4876097916411899</v>
      </c>
      <c r="AG4049">
        <v>-1.110602565632</v>
      </c>
      <c r="AH4049">
        <v>11.297923660241</v>
      </c>
      <c r="AI4049">
        <v>95.566481483533295</v>
      </c>
      <c r="AJ4049">
        <v>97.501046459994299</v>
      </c>
      <c r="AK4049">
        <v>11.449432299621099</v>
      </c>
      <c r="AL4049">
        <v>67.694386525488895</v>
      </c>
      <c r="AM4049">
        <v>96.208114695448899</v>
      </c>
      <c r="AN4049">
        <v>0.99999998986606498</v>
      </c>
    </row>
    <row r="4050" spans="1:40" x14ac:dyDescent="0.25">
      <c r="A4050" t="str">
        <f>"20190304164725757"</f>
        <v>20190304164725757</v>
      </c>
      <c r="B4050" t="str">
        <f>"1551689245742952"</f>
        <v>1551689245742952</v>
      </c>
      <c r="C4050" t="s">
        <v>40</v>
      </c>
      <c r="D4050">
        <v>4.677378</v>
      </c>
      <c r="E4050">
        <v>0.50032869999999996</v>
      </c>
      <c r="F4050" t="s">
        <v>42</v>
      </c>
      <c r="G4050">
        <v>-375.22969999999998</v>
      </c>
      <c r="H4050" s="1">
        <v>-2.3089710000000001E-6</v>
      </c>
      <c r="I4050">
        <v>140.66929999999999</v>
      </c>
      <c r="J4050">
        <v>-363.57589999999999</v>
      </c>
      <c r="K4050">
        <v>1.1105969999999901</v>
      </c>
      <c r="L4050">
        <v>142.1003</v>
      </c>
      <c r="M4050">
        <v>-0.99984969999999995</v>
      </c>
      <c r="N4050">
        <v>-1.49006E-2</v>
      </c>
      <c r="O4050">
        <v>8.869544E-3</v>
      </c>
      <c r="P4050">
        <v>-0.92620440000000004</v>
      </c>
      <c r="Q4050">
        <v>0.3655042</v>
      </c>
      <c r="R4050">
        <v>-9.2477920000000005E-2</v>
      </c>
      <c r="S4050">
        <v>-3.3211979999999999</v>
      </c>
      <c r="T4050">
        <v>-0.30740149999999999</v>
      </c>
      <c r="U4050">
        <v>-0.39515689999999998</v>
      </c>
      <c r="V4050">
        <v>-0.10035959999999999</v>
      </c>
      <c r="W4050">
        <v>0.37933990000000001</v>
      </c>
      <c r="X4050">
        <v>0.91979840000000002</v>
      </c>
      <c r="Y4050">
        <v>-0.12630479999999999</v>
      </c>
      <c r="Z4050">
        <v>-7.444038E-3</v>
      </c>
      <c r="AA4050">
        <v>0.99196359999999995</v>
      </c>
      <c r="AB4050">
        <v>38</v>
      </c>
      <c r="AC4050">
        <v>-11.653799999999899</v>
      </c>
      <c r="AD4050">
        <v>-1.11059930897099</v>
      </c>
      <c r="AE4050">
        <v>-1.43100000000001</v>
      </c>
      <c r="AF4050">
        <v>-1.52071315244997</v>
      </c>
      <c r="AG4050">
        <v>-1.11059930897099</v>
      </c>
      <c r="AH4050">
        <v>11.5374217854612</v>
      </c>
      <c r="AI4050">
        <v>95.451522558360097</v>
      </c>
      <c r="AJ4050">
        <v>97.508702316326605</v>
      </c>
      <c r="AK4050">
        <v>11.690085575938101</v>
      </c>
      <c r="AL4050">
        <v>67.707198350506403</v>
      </c>
      <c r="AM4050">
        <v>96.226934439099097</v>
      </c>
      <c r="AN4050">
        <v>0.99999995284336296</v>
      </c>
    </row>
    <row r="4051" spans="1:40" x14ac:dyDescent="0.25">
      <c r="A4051" t="str">
        <f>"20190304164725781"</f>
        <v>20190304164725781</v>
      </c>
      <c r="B4051" t="str">
        <f>"1551689245773208"</f>
        <v>1551689245773208</v>
      </c>
      <c r="C4051" t="s">
        <v>40</v>
      </c>
      <c r="D4051">
        <v>4.4494749999999996</v>
      </c>
      <c r="E4051">
        <v>0.49989159999999999</v>
      </c>
      <c r="F4051" t="s">
        <v>42</v>
      </c>
      <c r="G4051">
        <v>-375.71179999999998</v>
      </c>
      <c r="H4051" s="1">
        <v>-2.0974710000000001E-6</v>
      </c>
      <c r="I4051">
        <v>140.65170000000001</v>
      </c>
      <c r="J4051">
        <v>-363.97710000000001</v>
      </c>
      <c r="K4051">
        <v>1.110603</v>
      </c>
      <c r="L4051">
        <v>142.10429999999999</v>
      </c>
      <c r="M4051">
        <v>-0.99984649999999997</v>
      </c>
      <c r="N4051">
        <v>-1.489599E-2</v>
      </c>
      <c r="O4051">
        <v>9.2291999999999999E-3</v>
      </c>
      <c r="P4051">
        <v>-0.92618599999999995</v>
      </c>
      <c r="Q4051">
        <v>0.36548190000000003</v>
      </c>
      <c r="R4051">
        <v>-9.2748570000000002E-2</v>
      </c>
      <c r="S4051">
        <v>-3.319366</v>
      </c>
      <c r="T4051">
        <v>-0.30376760000000003</v>
      </c>
      <c r="U4051">
        <v>-0.39619450000000001</v>
      </c>
      <c r="V4051">
        <v>-0.1009635</v>
      </c>
      <c r="W4051">
        <v>0.3793125</v>
      </c>
      <c r="X4051">
        <v>0.91974370000000005</v>
      </c>
      <c r="Y4051">
        <v>-0.1270406</v>
      </c>
      <c r="Z4051">
        <v>-7.4355710000000002E-3</v>
      </c>
      <c r="AA4051">
        <v>0.99186960000000002</v>
      </c>
      <c r="AB4051">
        <v>38</v>
      </c>
      <c r="AC4051">
        <v>-11.734699999999901</v>
      </c>
      <c r="AD4051">
        <v>-1.110605097471</v>
      </c>
      <c r="AE4051">
        <v>-1.4525999999999799</v>
      </c>
      <c r="AF4051">
        <v>-1.54720247991652</v>
      </c>
      <c r="AG4051">
        <v>-1.110605097471</v>
      </c>
      <c r="AH4051">
        <v>11.618294745402</v>
      </c>
      <c r="AI4051">
        <v>95.4128751194052</v>
      </c>
      <c r="AJ4051">
        <v>97.585420069031301</v>
      </c>
      <c r="AK4051">
        <v>11.7733619662111</v>
      </c>
      <c r="AL4051">
        <v>67.708897046732901</v>
      </c>
      <c r="AM4051">
        <v>96.264476750560405</v>
      </c>
      <c r="AN4051">
        <v>1.00000003733909</v>
      </c>
    </row>
    <row r="4052" spans="1:40" x14ac:dyDescent="0.25">
      <c r="A4052" t="str">
        <f>"20190304164725802"</f>
        <v>20190304164725802</v>
      </c>
      <c r="B4052" t="str">
        <f>"1551689245792728"</f>
        <v>1551689245792728</v>
      </c>
      <c r="C4052" t="s">
        <v>40</v>
      </c>
      <c r="D4052">
        <v>4.4500169999999999</v>
      </c>
      <c r="E4052">
        <v>0.4995482</v>
      </c>
      <c r="F4052" t="s">
        <v>42</v>
      </c>
      <c r="G4052">
        <v>-376.25529999999998</v>
      </c>
      <c r="H4052" s="1">
        <v>-1.8564919999999999E-6</v>
      </c>
      <c r="I4052">
        <v>140.6224</v>
      </c>
      <c r="J4052">
        <v>-364.32220000000001</v>
      </c>
      <c r="K4052">
        <v>1.110606</v>
      </c>
      <c r="L4052">
        <v>142.10769999999999</v>
      </c>
      <c r="M4052">
        <v>-0.9998437</v>
      </c>
      <c r="N4052">
        <v>-1.4891969999999999E-2</v>
      </c>
      <c r="O4052">
        <v>9.5382520000000005E-3</v>
      </c>
      <c r="P4052">
        <v>-0.92619810000000002</v>
      </c>
      <c r="Q4052">
        <v>0.36546729999999999</v>
      </c>
      <c r="R4052">
        <v>-9.2689060000000004E-2</v>
      </c>
      <c r="S4052">
        <v>-3.317383</v>
      </c>
      <c r="T4052">
        <v>-0.30006909999999998</v>
      </c>
      <c r="U4052">
        <v>-0.4003601</v>
      </c>
      <c r="V4052">
        <v>-0.10119060000000001</v>
      </c>
      <c r="W4052">
        <v>0.37929400000000002</v>
      </c>
      <c r="X4052">
        <v>0.9197263</v>
      </c>
      <c r="Y4052">
        <v>-0.12864999999999999</v>
      </c>
      <c r="Z4052">
        <v>-7.4661469999999898E-3</v>
      </c>
      <c r="AA4052">
        <v>0.99166200000000004</v>
      </c>
      <c r="AB4052">
        <v>38</v>
      </c>
      <c r="AC4052">
        <v>-11.9330999999999</v>
      </c>
      <c r="AD4052">
        <v>-1.1106078564919999</v>
      </c>
      <c r="AE4052">
        <v>-1.4852999999999901</v>
      </c>
      <c r="AF4052">
        <v>-1.58554161412586</v>
      </c>
      <c r="AG4052">
        <v>-1.1106078564919999</v>
      </c>
      <c r="AH4052">
        <v>11.8175868044307</v>
      </c>
      <c r="AI4052">
        <v>95.321440243212706</v>
      </c>
      <c r="AJ4052">
        <v>97.641623991081204</v>
      </c>
      <c r="AK4052">
        <v>11.975088722062999</v>
      </c>
      <c r="AL4052">
        <v>67.710041077078401</v>
      </c>
      <c r="AM4052">
        <v>96.278573039144007</v>
      </c>
      <c r="AN4052">
        <v>0.99999997143802399</v>
      </c>
    </row>
    <row r="4053" spans="1:40" x14ac:dyDescent="0.25">
      <c r="A4053" t="str">
        <f>"20190304164725825"</f>
        <v>20190304164725825</v>
      </c>
      <c r="B4053" t="str">
        <f>"1551689245813224"</f>
        <v>1551689245813224</v>
      </c>
      <c r="C4053" t="s">
        <v>40</v>
      </c>
      <c r="D4053">
        <v>4.4550090000000004</v>
      </c>
      <c r="E4053">
        <v>0.49921739999999998</v>
      </c>
      <c r="F4053" t="s">
        <v>42</v>
      </c>
      <c r="G4053">
        <v>-376.64640000000003</v>
      </c>
      <c r="H4053" s="1">
        <v>-1.6867150000000001E-6</v>
      </c>
      <c r="I4053">
        <v>140.61490000000001</v>
      </c>
      <c r="J4053">
        <v>-364.70670000000001</v>
      </c>
      <c r="K4053">
        <v>1.1106</v>
      </c>
      <c r="L4053">
        <v>142.11179999999999</v>
      </c>
      <c r="M4053">
        <v>-0.99984030000000002</v>
      </c>
      <c r="N4053">
        <v>-1.4887589999999999E-2</v>
      </c>
      <c r="O4053">
        <v>9.8830040000000008E-3</v>
      </c>
      <c r="P4053">
        <v>-0.92615570000000003</v>
      </c>
      <c r="Q4053">
        <v>0.36545250000000001</v>
      </c>
      <c r="R4053">
        <v>-9.3167479999999997E-2</v>
      </c>
      <c r="S4053">
        <v>-3.3167719999999998</v>
      </c>
      <c r="T4053">
        <v>-0.29889460000000001</v>
      </c>
      <c r="U4053">
        <v>-0.40174870000000001</v>
      </c>
      <c r="V4053">
        <v>-0.1019883</v>
      </c>
      <c r="W4053">
        <v>0.37927460000000002</v>
      </c>
      <c r="X4053">
        <v>0.91964619999999997</v>
      </c>
      <c r="Y4053">
        <v>-0.129422699999999</v>
      </c>
      <c r="Z4053">
        <v>-7.5072580000000002E-3</v>
      </c>
      <c r="AA4053">
        <v>0.99156109999999997</v>
      </c>
      <c r="AB4053">
        <v>37</v>
      </c>
      <c r="AC4053">
        <v>-11.9397</v>
      </c>
      <c r="AD4053">
        <v>-1.1106016867149999</v>
      </c>
      <c r="AE4053">
        <v>-1.4968999999999799</v>
      </c>
      <c r="AF4053">
        <v>-1.6012004407459901</v>
      </c>
      <c r="AG4053">
        <v>-1.1106016867149999</v>
      </c>
      <c r="AH4053">
        <v>11.8236033851766</v>
      </c>
      <c r="AI4053">
        <v>95.317839187682097</v>
      </c>
      <c r="AJ4053">
        <v>97.712308707391301</v>
      </c>
      <c r="AK4053">
        <v>11.9831079427642</v>
      </c>
      <c r="AL4053">
        <v>67.711242679516602</v>
      </c>
      <c r="AM4053">
        <v>96.328214671955394</v>
      </c>
      <c r="AN4053">
        <v>0.999999984358244</v>
      </c>
    </row>
    <row r="4054" spans="1:40" x14ac:dyDescent="0.25">
      <c r="A4054" t="str">
        <f>"20190304164725850"</f>
        <v>20190304164725850</v>
      </c>
      <c r="B4054" t="str">
        <f>"1551689245843480"</f>
        <v>1551689245843480</v>
      </c>
      <c r="C4054" t="s">
        <v>40</v>
      </c>
      <c r="D4054">
        <v>4.6926779999999999</v>
      </c>
      <c r="E4054">
        <v>0.498811</v>
      </c>
      <c r="F4054" t="s">
        <v>42</v>
      </c>
      <c r="G4054">
        <v>-377.06819999999999</v>
      </c>
      <c r="H4054" s="1">
        <v>-1.5009319999999999E-6</v>
      </c>
      <c r="I4054">
        <v>140.5967</v>
      </c>
      <c r="J4054">
        <v>-365.11669999999998</v>
      </c>
      <c r="K4054">
        <v>1.110606</v>
      </c>
      <c r="L4054">
        <v>142.11609999999999</v>
      </c>
      <c r="M4054">
        <v>-0.99983670000000002</v>
      </c>
      <c r="N4054">
        <v>-1.4882919999999999E-2</v>
      </c>
      <c r="O4054">
        <v>1.0250820000000001E-2</v>
      </c>
      <c r="P4054">
        <v>-0.92590340000000004</v>
      </c>
      <c r="Q4054">
        <v>0.36600700000000003</v>
      </c>
      <c r="R4054">
        <v>-9.3497919999999998E-2</v>
      </c>
      <c r="S4054">
        <v>-3.3158259999999999</v>
      </c>
      <c r="T4054">
        <v>-0.2979057</v>
      </c>
      <c r="U4054">
        <v>-0.40637210000000001</v>
      </c>
      <c r="V4054">
        <v>-0.1026567</v>
      </c>
      <c r="W4054">
        <v>0.37982080000000001</v>
      </c>
      <c r="X4054">
        <v>0.91934640000000001</v>
      </c>
      <c r="Y4054">
        <v>-0.13117789999999999</v>
      </c>
      <c r="Z4054">
        <v>-7.6053400000000004E-3</v>
      </c>
      <c r="AA4054">
        <v>0.99132969999999998</v>
      </c>
      <c r="AB4054">
        <v>37</v>
      </c>
      <c r="AC4054">
        <v>-11.951499999999999</v>
      </c>
      <c r="AD4054">
        <v>-1.110607500932</v>
      </c>
      <c r="AE4054">
        <v>-1.5193999999999901</v>
      </c>
      <c r="AF4054">
        <v>-1.62801166119612</v>
      </c>
      <c r="AG4054">
        <v>-1.110607500932</v>
      </c>
      <c r="AH4054">
        <v>11.834724388716999</v>
      </c>
      <c r="AI4054">
        <v>95.311385024104794</v>
      </c>
      <c r="AJ4054">
        <v>97.832578606672399</v>
      </c>
      <c r="AK4054">
        <v>11.9976902921775</v>
      </c>
      <c r="AL4054">
        <v>67.677417445128896</v>
      </c>
      <c r="AM4054">
        <v>96.371408079653804</v>
      </c>
      <c r="AN4054">
        <v>1.00000002068024</v>
      </c>
    </row>
    <row r="4055" spans="1:40" x14ac:dyDescent="0.25">
      <c r="A4055" t="str">
        <f>"20190304164725872"</f>
        <v>20190304164725872</v>
      </c>
      <c r="B4055" t="str">
        <f>"1551689245863000"</f>
        <v>1551689245863000</v>
      </c>
      <c r="C4055" t="s">
        <v>40</v>
      </c>
      <c r="D4055">
        <v>4.4342839999999999</v>
      </c>
      <c r="E4055">
        <v>0.49855569999999999</v>
      </c>
      <c r="F4055" t="s">
        <v>42</v>
      </c>
      <c r="G4055">
        <v>-377.67869999999999</v>
      </c>
      <c r="H4055" s="1">
        <v>-1.2293780000000001E-6</v>
      </c>
      <c r="I4055">
        <v>140.56049999999999</v>
      </c>
      <c r="J4055">
        <v>-365.4948</v>
      </c>
      <c r="K4055">
        <v>1.1106100000000001</v>
      </c>
      <c r="L4055">
        <v>142.12039999999999</v>
      </c>
      <c r="M4055">
        <v>-0.99983319999999998</v>
      </c>
      <c r="N4055">
        <v>-1.487863E-2</v>
      </c>
      <c r="O4055">
        <v>1.059009E-2</v>
      </c>
      <c r="P4055">
        <v>-0.92567650000000001</v>
      </c>
      <c r="Q4055">
        <v>0.3664463</v>
      </c>
      <c r="R4055">
        <v>-9.402257E-2</v>
      </c>
      <c r="S4055">
        <v>-3.3144230000000001</v>
      </c>
      <c r="T4055">
        <v>-0.2930275</v>
      </c>
      <c r="U4055">
        <v>-0.41043089999999999</v>
      </c>
      <c r="V4055">
        <v>-0.103493</v>
      </c>
      <c r="W4055">
        <v>0.38025249999999999</v>
      </c>
      <c r="X4055">
        <v>0.9190741</v>
      </c>
      <c r="Y4055">
        <v>-0.13277159999999999</v>
      </c>
      <c r="Z4055">
        <v>-7.6036869999999996E-3</v>
      </c>
      <c r="AA4055">
        <v>0.99111749999999998</v>
      </c>
      <c r="AB4055">
        <v>37</v>
      </c>
      <c r="AC4055">
        <v>-12.1838999999999</v>
      </c>
      <c r="AD4055">
        <v>-1.1106112293779999</v>
      </c>
      <c r="AE4055">
        <v>-1.5598999999999901</v>
      </c>
      <c r="AF4055">
        <v>-1.6751608679949199</v>
      </c>
      <c r="AG4055">
        <v>-1.1106112293779999</v>
      </c>
      <c r="AH4055">
        <v>12.068038490465399</v>
      </c>
      <c r="AI4055">
        <v>95.208410471764296</v>
      </c>
      <c r="AJ4055">
        <v>97.902711637686707</v>
      </c>
      <c r="AK4055">
        <v>12.234262308935399</v>
      </c>
      <c r="AL4055">
        <v>67.650675637820697</v>
      </c>
      <c r="AM4055">
        <v>96.424768218062198</v>
      </c>
      <c r="AN4055">
        <v>0.99999998304802995</v>
      </c>
    </row>
    <row r="4056" spans="1:40" x14ac:dyDescent="0.25">
      <c r="A4056" t="str">
        <f>"20190304164725893"</f>
        <v>20190304164725893</v>
      </c>
      <c r="B4056" t="str">
        <f>"1551689245883497"</f>
        <v>1551689245883497</v>
      </c>
      <c r="C4056" t="s">
        <v>40</v>
      </c>
      <c r="D4056">
        <v>4.4168880000000001</v>
      </c>
      <c r="E4056">
        <v>0.4982606</v>
      </c>
      <c r="F4056" t="s">
        <v>42</v>
      </c>
      <c r="G4056">
        <v>-378.25659999999999</v>
      </c>
      <c r="H4056" s="1">
        <v>-9.7192180000000005E-7</v>
      </c>
      <c r="I4056">
        <v>140.52449999999999</v>
      </c>
      <c r="J4056">
        <v>-365.84480000000002</v>
      </c>
      <c r="K4056">
        <v>1.110609</v>
      </c>
      <c r="L4056">
        <v>142.12440000000001</v>
      </c>
      <c r="M4056">
        <v>-0.99983</v>
      </c>
      <c r="N4056">
        <v>-1.4874800000000001E-2</v>
      </c>
      <c r="O4056">
        <v>1.090415E-2</v>
      </c>
      <c r="P4056">
        <v>-0.92561439999999995</v>
      </c>
      <c r="Q4056">
        <v>0.36654540000000002</v>
      </c>
      <c r="R4056">
        <v>-9.4250490000000006E-2</v>
      </c>
      <c r="S4056">
        <v>-3.312897</v>
      </c>
      <c r="T4056">
        <v>-0.2883116</v>
      </c>
      <c r="U4056">
        <v>-0.41426089999999999</v>
      </c>
      <c r="V4056">
        <v>-0.10401100000000001</v>
      </c>
      <c r="W4056">
        <v>0.38034689999999999</v>
      </c>
      <c r="X4056">
        <v>0.91897660000000003</v>
      </c>
      <c r="Y4056">
        <v>-0.1342777</v>
      </c>
      <c r="Z4056">
        <v>-7.5965210000000002E-3</v>
      </c>
      <c r="AA4056">
        <v>0.99091459999999998</v>
      </c>
      <c r="AB4056">
        <v>37</v>
      </c>
      <c r="AC4056">
        <v>-12.4117999999999</v>
      </c>
      <c r="AD4056">
        <v>-1.1106099719218001</v>
      </c>
      <c r="AE4056">
        <v>-1.5999000000000101</v>
      </c>
      <c r="AF4056">
        <v>-1.7216009015374301</v>
      </c>
      <c r="AG4056">
        <v>-1.1106099719218001</v>
      </c>
      <c r="AH4056">
        <v>12.296767094619399</v>
      </c>
      <c r="AI4056">
        <v>95.111212084540597</v>
      </c>
      <c r="AJ4056">
        <v>97.969854918988602</v>
      </c>
      <c r="AK4056">
        <v>12.4662682930066</v>
      </c>
      <c r="AL4056">
        <v>67.644828422484693</v>
      </c>
      <c r="AM4056">
        <v>96.457333628862401</v>
      </c>
      <c r="AN4056">
        <v>1.0000000219040801</v>
      </c>
    </row>
    <row r="4057" spans="1:40" x14ac:dyDescent="0.25">
      <c r="A4057" t="str">
        <f>"20190304164725915"</f>
        <v>20190304164725915</v>
      </c>
      <c r="B4057" t="str">
        <f>"1551689245903016"</f>
        <v>1551689245903016</v>
      </c>
      <c r="C4057" t="s">
        <v>40</v>
      </c>
      <c r="D4057">
        <v>4.6544299999999996</v>
      </c>
      <c r="E4057">
        <v>0.49798949999999997</v>
      </c>
      <c r="F4057" t="s">
        <v>42</v>
      </c>
      <c r="G4057">
        <v>-378.63040000000001</v>
      </c>
      <c r="H4057" s="1">
        <v>-8.0785659999999898E-7</v>
      </c>
      <c r="I4057">
        <v>140.51060000000001</v>
      </c>
      <c r="J4057">
        <v>-366.20499999999998</v>
      </c>
      <c r="K4057">
        <v>1.110616</v>
      </c>
      <c r="L4057">
        <v>142.12860000000001</v>
      </c>
      <c r="M4057">
        <v>-0.9998264</v>
      </c>
      <c r="N4057">
        <v>-1.487075E-2</v>
      </c>
      <c r="O4057">
        <v>1.1224980000000001E-2</v>
      </c>
      <c r="P4057">
        <v>-0.92571800000000004</v>
      </c>
      <c r="Q4057">
        <v>0.3662223</v>
      </c>
      <c r="R4057">
        <v>-9.4485299999999994E-2</v>
      </c>
      <c r="S4057">
        <v>-3.3124690000000001</v>
      </c>
      <c r="T4057">
        <v>-0.28773710000000002</v>
      </c>
      <c r="U4057">
        <v>-0.41807559999999999</v>
      </c>
      <c r="V4057">
        <v>-0.1045454</v>
      </c>
      <c r="W4057">
        <v>0.380021</v>
      </c>
      <c r="X4057">
        <v>0.91905079999999995</v>
      </c>
      <c r="Y4057">
        <v>-0.13572979999999901</v>
      </c>
      <c r="Z4057">
        <v>-7.6798789999999997E-3</v>
      </c>
      <c r="AA4057">
        <v>0.99071609999999999</v>
      </c>
      <c r="AB4057">
        <v>37</v>
      </c>
      <c r="AC4057">
        <v>-12.4254</v>
      </c>
      <c r="AD4057">
        <v>-1.1106168078566001</v>
      </c>
      <c r="AE4057">
        <v>-1.6179999999999899</v>
      </c>
      <c r="AF4057">
        <v>-1.74368978381425</v>
      </c>
      <c r="AG4057">
        <v>-1.1106168078566001</v>
      </c>
      <c r="AH4057">
        <v>12.3097467413891</v>
      </c>
      <c r="AI4057">
        <v>95.1047276461519</v>
      </c>
      <c r="AJ4057">
        <v>98.062374623492801</v>
      </c>
      <c r="AK4057">
        <v>12.482138782805301</v>
      </c>
      <c r="AL4057">
        <v>67.665017420015701</v>
      </c>
      <c r="AM4057">
        <v>96.489708992555293</v>
      </c>
      <c r="AN4057">
        <v>1.00000003704139</v>
      </c>
    </row>
    <row r="4058" spans="1:40" x14ac:dyDescent="0.25">
      <c r="A4058" t="str">
        <f>"20190304164725936"</f>
        <v>20190304164725936</v>
      </c>
      <c r="B4058" t="str">
        <f>"1551689245923514"</f>
        <v>1551689245923514</v>
      </c>
      <c r="C4058" t="s">
        <v>40</v>
      </c>
      <c r="D4058">
        <v>4.440455</v>
      </c>
      <c r="E4058">
        <v>0.49789990000000001</v>
      </c>
      <c r="F4058" t="s">
        <v>42</v>
      </c>
      <c r="G4058">
        <v>-378.98869999999999</v>
      </c>
      <c r="H4058" s="1">
        <v>-6.5235900000000002E-7</v>
      </c>
      <c r="I4058">
        <v>140.50399999999999</v>
      </c>
      <c r="J4058">
        <v>-366.54829999999998</v>
      </c>
      <c r="K4058">
        <v>1.1106240000000001</v>
      </c>
      <c r="L4058">
        <v>142.1328</v>
      </c>
      <c r="M4058">
        <v>-0.99982320000000002</v>
      </c>
      <c r="N4058">
        <v>-1.4866880000000001E-2</v>
      </c>
      <c r="O4058">
        <v>1.152329E-2</v>
      </c>
      <c r="P4058">
        <v>-0.92560600000000004</v>
      </c>
      <c r="Q4058">
        <v>0.36647259999999998</v>
      </c>
      <c r="R4058">
        <v>-9.4611849999999997E-2</v>
      </c>
      <c r="S4058">
        <v>-3.3115839999999999</v>
      </c>
      <c r="T4058">
        <v>-0.2877014</v>
      </c>
      <c r="U4058">
        <v>-0.42083739999999997</v>
      </c>
      <c r="V4058">
        <v>-0.10495119999999999</v>
      </c>
      <c r="W4058">
        <v>0.38026480000000001</v>
      </c>
      <c r="X4058">
        <v>0.91890360000000004</v>
      </c>
      <c r="Y4058">
        <v>-0.1368656</v>
      </c>
      <c r="Z4058">
        <v>-7.7592340000000003E-3</v>
      </c>
      <c r="AA4058">
        <v>0.99055919999999997</v>
      </c>
      <c r="AB4058">
        <v>37</v>
      </c>
      <c r="AC4058">
        <v>-12.4404</v>
      </c>
      <c r="AD4058">
        <v>-1.110624652359</v>
      </c>
      <c r="AE4058">
        <v>-1.62880000000001</v>
      </c>
      <c r="AF4058">
        <v>-1.7582844022827</v>
      </c>
      <c r="AG4058">
        <v>-1.110624652359</v>
      </c>
      <c r="AH4058">
        <v>12.3242322054847</v>
      </c>
      <c r="AI4058">
        <v>95.098075978437095</v>
      </c>
      <c r="AJ4058">
        <v>98.119531126652802</v>
      </c>
      <c r="AK4058">
        <v>12.4984699308533</v>
      </c>
      <c r="AL4058">
        <v>67.649912865006002</v>
      </c>
      <c r="AM4058">
        <v>96.515717716215605</v>
      </c>
      <c r="AN4058">
        <v>0.99999994929671798</v>
      </c>
    </row>
    <row r="4059" spans="1:40" x14ac:dyDescent="0.25">
      <c r="A4059" t="str">
        <f>"20190304164725959"</f>
        <v>20190304164725959</v>
      </c>
      <c r="B4059" t="str">
        <f>"1551689245952792"</f>
        <v>1551689245952792</v>
      </c>
      <c r="C4059" t="s">
        <v>40</v>
      </c>
      <c r="D4059">
        <v>4.2829930000000003</v>
      </c>
      <c r="E4059">
        <v>0.41831819999999997</v>
      </c>
      <c r="F4059" t="s">
        <v>42</v>
      </c>
      <c r="G4059">
        <v>-379.42070000000001</v>
      </c>
      <c r="H4059" s="1">
        <v>-4.6281990000000002E-7</v>
      </c>
      <c r="I4059">
        <v>140.4881</v>
      </c>
      <c r="J4059">
        <v>-366.93709999999999</v>
      </c>
      <c r="K4059">
        <v>1.1106309999999999</v>
      </c>
      <c r="L4059">
        <v>142.13759999999999</v>
      </c>
      <c r="M4059">
        <v>-0.99981940000000002</v>
      </c>
      <c r="N4059">
        <v>-1.4862439999999999E-2</v>
      </c>
      <c r="O4059">
        <v>1.1851169999999999E-2</v>
      </c>
      <c r="P4059">
        <v>-0.92547869999999999</v>
      </c>
      <c r="Q4059">
        <v>0.36680190000000001</v>
      </c>
      <c r="R4059">
        <v>-9.4582239999999998E-2</v>
      </c>
      <c r="S4059">
        <v>-3.3109739999999999</v>
      </c>
      <c r="T4059">
        <v>-0.28567029999999999</v>
      </c>
      <c r="U4059">
        <v>-0.42301939999999999</v>
      </c>
      <c r="V4059">
        <v>-0.10523109999999999</v>
      </c>
      <c r="W4059">
        <v>0.38058589999999998</v>
      </c>
      <c r="X4059">
        <v>0.91873870000000002</v>
      </c>
      <c r="Y4059">
        <v>-0.1378586</v>
      </c>
      <c r="Z4059">
        <v>-7.7846879999999997E-3</v>
      </c>
      <c r="AA4059">
        <v>0.99042140000000001</v>
      </c>
      <c r="AB4059">
        <v>37</v>
      </c>
      <c r="AC4059">
        <v>-12.483599999999999</v>
      </c>
      <c r="AD4059">
        <v>-1.1106314628199001</v>
      </c>
      <c r="AE4059">
        <v>-1.64949999999998</v>
      </c>
      <c r="AF4059">
        <v>-1.78347148290448</v>
      </c>
      <c r="AG4059">
        <v>-1.1106314628199001</v>
      </c>
      <c r="AH4059">
        <v>12.366965512964301</v>
      </c>
      <c r="AI4059">
        <v>95.079486834826994</v>
      </c>
      <c r="AJ4059">
        <v>98.206193118723803</v>
      </c>
      <c r="AK4059">
        <v>12.5441663244469</v>
      </c>
      <c r="AL4059">
        <v>67.630020754531699</v>
      </c>
      <c r="AM4059">
        <v>96.534107238199098</v>
      </c>
      <c r="AN4059">
        <v>1.0000000052818501</v>
      </c>
    </row>
    <row r="4060" spans="1:40" x14ac:dyDescent="0.25">
      <c r="A4060" t="str">
        <f>"20190304164725981"</f>
        <v>20190304164725981</v>
      </c>
      <c r="B4060" t="str">
        <f>"1551689245972819"</f>
        <v>1551689245972819</v>
      </c>
      <c r="C4060" t="s">
        <v>40</v>
      </c>
      <c r="D4060">
        <v>4.2278159999999998</v>
      </c>
      <c r="E4060">
        <v>0.41337230000000003</v>
      </c>
      <c r="F4060" t="s">
        <v>51</v>
      </c>
      <c r="G4060">
        <v>-422.44600000000003</v>
      </c>
      <c r="H4060" s="1">
        <v>-3.363519E-6</v>
      </c>
      <c r="I4060">
        <v>123.9465</v>
      </c>
      <c r="J4060">
        <v>-367.31259999999997</v>
      </c>
      <c r="K4060">
        <v>1.110641</v>
      </c>
      <c r="L4060">
        <v>142.14230000000001</v>
      </c>
      <c r="M4060">
        <v>-0.99981580000000003</v>
      </c>
      <c r="N4060">
        <v>-1.4858150000000001E-2</v>
      </c>
      <c r="O4060">
        <v>1.215108E-2</v>
      </c>
      <c r="P4060">
        <v>-0.92569089999999998</v>
      </c>
      <c r="Q4060">
        <v>0.36646319999999999</v>
      </c>
      <c r="R4060">
        <v>-9.3815469999999998E-2</v>
      </c>
      <c r="S4060">
        <v>-3.1607669999999999</v>
      </c>
      <c r="T4060">
        <v>-6.3241240000000004E-2</v>
      </c>
      <c r="U4060">
        <v>-1.035828</v>
      </c>
      <c r="V4060">
        <v>-0.1047551</v>
      </c>
      <c r="W4060">
        <v>0.38024239999999998</v>
      </c>
      <c r="X4060">
        <v>0.91893530000000001</v>
      </c>
      <c r="Y4060">
        <v>-0.32283679999999998</v>
      </c>
      <c r="Z4060">
        <v>-5.6682690000000001E-3</v>
      </c>
      <c r="AA4060">
        <v>0.94643770000000005</v>
      </c>
      <c r="AB4060">
        <v>37</v>
      </c>
      <c r="AC4060">
        <v>-55.133400000000002</v>
      </c>
      <c r="AD4060">
        <v>-1.110644363519</v>
      </c>
      <c r="AE4060">
        <v>-18.195799999999998</v>
      </c>
      <c r="AF4060">
        <v>-18.8575597668518</v>
      </c>
      <c r="AG4060">
        <v>-1.110644363519</v>
      </c>
      <c r="AH4060">
        <v>54.8881195214448</v>
      </c>
      <c r="AI4060">
        <v>91.096322701920201</v>
      </c>
      <c r="AJ4060">
        <v>108.96085578800999</v>
      </c>
      <c r="AK4060">
        <v>58.047797166326802</v>
      </c>
      <c r="AL4060">
        <v>67.651301715036894</v>
      </c>
      <c r="AM4060">
        <v>96.503425151421595</v>
      </c>
      <c r="AN4060">
        <v>0.99999999965993003</v>
      </c>
    </row>
    <row r="4061" spans="1:40" x14ac:dyDescent="0.25">
      <c r="A4061" t="str">
        <f>"20190304164726003"</f>
        <v>20190304164726003</v>
      </c>
      <c r="B4061" t="str">
        <f>"1551689245993316"</f>
        <v>1551689245993316</v>
      </c>
      <c r="C4061" t="s">
        <v>40</v>
      </c>
      <c r="D4061">
        <v>4.2228919999999999</v>
      </c>
      <c r="E4061">
        <v>0.4121225</v>
      </c>
      <c r="F4061" t="s">
        <v>51</v>
      </c>
      <c r="G4061">
        <v>-407.23540000000003</v>
      </c>
      <c r="H4061">
        <v>7.998711E-2</v>
      </c>
      <c r="I4061">
        <v>128.59520000000001</v>
      </c>
      <c r="J4061">
        <v>-367.66140000000001</v>
      </c>
      <c r="K4061">
        <v>1.1106590000000001</v>
      </c>
      <c r="L4061">
        <v>142.14680000000001</v>
      </c>
      <c r="M4061">
        <v>-0.99981279999999995</v>
      </c>
      <c r="N4061">
        <v>-1.485417E-2</v>
      </c>
      <c r="O4061">
        <v>1.240465E-2</v>
      </c>
      <c r="P4061">
        <v>-0.92578000000000005</v>
      </c>
      <c r="Q4061">
        <v>0.3663169</v>
      </c>
      <c r="R4061">
        <v>-9.3507569999999998E-2</v>
      </c>
      <c r="S4061">
        <v>-3.1643370000000002</v>
      </c>
      <c r="T4061">
        <v>-8.1691029999999998E-2</v>
      </c>
      <c r="U4061">
        <v>-1.073761</v>
      </c>
      <c r="V4061">
        <v>-0.1046996</v>
      </c>
      <c r="W4061">
        <v>0.38008839999999999</v>
      </c>
      <c r="X4061">
        <v>0.91900530000000002</v>
      </c>
      <c r="Y4061">
        <v>-0.33289580000000002</v>
      </c>
      <c r="Z4061">
        <v>-6.8523730000000001E-3</v>
      </c>
      <c r="AA4061">
        <v>0.94293870000000002</v>
      </c>
      <c r="AB4061">
        <v>37</v>
      </c>
      <c r="AC4061">
        <v>-39.573999999999998</v>
      </c>
      <c r="AD4061">
        <v>-1.03067189</v>
      </c>
      <c r="AE4061">
        <v>-13.551600000000001</v>
      </c>
      <c r="AF4061">
        <v>-14.032993314811799</v>
      </c>
      <c r="AG4061">
        <v>-1.03067189</v>
      </c>
      <c r="AH4061">
        <v>39.378925852468498</v>
      </c>
      <c r="AI4061">
        <v>91.412313157396198</v>
      </c>
      <c r="AJ4061">
        <v>109.61392962689099</v>
      </c>
      <c r="AK4061">
        <v>41.817304877437998</v>
      </c>
      <c r="AL4061">
        <v>67.660840823991705</v>
      </c>
      <c r="AM4061">
        <v>96.499518220635807</v>
      </c>
      <c r="AN4061">
        <v>0.99999996974140404</v>
      </c>
    </row>
    <row r="4062" spans="1:40" x14ac:dyDescent="0.25">
      <c r="A4062" t="str">
        <f>"20190304164726026"</f>
        <v>20190304164726026</v>
      </c>
      <c r="B4062" t="str">
        <f>"1551689246022596"</f>
        <v>1551689246022596</v>
      </c>
      <c r="C4062" t="s">
        <v>40</v>
      </c>
      <c r="D4062">
        <v>4.4100039999999998</v>
      </c>
      <c r="E4062">
        <v>0.41158070000000002</v>
      </c>
      <c r="F4062" t="s">
        <v>42</v>
      </c>
      <c r="G4062">
        <v>-399.27440000000001</v>
      </c>
      <c r="H4062" s="1">
        <v>-2.4333309999999999E-6</v>
      </c>
      <c r="I4062">
        <v>131.34649999999999</v>
      </c>
      <c r="J4062">
        <v>-368.03969999999998</v>
      </c>
      <c r="K4062">
        <v>1.1106940000000001</v>
      </c>
      <c r="L4062">
        <v>142.15180000000001</v>
      </c>
      <c r="M4062">
        <v>-0.99980990000000003</v>
      </c>
      <c r="N4062">
        <v>-1.484985E-2</v>
      </c>
      <c r="O4062">
        <v>1.264206E-2</v>
      </c>
      <c r="P4062">
        <v>-0.92610429999999999</v>
      </c>
      <c r="Q4062">
        <v>0.3656162</v>
      </c>
      <c r="R4062">
        <v>-9.3034919999999993E-2</v>
      </c>
      <c r="S4062">
        <v>-3.1750790000000002</v>
      </c>
      <c r="T4062">
        <v>-0.11155030000000001</v>
      </c>
      <c r="U4062">
        <v>-1.084732</v>
      </c>
      <c r="V4062">
        <v>-0.1044773</v>
      </c>
      <c r="W4062">
        <v>0.37938179999999999</v>
      </c>
      <c r="X4062">
        <v>0.91932259999999999</v>
      </c>
      <c r="Y4062">
        <v>-0.33495799999999998</v>
      </c>
      <c r="Z4062">
        <v>-8.5264529999999998E-3</v>
      </c>
      <c r="AA4062">
        <v>0.94219450000000005</v>
      </c>
      <c r="AB4062">
        <v>37</v>
      </c>
      <c r="AC4062">
        <v>-31.2347</v>
      </c>
      <c r="AD4062">
        <v>-1.1106964333310001</v>
      </c>
      <c r="AE4062">
        <v>-10.805300000000001</v>
      </c>
      <c r="AF4062">
        <v>-11.186717173495699</v>
      </c>
      <c r="AG4062">
        <v>-1.1106964333310001</v>
      </c>
      <c r="AH4062">
        <v>31.0605091918878</v>
      </c>
      <c r="AI4062">
        <v>91.926909551349596</v>
      </c>
      <c r="AJ4062">
        <v>109.80693300643701</v>
      </c>
      <c r="AK4062">
        <v>33.032279953798898</v>
      </c>
      <c r="AL4062">
        <v>67.704605978108503</v>
      </c>
      <c r="AM4062">
        <v>96.483616549146902</v>
      </c>
      <c r="AN4062">
        <v>1.0000000496286401</v>
      </c>
    </row>
    <row r="4063" spans="1:40" x14ac:dyDescent="0.25">
      <c r="A4063" t="str">
        <f>"20190304164726048"</f>
        <v>20190304164726048</v>
      </c>
      <c r="B4063" t="str">
        <f>"1551689246043092"</f>
        <v>1551689246043092</v>
      </c>
      <c r="C4063" t="s">
        <v>40</v>
      </c>
      <c r="D4063">
        <v>4.1756469999999997</v>
      </c>
      <c r="E4063">
        <v>0.41172409999999998</v>
      </c>
      <c r="F4063" t="s">
        <v>42</v>
      </c>
      <c r="G4063">
        <v>-398.29059999999998</v>
      </c>
      <c r="H4063" s="1">
        <v>-2.649101E-6</v>
      </c>
      <c r="I4063">
        <v>131.7938</v>
      </c>
      <c r="J4063">
        <v>-368.41399999999999</v>
      </c>
      <c r="K4063">
        <v>1.11073</v>
      </c>
      <c r="L4063">
        <v>142.1567</v>
      </c>
      <c r="M4063">
        <v>-0.99980760000000002</v>
      </c>
      <c r="N4063">
        <v>-1.4845570000000001E-2</v>
      </c>
      <c r="O4063">
        <v>1.282937E-2</v>
      </c>
      <c r="P4063">
        <v>-0.92599869999999995</v>
      </c>
      <c r="Q4063">
        <v>0.36591439999999997</v>
      </c>
      <c r="R4063">
        <v>-9.2914239999999995E-2</v>
      </c>
      <c r="S4063">
        <v>-3.1761780000000002</v>
      </c>
      <c r="T4063">
        <v>-0.1166171</v>
      </c>
      <c r="U4063">
        <v>-1.0875239999999999</v>
      </c>
      <c r="V4063">
        <v>-0.1045624</v>
      </c>
      <c r="W4063">
        <v>0.37966460000000002</v>
      </c>
      <c r="X4063">
        <v>0.91919609999999996</v>
      </c>
      <c r="Y4063">
        <v>-0.33575440000000001</v>
      </c>
      <c r="Z4063">
        <v>-8.8267150000000006E-3</v>
      </c>
      <c r="AA4063">
        <v>0.94190819999999997</v>
      </c>
      <c r="AB4063">
        <v>37</v>
      </c>
      <c r="AC4063">
        <v>-29.8766</v>
      </c>
      <c r="AD4063">
        <v>-1.1107326491009999</v>
      </c>
      <c r="AE4063">
        <v>-10.3628999999999</v>
      </c>
      <c r="AF4063">
        <v>-10.7321465792098</v>
      </c>
      <c r="AG4063">
        <v>-1.1107326491009999</v>
      </c>
      <c r="AH4063">
        <v>29.704529258681799</v>
      </c>
      <c r="AI4063">
        <v>92.014134620316696</v>
      </c>
      <c r="AJ4063">
        <v>109.864617513019</v>
      </c>
      <c r="AK4063">
        <v>31.6033503871869</v>
      </c>
      <c r="AL4063">
        <v>67.687090936129806</v>
      </c>
      <c r="AM4063">
        <v>96.489738012538893</v>
      </c>
      <c r="AN4063">
        <v>0.99999998712106397</v>
      </c>
    </row>
    <row r="4064" spans="1:40" x14ac:dyDescent="0.25">
      <c r="A4064" t="str">
        <f>"20190304164726073"</f>
        <v>20190304164726073</v>
      </c>
      <c r="B4064" t="str">
        <f>"1551689246062612"</f>
        <v>1551689246062612</v>
      </c>
      <c r="C4064" t="s">
        <v>40</v>
      </c>
      <c r="D4064">
        <v>4.194369</v>
      </c>
      <c r="E4064">
        <v>0.41256029999999999</v>
      </c>
      <c r="F4064" t="s">
        <v>51</v>
      </c>
      <c r="G4064">
        <v>-400.86750000000001</v>
      </c>
      <c r="H4064" s="1">
        <v>-1.3182769999999999E-6</v>
      </c>
      <c r="I4064">
        <v>131.0395</v>
      </c>
      <c r="J4064">
        <v>-368.8279</v>
      </c>
      <c r="K4064">
        <v>1.1107800000000001</v>
      </c>
      <c r="L4064">
        <v>142.16220000000001</v>
      </c>
      <c r="M4064">
        <v>-0.99980570000000002</v>
      </c>
      <c r="N4064">
        <v>-1.4840839999999999E-2</v>
      </c>
      <c r="O4064">
        <v>1.2978109999999999E-2</v>
      </c>
      <c r="P4064">
        <v>-0.92574069999999997</v>
      </c>
      <c r="Q4064">
        <v>0.36626930000000002</v>
      </c>
      <c r="R4064">
        <v>-9.4079560000000007E-2</v>
      </c>
      <c r="S4064">
        <v>-3.173584</v>
      </c>
      <c r="T4064">
        <v>-0.10861709999999999</v>
      </c>
      <c r="U4064">
        <v>-1.087143</v>
      </c>
      <c r="V4064">
        <v>-0.10590620000000001</v>
      </c>
      <c r="W4064">
        <v>0.37999889999999997</v>
      </c>
      <c r="X4064">
        <v>0.9189041</v>
      </c>
      <c r="Y4064">
        <v>-0.33606200000000003</v>
      </c>
      <c r="Z4064">
        <v>-8.3987490000000005E-3</v>
      </c>
      <c r="AA4064">
        <v>0.94180240000000004</v>
      </c>
      <c r="AB4064">
        <v>37</v>
      </c>
      <c r="AC4064">
        <v>-32.0396</v>
      </c>
      <c r="AD4064">
        <v>-1.1107813182770001</v>
      </c>
      <c r="AE4064">
        <v>-11.1227</v>
      </c>
      <c r="AF4064">
        <v>-11.525259515876</v>
      </c>
      <c r="AG4064">
        <v>-1.1107813182770001</v>
      </c>
      <c r="AH4064">
        <v>31.858360144200201</v>
      </c>
      <c r="AI4064">
        <v>91.877867979668295</v>
      </c>
      <c r="AJ4064">
        <v>109.88838218907</v>
      </c>
      <c r="AK4064">
        <v>33.897205683107401</v>
      </c>
      <c r="AL4064">
        <v>67.666385857614998</v>
      </c>
      <c r="AM4064">
        <v>96.574486972071099</v>
      </c>
      <c r="AN4064">
        <v>1.0000000160982201</v>
      </c>
    </row>
    <row r="4065" spans="1:40" x14ac:dyDescent="0.25">
      <c r="A4065" t="str">
        <f>"20190304164726103"</f>
        <v>20190304164726103</v>
      </c>
      <c r="B4065" t="str">
        <f>"1551689246092871"</f>
        <v>1551689246092871</v>
      </c>
      <c r="C4065" t="s">
        <v>40</v>
      </c>
      <c r="D4065">
        <v>4.0766530000000003</v>
      </c>
      <c r="E4065">
        <v>0.4132306</v>
      </c>
      <c r="F4065" t="s">
        <v>51</v>
      </c>
      <c r="G4065">
        <v>-400.95670000000001</v>
      </c>
      <c r="H4065" s="1">
        <v>-1.4372720000000001E-6</v>
      </c>
      <c r="I4065">
        <v>131.16800000000001</v>
      </c>
      <c r="J4065">
        <v>-369.31990000000002</v>
      </c>
      <c r="K4065">
        <v>1.1108389999999999</v>
      </c>
      <c r="L4065">
        <v>142.1687</v>
      </c>
      <c r="M4065">
        <v>-0.99980440000000004</v>
      </c>
      <c r="N4065">
        <v>-1.4834999999999999E-2</v>
      </c>
      <c r="O4065">
        <v>1.3076499999999901E-2</v>
      </c>
      <c r="P4065">
        <v>-0.92509960000000002</v>
      </c>
      <c r="Q4065">
        <v>0.36725679999999999</v>
      </c>
      <c r="R4065">
        <v>-9.6504809999999996E-2</v>
      </c>
      <c r="S4065">
        <v>-3.1737060000000001</v>
      </c>
      <c r="T4065">
        <v>-0.10972369999999999</v>
      </c>
      <c r="U4065">
        <v>-1.086014</v>
      </c>
      <c r="V4065">
        <v>-0.1084635</v>
      </c>
      <c r="W4065">
        <v>0.38095800000000002</v>
      </c>
      <c r="X4065">
        <v>0.91820840000000004</v>
      </c>
      <c r="Y4065">
        <v>-0.33583930000000001</v>
      </c>
      <c r="Z4065">
        <v>-8.4555669999999902E-3</v>
      </c>
      <c r="AA4065">
        <v>0.94188139999999998</v>
      </c>
      <c r="AB4065">
        <v>37</v>
      </c>
      <c r="AC4065">
        <v>-31.636799999999901</v>
      </c>
      <c r="AD4065">
        <v>-1.110840437272</v>
      </c>
      <c r="AE4065">
        <v>-11.000699999999901</v>
      </c>
      <c r="AF4065">
        <v>-11.4009636086091</v>
      </c>
      <c r="AG4065">
        <v>-1.110840437272</v>
      </c>
      <c r="AH4065">
        <v>31.455630279501602</v>
      </c>
      <c r="AI4065">
        <v>91.9015802829568</v>
      </c>
      <c r="AJ4065">
        <v>109.92283992618199</v>
      </c>
      <c r="AK4065">
        <v>33.476448646214003</v>
      </c>
      <c r="AL4065">
        <v>67.606963924210504</v>
      </c>
      <c r="AM4065">
        <v>96.736853646476206</v>
      </c>
      <c r="AN4065">
        <v>0.99999999721340505</v>
      </c>
    </row>
    <row r="4066" spans="1:40" x14ac:dyDescent="0.25">
      <c r="A4066" t="str">
        <f>"20190304164726125"</f>
        <v>20190304164726125</v>
      </c>
      <c r="B4066" t="str">
        <f>"1551689246113364"</f>
        <v>1551689246113364</v>
      </c>
      <c r="C4066" t="s">
        <v>40</v>
      </c>
      <c r="D4066">
        <v>4.1909210000000003</v>
      </c>
      <c r="E4066">
        <v>0.41354750000000001</v>
      </c>
      <c r="F4066" t="s">
        <v>51</v>
      </c>
      <c r="G4066">
        <v>-400.84769999999997</v>
      </c>
      <c r="H4066" s="1">
        <v>-1.4857180000000001E-6</v>
      </c>
      <c r="I4066">
        <v>131.3766</v>
      </c>
      <c r="J4066">
        <v>-369.6816</v>
      </c>
      <c r="K4066">
        <v>1.1108709999999999</v>
      </c>
      <c r="L4066">
        <v>142.17339999999999</v>
      </c>
      <c r="M4066">
        <v>-0.99980409999999997</v>
      </c>
      <c r="N4066">
        <v>-1.4830909999999999E-2</v>
      </c>
      <c r="O4066">
        <v>1.311436E-2</v>
      </c>
      <c r="P4066">
        <v>-0.92478309999999997</v>
      </c>
      <c r="Q4066">
        <v>0.36755870000000002</v>
      </c>
      <c r="R4066">
        <v>-9.8370819999999998E-2</v>
      </c>
      <c r="S4066">
        <v>-3.17395</v>
      </c>
      <c r="T4066">
        <v>-0.1118299</v>
      </c>
      <c r="U4066">
        <v>-1.0864560000000001</v>
      </c>
      <c r="V4066">
        <v>-0.11038920000000001</v>
      </c>
      <c r="W4066">
        <v>0.38124330000000001</v>
      </c>
      <c r="X4066">
        <v>0.91786040000000002</v>
      </c>
      <c r="Y4066">
        <v>-0.33596160000000003</v>
      </c>
      <c r="Z4066">
        <v>-8.5748830000000002E-3</v>
      </c>
      <c r="AA4066">
        <v>0.94183669999999997</v>
      </c>
      <c r="AB4066">
        <v>37</v>
      </c>
      <c r="AC4066">
        <v>-31.166099999999901</v>
      </c>
      <c r="AD4066">
        <v>-1.1108724857179999</v>
      </c>
      <c r="AE4066">
        <v>-10.7967999999999</v>
      </c>
      <c r="AF4066">
        <v>-11.191944282958</v>
      </c>
      <c r="AG4066">
        <v>-1.1108724857179999</v>
      </c>
      <c r="AH4066">
        <v>30.9866613294598</v>
      </c>
      <c r="AI4066">
        <v>91.9311716146523</v>
      </c>
      <c r="AJ4066">
        <v>109.859003610743</v>
      </c>
      <c r="AK4066">
        <v>32.964630057972798</v>
      </c>
      <c r="AL4066">
        <v>67.589282525930003</v>
      </c>
      <c r="AM4066">
        <v>96.8579080960358</v>
      </c>
      <c r="AN4066">
        <v>0.99999997157984399</v>
      </c>
    </row>
    <row r="4067" spans="1:40" x14ac:dyDescent="0.25">
      <c r="A4067" t="str">
        <f>"20190304164726148"</f>
        <v>20190304164726148</v>
      </c>
      <c r="B4067" t="str">
        <f>"1551689246142643"</f>
        <v>1551689246142643</v>
      </c>
      <c r="C4067" t="s">
        <v>40</v>
      </c>
      <c r="D4067">
        <v>4.1860390000000001</v>
      </c>
      <c r="E4067">
        <v>0.41388209999999998</v>
      </c>
      <c r="F4067" t="s">
        <v>51</v>
      </c>
      <c r="G4067">
        <v>-401.11040000000003</v>
      </c>
      <c r="H4067" s="1">
        <v>-1.639732E-6</v>
      </c>
      <c r="I4067">
        <v>131.3845</v>
      </c>
      <c r="J4067">
        <v>-370.065</v>
      </c>
      <c r="K4067">
        <v>1.1109070000000001</v>
      </c>
      <c r="L4067">
        <v>142.17850000000001</v>
      </c>
      <c r="M4067">
        <v>-0.99980389999999997</v>
      </c>
      <c r="N4067">
        <v>-1.482674E-2</v>
      </c>
      <c r="O4067">
        <v>1.3129689999999999E-2</v>
      </c>
      <c r="P4067">
        <v>-0.92450270000000001</v>
      </c>
      <c r="Q4067">
        <v>0.36803219999999998</v>
      </c>
      <c r="R4067">
        <v>-9.9232870000000001E-2</v>
      </c>
      <c r="S4067">
        <v>-3.1726990000000002</v>
      </c>
      <c r="T4067">
        <v>-0.11214109999999999</v>
      </c>
      <c r="U4067">
        <v>-1.089127</v>
      </c>
      <c r="V4067">
        <v>-0.1112842</v>
      </c>
      <c r="W4067">
        <v>0.38170209999999999</v>
      </c>
      <c r="X4067">
        <v>0.91756170000000004</v>
      </c>
      <c r="Y4067">
        <v>-0.33679690000000001</v>
      </c>
      <c r="Z4067">
        <v>-8.6143950000000004E-3</v>
      </c>
      <c r="AA4067">
        <v>0.94153790000000004</v>
      </c>
      <c r="AB4067">
        <v>37</v>
      </c>
      <c r="AC4067">
        <v>-31.045400000000001</v>
      </c>
      <c r="AD4067">
        <v>-1.1109086397319901</v>
      </c>
      <c r="AE4067">
        <v>-10.794</v>
      </c>
      <c r="AF4067">
        <v>-11.1879500319674</v>
      </c>
      <c r="AG4067">
        <v>-1.1109086397319901</v>
      </c>
      <c r="AH4067">
        <v>30.865726270457699</v>
      </c>
      <c r="AI4067">
        <v>91.937998643425999</v>
      </c>
      <c r="AJ4067">
        <v>109.924143822101</v>
      </c>
      <c r="AK4067">
        <v>32.849617990571097</v>
      </c>
      <c r="AL4067">
        <v>67.560847084432694</v>
      </c>
      <c r="AM4067">
        <v>96.915202528070296</v>
      </c>
      <c r="AN4067">
        <v>1.0000000698104601</v>
      </c>
    </row>
    <row r="4068" spans="1:40" x14ac:dyDescent="0.25">
      <c r="A4068" t="str">
        <f>"20190304164726170"</f>
        <v>20190304164726170</v>
      </c>
      <c r="B4068" t="str">
        <f>"1551689246163139"</f>
        <v>1551689246163139</v>
      </c>
      <c r="C4068" t="s">
        <v>40</v>
      </c>
      <c r="D4068">
        <v>4.2179440000000001</v>
      </c>
      <c r="E4068">
        <v>0.41365730000000001</v>
      </c>
      <c r="F4068" t="s">
        <v>51</v>
      </c>
      <c r="G4068">
        <v>-401.4932</v>
      </c>
      <c r="H4068" s="1">
        <v>-1.8618699999999999E-6</v>
      </c>
      <c r="I4068">
        <v>131.39189999999999</v>
      </c>
      <c r="J4068">
        <v>-370.42770000000002</v>
      </c>
      <c r="K4068">
        <v>1.110927</v>
      </c>
      <c r="L4068">
        <v>142.1832</v>
      </c>
      <c r="M4068">
        <v>-0.99980400000000003</v>
      </c>
      <c r="N4068">
        <v>-1.4822800000000001E-2</v>
      </c>
      <c r="O4068">
        <v>1.312318E-2</v>
      </c>
      <c r="P4068">
        <v>-0.92418750000000005</v>
      </c>
      <c r="Q4068">
        <v>0.36842069999999999</v>
      </c>
      <c r="R4068">
        <v>-0.10071620000000001</v>
      </c>
      <c r="S4068">
        <v>-3.1727910000000001</v>
      </c>
      <c r="T4068">
        <v>-0.11215029999999999</v>
      </c>
      <c r="U4068">
        <v>-1.088943</v>
      </c>
      <c r="V4068">
        <v>-0.1127746</v>
      </c>
      <c r="W4068">
        <v>0.38207720000000001</v>
      </c>
      <c r="X4068">
        <v>0.91722349999999997</v>
      </c>
      <c r="Y4068">
        <v>-0.33673380000000003</v>
      </c>
      <c r="Z4068">
        <v>-8.6124359999999994E-3</v>
      </c>
      <c r="AA4068">
        <v>0.94156050000000002</v>
      </c>
      <c r="AB4068">
        <v>37</v>
      </c>
      <c r="AC4068">
        <v>-31.065499999999901</v>
      </c>
      <c r="AD4068">
        <v>-1.11092886187</v>
      </c>
      <c r="AE4068">
        <v>-10.7913</v>
      </c>
      <c r="AF4068">
        <v>-11.1853294484408</v>
      </c>
      <c r="AG4068">
        <v>-1.11092886187</v>
      </c>
      <c r="AH4068">
        <v>30.885947352100001</v>
      </c>
      <c r="AI4068">
        <v>91.936965715231693</v>
      </c>
      <c r="AJ4068">
        <v>109.90782737664099</v>
      </c>
      <c r="AK4068">
        <v>32.867727357439698</v>
      </c>
      <c r="AL4068">
        <v>67.537591853388705</v>
      </c>
      <c r="AM4068">
        <v>97.009459260283094</v>
      </c>
      <c r="AN4068">
        <v>1.0000000230586199</v>
      </c>
    </row>
    <row r="4069" spans="1:40" x14ac:dyDescent="0.25">
      <c r="A4069" t="str">
        <f>"20190304164726192"</f>
        <v>20190304164726192</v>
      </c>
      <c r="B4069" t="str">
        <f>"1551689246182660"</f>
        <v>1551689246182660</v>
      </c>
      <c r="C4069" t="s">
        <v>40</v>
      </c>
      <c r="D4069">
        <v>4.1855089999999997</v>
      </c>
      <c r="E4069">
        <v>0.3710772</v>
      </c>
      <c r="F4069" t="s">
        <v>51</v>
      </c>
      <c r="G4069">
        <v>-402.49450000000002</v>
      </c>
      <c r="H4069" s="1">
        <v>-2.2761859999999999E-6</v>
      </c>
      <c r="I4069">
        <v>131.0967</v>
      </c>
      <c r="J4069">
        <v>-370.78070000000002</v>
      </c>
      <c r="K4069">
        <v>1.110949</v>
      </c>
      <c r="L4069">
        <v>142.18790000000001</v>
      </c>
      <c r="M4069">
        <v>-0.99980440000000004</v>
      </c>
      <c r="N4069">
        <v>-1.4818949999999999E-2</v>
      </c>
      <c r="O4069">
        <v>1.3096379999999999E-2</v>
      </c>
      <c r="P4069">
        <v>-0.92409909999999995</v>
      </c>
      <c r="Q4069">
        <v>0.36807899999999999</v>
      </c>
      <c r="R4069">
        <v>-0.1027566</v>
      </c>
      <c r="S4069">
        <v>-3.1703800000000002</v>
      </c>
      <c r="T4069">
        <v>-0.1098351</v>
      </c>
      <c r="U4069">
        <v>-1.0961000000000001</v>
      </c>
      <c r="V4069">
        <v>-0.1148082</v>
      </c>
      <c r="W4069">
        <v>0.38172469999999997</v>
      </c>
      <c r="X4069">
        <v>0.91711799999999999</v>
      </c>
      <c r="Y4069">
        <v>-0.3388352</v>
      </c>
      <c r="Z4069">
        <v>-8.5372529999999999E-3</v>
      </c>
      <c r="AA4069">
        <v>0.94080699999999995</v>
      </c>
      <c r="AB4069">
        <v>37</v>
      </c>
      <c r="AC4069">
        <v>-31.7137999999999</v>
      </c>
      <c r="AD4069">
        <v>-1.1109512761860001</v>
      </c>
      <c r="AE4069">
        <v>-11.091200000000001</v>
      </c>
      <c r="AF4069">
        <v>-11.493063627430599</v>
      </c>
      <c r="AG4069">
        <v>-1.1109512761860001</v>
      </c>
      <c r="AH4069">
        <v>31.531332566927901</v>
      </c>
      <c r="AI4069">
        <v>91.895959548993005</v>
      </c>
      <c r="AJ4069">
        <v>110.02662633207601</v>
      </c>
      <c r="AK4069">
        <v>33.5790062051937</v>
      </c>
      <c r="AL4069">
        <v>67.559445595551693</v>
      </c>
      <c r="AM4069">
        <v>97.135377910794503</v>
      </c>
      <c r="AN4069">
        <v>1.0000000476506601</v>
      </c>
    </row>
    <row r="4070" spans="1:40" x14ac:dyDescent="0.25">
      <c r="A4070" t="str">
        <f>"20190304164726214"</f>
        <v>20190304164726214</v>
      </c>
      <c r="B4070" t="str">
        <f>"1551689246203156"</f>
        <v>1551689246203156</v>
      </c>
      <c r="C4070" t="s">
        <v>40</v>
      </c>
      <c r="D4070">
        <v>4.1686379999999996</v>
      </c>
      <c r="E4070">
        <v>0.36897160000000001</v>
      </c>
      <c r="F4070" t="s">
        <v>52</v>
      </c>
      <c r="G4070">
        <v>-440.75</v>
      </c>
      <c r="H4070">
        <v>0.18838379999999999</v>
      </c>
      <c r="I4070">
        <v>109.88200000000001</v>
      </c>
      <c r="J4070">
        <v>-371.1474</v>
      </c>
      <c r="K4070">
        <v>1.110981</v>
      </c>
      <c r="L4070">
        <v>142.1926</v>
      </c>
      <c r="M4070">
        <v>-0.99980519999999995</v>
      </c>
      <c r="N4070">
        <v>-1.481495E-2</v>
      </c>
      <c r="O4070">
        <v>1.304367E-2</v>
      </c>
      <c r="P4070">
        <v>-0.92391679999999998</v>
      </c>
      <c r="Q4070">
        <v>0.36817939999999999</v>
      </c>
      <c r="R4070">
        <v>-0.1040277</v>
      </c>
      <c r="S4070">
        <v>-3.1033940000000002</v>
      </c>
      <c r="T4070">
        <v>-4.0917750000000003E-2</v>
      </c>
      <c r="U4070">
        <v>-1.432877</v>
      </c>
      <c r="V4070">
        <v>-0.11605260000000001</v>
      </c>
      <c r="W4070">
        <v>0.38181140000000002</v>
      </c>
      <c r="X4070">
        <v>0.9169252</v>
      </c>
      <c r="Y4070">
        <v>-0.43092340000000001</v>
      </c>
      <c r="Z4070">
        <v>-6.0302000000000003E-3</v>
      </c>
      <c r="AA4070">
        <v>0.90236839999999996</v>
      </c>
      <c r="AB4070">
        <v>37</v>
      </c>
      <c r="AC4070">
        <v>-69.602599999999995</v>
      </c>
      <c r="AD4070">
        <v>-0.92259720000000001</v>
      </c>
      <c r="AE4070">
        <v>-32.310599999999901</v>
      </c>
      <c r="AF4070">
        <v>-33.2110229546497</v>
      </c>
      <c r="AG4070">
        <v>-0.92259720000000001</v>
      </c>
      <c r="AH4070">
        <v>69.165184531567604</v>
      </c>
      <c r="AI4070">
        <v>90.688928871371402</v>
      </c>
      <c r="AJ4070">
        <v>115.648905698102</v>
      </c>
      <c r="AK4070">
        <v>76.730997534070397</v>
      </c>
      <c r="AL4070">
        <v>67.554069526452494</v>
      </c>
      <c r="AM4070">
        <v>97.2134083355878</v>
      </c>
      <c r="AN4070">
        <v>0.99999998676587998</v>
      </c>
    </row>
    <row r="4071" spans="1:40" x14ac:dyDescent="0.25">
      <c r="A4071" t="str">
        <f>"20190304164726238"</f>
        <v>20190304164726238</v>
      </c>
      <c r="B4071" t="str">
        <f>"1551689246233412"</f>
        <v>1551689246233412</v>
      </c>
      <c r="C4071" t="s">
        <v>40</v>
      </c>
      <c r="D4071">
        <v>4.1272200000000003</v>
      </c>
      <c r="E4071">
        <v>0.36738349999999997</v>
      </c>
      <c r="F4071" t="s">
        <v>42</v>
      </c>
      <c r="G4071">
        <v>-431.56970000000001</v>
      </c>
      <c r="H4071">
        <v>7.9985639999999997E-2</v>
      </c>
      <c r="I4071">
        <v>113.8857</v>
      </c>
      <c r="J4071">
        <v>-371.52629999999999</v>
      </c>
      <c r="K4071">
        <v>1.111019</v>
      </c>
      <c r="L4071">
        <v>142.19749999999999</v>
      </c>
      <c r="M4071">
        <v>-0.99980639999999998</v>
      </c>
      <c r="N4071">
        <v>-1.481067E-2</v>
      </c>
      <c r="O4071">
        <v>1.295266E-2</v>
      </c>
      <c r="P4071">
        <v>-0.92356470000000002</v>
      </c>
      <c r="Q4071">
        <v>0.36847259999999998</v>
      </c>
      <c r="R4071">
        <v>-0.10609589999999899</v>
      </c>
      <c r="S4071">
        <v>-3.1044309999999999</v>
      </c>
      <c r="T4071">
        <v>-5.2971360000000002E-2</v>
      </c>
      <c r="U4071">
        <v>-1.4543759999999999</v>
      </c>
      <c r="V4071">
        <v>-0.1180649</v>
      </c>
      <c r="W4071">
        <v>0.38208520000000001</v>
      </c>
      <c r="X4071">
        <v>0.91655419999999999</v>
      </c>
      <c r="Y4071">
        <v>-0.43582460000000001</v>
      </c>
      <c r="Z4071">
        <v>-6.9497329999999996E-3</v>
      </c>
      <c r="AA4071">
        <v>0.90000480000000005</v>
      </c>
      <c r="AB4071">
        <v>37</v>
      </c>
      <c r="AC4071">
        <v>-60.043399999999998</v>
      </c>
      <c r="AD4071">
        <v>-1.0310333599999999</v>
      </c>
      <c r="AE4071">
        <v>-28.311799999999899</v>
      </c>
      <c r="AF4071">
        <v>-29.080216573337001</v>
      </c>
      <c r="AG4071">
        <v>-1.0310333599999999</v>
      </c>
      <c r="AH4071">
        <v>59.657217638060203</v>
      </c>
      <c r="AI4071">
        <v>90.890030885390601</v>
      </c>
      <c r="AJ4071">
        <v>115.98715618569901</v>
      </c>
      <c r="AK4071">
        <v>66.375489768863503</v>
      </c>
      <c r="AL4071">
        <v>67.537095571974405</v>
      </c>
      <c r="AM4071">
        <v>97.340071616638497</v>
      </c>
      <c r="AN4071">
        <v>1.0000000111043399</v>
      </c>
    </row>
    <row r="4072" spans="1:40" x14ac:dyDescent="0.25">
      <c r="A4072" t="str">
        <f>"20190304164726261"</f>
        <v>20190304164726261</v>
      </c>
      <c r="B4072" t="str">
        <f>"1551689246252931"</f>
        <v>1551689246252931</v>
      </c>
      <c r="C4072" t="s">
        <v>40</v>
      </c>
      <c r="D4072">
        <v>4.1476240000000004</v>
      </c>
      <c r="E4072">
        <v>0.36845630000000001</v>
      </c>
      <c r="F4072" t="s">
        <v>42</v>
      </c>
      <c r="G4072">
        <v>-429.95780000000002</v>
      </c>
      <c r="H4072">
        <v>9.8134109999999993E-3</v>
      </c>
      <c r="I4072">
        <v>114.4423</v>
      </c>
      <c r="J4072">
        <v>-371.92110000000002</v>
      </c>
      <c r="K4072">
        <v>1.111062</v>
      </c>
      <c r="L4072">
        <v>142.20249999999999</v>
      </c>
      <c r="M4072">
        <v>-0.99980829999999998</v>
      </c>
      <c r="N4072">
        <v>-1.4806329999999999E-2</v>
      </c>
      <c r="O4072">
        <v>1.2822709999999999E-2</v>
      </c>
      <c r="P4072">
        <v>-0.92304649999999999</v>
      </c>
      <c r="Q4072">
        <v>0.36913509999999999</v>
      </c>
      <c r="R4072">
        <v>-0.1082808</v>
      </c>
      <c r="S4072">
        <v>-3.1023559999999999</v>
      </c>
      <c r="T4072">
        <v>-5.8467390000000001E-2</v>
      </c>
      <c r="U4072">
        <v>-1.473633</v>
      </c>
      <c r="V4072">
        <v>-0.1201594</v>
      </c>
      <c r="W4072">
        <v>0.38272440000000002</v>
      </c>
      <c r="X4072">
        <v>0.91601509999999997</v>
      </c>
      <c r="Y4072">
        <v>-0.44048379999999998</v>
      </c>
      <c r="Z4072">
        <v>-7.4162669999999998E-3</v>
      </c>
      <c r="AA4072">
        <v>0.89772989999999997</v>
      </c>
      <c r="AB4072">
        <v>37</v>
      </c>
      <c r="AC4072">
        <v>-58.036700000000003</v>
      </c>
      <c r="AD4072">
        <v>-1.1012485889999999</v>
      </c>
      <c r="AE4072">
        <v>-27.760199999999902</v>
      </c>
      <c r="AF4072">
        <v>-28.4938373981519</v>
      </c>
      <c r="AG4072">
        <v>-1.1012485889999999</v>
      </c>
      <c r="AH4072">
        <v>57.659032683401598</v>
      </c>
      <c r="AI4072">
        <v>90.980959319215202</v>
      </c>
      <c r="AJ4072">
        <v>116.297578921256</v>
      </c>
      <c r="AK4072">
        <v>64.324766366561093</v>
      </c>
      <c r="AL4072">
        <v>67.497458253174798</v>
      </c>
      <c r="AM4072">
        <v>97.473174678529404</v>
      </c>
      <c r="AN4072">
        <v>0.99999995559586397</v>
      </c>
    </row>
    <row r="4073" spans="1:40" x14ac:dyDescent="0.25">
      <c r="A4073" t="str">
        <f>"20190304164726284"</f>
        <v>20190304164726284</v>
      </c>
      <c r="B4073" t="str">
        <f>"1551689246273428"</f>
        <v>1551689246273428</v>
      </c>
      <c r="C4073" t="s">
        <v>40</v>
      </c>
      <c r="D4073">
        <v>4.1464829999999999</v>
      </c>
      <c r="E4073">
        <v>0.36856159999999999</v>
      </c>
      <c r="F4073" t="s">
        <v>42</v>
      </c>
      <c r="G4073">
        <v>-425.47379999999998</v>
      </c>
      <c r="H4073" s="1">
        <v>-4.3101429999999997E-6</v>
      </c>
      <c r="I4073">
        <v>116.7991</v>
      </c>
      <c r="J4073">
        <v>-372.27870000000001</v>
      </c>
      <c r="K4073">
        <v>1.111103</v>
      </c>
      <c r="L4073">
        <v>142.20689999999999</v>
      </c>
      <c r="M4073">
        <v>-0.99981030000000004</v>
      </c>
      <c r="N4073">
        <v>-1.480248E-2</v>
      </c>
      <c r="O4073">
        <v>1.2662730000000001E-2</v>
      </c>
      <c r="P4073">
        <v>-0.92267889999999997</v>
      </c>
      <c r="Q4073">
        <v>0.36941879999999999</v>
      </c>
      <c r="R4073">
        <v>-0.1104247</v>
      </c>
      <c r="S4073">
        <v>-3.1031490000000002</v>
      </c>
      <c r="T4073">
        <v>-6.4381599999999997E-2</v>
      </c>
      <c r="U4073">
        <v>-1.4720150000000001</v>
      </c>
      <c r="V4073">
        <v>-0.1221863</v>
      </c>
      <c r="W4073">
        <v>0.38298690000000002</v>
      </c>
      <c r="X4073">
        <v>0.91563729999999999</v>
      </c>
      <c r="Y4073">
        <v>-0.43984980000000001</v>
      </c>
      <c r="Z4073">
        <v>-7.8240469999999902E-3</v>
      </c>
      <c r="AA4073">
        <v>0.89803729999999904</v>
      </c>
      <c r="AB4073">
        <v>37</v>
      </c>
      <c r="AC4073">
        <v>-53.195099999999897</v>
      </c>
      <c r="AD4073">
        <v>-1.111107310143</v>
      </c>
      <c r="AE4073">
        <v>-25.407799999999899</v>
      </c>
      <c r="AF4073">
        <v>-26.070170246438199</v>
      </c>
      <c r="AG4073">
        <v>-1.111107310143</v>
      </c>
      <c r="AH4073">
        <v>52.850292187812499</v>
      </c>
      <c r="AI4073">
        <v>91.080156909676106</v>
      </c>
      <c r="AJ4073">
        <v>116.25635717053299</v>
      </c>
      <c r="AK4073">
        <v>58.941002031438899</v>
      </c>
      <c r="AL4073">
        <v>67.481180173664598</v>
      </c>
      <c r="AM4073">
        <v>97.600873018632996</v>
      </c>
      <c r="AN4073">
        <v>1.00000006131529</v>
      </c>
    </row>
    <row r="4074" spans="1:40" x14ac:dyDescent="0.25">
      <c r="A4074" t="str">
        <f>"20190304164726304"</f>
        <v>20190304164726304</v>
      </c>
      <c r="B4074" t="str">
        <f>"1551689246292948"</f>
        <v>1551689246292948</v>
      </c>
      <c r="C4074" t="s">
        <v>40</v>
      </c>
      <c r="D4074">
        <v>4.1303320000000001</v>
      </c>
      <c r="E4074">
        <v>0.3684289</v>
      </c>
      <c r="F4074" t="s">
        <v>42</v>
      </c>
      <c r="G4074">
        <v>-425.52850000000001</v>
      </c>
      <c r="H4074" s="1">
        <v>-4.3181719999999997E-6</v>
      </c>
      <c r="I4074">
        <v>116.7942</v>
      </c>
      <c r="J4074">
        <v>-372.60969999999998</v>
      </c>
      <c r="K4074">
        <v>1.1111470000000001</v>
      </c>
      <c r="L4074">
        <v>142.21090000000001</v>
      </c>
      <c r="M4074">
        <v>-0.99981279999999995</v>
      </c>
      <c r="N4074">
        <v>-1.4799E-2</v>
      </c>
      <c r="O4074">
        <v>1.246539E-2</v>
      </c>
      <c r="P4074">
        <v>-0.92206220000000005</v>
      </c>
      <c r="Q4074">
        <v>0.37037959999999998</v>
      </c>
      <c r="R4074">
        <v>-0.1123397</v>
      </c>
      <c r="S4074">
        <v>-3.1002200000000002</v>
      </c>
      <c r="T4074">
        <v>-6.4689040000000003E-2</v>
      </c>
      <c r="U4074">
        <v>-1.479538</v>
      </c>
      <c r="V4074">
        <v>-0.1239497</v>
      </c>
      <c r="W4074">
        <v>0.38392320000000002</v>
      </c>
      <c r="X4074">
        <v>0.91500789999999999</v>
      </c>
      <c r="Y4074">
        <v>-0.44177490000000003</v>
      </c>
      <c r="Z4074">
        <v>-7.8816110000000002E-3</v>
      </c>
      <c r="AA4074">
        <v>0.89709130000000004</v>
      </c>
      <c r="AB4074">
        <v>36</v>
      </c>
      <c r="AC4074">
        <v>-52.918799999999997</v>
      </c>
      <c r="AD4074">
        <v>-1.1111513181720001</v>
      </c>
      <c r="AE4074">
        <v>-25.416699999999999</v>
      </c>
      <c r="AF4074">
        <v>-26.0651128217409</v>
      </c>
      <c r="AG4074">
        <v>-1.1111513181720001</v>
      </c>
      <c r="AH4074">
        <v>52.578987606368997</v>
      </c>
      <c r="AI4074">
        <v>91.084716276190505</v>
      </c>
      <c r="AJ4074">
        <v>116.369109543421</v>
      </c>
      <c r="AK4074">
        <v>58.695610580116302</v>
      </c>
      <c r="AL4074">
        <v>67.423092644834</v>
      </c>
      <c r="AM4074">
        <v>97.714498364526506</v>
      </c>
      <c r="AN4074">
        <v>1.0000000043453701</v>
      </c>
    </row>
    <row r="4075" spans="1:40" x14ac:dyDescent="0.25">
      <c r="A4075" t="str">
        <f>"20190304164726327"</f>
        <v>20190304164726327</v>
      </c>
      <c r="B4075" t="str">
        <f>"1551689246323205"</f>
        <v>1551689246323205</v>
      </c>
      <c r="C4075" t="s">
        <v>40</v>
      </c>
      <c r="D4075">
        <v>4.1070409999999997</v>
      </c>
      <c r="E4075">
        <v>0.36929329999999999</v>
      </c>
      <c r="F4075" t="s">
        <v>42</v>
      </c>
      <c r="G4075">
        <v>-427.43020000000001</v>
      </c>
      <c r="H4075" s="1">
        <v>-4.353405E-6</v>
      </c>
      <c r="I4075">
        <v>115.90649999999999</v>
      </c>
      <c r="J4075">
        <v>-372.97359999999998</v>
      </c>
      <c r="K4075">
        <v>1.111205</v>
      </c>
      <c r="L4075">
        <v>142.21520000000001</v>
      </c>
      <c r="M4075">
        <v>-0.99981640000000005</v>
      </c>
      <c r="N4075">
        <v>-1.4795259999999999E-2</v>
      </c>
      <c r="O4075">
        <v>1.2182460000000001E-2</v>
      </c>
      <c r="P4075">
        <v>-0.92139380000000004</v>
      </c>
      <c r="Q4075">
        <v>0.37137170000000003</v>
      </c>
      <c r="R4075">
        <v>-0.1145275</v>
      </c>
      <c r="S4075">
        <v>-3.0977169999999998</v>
      </c>
      <c r="T4075">
        <v>-6.2787289999999996E-2</v>
      </c>
      <c r="U4075">
        <v>-1.4863740000000001</v>
      </c>
      <c r="V4075">
        <v>-0.1259188</v>
      </c>
      <c r="W4075">
        <v>0.38488499999999998</v>
      </c>
      <c r="X4075">
        <v>0.91433469999999994</v>
      </c>
      <c r="Y4075">
        <v>-0.44341839999999999</v>
      </c>
      <c r="Z4075">
        <v>-7.7750709999999997E-3</v>
      </c>
      <c r="AA4075">
        <v>0.89628099999999999</v>
      </c>
      <c r="AB4075">
        <v>36</v>
      </c>
      <c r="AC4075">
        <v>-54.456600000000002</v>
      </c>
      <c r="AD4075">
        <v>-1.111209353405</v>
      </c>
      <c r="AE4075">
        <v>-26.308700000000002</v>
      </c>
      <c r="AF4075">
        <v>-26.961133395123198</v>
      </c>
      <c r="AG4075">
        <v>-1.111209353405</v>
      </c>
      <c r="AH4075">
        <v>54.113750034826097</v>
      </c>
      <c r="AI4075">
        <v>91.052965186074204</v>
      </c>
      <c r="AJ4075">
        <v>116.483896614421</v>
      </c>
      <c r="AK4075">
        <v>60.468466517750997</v>
      </c>
      <c r="AL4075">
        <v>67.363398306118796</v>
      </c>
      <c r="AM4075">
        <v>97.841239774484293</v>
      </c>
      <c r="AN4075">
        <v>0.99999997552126396</v>
      </c>
    </row>
    <row r="4076" spans="1:40" x14ac:dyDescent="0.25">
      <c r="A4076" t="str">
        <f>"20190304164726349"</f>
        <v>20190304164726349</v>
      </c>
      <c r="B4076" t="str">
        <f>"1551689246342727"</f>
        <v>1551689246342727</v>
      </c>
      <c r="C4076" t="s">
        <v>40</v>
      </c>
      <c r="D4076">
        <v>4.0658629999999896</v>
      </c>
      <c r="E4076">
        <v>0.37042140000000001</v>
      </c>
      <c r="F4076" t="s">
        <v>51</v>
      </c>
      <c r="G4076">
        <v>-418.42649999999998</v>
      </c>
      <c r="H4076" s="1">
        <v>-7.2683899999999999E-7</v>
      </c>
      <c r="I4076">
        <v>120.42440000000001</v>
      </c>
      <c r="J4076">
        <v>-373.34769999999997</v>
      </c>
      <c r="K4076">
        <v>1.11127</v>
      </c>
      <c r="L4076">
        <v>142.21940000000001</v>
      </c>
      <c r="M4076">
        <v>-0.99982090000000001</v>
      </c>
      <c r="N4076">
        <v>-1.4791530000000001E-2</v>
      </c>
      <c r="O4076">
        <v>1.180993E-2</v>
      </c>
      <c r="P4076">
        <v>-0.92102600000000001</v>
      </c>
      <c r="Q4076">
        <v>0.3713861</v>
      </c>
      <c r="R4076">
        <v>-0.1174055</v>
      </c>
      <c r="S4076">
        <v>-3.1016849999999998</v>
      </c>
      <c r="T4076">
        <v>-7.5828309999999996E-2</v>
      </c>
      <c r="U4076">
        <v>-1.4870000000000001</v>
      </c>
      <c r="V4076">
        <v>-0.1285116</v>
      </c>
      <c r="W4076">
        <v>0.38486870000000001</v>
      </c>
      <c r="X4076">
        <v>0.91398080000000004</v>
      </c>
      <c r="Y4076">
        <v>-0.4427374</v>
      </c>
      <c r="Z4076">
        <v>-8.6844680000000007E-3</v>
      </c>
      <c r="AA4076">
        <v>0.896609199999999</v>
      </c>
      <c r="AB4076">
        <v>36</v>
      </c>
      <c r="AC4076">
        <v>-45.078800000000001</v>
      </c>
      <c r="AD4076">
        <v>-1.1112707268390001</v>
      </c>
      <c r="AE4076">
        <v>-21.795000000000002</v>
      </c>
      <c r="AF4076">
        <v>-22.314923810793601</v>
      </c>
      <c r="AG4076">
        <v>-1.1112707268390001</v>
      </c>
      <c r="AH4076">
        <v>44.796164882135002</v>
      </c>
      <c r="AI4076">
        <v>91.272030224180895</v>
      </c>
      <c r="AJ4076">
        <v>116.47989789371999</v>
      </c>
      <c r="AK4076">
        <v>50.0588367369566</v>
      </c>
      <c r="AL4076">
        <v>67.364411359819101</v>
      </c>
      <c r="AM4076">
        <v>98.003686895376902</v>
      </c>
      <c r="AN4076">
        <v>1.00000002517144</v>
      </c>
    </row>
    <row r="4077" spans="1:40" x14ac:dyDescent="0.25">
      <c r="A4077" t="str">
        <f>"20190304164726371"</f>
        <v>20190304164726371</v>
      </c>
      <c r="B4077" t="str">
        <f>"1551689246363220"</f>
        <v>1551689246363220</v>
      </c>
      <c r="C4077" t="s">
        <v>40</v>
      </c>
      <c r="D4077">
        <v>4.0556140000000003</v>
      </c>
      <c r="E4077">
        <v>0.3713727</v>
      </c>
      <c r="F4077" t="s">
        <v>51</v>
      </c>
      <c r="G4077">
        <v>-413.66239999999999</v>
      </c>
      <c r="H4077" s="1">
        <v>-2.9666769999999999E-6</v>
      </c>
      <c r="I4077">
        <v>122.9046</v>
      </c>
      <c r="J4077">
        <v>-373.69099999999997</v>
      </c>
      <c r="K4077">
        <v>1.11134</v>
      </c>
      <c r="L4077">
        <v>142.22309999999999</v>
      </c>
      <c r="M4077">
        <v>-0.99982579999999999</v>
      </c>
      <c r="N4077">
        <v>-1.4788259999999999E-2</v>
      </c>
      <c r="O4077">
        <v>1.137988E-2</v>
      </c>
      <c r="P4077">
        <v>-0.92070160000000001</v>
      </c>
      <c r="Q4077">
        <v>0.371444</v>
      </c>
      <c r="R4077">
        <v>-0.119742</v>
      </c>
      <c r="S4077">
        <v>-3.1022639999999999</v>
      </c>
      <c r="T4077">
        <v>-8.5513829999999999E-2</v>
      </c>
      <c r="U4077">
        <v>-1.4862979999999999</v>
      </c>
      <c r="V4077">
        <v>-0.1305171</v>
      </c>
      <c r="W4077">
        <v>0.38489469999999998</v>
      </c>
      <c r="X4077">
        <v>0.91368559999999999</v>
      </c>
      <c r="Y4077">
        <v>-0.44208239999999999</v>
      </c>
      <c r="Z4077">
        <v>-9.3542820000000002E-3</v>
      </c>
      <c r="AA4077">
        <v>0.89692559999999999</v>
      </c>
      <c r="AB4077">
        <v>36</v>
      </c>
      <c r="AC4077">
        <v>-39.971400000000003</v>
      </c>
      <c r="AD4077">
        <v>-1.1113429666769901</v>
      </c>
      <c r="AE4077">
        <v>-19.318499999999901</v>
      </c>
      <c r="AF4077">
        <v>-19.759785769623701</v>
      </c>
      <c r="AG4077">
        <v>-1.1113429666769901</v>
      </c>
      <c r="AH4077">
        <v>39.724051658162402</v>
      </c>
      <c r="AI4077">
        <v>91.434887333845097</v>
      </c>
      <c r="AJ4077">
        <v>116.446957431454</v>
      </c>
      <c r="AK4077">
        <v>44.381127712028203</v>
      </c>
      <c r="AL4077">
        <v>67.362796961720406</v>
      </c>
      <c r="AM4077">
        <v>98.129523805446993</v>
      </c>
      <c r="AN4077">
        <v>1.0000000095639201</v>
      </c>
    </row>
    <row r="4078" spans="1:40" x14ac:dyDescent="0.25">
      <c r="A4078" t="str">
        <f>"20190304164726393"</f>
        <v>20190304164726393</v>
      </c>
      <c r="B4078" t="str">
        <f>"1551689246382740"</f>
        <v>1551689246382740</v>
      </c>
      <c r="C4078" t="s">
        <v>40</v>
      </c>
      <c r="D4078">
        <v>4.062443</v>
      </c>
      <c r="E4078">
        <v>0.37207820000000003</v>
      </c>
      <c r="F4078" t="s">
        <v>51</v>
      </c>
      <c r="G4078">
        <v>-408.30349999999999</v>
      </c>
      <c r="H4078">
        <v>7.9987929999999999E-2</v>
      </c>
      <c r="I4078">
        <v>125.63509999999999</v>
      </c>
      <c r="J4078">
        <v>-374.05189999999999</v>
      </c>
      <c r="K4078">
        <v>1.1114360000000001</v>
      </c>
      <c r="L4078">
        <v>142.22669999999999</v>
      </c>
      <c r="M4078">
        <v>-0.99983219999999995</v>
      </c>
      <c r="N4078">
        <v>-1.478497E-2</v>
      </c>
      <c r="O4078">
        <v>1.0821620000000001E-2</v>
      </c>
      <c r="P4078">
        <v>-0.92037190000000002</v>
      </c>
      <c r="Q4078">
        <v>0.37171490000000001</v>
      </c>
      <c r="R4078">
        <v>-0.12142409999999999</v>
      </c>
      <c r="S4078">
        <v>-3.102325</v>
      </c>
      <c r="T4078">
        <v>-9.2440369999999994E-2</v>
      </c>
      <c r="U4078">
        <v>-1.4867859999999999</v>
      </c>
      <c r="V4078">
        <v>-0.131767</v>
      </c>
      <c r="W4078">
        <v>0.38512879999999999</v>
      </c>
      <c r="X4078">
        <v>0.91340750000000004</v>
      </c>
      <c r="Y4078">
        <v>-0.44165959999999899</v>
      </c>
      <c r="Z4078">
        <v>-9.8281099999999993E-3</v>
      </c>
      <c r="AA4078">
        <v>0.89712879999999995</v>
      </c>
      <c r="AB4078">
        <v>36</v>
      </c>
      <c r="AC4078">
        <v>-34.251600000000003</v>
      </c>
      <c r="AD4078">
        <v>-1.0314480699999999</v>
      </c>
      <c r="AE4078">
        <v>-16.5916</v>
      </c>
      <c r="AF4078">
        <v>-16.948877647286601</v>
      </c>
      <c r="AG4078">
        <v>-1.0314480699999999</v>
      </c>
      <c r="AH4078">
        <v>34.045020360455503</v>
      </c>
      <c r="AI4078">
        <v>91.553567658065504</v>
      </c>
      <c r="AJ4078">
        <v>116.46583003842601</v>
      </c>
      <c r="AK4078">
        <v>38.044602113409397</v>
      </c>
      <c r="AL4078">
        <v>67.348263395597897</v>
      </c>
      <c r="AM4078">
        <v>98.208785428664299</v>
      </c>
      <c r="AN4078">
        <v>0.99999999796734496</v>
      </c>
    </row>
    <row r="4079" spans="1:40" x14ac:dyDescent="0.25">
      <c r="A4079" t="str">
        <f>"20190304164726415"</f>
        <v>20190304164726415</v>
      </c>
      <c r="B4079" t="str">
        <f>"1551689246412996"</f>
        <v>1551689246412996</v>
      </c>
      <c r="C4079" t="s">
        <v>40</v>
      </c>
      <c r="D4079">
        <v>4.0806180000000003</v>
      </c>
      <c r="E4079">
        <v>0.37272149999999998</v>
      </c>
      <c r="F4079" t="s">
        <v>51</v>
      </c>
      <c r="G4079">
        <v>-407.0179</v>
      </c>
      <c r="H4079">
        <v>7.9987589999999997E-2</v>
      </c>
      <c r="I4079">
        <v>126.4303</v>
      </c>
      <c r="J4079">
        <v>-374.41129999999998</v>
      </c>
      <c r="K4079">
        <v>1.1115409999999999</v>
      </c>
      <c r="L4079">
        <v>142.22989999999999</v>
      </c>
      <c r="M4079">
        <v>-0.99983949999999999</v>
      </c>
      <c r="N4079">
        <v>-1.478197E-2</v>
      </c>
      <c r="O4079">
        <v>1.013415E-2</v>
      </c>
      <c r="P4079">
        <v>-0.92002539999999999</v>
      </c>
      <c r="Q4079">
        <v>0.3719056</v>
      </c>
      <c r="R4079">
        <v>-0.1234502</v>
      </c>
      <c r="S4079">
        <v>-3.1026609999999999</v>
      </c>
      <c r="T4079">
        <v>-9.7076770000000007E-2</v>
      </c>
      <c r="U4079">
        <v>-1.48671</v>
      </c>
      <c r="V4079">
        <v>-0.13325529999999999</v>
      </c>
      <c r="W4079">
        <v>0.3852777</v>
      </c>
      <c r="X4079">
        <v>0.91312879999999996</v>
      </c>
      <c r="Y4079">
        <v>-0.44096629999999998</v>
      </c>
      <c r="Z4079">
        <v>-1.012851E-2</v>
      </c>
      <c r="AA4079">
        <v>0.89746649999999994</v>
      </c>
      <c r="AB4079">
        <v>36</v>
      </c>
      <c r="AC4079">
        <v>-32.6066</v>
      </c>
      <c r="AD4079">
        <v>-1.0315534099999999</v>
      </c>
      <c r="AE4079">
        <v>-15.7995999999999</v>
      </c>
      <c r="AF4079">
        <v>-16.116201765942002</v>
      </c>
      <c r="AG4079">
        <v>-1.0315534099999999</v>
      </c>
      <c r="AH4079">
        <v>32.4185154535244</v>
      </c>
      <c r="AI4079">
        <v>91.632099087924004</v>
      </c>
      <c r="AJ4079">
        <v>116.433328100826</v>
      </c>
      <c r="AK4079">
        <v>36.218175078386203</v>
      </c>
      <c r="AL4079">
        <v>67.339019736560402</v>
      </c>
      <c r="AM4079">
        <v>98.302716473940905</v>
      </c>
      <c r="AN4079">
        <v>1.0000000432424001</v>
      </c>
    </row>
    <row r="4080" spans="1:40" x14ac:dyDescent="0.25">
      <c r="A4080" t="str">
        <f>"20190304164726438"</f>
        <v>20190304164726438</v>
      </c>
      <c r="B4080" t="str">
        <f>"1551689246433492"</f>
        <v>1551689246433492</v>
      </c>
      <c r="C4080" t="s">
        <v>40</v>
      </c>
      <c r="D4080">
        <v>4.0627589999999998</v>
      </c>
      <c r="E4080">
        <v>0.37301040000000002</v>
      </c>
      <c r="F4080" t="s">
        <v>51</v>
      </c>
      <c r="G4080">
        <v>-405.6739</v>
      </c>
      <c r="H4080">
        <v>7.9987249999999996E-2</v>
      </c>
      <c r="I4080">
        <v>127.2206</v>
      </c>
      <c r="J4080">
        <v>-374.78649999999999</v>
      </c>
      <c r="K4080">
        <v>1.111669</v>
      </c>
      <c r="L4080">
        <v>142.2328</v>
      </c>
      <c r="M4080">
        <v>-0.99984790000000001</v>
      </c>
      <c r="N4080">
        <v>-1.4779189999999999E-2</v>
      </c>
      <c r="O4080">
        <v>9.2636330000000003E-3</v>
      </c>
      <c r="P4080">
        <v>-0.91943719999999995</v>
      </c>
      <c r="Q4080">
        <v>0.37252730000000001</v>
      </c>
      <c r="R4080">
        <v>-0.12593080000000001</v>
      </c>
      <c r="S4080">
        <v>-3.1022639999999999</v>
      </c>
      <c r="T4080">
        <v>-0.1023636</v>
      </c>
      <c r="U4080">
        <v>-1.4894099999999999</v>
      </c>
      <c r="V4080">
        <v>-0.13504539999999901</v>
      </c>
      <c r="W4080">
        <v>0.38584740000000001</v>
      </c>
      <c r="X4080">
        <v>0.91262509999999997</v>
      </c>
      <c r="Y4080">
        <v>-0.44084000000000001</v>
      </c>
      <c r="Z4080">
        <v>-1.048255E-2</v>
      </c>
      <c r="AA4080">
        <v>0.89752449999999995</v>
      </c>
      <c r="AB4080">
        <v>36</v>
      </c>
      <c r="AC4080">
        <v>-30.8874</v>
      </c>
      <c r="AD4080">
        <v>-1.03168175</v>
      </c>
      <c r="AE4080">
        <v>-15.012199999999901</v>
      </c>
      <c r="AF4080">
        <v>-15.2839232595322</v>
      </c>
      <c r="AG4080">
        <v>-1.03168175</v>
      </c>
      <c r="AH4080">
        <v>30.7192685644522</v>
      </c>
      <c r="AI4080">
        <v>91.722261863958195</v>
      </c>
      <c r="AJ4080">
        <v>116.451970433613</v>
      </c>
      <c r="AK4080">
        <v>34.326901091876898</v>
      </c>
      <c r="AL4080">
        <v>67.303642622419204</v>
      </c>
      <c r="AM4080">
        <v>98.417242800917904</v>
      </c>
      <c r="AN4080">
        <v>1.00000002464896</v>
      </c>
    </row>
    <row r="4081" spans="1:40" x14ac:dyDescent="0.25">
      <c r="A4081" t="str">
        <f>"20190304164726461"</f>
        <v>20190304164726461</v>
      </c>
      <c r="B4081" t="str">
        <f>"1551689246453012"</f>
        <v>1551689246453012</v>
      </c>
      <c r="C4081" t="s">
        <v>40</v>
      </c>
      <c r="D4081">
        <v>4.0766650000000002</v>
      </c>
      <c r="E4081">
        <v>0.37329509999999999</v>
      </c>
      <c r="F4081" t="s">
        <v>51</v>
      </c>
      <c r="G4081">
        <v>-405.48719999999997</v>
      </c>
      <c r="H4081">
        <v>7.998719E-2</v>
      </c>
      <c r="I4081">
        <v>127.4289</v>
      </c>
      <c r="J4081">
        <v>-375.15809999999999</v>
      </c>
      <c r="K4081">
        <v>1.1117889999999999</v>
      </c>
      <c r="L4081">
        <v>142.2353</v>
      </c>
      <c r="M4081">
        <v>-0.99985670000000004</v>
      </c>
      <c r="N4081">
        <v>-1.477668E-2</v>
      </c>
      <c r="O4081">
        <v>8.2719579999999994E-3</v>
      </c>
      <c r="P4081">
        <v>-0.9189503</v>
      </c>
      <c r="Q4081">
        <v>0.37298320000000001</v>
      </c>
      <c r="R4081">
        <v>-0.1281175</v>
      </c>
      <c r="S4081">
        <v>-3.100311</v>
      </c>
      <c r="T4081">
        <v>-0.1041844</v>
      </c>
      <c r="U4081">
        <v>-1.49498</v>
      </c>
      <c r="V4081">
        <v>-0.1364291</v>
      </c>
      <c r="W4081">
        <v>0.38625429999999999</v>
      </c>
      <c r="X4081">
        <v>0.91224709999999998</v>
      </c>
      <c r="Y4081">
        <v>-0.44147009999999998</v>
      </c>
      <c r="Z4081">
        <v>-1.0609800000000001E-2</v>
      </c>
      <c r="AA4081">
        <v>0.89721319999999904</v>
      </c>
      <c r="AB4081">
        <v>36</v>
      </c>
      <c r="AC4081">
        <v>-30.329099999999901</v>
      </c>
      <c r="AD4081">
        <v>-1.0318018099999999</v>
      </c>
      <c r="AE4081">
        <v>-14.806399999999901</v>
      </c>
      <c r="AF4081">
        <v>-15.042742418772001</v>
      </c>
      <c r="AG4081">
        <v>-1.0318018099999999</v>
      </c>
      <c r="AH4081">
        <v>30.177366347490299</v>
      </c>
      <c r="AI4081">
        <v>91.752714970612104</v>
      </c>
      <c r="AJ4081">
        <v>116.495228943358</v>
      </c>
      <c r="AK4081">
        <v>33.734583947683099</v>
      </c>
      <c r="AL4081">
        <v>67.278369823291598</v>
      </c>
      <c r="AM4081">
        <v>98.505704621555097</v>
      </c>
      <c r="AN4081">
        <v>1.0000000275268499</v>
      </c>
    </row>
    <row r="4082" spans="1:40" x14ac:dyDescent="0.25">
      <c r="A4082" t="str">
        <f>"20190304164726484"</f>
        <v>20190304164726484</v>
      </c>
      <c r="B4082" t="str">
        <f>"1551689246473508"</f>
        <v>1551689246473508</v>
      </c>
      <c r="C4082" t="s">
        <v>40</v>
      </c>
      <c r="D4082">
        <v>4.0805689999999997</v>
      </c>
      <c r="E4082">
        <v>0.3734248</v>
      </c>
      <c r="F4082" t="s">
        <v>51</v>
      </c>
      <c r="G4082">
        <v>-405.17140000000001</v>
      </c>
      <c r="H4082">
        <v>7.9987089999999997E-2</v>
      </c>
      <c r="I4082">
        <v>127.7093</v>
      </c>
      <c r="J4082">
        <v>-375.5061</v>
      </c>
      <c r="K4082">
        <v>1.1118950000000001</v>
      </c>
      <c r="L4082">
        <v>142.2372</v>
      </c>
      <c r="M4082">
        <v>-0.9998648</v>
      </c>
      <c r="N4082">
        <v>-1.4774300000000001E-2</v>
      </c>
      <c r="O4082">
        <v>7.220415E-3</v>
      </c>
      <c r="P4082">
        <v>-0.91841170000000005</v>
      </c>
      <c r="Q4082">
        <v>0.37325039999999998</v>
      </c>
      <c r="R4082">
        <v>-0.13116620000000001</v>
      </c>
      <c r="S4082">
        <v>-3.0987550000000001</v>
      </c>
      <c r="T4082">
        <v>-0.1065295</v>
      </c>
      <c r="U4082">
        <v>-1.4997560000000001</v>
      </c>
      <c r="V4082">
        <v>-0.13861129999999999</v>
      </c>
      <c r="W4082">
        <v>0.38647239999999999</v>
      </c>
      <c r="X4082">
        <v>0.91182569999999996</v>
      </c>
      <c r="Y4082">
        <v>-0.44181219999999999</v>
      </c>
      <c r="Z4082">
        <v>-1.076421E-2</v>
      </c>
      <c r="AA4082">
        <v>0.89704300000000003</v>
      </c>
      <c r="AB4082">
        <v>36</v>
      </c>
      <c r="AC4082">
        <v>-29.665299999999998</v>
      </c>
      <c r="AD4082">
        <v>-1.0319079099999999</v>
      </c>
      <c r="AE4082">
        <v>-14.527900000000001</v>
      </c>
      <c r="AF4082">
        <v>-14.7273673972318</v>
      </c>
      <c r="AG4082">
        <v>-1.0319079099999999</v>
      </c>
      <c r="AH4082">
        <v>29.5307974452945</v>
      </c>
      <c r="AI4082">
        <v>91.791081901250706</v>
      </c>
      <c r="AJ4082">
        <v>116.50598994091899</v>
      </c>
      <c r="AK4082">
        <v>33.0155748419254</v>
      </c>
      <c r="AL4082">
        <v>67.264822272268106</v>
      </c>
      <c r="AM4082">
        <v>98.643649744356495</v>
      </c>
      <c r="AN4082">
        <v>1.0000000578149599</v>
      </c>
    </row>
    <row r="4083" spans="1:40" x14ac:dyDescent="0.25">
      <c r="A4083" t="str">
        <f>"20190304164726504"</f>
        <v>20190304164726504</v>
      </c>
      <c r="B4083" t="str">
        <f>"1551689246493029"</f>
        <v>1551689246493029</v>
      </c>
      <c r="C4083" t="s">
        <v>40</v>
      </c>
      <c r="D4083">
        <v>4.0731570000000001</v>
      </c>
      <c r="E4083">
        <v>0.37353710000000001</v>
      </c>
      <c r="F4083" t="s">
        <v>51</v>
      </c>
      <c r="G4083">
        <v>-404.59289999999999</v>
      </c>
      <c r="H4083">
        <v>7.9987059999999999E-2</v>
      </c>
      <c r="I4083">
        <v>128.0727</v>
      </c>
      <c r="J4083">
        <v>-375.8519</v>
      </c>
      <c r="K4083">
        <v>1.112009</v>
      </c>
      <c r="L4083">
        <v>142.23859999999999</v>
      </c>
      <c r="M4083">
        <v>-0.9998726</v>
      </c>
      <c r="N4083">
        <v>-1.4771980000000001E-2</v>
      </c>
      <c r="O4083">
        <v>6.0472919999999897E-3</v>
      </c>
      <c r="P4083">
        <v>-0.91791730000000005</v>
      </c>
      <c r="Q4083">
        <v>0.37349149999999998</v>
      </c>
      <c r="R4083">
        <v>-0.13391049999999999</v>
      </c>
      <c r="S4083">
        <v>-3.0958559999999999</v>
      </c>
      <c r="T4083">
        <v>-0.1098311</v>
      </c>
      <c r="U4083">
        <v>-1.5075989999999999</v>
      </c>
      <c r="V4083">
        <v>-0.14038010000000001</v>
      </c>
      <c r="W4083">
        <v>0.38666539999999999</v>
      </c>
      <c r="X4083">
        <v>0.91147319999999998</v>
      </c>
      <c r="Y4083">
        <v>-0.44291009999999997</v>
      </c>
      <c r="Z4083">
        <v>-1.100221E-2</v>
      </c>
      <c r="AA4083">
        <v>0.89649849999999998</v>
      </c>
      <c r="AB4083">
        <v>36</v>
      </c>
      <c r="AC4083">
        <v>-28.7409999999999</v>
      </c>
      <c r="AD4083">
        <v>-1.0320219399999999</v>
      </c>
      <c r="AE4083">
        <v>-14.165899999999899</v>
      </c>
      <c r="AF4083">
        <v>-14.324605426038501</v>
      </c>
      <c r="AG4083">
        <v>-1.0320219399999999</v>
      </c>
      <c r="AH4083">
        <v>28.625105320512699</v>
      </c>
      <c r="AI4083">
        <v>91.8466554971492</v>
      </c>
      <c r="AJ4083">
        <v>116.584347701263</v>
      </c>
      <c r="AK4083">
        <v>32.025865242125398</v>
      </c>
      <c r="AL4083">
        <v>67.252831868506505</v>
      </c>
      <c r="AM4083">
        <v>98.755585195829894</v>
      </c>
      <c r="AN4083">
        <v>1.0000000491757</v>
      </c>
    </row>
    <row r="4084" spans="1:40" x14ac:dyDescent="0.25">
      <c r="A4084" t="str">
        <f>"20190304164726528"</f>
        <v>20190304164726528</v>
      </c>
      <c r="B4084" t="str">
        <f>"1551689246523284"</f>
        <v>1551689246523284</v>
      </c>
      <c r="C4084" t="s">
        <v>40</v>
      </c>
      <c r="D4084">
        <v>4.0993079999999997</v>
      </c>
      <c r="E4084">
        <v>0.37359799999999999</v>
      </c>
      <c r="F4084" t="s">
        <v>51</v>
      </c>
      <c r="G4084">
        <v>-404.07569999999998</v>
      </c>
      <c r="H4084">
        <v>7.9987089999999997E-2</v>
      </c>
      <c r="I4084">
        <v>128.42349999999999</v>
      </c>
      <c r="J4084">
        <v>-376.21749999999997</v>
      </c>
      <c r="K4084">
        <v>1.1121319999999999</v>
      </c>
      <c r="L4084">
        <v>142.23949999999999</v>
      </c>
      <c r="M4084">
        <v>-0.99987999999999999</v>
      </c>
      <c r="N4084">
        <v>-1.476968E-2</v>
      </c>
      <c r="O4084">
        <v>4.6695410000000001E-3</v>
      </c>
      <c r="P4084">
        <v>-0.91724470000000002</v>
      </c>
      <c r="Q4084">
        <v>0.37407099999999999</v>
      </c>
      <c r="R4084">
        <v>-0.1368684</v>
      </c>
      <c r="S4084">
        <v>-3.0933839999999999</v>
      </c>
      <c r="T4084">
        <v>-0.1131117</v>
      </c>
      <c r="U4084">
        <v>-1.51416</v>
      </c>
      <c r="V4084">
        <v>-0.1421856</v>
      </c>
      <c r="W4084">
        <v>0.38718950000000002</v>
      </c>
      <c r="X4084">
        <v>0.91097059999999996</v>
      </c>
      <c r="Y4084">
        <v>-0.4434747</v>
      </c>
      <c r="Z4084">
        <v>-1.1219389999999999E-2</v>
      </c>
      <c r="AA4084">
        <v>0.89621669999999998</v>
      </c>
      <c r="AB4084">
        <v>36</v>
      </c>
      <c r="AC4084">
        <v>-27.8582</v>
      </c>
      <c r="AD4084">
        <v>-1.03214491</v>
      </c>
      <c r="AE4084">
        <v>-13.816000000000001</v>
      </c>
      <c r="AF4084">
        <v>-13.9306008805271</v>
      </c>
      <c r="AG4084">
        <v>-1.03214491</v>
      </c>
      <c r="AH4084">
        <v>27.762787900783898</v>
      </c>
      <c r="AI4084">
        <v>91.903168472531306</v>
      </c>
      <c r="AJ4084">
        <v>116.646234670539</v>
      </c>
      <c r="AK4084">
        <v>31.078921410365801</v>
      </c>
      <c r="AL4084">
        <v>67.220264119326899</v>
      </c>
      <c r="AM4084">
        <v>98.871231110887607</v>
      </c>
      <c r="AN4084">
        <v>0.99999994391098301</v>
      </c>
    </row>
    <row r="4085" spans="1:40" x14ac:dyDescent="0.25">
      <c r="A4085" t="str">
        <f>"20190304164726550"</f>
        <v>20190304164726550</v>
      </c>
      <c r="B4085" t="str">
        <f>"1551689246542807"</f>
        <v>1551689246542807</v>
      </c>
      <c r="C4085" t="s">
        <v>40</v>
      </c>
      <c r="D4085">
        <v>4.0933149999999996</v>
      </c>
      <c r="E4085">
        <v>0.37363780000000002</v>
      </c>
      <c r="F4085" t="s">
        <v>51</v>
      </c>
      <c r="G4085">
        <v>-403.62759999999997</v>
      </c>
      <c r="H4085">
        <v>7.9987069999999993E-2</v>
      </c>
      <c r="I4085">
        <v>128.7466</v>
      </c>
      <c r="J4085">
        <v>-376.58319999999998</v>
      </c>
      <c r="K4085">
        <v>1.1122570000000001</v>
      </c>
      <c r="L4085">
        <v>142.2397</v>
      </c>
      <c r="M4085">
        <v>-0.99988600000000005</v>
      </c>
      <c r="N4085">
        <v>-1.476776E-2</v>
      </c>
      <c r="O4085">
        <v>3.1584870000000002E-3</v>
      </c>
      <c r="P4085">
        <v>-0.91660359999999996</v>
      </c>
      <c r="Q4085">
        <v>0.37443409999999999</v>
      </c>
      <c r="R4085">
        <v>-0.1401316</v>
      </c>
      <c r="S4085">
        <v>-3.0910639999999998</v>
      </c>
      <c r="T4085">
        <v>-0.116396</v>
      </c>
      <c r="U4085">
        <v>-1.521606</v>
      </c>
      <c r="V4085">
        <v>-0.14417759999999999</v>
      </c>
      <c r="W4085">
        <v>0.38749679999999997</v>
      </c>
      <c r="X4085">
        <v>0.91052679999999997</v>
      </c>
      <c r="Y4085">
        <v>-0.44410769999999999</v>
      </c>
      <c r="Z4085">
        <v>-1.1432970000000001E-2</v>
      </c>
      <c r="AA4085">
        <v>0.89590049999999899</v>
      </c>
      <c r="AB4085">
        <v>36</v>
      </c>
      <c r="AC4085">
        <v>-27.0444</v>
      </c>
      <c r="AD4085">
        <v>-1.03226993</v>
      </c>
      <c r="AE4085">
        <v>-13.493099999999901</v>
      </c>
      <c r="AF4085">
        <v>-13.5626401703712</v>
      </c>
      <c r="AG4085">
        <v>-1.03226993</v>
      </c>
      <c r="AH4085">
        <v>26.9701811537089</v>
      </c>
      <c r="AI4085">
        <v>91.958427476343402</v>
      </c>
      <c r="AJ4085">
        <v>116.69669736848699</v>
      </c>
      <c r="AK4085">
        <v>30.205983861864599</v>
      </c>
      <c r="AL4085">
        <v>67.201167660046295</v>
      </c>
      <c r="AM4085">
        <v>98.997809878343205</v>
      </c>
      <c r="AN4085">
        <v>1.0000000019351101</v>
      </c>
    </row>
    <row r="4086" spans="1:40" x14ac:dyDescent="0.25">
      <c r="A4086" t="str">
        <f>"20190304164726572"</f>
        <v>20190304164726572</v>
      </c>
      <c r="B4086" t="str">
        <f>"1551689246563300"</f>
        <v>1551689246563300</v>
      </c>
      <c r="C4086" t="s">
        <v>40</v>
      </c>
      <c r="D4086">
        <v>4.1034119999999996</v>
      </c>
      <c r="E4086">
        <v>0.3735926</v>
      </c>
      <c r="F4086" t="s">
        <v>51</v>
      </c>
      <c r="G4086">
        <v>-403.51569999999998</v>
      </c>
      <c r="H4086">
        <v>7.9987050000000004E-2</v>
      </c>
      <c r="I4086">
        <v>128.88570000000001</v>
      </c>
      <c r="J4086">
        <v>-376.92649999999998</v>
      </c>
      <c r="K4086">
        <v>1.112371</v>
      </c>
      <c r="L4086">
        <v>142.23939999999999</v>
      </c>
      <c r="M4086">
        <v>-0.99988980000000005</v>
      </c>
      <c r="N4086">
        <v>-1.4766130000000001E-2</v>
      </c>
      <c r="O4086">
        <v>1.6220119999999999E-3</v>
      </c>
      <c r="P4086">
        <v>-0.91631309999999999</v>
      </c>
      <c r="Q4086">
        <v>0.37406020000000001</v>
      </c>
      <c r="R4086">
        <v>-0.14300289999999999</v>
      </c>
      <c r="S4086">
        <v>-3.0872799999999998</v>
      </c>
      <c r="T4086">
        <v>-0.1183293</v>
      </c>
      <c r="U4086">
        <v>-1.5307770000000001</v>
      </c>
      <c r="V4086">
        <v>-0.14574619999999999</v>
      </c>
      <c r="W4086">
        <v>0.38707570000000002</v>
      </c>
      <c r="X4086">
        <v>0.91045620000000005</v>
      </c>
      <c r="Y4086">
        <v>-0.44529289999999999</v>
      </c>
      <c r="Z4086">
        <v>-1.1568449999999999E-2</v>
      </c>
      <c r="AA4086">
        <v>0.89531019999999994</v>
      </c>
      <c r="AB4086">
        <v>36</v>
      </c>
      <c r="AC4086">
        <v>-26.589200000000002</v>
      </c>
      <c r="AD4086">
        <v>-1.0323839500000001</v>
      </c>
      <c r="AE4086">
        <v>-13.3536999999999</v>
      </c>
      <c r="AF4086">
        <v>-13.380706160811799</v>
      </c>
      <c r="AG4086">
        <v>-1.0323839500000001</v>
      </c>
      <c r="AH4086">
        <v>26.5355567673294</v>
      </c>
      <c r="AI4086">
        <v>91.989595921603197</v>
      </c>
      <c r="AJ4086">
        <v>116.75978655485299</v>
      </c>
      <c r="AK4086">
        <v>29.736255428926601</v>
      </c>
      <c r="AL4086">
        <v>67.227337684356499</v>
      </c>
      <c r="AM4086">
        <v>99.0947689095334</v>
      </c>
      <c r="AN4086">
        <v>1.0000000222316801</v>
      </c>
    </row>
    <row r="4087" spans="1:40" x14ac:dyDescent="0.25">
      <c r="A4087" t="str">
        <f>"20190304164726596"</f>
        <v>20190304164726596</v>
      </c>
      <c r="B4087" t="str">
        <f>"1551689246582820"</f>
        <v>1551689246582820</v>
      </c>
      <c r="C4087" t="s">
        <v>40</v>
      </c>
      <c r="D4087">
        <v>4.0859230000000002</v>
      </c>
      <c r="E4087">
        <v>0.37356099999999998</v>
      </c>
      <c r="F4087" t="s">
        <v>51</v>
      </c>
      <c r="G4087">
        <v>-402.68520000000001</v>
      </c>
      <c r="H4087">
        <v>7.9987050000000004E-2</v>
      </c>
      <c r="I4087">
        <v>129.39109999999999</v>
      </c>
      <c r="J4087">
        <v>-377.28809999999999</v>
      </c>
      <c r="K4087">
        <v>1.112484</v>
      </c>
      <c r="L4087">
        <v>142.23830000000001</v>
      </c>
      <c r="M4087">
        <v>-0.99989099999999997</v>
      </c>
      <c r="N4087">
        <v>-1.476446E-2</v>
      </c>
      <c r="O4087">
        <v>-1.115199E-4</v>
      </c>
      <c r="P4087">
        <v>-0.91600199999999998</v>
      </c>
      <c r="Q4087">
        <v>0.37389349999999999</v>
      </c>
      <c r="R4087">
        <v>-0.1454104</v>
      </c>
      <c r="S4087">
        <v>-3.0843509999999998</v>
      </c>
      <c r="T4087">
        <v>-0.12361800000000001</v>
      </c>
      <c r="U4087">
        <v>-1.5384519999999999</v>
      </c>
      <c r="V4087">
        <v>-0.14667289999999999</v>
      </c>
      <c r="W4087">
        <v>0.38686280000000001</v>
      </c>
      <c r="X4087">
        <v>0.91039780000000003</v>
      </c>
      <c r="Y4087">
        <v>-0.44583539999999999</v>
      </c>
      <c r="Z4087">
        <v>-1.190869E-2</v>
      </c>
      <c r="AA4087">
        <v>0.89503569999999999</v>
      </c>
      <c r="AB4087">
        <v>36</v>
      </c>
      <c r="AC4087">
        <v>-25.397099999999998</v>
      </c>
      <c r="AD4087">
        <v>-1.0324969500000001</v>
      </c>
      <c r="AE4087">
        <v>-12.847200000000001</v>
      </c>
      <c r="AF4087">
        <v>-12.8274862507853</v>
      </c>
      <c r="AG4087">
        <v>-1.0324969500000001</v>
      </c>
      <c r="AH4087">
        <v>25.365151965861401</v>
      </c>
      <c r="AI4087">
        <v>92.080329863765598</v>
      </c>
      <c r="AJ4087">
        <v>116.826315427651</v>
      </c>
      <c r="AK4087">
        <v>28.442949701412601</v>
      </c>
      <c r="AL4087">
        <v>67.240565086967607</v>
      </c>
      <c r="AM4087">
        <v>99.152197893147999</v>
      </c>
      <c r="AN4087">
        <v>0.999999959931544</v>
      </c>
    </row>
    <row r="4088" spans="1:40" x14ac:dyDescent="0.25">
      <c r="A4088" t="str">
        <f>"20190304164726617"</f>
        <v>20190304164726617</v>
      </c>
      <c r="B4088" t="str">
        <f>"1551689246613076"</f>
        <v>1551689246613076</v>
      </c>
      <c r="C4088" t="s">
        <v>40</v>
      </c>
      <c r="D4088">
        <v>4.1204090000000004</v>
      </c>
      <c r="E4088">
        <v>0.37358849999999999</v>
      </c>
      <c r="F4088" t="s">
        <v>51</v>
      </c>
      <c r="G4088">
        <v>-402.4973</v>
      </c>
      <c r="H4088">
        <v>7.7718800000000005E-2</v>
      </c>
      <c r="I4088">
        <v>129.58860000000001</v>
      </c>
      <c r="J4088">
        <v>-377.65069999999997</v>
      </c>
      <c r="K4088">
        <v>1.1125989999999999</v>
      </c>
      <c r="L4088">
        <v>142.2364</v>
      </c>
      <c r="M4088">
        <v>-0.99988920000000003</v>
      </c>
      <c r="N4088">
        <v>-1.4762859999999999E-2</v>
      </c>
      <c r="O4088">
        <v>-1.9723000000000002E-3</v>
      </c>
      <c r="P4088">
        <v>-0.91538520000000001</v>
      </c>
      <c r="Q4088">
        <v>0.37406299999999998</v>
      </c>
      <c r="R4088">
        <v>-0.1488196</v>
      </c>
      <c r="S4088">
        <v>-3.0812680000000001</v>
      </c>
      <c r="T4088">
        <v>-0.1264769</v>
      </c>
      <c r="U4088">
        <v>-1.546143</v>
      </c>
      <c r="V4088">
        <v>-0.14848049999999999</v>
      </c>
      <c r="W4088">
        <v>0.38698070000000001</v>
      </c>
      <c r="X4088">
        <v>0.91005460000000005</v>
      </c>
      <c r="Y4088">
        <v>-0.44629750000000001</v>
      </c>
      <c r="Z4088">
        <v>-1.207478E-2</v>
      </c>
      <c r="AA4088">
        <v>0.89480319999999902</v>
      </c>
      <c r="AB4088">
        <v>36</v>
      </c>
      <c r="AC4088">
        <v>-24.846599999999999</v>
      </c>
      <c r="AD4088">
        <v>-1.0348801999999999</v>
      </c>
      <c r="AE4088">
        <v>-12.647799999999901</v>
      </c>
      <c r="AF4088">
        <v>-12.581430658072</v>
      </c>
      <c r="AG4088">
        <v>-1.0348801999999999</v>
      </c>
      <c r="AH4088">
        <v>24.8372793102596</v>
      </c>
      <c r="AI4088">
        <v>92.128681816072202</v>
      </c>
      <c r="AJ4088">
        <v>116.864689894162</v>
      </c>
      <c r="AK4088">
        <v>27.861331948922999</v>
      </c>
      <c r="AL4088">
        <v>67.233239043206694</v>
      </c>
      <c r="AM4088">
        <v>99.266478907806899</v>
      </c>
      <c r="AN4088">
        <v>0.99999994801694803</v>
      </c>
    </row>
    <row r="4089" spans="1:40" x14ac:dyDescent="0.25">
      <c r="A4089" t="str">
        <f>"20190304164726640"</f>
        <v>20190304164726640</v>
      </c>
      <c r="B4089" t="str">
        <f>"1551689246633572"</f>
        <v>1551689246633572</v>
      </c>
      <c r="C4089" t="s">
        <v>40</v>
      </c>
      <c r="D4089">
        <v>4.118919</v>
      </c>
      <c r="E4089">
        <v>0.38977869999999998</v>
      </c>
      <c r="F4089" t="s">
        <v>51</v>
      </c>
      <c r="G4089">
        <v>-402.64280000000002</v>
      </c>
      <c r="H4089">
        <v>6.2131350000000002E-2</v>
      </c>
      <c r="I4089">
        <v>129.60419999999999</v>
      </c>
      <c r="J4089">
        <v>-378.01889999999997</v>
      </c>
      <c r="K4089">
        <v>1.1126969999999901</v>
      </c>
      <c r="L4089">
        <v>142.2337</v>
      </c>
      <c r="M4089">
        <v>-0.99988330000000003</v>
      </c>
      <c r="N4089">
        <v>-1.4761150000000001E-2</v>
      </c>
      <c r="O4089">
        <v>-3.9546809999999998E-3</v>
      </c>
      <c r="P4089">
        <v>-0.91489810000000005</v>
      </c>
      <c r="Q4089">
        <v>0.37409910000000002</v>
      </c>
      <c r="R4089">
        <v>-0.15169489999999999</v>
      </c>
      <c r="S4089">
        <v>-3.0773009999999998</v>
      </c>
      <c r="T4089">
        <v>-0.1293453</v>
      </c>
      <c r="U4089">
        <v>-1.55542</v>
      </c>
      <c r="V4089">
        <v>-0.14963309999999999</v>
      </c>
      <c r="W4089">
        <v>0.38697320000000002</v>
      </c>
      <c r="X4089">
        <v>0.90986909999999999</v>
      </c>
      <c r="Y4089">
        <v>-0.44712000000000002</v>
      </c>
      <c r="Z4089">
        <v>-1.224724E-2</v>
      </c>
      <c r="AA4089">
        <v>0.89439020000000002</v>
      </c>
      <c r="AB4089">
        <v>36</v>
      </c>
      <c r="AC4089">
        <v>-24.623899999999999</v>
      </c>
      <c r="AD4089">
        <v>-1.05056564999999</v>
      </c>
      <c r="AE4089">
        <v>-12.6295</v>
      </c>
      <c r="AF4089">
        <v>-12.5139764799001</v>
      </c>
      <c r="AG4089">
        <v>-1.05056564999999</v>
      </c>
      <c r="AH4089">
        <v>24.638151317114801</v>
      </c>
      <c r="AI4089">
        <v>92.177172974227602</v>
      </c>
      <c r="AJ4089">
        <v>116.92649464403399</v>
      </c>
      <c r="AK4089">
        <v>27.6539652825684</v>
      </c>
      <c r="AL4089">
        <v>67.233707537475894</v>
      </c>
      <c r="AM4089">
        <v>99.3390192274573</v>
      </c>
      <c r="AN4089">
        <v>1.0000000506343201</v>
      </c>
    </row>
    <row r="4090" spans="1:40" x14ac:dyDescent="0.25">
      <c r="A4090" t="str">
        <f>"20190304164726661"</f>
        <v>20190304164726661</v>
      </c>
      <c r="B4090" t="str">
        <f>"1551689246653092"</f>
        <v>1551689246653092</v>
      </c>
      <c r="C4090" t="s">
        <v>40</v>
      </c>
      <c r="D4090">
        <v>4.1194989999999896</v>
      </c>
      <c r="E4090">
        <v>0.3901057</v>
      </c>
      <c r="F4090" t="s">
        <v>41</v>
      </c>
      <c r="G4090">
        <v>-378.96519999999998</v>
      </c>
      <c r="H4090">
        <v>1.0603180000000001</v>
      </c>
      <c r="I4090">
        <v>141.79580000000001</v>
      </c>
      <c r="J4090">
        <v>-378.35919999999999</v>
      </c>
      <c r="K4090">
        <v>1.112778</v>
      </c>
      <c r="L4090">
        <v>142.23060000000001</v>
      </c>
      <c r="M4090">
        <v>-0.99987389999999998</v>
      </c>
      <c r="N4090">
        <v>-1.4759390000000001E-2</v>
      </c>
      <c r="O4090">
        <v>-5.8683269999999996E-3</v>
      </c>
      <c r="P4090">
        <v>-0.91405040000000004</v>
      </c>
      <c r="Q4090">
        <v>0.37493510000000002</v>
      </c>
      <c r="R4090">
        <v>-0.15471190000000001</v>
      </c>
      <c r="S4090">
        <v>-3.1105960000000001</v>
      </c>
      <c r="T4090">
        <v>-0.17215539999999999</v>
      </c>
      <c r="U4090">
        <v>-1.4404749999999999</v>
      </c>
      <c r="V4090">
        <v>-0.1509828</v>
      </c>
      <c r="W4090">
        <v>0.38776450000000001</v>
      </c>
      <c r="X4090">
        <v>0.90930900000000003</v>
      </c>
      <c r="Y4090">
        <v>-0.41420220000000002</v>
      </c>
      <c r="Z4090">
        <v>-1.387993E-2</v>
      </c>
      <c r="AA4090">
        <v>0.91007910000000003</v>
      </c>
      <c r="AB4090">
        <v>36</v>
      </c>
      <c r="AC4090">
        <v>-0.60599999999999399</v>
      </c>
      <c r="AD4090">
        <v>-5.2459999999999903E-2</v>
      </c>
      <c r="AE4090">
        <v>-0.43479999999999502</v>
      </c>
      <c r="AF4090">
        <v>-0.42911301929588602</v>
      </c>
      <c r="AG4090">
        <v>-5.2459999999999903E-2</v>
      </c>
      <c r="AH4090">
        <v>0.605545646819452</v>
      </c>
      <c r="AI4090">
        <v>94.043178945361703</v>
      </c>
      <c r="AJ4090">
        <v>125.32285860387501</v>
      </c>
      <c r="AK4090">
        <v>0.74402658911575204</v>
      </c>
      <c r="AL4090">
        <v>67.1845282574061</v>
      </c>
      <c r="AM4090">
        <v>99.427453236144999</v>
      </c>
      <c r="AN4090">
        <v>0.99999998541854496</v>
      </c>
    </row>
    <row r="4091" spans="1:40" x14ac:dyDescent="0.25">
      <c r="A4091" t="str">
        <f>"20190304164726685"</f>
        <v>20190304164726685</v>
      </c>
      <c r="B4091" t="str">
        <f>"1551689246673589"</f>
        <v>1551689246673589</v>
      </c>
      <c r="C4091" t="s">
        <v>40</v>
      </c>
      <c r="D4091">
        <v>4.1186360000000004</v>
      </c>
      <c r="E4091">
        <v>0.3902545</v>
      </c>
      <c r="F4091" t="s">
        <v>41</v>
      </c>
      <c r="G4091">
        <v>-379.2851</v>
      </c>
      <c r="H4091">
        <v>1.061258</v>
      </c>
      <c r="I4091">
        <v>141.79929999999999</v>
      </c>
      <c r="J4091">
        <v>-378.72289999999998</v>
      </c>
      <c r="K4091">
        <v>1.1128659999999999</v>
      </c>
      <c r="L4091">
        <v>142.22640000000001</v>
      </c>
      <c r="M4091">
        <v>-0.99985919999999895</v>
      </c>
      <c r="N4091">
        <v>-1.475741E-2</v>
      </c>
      <c r="O4091">
        <v>-8.0043979999999994E-3</v>
      </c>
      <c r="P4091">
        <v>-0.91306129999999996</v>
      </c>
      <c r="Q4091">
        <v>0.37596400000000002</v>
      </c>
      <c r="R4091">
        <v>-0.15801999999999999</v>
      </c>
      <c r="S4091">
        <v>-3.1080019999999999</v>
      </c>
      <c r="T4091">
        <v>-0.17293699999999901</v>
      </c>
      <c r="U4091">
        <v>-1.447708</v>
      </c>
      <c r="V4091">
        <v>-0.15242929999999999</v>
      </c>
      <c r="W4091">
        <v>0.38874399999999998</v>
      </c>
      <c r="X4091">
        <v>0.90864920000000005</v>
      </c>
      <c r="Y4091">
        <v>-0.41428549999999997</v>
      </c>
      <c r="Z4091">
        <v>-1.3852130000000001E-2</v>
      </c>
      <c r="AA4091">
        <v>0.91004160000000001</v>
      </c>
      <c r="AB4091">
        <v>36</v>
      </c>
      <c r="AC4091">
        <v>-0.56220000000001802</v>
      </c>
      <c r="AD4091">
        <v>-5.16079999999998E-2</v>
      </c>
      <c r="AE4091">
        <v>-0.42710000000002402</v>
      </c>
      <c r="AF4091">
        <v>-0.42033988524535998</v>
      </c>
      <c r="AG4091">
        <v>-5.16079999999998E-2</v>
      </c>
      <c r="AH4091">
        <v>0.56259510189304596</v>
      </c>
      <c r="AI4091">
        <v>94.2028964134593</v>
      </c>
      <c r="AJ4091">
        <v>126.765048075954</v>
      </c>
      <c r="AK4091">
        <v>0.70417487420819602</v>
      </c>
      <c r="AL4091">
        <v>67.123629524282407</v>
      </c>
      <c r="AM4091">
        <v>99.522912746685606</v>
      </c>
      <c r="AN4091">
        <v>0.99999997884756398</v>
      </c>
    </row>
    <row r="4092" spans="1:40" x14ac:dyDescent="0.25">
      <c r="A4092" t="str">
        <f>"20190304164726706"</f>
        <v>20190304164726706</v>
      </c>
      <c r="B4092" t="str">
        <f>"1551689246702868"</f>
        <v>1551689246702868</v>
      </c>
      <c r="C4092" t="s">
        <v>40</v>
      </c>
      <c r="D4092">
        <v>4.1304280000000002</v>
      </c>
      <c r="E4092">
        <v>0.39038</v>
      </c>
      <c r="F4092" t="s">
        <v>41</v>
      </c>
      <c r="G4092">
        <v>-379.66750000000002</v>
      </c>
      <c r="H4092">
        <v>1.0613490000000001</v>
      </c>
      <c r="I4092">
        <v>141.78309999999999</v>
      </c>
      <c r="J4092">
        <v>-379.06610000000001</v>
      </c>
      <c r="K4092">
        <v>1.1129560000000001</v>
      </c>
      <c r="L4092">
        <v>142.2216</v>
      </c>
      <c r="M4092">
        <v>-0.99984010000000001</v>
      </c>
      <c r="N4092">
        <v>-1.4755849999999999E-2</v>
      </c>
      <c r="O4092">
        <v>-1.010515E-2</v>
      </c>
      <c r="P4092">
        <v>-0.91214189999999995</v>
      </c>
      <c r="Q4092">
        <v>0.3768339</v>
      </c>
      <c r="R4092">
        <v>-0.16122529999999999</v>
      </c>
      <c r="S4092">
        <v>-3.1031490000000002</v>
      </c>
      <c r="T4092">
        <v>-0.1692266</v>
      </c>
      <c r="U4092">
        <v>-1.457077</v>
      </c>
      <c r="V4092">
        <v>-0.15380469999999999</v>
      </c>
      <c r="W4092">
        <v>0.38956760000000001</v>
      </c>
      <c r="X4092">
        <v>0.90806450000000005</v>
      </c>
      <c r="Y4092">
        <v>-0.41519660000000003</v>
      </c>
      <c r="Z4092">
        <v>-1.358794E-2</v>
      </c>
      <c r="AA4092">
        <v>0.90963020000000006</v>
      </c>
      <c r="AB4092">
        <v>36</v>
      </c>
      <c r="AC4092">
        <v>-0.60140000000001204</v>
      </c>
      <c r="AD4092">
        <v>-5.1607000000000097E-2</v>
      </c>
      <c r="AE4092">
        <v>-0.438500000000004</v>
      </c>
      <c r="AF4092">
        <v>-0.43033081464988099</v>
      </c>
      <c r="AG4092">
        <v>-5.1607000000000097E-2</v>
      </c>
      <c r="AH4092">
        <v>0.60290231624059998</v>
      </c>
      <c r="AI4092">
        <v>93.985401873238303</v>
      </c>
      <c r="AJ4092">
        <v>125.51793278869501</v>
      </c>
      <c r="AK4092">
        <v>0.74252211779482402</v>
      </c>
      <c r="AL4092">
        <v>67.072402345708596</v>
      </c>
      <c r="AM4092">
        <v>99.613315923885395</v>
      </c>
      <c r="AN4092">
        <v>0.99999996843604899</v>
      </c>
    </row>
    <row r="4093" spans="1:40" x14ac:dyDescent="0.25">
      <c r="A4093" t="str">
        <f>"20190304164726730"</f>
        <v>20190304164726730</v>
      </c>
      <c r="B4093" t="str">
        <f>"1551689246723364"</f>
        <v>1551689246723364</v>
      </c>
      <c r="C4093" t="s">
        <v>40</v>
      </c>
      <c r="D4093">
        <v>4.1431170000000002</v>
      </c>
      <c r="E4093">
        <v>0.3902236</v>
      </c>
      <c r="F4093" t="s">
        <v>42</v>
      </c>
      <c r="G4093">
        <v>-399.7747</v>
      </c>
      <c r="H4093" s="1">
        <v>-1.97946E-6</v>
      </c>
      <c r="I4093">
        <v>132.41249999999999</v>
      </c>
      <c r="J4093">
        <v>-379.43009999999998</v>
      </c>
      <c r="K4093">
        <v>1.113059</v>
      </c>
      <c r="L4093">
        <v>142.2157</v>
      </c>
      <c r="M4093">
        <v>-0.99981399999999998</v>
      </c>
      <c r="N4093">
        <v>-1.4754649999999999E-2</v>
      </c>
      <c r="O4093">
        <v>-1.2428359999999999E-2</v>
      </c>
      <c r="P4093">
        <v>-0.91127610000000003</v>
      </c>
      <c r="Q4093">
        <v>0.37756849999999997</v>
      </c>
      <c r="R4093">
        <v>-0.16437179999999901</v>
      </c>
      <c r="S4093">
        <v>-3.0983580000000002</v>
      </c>
      <c r="T4093">
        <v>-0.16651830000000001</v>
      </c>
      <c r="U4093">
        <v>-1.467606</v>
      </c>
      <c r="V4093">
        <v>-0.15492999999999901</v>
      </c>
      <c r="W4093">
        <v>0.39025399999999999</v>
      </c>
      <c r="X4093">
        <v>0.90757840000000001</v>
      </c>
      <c r="Y4093">
        <v>-0.41616979999999998</v>
      </c>
      <c r="Z4093">
        <v>-1.33802E-2</v>
      </c>
      <c r="AA4093">
        <v>0.90918849999999996</v>
      </c>
      <c r="AB4093">
        <v>36</v>
      </c>
      <c r="AC4093">
        <v>-20.3446</v>
      </c>
      <c r="AD4093">
        <v>-1.1130609794599999</v>
      </c>
      <c r="AE4093">
        <v>-9.8032000000000004</v>
      </c>
      <c r="AF4093">
        <v>-9.5264235920973395</v>
      </c>
      <c r="AG4093">
        <v>-1.1130609794599999</v>
      </c>
      <c r="AH4093">
        <v>20.415286501526602</v>
      </c>
      <c r="AI4093">
        <v>92.828491498725697</v>
      </c>
      <c r="AJ4093">
        <v>115.01525692659</v>
      </c>
      <c r="AK4093">
        <v>22.556054046297199</v>
      </c>
      <c r="AL4093">
        <v>67.029695560737807</v>
      </c>
      <c r="AM4093">
        <v>99.687411888641194</v>
      </c>
      <c r="AN4093">
        <v>1.00000002078127</v>
      </c>
    </row>
    <row r="4094" spans="1:40" x14ac:dyDescent="0.25">
      <c r="A4094" t="str">
        <f>"20190304164726751"</f>
        <v>20190304164726751</v>
      </c>
      <c r="B4094" t="str">
        <f>"1551689246742884"</f>
        <v>1551689246742884</v>
      </c>
      <c r="C4094" t="s">
        <v>40</v>
      </c>
      <c r="D4094">
        <v>4.1643309999999998</v>
      </c>
      <c r="E4094">
        <v>0.39022820000000003</v>
      </c>
      <c r="F4094" t="s">
        <v>51</v>
      </c>
      <c r="G4094">
        <v>-400.64190000000002</v>
      </c>
      <c r="H4094" s="1">
        <v>-1.72527E-6</v>
      </c>
      <c r="I4094">
        <v>132.04949999999999</v>
      </c>
      <c r="J4094">
        <v>-379.77859999999998</v>
      </c>
      <c r="K4094">
        <v>1.1131530000000001</v>
      </c>
      <c r="L4094">
        <v>142.20910000000001</v>
      </c>
      <c r="M4094">
        <v>-0.99978230000000001</v>
      </c>
      <c r="N4094">
        <v>-1.4753860000000001E-2</v>
      </c>
      <c r="O4094">
        <v>-1.4752700000000001E-2</v>
      </c>
      <c r="P4094">
        <v>-0.91091739999999999</v>
      </c>
      <c r="Q4094">
        <v>0.37707020000000002</v>
      </c>
      <c r="R4094">
        <v>-0.1674746</v>
      </c>
      <c r="S4094">
        <v>-3.0920100000000001</v>
      </c>
      <c r="T4094">
        <v>-0.16224910000000001</v>
      </c>
      <c r="U4094">
        <v>-1.481903</v>
      </c>
      <c r="V4094">
        <v>-0.1560011</v>
      </c>
      <c r="W4094">
        <v>0.38971519999999998</v>
      </c>
      <c r="X4094">
        <v>0.90762640000000006</v>
      </c>
      <c r="Y4094">
        <v>-0.41822789999999999</v>
      </c>
      <c r="Z4094">
        <v>-1.3120679999999999E-2</v>
      </c>
      <c r="AA4094">
        <v>0.90824740000000004</v>
      </c>
      <c r="AB4094">
        <v>36</v>
      </c>
      <c r="AC4094">
        <v>-20.863299999999999</v>
      </c>
      <c r="AD4094">
        <v>-1.11315472527</v>
      </c>
      <c r="AE4094">
        <v>-10.159599999999999</v>
      </c>
      <c r="AF4094">
        <v>-9.8280555733076298</v>
      </c>
      <c r="AG4094">
        <v>-1.11315472527</v>
      </c>
      <c r="AH4094">
        <v>20.962690273435499</v>
      </c>
      <c r="AI4094">
        <v>92.752651974231497</v>
      </c>
      <c r="AJ4094">
        <v>115.11885597949301</v>
      </c>
      <c r="AK4094">
        <v>23.178959711220902</v>
      </c>
      <c r="AL4094">
        <v>67.063220065806902</v>
      </c>
      <c r="AM4094">
        <v>99.752597392037899</v>
      </c>
      <c r="AN4094">
        <v>0.99999998114460398</v>
      </c>
    </row>
    <row r="4095" spans="1:40" x14ac:dyDescent="0.25">
      <c r="A4095" t="str">
        <f>"20190304164726774"</f>
        <v>20190304164726774</v>
      </c>
      <c r="B4095" t="str">
        <f>"1551689246763381"</f>
        <v>1551689246763381</v>
      </c>
      <c r="C4095" t="s">
        <v>40</v>
      </c>
      <c r="D4095">
        <v>4.1478039999999998</v>
      </c>
      <c r="E4095">
        <v>0.39027200000000001</v>
      </c>
      <c r="F4095" t="s">
        <v>51</v>
      </c>
      <c r="G4095">
        <v>-400.65230000000003</v>
      </c>
      <c r="H4095" s="1">
        <v>-1.7625569999999999E-6</v>
      </c>
      <c r="I4095">
        <v>132.1088</v>
      </c>
      <c r="J4095">
        <v>-380.12729999999999</v>
      </c>
      <c r="K4095">
        <v>1.113254</v>
      </c>
      <c r="L4095">
        <v>142.20169999999999</v>
      </c>
      <c r="M4095">
        <v>-0.99974339999999995</v>
      </c>
      <c r="N4095">
        <v>-1.4753530000000001E-2</v>
      </c>
      <c r="O4095">
        <v>-1.7189780000000002E-2</v>
      </c>
      <c r="P4095">
        <v>-0.91053609999999896</v>
      </c>
      <c r="Q4095">
        <v>0.37668960000000001</v>
      </c>
      <c r="R4095">
        <v>-0.17038020000000001</v>
      </c>
      <c r="S4095">
        <v>-3.086884</v>
      </c>
      <c r="T4095">
        <v>-0.16461779999999901</v>
      </c>
      <c r="U4095">
        <v>-1.4936830000000001</v>
      </c>
      <c r="V4095">
        <v>-0.156779799999999</v>
      </c>
      <c r="W4095">
        <v>0.389293</v>
      </c>
      <c r="X4095">
        <v>0.90767339999999996</v>
      </c>
      <c r="Y4095">
        <v>-0.41939789999999999</v>
      </c>
      <c r="Z4095">
        <v>-1.3221119999999999E-2</v>
      </c>
      <c r="AA4095">
        <v>0.90770620000000002</v>
      </c>
      <c r="AB4095">
        <v>36</v>
      </c>
      <c r="AC4095">
        <v>-20.524999999999999</v>
      </c>
      <c r="AD4095">
        <v>-1.1132557625570001</v>
      </c>
      <c r="AE4095">
        <v>-10.092899999999901</v>
      </c>
      <c r="AF4095">
        <v>-9.7155333955263998</v>
      </c>
      <c r="AG4095">
        <v>-1.1132557625570001</v>
      </c>
      <c r="AH4095">
        <v>20.6465679909507</v>
      </c>
      <c r="AI4095">
        <v>92.793129675901696</v>
      </c>
      <c r="AJ4095">
        <v>115.19999084244699</v>
      </c>
      <c r="AK4095">
        <v>22.845386785025202</v>
      </c>
      <c r="AL4095">
        <v>67.089484402953403</v>
      </c>
      <c r="AM4095">
        <v>99.799839418885</v>
      </c>
      <c r="AN4095">
        <v>0.99999997330229895</v>
      </c>
    </row>
    <row r="4096" spans="1:40" x14ac:dyDescent="0.25">
      <c r="A4096" t="str">
        <f>"20190304164726795"</f>
        <v>20190304164726795</v>
      </c>
      <c r="B4096" t="str">
        <f>"1551689246782901"</f>
        <v>1551689246782901</v>
      </c>
      <c r="C4096" t="s">
        <v>40</v>
      </c>
      <c r="D4096">
        <v>4.1544930000000004</v>
      </c>
      <c r="E4096">
        <v>0.3901135</v>
      </c>
      <c r="F4096" t="s">
        <v>51</v>
      </c>
      <c r="G4096">
        <v>-400.61610000000002</v>
      </c>
      <c r="H4096" s="1">
        <v>-1.7956180000000001E-6</v>
      </c>
      <c r="I4096">
        <v>132.21</v>
      </c>
      <c r="J4096">
        <v>-380.47309999999999</v>
      </c>
      <c r="K4096">
        <v>1.113362</v>
      </c>
      <c r="L4096">
        <v>142.19329999999999</v>
      </c>
      <c r="M4096">
        <v>-0.99969660000000005</v>
      </c>
      <c r="N4096">
        <v>-1.4753560000000001E-2</v>
      </c>
      <c r="O4096">
        <v>-1.9735409999999998E-2</v>
      </c>
      <c r="P4096">
        <v>-0.91001160000000003</v>
      </c>
      <c r="Q4096">
        <v>0.3768765</v>
      </c>
      <c r="R4096">
        <v>-0.1727523</v>
      </c>
      <c r="S4096">
        <v>-3.0828250000000001</v>
      </c>
      <c r="T4096">
        <v>-0.16750499999999999</v>
      </c>
      <c r="U4096">
        <v>-1.503387</v>
      </c>
      <c r="V4096">
        <v>-0.1569391</v>
      </c>
      <c r="W4096">
        <v>0.38943670000000002</v>
      </c>
      <c r="X4096">
        <v>0.90758419999999895</v>
      </c>
      <c r="Y4096">
        <v>-0.419848</v>
      </c>
      <c r="Z4096">
        <v>-1.3318999999999999E-2</v>
      </c>
      <c r="AA4096">
        <v>0.90749669999999905</v>
      </c>
      <c r="AB4096">
        <v>35</v>
      </c>
      <c r="AC4096">
        <v>-20.143000000000001</v>
      </c>
      <c r="AD4096">
        <v>-1.113363795618</v>
      </c>
      <c r="AE4096">
        <v>-9.9832999999999803</v>
      </c>
      <c r="AF4096">
        <v>-9.5603336392402607</v>
      </c>
      <c r="AG4096">
        <v>-1.113363795618</v>
      </c>
      <c r="AH4096">
        <v>20.286366892268902</v>
      </c>
      <c r="AI4096">
        <v>92.842147817025605</v>
      </c>
      <c r="AJ4096">
        <v>115.23304341180901</v>
      </c>
      <c r="AK4096">
        <v>22.453869152614299</v>
      </c>
      <c r="AL4096">
        <v>67.080545069530402</v>
      </c>
      <c r="AM4096">
        <v>99.810548818517006</v>
      </c>
      <c r="AN4096">
        <v>0.99999995225266802</v>
      </c>
    </row>
    <row r="4097" spans="1:40" x14ac:dyDescent="0.25">
      <c r="A4097" t="str">
        <f>"20190304164726819"</f>
        <v>20190304164726819</v>
      </c>
      <c r="B4097" t="str">
        <f>"1551689246813157"</f>
        <v>1551689246813157</v>
      </c>
      <c r="C4097" t="s">
        <v>40</v>
      </c>
      <c r="D4097">
        <v>4.1677819999999999</v>
      </c>
      <c r="E4097">
        <v>0.38979380000000002</v>
      </c>
      <c r="F4097" t="s">
        <v>41</v>
      </c>
      <c r="G4097">
        <v>-381.48009999999999</v>
      </c>
      <c r="H4097">
        <v>1.0585070000000001</v>
      </c>
      <c r="I4097">
        <v>141.6987</v>
      </c>
      <c r="J4097">
        <v>-380.84249999999997</v>
      </c>
      <c r="K4097">
        <v>1.1134839999999999</v>
      </c>
      <c r="L4097">
        <v>142.1831</v>
      </c>
      <c r="M4097">
        <v>-0.99963559999999996</v>
      </c>
      <c r="N4097">
        <v>-1.47543E-2</v>
      </c>
      <c r="O4097">
        <v>-2.2603999999999999E-2</v>
      </c>
      <c r="P4097">
        <v>-0.90950640000000005</v>
      </c>
      <c r="Q4097">
        <v>0.37701649999999998</v>
      </c>
      <c r="R4097">
        <v>-0.17509060000000001</v>
      </c>
      <c r="S4097">
        <v>-3.0789179999999998</v>
      </c>
      <c r="T4097">
        <v>-0.16770199999999999</v>
      </c>
      <c r="U4097">
        <v>-1.5126649999999999</v>
      </c>
      <c r="V4097">
        <v>-0.15678239999999999</v>
      </c>
      <c r="W4097">
        <v>0.38953290000000002</v>
      </c>
      <c r="X4097">
        <v>0.90757010000000005</v>
      </c>
      <c r="Y4097">
        <v>-0.41990339999999998</v>
      </c>
      <c r="Z4097">
        <v>-1.323237E-2</v>
      </c>
      <c r="AA4097">
        <v>0.90747230000000001</v>
      </c>
      <c r="AB4097">
        <v>35</v>
      </c>
      <c r="AC4097">
        <v>-0.63760000000002004</v>
      </c>
      <c r="AD4097">
        <v>-5.4976999999999998E-2</v>
      </c>
      <c r="AE4097">
        <v>-0.484399999999993</v>
      </c>
      <c r="AF4097">
        <v>-0.46765781681049701</v>
      </c>
      <c r="AG4097">
        <v>-5.4976999999999998E-2</v>
      </c>
      <c r="AH4097">
        <v>0.64534550550466196</v>
      </c>
      <c r="AI4097">
        <v>93.946114153149907</v>
      </c>
      <c r="AJ4097">
        <v>125.929442353967</v>
      </c>
      <c r="AK4097">
        <v>0.79887240885389699</v>
      </c>
      <c r="AL4097">
        <v>67.074562860109594</v>
      </c>
      <c r="AM4097">
        <v>99.801092594052506</v>
      </c>
      <c r="AN4097">
        <v>1.00000004377308</v>
      </c>
    </row>
    <row r="4098" spans="1:40" x14ac:dyDescent="0.25">
      <c r="A4098" t="str">
        <f>"20190304164726841"</f>
        <v>20190304164726841</v>
      </c>
      <c r="B4098" t="str">
        <f>"1551689246832677"</f>
        <v>1551689246832677</v>
      </c>
      <c r="C4098" t="s">
        <v>40</v>
      </c>
      <c r="D4098">
        <v>4.1936929999999997</v>
      </c>
      <c r="E4098">
        <v>0.38958219999999999</v>
      </c>
      <c r="F4098" t="s">
        <v>41</v>
      </c>
      <c r="G4098">
        <v>-381.7987</v>
      </c>
      <c r="H4098">
        <v>1.061472</v>
      </c>
      <c r="I4098">
        <v>141.70949999999999</v>
      </c>
      <c r="J4098">
        <v>-381.19060000000002</v>
      </c>
      <c r="K4098">
        <v>1.1135870000000001</v>
      </c>
      <c r="L4098">
        <v>142.17250000000001</v>
      </c>
      <c r="M4098">
        <v>-0.99956800000000001</v>
      </c>
      <c r="N4098">
        <v>-1.475514E-2</v>
      </c>
      <c r="O4098">
        <v>-2.542175E-2</v>
      </c>
      <c r="P4098">
        <v>-0.90898690000000004</v>
      </c>
      <c r="Q4098">
        <v>0.37727749999999999</v>
      </c>
      <c r="R4098">
        <v>-0.17721400000000001</v>
      </c>
      <c r="S4098">
        <v>-3.0745849999999999</v>
      </c>
      <c r="T4098">
        <v>-0.16724549999999999</v>
      </c>
      <c r="U4098">
        <v>-1.523285</v>
      </c>
      <c r="V4098">
        <v>-0.15644749999999999</v>
      </c>
      <c r="W4098">
        <v>0.38975510000000002</v>
      </c>
      <c r="X4098">
        <v>0.90753249999999996</v>
      </c>
      <c r="Y4098">
        <v>-0.42037580000000002</v>
      </c>
      <c r="Z4098">
        <v>-1.312471E-2</v>
      </c>
      <c r="AA4098">
        <v>0.90725520000000004</v>
      </c>
      <c r="AB4098">
        <v>35</v>
      </c>
      <c r="AC4098">
        <v>-0.60809999999997899</v>
      </c>
      <c r="AD4098">
        <v>-5.2115000000000099E-2</v>
      </c>
      <c r="AE4098">
        <v>-0.46300000000002201</v>
      </c>
      <c r="AF4098">
        <v>-0.44531921403959202</v>
      </c>
      <c r="AG4098">
        <v>-5.2115000000000099E-2</v>
      </c>
      <c r="AH4098">
        <v>0.61680719084178504</v>
      </c>
      <c r="AI4098">
        <v>93.918844549585501</v>
      </c>
      <c r="AJ4098">
        <v>125.828333128945</v>
      </c>
      <c r="AK4098">
        <v>0.76254592405439703</v>
      </c>
      <c r="AL4098">
        <v>67.060739304680297</v>
      </c>
      <c r="AM4098">
        <v>99.780958816893104</v>
      </c>
      <c r="AN4098">
        <v>1.0000000483942499</v>
      </c>
    </row>
    <row r="4099" spans="1:40" x14ac:dyDescent="0.25">
      <c r="A4099" t="str">
        <f>"20190304164726862"</f>
        <v>20190304164726862</v>
      </c>
      <c r="B4099" t="str">
        <f>"1551689246853173"</f>
        <v>1551689246853173</v>
      </c>
      <c r="C4099" t="s">
        <v>40</v>
      </c>
      <c r="D4099">
        <v>4.214664</v>
      </c>
      <c r="E4099">
        <v>0.38919880000000001</v>
      </c>
      <c r="F4099" t="s">
        <v>41</v>
      </c>
      <c r="G4099">
        <v>-382.11500000000001</v>
      </c>
      <c r="H4099">
        <v>1.063493</v>
      </c>
      <c r="I4099">
        <v>141.7115</v>
      </c>
      <c r="J4099">
        <v>-381.53039999999999</v>
      </c>
      <c r="K4099">
        <v>1.1136889999999999</v>
      </c>
      <c r="L4099">
        <v>142.1611</v>
      </c>
      <c r="M4099">
        <v>-0.99949120000000002</v>
      </c>
      <c r="N4099">
        <v>-1.4755539999999999E-2</v>
      </c>
      <c r="O4099">
        <v>-2.8281879999999999E-2</v>
      </c>
      <c r="P4099">
        <v>-0.90856320000000002</v>
      </c>
      <c r="Q4099">
        <v>0.37726999999999999</v>
      </c>
      <c r="R4099">
        <v>-0.17938899999999999</v>
      </c>
      <c r="S4099">
        <v>-3.0707089999999999</v>
      </c>
      <c r="T4099">
        <v>-0.166411</v>
      </c>
      <c r="U4099">
        <v>-1.5322880000000001</v>
      </c>
      <c r="V4099">
        <v>-0.15611410000000001</v>
      </c>
      <c r="W4099">
        <v>0.38971470000000002</v>
      </c>
      <c r="X4099">
        <v>0.90760719999999995</v>
      </c>
      <c r="Y4099">
        <v>-0.42037479999999999</v>
      </c>
      <c r="Z4099">
        <v>-1.2978419999999999E-2</v>
      </c>
      <c r="AA4099">
        <v>0.90725769999999994</v>
      </c>
      <c r="AB4099">
        <v>35</v>
      </c>
      <c r="AC4099">
        <v>-0.58460000000002299</v>
      </c>
      <c r="AD4099">
        <v>-5.01959999999999E-2</v>
      </c>
      <c r="AE4099">
        <v>-0.449600000000003</v>
      </c>
      <c r="AF4099">
        <v>-0.43088861164157399</v>
      </c>
      <c r="AG4099">
        <v>-5.01959999999999E-2</v>
      </c>
      <c r="AH4099">
        <v>0.59432974822697604</v>
      </c>
      <c r="AI4099">
        <v>93.911695511079898</v>
      </c>
      <c r="AJ4099">
        <v>125.94208306798301</v>
      </c>
      <c r="AK4099">
        <v>0.73580736859992402</v>
      </c>
      <c r="AL4099">
        <v>67.063251498294505</v>
      </c>
      <c r="AM4099">
        <v>99.759728405260603</v>
      </c>
      <c r="AN4099">
        <v>0.99999999455336996</v>
      </c>
    </row>
    <row r="4100" spans="1:40" x14ac:dyDescent="0.25">
      <c r="A4100" t="str">
        <f>"20190304164726885"</f>
        <v>20190304164726885</v>
      </c>
      <c r="B4100" t="str">
        <f>"1551689246872692"</f>
        <v>1551689246872692</v>
      </c>
      <c r="C4100" t="s">
        <v>40</v>
      </c>
      <c r="D4100">
        <v>4.2030390000000004</v>
      </c>
      <c r="E4100">
        <v>0.38427329999999998</v>
      </c>
      <c r="F4100" t="s">
        <v>41</v>
      </c>
      <c r="G4100">
        <v>-382.4307</v>
      </c>
      <c r="H4100">
        <v>1.064732</v>
      </c>
      <c r="I4100">
        <v>141.7079</v>
      </c>
      <c r="J4100">
        <v>-381.88139999999999</v>
      </c>
      <c r="K4100">
        <v>1.113791</v>
      </c>
      <c r="L4100">
        <v>142.1482</v>
      </c>
      <c r="M4100">
        <v>-0.99939960000000005</v>
      </c>
      <c r="N4100">
        <v>-1.475602E-2</v>
      </c>
      <c r="O4100">
        <v>-3.1352430000000001E-2</v>
      </c>
      <c r="P4100">
        <v>-0.90812720000000002</v>
      </c>
      <c r="Q4100">
        <v>0.37716709999999998</v>
      </c>
      <c r="R4100">
        <v>-0.18179790000000001</v>
      </c>
      <c r="S4100">
        <v>-3.0664669999999998</v>
      </c>
      <c r="T4100">
        <v>-0.1667506</v>
      </c>
      <c r="U4100">
        <v>-1.5430759999999999</v>
      </c>
      <c r="V4100">
        <v>-0.15582219999999999</v>
      </c>
      <c r="W4100">
        <v>0.38957809999999998</v>
      </c>
      <c r="X4100">
        <v>0.90771599999999997</v>
      </c>
      <c r="Y4100">
        <v>-0.42063879999999998</v>
      </c>
      <c r="Z4100">
        <v>-1.2899280000000001E-2</v>
      </c>
      <c r="AA4100">
        <v>0.90713650000000001</v>
      </c>
      <c r="AB4100">
        <v>35</v>
      </c>
      <c r="AC4100">
        <v>-0.549300000000016</v>
      </c>
      <c r="AD4100">
        <v>-4.9058999999999901E-2</v>
      </c>
      <c r="AE4100">
        <v>-0.44030000000000702</v>
      </c>
      <c r="AF4100">
        <v>-0.42081610080572301</v>
      </c>
      <c r="AG4100">
        <v>-4.9058999999999901E-2</v>
      </c>
      <c r="AH4100">
        <v>0.56011575349152998</v>
      </c>
      <c r="AI4100">
        <v>94.005656131053698</v>
      </c>
      <c r="AJ4100">
        <v>126.91761222208601</v>
      </c>
      <c r="AK4100">
        <v>0.70229810870293297</v>
      </c>
      <c r="AL4100">
        <v>67.071749785292894</v>
      </c>
      <c r="AM4100">
        <v>99.740684492639403</v>
      </c>
      <c r="AN4100">
        <v>0.99999999533422401</v>
      </c>
    </row>
    <row r="4101" spans="1:40" x14ac:dyDescent="0.25">
      <c r="A4101" t="str">
        <f>"20190304164726907"</f>
        <v>20190304164726907</v>
      </c>
      <c r="B4101" t="str">
        <f>"1551689246902949"</f>
        <v>1551689246902949</v>
      </c>
      <c r="C4101" t="s">
        <v>40</v>
      </c>
      <c r="D4101">
        <v>4.2223459999999999</v>
      </c>
      <c r="E4101">
        <v>0.38349820000000001</v>
      </c>
      <c r="F4101" t="s">
        <v>41</v>
      </c>
      <c r="G4101">
        <v>-382.74799999999999</v>
      </c>
      <c r="H4101">
        <v>1.065561</v>
      </c>
      <c r="I4101">
        <v>141.69749999999999</v>
      </c>
      <c r="J4101">
        <v>-382.23059999999998</v>
      </c>
      <c r="K4101">
        <v>1.113893</v>
      </c>
      <c r="L4101">
        <v>142.13419999999999</v>
      </c>
      <c r="M4101">
        <v>-0.99929509999999999</v>
      </c>
      <c r="N4101">
        <v>-1.4756780000000001E-2</v>
      </c>
      <c r="O4101">
        <v>-3.4521070000000001E-2</v>
      </c>
      <c r="P4101">
        <v>-0.90781959999999995</v>
      </c>
      <c r="Q4101">
        <v>0.37673659999999998</v>
      </c>
      <c r="R4101">
        <v>-0.18420990000000001</v>
      </c>
      <c r="S4101">
        <v>-3.0557859999999999</v>
      </c>
      <c r="T4101">
        <v>-0.1700429</v>
      </c>
      <c r="U4101">
        <v>-1.5900879999999999</v>
      </c>
      <c r="V4101">
        <v>-0.15543650000000001</v>
      </c>
      <c r="W4101">
        <v>0.38911829999999997</v>
      </c>
      <c r="X4101">
        <v>0.90797930000000004</v>
      </c>
      <c r="Y4101">
        <v>-0.43002980000000002</v>
      </c>
      <c r="Z4101">
        <v>-1.3286320000000001E-2</v>
      </c>
      <c r="AA4101">
        <v>0.90271690000000004</v>
      </c>
      <c r="AB4101">
        <v>35</v>
      </c>
      <c r="AC4101">
        <v>-0.51740000000006603</v>
      </c>
      <c r="AD4101">
        <v>-4.8332E-2</v>
      </c>
      <c r="AE4101">
        <v>-0.43670000000000098</v>
      </c>
      <c r="AF4101">
        <v>-0.41645432729883503</v>
      </c>
      <c r="AG4101">
        <v>-4.8332E-2</v>
      </c>
      <c r="AH4101">
        <v>0.52947044213809202</v>
      </c>
      <c r="AI4101">
        <v>94.1038777985232</v>
      </c>
      <c r="AJ4101">
        <v>128.18677701595701</v>
      </c>
      <c r="AK4101">
        <v>0.67535852556093001</v>
      </c>
      <c r="AL4101">
        <v>67.1003510167332</v>
      </c>
      <c r="AM4101">
        <v>99.714269920999698</v>
      </c>
      <c r="AN4101">
        <v>0.99999998307781401</v>
      </c>
    </row>
    <row r="4102" spans="1:40" x14ac:dyDescent="0.25">
      <c r="A4102" t="str">
        <f>"20190304164726931"</f>
        <v>20190304164726931</v>
      </c>
      <c r="B4102" t="str">
        <f>"1551689246923448"</f>
        <v>1551689246923448</v>
      </c>
      <c r="C4102" t="s">
        <v>40</v>
      </c>
      <c r="D4102">
        <v>4.5530860000000004</v>
      </c>
      <c r="E4102">
        <v>0.39938820000000003</v>
      </c>
      <c r="F4102" t="s">
        <v>41</v>
      </c>
      <c r="G4102">
        <v>-383.11799999999999</v>
      </c>
      <c r="H4102">
        <v>1.0626180000000001</v>
      </c>
      <c r="I4102">
        <v>141.6678</v>
      </c>
      <c r="J4102">
        <v>-382.6003</v>
      </c>
      <c r="K4102">
        <v>1.113999</v>
      </c>
      <c r="L4102">
        <v>142.1181</v>
      </c>
      <c r="M4102">
        <v>-0.99916910000000003</v>
      </c>
      <c r="N4102">
        <v>-1.475769E-2</v>
      </c>
      <c r="O4102">
        <v>-3.7991360000000002E-2</v>
      </c>
      <c r="P4102">
        <v>-0.90731399999999995</v>
      </c>
      <c r="Q4102">
        <v>0.37643199999999999</v>
      </c>
      <c r="R4102">
        <v>-0.18729789999999999</v>
      </c>
      <c r="S4102">
        <v>-3.0522770000000001</v>
      </c>
      <c r="T4102">
        <v>-0.1763769</v>
      </c>
      <c r="U4102">
        <v>-1.604095</v>
      </c>
      <c r="V4102">
        <v>-0.1554624</v>
      </c>
      <c r="W4102">
        <v>0.38877820000000002</v>
      </c>
      <c r="X4102">
        <v>0.9081205</v>
      </c>
      <c r="Y4102">
        <v>-0.43053130000000001</v>
      </c>
      <c r="Z4102">
        <v>-1.351957E-2</v>
      </c>
      <c r="AA4102">
        <v>0.90247440000000001</v>
      </c>
      <c r="AB4102">
        <v>35</v>
      </c>
      <c r="AC4102">
        <v>-0.51770000000004701</v>
      </c>
      <c r="AD4102">
        <v>-5.1380999999999899E-2</v>
      </c>
      <c r="AE4102">
        <v>-0.45029999999999798</v>
      </c>
      <c r="AF4102">
        <v>-0.42790501550513999</v>
      </c>
      <c r="AG4102">
        <v>-5.1380999999999899E-2</v>
      </c>
      <c r="AH4102">
        <v>0.53145531011257496</v>
      </c>
      <c r="AI4102">
        <v>94.306498429623502</v>
      </c>
      <c r="AJ4102">
        <v>128.83952627494301</v>
      </c>
      <c r="AK4102">
        <v>0.68424224957416002</v>
      </c>
      <c r="AL4102">
        <v>67.121501881536304</v>
      </c>
      <c r="AM4102">
        <v>99.714375843908599</v>
      </c>
      <c r="AN4102">
        <v>0.99999994456462304</v>
      </c>
    </row>
    <row r="4103" spans="1:40" x14ac:dyDescent="0.25">
      <c r="A4103" t="str">
        <f>"20190304164726951"</f>
        <v>20190304164726951</v>
      </c>
      <c r="B4103" t="str">
        <f>"1551689246942965"</f>
        <v>1551689246942965</v>
      </c>
      <c r="C4103" t="s">
        <v>40</v>
      </c>
      <c r="D4103">
        <v>4.3426830000000001</v>
      </c>
      <c r="E4103">
        <v>0.49768889999999999</v>
      </c>
      <c r="F4103" t="s">
        <v>51</v>
      </c>
      <c r="G4103">
        <v>-401.07830000000001</v>
      </c>
      <c r="H4103" s="1">
        <v>-2.560175E-6</v>
      </c>
      <c r="I4103">
        <v>133.155</v>
      </c>
      <c r="J4103">
        <v>-382.92919999999998</v>
      </c>
      <c r="K4103">
        <v>1.114074</v>
      </c>
      <c r="L4103">
        <v>142.10249999999999</v>
      </c>
      <c r="M4103">
        <v>-0.99904289999999996</v>
      </c>
      <c r="N4103">
        <v>-1.47587E-2</v>
      </c>
      <c r="O4103">
        <v>-4.1176549999999999E-2</v>
      </c>
      <c r="P4103">
        <v>-0.90680700000000003</v>
      </c>
      <c r="Q4103">
        <v>0.37660929999999998</v>
      </c>
      <c r="R4103">
        <v>-0.18938540000000001</v>
      </c>
      <c r="S4103">
        <v>-3.0754389999999998</v>
      </c>
      <c r="T4103">
        <v>-0.18541189999999999</v>
      </c>
      <c r="U4103">
        <v>-1.4917910000000001</v>
      </c>
      <c r="V4103">
        <v>-0.15474189999999999</v>
      </c>
      <c r="W4103">
        <v>0.38892939999999998</v>
      </c>
      <c r="X4103">
        <v>0.90817890000000001</v>
      </c>
      <c r="Y4103">
        <v>-0.3982909</v>
      </c>
      <c r="Z4103">
        <v>-1.2694260000000001E-2</v>
      </c>
      <c r="AA4103">
        <v>0.91717139999999997</v>
      </c>
      <c r="AB4103">
        <v>35</v>
      </c>
      <c r="AC4103">
        <v>-18.149100000000001</v>
      </c>
      <c r="AD4103">
        <v>-1.114076560175</v>
      </c>
      <c r="AE4103">
        <v>-8.9474999999999891</v>
      </c>
      <c r="AF4103">
        <v>-8.1677520689472605</v>
      </c>
      <c r="AG4103">
        <v>-1.114076560175</v>
      </c>
      <c r="AH4103">
        <v>18.446254950729099</v>
      </c>
      <c r="AI4103">
        <v>93.160909740676203</v>
      </c>
      <c r="AJ4103">
        <v>113.883114395814</v>
      </c>
      <c r="AK4103">
        <v>20.2043970993698</v>
      </c>
      <c r="AL4103">
        <v>67.112100649696202</v>
      </c>
      <c r="AM4103">
        <v>99.669595924410004</v>
      </c>
      <c r="AN4103">
        <v>1.0000000241025799</v>
      </c>
    </row>
    <row r="4104" spans="1:40" x14ac:dyDescent="0.25">
      <c r="A4104" t="str">
        <f>"20190304164726975"</f>
        <v>20190304164726975</v>
      </c>
      <c r="B4104" t="str">
        <f>"1551689246963461"</f>
        <v>1551689246963461</v>
      </c>
      <c r="C4104" t="s">
        <v>40</v>
      </c>
      <c r="D4104">
        <v>4.7258319999999996</v>
      </c>
      <c r="E4104">
        <v>0.51212729999999995</v>
      </c>
      <c r="F4104" t="s">
        <v>42</v>
      </c>
      <c r="G4104">
        <v>-397.4932</v>
      </c>
      <c r="H4104" s="1">
        <v>-1.2035560000000001E-6</v>
      </c>
      <c r="I4104">
        <v>138.79409999999999</v>
      </c>
      <c r="J4104">
        <v>-383.28140000000002</v>
      </c>
      <c r="K4104">
        <v>1.1141719999999999</v>
      </c>
      <c r="L4104">
        <v>142.08459999999999</v>
      </c>
      <c r="M4104">
        <v>-0.998892</v>
      </c>
      <c r="N4104">
        <v>-1.475979E-2</v>
      </c>
      <c r="O4104">
        <v>-4.4686490000000002E-2</v>
      </c>
      <c r="P4104">
        <v>-0.90622899999999995</v>
      </c>
      <c r="Q4104">
        <v>0.3769459</v>
      </c>
      <c r="R4104">
        <v>-0.19147120000000001</v>
      </c>
      <c r="S4104">
        <v>-3.257263</v>
      </c>
      <c r="T4104">
        <v>-0.24916640000000001</v>
      </c>
      <c r="U4104">
        <v>-0.73992919999999995</v>
      </c>
      <c r="V4104">
        <v>-0.1537308</v>
      </c>
      <c r="W4104">
        <v>0.3892409</v>
      </c>
      <c r="X4104">
        <v>0.90821719999999895</v>
      </c>
      <c r="Y4104">
        <v>-0.17720710000000001</v>
      </c>
      <c r="Z4104">
        <v>-5.2956399999999999E-3</v>
      </c>
      <c r="AA4104">
        <v>0.98415940000000002</v>
      </c>
      <c r="AB4104">
        <v>35</v>
      </c>
      <c r="AC4104">
        <v>-14.211799999999901</v>
      </c>
      <c r="AD4104">
        <v>-1.1141732035559999</v>
      </c>
      <c r="AE4104">
        <v>-3.2905000000000002</v>
      </c>
      <c r="AF4104">
        <v>-2.6366865305668101</v>
      </c>
      <c r="AG4104">
        <v>-1.1141732035559999</v>
      </c>
      <c r="AH4104">
        <v>14.261462996019601</v>
      </c>
      <c r="AI4104">
        <v>94.392995205527598</v>
      </c>
      <c r="AJ4104">
        <v>100.474675900995</v>
      </c>
      <c r="AK4104">
        <v>14.5458868610626</v>
      </c>
      <c r="AL4104">
        <v>67.092727217899906</v>
      </c>
      <c r="AM4104">
        <v>99.607197637274396</v>
      </c>
      <c r="AN4104">
        <v>1.00000005973864</v>
      </c>
    </row>
    <row r="4105" spans="1:40" x14ac:dyDescent="0.25">
      <c r="A4105" t="str">
        <f>"20190304164726996"</f>
        <v>20190304164726996</v>
      </c>
      <c r="B4105" t="str">
        <f>"1551689246992741"</f>
        <v>1551689246992741</v>
      </c>
      <c r="C4105" t="s">
        <v>40</v>
      </c>
      <c r="D4105">
        <v>4.6748979999999998</v>
      </c>
      <c r="E4105">
        <v>0.57985679999999995</v>
      </c>
      <c r="F4105" t="s">
        <v>42</v>
      </c>
      <c r="G4105">
        <v>-396.64210000000003</v>
      </c>
      <c r="H4105" s="1">
        <v>-1.4459279999999999E-6</v>
      </c>
      <c r="I4105">
        <v>139.48599999999999</v>
      </c>
      <c r="J4105">
        <v>-383.62189999999998</v>
      </c>
      <c r="K4105">
        <v>1.1142559999999999</v>
      </c>
      <c r="L4105">
        <v>142.066</v>
      </c>
      <c r="M4105">
        <v>-0.99872969999999905</v>
      </c>
      <c r="N4105">
        <v>-1.476092E-2</v>
      </c>
      <c r="O4105">
        <v>-4.817776E-2</v>
      </c>
      <c r="P4105">
        <v>-0.90580280000000002</v>
      </c>
      <c r="Q4105">
        <v>0.37649579999999999</v>
      </c>
      <c r="R4105">
        <v>-0.1943511</v>
      </c>
      <c r="S4105">
        <v>-3.2893370000000002</v>
      </c>
      <c r="T4105">
        <v>-0.27430510000000002</v>
      </c>
      <c r="U4105">
        <v>-0.63975519999999997</v>
      </c>
      <c r="V4105">
        <v>-0.15351090000000001</v>
      </c>
      <c r="W4105">
        <v>0.38876519999999998</v>
      </c>
      <c r="X4105">
        <v>0.90845810000000005</v>
      </c>
      <c r="Y4105">
        <v>-0.14294200000000001</v>
      </c>
      <c r="Z4105">
        <v>-3.698514E-3</v>
      </c>
      <c r="AA4105">
        <v>0.98972420000000005</v>
      </c>
      <c r="AB4105">
        <v>35</v>
      </c>
      <c r="AC4105">
        <v>-13.020200000000001</v>
      </c>
      <c r="AD4105">
        <v>-1.1142574459279999</v>
      </c>
      <c r="AE4105">
        <v>-2.5800000000000098</v>
      </c>
      <c r="AF4105">
        <v>-1.93600775932311</v>
      </c>
      <c r="AG4105">
        <v>-1.1142574459279999</v>
      </c>
      <c r="AH4105">
        <v>13.0375130507437</v>
      </c>
      <c r="AI4105">
        <v>94.832209638750697</v>
      </c>
      <c r="AJ4105">
        <v>98.446424097141104</v>
      </c>
      <c r="AK4105">
        <v>13.227488130717701</v>
      </c>
      <c r="AL4105">
        <v>67.122312831529996</v>
      </c>
      <c r="AM4105">
        <v>99.591214145050103</v>
      </c>
      <c r="AN4105">
        <v>1.00000004830272</v>
      </c>
    </row>
    <row r="4106" spans="1:40" x14ac:dyDescent="0.25">
      <c r="A4106" t="str">
        <f>"20190304164727020"</f>
        <v>20190304164727020</v>
      </c>
      <c r="B4106" t="str">
        <f>"1551689247013236"</f>
        <v>1551689247013236</v>
      </c>
      <c r="C4106" t="s">
        <v>40</v>
      </c>
      <c r="D4106">
        <v>4.8390719999999998</v>
      </c>
      <c r="E4106">
        <v>0.58209999999999995</v>
      </c>
      <c r="F4106" t="s">
        <v>41</v>
      </c>
      <c r="G4106">
        <v>-384.60399999999998</v>
      </c>
      <c r="H4106">
        <v>1.0018450000000001</v>
      </c>
      <c r="I4106">
        <v>142.02760000000001</v>
      </c>
      <c r="J4106">
        <v>-383.98110000000003</v>
      </c>
      <c r="K4106">
        <v>1.1143369999999999</v>
      </c>
      <c r="L4106">
        <v>142.04499999999999</v>
      </c>
      <c r="M4106">
        <v>-0.99854109999999996</v>
      </c>
      <c r="N4106">
        <v>-1.476179E-2</v>
      </c>
      <c r="O4106">
        <v>-5.1940189999999997E-2</v>
      </c>
      <c r="P4106">
        <v>-0.905331</v>
      </c>
      <c r="Q4106">
        <v>0.37616290000000002</v>
      </c>
      <c r="R4106">
        <v>-0.19717470000000001</v>
      </c>
      <c r="S4106">
        <v>-3.4469599999999998</v>
      </c>
      <c r="T4106">
        <v>-0.3950225</v>
      </c>
      <c r="U4106">
        <v>-0.13601679999999999</v>
      </c>
      <c r="V4106">
        <v>-0.1529838</v>
      </c>
      <c r="W4106">
        <v>0.38841140000000002</v>
      </c>
      <c r="X4106">
        <v>0.90869829999999996</v>
      </c>
      <c r="Y4106">
        <v>1.218233E-2</v>
      </c>
      <c r="Z4106">
        <v>5.9481730000000002E-3</v>
      </c>
      <c r="AA4106">
        <v>0.99990809999999997</v>
      </c>
      <c r="AB4106">
        <v>35</v>
      </c>
      <c r="AC4106">
        <v>-0.622900000000015</v>
      </c>
      <c r="AD4106">
        <v>-0.11249199999999999</v>
      </c>
      <c r="AE4106">
        <v>-1.7399999999980698E-2</v>
      </c>
      <c r="AF4106">
        <v>1.4507771042202E-2</v>
      </c>
      <c r="AG4106">
        <v>-0.11249199999999999</v>
      </c>
      <c r="AH4106">
        <v>0.60330201633891201</v>
      </c>
      <c r="AI4106">
        <v>100.559124755499</v>
      </c>
      <c r="AJ4106">
        <v>88.622457976957193</v>
      </c>
      <c r="AK4106">
        <v>0.61387152434626702</v>
      </c>
      <c r="AL4106">
        <v>67.144312588593905</v>
      </c>
      <c r="AM4106">
        <v>99.556410021555394</v>
      </c>
      <c r="AN4106">
        <v>1.0000000295676399</v>
      </c>
    </row>
    <row r="4107" spans="1:40" x14ac:dyDescent="0.25">
      <c r="A4107" t="str">
        <f>"20190304164727041"</f>
        <v>20190304164727041</v>
      </c>
      <c r="B4107" t="str">
        <f>"1551689247032756"</f>
        <v>1551689247032756</v>
      </c>
      <c r="C4107" t="s">
        <v>40</v>
      </c>
      <c r="D4107">
        <v>4.805796</v>
      </c>
      <c r="E4107">
        <v>0.5826694</v>
      </c>
      <c r="F4107" t="s">
        <v>41</v>
      </c>
      <c r="G4107">
        <v>-384.91289999999998</v>
      </c>
      <c r="H4107">
        <v>0.9996486</v>
      </c>
      <c r="I4107">
        <v>142.00909999999999</v>
      </c>
      <c r="J4107">
        <v>-384.32319999999999</v>
      </c>
      <c r="K4107">
        <v>1.1144000000000001</v>
      </c>
      <c r="L4107">
        <v>142.02359999999999</v>
      </c>
      <c r="M4107">
        <v>-0.99834420000000001</v>
      </c>
      <c r="N4107">
        <v>-1.476212E-2</v>
      </c>
      <c r="O4107">
        <v>-5.559704E-2</v>
      </c>
      <c r="P4107">
        <v>-0.90492729999999999</v>
      </c>
      <c r="Q4107">
        <v>0.37585459999999998</v>
      </c>
      <c r="R4107">
        <v>-0.19960020000000001</v>
      </c>
      <c r="S4107">
        <v>-3.4616090000000002</v>
      </c>
      <c r="T4107">
        <v>-0.42630050000000003</v>
      </c>
      <c r="U4107">
        <v>-0.13412479999999999</v>
      </c>
      <c r="V4107">
        <v>-0.15213950000000001</v>
      </c>
      <c r="W4107">
        <v>0.38808930000000003</v>
      </c>
      <c r="X4107">
        <v>0.90897760000000005</v>
      </c>
      <c r="Y4107">
        <v>1.6440759999999999E-2</v>
      </c>
      <c r="Z4107">
        <v>7.1258459999999999E-3</v>
      </c>
      <c r="AA4107">
        <v>0.99983940000000004</v>
      </c>
      <c r="AB4107">
        <v>35</v>
      </c>
      <c r="AC4107">
        <v>-0.58969999999999301</v>
      </c>
      <c r="AD4107">
        <v>-0.1147514</v>
      </c>
      <c r="AE4107">
        <v>-1.4499999999998099E-2</v>
      </c>
      <c r="AF4107">
        <v>1.7643872296642701E-2</v>
      </c>
      <c r="AG4107">
        <v>-0.1147514</v>
      </c>
      <c r="AH4107">
        <v>0.56809524112401499</v>
      </c>
      <c r="AI4107">
        <v>101.414342971964</v>
      </c>
      <c r="AJ4107">
        <v>88.221082507439505</v>
      </c>
      <c r="AK4107">
        <v>0.57983738497904203</v>
      </c>
      <c r="AL4107">
        <v>67.164337915241305</v>
      </c>
      <c r="AM4107">
        <v>99.501766927139101</v>
      </c>
      <c r="AN4107">
        <v>1.00000000476825</v>
      </c>
    </row>
    <row r="4108" spans="1:40" x14ac:dyDescent="0.25">
      <c r="A4108" t="str">
        <f>"20190304164727063"</f>
        <v>20190304164727063</v>
      </c>
      <c r="B4108" t="str">
        <f>"1551689247053253"</f>
        <v>1551689247053253</v>
      </c>
      <c r="C4108" t="s">
        <v>40</v>
      </c>
      <c r="D4108">
        <v>4.7749860000000002</v>
      </c>
      <c r="E4108">
        <v>0.58252250000000005</v>
      </c>
      <c r="F4108" t="s">
        <v>41</v>
      </c>
      <c r="G4108">
        <v>-385.22190000000001</v>
      </c>
      <c r="H4108">
        <v>0.99843499999999996</v>
      </c>
      <c r="I4108">
        <v>141.98689999999999</v>
      </c>
      <c r="J4108">
        <v>-384.66079999999999</v>
      </c>
      <c r="K4108">
        <v>1.1144579999999999</v>
      </c>
      <c r="L4108">
        <v>142.00120000000001</v>
      </c>
      <c r="M4108">
        <v>-0.99813260000000004</v>
      </c>
      <c r="N4108">
        <v>-1.476219E-2</v>
      </c>
      <c r="O4108">
        <v>-5.9275080000000001E-2</v>
      </c>
      <c r="P4108">
        <v>-0.90428030000000004</v>
      </c>
      <c r="Q4108">
        <v>0.37600489999999998</v>
      </c>
      <c r="R4108">
        <v>-0.20223179999999999</v>
      </c>
      <c r="S4108">
        <v>-3.4698180000000001</v>
      </c>
      <c r="T4108">
        <v>-0.44822079999999997</v>
      </c>
      <c r="U4108">
        <v>-0.14282230000000001</v>
      </c>
      <c r="V4108">
        <v>-0.15149389999999999</v>
      </c>
      <c r="W4108">
        <v>0.38822329999999999</v>
      </c>
      <c r="X4108">
        <v>0.90902819999999995</v>
      </c>
      <c r="Y4108">
        <v>1.7629240000000001E-2</v>
      </c>
      <c r="Z4108">
        <v>8.0085219999999901E-3</v>
      </c>
      <c r="AA4108">
        <v>0.99981249999999999</v>
      </c>
      <c r="AB4108">
        <v>35</v>
      </c>
      <c r="AC4108">
        <v>-0.56110000000001004</v>
      </c>
      <c r="AD4108">
        <v>-0.116022999999999</v>
      </c>
      <c r="AE4108">
        <v>-1.4300000000019899E-2</v>
      </c>
      <c r="AF4108">
        <v>1.82099219112987E-2</v>
      </c>
      <c r="AG4108">
        <v>-0.116022999999999</v>
      </c>
      <c r="AH4108">
        <v>0.53797368868697704</v>
      </c>
      <c r="AI4108">
        <v>102.163626785958</v>
      </c>
      <c r="AJ4108">
        <v>88.061329969938598</v>
      </c>
      <c r="AK4108">
        <v>0.55064382998857697</v>
      </c>
      <c r="AL4108">
        <v>67.156006985003401</v>
      </c>
      <c r="AM4108">
        <v>99.461659883792706</v>
      </c>
      <c r="AN4108">
        <v>1.0000000003976699</v>
      </c>
    </row>
    <row r="4109" spans="1:40" x14ac:dyDescent="0.25">
      <c r="A4109" t="str">
        <f>"20190304164727086"</f>
        <v>20190304164727086</v>
      </c>
      <c r="B4109" t="str">
        <f>"1551689247083508"</f>
        <v>1551689247083508</v>
      </c>
      <c r="C4109" t="s">
        <v>40</v>
      </c>
      <c r="D4109">
        <v>4.7946549999999997</v>
      </c>
      <c r="E4109">
        <v>0.58246109999999995</v>
      </c>
      <c r="F4109" t="s">
        <v>41</v>
      </c>
      <c r="G4109">
        <v>-385.5308</v>
      </c>
      <c r="H4109">
        <v>0.99814179999999997</v>
      </c>
      <c r="I4109">
        <v>141.96209999999999</v>
      </c>
      <c r="J4109">
        <v>-385.00990000000002</v>
      </c>
      <c r="K4109">
        <v>1.1145229999999999</v>
      </c>
      <c r="L4109">
        <v>141.97669999999999</v>
      </c>
      <c r="M4109">
        <v>-0.99789550000000005</v>
      </c>
      <c r="N4109">
        <v>-1.476242E-2</v>
      </c>
      <c r="O4109">
        <v>-6.314119E-2</v>
      </c>
      <c r="P4109">
        <v>-0.90354760000000001</v>
      </c>
      <c r="Q4109">
        <v>0.37631609999999999</v>
      </c>
      <c r="R4109">
        <v>-0.2049107</v>
      </c>
      <c r="S4109">
        <v>-3.4758</v>
      </c>
      <c r="T4109">
        <v>-0.4650184</v>
      </c>
      <c r="U4109">
        <v>-0.157196</v>
      </c>
      <c r="V4109">
        <v>-0.15072959999999999</v>
      </c>
      <c r="W4109">
        <v>0.38851950000000002</v>
      </c>
      <c r="X4109">
        <v>0.90902870000000002</v>
      </c>
      <c r="Y4109">
        <v>1.737905E-2</v>
      </c>
      <c r="Z4109">
        <v>8.7555689999999995E-3</v>
      </c>
      <c r="AA4109">
        <v>0.99981059999999999</v>
      </c>
      <c r="AB4109">
        <v>35</v>
      </c>
      <c r="AC4109">
        <v>-0.52089999999998304</v>
      </c>
      <c r="AD4109">
        <v>-0.116381199999999</v>
      </c>
      <c r="AE4109">
        <v>-1.4600000000001501E-2</v>
      </c>
      <c r="AF4109">
        <v>1.74524591634731E-2</v>
      </c>
      <c r="AG4109">
        <v>-0.116381199999999</v>
      </c>
      <c r="AH4109">
        <v>0.496040437103902</v>
      </c>
      <c r="AI4109">
        <v>103.196058491957</v>
      </c>
      <c r="AJ4109">
        <v>87.984962764884202</v>
      </c>
      <c r="AK4109">
        <v>0.50980906944318105</v>
      </c>
      <c r="AL4109">
        <v>67.137590210062697</v>
      </c>
      <c r="AM4109">
        <v>99.414776622316296</v>
      </c>
      <c r="AN4109">
        <v>0.99999999581004995</v>
      </c>
    </row>
    <row r="4110" spans="1:40" x14ac:dyDescent="0.25">
      <c r="A4110" t="str">
        <f>"20190304164727109"</f>
        <v>20190304164727109</v>
      </c>
      <c r="B4110" t="str">
        <f>"1551689247103028"</f>
        <v>1551689247103028</v>
      </c>
      <c r="C4110" t="s">
        <v>40</v>
      </c>
      <c r="D4110">
        <v>4.7664999999999997</v>
      </c>
      <c r="E4110">
        <v>0.58237519999999998</v>
      </c>
      <c r="F4110" t="s">
        <v>41</v>
      </c>
      <c r="G4110">
        <v>-385.84039999999999</v>
      </c>
      <c r="H4110">
        <v>1.000345</v>
      </c>
      <c r="I4110">
        <v>141.9365</v>
      </c>
      <c r="J4110">
        <v>-385.36709999999999</v>
      </c>
      <c r="K4110">
        <v>1.114582</v>
      </c>
      <c r="L4110">
        <v>141.9502</v>
      </c>
      <c r="M4110">
        <v>-0.99763349999999995</v>
      </c>
      <c r="N4110">
        <v>-1.476272E-2</v>
      </c>
      <c r="O4110">
        <v>-6.7153199999999996E-2</v>
      </c>
      <c r="P4110">
        <v>-0.90262719999999996</v>
      </c>
      <c r="Q4110">
        <v>0.37687900000000002</v>
      </c>
      <c r="R4110">
        <v>-0.2079097</v>
      </c>
      <c r="S4110">
        <v>-3.4812319999999999</v>
      </c>
      <c r="T4110">
        <v>-0.47901280000000002</v>
      </c>
      <c r="U4110">
        <v>-0.16983029999999999</v>
      </c>
      <c r="V4110">
        <v>-0.1501614</v>
      </c>
      <c r="W4110">
        <v>0.38906600000000002</v>
      </c>
      <c r="X4110">
        <v>0.90888899999999995</v>
      </c>
      <c r="Y4110">
        <v>1.7777270000000001E-2</v>
      </c>
      <c r="Z4110">
        <v>9.5434649999999992E-3</v>
      </c>
      <c r="AA4110">
        <v>0.99979649999999998</v>
      </c>
      <c r="AB4110">
        <v>35</v>
      </c>
      <c r="AC4110">
        <v>-0.473299999999994</v>
      </c>
      <c r="AD4110">
        <v>-0.11423699999999901</v>
      </c>
      <c r="AE4110">
        <v>-1.37E-2</v>
      </c>
      <c r="AF4110">
        <v>1.7121414293206402E-2</v>
      </c>
      <c r="AG4110">
        <v>-0.11423699999999901</v>
      </c>
      <c r="AH4110">
        <v>0.447125540531424</v>
      </c>
      <c r="AI4110">
        <v>104.321953318767</v>
      </c>
      <c r="AJ4110">
        <v>87.807090758816798</v>
      </c>
      <c r="AK4110">
        <v>0.46180567773893599</v>
      </c>
      <c r="AL4110">
        <v>67.103604481978607</v>
      </c>
      <c r="AM4110">
        <v>99.381334071769103</v>
      </c>
      <c r="AN4110">
        <v>1.00000000636348</v>
      </c>
    </row>
    <row r="4111" spans="1:40" x14ac:dyDescent="0.25">
      <c r="A4111" t="str">
        <f>"20190304164727142"</f>
        <v>20190304164727142</v>
      </c>
      <c r="B4111" t="str">
        <f>"1551689247133285"</f>
        <v>1551689247133285</v>
      </c>
      <c r="C4111" t="s">
        <v>40</v>
      </c>
      <c r="D4111">
        <v>4.7670009999999996</v>
      </c>
      <c r="E4111">
        <v>0.58170100000000002</v>
      </c>
      <c r="F4111" t="s">
        <v>41</v>
      </c>
      <c r="G4111">
        <v>-386.15109999999999</v>
      </c>
      <c r="H4111">
        <v>1.0056609999999999</v>
      </c>
      <c r="I4111">
        <v>141.90940000000001</v>
      </c>
      <c r="J4111">
        <v>-385.85849999999999</v>
      </c>
      <c r="K4111">
        <v>1.1146469999999999</v>
      </c>
      <c r="L4111">
        <v>141.91120000000001</v>
      </c>
      <c r="M4111">
        <v>-0.99724190000000001</v>
      </c>
      <c r="N4111">
        <v>-1.476214E-2</v>
      </c>
      <c r="O4111">
        <v>-7.2738430000000007E-2</v>
      </c>
      <c r="P4111">
        <v>-0.90127860000000004</v>
      </c>
      <c r="Q4111">
        <v>0.37695709999999999</v>
      </c>
      <c r="R4111">
        <v>-0.2135425</v>
      </c>
      <c r="S4111">
        <v>-3.4839169999999999</v>
      </c>
      <c r="T4111">
        <v>-0.48424460000000003</v>
      </c>
      <c r="U4111">
        <v>-0.18193049999999999</v>
      </c>
      <c r="V4111">
        <v>-0.15081029999999901</v>
      </c>
      <c r="W4111">
        <v>0.38911519999999999</v>
      </c>
      <c r="X4111">
        <v>0.90876049999999997</v>
      </c>
      <c r="Y4111">
        <v>1.9870220000000001E-2</v>
      </c>
      <c r="Z4111">
        <v>1.049486E-2</v>
      </c>
      <c r="AA4111">
        <v>0.99974750000000001</v>
      </c>
      <c r="AB4111">
        <v>35</v>
      </c>
      <c r="AC4111">
        <v>-0.29259999999999298</v>
      </c>
      <c r="AD4111">
        <v>-0.108985999999999</v>
      </c>
      <c r="AE4111">
        <v>-1.8000000000029099E-3</v>
      </c>
      <c r="AF4111">
        <v>1.7115838148762899E-2</v>
      </c>
      <c r="AG4111">
        <v>-0.108985999999999</v>
      </c>
      <c r="AH4111">
        <v>0.25638667984584901</v>
      </c>
      <c r="AI4111">
        <v>112.983763682377</v>
      </c>
      <c r="AJ4111">
        <v>86.180720638219</v>
      </c>
      <c r="AK4111">
        <v>0.27911472500373802</v>
      </c>
      <c r="AL4111">
        <v>67.100544624103307</v>
      </c>
      <c r="AM4111">
        <v>99.422457111130996</v>
      </c>
      <c r="AN4111">
        <v>1.0000000159086899</v>
      </c>
    </row>
    <row r="4112" spans="1:40" x14ac:dyDescent="0.25">
      <c r="A4112" t="str">
        <f>"20190304164727163"</f>
        <v>20190304164727163</v>
      </c>
      <c r="B4112" t="str">
        <f>"1551689247152804"</f>
        <v>1551689247152804</v>
      </c>
      <c r="C4112" t="s">
        <v>40</v>
      </c>
      <c r="D4112">
        <v>4.747986</v>
      </c>
      <c r="E4112">
        <v>0.58155579999999996</v>
      </c>
      <c r="F4112" t="s">
        <v>41</v>
      </c>
      <c r="G4112">
        <v>-386.75670000000002</v>
      </c>
      <c r="H4112">
        <v>0.98635070000000002</v>
      </c>
      <c r="I4112">
        <v>141.85759999999999</v>
      </c>
      <c r="J4112">
        <v>-386.2022</v>
      </c>
      <c r="K4112">
        <v>1.114676</v>
      </c>
      <c r="L4112">
        <v>141.88220000000001</v>
      </c>
      <c r="M4112">
        <v>-0.99694689999999997</v>
      </c>
      <c r="N4112">
        <v>-1.476118E-2</v>
      </c>
      <c r="O4112">
        <v>-7.6676549999999996E-2</v>
      </c>
      <c r="P4112">
        <v>-0.90056709999999995</v>
      </c>
      <c r="Q4112">
        <v>0.37630580000000002</v>
      </c>
      <c r="R4112">
        <v>-0.2176536</v>
      </c>
      <c r="S4112">
        <v>-3.4876399999999999</v>
      </c>
      <c r="T4112">
        <v>-0.4983051</v>
      </c>
      <c r="U4112">
        <v>-0.20860290000000001</v>
      </c>
      <c r="V4112">
        <v>-0.1513716</v>
      </c>
      <c r="W4112">
        <v>0.38845049999999998</v>
      </c>
      <c r="X4112">
        <v>0.90895150000000002</v>
      </c>
      <c r="Y4112">
        <v>1.6215690000000001E-2</v>
      </c>
      <c r="Z4112">
        <v>1.102091E-2</v>
      </c>
      <c r="AA4112">
        <v>0.99980780000000002</v>
      </c>
      <c r="AB4112">
        <v>35</v>
      </c>
      <c r="AC4112">
        <v>-0.55450000000001798</v>
      </c>
      <c r="AD4112">
        <v>-0.1283253</v>
      </c>
      <c r="AE4112">
        <v>-2.46000000000208E-2</v>
      </c>
      <c r="AF4112">
        <v>1.7081180205034002E-2</v>
      </c>
      <c r="AG4112">
        <v>-0.1283253</v>
      </c>
      <c r="AH4112">
        <v>0.52660531608113303</v>
      </c>
      <c r="AI4112">
        <v>103.68822063289601</v>
      </c>
      <c r="AJ4112">
        <v>88.142182594724602</v>
      </c>
      <c r="AK4112">
        <v>0.54228434263050296</v>
      </c>
      <c r="AL4112">
        <v>67.141880486827802</v>
      </c>
      <c r="AM4112">
        <v>99.454942863114496</v>
      </c>
      <c r="AN4112">
        <v>0.99999999079452995</v>
      </c>
    </row>
    <row r="4113" spans="1:40" x14ac:dyDescent="0.25">
      <c r="A4113" t="str">
        <f>"20190304164727186"</f>
        <v>20190304164727186</v>
      </c>
      <c r="B4113" t="str">
        <f>"1551689247183061"</f>
        <v>1551689247183061</v>
      </c>
      <c r="C4113" t="s">
        <v>40</v>
      </c>
      <c r="D4113">
        <v>4.8090789999999997</v>
      </c>
      <c r="E4113">
        <v>0.58307050000000005</v>
      </c>
      <c r="F4113" t="s">
        <v>41</v>
      </c>
      <c r="G4113">
        <v>-387.06479999999999</v>
      </c>
      <c r="H4113">
        <v>0.98942419999999998</v>
      </c>
      <c r="I4113">
        <v>141.8262</v>
      </c>
      <c r="J4113">
        <v>-386.54820000000001</v>
      </c>
      <c r="K4113">
        <v>1.114679</v>
      </c>
      <c r="L4113">
        <v>141.85169999999999</v>
      </c>
      <c r="M4113">
        <v>-0.99663259999999998</v>
      </c>
      <c r="N4113">
        <v>-1.475974E-2</v>
      </c>
      <c r="O4113">
        <v>-8.0657419999999994E-2</v>
      </c>
      <c r="P4113">
        <v>-0.89994280000000004</v>
      </c>
      <c r="Q4113">
        <v>0.3755309</v>
      </c>
      <c r="R4113">
        <v>-0.22153909999999999</v>
      </c>
      <c r="S4113">
        <v>-3.487946</v>
      </c>
      <c r="T4113">
        <v>-0.50684359999999995</v>
      </c>
      <c r="U4113">
        <v>-0.22778319999999999</v>
      </c>
      <c r="V4113">
        <v>-0.15165100000000001</v>
      </c>
      <c r="W4113">
        <v>0.3876696</v>
      </c>
      <c r="X4113">
        <v>0.90923830000000005</v>
      </c>
      <c r="Y4113">
        <v>1.4692459999999999E-2</v>
      </c>
      <c r="Z4113">
        <v>1.161448E-2</v>
      </c>
      <c r="AA4113">
        <v>0.99982459999999995</v>
      </c>
      <c r="AB4113">
        <v>35</v>
      </c>
      <c r="AC4113">
        <v>-0.51659999999998196</v>
      </c>
      <c r="AD4113">
        <v>-0.1252548</v>
      </c>
      <c r="AE4113">
        <v>-2.5499999999993798E-2</v>
      </c>
      <c r="AF4113">
        <v>1.53547968661648E-2</v>
      </c>
      <c r="AG4113">
        <v>-0.1252548</v>
      </c>
      <c r="AH4113">
        <v>0.48833556096095898</v>
      </c>
      <c r="AI4113">
        <v>104.379047612932</v>
      </c>
      <c r="AJ4113">
        <v>88.199034914951397</v>
      </c>
      <c r="AK4113">
        <v>0.50437699670870795</v>
      </c>
      <c r="AL4113">
        <v>67.190427760739496</v>
      </c>
      <c r="AM4113">
        <v>99.469145079527607</v>
      </c>
      <c r="AN4113">
        <v>1.00000001537602</v>
      </c>
    </row>
    <row r="4114" spans="1:40" x14ac:dyDescent="0.25">
      <c r="A4114" t="str">
        <f>"20190304164727210"</f>
        <v>20190304164727210</v>
      </c>
      <c r="B4114" t="str">
        <f>"1551689247203556"</f>
        <v>1551689247203556</v>
      </c>
      <c r="C4114" t="s">
        <v>40</v>
      </c>
      <c r="D4114">
        <v>4.7888010000000003</v>
      </c>
      <c r="E4114">
        <v>0.5822098</v>
      </c>
      <c r="F4114" t="s">
        <v>41</v>
      </c>
      <c r="G4114">
        <v>-387.37470000000002</v>
      </c>
      <c r="H4114">
        <v>0.99664759999999997</v>
      </c>
      <c r="I4114">
        <v>141.79759999999999</v>
      </c>
      <c r="J4114">
        <v>-386.91250000000002</v>
      </c>
      <c r="K4114">
        <v>1.114679</v>
      </c>
      <c r="L4114">
        <v>141.81809999999999</v>
      </c>
      <c r="M4114">
        <v>-0.99628369999999999</v>
      </c>
      <c r="N4114">
        <v>-1.475781E-2</v>
      </c>
      <c r="O4114">
        <v>-8.485827E-2</v>
      </c>
      <c r="P4114">
        <v>-0.899221099999999</v>
      </c>
      <c r="Q4114">
        <v>0.37441219999999997</v>
      </c>
      <c r="R4114">
        <v>-0.22631190000000001</v>
      </c>
      <c r="S4114">
        <v>-3.4848940000000002</v>
      </c>
      <c r="T4114">
        <v>-0.4980887</v>
      </c>
      <c r="U4114">
        <v>-0.2295074</v>
      </c>
      <c r="V4114">
        <v>-0.15261029999999901</v>
      </c>
      <c r="W4114">
        <v>0.38654090000000002</v>
      </c>
      <c r="X4114">
        <v>0.90955819999999998</v>
      </c>
      <c r="Y4114">
        <v>1.8313570000000001E-2</v>
      </c>
      <c r="Z4114">
        <v>1.2224550000000001E-2</v>
      </c>
      <c r="AA4114">
        <v>0.99975749999999997</v>
      </c>
      <c r="AB4114">
        <v>35</v>
      </c>
      <c r="AC4114">
        <v>-0.462199999999995</v>
      </c>
      <c r="AD4114">
        <v>-0.11803139999999999</v>
      </c>
      <c r="AE4114">
        <v>-2.0499999999998401E-2</v>
      </c>
      <c r="AF4114">
        <v>1.7650912711162599E-2</v>
      </c>
      <c r="AG4114">
        <v>-0.11803139999999999</v>
      </c>
      <c r="AH4114">
        <v>0.434023787776256</v>
      </c>
      <c r="AI4114">
        <v>105.201507434627</v>
      </c>
      <c r="AJ4114">
        <v>87.671174151595906</v>
      </c>
      <c r="AK4114">
        <v>0.450132885336259</v>
      </c>
      <c r="AL4114">
        <v>67.260564098494299</v>
      </c>
      <c r="AM4114">
        <v>99.524659624516502</v>
      </c>
      <c r="AN4114">
        <v>0.999999945113068</v>
      </c>
    </row>
    <row r="4115" spans="1:40" x14ac:dyDescent="0.25">
      <c r="A4115" t="str">
        <f>"20190304164727253"</f>
        <v>20190304164727253</v>
      </c>
      <c r="B4115" t="str">
        <f>"1551689247243573"</f>
        <v>1551689247243573</v>
      </c>
      <c r="C4115" t="s">
        <v>40</v>
      </c>
      <c r="D4115">
        <v>4.2808539999999997</v>
      </c>
      <c r="E4115">
        <v>0.51046029999999998</v>
      </c>
      <c r="F4115" t="s">
        <v>41</v>
      </c>
      <c r="G4115">
        <v>-387.68380000000002</v>
      </c>
      <c r="H4115">
        <v>1.003943</v>
      </c>
      <c r="I4115">
        <v>141.7619</v>
      </c>
      <c r="J4115">
        <v>-387.57209999999998</v>
      </c>
      <c r="K4115">
        <v>1.114703</v>
      </c>
      <c r="L4115">
        <v>141.75319999999999</v>
      </c>
      <c r="M4115">
        <v>-0.99560579999999999</v>
      </c>
      <c r="N4115">
        <v>-1.475337E-2</v>
      </c>
      <c r="O4115">
        <v>-9.2474940000000005E-2</v>
      </c>
      <c r="P4115">
        <v>-0.89697190000000004</v>
      </c>
      <c r="Q4115">
        <v>0.37489620000000001</v>
      </c>
      <c r="R4115">
        <v>-0.2342957</v>
      </c>
      <c r="S4115">
        <v>-3.4804689999999998</v>
      </c>
      <c r="T4115">
        <v>-0.49984620000000002</v>
      </c>
      <c r="U4115">
        <v>-0.25384519999999999</v>
      </c>
      <c r="V4115">
        <v>-0.15377759999999999</v>
      </c>
      <c r="W4115">
        <v>0.38700180000000001</v>
      </c>
      <c r="X4115">
        <v>0.90916560000000002</v>
      </c>
      <c r="Y4115">
        <v>1.8842580000000001E-2</v>
      </c>
      <c r="Z4115">
        <v>1.32958E-2</v>
      </c>
      <c r="AA4115">
        <v>0.99973400000000001</v>
      </c>
      <c r="AB4115">
        <v>35</v>
      </c>
      <c r="AC4115">
        <v>-0.111700000000041</v>
      </c>
      <c r="AD4115">
        <v>-0.110759999999999</v>
      </c>
      <c r="AE4115">
        <v>8.7000000000045895E-3</v>
      </c>
      <c r="AF4115">
        <v>9.6056130290704707E-3</v>
      </c>
      <c r="AG4115">
        <v>-0.110759999999999</v>
      </c>
      <c r="AH4115">
        <v>5.58418120925799E-2</v>
      </c>
      <c r="AI4115">
        <v>152.906892684647</v>
      </c>
      <c r="AJ4115">
        <v>80.239800214606504</v>
      </c>
      <c r="AK4115">
        <v>0.12441203068613201</v>
      </c>
      <c r="AL4115">
        <v>67.231929576991703</v>
      </c>
      <c r="AM4115">
        <v>99.6002296929518</v>
      </c>
      <c r="AN4115">
        <v>1.00000001584417</v>
      </c>
    </row>
    <row r="4116" spans="1:40" x14ac:dyDescent="0.25">
      <c r="A4116" t="str">
        <f>"20190304164727277"</f>
        <v>20190304164727277</v>
      </c>
      <c r="B4116" t="str">
        <f>"1551689247273435"</f>
        <v>1551689247273435</v>
      </c>
      <c r="C4116" t="s">
        <v>40</v>
      </c>
      <c r="D4116">
        <v>4.2368189999999997</v>
      </c>
      <c r="E4116">
        <v>0.42606290000000002</v>
      </c>
      <c r="F4116" t="s">
        <v>42</v>
      </c>
      <c r="G4116">
        <v>-398.14760000000001</v>
      </c>
      <c r="H4116" s="1">
        <v>-8.6579809999999897E-7</v>
      </c>
      <c r="I4116">
        <v>139.1156</v>
      </c>
      <c r="J4116">
        <v>-387.91739999999999</v>
      </c>
      <c r="K4116">
        <v>1.1147100000000001</v>
      </c>
      <c r="L4116">
        <v>141.71709999999999</v>
      </c>
      <c r="M4116">
        <v>-0.99522739999999998</v>
      </c>
      <c r="N4116">
        <v>-1.475073E-2</v>
      </c>
      <c r="O4116">
        <v>-9.6463160000000006E-2</v>
      </c>
      <c r="P4116">
        <v>-0.89555940000000001</v>
      </c>
      <c r="Q4116">
        <v>0.37632019999999999</v>
      </c>
      <c r="R4116">
        <v>-0.2373961</v>
      </c>
      <c r="S4116">
        <v>-3.2755130000000001</v>
      </c>
      <c r="T4116">
        <v>-0.3452559</v>
      </c>
      <c r="U4116">
        <v>-0.81690980000000002</v>
      </c>
      <c r="V4116">
        <v>-0.15334679999999901</v>
      </c>
      <c r="W4116">
        <v>0.38841890000000001</v>
      </c>
      <c r="X4116">
        <v>0.90863389999999999</v>
      </c>
      <c r="Y4116">
        <v>-0.14674609999999999</v>
      </c>
      <c r="Z4116">
        <v>-1.5646449999999999E-4</v>
      </c>
      <c r="AA4116">
        <v>0.9891742</v>
      </c>
      <c r="AB4116">
        <v>34</v>
      </c>
      <c r="AC4116">
        <v>-10.2302</v>
      </c>
      <c r="AD4116">
        <v>-1.1147108657981</v>
      </c>
      <c r="AE4116">
        <v>-2.6014999999999802</v>
      </c>
      <c r="AF4116">
        <v>-1.5847480609195601</v>
      </c>
      <c r="AG4116">
        <v>-1.1147108657981</v>
      </c>
      <c r="AH4116">
        <v>10.3183898176373</v>
      </c>
      <c r="AI4116">
        <v>96.094916943846499</v>
      </c>
      <c r="AJ4116">
        <v>98.731534664135694</v>
      </c>
      <c r="AK4116">
        <v>10.498722548940799</v>
      </c>
      <c r="AL4116">
        <v>67.143846111509404</v>
      </c>
      <c r="AM4116">
        <v>99.579332122716096</v>
      </c>
      <c r="AN4116">
        <v>1.00000002358832</v>
      </c>
    </row>
    <row r="4117" spans="1:40" x14ac:dyDescent="0.25">
      <c r="A4117" t="str">
        <f>"20190304164727298"</f>
        <v>20190304164727298</v>
      </c>
      <c r="B4117" t="str">
        <f>"1551689247292955"</f>
        <v>1551689247292955</v>
      </c>
      <c r="C4117" t="s">
        <v>40</v>
      </c>
      <c r="D4117">
        <v>4.1256899999999996</v>
      </c>
      <c r="E4117">
        <v>0.43037559999999903</v>
      </c>
      <c r="F4117" t="s">
        <v>51</v>
      </c>
      <c r="G4117">
        <v>-400.35340000000002</v>
      </c>
      <c r="H4117" s="1">
        <v>-3.5352999999999998E-6</v>
      </c>
      <c r="I4117">
        <v>135.77350000000001</v>
      </c>
      <c r="J4117">
        <v>-388.25659999999999</v>
      </c>
      <c r="K4117">
        <v>1.1147069999999999</v>
      </c>
      <c r="L4117">
        <v>141.68029999999999</v>
      </c>
      <c r="M4117">
        <v>-0.99483999999999995</v>
      </c>
      <c r="N4117">
        <v>-1.474789E-2</v>
      </c>
      <c r="O4117">
        <v>-0.1003793</v>
      </c>
      <c r="P4117">
        <v>-0.89495709999999995</v>
      </c>
      <c r="Q4117">
        <v>0.37606440000000002</v>
      </c>
      <c r="R4117">
        <v>-0.2400571</v>
      </c>
      <c r="S4117">
        <v>-3.0759889999999999</v>
      </c>
      <c r="T4117">
        <v>-0.27572020000000003</v>
      </c>
      <c r="U4117">
        <v>-1.4701229999999901</v>
      </c>
      <c r="V4117">
        <v>-0.15245230000000001</v>
      </c>
      <c r="W4117">
        <v>0.38817279999999998</v>
      </c>
      <c r="X4117">
        <v>0.90888950000000002</v>
      </c>
      <c r="Y4117">
        <v>-0.3373833</v>
      </c>
      <c r="Z4117">
        <v>-9.8911309999999992E-3</v>
      </c>
      <c r="AA4117">
        <v>0.94131540000000002</v>
      </c>
      <c r="AB4117">
        <v>34</v>
      </c>
      <c r="AC4117">
        <v>-12.0968</v>
      </c>
      <c r="AD4117">
        <v>-1.1147105353</v>
      </c>
      <c r="AE4117">
        <v>-5.9067999999999703</v>
      </c>
      <c r="AF4117">
        <v>-4.6308076020689199</v>
      </c>
      <c r="AG4117">
        <v>-1.1147105353</v>
      </c>
      <c r="AH4117">
        <v>12.5426730144794</v>
      </c>
      <c r="AI4117">
        <v>94.7658750246772</v>
      </c>
      <c r="AJ4117">
        <v>110.26435797762601</v>
      </c>
      <c r="AK4117">
        <v>13.416616748384801</v>
      </c>
      <c r="AL4117">
        <v>67.159146029587305</v>
      </c>
      <c r="AM4117">
        <v>99.521851325279698</v>
      </c>
      <c r="AN4117">
        <v>0.99999997482268899</v>
      </c>
    </row>
    <row r="4118" spans="1:40" x14ac:dyDescent="0.25">
      <c r="A4118" t="str">
        <f>"20190304164727320"</f>
        <v>20190304164727320</v>
      </c>
      <c r="B4118" t="str">
        <f>"1551689247313451"</f>
        <v>1551689247313451</v>
      </c>
      <c r="C4118" t="s">
        <v>40</v>
      </c>
      <c r="D4118">
        <v>4.1256529999999998</v>
      </c>
      <c r="E4118">
        <v>0.43201519999999999</v>
      </c>
      <c r="F4118" t="s">
        <v>51</v>
      </c>
      <c r="G4118">
        <v>-402.65269999999998</v>
      </c>
      <c r="H4118" s="1">
        <v>-4.3418209999999996E-6</v>
      </c>
      <c r="I4118">
        <v>134.9032</v>
      </c>
      <c r="J4118">
        <v>-388.59429999999998</v>
      </c>
      <c r="K4118">
        <v>1.1146959999999999</v>
      </c>
      <c r="L4118">
        <v>141.64230000000001</v>
      </c>
      <c r="M4118">
        <v>-0.99443879999999996</v>
      </c>
      <c r="N4118">
        <v>-1.474515E-2</v>
      </c>
      <c r="O4118">
        <v>-0.10427889999999999</v>
      </c>
      <c r="P4118">
        <v>-0.89452559999999903</v>
      </c>
      <c r="Q4118">
        <v>0.37495790000000001</v>
      </c>
      <c r="R4118">
        <v>-0.24337420000000001</v>
      </c>
      <c r="S4118">
        <v>-3.0647890000000002</v>
      </c>
      <c r="T4118">
        <v>-0.2373102</v>
      </c>
      <c r="U4118">
        <v>-1.4427639999999999</v>
      </c>
      <c r="V4118">
        <v>-0.152197</v>
      </c>
      <c r="W4118">
        <v>0.38707390000000003</v>
      </c>
      <c r="X4118">
        <v>0.90940080000000001</v>
      </c>
      <c r="Y4118">
        <v>-0.32842909999999997</v>
      </c>
      <c r="Z4118">
        <v>-8.4747950000000002E-3</v>
      </c>
      <c r="AA4118">
        <v>0.94449059999999996</v>
      </c>
      <c r="AB4118">
        <v>34</v>
      </c>
      <c r="AC4118">
        <v>-14.058400000000001</v>
      </c>
      <c r="AD4118">
        <v>-1.114700341821</v>
      </c>
      <c r="AE4118">
        <v>-6.7390999999999996</v>
      </c>
      <c r="AF4118">
        <v>-5.2095645190604101</v>
      </c>
      <c r="AG4118">
        <v>-1.114700341821</v>
      </c>
      <c r="AH4118">
        <v>14.6098710108632</v>
      </c>
      <c r="AI4118">
        <v>94.110530618600507</v>
      </c>
      <c r="AJ4118">
        <v>109.62513671742499</v>
      </c>
      <c r="AK4118">
        <v>15.550898697000401</v>
      </c>
      <c r="AL4118">
        <v>67.227448350538296</v>
      </c>
      <c r="AM4118">
        <v>99.500949797645404</v>
      </c>
      <c r="AN4118">
        <v>0.99999997295542398</v>
      </c>
    </row>
    <row r="4119" spans="1:40" x14ac:dyDescent="0.25">
      <c r="A4119" t="str">
        <f>"20190304164727342"</f>
        <v>20190304164727342</v>
      </c>
      <c r="B4119" t="str">
        <f>"1551689247332972"</f>
        <v>1551689247332972</v>
      </c>
      <c r="C4119" t="s">
        <v>40</v>
      </c>
      <c r="D4119">
        <v>4.3141699999999998</v>
      </c>
      <c r="E4119">
        <v>0.43346790000000002</v>
      </c>
      <c r="F4119" t="s">
        <v>51</v>
      </c>
      <c r="G4119">
        <v>-403.15559999999999</v>
      </c>
      <c r="H4119" s="1">
        <v>-4.5112909999999999E-6</v>
      </c>
      <c r="I4119">
        <v>134.7886</v>
      </c>
      <c r="J4119">
        <v>-388.92540000000002</v>
      </c>
      <c r="K4119">
        <v>1.114679</v>
      </c>
      <c r="L4119">
        <v>141.6037</v>
      </c>
      <c r="M4119">
        <v>-0.99403010000000003</v>
      </c>
      <c r="N4119">
        <v>-1.4742160000000001E-2</v>
      </c>
      <c r="O4119">
        <v>-0.10810640000000001</v>
      </c>
      <c r="P4119">
        <v>-0.89357600000000004</v>
      </c>
      <c r="Q4119">
        <v>0.37442059999999999</v>
      </c>
      <c r="R4119">
        <v>-0.24765180000000001</v>
      </c>
      <c r="S4119">
        <v>-3.0600589999999999</v>
      </c>
      <c r="T4119">
        <v>-0.23425360000000001</v>
      </c>
      <c r="U4119">
        <v>-1.4403079999999999</v>
      </c>
      <c r="V4119">
        <v>-0.15302099999999999</v>
      </c>
      <c r="W4119">
        <v>0.38652910000000001</v>
      </c>
      <c r="X4119">
        <v>0.90949429999999998</v>
      </c>
      <c r="Y4119">
        <v>-0.32476559999999999</v>
      </c>
      <c r="Z4119">
        <v>-8.0429790000000004E-3</v>
      </c>
      <c r="AA4119">
        <v>0.94576039999999995</v>
      </c>
      <c r="AB4119">
        <v>34</v>
      </c>
      <c r="AC4119">
        <v>-14.2301999999999</v>
      </c>
      <c r="AD4119">
        <v>-1.1146835112910001</v>
      </c>
      <c r="AE4119">
        <v>-6.8151000000000002</v>
      </c>
      <c r="AF4119">
        <v>-5.2106005579813504</v>
      </c>
      <c r="AG4119">
        <v>-1.1146835112910001</v>
      </c>
      <c r="AH4119">
        <v>14.809701718615599</v>
      </c>
      <c r="AI4119">
        <v>94.061227099244206</v>
      </c>
      <c r="AJ4119">
        <v>109.383756866499</v>
      </c>
      <c r="AK4119">
        <v>15.73912775536</v>
      </c>
      <c r="AL4119">
        <v>67.261299124826394</v>
      </c>
      <c r="AM4119">
        <v>99.550479205070999</v>
      </c>
      <c r="AN4119">
        <v>1.0000000266601401</v>
      </c>
    </row>
    <row r="4120" spans="1:40" x14ac:dyDescent="0.25">
      <c r="A4120" t="str">
        <f>"20190304164727365"</f>
        <v>20190304164727365</v>
      </c>
      <c r="B4120" t="str">
        <f>"1551689247353467"</f>
        <v>1551689247353467</v>
      </c>
      <c r="C4120" t="s">
        <v>40</v>
      </c>
      <c r="D4120">
        <v>4.1020649999999996</v>
      </c>
      <c r="E4120">
        <v>0.43491479999999999</v>
      </c>
      <c r="F4120" t="s">
        <v>51</v>
      </c>
      <c r="G4120">
        <v>-402.58170000000001</v>
      </c>
      <c r="H4120" s="1">
        <v>-4.4317189999999997E-6</v>
      </c>
      <c r="I4120">
        <v>135.16319999999999</v>
      </c>
      <c r="J4120">
        <v>-389.26639999999998</v>
      </c>
      <c r="K4120">
        <v>1.114679</v>
      </c>
      <c r="L4120">
        <v>141.56270000000001</v>
      </c>
      <c r="M4120">
        <v>-0.9935929</v>
      </c>
      <c r="N4120">
        <v>-1.473912E-2</v>
      </c>
      <c r="O4120">
        <v>-0.1120536</v>
      </c>
      <c r="P4120">
        <v>-0.89166129999999999</v>
      </c>
      <c r="Q4120">
        <v>0.3755289</v>
      </c>
      <c r="R4120">
        <v>-0.25282019999999999</v>
      </c>
      <c r="S4120">
        <v>-3.061798</v>
      </c>
      <c r="T4120">
        <v>-0.24991569999999999</v>
      </c>
      <c r="U4120">
        <v>-1.4439850000000001</v>
      </c>
      <c r="V4120">
        <v>-0.15474299999999999</v>
      </c>
      <c r="W4120">
        <v>0.3876098</v>
      </c>
      <c r="X4120">
        <v>0.90874270000000001</v>
      </c>
      <c r="Y4120">
        <v>-0.32166050000000002</v>
      </c>
      <c r="Z4120">
        <v>-7.9175749999999996E-3</v>
      </c>
      <c r="AA4120">
        <v>0.94682189999999999</v>
      </c>
      <c r="AB4120">
        <v>34</v>
      </c>
      <c r="AC4120">
        <v>-13.315300000000001</v>
      </c>
      <c r="AD4120">
        <v>-1.114683431719</v>
      </c>
      <c r="AE4120">
        <v>-6.3995000000000104</v>
      </c>
      <c r="AF4120">
        <v>-4.8394475439928701</v>
      </c>
      <c r="AG4120">
        <v>-1.114683431719</v>
      </c>
      <c r="AH4120">
        <v>13.869628143365199</v>
      </c>
      <c r="AI4120">
        <v>94.339405226081396</v>
      </c>
      <c r="AJ4120">
        <v>109.235110730019</v>
      </c>
      <c r="AK4120">
        <v>14.731916254148199</v>
      </c>
      <c r="AL4120">
        <v>67.194144876474098</v>
      </c>
      <c r="AM4120">
        <v>99.663777299342797</v>
      </c>
      <c r="AN4120">
        <v>1.00000002395416</v>
      </c>
    </row>
    <row r="4121" spans="1:40" x14ac:dyDescent="0.25">
      <c r="A4121" t="str">
        <f>"20190304164727387"</f>
        <v>20190304164727387</v>
      </c>
      <c r="B4121" t="str">
        <f>"1551689247382747"</f>
        <v>1551689247382747</v>
      </c>
      <c r="C4121" t="s">
        <v>40</v>
      </c>
      <c r="D4121">
        <v>4.1336849999999998</v>
      </c>
      <c r="E4121">
        <v>0.43575380000000002</v>
      </c>
      <c r="F4121" t="s">
        <v>51</v>
      </c>
      <c r="G4121">
        <v>-403.02890000000002</v>
      </c>
      <c r="H4121" s="1">
        <v>-4.56663E-6</v>
      </c>
      <c r="I4121">
        <v>135.0275</v>
      </c>
      <c r="J4121">
        <v>-389.60109999999997</v>
      </c>
      <c r="K4121">
        <v>1.1146959999999999</v>
      </c>
      <c r="L4121">
        <v>141.52099999999999</v>
      </c>
      <c r="M4121">
        <v>-0.99314709999999995</v>
      </c>
      <c r="N4121">
        <v>-1.4736279999999999E-2</v>
      </c>
      <c r="O4121">
        <v>-0.1159386</v>
      </c>
      <c r="P4121">
        <v>-0.88941700000000001</v>
      </c>
      <c r="Q4121">
        <v>0.37786320000000001</v>
      </c>
      <c r="R4121">
        <v>-0.25720999999999999</v>
      </c>
      <c r="S4121">
        <v>-3.057159</v>
      </c>
      <c r="T4121">
        <v>-0.24761240000000001</v>
      </c>
      <c r="U4121">
        <v>-1.45172099999999</v>
      </c>
      <c r="V4121">
        <v>-0.15580629999999901</v>
      </c>
      <c r="W4121">
        <v>0.38991540000000002</v>
      </c>
      <c r="X4121">
        <v>0.90757390000000004</v>
      </c>
      <c r="Y4121">
        <v>-0.32049250000000001</v>
      </c>
      <c r="Z4121">
        <v>-7.5939579999999996E-3</v>
      </c>
      <c r="AA4121">
        <v>0.94722059999999997</v>
      </c>
      <c r="AB4121">
        <v>34</v>
      </c>
      <c r="AC4121">
        <v>-13.4278</v>
      </c>
      <c r="AD4121">
        <v>-1.1147005666299901</v>
      </c>
      <c r="AE4121">
        <v>-6.4935000000000098</v>
      </c>
      <c r="AF4121">
        <v>-4.8655561135444696</v>
      </c>
      <c r="AG4121">
        <v>-1.1147005666299901</v>
      </c>
      <c r="AH4121">
        <v>14.011897447732499</v>
      </c>
      <c r="AI4121">
        <v>94.297808761835796</v>
      </c>
      <c r="AJ4121">
        <v>109.149283073061</v>
      </c>
      <c r="AK4121">
        <v>14.874456754216901</v>
      </c>
      <c r="AL4121">
        <v>67.050764630015706</v>
      </c>
      <c r="AM4121">
        <v>99.741205341309694</v>
      </c>
      <c r="AN4121">
        <v>1.0000000031190299</v>
      </c>
    </row>
    <row r="4122" spans="1:40" x14ac:dyDescent="0.25">
      <c r="A4122" t="str">
        <f>"20190304164727411"</f>
        <v>20190304164727411</v>
      </c>
      <c r="B4122" t="str">
        <f>"1551689247403243"</f>
        <v>1551689247403243</v>
      </c>
      <c r="C4122" t="s">
        <v>40</v>
      </c>
      <c r="D4122">
        <v>4.1184690000000002</v>
      </c>
      <c r="E4122">
        <v>0.43648320000000002</v>
      </c>
      <c r="F4122" t="s">
        <v>51</v>
      </c>
      <c r="G4122">
        <v>-403.50119999999998</v>
      </c>
      <c r="H4122" s="1">
        <v>-4.695853E-6</v>
      </c>
      <c r="I4122">
        <v>134.85570000000001</v>
      </c>
      <c r="J4122">
        <v>-389.95949999999999</v>
      </c>
      <c r="K4122">
        <v>1.1147</v>
      </c>
      <c r="L4122">
        <v>141.47499999999999</v>
      </c>
      <c r="M4122">
        <v>-0.9926507</v>
      </c>
      <c r="N4122">
        <v>-1.473356E-2</v>
      </c>
      <c r="O4122">
        <v>-0.12011520000000001</v>
      </c>
      <c r="P4122">
        <v>-0.88753459999999995</v>
      </c>
      <c r="Q4122">
        <v>0.37882929999999998</v>
      </c>
      <c r="R4122">
        <v>-0.26224229999999998</v>
      </c>
      <c r="S4122">
        <v>-3.0536189999999999</v>
      </c>
      <c r="T4122">
        <v>-0.24488190000000001</v>
      </c>
      <c r="U4122">
        <v>-1.4642790000000001</v>
      </c>
      <c r="V4122">
        <v>-0.1571969</v>
      </c>
      <c r="W4122">
        <v>0.39085579999999998</v>
      </c>
      <c r="X4122">
        <v>0.9069294</v>
      </c>
      <c r="Y4122">
        <v>-0.32013009999999997</v>
      </c>
      <c r="Z4122">
        <v>-7.2884469999999896E-3</v>
      </c>
      <c r="AA4122">
        <v>0.94734560000000001</v>
      </c>
      <c r="AB4122">
        <v>34</v>
      </c>
      <c r="AC4122">
        <v>-13.541699999999899</v>
      </c>
      <c r="AD4122">
        <v>-1.114704695853</v>
      </c>
      <c r="AE4122">
        <v>-6.6192999999999804</v>
      </c>
      <c r="AF4122">
        <v>-4.9177289871210101</v>
      </c>
      <c r="AG4122">
        <v>-1.114704695853</v>
      </c>
      <c r="AH4122">
        <v>14.161349505154</v>
      </c>
      <c r="AI4122">
        <v>94.252609101250798</v>
      </c>
      <c r="AJ4122">
        <v>109.15028120695401</v>
      </c>
      <c r="AK4122">
        <v>15.032313353468</v>
      </c>
      <c r="AL4122">
        <v>66.992240450052805</v>
      </c>
      <c r="AM4122">
        <v>99.833306611343303</v>
      </c>
      <c r="AN4122">
        <v>1.0000000291738</v>
      </c>
    </row>
    <row r="4123" spans="1:40" x14ac:dyDescent="0.25">
      <c r="A4123" t="str">
        <f>"20190304164727431"</f>
        <v>20190304164727431</v>
      </c>
      <c r="B4123" t="str">
        <f>"1551689247422764"</f>
        <v>1551689247422764</v>
      </c>
      <c r="C4123" t="s">
        <v>40</v>
      </c>
      <c r="D4123">
        <v>4.1319169999999996</v>
      </c>
      <c r="E4123">
        <v>0.4372144</v>
      </c>
      <c r="F4123" t="s">
        <v>51</v>
      </c>
      <c r="G4123">
        <v>-403.71559999999999</v>
      </c>
      <c r="H4123" s="1">
        <v>-4.7696239999999999E-6</v>
      </c>
      <c r="I4123">
        <v>134.81</v>
      </c>
      <c r="J4123">
        <v>-390.27260000000001</v>
      </c>
      <c r="K4123">
        <v>1.1147100000000001</v>
      </c>
      <c r="L4123">
        <v>141.43350000000001</v>
      </c>
      <c r="M4123">
        <v>-0.99219979999999997</v>
      </c>
      <c r="N4123">
        <v>-1.473143E-2</v>
      </c>
      <c r="O4123">
        <v>-0.1237839</v>
      </c>
      <c r="P4123">
        <v>-0.88642840000000001</v>
      </c>
      <c r="Q4123">
        <v>0.37787510000000002</v>
      </c>
      <c r="R4123">
        <v>-0.26731110000000002</v>
      </c>
      <c r="S4123">
        <v>-3.0491329999999999</v>
      </c>
      <c r="T4123">
        <v>-0.24708269999999999</v>
      </c>
      <c r="U4123">
        <v>-1.477341</v>
      </c>
      <c r="V4123">
        <v>-0.15898770000000001</v>
      </c>
      <c r="W4123">
        <v>0.38988240000000002</v>
      </c>
      <c r="X4123">
        <v>0.90703619999999996</v>
      </c>
      <c r="Y4123">
        <v>-0.32045770000000001</v>
      </c>
      <c r="Z4123">
        <v>-7.1099669999999896E-3</v>
      </c>
      <c r="AA4123">
        <v>0.94723610000000003</v>
      </c>
      <c r="AB4123">
        <v>34</v>
      </c>
      <c r="AC4123">
        <v>-13.4429999999999</v>
      </c>
      <c r="AD4123">
        <v>-1.1147147696240001</v>
      </c>
      <c r="AE4123">
        <v>-6.6234999999999999</v>
      </c>
      <c r="AF4123">
        <v>-4.8813336898981099</v>
      </c>
      <c r="AG4123">
        <v>-1.1147147696240001</v>
      </c>
      <c r="AH4123">
        <v>14.0816504213598</v>
      </c>
      <c r="AI4123">
        <v>94.277444424808706</v>
      </c>
      <c r="AJ4123">
        <v>109.11861802376001</v>
      </c>
      <c r="AK4123">
        <v>14.9453299126896</v>
      </c>
      <c r="AL4123">
        <v>67.052818332706096</v>
      </c>
      <c r="AM4123">
        <v>99.941957642278894</v>
      </c>
      <c r="AN4123">
        <v>1.0000000213457401</v>
      </c>
    </row>
    <row r="4124" spans="1:40" x14ac:dyDescent="0.25">
      <c r="A4124" t="str">
        <f>"20190304164727454"</f>
        <v>20190304164727454</v>
      </c>
      <c r="B4124" t="str">
        <f>"1551689247443260"</f>
        <v>1551689247443260</v>
      </c>
      <c r="C4124" t="s">
        <v>40</v>
      </c>
      <c r="D4124">
        <v>4.0634779999999999</v>
      </c>
      <c r="E4124">
        <v>0.43690390000000001</v>
      </c>
      <c r="F4124" t="s">
        <v>51</v>
      </c>
      <c r="G4124">
        <v>-403.70929999999998</v>
      </c>
      <c r="H4124" s="1">
        <v>-4.7956369999999998E-6</v>
      </c>
      <c r="I4124">
        <v>134.8717</v>
      </c>
      <c r="J4124">
        <v>-390.60969999999998</v>
      </c>
      <c r="K4124">
        <v>1.1147279999999999</v>
      </c>
      <c r="L4124">
        <v>141.38740000000001</v>
      </c>
      <c r="M4124">
        <v>-0.99169499999999999</v>
      </c>
      <c r="N4124">
        <v>-1.4729269999999999E-2</v>
      </c>
      <c r="O4124">
        <v>-0.12776509999999999</v>
      </c>
      <c r="P4124">
        <v>-0.88507060000000004</v>
      </c>
      <c r="Q4124">
        <v>0.377334</v>
      </c>
      <c r="R4124">
        <v>-0.27252369999999998</v>
      </c>
      <c r="S4124">
        <v>-3.043793</v>
      </c>
      <c r="T4124">
        <v>-0.25251289999999998</v>
      </c>
      <c r="U4124">
        <v>-1.4864200000000001</v>
      </c>
      <c r="V4124">
        <v>-0.16067479999999901</v>
      </c>
      <c r="W4124">
        <v>0.3893181</v>
      </c>
      <c r="X4124">
        <v>0.90698129999999999</v>
      </c>
      <c r="Y4124">
        <v>-0.31957269999999999</v>
      </c>
      <c r="Z4124">
        <v>-6.8855309999999899E-3</v>
      </c>
      <c r="AA4124">
        <v>0.94753679999999996</v>
      </c>
      <c r="AB4124">
        <v>34</v>
      </c>
      <c r="AC4124">
        <v>-13.099600000000001</v>
      </c>
      <c r="AD4124">
        <v>-1.1147327956369999</v>
      </c>
      <c r="AE4124">
        <v>-6.5157000000000096</v>
      </c>
      <c r="AF4124">
        <v>-4.7607977697550101</v>
      </c>
      <c r="AG4124">
        <v>-1.1147327956369999</v>
      </c>
      <c r="AH4124">
        <v>13.744995006538</v>
      </c>
      <c r="AI4124">
        <v>94.382255906834402</v>
      </c>
      <c r="AJ4124">
        <v>109.104341794612</v>
      </c>
      <c r="AK4124">
        <v>14.5887872127853</v>
      </c>
      <c r="AL4124">
        <v>67.087924393040296</v>
      </c>
      <c r="AM4124">
        <v>100.045914763</v>
      </c>
      <c r="AN4124">
        <v>1.0000000264461599</v>
      </c>
    </row>
    <row r="4125" spans="1:40" x14ac:dyDescent="0.25">
      <c r="A4125" t="str">
        <f>"20190304164727477"</f>
        <v>20190304164727477</v>
      </c>
      <c r="B4125" t="str">
        <f>"1551689247473521"</f>
        <v>1551689247473521</v>
      </c>
      <c r="C4125" t="s">
        <v>40</v>
      </c>
      <c r="D4125">
        <v>4.1123500000000002</v>
      </c>
      <c r="E4125">
        <v>0.37255250000000001</v>
      </c>
      <c r="F4125" t="s">
        <v>51</v>
      </c>
      <c r="G4125">
        <v>-403.77929999999998</v>
      </c>
      <c r="H4125" s="1">
        <v>-4.8235109999999997E-6</v>
      </c>
      <c r="I4125">
        <v>134.86490000000001</v>
      </c>
      <c r="J4125">
        <v>-390.95139999999998</v>
      </c>
      <c r="K4125">
        <v>1.1147530000000001</v>
      </c>
      <c r="L4125">
        <v>141.33920000000001</v>
      </c>
      <c r="M4125">
        <v>-0.99116130000000002</v>
      </c>
      <c r="N4125">
        <v>-1.4727479999999999E-2</v>
      </c>
      <c r="O4125">
        <v>-0.1318424</v>
      </c>
      <c r="P4125">
        <v>-0.88339719999999999</v>
      </c>
      <c r="Q4125">
        <v>0.37741619999999998</v>
      </c>
      <c r="R4125">
        <v>-0.27778849999999999</v>
      </c>
      <c r="S4125">
        <v>-3.0361630000000002</v>
      </c>
      <c r="T4125">
        <v>-0.25699319999999998</v>
      </c>
      <c r="U4125">
        <v>-1.5037229999999999</v>
      </c>
      <c r="V4125">
        <v>-0.16237969999999999</v>
      </c>
      <c r="W4125">
        <v>0.38937090000000002</v>
      </c>
      <c r="X4125">
        <v>0.90665499999999999</v>
      </c>
      <c r="Y4125">
        <v>-0.32093949999999999</v>
      </c>
      <c r="Z4125">
        <v>-6.7401910000000004E-3</v>
      </c>
      <c r="AA4125">
        <v>0.94707569999999996</v>
      </c>
      <c r="AB4125">
        <v>34</v>
      </c>
      <c r="AC4125">
        <v>-12.8279</v>
      </c>
      <c r="AD4125">
        <v>-1.1147578235110001</v>
      </c>
      <c r="AE4125">
        <v>-6.4743000000000004</v>
      </c>
      <c r="AF4125">
        <v>-4.6980509481630301</v>
      </c>
      <c r="AG4125">
        <v>-1.1147578235110001</v>
      </c>
      <c r="AH4125">
        <v>13.488394471051199</v>
      </c>
      <c r="AI4125">
        <v>94.462719300502698</v>
      </c>
      <c r="AJ4125">
        <v>109.203390623925</v>
      </c>
      <c r="AK4125">
        <v>14.3265890261185</v>
      </c>
      <c r="AL4125">
        <v>67.084641234384506</v>
      </c>
      <c r="AM4125">
        <v>100.15388265530299</v>
      </c>
      <c r="AN4125">
        <v>1.0000000768819399</v>
      </c>
    </row>
    <row r="4126" spans="1:40" x14ac:dyDescent="0.25">
      <c r="A4126" t="str">
        <f>"20190304164727522"</f>
        <v>20190304164727522</v>
      </c>
      <c r="B4126" t="str">
        <f>"1551689247513536"</f>
        <v>1551689247513536</v>
      </c>
      <c r="C4126" t="s">
        <v>40</v>
      </c>
      <c r="D4126">
        <v>4.0926010000000002</v>
      </c>
      <c r="E4126">
        <v>0.37389230000000001</v>
      </c>
      <c r="F4126" t="s">
        <v>41</v>
      </c>
      <c r="G4126">
        <v>-391.8494</v>
      </c>
      <c r="H4126">
        <v>1.053547</v>
      </c>
      <c r="I4126">
        <v>140.70920000000001</v>
      </c>
      <c r="J4126">
        <v>-391.61540000000002</v>
      </c>
      <c r="K4126">
        <v>1.1147910000000001</v>
      </c>
      <c r="L4126">
        <v>141.2413</v>
      </c>
      <c r="M4126">
        <v>-0.99005759999999998</v>
      </c>
      <c r="N4126">
        <v>-1.472411E-2</v>
      </c>
      <c r="O4126">
        <v>-0.13988970000000001</v>
      </c>
      <c r="P4126">
        <v>-0.8810964</v>
      </c>
      <c r="Q4126">
        <v>0.37642419999999999</v>
      </c>
      <c r="R4126">
        <v>-0.28631099999999998</v>
      </c>
      <c r="S4126">
        <v>-2.8500670000000001</v>
      </c>
      <c r="T4126">
        <v>-0.19424830000000001</v>
      </c>
      <c r="U4126">
        <v>-2.000076</v>
      </c>
      <c r="V4126">
        <v>-0.16375979999999901</v>
      </c>
      <c r="W4126">
        <v>0.38834770000000002</v>
      </c>
      <c r="X4126">
        <v>0.90684549999999997</v>
      </c>
      <c r="Y4126">
        <v>-0.45349299999999998</v>
      </c>
      <c r="Z4126">
        <v>-1.099698E-2</v>
      </c>
      <c r="AA4126">
        <v>0.89119199999999998</v>
      </c>
      <c r="AB4126">
        <v>34</v>
      </c>
      <c r="AC4126">
        <v>-0.23399999999998</v>
      </c>
      <c r="AD4126">
        <v>-6.1244E-2</v>
      </c>
      <c r="AE4126">
        <v>-0.53209999999998503</v>
      </c>
      <c r="AF4126">
        <v>-0.48870399922104402</v>
      </c>
      <c r="AG4126">
        <v>-6.1244E-2</v>
      </c>
      <c r="AH4126">
        <v>0.30278085261355397</v>
      </c>
      <c r="AI4126">
        <v>96.080795931236295</v>
      </c>
      <c r="AJ4126">
        <v>148.21935151243599</v>
      </c>
      <c r="AK4126">
        <v>0.57815107982259495</v>
      </c>
      <c r="AL4126">
        <v>67.148272155528005</v>
      </c>
      <c r="AM4126">
        <v>100.23625942526699</v>
      </c>
      <c r="AN4126">
        <v>0.99999998453078898</v>
      </c>
    </row>
    <row r="4127" spans="1:40" x14ac:dyDescent="0.25">
      <c r="A4127" t="str">
        <f>"20190304164727543"</f>
        <v>20190304164727543</v>
      </c>
      <c r="B4127" t="str">
        <f>"1551689247533057"</f>
        <v>1551689247533057</v>
      </c>
      <c r="C4127" t="s">
        <v>40</v>
      </c>
      <c r="D4127">
        <v>4.0871810000000002</v>
      </c>
      <c r="E4127">
        <v>0.37373630000000002</v>
      </c>
      <c r="F4127" t="s">
        <v>41</v>
      </c>
      <c r="G4127">
        <v>-392.45269999999999</v>
      </c>
      <c r="H4127">
        <v>1.055714</v>
      </c>
      <c r="I4127">
        <v>140.6448</v>
      </c>
      <c r="J4127">
        <v>-391.94209999999998</v>
      </c>
      <c r="K4127">
        <v>1.11483</v>
      </c>
      <c r="L4127">
        <v>141.191</v>
      </c>
      <c r="M4127">
        <v>-0.98947799999999997</v>
      </c>
      <c r="N4127">
        <v>-1.472275E-2</v>
      </c>
      <c r="O4127">
        <v>-0.14393220000000001</v>
      </c>
      <c r="P4127">
        <v>-0.87978670000000003</v>
      </c>
      <c r="Q4127">
        <v>0.37640570000000001</v>
      </c>
      <c r="R4127">
        <v>-0.290334599999999</v>
      </c>
      <c r="S4127">
        <v>-2.8341669999999999</v>
      </c>
      <c r="T4127">
        <v>-0.1999464</v>
      </c>
      <c r="U4127">
        <v>-2.019196</v>
      </c>
      <c r="V4127">
        <v>-0.16423309999999999</v>
      </c>
      <c r="W4127">
        <v>0.38830949999999997</v>
      </c>
      <c r="X4127">
        <v>0.90677629999999998</v>
      </c>
      <c r="Y4127">
        <v>-0.45615800000000001</v>
      </c>
      <c r="Z4127">
        <v>-1.1089409999999999E-2</v>
      </c>
      <c r="AA4127">
        <v>0.88982969999999895</v>
      </c>
      <c r="AB4127">
        <v>34</v>
      </c>
      <c r="AC4127">
        <v>-0.51060000000001005</v>
      </c>
      <c r="AD4127">
        <v>-5.9115999999999898E-2</v>
      </c>
      <c r="AE4127">
        <v>-0.54619999999999802</v>
      </c>
      <c r="AF4127">
        <v>-0.46411049363359802</v>
      </c>
      <c r="AG4127">
        <v>-5.9115999999999898E-2</v>
      </c>
      <c r="AH4127">
        <v>0.58027910765490898</v>
      </c>
      <c r="AI4127">
        <v>94.548793223616002</v>
      </c>
      <c r="AJ4127">
        <v>128.65301679304301</v>
      </c>
      <c r="AK4127">
        <v>0.74539727296093605</v>
      </c>
      <c r="AL4127">
        <v>67.150648071551103</v>
      </c>
      <c r="AM4127">
        <v>100.26598290669899</v>
      </c>
      <c r="AN4127">
        <v>1.0000000185837701</v>
      </c>
    </row>
    <row r="4128" spans="1:40" x14ac:dyDescent="0.25">
      <c r="A4128" t="str">
        <f>"20190304164727566"</f>
        <v>20190304164727566</v>
      </c>
      <c r="B4128" t="str">
        <f>"1551689247563313"</f>
        <v>1551689247563313</v>
      </c>
      <c r="C4128" t="s">
        <v>40</v>
      </c>
      <c r="D4128">
        <v>4.091818</v>
      </c>
      <c r="E4128">
        <v>0.37416169999999999</v>
      </c>
      <c r="F4128" t="s">
        <v>41</v>
      </c>
      <c r="G4128">
        <v>-392.75240000000002</v>
      </c>
      <c r="H4128">
        <v>1.0570630000000001</v>
      </c>
      <c r="I4128">
        <v>140.60740000000001</v>
      </c>
      <c r="J4128">
        <v>-392.28590000000003</v>
      </c>
      <c r="K4128">
        <v>1.114878</v>
      </c>
      <c r="L4128">
        <v>141.13659999999999</v>
      </c>
      <c r="M4128">
        <v>-0.98883869999999896</v>
      </c>
      <c r="N4128">
        <v>-1.472207E-2</v>
      </c>
      <c r="O4128">
        <v>-0.14826129999999901</v>
      </c>
      <c r="P4128">
        <v>-0.87832710000000003</v>
      </c>
      <c r="Q4128">
        <v>0.3764054</v>
      </c>
      <c r="R4128">
        <v>-0.29472140000000002</v>
      </c>
      <c r="S4128">
        <v>-2.8244929999999999</v>
      </c>
      <c r="T4128">
        <v>-0.20135249999999999</v>
      </c>
      <c r="U4128">
        <v>-2.0349879999999998</v>
      </c>
      <c r="V4128">
        <v>-0.16483689999999901</v>
      </c>
      <c r="W4128">
        <v>0.38828309999999999</v>
      </c>
      <c r="X4128">
        <v>0.90667799999999998</v>
      </c>
      <c r="Y4128">
        <v>-0.45697989999999999</v>
      </c>
      <c r="Z4128">
        <v>-1.0962680000000001E-2</v>
      </c>
      <c r="AA4128">
        <v>0.88940949999999996</v>
      </c>
      <c r="AB4128">
        <v>34</v>
      </c>
      <c r="AC4128">
        <v>-0.46649999999999597</v>
      </c>
      <c r="AD4128">
        <v>-5.7815000000000102E-2</v>
      </c>
      <c r="AE4128">
        <v>-0.52919999999997402</v>
      </c>
      <c r="AF4128">
        <v>-0.45114865033720702</v>
      </c>
      <c r="AG4128">
        <v>-5.7815000000000102E-2</v>
      </c>
      <c r="AH4128">
        <v>0.53621020947752096</v>
      </c>
      <c r="AI4128">
        <v>94.716446663665906</v>
      </c>
      <c r="AJ4128">
        <v>130.076091773455</v>
      </c>
      <c r="AK4128">
        <v>0.70313517027241002</v>
      </c>
      <c r="AL4128">
        <v>67.152288602655204</v>
      </c>
      <c r="AM4128">
        <v>100.30401176173901</v>
      </c>
      <c r="AN4128">
        <v>0.99999998251560895</v>
      </c>
    </row>
    <row r="4129" spans="1:40" x14ac:dyDescent="0.25">
      <c r="A4129" t="str">
        <f>"20190304164727589"</f>
        <v>20190304164727589</v>
      </c>
      <c r="B4129" t="str">
        <f>"1551689247583339"</f>
        <v>1551689247583339</v>
      </c>
      <c r="C4129" t="s">
        <v>40</v>
      </c>
      <c r="D4129">
        <v>4.0609409999999997</v>
      </c>
      <c r="E4129">
        <v>0.37420330000000002</v>
      </c>
      <c r="F4129" t="s">
        <v>41</v>
      </c>
      <c r="G4129">
        <v>-393.05500000000001</v>
      </c>
      <c r="H4129">
        <v>1.059418</v>
      </c>
      <c r="I4129">
        <v>140.5779</v>
      </c>
      <c r="J4129">
        <v>-392.61750000000001</v>
      </c>
      <c r="K4129">
        <v>1.114949</v>
      </c>
      <c r="L4129">
        <v>141.08260000000001</v>
      </c>
      <c r="M4129">
        <v>-0.98818620000000001</v>
      </c>
      <c r="N4129">
        <v>-1.472245E-2</v>
      </c>
      <c r="O4129">
        <v>-0.15254909999999999</v>
      </c>
      <c r="P4129">
        <v>-0.87671719999999898</v>
      </c>
      <c r="Q4129">
        <v>0.37727650000000001</v>
      </c>
      <c r="R4129">
        <v>-0.29837819999999998</v>
      </c>
      <c r="S4129">
        <v>-2.8159480000000001</v>
      </c>
      <c r="T4129">
        <v>-0.2030592</v>
      </c>
      <c r="U4129">
        <v>-2.046265</v>
      </c>
      <c r="V4129">
        <v>-0.16480939999999999</v>
      </c>
      <c r="W4129">
        <v>0.38912350000000001</v>
      </c>
      <c r="X4129">
        <v>0.90632270000000004</v>
      </c>
      <c r="Y4129">
        <v>-0.45673000000000002</v>
      </c>
      <c r="Z4129">
        <v>-1.079868E-2</v>
      </c>
      <c r="AA4129">
        <v>0.88953979999999999</v>
      </c>
      <c r="AB4129">
        <v>34</v>
      </c>
      <c r="AC4129">
        <v>-0.4375</v>
      </c>
      <c r="AD4129">
        <v>-5.5530999999999997E-2</v>
      </c>
      <c r="AE4129">
        <v>-0.50470000000001303</v>
      </c>
      <c r="AF4129">
        <v>-0.429078341014209</v>
      </c>
      <c r="AG4129">
        <v>-5.5530999999999997E-2</v>
      </c>
      <c r="AH4129">
        <v>0.50588150154998102</v>
      </c>
      <c r="AI4129">
        <v>94.785290896644796</v>
      </c>
      <c r="AJ4129">
        <v>130.30392802488001</v>
      </c>
      <c r="AK4129">
        <v>0.66566358492782995</v>
      </c>
      <c r="AL4129">
        <v>67.100028882562995</v>
      </c>
      <c r="AM4129">
        <v>100.30628176047</v>
      </c>
      <c r="AN4129">
        <v>1.00000003655794</v>
      </c>
    </row>
    <row r="4130" spans="1:40" x14ac:dyDescent="0.25">
      <c r="A4130" t="str">
        <f>"20190304164727611"</f>
        <v>20190304164727611</v>
      </c>
      <c r="B4130" t="str">
        <f>"1551689247602859"</f>
        <v>1551689247602859</v>
      </c>
      <c r="C4130" t="s">
        <v>40</v>
      </c>
      <c r="D4130">
        <v>4.0794600000000001</v>
      </c>
      <c r="E4130">
        <v>0.37450359999999999</v>
      </c>
      <c r="F4130" t="s">
        <v>41</v>
      </c>
      <c r="G4130">
        <v>-393.35570000000001</v>
      </c>
      <c r="H4130">
        <v>1.062095</v>
      </c>
      <c r="I4130">
        <v>140.54069999999999</v>
      </c>
      <c r="J4130">
        <v>-392.94729999999998</v>
      </c>
      <c r="K4130">
        <v>1.115049</v>
      </c>
      <c r="L4130">
        <v>141.0273</v>
      </c>
      <c r="M4130">
        <v>-0.98749750000000003</v>
      </c>
      <c r="N4130">
        <v>-1.4724559999999999E-2</v>
      </c>
      <c r="O4130">
        <v>-0.15694530000000001</v>
      </c>
      <c r="P4130">
        <v>-0.87522599999999995</v>
      </c>
      <c r="Q4130">
        <v>0.3779536</v>
      </c>
      <c r="R4130">
        <v>-0.30187770000000003</v>
      </c>
      <c r="S4130">
        <v>-2.8071899999999999</v>
      </c>
      <c r="T4130">
        <v>-0.2009842</v>
      </c>
      <c r="U4130">
        <v>-2.060165</v>
      </c>
      <c r="V4130">
        <v>-0.1645326</v>
      </c>
      <c r="W4130">
        <v>0.38976650000000002</v>
      </c>
      <c r="X4130">
        <v>0.90609660000000003</v>
      </c>
      <c r="Y4130">
        <v>-0.45697749999999998</v>
      </c>
      <c r="Z4130">
        <v>-1.0556070000000001E-2</v>
      </c>
      <c r="AA4130">
        <v>0.88941559999999897</v>
      </c>
      <c r="AB4130">
        <v>34</v>
      </c>
      <c r="AC4130">
        <v>-0.40840000000002802</v>
      </c>
      <c r="AD4130">
        <v>-5.2953999999999897E-2</v>
      </c>
      <c r="AE4130">
        <v>-0.48660000000000903</v>
      </c>
      <c r="AF4130">
        <v>-0.413591227019173</v>
      </c>
      <c r="AG4130">
        <v>-5.2953999999999897E-2</v>
      </c>
      <c r="AH4130">
        <v>0.47640537315447001</v>
      </c>
      <c r="AI4130">
        <v>94.797912004314696</v>
      </c>
      <c r="AJ4130">
        <v>130.962875083369</v>
      </c>
      <c r="AK4130">
        <v>0.63310655402836802</v>
      </c>
      <c r="AL4130">
        <v>67.060028255901102</v>
      </c>
      <c r="AM4130">
        <v>100.29185491241</v>
      </c>
      <c r="AN4130">
        <v>0.99999997475828395</v>
      </c>
    </row>
    <row r="4131" spans="1:40" x14ac:dyDescent="0.25">
      <c r="A4131" t="str">
        <f>"20190304164727633"</f>
        <v>20190304164727633</v>
      </c>
      <c r="B4131" t="str">
        <f>"1551689247623356"</f>
        <v>1551689247623356</v>
      </c>
      <c r="C4131" t="s">
        <v>40</v>
      </c>
      <c r="D4131">
        <v>4.0784120000000001</v>
      </c>
      <c r="E4131">
        <v>0.37451719999999999</v>
      </c>
      <c r="F4131" t="s">
        <v>41</v>
      </c>
      <c r="G4131">
        <v>-393.70229999999998</v>
      </c>
      <c r="H4131">
        <v>1.0615129999999999</v>
      </c>
      <c r="I4131">
        <v>140.46870000000001</v>
      </c>
      <c r="J4131">
        <v>-393.2636</v>
      </c>
      <c r="K4131">
        <v>1.1151610000000001</v>
      </c>
      <c r="L4131">
        <v>140.9726</v>
      </c>
      <c r="M4131">
        <v>-0.98679479999999997</v>
      </c>
      <c r="N4131">
        <v>-1.472825E-2</v>
      </c>
      <c r="O4131">
        <v>-0.16130449999999999</v>
      </c>
      <c r="P4131">
        <v>-0.87395330000000004</v>
      </c>
      <c r="Q4131">
        <v>0.37808389999999997</v>
      </c>
      <c r="R4131">
        <v>-0.30538199999999999</v>
      </c>
      <c r="S4131">
        <v>-2.7989809999999999</v>
      </c>
      <c r="T4131">
        <v>-0.19846939999999999</v>
      </c>
      <c r="U4131">
        <v>-2.0712280000000001</v>
      </c>
      <c r="V4131">
        <v>-0.16427050000000001</v>
      </c>
      <c r="W4131">
        <v>0.38986140000000002</v>
      </c>
      <c r="X4131">
        <v>0.9061034</v>
      </c>
      <c r="Y4131">
        <v>-0.4565901</v>
      </c>
      <c r="Z4131">
        <v>-1.0285839999999999E-2</v>
      </c>
      <c r="AA4131">
        <v>0.88961769999999996</v>
      </c>
      <c r="AB4131">
        <v>34</v>
      </c>
      <c r="AC4131">
        <v>-0.43869999999998199</v>
      </c>
      <c r="AD4131">
        <v>-5.3648000000000098E-2</v>
      </c>
      <c r="AE4131">
        <v>-0.50389999999998702</v>
      </c>
      <c r="AF4131">
        <v>-0.423795337895917</v>
      </c>
      <c r="AG4131">
        <v>-5.3648000000000098E-2</v>
      </c>
      <c r="AH4131">
        <v>0.51094950149715301</v>
      </c>
      <c r="AI4131">
        <v>94.620358543830903</v>
      </c>
      <c r="AJ4131">
        <v>129.67323041131701</v>
      </c>
      <c r="AK4131">
        <v>0.665995487527133</v>
      </c>
      <c r="AL4131">
        <v>67.054125387738694</v>
      </c>
      <c r="AM4131">
        <v>100.275734119494</v>
      </c>
      <c r="AN4131">
        <v>1.0000000399358799</v>
      </c>
    </row>
    <row r="4132" spans="1:40" x14ac:dyDescent="0.25">
      <c r="A4132" t="str">
        <f>"20190304164727655"</f>
        <v>20190304164727655</v>
      </c>
      <c r="B4132" t="str">
        <f>"1551689247642877"</f>
        <v>1551689247642877</v>
      </c>
      <c r="C4132" t="s">
        <v>40</v>
      </c>
      <c r="D4132">
        <v>4.0857700000000001</v>
      </c>
      <c r="E4132">
        <v>0.37435770000000002</v>
      </c>
      <c r="F4132" t="s">
        <v>41</v>
      </c>
      <c r="G4132">
        <v>-394.02800000000002</v>
      </c>
      <c r="H4132">
        <v>1.0606089999999999</v>
      </c>
      <c r="I4132">
        <v>140.40170000000001</v>
      </c>
      <c r="J4132">
        <v>-393.59399999999999</v>
      </c>
      <c r="K4132">
        <v>1.115291</v>
      </c>
      <c r="L4132">
        <v>140.91380000000001</v>
      </c>
      <c r="M4132">
        <v>-0.98601139999999998</v>
      </c>
      <c r="N4132">
        <v>-1.4733329999999999E-2</v>
      </c>
      <c r="O4132">
        <v>-0.16602529999999999</v>
      </c>
      <c r="P4132">
        <v>-0.87235549999999995</v>
      </c>
      <c r="Q4132">
        <v>0.37853560000000003</v>
      </c>
      <c r="R4132">
        <v>-0.30936439999999998</v>
      </c>
      <c r="S4132">
        <v>-2.7904969999999998</v>
      </c>
      <c r="T4132">
        <v>-0.19916200000000001</v>
      </c>
      <c r="U4132">
        <v>-2.0844420000000001</v>
      </c>
      <c r="V4132">
        <v>-0.164221799999999</v>
      </c>
      <c r="W4132">
        <v>0.39026620000000001</v>
      </c>
      <c r="X4132">
        <v>0.90593789999999996</v>
      </c>
      <c r="Y4132">
        <v>-0.45633610000000002</v>
      </c>
      <c r="Z4132">
        <v>-1.0077259999999999E-2</v>
      </c>
      <c r="AA4132">
        <v>0.889750499999999</v>
      </c>
      <c r="AB4132">
        <v>34</v>
      </c>
      <c r="AC4132">
        <v>-0.43400000000002498</v>
      </c>
      <c r="AD4132">
        <v>-5.4682000000000099E-2</v>
      </c>
      <c r="AE4132">
        <v>-0.512100000000003</v>
      </c>
      <c r="AF4132">
        <v>-0.43007455697656399</v>
      </c>
      <c r="AG4132">
        <v>-5.4682000000000099E-2</v>
      </c>
      <c r="AH4132">
        <v>0.50962441725812802</v>
      </c>
      <c r="AI4132">
        <v>94.687832125859501</v>
      </c>
      <c r="AJ4132">
        <v>130.161184477983</v>
      </c>
      <c r="AK4132">
        <v>0.66908242567584697</v>
      </c>
      <c r="AL4132">
        <v>67.028935664928696</v>
      </c>
      <c r="AM4132">
        <v>100.274589321392</v>
      </c>
      <c r="AN4132">
        <v>0.99999999255704497</v>
      </c>
    </row>
    <row r="4133" spans="1:40" x14ac:dyDescent="0.25">
      <c r="A4133" t="str">
        <f>"20190304164727679"</f>
        <v>20190304164727679</v>
      </c>
      <c r="B4133" t="str">
        <f>"1551689247673640"</f>
        <v>1551689247673640</v>
      </c>
      <c r="C4133" t="s">
        <v>40</v>
      </c>
      <c r="D4133">
        <v>4.0926530000000003</v>
      </c>
      <c r="E4133">
        <v>0.3740696</v>
      </c>
      <c r="F4133" t="s">
        <v>41</v>
      </c>
      <c r="G4133">
        <v>-394.49059999999997</v>
      </c>
      <c r="H4133">
        <v>1.0511269999999999</v>
      </c>
      <c r="I4133">
        <v>140.2372</v>
      </c>
      <c r="J4133">
        <v>-393.9391</v>
      </c>
      <c r="K4133">
        <v>1.115424</v>
      </c>
      <c r="L4133">
        <v>140.85040000000001</v>
      </c>
      <c r="M4133">
        <v>-0.98513340000000005</v>
      </c>
      <c r="N4133">
        <v>-1.47397E-2</v>
      </c>
      <c r="O4133">
        <v>-0.1711587</v>
      </c>
      <c r="P4133">
        <v>-0.87037549999999997</v>
      </c>
      <c r="Q4133">
        <v>0.3783282</v>
      </c>
      <c r="R4133">
        <v>-0.31514239999999999</v>
      </c>
      <c r="S4133">
        <v>-2.7810969999999999</v>
      </c>
      <c r="T4133">
        <v>-0.19903470000000001</v>
      </c>
      <c r="U4133">
        <v>-2.0985870000000002</v>
      </c>
      <c r="V4133">
        <v>-0.1656321</v>
      </c>
      <c r="W4133">
        <v>0.38999349999999999</v>
      </c>
      <c r="X4133">
        <v>0.90579860000000001</v>
      </c>
      <c r="Y4133">
        <v>-0.45603949999999999</v>
      </c>
      <c r="Z4133">
        <v>-9.8308600000000003E-3</v>
      </c>
      <c r="AA4133">
        <v>0.88990519999999995</v>
      </c>
      <c r="AB4133">
        <v>34</v>
      </c>
      <c r="AC4133">
        <v>-0.55149999999997501</v>
      </c>
      <c r="AD4133">
        <v>-6.4296999999999799E-2</v>
      </c>
      <c r="AE4133">
        <v>-0.61320000000000596</v>
      </c>
      <c r="AF4133">
        <v>-0.50666550660866505</v>
      </c>
      <c r="AG4133">
        <v>-6.4296999999999799E-2</v>
      </c>
      <c r="AH4133">
        <v>0.64440912618234403</v>
      </c>
      <c r="AI4133">
        <v>94.484862752149297</v>
      </c>
      <c r="AJ4133">
        <v>128.17613552302001</v>
      </c>
      <c r="AK4133">
        <v>0.82225735734203498</v>
      </c>
      <c r="AL4133">
        <v>67.045905366681197</v>
      </c>
      <c r="AM4133">
        <v>100.36248088842299</v>
      </c>
      <c r="AN4133">
        <v>1.0000000131773099</v>
      </c>
    </row>
    <row r="4134" spans="1:40" x14ac:dyDescent="0.25">
      <c r="A4134" t="str">
        <f>"20190304164727701"</f>
        <v>20190304164727701</v>
      </c>
      <c r="B4134" t="str">
        <f>"1551689247693158"</f>
        <v>1551689247693158</v>
      </c>
      <c r="C4134" t="s">
        <v>40</v>
      </c>
      <c r="D4134">
        <v>4.098897</v>
      </c>
      <c r="E4134">
        <v>0.37385230000000003</v>
      </c>
      <c r="F4134" t="s">
        <v>41</v>
      </c>
      <c r="G4134">
        <v>-394.78919999999999</v>
      </c>
      <c r="H4134">
        <v>1.0529200000000001</v>
      </c>
      <c r="I4134">
        <v>140.19980000000001</v>
      </c>
      <c r="J4134">
        <v>-394.27140000000003</v>
      </c>
      <c r="K4134">
        <v>1.11554</v>
      </c>
      <c r="L4134">
        <v>140.78739999999999</v>
      </c>
      <c r="M4134">
        <v>-0.98423389999999999</v>
      </c>
      <c r="N4134">
        <v>-1.474604E-2</v>
      </c>
      <c r="O4134">
        <v>-0.17625650000000001</v>
      </c>
      <c r="P4134">
        <v>-0.86867870000000003</v>
      </c>
      <c r="Q4134">
        <v>0.37727309999999997</v>
      </c>
      <c r="R4134">
        <v>-0.32103310000000002</v>
      </c>
      <c r="S4134">
        <v>-2.7680660000000001</v>
      </c>
      <c r="T4134">
        <v>-0.20351279999999999</v>
      </c>
      <c r="U4134">
        <v>-2.118881</v>
      </c>
      <c r="V4134">
        <v>-0.16711429999999999</v>
      </c>
      <c r="W4134">
        <v>0.38888279999999997</v>
      </c>
      <c r="X4134">
        <v>0.90600380000000003</v>
      </c>
      <c r="Y4134">
        <v>-0.45754549999999999</v>
      </c>
      <c r="Z4134">
        <v>-9.7431329999999993E-3</v>
      </c>
      <c r="AA4134">
        <v>0.88913279999999995</v>
      </c>
      <c r="AB4134">
        <v>34</v>
      </c>
      <c r="AC4134">
        <v>-0.51779999999996495</v>
      </c>
      <c r="AD4134">
        <v>-6.2619999999999898E-2</v>
      </c>
      <c r="AE4134">
        <v>-0.58759999999998003</v>
      </c>
      <c r="AF4134">
        <v>-0.48402886227608199</v>
      </c>
      <c r="AG4134">
        <v>-6.2619999999999898E-2</v>
      </c>
      <c r="AH4134">
        <v>0.60937566325721404</v>
      </c>
      <c r="AI4134">
        <v>94.600446096373901</v>
      </c>
      <c r="AJ4134">
        <v>128.46021826066399</v>
      </c>
      <c r="AK4134">
        <v>0.78073292673387895</v>
      </c>
      <c r="AL4134">
        <v>67.114997074067901</v>
      </c>
      <c r="AM4134">
        <v>100.450861447902</v>
      </c>
      <c r="AN4134">
        <v>0.99999995350738302</v>
      </c>
    </row>
    <row r="4135" spans="1:40" x14ac:dyDescent="0.25">
      <c r="A4135" t="str">
        <f>"20190304164727726"</f>
        <v>20190304164727726</v>
      </c>
      <c r="B4135" t="str">
        <f>"1551689247713655"</f>
        <v>1551689247713655</v>
      </c>
      <c r="C4135" t="s">
        <v>40</v>
      </c>
      <c r="D4135">
        <v>4.0777960000000002</v>
      </c>
      <c r="E4135">
        <v>0.37353560000000002</v>
      </c>
      <c r="F4135" t="s">
        <v>41</v>
      </c>
      <c r="G4135">
        <v>-395.08530000000002</v>
      </c>
      <c r="H4135">
        <v>1.053596</v>
      </c>
      <c r="I4135">
        <v>140.15600000000001</v>
      </c>
      <c r="J4135">
        <v>-394.62869999999998</v>
      </c>
      <c r="K4135">
        <v>1.115659</v>
      </c>
      <c r="L4135">
        <v>140.7175</v>
      </c>
      <c r="M4135">
        <v>-0.9832033</v>
      </c>
      <c r="N4135">
        <v>-1.475223E-2</v>
      </c>
      <c r="O4135">
        <v>-0.18191650000000001</v>
      </c>
      <c r="P4135">
        <v>-0.86670939999999996</v>
      </c>
      <c r="Q4135">
        <v>0.37640570000000001</v>
      </c>
      <c r="R4135">
        <v>-0.3273124</v>
      </c>
      <c r="S4135">
        <v>-2.754791</v>
      </c>
      <c r="T4135">
        <v>-0.2096865</v>
      </c>
      <c r="U4135">
        <v>-2.1371920000000002</v>
      </c>
      <c r="V4135">
        <v>-0.168508299999999</v>
      </c>
      <c r="W4135">
        <v>0.38795740000000001</v>
      </c>
      <c r="X4135">
        <v>0.90614240000000001</v>
      </c>
      <c r="Y4135">
        <v>-0.45816170000000001</v>
      </c>
      <c r="Z4135">
        <v>-9.6065170000000002E-3</v>
      </c>
      <c r="AA4135">
        <v>0.88881699999999997</v>
      </c>
      <c r="AB4135">
        <v>34</v>
      </c>
      <c r="AC4135">
        <v>-0.45660000000003698</v>
      </c>
      <c r="AD4135">
        <v>-6.2062999999999903E-2</v>
      </c>
      <c r="AE4135">
        <v>-0.561499999999995</v>
      </c>
      <c r="AF4135">
        <v>-0.46563233108666102</v>
      </c>
      <c r="AG4135">
        <v>-6.2062999999999903E-2</v>
      </c>
      <c r="AH4135">
        <v>0.54711320979600198</v>
      </c>
      <c r="AI4135">
        <v>94.937329639860096</v>
      </c>
      <c r="AJ4135">
        <v>130.40015136317999</v>
      </c>
      <c r="AK4135">
        <v>0.72110897099917004</v>
      </c>
      <c r="AL4135">
        <v>67.172538057082505</v>
      </c>
      <c r="AM4135">
        <v>100.534518590402</v>
      </c>
      <c r="AN4135">
        <v>1.0000000202307</v>
      </c>
    </row>
    <row r="4136" spans="1:40" x14ac:dyDescent="0.25">
      <c r="A4136" t="str">
        <f>"20190304164727748"</f>
        <v>20190304164727748</v>
      </c>
      <c r="B4136" t="str">
        <f>"1551689247742935"</f>
        <v>1551689247742935</v>
      </c>
      <c r="C4136" t="s">
        <v>40</v>
      </c>
      <c r="D4136">
        <v>4.1249039999999999</v>
      </c>
      <c r="E4136">
        <v>0.3730657</v>
      </c>
      <c r="F4136" t="s">
        <v>41</v>
      </c>
      <c r="G4136">
        <v>-395.3854</v>
      </c>
      <c r="H4136">
        <v>1.057788</v>
      </c>
      <c r="I4136">
        <v>140.12200000000001</v>
      </c>
      <c r="J4136">
        <v>-394.95670000000001</v>
      </c>
      <c r="K4136">
        <v>1.1157779999999999</v>
      </c>
      <c r="L4136">
        <v>140.6514</v>
      </c>
      <c r="M4136">
        <v>-0.98219489999999998</v>
      </c>
      <c r="N4136">
        <v>-1.475829E-2</v>
      </c>
      <c r="O4136">
        <v>-0.1872846</v>
      </c>
      <c r="P4136">
        <v>-0.86507459999999903</v>
      </c>
      <c r="Q4136">
        <v>0.37540079999999998</v>
      </c>
      <c r="R4136">
        <v>-0.33274670000000001</v>
      </c>
      <c r="S4136">
        <v>-2.7381899999999999</v>
      </c>
      <c r="T4136">
        <v>-0.20941270000000001</v>
      </c>
      <c r="U4136">
        <v>-2.1557620000000002</v>
      </c>
      <c r="V4136">
        <v>-0.16926939999999999</v>
      </c>
      <c r="W4136">
        <v>0.38690639999999998</v>
      </c>
      <c r="X4136">
        <v>0.90644990000000003</v>
      </c>
      <c r="Y4136">
        <v>-0.45964690000000002</v>
      </c>
      <c r="Z4136">
        <v>-9.4098150000000002E-3</v>
      </c>
      <c r="AA4136">
        <v>0.88805190000000001</v>
      </c>
      <c r="AB4136">
        <v>34</v>
      </c>
      <c r="AC4136">
        <v>-0.42869999999999198</v>
      </c>
      <c r="AD4136">
        <v>-5.7990000000000201E-2</v>
      </c>
      <c r="AE4136">
        <v>-0.529399999999981</v>
      </c>
      <c r="AF4136">
        <v>-0.436569222212147</v>
      </c>
      <c r="AG4136">
        <v>-5.7990000000000201E-2</v>
      </c>
      <c r="AH4136">
        <v>0.51652888877547198</v>
      </c>
      <c r="AI4136">
        <v>94.9008248452093</v>
      </c>
      <c r="AJ4136">
        <v>130.204430422618</v>
      </c>
      <c r="AK4136">
        <v>0.67879129253588899</v>
      </c>
      <c r="AL4136">
        <v>67.237858357407603</v>
      </c>
      <c r="AM4136">
        <v>100.57751918218</v>
      </c>
      <c r="AN4136">
        <v>1.00000005667366</v>
      </c>
    </row>
    <row r="4137" spans="1:40" x14ac:dyDescent="0.25">
      <c r="A4137" t="str">
        <f>"20190304164727768"</f>
        <v>20190304164727768</v>
      </c>
      <c r="B4137" t="str">
        <f>"1551689247763432"</f>
        <v>1551689247763432</v>
      </c>
      <c r="C4137" t="s">
        <v>40</v>
      </c>
      <c r="D4137">
        <v>4.1233430000000002</v>
      </c>
      <c r="E4137">
        <v>0.3728091</v>
      </c>
      <c r="F4137" t="s">
        <v>41</v>
      </c>
      <c r="G4137">
        <v>-395.6798</v>
      </c>
      <c r="H4137">
        <v>1.059877</v>
      </c>
      <c r="I4137">
        <v>140.07399999999899</v>
      </c>
      <c r="J4137">
        <v>-395.23579999999998</v>
      </c>
      <c r="K4137">
        <v>1.115885</v>
      </c>
      <c r="L4137">
        <v>140.59350000000001</v>
      </c>
      <c r="M4137">
        <v>-0.98128590000000004</v>
      </c>
      <c r="N4137">
        <v>-1.4764350000000001E-2</v>
      </c>
      <c r="O4137">
        <v>-0.1919892</v>
      </c>
      <c r="P4137">
        <v>-0.86360360000000003</v>
      </c>
      <c r="Q4137">
        <v>0.374531</v>
      </c>
      <c r="R4137">
        <v>-0.33751379999999997</v>
      </c>
      <c r="S4137">
        <v>-2.7228089999999998</v>
      </c>
      <c r="T4137">
        <v>-0.2105117</v>
      </c>
      <c r="U4137">
        <v>-2.1746979999999998</v>
      </c>
      <c r="V4137">
        <v>-0.16994919999999999</v>
      </c>
      <c r="W4137">
        <v>0.38599470000000002</v>
      </c>
      <c r="X4137">
        <v>0.9067113</v>
      </c>
      <c r="Y4137">
        <v>-0.46159990000000001</v>
      </c>
      <c r="Z4137">
        <v>-9.2837430000000006E-3</v>
      </c>
      <c r="AA4137">
        <v>0.88703969999999899</v>
      </c>
      <c r="AB4137">
        <v>33</v>
      </c>
      <c r="AC4137">
        <v>-0.44400000000001599</v>
      </c>
      <c r="AD4137">
        <v>-5.6008000000000002E-2</v>
      </c>
      <c r="AE4137">
        <v>-0.51950000000002206</v>
      </c>
      <c r="AF4137">
        <v>-0.42174829337157899</v>
      </c>
      <c r="AG4137">
        <v>-5.6008000000000002E-2</v>
      </c>
      <c r="AH4137">
        <v>0.53191492182869604</v>
      </c>
      <c r="AI4137">
        <v>94.716626367685294</v>
      </c>
      <c r="AJ4137">
        <v>128.41043279332499</v>
      </c>
      <c r="AK4137">
        <v>0.68113288210881995</v>
      </c>
      <c r="AL4137">
        <v>67.294493901671601</v>
      </c>
      <c r="AM4137">
        <v>100.616043297103</v>
      </c>
      <c r="AN4137">
        <v>1.0000000102782101</v>
      </c>
    </row>
    <row r="4138" spans="1:40" x14ac:dyDescent="0.25">
      <c r="A4138" t="str">
        <f>"20190304164727790"</f>
        <v>20190304164727790</v>
      </c>
      <c r="B4138" t="str">
        <f>"1551689247782951"</f>
        <v>1551689247782951</v>
      </c>
      <c r="C4138" t="s">
        <v>40</v>
      </c>
      <c r="D4138">
        <v>4.1844429999999999</v>
      </c>
      <c r="E4138">
        <v>0.37260529999999997</v>
      </c>
      <c r="F4138" t="s">
        <v>41</v>
      </c>
      <c r="G4138">
        <v>-395.96499999999997</v>
      </c>
      <c r="H4138">
        <v>1.0574779999999999</v>
      </c>
      <c r="I4138">
        <v>140.00479999999999</v>
      </c>
      <c r="J4138">
        <v>-395.56720000000001</v>
      </c>
      <c r="K4138">
        <v>1.1160270000000001</v>
      </c>
      <c r="L4138">
        <v>140.52279999999999</v>
      </c>
      <c r="M4138">
        <v>-0.9801436</v>
      </c>
      <c r="N4138">
        <v>-1.4772739999999999E-2</v>
      </c>
      <c r="O4138">
        <v>-0.19773850000000001</v>
      </c>
      <c r="P4138">
        <v>-0.86162739999999904</v>
      </c>
      <c r="Q4138">
        <v>0.3739864</v>
      </c>
      <c r="R4138">
        <v>-0.34312169999999997</v>
      </c>
      <c r="S4138">
        <v>-2.7120060000000001</v>
      </c>
      <c r="T4138">
        <v>-0.2172365</v>
      </c>
      <c r="U4138">
        <v>-2.1903380000000001</v>
      </c>
      <c r="V4138">
        <v>-0.1706107</v>
      </c>
      <c r="W4138">
        <v>0.3853955</v>
      </c>
      <c r="X4138">
        <v>0.90684189999999998</v>
      </c>
      <c r="Y4138">
        <v>-0.46119139999999997</v>
      </c>
      <c r="Z4138">
        <v>-9.0657410000000004E-3</v>
      </c>
      <c r="AA4138">
        <v>0.8872544</v>
      </c>
      <c r="AB4138">
        <v>33</v>
      </c>
      <c r="AC4138">
        <v>-0.39779999999996102</v>
      </c>
      <c r="AD4138">
        <v>-5.85489999999999E-2</v>
      </c>
      <c r="AE4138">
        <v>-0.51800000000000002</v>
      </c>
      <c r="AF4138">
        <v>-0.425679943896553</v>
      </c>
      <c r="AG4138">
        <v>-5.85489999999999E-2</v>
      </c>
      <c r="AH4138">
        <v>0.48845800393622202</v>
      </c>
      <c r="AI4138">
        <v>95.163518104605501</v>
      </c>
      <c r="AJ4138">
        <v>131.07140339583199</v>
      </c>
      <c r="AK4138">
        <v>0.65055562532817302</v>
      </c>
      <c r="AL4138">
        <v>67.331703631910798</v>
      </c>
      <c r="AM4138">
        <v>100.65492039797699</v>
      </c>
      <c r="AN4138">
        <v>0.99999996698517402</v>
      </c>
    </row>
    <row r="4139" spans="1:40" x14ac:dyDescent="0.25">
      <c r="A4139" t="str">
        <f>"20190304164727834"</f>
        <v>20190304164727834</v>
      </c>
      <c r="B4139" t="str">
        <f>"1551689247822967"</f>
        <v>1551689247822967</v>
      </c>
      <c r="C4139" t="s">
        <v>40</v>
      </c>
      <c r="D4139">
        <v>4.3705290000000003</v>
      </c>
      <c r="E4139">
        <v>0.50100299999999998</v>
      </c>
      <c r="F4139" t="s">
        <v>41</v>
      </c>
      <c r="G4139">
        <v>-396.27030000000002</v>
      </c>
      <c r="H4139">
        <v>1.057904</v>
      </c>
      <c r="I4139">
        <v>139.94759999999999</v>
      </c>
      <c r="J4139">
        <v>-396.1961</v>
      </c>
      <c r="K4139">
        <v>1.116322</v>
      </c>
      <c r="L4139">
        <v>140.38249999999999</v>
      </c>
      <c r="M4139">
        <v>-0.97776410000000002</v>
      </c>
      <c r="N4139">
        <v>-1.4792390000000001E-2</v>
      </c>
      <c r="O4139">
        <v>-0.20918519999999999</v>
      </c>
      <c r="P4139">
        <v>-0.85687549999999901</v>
      </c>
      <c r="Q4139">
        <v>0.37606980000000001</v>
      </c>
      <c r="R4139">
        <v>-0.35261300000000001</v>
      </c>
      <c r="S4139">
        <v>-2.699341</v>
      </c>
      <c r="T4139">
        <v>-0.2231475</v>
      </c>
      <c r="U4139">
        <v>-2.208008</v>
      </c>
      <c r="V4139">
        <v>-0.17051259999999999</v>
      </c>
      <c r="W4139">
        <v>0.38736579999999998</v>
      </c>
      <c r="X4139">
        <v>0.90602050000000001</v>
      </c>
      <c r="Y4139">
        <v>-0.45632479999999997</v>
      </c>
      <c r="Z4139">
        <v>-8.3122839999999996E-3</v>
      </c>
      <c r="AA4139">
        <v>0.88977439999999997</v>
      </c>
      <c r="AB4139">
        <v>33</v>
      </c>
      <c r="AC4139">
        <v>-7.4200000000018904E-2</v>
      </c>
      <c r="AD4139">
        <v>-5.8417999999999803E-2</v>
      </c>
      <c r="AE4139">
        <v>-0.43489999999999801</v>
      </c>
      <c r="AF4139">
        <v>-0.40269256041546297</v>
      </c>
      <c r="AG4139">
        <v>-5.8417999999999803E-2</v>
      </c>
      <c r="AH4139">
        <v>0.16072467619326</v>
      </c>
      <c r="AI4139">
        <v>97.673441128657998</v>
      </c>
      <c r="AJ4139">
        <v>158.24182136475099</v>
      </c>
      <c r="AK4139">
        <v>0.43750015140041998</v>
      </c>
      <c r="AL4139">
        <v>67.209308705246301</v>
      </c>
      <c r="AM4139">
        <v>100.658367299115</v>
      </c>
      <c r="AN4139">
        <v>0.99999997809432395</v>
      </c>
    </row>
    <row r="4140" spans="1:40" x14ac:dyDescent="0.25">
      <c r="A4140" t="str">
        <f>"20190304164727857"</f>
        <v>20190304164727857</v>
      </c>
      <c r="B4140" t="str">
        <f>"1551689247853224"</f>
        <v>1551689247853224</v>
      </c>
      <c r="C4140" t="s">
        <v>40</v>
      </c>
      <c r="D4140">
        <v>4.3300340000000004</v>
      </c>
      <c r="E4140">
        <v>0.51417270000000004</v>
      </c>
      <c r="F4140" t="s">
        <v>51</v>
      </c>
      <c r="G4140">
        <v>-407.53399999999999</v>
      </c>
      <c r="H4140" s="1">
        <v>-7.4132980000000002E-6</v>
      </c>
      <c r="I4140">
        <v>135.6011</v>
      </c>
      <c r="J4140">
        <v>-396.51670000000001</v>
      </c>
      <c r="K4140">
        <v>1.116503</v>
      </c>
      <c r="L4140">
        <v>140.3075</v>
      </c>
      <c r="M4140">
        <v>-0.9764256</v>
      </c>
      <c r="N4140">
        <v>-1.48048E-2</v>
      </c>
      <c r="O4140">
        <v>-0.2153455</v>
      </c>
      <c r="P4140">
        <v>-0.8545431</v>
      </c>
      <c r="Q4140">
        <v>0.37638880000000002</v>
      </c>
      <c r="R4140">
        <v>-0.35789290000000001</v>
      </c>
      <c r="S4140">
        <v>-3.0973820000000001</v>
      </c>
      <c r="T4140">
        <v>-0.30496780000000001</v>
      </c>
      <c r="U4140">
        <v>-1.3062290000000001</v>
      </c>
      <c r="V4140">
        <v>-0.1705853</v>
      </c>
      <c r="W4140">
        <v>0.38762419999999997</v>
      </c>
      <c r="X4140">
        <v>0.90589629999999999</v>
      </c>
      <c r="Y4140">
        <v>-0.1807734</v>
      </c>
      <c r="Z4140">
        <v>6.9350760000000001E-3</v>
      </c>
      <c r="AA4140">
        <v>0.98350029999999999</v>
      </c>
      <c r="AB4140">
        <v>33</v>
      </c>
      <c r="AC4140">
        <v>-11.017299999999899</v>
      </c>
      <c r="AD4140">
        <v>-1.1165104132979999</v>
      </c>
      <c r="AE4140">
        <v>-4.7064000000000004</v>
      </c>
      <c r="AF4140">
        <v>-2.20402493576657</v>
      </c>
      <c r="AG4140">
        <v>-1.1165104132979999</v>
      </c>
      <c r="AH4140">
        <v>11.6710021851099</v>
      </c>
      <c r="AI4140">
        <v>95.370239767617804</v>
      </c>
      <c r="AJ4140">
        <v>100.69415156366701</v>
      </c>
      <c r="AK4140">
        <v>11.929652695084</v>
      </c>
      <c r="AL4140">
        <v>67.193248921912499</v>
      </c>
      <c r="AM4140">
        <v>100.66423580035</v>
      </c>
      <c r="AN4140">
        <v>0.99999998567770898</v>
      </c>
    </row>
    <row r="4141" spans="1:40" x14ac:dyDescent="0.25">
      <c r="A4141" t="str">
        <f>"20190304164727880"</f>
        <v>20190304164727880</v>
      </c>
      <c r="B4141" t="str">
        <f>"1551689247872743"</f>
        <v>1551689247872743</v>
      </c>
      <c r="C4141" t="s">
        <v>40</v>
      </c>
      <c r="D4141">
        <v>4.3442069999999999</v>
      </c>
      <c r="E4141">
        <v>0.51669039999999999</v>
      </c>
      <c r="F4141" t="s">
        <v>51</v>
      </c>
      <c r="G4141">
        <v>-406.95159999999998</v>
      </c>
      <c r="H4141" s="1">
        <v>-7.3129819999999899E-6</v>
      </c>
      <c r="I4141">
        <v>136.20099999999999</v>
      </c>
      <c r="J4141">
        <v>-396.85419999999999</v>
      </c>
      <c r="K4141">
        <v>1.1166910000000001</v>
      </c>
      <c r="L4141">
        <v>140.226</v>
      </c>
      <c r="M4141">
        <v>-0.97491550000000005</v>
      </c>
      <c r="N4141">
        <v>-1.4820160000000001E-2</v>
      </c>
      <c r="O4141">
        <v>-0.2220819</v>
      </c>
      <c r="P4141">
        <v>-0.85227749999999902</v>
      </c>
      <c r="Q4141">
        <v>0.37641609999999998</v>
      </c>
      <c r="R4141">
        <v>-0.36322789999999999</v>
      </c>
      <c r="S4141">
        <v>-3.14093</v>
      </c>
      <c r="T4141">
        <v>-0.33607130000000002</v>
      </c>
      <c r="U4141">
        <v>-1.2360530000000001</v>
      </c>
      <c r="V4141">
        <v>-0.1701724</v>
      </c>
      <c r="W4141">
        <v>0.3875962</v>
      </c>
      <c r="X4141">
        <v>0.90598599999999996</v>
      </c>
      <c r="Y4141">
        <v>-0.15030739999999901</v>
      </c>
      <c r="Z4141">
        <v>1.035695E-2</v>
      </c>
      <c r="AA4141">
        <v>0.98858509999999999</v>
      </c>
      <c r="AB4141">
        <v>33</v>
      </c>
      <c r="AC4141">
        <v>-10.097399999999899</v>
      </c>
      <c r="AD4141">
        <v>-1.1166983129819901</v>
      </c>
      <c r="AE4141">
        <v>-4.0250000000000004</v>
      </c>
      <c r="AF4141">
        <v>-1.664205939556</v>
      </c>
      <c r="AG4141">
        <v>-1.1166983129819901</v>
      </c>
      <c r="AH4141">
        <v>10.627014347629199</v>
      </c>
      <c r="AI4141">
        <v>95.926975848498003</v>
      </c>
      <c r="AJ4141">
        <v>98.9003152375263</v>
      </c>
      <c r="AK4141">
        <v>10.8143437376563</v>
      </c>
      <c r="AL4141">
        <v>67.194990712603797</v>
      </c>
      <c r="AM4141">
        <v>100.637983763205</v>
      </c>
      <c r="AN4141">
        <v>1.0000000460860901</v>
      </c>
    </row>
    <row r="4142" spans="1:40" x14ac:dyDescent="0.25">
      <c r="A4142" t="str">
        <f>"20190304164727902"</f>
        <v>20190304164727902</v>
      </c>
      <c r="B4142" t="str">
        <f>"1551689247893238"</f>
        <v>1551689247893238</v>
      </c>
      <c r="C4142" t="s">
        <v>40</v>
      </c>
      <c r="D4142">
        <v>4.3355439999999996</v>
      </c>
      <c r="E4142">
        <v>0.51794229999999997</v>
      </c>
      <c r="F4142" t="s">
        <v>51</v>
      </c>
      <c r="G4142">
        <v>-407.09199999999998</v>
      </c>
      <c r="H4142" s="1">
        <v>-7.3944739999999998E-6</v>
      </c>
      <c r="I4142">
        <v>136.1875</v>
      </c>
      <c r="J4142">
        <v>-397.17290000000003</v>
      </c>
      <c r="K4142">
        <v>1.1168610000000001</v>
      </c>
      <c r="L4142">
        <v>140.14660000000001</v>
      </c>
      <c r="M4142">
        <v>-0.97339580000000003</v>
      </c>
      <c r="N4142">
        <v>-1.483582E-2</v>
      </c>
      <c r="O4142">
        <v>-0.2286494</v>
      </c>
      <c r="P4142">
        <v>-0.849531699999999</v>
      </c>
      <c r="Q4142">
        <v>0.37619900000000001</v>
      </c>
      <c r="R4142">
        <v>-0.3698244</v>
      </c>
      <c r="S4142">
        <v>-3.1429749999999999</v>
      </c>
      <c r="T4142">
        <v>-0.34282030000000002</v>
      </c>
      <c r="U4142">
        <v>-1.2398070000000001</v>
      </c>
      <c r="V4142">
        <v>-0.17123250000000001</v>
      </c>
      <c r="W4142">
        <v>0.38730779999999998</v>
      </c>
      <c r="X4142">
        <v>0.90590950000000003</v>
      </c>
      <c r="Y4142">
        <v>-0.14450379999999999</v>
      </c>
      <c r="Z4142">
        <v>1.1546300000000001E-2</v>
      </c>
      <c r="AA4142">
        <v>0.98943689999999995</v>
      </c>
      <c r="AB4142">
        <v>33</v>
      </c>
      <c r="AC4142">
        <v>-9.9190999999999505</v>
      </c>
      <c r="AD4142">
        <v>-1.1168683944740001</v>
      </c>
      <c r="AE4142">
        <v>-3.9590999999999998</v>
      </c>
      <c r="AF4142">
        <v>-1.5687932184712701</v>
      </c>
      <c r="AG4142">
        <v>-1.1168683944740001</v>
      </c>
      <c r="AH4142">
        <v>10.4473657612028</v>
      </c>
      <c r="AI4142">
        <v>96.034839033756498</v>
      </c>
      <c r="AJ4142">
        <v>98.539820971657306</v>
      </c>
      <c r="AK4142">
        <v>10.623368511035</v>
      </c>
      <c r="AL4142">
        <v>67.212912839259801</v>
      </c>
      <c r="AM4142">
        <v>100.703610385868</v>
      </c>
      <c r="AN4142">
        <v>0.999999961593669</v>
      </c>
    </row>
    <row r="4143" spans="1:40" x14ac:dyDescent="0.25">
      <c r="A4143" t="str">
        <f>"20190304164727925"</f>
        <v>20190304164727925</v>
      </c>
      <c r="B4143" t="str">
        <f>"1551689247912761"</f>
        <v>1551689247912761</v>
      </c>
      <c r="C4143" t="s">
        <v>40</v>
      </c>
      <c r="D4143">
        <v>4.3428000000000004</v>
      </c>
      <c r="E4143">
        <v>0.51887659999999902</v>
      </c>
      <c r="F4143" t="s">
        <v>51</v>
      </c>
      <c r="G4143">
        <v>-407.17380000000003</v>
      </c>
      <c r="H4143" s="1">
        <v>-7.427413E-6</v>
      </c>
      <c r="I4143">
        <v>136.1463</v>
      </c>
      <c r="J4143">
        <v>-397.4973</v>
      </c>
      <c r="K4143">
        <v>1.1170359999999999</v>
      </c>
      <c r="L4143">
        <v>140.06309999999999</v>
      </c>
      <c r="M4143">
        <v>-0.97174459999999996</v>
      </c>
      <c r="N4143">
        <v>-1.485148E-2</v>
      </c>
      <c r="O4143">
        <v>-0.2355672</v>
      </c>
      <c r="P4143">
        <v>-0.84628459999999905</v>
      </c>
      <c r="Q4143">
        <v>0.37622090000000002</v>
      </c>
      <c r="R4143">
        <v>-0.37717440000000002</v>
      </c>
      <c r="S4143">
        <v>-3.1398929999999998</v>
      </c>
      <c r="T4143">
        <v>-0.35065210000000002</v>
      </c>
      <c r="U4143">
        <v>-1.2559199999999999</v>
      </c>
      <c r="V4143">
        <v>-0.17282069999999999</v>
      </c>
      <c r="W4143">
        <v>0.3872449</v>
      </c>
      <c r="X4143">
        <v>0.90563479999999996</v>
      </c>
      <c r="Y4143">
        <v>-0.14222939999999901</v>
      </c>
      <c r="Z4143">
        <v>1.2649809999999999E-2</v>
      </c>
      <c r="AA4143">
        <v>0.98975290000000005</v>
      </c>
      <c r="AB4143">
        <v>33</v>
      </c>
      <c r="AC4143">
        <v>-9.6765000000000292</v>
      </c>
      <c r="AD4143">
        <v>-1.1170434274129999</v>
      </c>
      <c r="AE4143">
        <v>-3.9167999999999901</v>
      </c>
      <c r="AF4143">
        <v>-1.50954713271765</v>
      </c>
      <c r="AG4143">
        <v>-1.1170434274129999</v>
      </c>
      <c r="AH4143">
        <v>10.209989550122</v>
      </c>
      <c r="AI4143">
        <v>96.177099117268597</v>
      </c>
      <c r="AJ4143">
        <v>98.410253520222497</v>
      </c>
      <c r="AK4143">
        <v>10.381252582334399</v>
      </c>
      <c r="AL4143">
        <v>67.216822682513495</v>
      </c>
      <c r="AM4143">
        <v>100.803761662478</v>
      </c>
      <c r="AN4143">
        <v>0.99999999894777003</v>
      </c>
    </row>
    <row r="4144" spans="1:40" x14ac:dyDescent="0.25">
      <c r="A4144" t="str">
        <f>"20190304164727947"</f>
        <v>20190304164727947</v>
      </c>
      <c r="B4144" t="str">
        <f>"1551689247943015"</f>
        <v>1551689247943015</v>
      </c>
      <c r="C4144" t="s">
        <v>40</v>
      </c>
      <c r="D4144">
        <v>4.3673609999999998</v>
      </c>
      <c r="E4144">
        <v>0.52015679999999997</v>
      </c>
      <c r="F4144" t="s">
        <v>51</v>
      </c>
      <c r="G4144">
        <v>-407.37810000000002</v>
      </c>
      <c r="H4144" s="1">
        <v>-7.509182E-6</v>
      </c>
      <c r="I4144">
        <v>136.04249999999999</v>
      </c>
      <c r="J4144">
        <v>-397.8193</v>
      </c>
      <c r="K4144">
        <v>1.1172359999999999</v>
      </c>
      <c r="L4144">
        <v>139.9777</v>
      </c>
      <c r="M4144">
        <v>-0.96998879999999998</v>
      </c>
      <c r="N4144">
        <v>-1.486867E-2</v>
      </c>
      <c r="O4144">
        <v>-0.24269460000000001</v>
      </c>
      <c r="P4144">
        <v>-0.84272669999999905</v>
      </c>
      <c r="Q4144">
        <v>0.37680439999999998</v>
      </c>
      <c r="R4144">
        <v>-0.38448700000000002</v>
      </c>
      <c r="S4144">
        <v>-3.1340330000000001</v>
      </c>
      <c r="T4144">
        <v>-0.3543113</v>
      </c>
      <c r="U4144">
        <v>-1.2752840000000001</v>
      </c>
      <c r="V4144">
        <v>-0.17427339999999999</v>
      </c>
      <c r="W4144">
        <v>0.3877369</v>
      </c>
      <c r="X4144">
        <v>0.9051458</v>
      </c>
      <c r="Y4144">
        <v>-0.1408983</v>
      </c>
      <c r="Z4144">
        <v>1.354522E-2</v>
      </c>
      <c r="AA4144">
        <v>0.98993140000000002</v>
      </c>
      <c r="AB4144">
        <v>33</v>
      </c>
      <c r="AC4144">
        <v>-9.5588000000000193</v>
      </c>
      <c r="AD4144">
        <v>-1.1172435091820001</v>
      </c>
      <c r="AE4144">
        <v>-3.9352</v>
      </c>
      <c r="AF4144">
        <v>-1.4801065812121501</v>
      </c>
      <c r="AG4144">
        <v>-1.1172435091820001</v>
      </c>
      <c r="AH4144">
        <v>10.1100122008278</v>
      </c>
      <c r="AI4144">
        <v>96.240105921602606</v>
      </c>
      <c r="AJ4144">
        <v>98.328938292600299</v>
      </c>
      <c r="AK4144">
        <v>10.278681591111001</v>
      </c>
      <c r="AL4144">
        <v>67.186244684262505</v>
      </c>
      <c r="AM4144">
        <v>100.898156225666</v>
      </c>
      <c r="AN4144">
        <v>1.0000000204134001</v>
      </c>
    </row>
    <row r="4145" spans="1:40" x14ac:dyDescent="0.25">
      <c r="A4145" t="str">
        <f>"20190304164727968"</f>
        <v>20190304164727968</v>
      </c>
      <c r="B4145" t="str">
        <f>"1551689247963512"</f>
        <v>1551689247963512</v>
      </c>
      <c r="C4145" t="s">
        <v>40</v>
      </c>
      <c r="D4145">
        <v>4.3748899999999997</v>
      </c>
      <c r="E4145">
        <v>0.52043930000000005</v>
      </c>
      <c r="F4145" t="s">
        <v>51</v>
      </c>
      <c r="G4145">
        <v>-407.58229999999998</v>
      </c>
      <c r="H4145" s="1">
        <v>-7.5928929999999998E-6</v>
      </c>
      <c r="I4145">
        <v>135.94319999999999</v>
      </c>
      <c r="J4145">
        <v>-398.10489999999999</v>
      </c>
      <c r="K4145">
        <v>1.1174280000000001</v>
      </c>
      <c r="L4145">
        <v>139.89959999999999</v>
      </c>
      <c r="M4145">
        <v>-0.96832090000000004</v>
      </c>
      <c r="N4145">
        <v>-1.4887289999999999E-2</v>
      </c>
      <c r="O4145">
        <v>-0.2492656</v>
      </c>
      <c r="P4145">
        <v>-0.839362099999999</v>
      </c>
      <c r="Q4145">
        <v>0.37738169999999999</v>
      </c>
      <c r="R4145">
        <v>-0.39122180000000001</v>
      </c>
      <c r="S4145">
        <v>-3.129883</v>
      </c>
      <c r="T4145">
        <v>-0.35817270000000001</v>
      </c>
      <c r="U4145">
        <v>-1.2934110000000001</v>
      </c>
      <c r="V4145">
        <v>-0.17564460000000001</v>
      </c>
      <c r="W4145">
        <v>0.38822469999999998</v>
      </c>
      <c r="X4145">
        <v>0.90467149999999996</v>
      </c>
      <c r="Y4145">
        <v>-0.1395902</v>
      </c>
      <c r="Z4145">
        <v>1.4406850000000001E-2</v>
      </c>
      <c r="AA4145">
        <v>0.9901046</v>
      </c>
      <c r="AB4145">
        <v>33</v>
      </c>
      <c r="AC4145">
        <v>-9.4773999999999798</v>
      </c>
      <c r="AD4145">
        <v>-1.117435592893</v>
      </c>
      <c r="AE4145">
        <v>-3.9563999999999999</v>
      </c>
      <c r="AF4145">
        <v>-1.4516520800722601</v>
      </c>
      <c r="AG4145">
        <v>-1.117435592893</v>
      </c>
      <c r="AH4145">
        <v>10.0455587515236</v>
      </c>
      <c r="AI4145">
        <v>96.282575782069003</v>
      </c>
      <c r="AJ4145">
        <v>98.222711874773395</v>
      </c>
      <c r="AK4145">
        <v>10.211229440971101</v>
      </c>
      <c r="AL4145">
        <v>67.155919525263599</v>
      </c>
      <c r="AM4145">
        <v>100.987444552157</v>
      </c>
      <c r="AN4145">
        <v>0.999999983055749</v>
      </c>
    </row>
    <row r="4146" spans="1:40" x14ac:dyDescent="0.25">
      <c r="A4146" t="str">
        <f>"20190304164727990"</f>
        <v>20190304164727990</v>
      </c>
      <c r="B4146" t="str">
        <f>"1551689247983031"</f>
        <v>1551689247983031</v>
      </c>
      <c r="C4146" t="s">
        <v>40</v>
      </c>
      <c r="D4146">
        <v>4.3631310000000001</v>
      </c>
      <c r="E4146">
        <v>0.52113069999999995</v>
      </c>
      <c r="F4146" t="s">
        <v>51</v>
      </c>
      <c r="G4146">
        <v>-407.97</v>
      </c>
      <c r="H4146" s="1">
        <v>-7.7447029999999903E-6</v>
      </c>
      <c r="I4146">
        <v>135.73820000000001</v>
      </c>
      <c r="J4146">
        <v>-398.4282</v>
      </c>
      <c r="K4146">
        <v>1.1176630000000001</v>
      </c>
      <c r="L4146">
        <v>139.8083</v>
      </c>
      <c r="M4146">
        <v>-0.96629880000000001</v>
      </c>
      <c r="N4146">
        <v>-1.491232E-2</v>
      </c>
      <c r="O4146">
        <v>-0.25699060000000001</v>
      </c>
      <c r="P4146">
        <v>-0.8354819</v>
      </c>
      <c r="Q4146">
        <v>0.37804290000000002</v>
      </c>
      <c r="R4146">
        <v>-0.39881519999999998</v>
      </c>
      <c r="S4146">
        <v>-3.119659</v>
      </c>
      <c r="T4146">
        <v>-0.35336689999999998</v>
      </c>
      <c r="U4146">
        <v>-1.315933</v>
      </c>
      <c r="V4146">
        <v>-0.1769404</v>
      </c>
      <c r="W4146">
        <v>0.38878230000000003</v>
      </c>
      <c r="X4146">
        <v>0.90417950000000002</v>
      </c>
      <c r="Y4146">
        <v>-0.13893469999999999</v>
      </c>
      <c r="Z4146">
        <v>1.489178E-2</v>
      </c>
      <c r="AA4146">
        <v>0.9901896</v>
      </c>
      <c r="AB4146">
        <v>33</v>
      </c>
      <c r="AC4146">
        <v>-9.5418000000000198</v>
      </c>
      <c r="AD4146">
        <v>-1.1176707447030001</v>
      </c>
      <c r="AE4146">
        <v>-4.0700999999999903</v>
      </c>
      <c r="AF4146">
        <v>-1.46395060363455</v>
      </c>
      <c r="AG4146">
        <v>-1.1176707447030001</v>
      </c>
      <c r="AH4146">
        <v>10.149530690050501</v>
      </c>
      <c r="AI4146">
        <v>96.220256649339802</v>
      </c>
      <c r="AJ4146">
        <v>98.207636617335297</v>
      </c>
      <c r="AK4146">
        <v>10.3152950753589</v>
      </c>
      <c r="AL4146">
        <v>67.121250065998694</v>
      </c>
      <c r="AM4146">
        <v>101.07238231268801</v>
      </c>
      <c r="AN4146">
        <v>1.0000000750828399</v>
      </c>
    </row>
    <row r="4147" spans="1:40" x14ac:dyDescent="0.25">
      <c r="A4147" t="str">
        <f>"20190304164728012"</f>
        <v>20190304164728012</v>
      </c>
      <c r="B4147" t="str">
        <f>"1551689248003527"</f>
        <v>1551689248003527</v>
      </c>
      <c r="C4147" t="s">
        <v>40</v>
      </c>
      <c r="D4147">
        <v>4.8590039999999997</v>
      </c>
      <c r="E4147">
        <v>0.52108959999999904</v>
      </c>
      <c r="F4147" t="s">
        <v>51</v>
      </c>
      <c r="G4147">
        <v>-408.21719999999999</v>
      </c>
      <c r="H4147" s="1">
        <v>-7.8342179999999995E-6</v>
      </c>
      <c r="I4147">
        <v>135.59100000000001</v>
      </c>
      <c r="J4147">
        <v>-398.7242</v>
      </c>
      <c r="K4147">
        <v>1.117901</v>
      </c>
      <c r="L4147">
        <v>139.72210000000001</v>
      </c>
      <c r="M4147">
        <v>-0.96430990000000005</v>
      </c>
      <c r="N4147">
        <v>-1.4938480000000001E-2</v>
      </c>
      <c r="O4147">
        <v>-0.2643547</v>
      </c>
      <c r="P4147">
        <v>-0.83159550000000004</v>
      </c>
      <c r="Q4147">
        <v>0.37864189999999998</v>
      </c>
      <c r="R4147">
        <v>-0.40629989999999999</v>
      </c>
      <c r="S4147">
        <v>-3.1116030000000001</v>
      </c>
      <c r="T4147">
        <v>-0.35527109999999901</v>
      </c>
      <c r="U4147">
        <v>-1.340546</v>
      </c>
      <c r="V4147">
        <v>-0.17847089999999999</v>
      </c>
      <c r="W4147">
        <v>0.38927509999999999</v>
      </c>
      <c r="X4147">
        <v>0.90366639999999998</v>
      </c>
      <c r="Y4147">
        <v>-0.13895360000000001</v>
      </c>
      <c r="Z4147">
        <v>1.5651539999999999E-2</v>
      </c>
      <c r="AA4147">
        <v>0.99017520000000003</v>
      </c>
      <c r="AB4147">
        <v>33</v>
      </c>
      <c r="AC4147">
        <v>-9.4929999999999897</v>
      </c>
      <c r="AD4147">
        <v>-1.1179088342179999</v>
      </c>
      <c r="AE4147">
        <v>-4.1311</v>
      </c>
      <c r="AF4147">
        <v>-1.45731404304308</v>
      </c>
      <c r="AG4147">
        <v>-1.1179088342179999</v>
      </c>
      <c r="AH4147">
        <v>10.1293077683753</v>
      </c>
      <c r="AI4147">
        <v>96.234215364266404</v>
      </c>
      <c r="AJ4147">
        <v>98.187024441783706</v>
      </c>
      <c r="AK4147">
        <v>10.294482029133</v>
      </c>
      <c r="AL4147">
        <v>67.090597602964195</v>
      </c>
      <c r="AM4147">
        <v>101.17194012285501</v>
      </c>
      <c r="AN4147">
        <v>0.99999996405788905</v>
      </c>
    </row>
    <row r="4148" spans="1:40" x14ac:dyDescent="0.25">
      <c r="A4148" t="str">
        <f>"20190304164728035"</f>
        <v>20190304164728035</v>
      </c>
      <c r="B4148" t="str">
        <f>"1551689248023048"</f>
        <v>1551689248023048</v>
      </c>
      <c r="C4148" t="s">
        <v>40</v>
      </c>
      <c r="D4148">
        <v>4.2858080000000003</v>
      </c>
      <c r="E4148">
        <v>0.45933790000000002</v>
      </c>
      <c r="F4148" t="s">
        <v>51</v>
      </c>
      <c r="G4148">
        <v>-408.4973</v>
      </c>
      <c r="H4148" s="1">
        <v>-7.9301810000000004E-6</v>
      </c>
      <c r="I4148">
        <v>135.4117</v>
      </c>
      <c r="J4148">
        <v>-399.04360000000003</v>
      </c>
      <c r="K4148">
        <v>1.1181620000000001</v>
      </c>
      <c r="L4148">
        <v>139.6258</v>
      </c>
      <c r="M4148">
        <v>-0.96200430000000003</v>
      </c>
      <c r="N4148">
        <v>-1.496899E-2</v>
      </c>
      <c r="O4148">
        <v>-0.27262399999999998</v>
      </c>
      <c r="P4148">
        <v>-0.82722999999999902</v>
      </c>
      <c r="Q4148">
        <v>0.37877660000000002</v>
      </c>
      <c r="R4148">
        <v>-0.41499269999999999</v>
      </c>
      <c r="S4148">
        <v>-3.1008610000000001</v>
      </c>
      <c r="T4148">
        <v>-0.3546975</v>
      </c>
      <c r="U4148">
        <v>-1.367615</v>
      </c>
      <c r="V4148">
        <v>-0.18046010000000001</v>
      </c>
      <c r="W4148">
        <v>0.38928829999999998</v>
      </c>
      <c r="X4148">
        <v>0.9032656</v>
      </c>
      <c r="Y4148">
        <v>-0.13898550000000001</v>
      </c>
      <c r="Z4148">
        <v>1.6359100000000001E-2</v>
      </c>
      <c r="AA4148">
        <v>0.99015929999999996</v>
      </c>
      <c r="AB4148">
        <v>33</v>
      </c>
      <c r="AC4148">
        <v>-9.4536999999999694</v>
      </c>
      <c r="AD4148">
        <v>-1.118169930181</v>
      </c>
      <c r="AE4148">
        <v>-4.2141000000000002</v>
      </c>
      <c r="AF4148">
        <v>-1.4598050665487401</v>
      </c>
      <c r="AG4148">
        <v>-1.118169930181</v>
      </c>
      <c r="AH4148">
        <v>10.1263294620294</v>
      </c>
      <c r="AI4148">
        <v>96.237227771866401</v>
      </c>
      <c r="AJ4148">
        <v>98.203207704087305</v>
      </c>
      <c r="AK4148">
        <v>10.2919329184875</v>
      </c>
      <c r="AL4148">
        <v>67.0897770670895</v>
      </c>
      <c r="AM4148">
        <v>101.298159288845</v>
      </c>
      <c r="AN4148">
        <v>0.99999998617612895</v>
      </c>
    </row>
    <row r="4149" spans="1:40" x14ac:dyDescent="0.25">
      <c r="A4149" t="str">
        <f>"20190304164728058"</f>
        <v>20190304164728058</v>
      </c>
      <c r="B4149" t="str">
        <f>"1551689248053304"</f>
        <v>1551689248053304</v>
      </c>
      <c r="C4149" t="s">
        <v>40</v>
      </c>
      <c r="D4149">
        <v>4.2449149999999998</v>
      </c>
      <c r="E4149">
        <v>0.3877623</v>
      </c>
      <c r="F4149" t="s">
        <v>51</v>
      </c>
      <c r="G4149">
        <v>-410.77370000000002</v>
      </c>
      <c r="H4149" s="1">
        <v>-7.316294E-6</v>
      </c>
      <c r="I4149">
        <v>132.09110000000001</v>
      </c>
      <c r="J4149">
        <v>-399.35399999999998</v>
      </c>
      <c r="K4149">
        <v>1.1184080000000001</v>
      </c>
      <c r="L4149">
        <v>139.52889999999999</v>
      </c>
      <c r="M4149">
        <v>-0.95959320000000004</v>
      </c>
      <c r="N4149">
        <v>-1.5001270000000001E-2</v>
      </c>
      <c r="O4149">
        <v>-0.28099109999999899</v>
      </c>
      <c r="P4149">
        <v>-0.82324869999999895</v>
      </c>
      <c r="Q4149">
        <v>0.37878729999999999</v>
      </c>
      <c r="R4149">
        <v>-0.42282639999999999</v>
      </c>
      <c r="S4149">
        <v>-2.8364259999999999</v>
      </c>
      <c r="T4149">
        <v>-0.27038230000000002</v>
      </c>
      <c r="U4149">
        <v>-1.8219449999999999</v>
      </c>
      <c r="V4149">
        <v>-0.18141170000000001</v>
      </c>
      <c r="W4149">
        <v>0.38920300000000002</v>
      </c>
      <c r="X4149">
        <v>0.90311180000000002</v>
      </c>
      <c r="Y4149">
        <v>-0.2817595</v>
      </c>
      <c r="Z4149">
        <v>5.1663020000000002E-3</v>
      </c>
      <c r="AA4149">
        <v>0.95947119999999997</v>
      </c>
      <c r="AB4149">
        <v>33</v>
      </c>
      <c r="AC4149">
        <v>-11.419699999999899</v>
      </c>
      <c r="AD4149">
        <v>-1.118415316294</v>
      </c>
      <c r="AE4149">
        <v>-7.4377999999999798</v>
      </c>
      <c r="AF4149">
        <v>-3.9025869986847002</v>
      </c>
      <c r="AG4149">
        <v>-1.118415316294</v>
      </c>
      <c r="AH4149">
        <v>12.962390736457801</v>
      </c>
      <c r="AI4149">
        <v>94.722957830186203</v>
      </c>
      <c r="AJ4149">
        <v>106.755472217559</v>
      </c>
      <c r="AK4149">
        <v>13.5832474654124</v>
      </c>
      <c r="AL4149">
        <v>67.095084428807297</v>
      </c>
      <c r="AM4149">
        <v>101.358076099822</v>
      </c>
      <c r="AN4149">
        <v>1.00000005170256</v>
      </c>
    </row>
    <row r="4150" spans="1:40" x14ac:dyDescent="0.25">
      <c r="A4150" t="str">
        <f>"20190304164728080"</f>
        <v>20190304164728080</v>
      </c>
      <c r="B4150" t="str">
        <f>"1551689248072823"</f>
        <v>1551689248072823</v>
      </c>
      <c r="C4150" t="s">
        <v>40</v>
      </c>
      <c r="D4150">
        <v>4.1746259999999999</v>
      </c>
      <c r="E4150">
        <v>0.38893549999999999</v>
      </c>
      <c r="F4150" t="s">
        <v>41</v>
      </c>
      <c r="G4150">
        <v>-400.14240000000001</v>
      </c>
      <c r="H4150">
        <v>1.027345</v>
      </c>
      <c r="I4150">
        <v>138.80430000000001</v>
      </c>
      <c r="J4150">
        <v>-399.66489999999999</v>
      </c>
      <c r="K4150">
        <v>1.118636</v>
      </c>
      <c r="L4150">
        <v>139.42859999999999</v>
      </c>
      <c r="M4150">
        <v>-0.95701760000000002</v>
      </c>
      <c r="N4150">
        <v>-1.503406E-2</v>
      </c>
      <c r="O4150">
        <v>-0.28964020000000001</v>
      </c>
      <c r="P4150">
        <v>-0.81929540000000001</v>
      </c>
      <c r="Q4150">
        <v>0.37918570000000001</v>
      </c>
      <c r="R4150">
        <v>-0.4300852</v>
      </c>
      <c r="S4150">
        <v>-2.5682369999999999</v>
      </c>
      <c r="T4150">
        <v>-0.29664970000000002</v>
      </c>
      <c r="U4150">
        <v>-2.3604280000000002</v>
      </c>
      <c r="V4150">
        <v>-0.18151970000000001</v>
      </c>
      <c r="W4150">
        <v>0.38952979999999998</v>
      </c>
      <c r="X4150">
        <v>0.90294920000000001</v>
      </c>
      <c r="Y4150">
        <v>-0.4333226</v>
      </c>
      <c r="Z4150">
        <v>-1.5646929999999901E-3</v>
      </c>
      <c r="AA4150">
        <v>0.90123750000000002</v>
      </c>
      <c r="AB4150">
        <v>33</v>
      </c>
      <c r="AC4150">
        <v>-0.47750000000002002</v>
      </c>
      <c r="AD4150">
        <v>-9.1290999999999803E-2</v>
      </c>
      <c r="AE4150">
        <v>-0.62429999999997599</v>
      </c>
      <c r="AF4150">
        <v>-0.45310203676496202</v>
      </c>
      <c r="AG4150">
        <v>-9.1290999999999803E-2</v>
      </c>
      <c r="AH4150">
        <v>0.62937947518109205</v>
      </c>
      <c r="AI4150">
        <v>96.713787150017097</v>
      </c>
      <c r="AJ4150">
        <v>125.75081832843</v>
      </c>
      <c r="AK4150">
        <v>0.78086748311143295</v>
      </c>
      <c r="AL4150">
        <v>67.074756155583103</v>
      </c>
      <c r="AM4150">
        <v>101.366655240081</v>
      </c>
      <c r="AN4150">
        <v>1.00000006217838</v>
      </c>
    </row>
    <row r="4151" spans="1:40" x14ac:dyDescent="0.25">
      <c r="A4151" t="str">
        <f>"20190304164728103"</f>
        <v>20190304164728103</v>
      </c>
      <c r="B4151" t="str">
        <f>"1551689248093319"</f>
        <v>1551689248093319</v>
      </c>
      <c r="C4151" t="s">
        <v>40</v>
      </c>
      <c r="D4151">
        <v>4.1235589999999904</v>
      </c>
      <c r="E4151">
        <v>0.39071729999999999</v>
      </c>
      <c r="F4151" t="s">
        <v>41</v>
      </c>
      <c r="G4151">
        <v>-400.42070000000001</v>
      </c>
      <c r="H4151">
        <v>1.032095</v>
      </c>
      <c r="I4151">
        <v>138.7252</v>
      </c>
      <c r="J4151">
        <v>-399.9699</v>
      </c>
      <c r="K4151">
        <v>1.118841</v>
      </c>
      <c r="L4151">
        <v>139.327</v>
      </c>
      <c r="M4151">
        <v>-0.95432609999999995</v>
      </c>
      <c r="N4151">
        <v>-1.506417E-2</v>
      </c>
      <c r="O4151">
        <v>-0.29838690000000001</v>
      </c>
      <c r="P4151">
        <v>-0.81512430000000002</v>
      </c>
      <c r="Q4151">
        <v>0.37824669999999999</v>
      </c>
      <c r="R4151">
        <v>-0.43875069999999999</v>
      </c>
      <c r="S4151">
        <v>-2.5506289999999998</v>
      </c>
      <c r="T4151">
        <v>-0.29201830000000001</v>
      </c>
      <c r="U4151">
        <v>-2.3740079999999999</v>
      </c>
      <c r="V4151">
        <v>-0.1828901</v>
      </c>
      <c r="W4151">
        <v>0.38850590000000002</v>
      </c>
      <c r="X4151">
        <v>0.90311370000000002</v>
      </c>
      <c r="Y4151">
        <v>-0.4307955</v>
      </c>
      <c r="Z4151">
        <v>-8.6839679999999996E-4</v>
      </c>
      <c r="AA4151">
        <v>0.90244919999999995</v>
      </c>
      <c r="AB4151">
        <v>33</v>
      </c>
      <c r="AC4151">
        <v>-0.45080000000001502</v>
      </c>
      <c r="AD4151">
        <v>-8.6745999999999907E-2</v>
      </c>
      <c r="AE4151">
        <v>-0.601799999999997</v>
      </c>
      <c r="AF4151">
        <v>-0.43407333202644799</v>
      </c>
      <c r="AG4151">
        <v>-8.6745999999999907E-2</v>
      </c>
      <c r="AH4151">
        <v>0.60183859409177698</v>
      </c>
      <c r="AI4151">
        <v>96.667694333888406</v>
      </c>
      <c r="AJ4151">
        <v>125.800854727966</v>
      </c>
      <c r="AK4151">
        <v>0.74709719543772202</v>
      </c>
      <c r="AL4151">
        <v>67.138435701609893</v>
      </c>
      <c r="AM4151">
        <v>101.448179841493</v>
      </c>
      <c r="AN4151">
        <v>0.999999989070254</v>
      </c>
    </row>
    <row r="4152" spans="1:40" x14ac:dyDescent="0.25">
      <c r="A4152" t="str">
        <f>"20190304164728128"</f>
        <v>20190304164728128</v>
      </c>
      <c r="B4152" t="str">
        <f>"1551689248123575"</f>
        <v>1551689248123575</v>
      </c>
      <c r="C4152" t="s">
        <v>40</v>
      </c>
      <c r="D4152">
        <v>4.0667859999999996</v>
      </c>
      <c r="E4152">
        <v>0.39339980000000002</v>
      </c>
      <c r="F4152" t="s">
        <v>41</v>
      </c>
      <c r="G4152">
        <v>-400.69709999999998</v>
      </c>
      <c r="H4152">
        <v>1.0348280000000001</v>
      </c>
      <c r="I4152">
        <v>138.6421</v>
      </c>
      <c r="J4152">
        <v>-400.31389999999999</v>
      </c>
      <c r="K4152">
        <v>1.119059</v>
      </c>
      <c r="L4152">
        <v>139.20840000000001</v>
      </c>
      <c r="M4152">
        <v>-0.95108930000000003</v>
      </c>
      <c r="N4152">
        <v>-1.5097340000000001E-2</v>
      </c>
      <c r="O4152">
        <v>-0.30854710000000002</v>
      </c>
      <c r="P4152">
        <v>-0.81000629999999996</v>
      </c>
      <c r="Q4152">
        <v>0.37762420000000002</v>
      </c>
      <c r="R4152">
        <v>-0.44865339999999998</v>
      </c>
      <c r="S4152">
        <v>-2.5325009999999999</v>
      </c>
      <c r="T4152">
        <v>-0.2925836</v>
      </c>
      <c r="U4152">
        <v>-2.3849179999999999</v>
      </c>
      <c r="V4152">
        <v>-0.18438560000000001</v>
      </c>
      <c r="W4152">
        <v>0.3877891</v>
      </c>
      <c r="X4152">
        <v>0.90311770000000002</v>
      </c>
      <c r="Y4152">
        <v>-0.42647980000000002</v>
      </c>
      <c r="Z4152">
        <v>1.4835599999999999E-4</v>
      </c>
      <c r="AA4152">
        <v>0.90449710000000005</v>
      </c>
      <c r="AB4152">
        <v>33</v>
      </c>
      <c r="AC4152">
        <v>-0.38319999999998799</v>
      </c>
      <c r="AD4152">
        <v>-8.4230999999999903E-2</v>
      </c>
      <c r="AE4152">
        <v>-0.56630000000001202</v>
      </c>
      <c r="AF4152">
        <v>-0.41413011539688199</v>
      </c>
      <c r="AG4152">
        <v>-8.4230999999999903E-2</v>
      </c>
      <c r="AH4152">
        <v>0.531188322259324</v>
      </c>
      <c r="AI4152">
        <v>97.128173712153398</v>
      </c>
      <c r="AJ4152">
        <v>127.941032206649</v>
      </c>
      <c r="AK4152">
        <v>0.67879278689767397</v>
      </c>
      <c r="AL4152">
        <v>67.182999671949602</v>
      </c>
      <c r="AM4152">
        <v>101.539241194479</v>
      </c>
      <c r="AN4152">
        <v>1.00000000780973</v>
      </c>
    </row>
    <row r="4153" spans="1:40" x14ac:dyDescent="0.25">
      <c r="A4153" t="str">
        <f>"20190304164728150"</f>
        <v>20190304164728150</v>
      </c>
      <c r="B4153" t="str">
        <f>"1551689248143096"</f>
        <v>1551689248143096</v>
      </c>
      <c r="C4153" t="s">
        <v>40</v>
      </c>
      <c r="D4153">
        <v>4.0304859999999998</v>
      </c>
      <c r="E4153">
        <v>0.39438380000000001</v>
      </c>
      <c r="F4153" t="s">
        <v>51</v>
      </c>
      <c r="G4153">
        <v>-409.78530000000001</v>
      </c>
      <c r="H4153" s="1">
        <v>-6.4554390000000001E-6</v>
      </c>
      <c r="I4153">
        <v>130.20339999999999</v>
      </c>
      <c r="J4153">
        <v>-400.62220000000002</v>
      </c>
      <c r="K4153">
        <v>1.1192390000000001</v>
      </c>
      <c r="L4153">
        <v>139.0984</v>
      </c>
      <c r="M4153">
        <v>-0.94800079999999998</v>
      </c>
      <c r="N4153">
        <v>-1.5127979999999999E-2</v>
      </c>
      <c r="O4153">
        <v>-0.31790829999999998</v>
      </c>
      <c r="P4153">
        <v>-0.80494370000000004</v>
      </c>
      <c r="Q4153">
        <v>0.3773456</v>
      </c>
      <c r="R4153">
        <v>-0.45790380000000003</v>
      </c>
      <c r="S4153">
        <v>-2.5168759999999999</v>
      </c>
      <c r="T4153">
        <v>-0.29737590000000003</v>
      </c>
      <c r="U4153">
        <v>-2.39296</v>
      </c>
      <c r="V4153">
        <v>-0.18597420000000001</v>
      </c>
      <c r="W4153">
        <v>0.3874204</v>
      </c>
      <c r="X4153">
        <v>0.90295020000000004</v>
      </c>
      <c r="Y4153">
        <v>-0.42188949999999997</v>
      </c>
      <c r="Z4153">
        <v>1.259158E-3</v>
      </c>
      <c r="AA4153">
        <v>0.90664639999999996</v>
      </c>
      <c r="AB4153">
        <v>33</v>
      </c>
      <c r="AC4153">
        <v>-9.1630999999999805</v>
      </c>
      <c r="AD4153">
        <v>-1.1192454554389999</v>
      </c>
      <c r="AE4153">
        <v>-8.8950000000000102</v>
      </c>
      <c r="AF4153">
        <v>-5.4779943820831303</v>
      </c>
      <c r="AG4153">
        <v>-1.1192454554389999</v>
      </c>
      <c r="AH4153">
        <v>11.4279551221508</v>
      </c>
      <c r="AI4153">
        <v>95.047088911588901</v>
      </c>
      <c r="AJ4153">
        <v>115.61074642763801</v>
      </c>
      <c r="AK4153">
        <v>12.722393293462799</v>
      </c>
      <c r="AL4153">
        <v>67.205916312818601</v>
      </c>
      <c r="AM4153">
        <v>101.638058729607</v>
      </c>
      <c r="AN4153">
        <v>1.00000001654092</v>
      </c>
    </row>
    <row r="4154" spans="1:40" x14ac:dyDescent="0.25">
      <c r="A4154" t="str">
        <f>"20190304164728191"</f>
        <v>20190304164728191</v>
      </c>
      <c r="B4154" t="str">
        <f>"1551689248183115"</f>
        <v>1551689248183115</v>
      </c>
      <c r="C4154" t="s">
        <v>40</v>
      </c>
      <c r="D4154">
        <v>4.017563</v>
      </c>
      <c r="E4154">
        <v>0.39650059999999998</v>
      </c>
      <c r="F4154" t="s">
        <v>51</v>
      </c>
      <c r="G4154">
        <v>-409.94290000000001</v>
      </c>
      <c r="H4154" s="1">
        <v>-6.5046920000000004E-6</v>
      </c>
      <c r="I4154">
        <v>130.0916</v>
      </c>
      <c r="J4154">
        <v>-401.1746</v>
      </c>
      <c r="K4154">
        <v>1.1195550000000001</v>
      </c>
      <c r="L4154">
        <v>138.892</v>
      </c>
      <c r="M4154">
        <v>-0.94200300000000003</v>
      </c>
      <c r="N4154">
        <v>-1.518372E-2</v>
      </c>
      <c r="O4154">
        <v>-0.33526070000000002</v>
      </c>
      <c r="P4154">
        <v>-0.79530400000000001</v>
      </c>
      <c r="Q4154">
        <v>0.37554939999999998</v>
      </c>
      <c r="R4154">
        <v>-0.47587180000000001</v>
      </c>
      <c r="S4154">
        <v>-2.4956049999999999</v>
      </c>
      <c r="T4154">
        <v>-0.29967840000000001</v>
      </c>
      <c r="U4154">
        <v>-2.411575</v>
      </c>
      <c r="V4154">
        <v>-0.189696</v>
      </c>
      <c r="W4154">
        <v>0.38545360000000001</v>
      </c>
      <c r="X4154">
        <v>0.90301770000000003</v>
      </c>
      <c r="Y4154">
        <v>-0.41264620000000002</v>
      </c>
      <c r="Z4154">
        <v>3.183909E-3</v>
      </c>
      <c r="AA4154">
        <v>0.91088579999999997</v>
      </c>
      <c r="AB4154">
        <v>33</v>
      </c>
      <c r="AC4154">
        <v>-8.7683</v>
      </c>
      <c r="AD4154">
        <v>-1.11956150469199</v>
      </c>
      <c r="AE4154">
        <v>-8.8003999999999891</v>
      </c>
      <c r="AF4154">
        <v>-5.3078452808659904</v>
      </c>
      <c r="AG4154">
        <v>-1.11956150469199</v>
      </c>
      <c r="AH4154">
        <v>11.121163596782401</v>
      </c>
      <c r="AI4154">
        <v>95.191197235942397</v>
      </c>
      <c r="AJ4154">
        <v>115.513942603315</v>
      </c>
      <c r="AK4154">
        <v>12.373638075957899</v>
      </c>
      <c r="AL4154">
        <v>67.3280970104408</v>
      </c>
      <c r="AM4154">
        <v>101.86356396309699</v>
      </c>
      <c r="AN4154">
        <v>1.00000000834112</v>
      </c>
    </row>
    <row r="4155" spans="1:40" x14ac:dyDescent="0.25">
      <c r="A4155" t="str">
        <f>"20190304164728213"</f>
        <v>20190304164728213</v>
      </c>
      <c r="B4155" t="str">
        <f>"1551689248203608"</f>
        <v>1551689248203608</v>
      </c>
      <c r="C4155" t="s">
        <v>40</v>
      </c>
      <c r="D4155">
        <v>4.0081150000000001</v>
      </c>
      <c r="E4155">
        <v>0.39786719999999998</v>
      </c>
      <c r="F4155" t="s">
        <v>51</v>
      </c>
      <c r="G4155">
        <v>-410.10250000000002</v>
      </c>
      <c r="H4155" s="1">
        <v>-6.4595609999999999E-6</v>
      </c>
      <c r="I4155">
        <v>129.99619999999999</v>
      </c>
      <c r="J4155">
        <v>-401.46730000000002</v>
      </c>
      <c r="K4155">
        <v>1.119712</v>
      </c>
      <c r="L4155">
        <v>138.77770000000001</v>
      </c>
      <c r="M4155">
        <v>-0.93858909999999995</v>
      </c>
      <c r="N4155">
        <v>-1.521202E-2</v>
      </c>
      <c r="O4155">
        <v>-0.34470139999999999</v>
      </c>
      <c r="P4155">
        <v>-0.79026229999999997</v>
      </c>
      <c r="Q4155">
        <v>0.37484430000000002</v>
      </c>
      <c r="R4155">
        <v>-0.48474460000000003</v>
      </c>
      <c r="S4155">
        <v>-2.4542540000000002</v>
      </c>
      <c r="T4155">
        <v>-0.30776360000000003</v>
      </c>
      <c r="U4155">
        <v>-2.4454039999999999</v>
      </c>
      <c r="V4155">
        <v>-0.19076170000000001</v>
      </c>
      <c r="W4155">
        <v>0.38468390000000002</v>
      </c>
      <c r="X4155">
        <v>0.90312139999999996</v>
      </c>
      <c r="Y4155">
        <v>-0.41741299999999998</v>
      </c>
      <c r="Z4155">
        <v>3.9963799999999999E-3</v>
      </c>
      <c r="AA4155">
        <v>0.90870810000000002</v>
      </c>
      <c r="AB4155">
        <v>33</v>
      </c>
      <c r="AC4155">
        <v>-8.6351999999999904</v>
      </c>
      <c r="AD4155">
        <v>-1.1197184595609999</v>
      </c>
      <c r="AE4155">
        <v>-8.7815000000000207</v>
      </c>
      <c r="AF4155">
        <v>-5.22309105089718</v>
      </c>
      <c r="AG4155">
        <v>-1.1197184595609999</v>
      </c>
      <c r="AH4155">
        <v>11.041918013388999</v>
      </c>
      <c r="AI4155">
        <v>95.237550946230002</v>
      </c>
      <c r="AJ4155">
        <v>115.31526793871799</v>
      </c>
      <c r="AK4155">
        <v>12.2661486608083</v>
      </c>
      <c r="AL4155">
        <v>67.375882114357097</v>
      </c>
      <c r="AM4155">
        <v>101.926978186684</v>
      </c>
      <c r="AN4155">
        <v>0.99999999612202894</v>
      </c>
    </row>
    <row r="4156" spans="1:40" x14ac:dyDescent="0.25">
      <c r="A4156" t="str">
        <f>"20190304164728236"</f>
        <v>20190304164728236</v>
      </c>
      <c r="B4156" t="str">
        <f>"1551689248232888"</f>
        <v>1551689248232888</v>
      </c>
      <c r="C4156" t="s">
        <v>40</v>
      </c>
      <c r="D4156">
        <v>3.9935100000000001</v>
      </c>
      <c r="E4156">
        <v>0.41162100000000001</v>
      </c>
      <c r="F4156" t="s">
        <v>51</v>
      </c>
      <c r="G4156">
        <v>-410.22930000000002</v>
      </c>
      <c r="H4156" s="1">
        <v>-6.410444E-6</v>
      </c>
      <c r="I4156">
        <v>129.9093</v>
      </c>
      <c r="J4156">
        <v>-401.7645</v>
      </c>
      <c r="K4156">
        <v>1.1198509999999999</v>
      </c>
      <c r="L4156">
        <v>138.65780000000001</v>
      </c>
      <c r="M4156">
        <v>-0.9349461</v>
      </c>
      <c r="N4156">
        <v>-1.52382E-2</v>
      </c>
      <c r="O4156">
        <v>-0.35446260000000002</v>
      </c>
      <c r="P4156">
        <v>-0.78499869999999905</v>
      </c>
      <c r="Q4156">
        <v>0.37426870000000001</v>
      </c>
      <c r="R4156">
        <v>-0.49365999999999999</v>
      </c>
      <c r="S4156">
        <v>-2.4331670000000001</v>
      </c>
      <c r="T4156">
        <v>-0.31093870000000001</v>
      </c>
      <c r="U4156">
        <v>-2.4626769999999998</v>
      </c>
      <c r="V4156">
        <v>-0.19160559999999999</v>
      </c>
      <c r="W4156">
        <v>0.38405089999999997</v>
      </c>
      <c r="X4156">
        <v>0.90321209999999996</v>
      </c>
      <c r="Y4156">
        <v>-0.41508450000000002</v>
      </c>
      <c r="Z4156">
        <v>5.0600860000000001E-3</v>
      </c>
      <c r="AA4156">
        <v>0.90976880000000004</v>
      </c>
      <c r="AB4156">
        <v>32</v>
      </c>
      <c r="AC4156">
        <v>-8.4648000000000199</v>
      </c>
      <c r="AD4156">
        <v>-1.119857410444</v>
      </c>
      <c r="AE4156">
        <v>-8.7484999999999999</v>
      </c>
      <c r="AF4156">
        <v>-5.1360570047546696</v>
      </c>
      <c r="AG4156">
        <v>-1.119857410444</v>
      </c>
      <c r="AH4156">
        <v>10.923979666088499</v>
      </c>
      <c r="AI4156">
        <v>95.300243013210803</v>
      </c>
      <c r="AJ4156">
        <v>115.181199064089</v>
      </c>
      <c r="AK4156">
        <v>12.1229738068236</v>
      </c>
      <c r="AL4156">
        <v>67.415167169553698</v>
      </c>
      <c r="AM4156">
        <v>101.977052385126</v>
      </c>
      <c r="AN4156">
        <v>0.99999994866428799</v>
      </c>
    </row>
    <row r="4157" spans="1:40" x14ac:dyDescent="0.25">
      <c r="A4157" t="str">
        <f>"20190304164728259"</f>
        <v>20190304164728259</v>
      </c>
      <c r="B4157" t="str">
        <f>"1551689248253383"</f>
        <v>1551689248253383</v>
      </c>
      <c r="C4157" t="s">
        <v>40</v>
      </c>
      <c r="D4157">
        <v>3.9906489999999999</v>
      </c>
      <c r="E4157">
        <v>0.4123057</v>
      </c>
      <c r="F4157" t="s">
        <v>41</v>
      </c>
      <c r="G4157">
        <v>-402.5598</v>
      </c>
      <c r="H4157">
        <v>1.0200400000000001</v>
      </c>
      <c r="I4157">
        <v>137.88390000000001</v>
      </c>
      <c r="J4157">
        <v>-402.06810000000002</v>
      </c>
      <c r="K4157">
        <v>1.1199699999999999</v>
      </c>
      <c r="L4157">
        <v>138.53120000000001</v>
      </c>
      <c r="M4157">
        <v>-0.9310387</v>
      </c>
      <c r="N4157">
        <v>-1.526342E-2</v>
      </c>
      <c r="O4157">
        <v>-0.36460140000000002</v>
      </c>
      <c r="P4157">
        <v>-0.77890280000000001</v>
      </c>
      <c r="Q4157">
        <v>0.37454090000000001</v>
      </c>
      <c r="R4157">
        <v>-0.50302100000000005</v>
      </c>
      <c r="S4157">
        <v>-2.461884</v>
      </c>
      <c r="T4157">
        <v>-0.30899019999999999</v>
      </c>
      <c r="U4157">
        <v>-2.3965450000000001</v>
      </c>
      <c r="V4157">
        <v>-0.1927845</v>
      </c>
      <c r="W4157">
        <v>0.38425690000000001</v>
      </c>
      <c r="X4157">
        <v>0.90287360000000005</v>
      </c>
      <c r="Y4157">
        <v>-0.38744849999999997</v>
      </c>
      <c r="Z4157">
        <v>7.4484080000000001E-3</v>
      </c>
      <c r="AA4157">
        <v>0.92186129999999999</v>
      </c>
      <c r="AB4157">
        <v>32</v>
      </c>
      <c r="AC4157">
        <v>-0.49169999999997999</v>
      </c>
      <c r="AD4157">
        <v>-9.9930000000000005E-2</v>
      </c>
      <c r="AE4157">
        <v>-0.64730000000000099</v>
      </c>
      <c r="AF4157">
        <v>-0.41713210408498202</v>
      </c>
      <c r="AG4157">
        <v>-9.9930000000000005E-2</v>
      </c>
      <c r="AH4157">
        <v>0.68354866150670801</v>
      </c>
      <c r="AI4157">
        <v>97.113274234051602</v>
      </c>
      <c r="AJ4157">
        <v>121.393417601613</v>
      </c>
      <c r="AK4157">
        <v>0.80698449167625097</v>
      </c>
      <c r="AL4157">
        <v>67.402384143101401</v>
      </c>
      <c r="AM4157">
        <v>102.052982166014</v>
      </c>
      <c r="AN4157">
        <v>0.99999998310740901</v>
      </c>
    </row>
    <row r="4158" spans="1:40" x14ac:dyDescent="0.25">
      <c r="A4158" t="str">
        <f>"20190304164728282"</f>
        <v>20190304164728282</v>
      </c>
      <c r="B4158" t="str">
        <f>"1551689248272904"</f>
        <v>1551689248272904</v>
      </c>
      <c r="C4158" t="s">
        <v>40</v>
      </c>
      <c r="D4158">
        <v>3.9918939999999998</v>
      </c>
      <c r="E4158">
        <v>0.41243239999999998</v>
      </c>
      <c r="F4158" t="s">
        <v>51</v>
      </c>
      <c r="G4158">
        <v>-410.95440000000002</v>
      </c>
      <c r="H4158" s="1">
        <v>-6.2799550000000003E-6</v>
      </c>
      <c r="I4158">
        <v>129.69390000000001</v>
      </c>
      <c r="J4158">
        <v>-402.37130000000002</v>
      </c>
      <c r="K4158">
        <v>1.1200840000000001</v>
      </c>
      <c r="L4158">
        <v>138.40090000000001</v>
      </c>
      <c r="M4158">
        <v>-0.92695620000000001</v>
      </c>
      <c r="N4158">
        <v>-1.5287169999999999E-2</v>
      </c>
      <c r="O4158">
        <v>-0.37485800000000002</v>
      </c>
      <c r="P4158">
        <v>-0.77270119999999998</v>
      </c>
      <c r="Q4158">
        <v>0.37551119999999999</v>
      </c>
      <c r="R4158">
        <v>-0.51178539999999995</v>
      </c>
      <c r="S4158">
        <v>-2.435181</v>
      </c>
      <c r="T4158">
        <v>-0.3069152</v>
      </c>
      <c r="U4158">
        <v>-2.4217680000000001</v>
      </c>
      <c r="V4158">
        <v>-0.19331870000000001</v>
      </c>
      <c r="W4158">
        <v>0.38517899999999999</v>
      </c>
      <c r="X4158">
        <v>0.90236629999999995</v>
      </c>
      <c r="Y4158">
        <v>-0.38715490000000002</v>
      </c>
      <c r="Z4158">
        <v>8.1952940000000005E-3</v>
      </c>
      <c r="AA4158">
        <v>0.92197830000000003</v>
      </c>
      <c r="AB4158">
        <v>32</v>
      </c>
      <c r="AC4158">
        <v>-8.5831</v>
      </c>
      <c r="AD4158">
        <v>-1.1200902799549901</v>
      </c>
      <c r="AE4158">
        <v>-8.7069999999999901</v>
      </c>
      <c r="AF4158">
        <v>-4.8137293592095496</v>
      </c>
      <c r="AG4158">
        <v>-1.1200902799549901</v>
      </c>
      <c r="AH4158">
        <v>11.127960266654</v>
      </c>
      <c r="AI4158">
        <v>95.2781397781241</v>
      </c>
      <c r="AJ4158">
        <v>113.392327668517</v>
      </c>
      <c r="AK4158">
        <v>12.1761279672643</v>
      </c>
      <c r="AL4158">
        <v>67.345145808108597</v>
      </c>
      <c r="AM4158">
        <v>102.09199442597</v>
      </c>
      <c r="AN4158">
        <v>0.99999996059318896</v>
      </c>
    </row>
    <row r="4159" spans="1:40" x14ac:dyDescent="0.25">
      <c r="A4159" t="str">
        <f>"20190304164728303"</f>
        <v>20190304164728303</v>
      </c>
      <c r="B4159" t="str">
        <f>"1551689248293399"</f>
        <v>1551689248293399</v>
      </c>
      <c r="C4159" t="s">
        <v>40</v>
      </c>
      <c r="D4159">
        <v>3.948569</v>
      </c>
      <c r="E4159">
        <v>0.4136591</v>
      </c>
      <c r="F4159" t="s">
        <v>51</v>
      </c>
      <c r="G4159">
        <v>-411.25529999999998</v>
      </c>
      <c r="H4159" s="1">
        <v>-6.1048639999999996E-6</v>
      </c>
      <c r="I4159">
        <v>129.3689</v>
      </c>
      <c r="J4159">
        <v>-402.6429</v>
      </c>
      <c r="K4159">
        <v>1.1201760000000001</v>
      </c>
      <c r="L4159">
        <v>138.2808</v>
      </c>
      <c r="M4159">
        <v>-0.92314660000000004</v>
      </c>
      <c r="N4159">
        <v>-1.530596E-2</v>
      </c>
      <c r="O4159">
        <v>-0.38414350000000003</v>
      </c>
      <c r="P4159">
        <v>-0.76654990000000001</v>
      </c>
      <c r="Q4159">
        <v>0.37677490000000002</v>
      </c>
      <c r="R4159">
        <v>-0.52004059999999996</v>
      </c>
      <c r="S4159">
        <v>-2.4083559999999999</v>
      </c>
      <c r="T4159">
        <v>-0.30364469999999999</v>
      </c>
      <c r="U4159">
        <v>-2.4484710000000001</v>
      </c>
      <c r="V4159">
        <v>-0.19428999999999999</v>
      </c>
      <c r="W4159">
        <v>0.38638660000000002</v>
      </c>
      <c r="X4159">
        <v>0.90164109999999997</v>
      </c>
      <c r="Y4159">
        <v>-0.38808890000000001</v>
      </c>
      <c r="Z4159">
        <v>8.7128680000000003E-3</v>
      </c>
      <c r="AA4159">
        <v>0.92158079999999998</v>
      </c>
      <c r="AB4159">
        <v>32</v>
      </c>
      <c r="AC4159">
        <v>-8.6123999999999796</v>
      </c>
      <c r="AD4159">
        <v>-1.1201821048639999</v>
      </c>
      <c r="AE4159">
        <v>-8.9118999999999993</v>
      </c>
      <c r="AF4159">
        <v>-4.8793067663462297</v>
      </c>
      <c r="AG4159">
        <v>-1.1201821048639999</v>
      </c>
      <c r="AH4159">
        <v>11.2831098134954</v>
      </c>
      <c r="AI4159">
        <v>95.206645187488405</v>
      </c>
      <c r="AJ4159">
        <v>113.38575214818999</v>
      </c>
      <c r="AK4159">
        <v>12.3438652589683</v>
      </c>
      <c r="AL4159">
        <v>67.270149487088602</v>
      </c>
      <c r="AM4159">
        <v>102.16043016492701</v>
      </c>
      <c r="AN4159">
        <v>0.99999994098438305</v>
      </c>
    </row>
    <row r="4160" spans="1:40" x14ac:dyDescent="0.25">
      <c r="A4160" t="str">
        <f>"20190304164728328"</f>
        <v>20190304164728328</v>
      </c>
      <c r="B4160" t="str">
        <f>"1551689248323655"</f>
        <v>1551689248323655</v>
      </c>
      <c r="C4160" t="s">
        <v>40</v>
      </c>
      <c r="D4160">
        <v>3.9752990000000001</v>
      </c>
      <c r="E4160">
        <v>0.4149506</v>
      </c>
      <c r="F4160" t="s">
        <v>51</v>
      </c>
      <c r="G4160">
        <v>-411.50720000000001</v>
      </c>
      <c r="H4160" s="1">
        <v>-5.9628099999999998E-6</v>
      </c>
      <c r="I4160">
        <v>129.1189</v>
      </c>
      <c r="J4160">
        <v>-402.97340000000003</v>
      </c>
      <c r="K4160">
        <v>1.1202730000000001</v>
      </c>
      <c r="L4160">
        <v>138.1301</v>
      </c>
      <c r="M4160">
        <v>-0.9183036</v>
      </c>
      <c r="N4160">
        <v>-1.532211E-2</v>
      </c>
      <c r="O4160">
        <v>-0.3955803</v>
      </c>
      <c r="P4160">
        <v>-0.75980930000000002</v>
      </c>
      <c r="Q4160">
        <v>0.3777218</v>
      </c>
      <c r="R4160">
        <v>-0.52916549999999996</v>
      </c>
      <c r="S4160">
        <v>-2.3876949999999999</v>
      </c>
      <c r="T4160">
        <v>-0.30173050000000001</v>
      </c>
      <c r="U4160">
        <v>-2.4678499999999999</v>
      </c>
      <c r="V4160">
        <v>-0.19416810000000001</v>
      </c>
      <c r="W4160">
        <v>0.38729989999999997</v>
      </c>
      <c r="X4160">
        <v>0.90127550000000001</v>
      </c>
      <c r="Y4160">
        <v>-0.3842875</v>
      </c>
      <c r="Z4160">
        <v>9.728268E-3</v>
      </c>
      <c r="AA4160">
        <v>0.92316220000000004</v>
      </c>
      <c r="AB4160">
        <v>32</v>
      </c>
      <c r="AC4160">
        <v>-8.5337999999999798</v>
      </c>
      <c r="AD4160">
        <v>-1.1202789628099901</v>
      </c>
      <c r="AE4160">
        <v>-9.0112000000000005</v>
      </c>
      <c r="AF4160">
        <v>-4.8601882179756499</v>
      </c>
      <c r="AG4160">
        <v>-1.1202789628099901</v>
      </c>
      <c r="AH4160">
        <v>11.310452536626</v>
      </c>
      <c r="AI4160">
        <v>95.199714172547203</v>
      </c>
      <c r="AJ4160">
        <v>113.253567758766</v>
      </c>
      <c r="AK4160">
        <v>12.361342607174</v>
      </c>
      <c r="AL4160">
        <v>67.213404603957102</v>
      </c>
      <c r="AM4160">
        <v>102.157810633235</v>
      </c>
      <c r="AN4160">
        <v>0.99999999524893501</v>
      </c>
    </row>
    <row r="4161" spans="1:40" x14ac:dyDescent="0.25">
      <c r="A4161" t="str">
        <f>"20190304164728355"</f>
        <v>20190304164728355</v>
      </c>
      <c r="B4161" t="str">
        <f>"1551689248343176"</f>
        <v>1551689248343176</v>
      </c>
      <c r="C4161" t="s">
        <v>40</v>
      </c>
      <c r="D4161">
        <v>3.956124</v>
      </c>
      <c r="E4161">
        <v>0.41326010000000002</v>
      </c>
      <c r="F4161" t="s">
        <v>51</v>
      </c>
      <c r="G4161">
        <v>-411.6628</v>
      </c>
      <c r="H4161" s="1">
        <v>-5.8785270000000002E-6</v>
      </c>
      <c r="I4161">
        <v>128.97120000000001</v>
      </c>
      <c r="J4161">
        <v>-403.30489999999998</v>
      </c>
      <c r="K4161">
        <v>1.1203730000000001</v>
      </c>
      <c r="L4161">
        <v>137.97389999999999</v>
      </c>
      <c r="M4161">
        <v>-0.91321609999999998</v>
      </c>
      <c r="N4161">
        <v>-1.5326660000000001E-2</v>
      </c>
      <c r="O4161">
        <v>-0.40718720000000003</v>
      </c>
      <c r="P4161">
        <v>-0.75292990000000004</v>
      </c>
      <c r="Q4161">
        <v>0.37837150000000003</v>
      </c>
      <c r="R4161">
        <v>-0.53845310000000002</v>
      </c>
      <c r="S4161">
        <v>-2.3643190000000001</v>
      </c>
      <c r="T4161">
        <v>-0.30482110000000001</v>
      </c>
      <c r="U4161">
        <v>-2.4920810000000002</v>
      </c>
      <c r="V4161">
        <v>-0.19404840000000001</v>
      </c>
      <c r="W4161">
        <v>0.38790819999999998</v>
      </c>
      <c r="X4161">
        <v>0.9010397</v>
      </c>
      <c r="Y4161">
        <v>-0.38166129999999998</v>
      </c>
      <c r="Z4161">
        <v>1.100403E-2</v>
      </c>
      <c r="AA4161">
        <v>0.92423670000000002</v>
      </c>
      <c r="AB4161">
        <v>32</v>
      </c>
      <c r="AC4161">
        <v>-8.3579000000000292</v>
      </c>
      <c r="AD4161">
        <v>-1.1203788785269999</v>
      </c>
      <c r="AE4161">
        <v>-9.0026999999999706</v>
      </c>
      <c r="AF4161">
        <v>-4.7789939347664498</v>
      </c>
      <c r="AG4161">
        <v>-1.1203788785269999</v>
      </c>
      <c r="AH4161">
        <v>11.2064624019115</v>
      </c>
      <c r="AI4161">
        <v>95.254316722733904</v>
      </c>
      <c r="AJ4161">
        <v>113.095815357435</v>
      </c>
      <c r="AK4161">
        <v>12.234330035823</v>
      </c>
      <c r="AL4161">
        <v>67.175597172424006</v>
      </c>
      <c r="AM4161">
        <v>102.153623649285</v>
      </c>
      <c r="AN4161">
        <v>1.00000004707294</v>
      </c>
    </row>
    <row r="4162" spans="1:40" x14ac:dyDescent="0.25">
      <c r="A4162" t="str">
        <f>"20190304164728372"</f>
        <v>20190304164728372</v>
      </c>
      <c r="B4162" t="str">
        <f>"1551689248362696"</f>
        <v>1551689248362696</v>
      </c>
      <c r="C4162" t="s">
        <v>40</v>
      </c>
      <c r="D4162">
        <v>3.9723220000000001</v>
      </c>
      <c r="E4162">
        <v>0.41548869999999999</v>
      </c>
      <c r="F4162" t="s">
        <v>41</v>
      </c>
      <c r="G4162">
        <v>-404.04829999999998</v>
      </c>
      <c r="H4162">
        <v>1.0629150000000001</v>
      </c>
      <c r="I4162">
        <v>137.15880000000001</v>
      </c>
      <c r="J4162">
        <v>-403.53570000000002</v>
      </c>
      <c r="K4162">
        <v>1.1204350000000001</v>
      </c>
      <c r="L4162">
        <v>137.86179999999999</v>
      </c>
      <c r="M4162">
        <v>-0.90952310000000003</v>
      </c>
      <c r="N4162">
        <v>-1.5313439999999999E-2</v>
      </c>
      <c r="O4162">
        <v>-0.4153713</v>
      </c>
      <c r="P4162">
        <v>-0.74755269999999996</v>
      </c>
      <c r="Q4162">
        <v>0.37931169999999997</v>
      </c>
      <c r="R4162">
        <v>-0.54524069999999902</v>
      </c>
      <c r="S4162">
        <v>-2.2828059999999999</v>
      </c>
      <c r="T4162">
        <v>-0.176424</v>
      </c>
      <c r="U4162">
        <v>-2.503342</v>
      </c>
      <c r="V4162">
        <v>-0.19439329999999999</v>
      </c>
      <c r="W4162">
        <v>0.38878970000000002</v>
      </c>
      <c r="X4162">
        <v>0.90058519999999898</v>
      </c>
      <c r="Y4162">
        <v>-0.39183750000000001</v>
      </c>
      <c r="Z4162">
        <v>2.7523790000000001E-3</v>
      </c>
      <c r="AA4162">
        <v>0.92003029999999997</v>
      </c>
      <c r="AB4162">
        <v>32</v>
      </c>
      <c r="AC4162">
        <v>-0.51259999999996297</v>
      </c>
      <c r="AD4162">
        <v>-5.7520000000000002E-2</v>
      </c>
      <c r="AE4162">
        <v>-0.70299999999997398</v>
      </c>
      <c r="AF4162">
        <v>-0.42466926353693002</v>
      </c>
      <c r="AG4162">
        <v>-5.7520000000000002E-2</v>
      </c>
      <c r="AH4162">
        <v>0.75501642852124995</v>
      </c>
      <c r="AI4162">
        <v>93.798917214994404</v>
      </c>
      <c r="AJ4162">
        <v>119.356169523871</v>
      </c>
      <c r="AK4162">
        <v>0.86816031994671505</v>
      </c>
      <c r="AL4162">
        <v>67.1207867081323</v>
      </c>
      <c r="AM4162">
        <v>102.180542324915</v>
      </c>
      <c r="AN4162">
        <v>0.99999994418500804</v>
      </c>
    </row>
    <row r="4163" spans="1:40" x14ac:dyDescent="0.25">
      <c r="A4163" t="str">
        <f>"20190304164728392"</f>
        <v>20190304164728392</v>
      </c>
      <c r="B4163" t="str">
        <f>"1551689248383192"</f>
        <v>1551689248383192</v>
      </c>
      <c r="C4163" t="s">
        <v>40</v>
      </c>
      <c r="D4163">
        <v>4.039034</v>
      </c>
      <c r="E4163">
        <v>0.41292580000000001</v>
      </c>
      <c r="F4163" t="s">
        <v>42</v>
      </c>
      <c r="G4163">
        <v>-421.12310000000002</v>
      </c>
      <c r="H4163" s="1">
        <v>-4.0704869999999997E-6</v>
      </c>
      <c r="I4163">
        <v>118.3809</v>
      </c>
      <c r="J4163">
        <v>-403.79039999999998</v>
      </c>
      <c r="K4163">
        <v>1.120501</v>
      </c>
      <c r="L4163">
        <v>137.73500000000001</v>
      </c>
      <c r="M4163">
        <v>-0.90531329999999999</v>
      </c>
      <c r="N4163">
        <v>-1.5288380000000001E-2</v>
      </c>
      <c r="O4163">
        <v>-0.4244696</v>
      </c>
      <c r="P4163">
        <v>-0.74220220000000003</v>
      </c>
      <c r="Q4163">
        <v>0.37972869999999997</v>
      </c>
      <c r="R4163">
        <v>-0.55221580000000003</v>
      </c>
      <c r="S4163">
        <v>-2.2601930000000001</v>
      </c>
      <c r="T4163">
        <v>-0.14399000000000001</v>
      </c>
      <c r="U4163">
        <v>-2.5035249999999998</v>
      </c>
      <c r="V4163">
        <v>-0.19396150000000001</v>
      </c>
      <c r="W4163">
        <v>0.38915959999999999</v>
      </c>
      <c r="X4163">
        <v>0.90051859999999995</v>
      </c>
      <c r="Y4163">
        <v>-0.38728059999999997</v>
      </c>
      <c r="Z4163">
        <v>1.048923E-3</v>
      </c>
      <c r="AA4163">
        <v>0.92196129999999998</v>
      </c>
      <c r="AB4163">
        <v>32</v>
      </c>
      <c r="AC4163">
        <v>-17.332699999999999</v>
      </c>
      <c r="AD4163">
        <v>-1.1205050704870001</v>
      </c>
      <c r="AE4163">
        <v>-19.354099999999999</v>
      </c>
      <c r="AF4163">
        <v>-10.146633113954699</v>
      </c>
      <c r="AG4163">
        <v>-1.1205050704870001</v>
      </c>
      <c r="AH4163">
        <v>23.8651511202956</v>
      </c>
      <c r="AI4163">
        <v>92.474117896463596</v>
      </c>
      <c r="AJ4163">
        <v>113.033511469624</v>
      </c>
      <c r="AK4163">
        <v>25.956793583891201</v>
      </c>
      <c r="AL4163">
        <v>67.097782717258099</v>
      </c>
      <c r="AM4163">
        <v>102.155163493359</v>
      </c>
      <c r="AN4163">
        <v>1.0000000033501799</v>
      </c>
    </row>
    <row r="4164" spans="1:40" x14ac:dyDescent="0.25">
      <c r="A4164" t="str">
        <f>"20190304164728415"</f>
        <v>20190304164728415</v>
      </c>
      <c r="B4164" t="str">
        <f>"1551689248402711"</f>
        <v>1551689248402711</v>
      </c>
      <c r="C4164" t="s">
        <v>40</v>
      </c>
      <c r="D4164">
        <v>4.0396330000000003</v>
      </c>
      <c r="E4164">
        <v>0.35267520000000002</v>
      </c>
      <c r="F4164" t="s">
        <v>51</v>
      </c>
      <c r="G4164">
        <v>-417.30919999999998</v>
      </c>
      <c r="H4164" s="1">
        <v>-2.073381E-6</v>
      </c>
      <c r="I4164">
        <v>122.29810000000001</v>
      </c>
      <c r="J4164">
        <v>-404.07170000000002</v>
      </c>
      <c r="K4164">
        <v>1.1205689999999999</v>
      </c>
      <c r="L4164">
        <v>137.59129999999999</v>
      </c>
      <c r="M4164">
        <v>-0.90048269999999997</v>
      </c>
      <c r="N4164">
        <v>-1.523359E-2</v>
      </c>
      <c r="O4164">
        <v>-0.43462499999999998</v>
      </c>
      <c r="P4164">
        <v>-0.73616300000000001</v>
      </c>
      <c r="Q4164">
        <v>0.38058890000000001</v>
      </c>
      <c r="R4164">
        <v>-0.55965719999999997</v>
      </c>
      <c r="S4164">
        <v>-2.2366640000000002</v>
      </c>
      <c r="T4164">
        <v>-0.1853852</v>
      </c>
      <c r="U4164">
        <v>-2.5540159999999998</v>
      </c>
      <c r="V4164">
        <v>-0.1931794</v>
      </c>
      <c r="W4164">
        <v>0.3899492</v>
      </c>
      <c r="X4164">
        <v>0.90034509999999901</v>
      </c>
      <c r="Y4164">
        <v>-0.39075989999999999</v>
      </c>
      <c r="Z4164">
        <v>4.3054490000000003E-3</v>
      </c>
      <c r="AA4164">
        <v>0.92048260000000004</v>
      </c>
      <c r="AB4164">
        <v>32</v>
      </c>
      <c r="AC4164">
        <v>-13.237499999999899</v>
      </c>
      <c r="AD4164">
        <v>-1.1205710733809999</v>
      </c>
      <c r="AE4164">
        <v>-15.293199999999899</v>
      </c>
      <c r="AF4164">
        <v>-7.9943072058412996</v>
      </c>
      <c r="AG4164">
        <v>-1.1205710733809999</v>
      </c>
      <c r="AH4164">
        <v>18.512281886685798</v>
      </c>
      <c r="AI4164">
        <v>93.180714369189502</v>
      </c>
      <c r="AJ4164">
        <v>113.356522990736</v>
      </c>
      <c r="AK4164">
        <v>20.1957720299072</v>
      </c>
      <c r="AL4164">
        <v>67.048660979099694</v>
      </c>
      <c r="AM4164">
        <v>102.109864156057</v>
      </c>
      <c r="AN4164">
        <v>0.999999979129504</v>
      </c>
    </row>
    <row r="4165" spans="1:40" x14ac:dyDescent="0.25">
      <c r="A4165" t="str">
        <f>"20190304164728438"</f>
        <v>20190304164728438</v>
      </c>
      <c r="B4165" t="str">
        <f>"1551689248432968"</f>
        <v>1551689248432968</v>
      </c>
      <c r="C4165" t="s">
        <v>40</v>
      </c>
      <c r="D4165">
        <v>4.0054280000000002</v>
      </c>
      <c r="E4165">
        <v>0.3399433</v>
      </c>
      <c r="F4165" t="s">
        <v>41</v>
      </c>
      <c r="G4165">
        <v>-404.6875</v>
      </c>
      <c r="H4165">
        <v>1.063625</v>
      </c>
      <c r="I4165">
        <v>136.63999999999999</v>
      </c>
      <c r="J4165">
        <v>-404.36669999999998</v>
      </c>
      <c r="K4165">
        <v>1.120636</v>
      </c>
      <c r="L4165">
        <v>137.4358</v>
      </c>
      <c r="M4165">
        <v>-0.89519889999999902</v>
      </c>
      <c r="N4165">
        <v>-1.514483E-2</v>
      </c>
      <c r="O4165">
        <v>-0.44540980000000002</v>
      </c>
      <c r="P4165">
        <v>-0.72987270000000004</v>
      </c>
      <c r="Q4165">
        <v>0.38191310000000001</v>
      </c>
      <c r="R4165">
        <v>-0.56694690000000003</v>
      </c>
      <c r="S4165">
        <v>-1.9158329999999999</v>
      </c>
      <c r="T4165">
        <v>-0.17716189999999901</v>
      </c>
      <c r="U4165">
        <v>-2.9608150000000002</v>
      </c>
      <c r="V4165">
        <v>-0.19172359999999999</v>
      </c>
      <c r="W4165">
        <v>0.39118439999999999</v>
      </c>
      <c r="X4165">
        <v>0.90012039999999904</v>
      </c>
      <c r="Y4165">
        <v>-0.50915909999999998</v>
      </c>
      <c r="Z4165">
        <v>-3.9382000000000002E-4</v>
      </c>
      <c r="AA4165">
        <v>0.8606724</v>
      </c>
      <c r="AB4165">
        <v>32</v>
      </c>
      <c r="AC4165">
        <v>-0.32080000000001901</v>
      </c>
      <c r="AD4165">
        <v>-5.7010999999999902E-2</v>
      </c>
      <c r="AE4165">
        <v>-0.79580000000001405</v>
      </c>
      <c r="AF4165">
        <v>-0.567073510801543</v>
      </c>
      <c r="AG4165">
        <v>-5.7010999999999902E-2</v>
      </c>
      <c r="AH4165">
        <v>0.63888981929422295</v>
      </c>
      <c r="AI4165">
        <v>93.8181232765358</v>
      </c>
      <c r="AJ4165">
        <v>131.59200450053899</v>
      </c>
      <c r="AK4165">
        <v>0.85615583976960197</v>
      </c>
      <c r="AL4165">
        <v>66.971782560016095</v>
      </c>
      <c r="AM4165">
        <v>102.024182135647</v>
      </c>
      <c r="AN4165">
        <v>0.99999995404823805</v>
      </c>
    </row>
    <row r="4166" spans="1:40" x14ac:dyDescent="0.25">
      <c r="A4166" t="str">
        <f>"20190304164728460"</f>
        <v>20190304164728460</v>
      </c>
      <c r="B4166" t="str">
        <f>"1551689248453463"</f>
        <v>1551689248453463</v>
      </c>
      <c r="C4166" t="s">
        <v>40</v>
      </c>
      <c r="D4166">
        <v>4.0078860000000001</v>
      </c>
      <c r="E4166">
        <v>0.3377095</v>
      </c>
      <c r="F4166" t="s">
        <v>41</v>
      </c>
      <c r="G4166">
        <v>-404.92430000000002</v>
      </c>
      <c r="H4166">
        <v>1.0688310000000001</v>
      </c>
      <c r="I4166">
        <v>136.4984</v>
      </c>
      <c r="J4166">
        <v>-404.6388</v>
      </c>
      <c r="K4166">
        <v>1.120692</v>
      </c>
      <c r="L4166">
        <v>137.28829999999999</v>
      </c>
      <c r="M4166">
        <v>-0.89013679999999995</v>
      </c>
      <c r="N4166">
        <v>-1.504988E-2</v>
      </c>
      <c r="O4166">
        <v>-0.45544489999999999</v>
      </c>
      <c r="P4166">
        <v>-0.7246515</v>
      </c>
      <c r="Q4166">
        <v>0.38229279999999999</v>
      </c>
      <c r="R4166">
        <v>-0.57335199999999997</v>
      </c>
      <c r="S4166">
        <v>-1.8204959999999999</v>
      </c>
      <c r="T4166">
        <v>-0.1691415</v>
      </c>
      <c r="U4166">
        <v>-3.0617679999999998</v>
      </c>
      <c r="V4166">
        <v>-0.1896861</v>
      </c>
      <c r="W4166">
        <v>0.39149820000000002</v>
      </c>
      <c r="X4166">
        <v>0.90041569999999904</v>
      </c>
      <c r="Y4166">
        <v>-0.53190419999999905</v>
      </c>
      <c r="Z4166">
        <v>-1.266966E-3</v>
      </c>
      <c r="AA4166">
        <v>0.84680349999999904</v>
      </c>
      <c r="AB4166">
        <v>32</v>
      </c>
      <c r="AC4166">
        <v>-0.28550000000001302</v>
      </c>
      <c r="AD4166">
        <v>-5.1861000000000101E-2</v>
      </c>
      <c r="AE4166">
        <v>-0.78989999999998795</v>
      </c>
      <c r="AF4166">
        <v>-0.57097755650931703</v>
      </c>
      <c r="AG4166">
        <v>-5.1861000000000101E-2</v>
      </c>
      <c r="AH4166">
        <v>0.61162763988475</v>
      </c>
      <c r="AI4166">
        <v>93.546721651232204</v>
      </c>
      <c r="AJ4166">
        <v>133.03132813705901</v>
      </c>
      <c r="AK4166">
        <v>0.83832768249017098</v>
      </c>
      <c r="AL4166">
        <v>66.952247148146995</v>
      </c>
      <c r="AM4166">
        <v>101.896268233431</v>
      </c>
      <c r="AN4166">
        <v>1.0000000449714599</v>
      </c>
    </row>
    <row r="4167" spans="1:40" x14ac:dyDescent="0.25">
      <c r="A4167" t="str">
        <f>"20190304164728481"</f>
        <v>20190304164728481</v>
      </c>
      <c r="B4167" t="str">
        <f>"1551689248472985"</f>
        <v>1551689248472985</v>
      </c>
      <c r="C4167" t="s">
        <v>40</v>
      </c>
      <c r="D4167">
        <v>4.0131050000000004</v>
      </c>
      <c r="E4167">
        <v>0.3374375</v>
      </c>
      <c r="F4167" t="s">
        <v>41</v>
      </c>
      <c r="G4167">
        <v>-405.16910000000001</v>
      </c>
      <c r="H4167">
        <v>1.072335</v>
      </c>
      <c r="I4167">
        <v>136.36609999999999</v>
      </c>
      <c r="J4167">
        <v>-404.90210000000002</v>
      </c>
      <c r="K4167">
        <v>1.120738</v>
      </c>
      <c r="L4167">
        <v>137.14179999999999</v>
      </c>
      <c r="M4167">
        <v>-0.88505489999999998</v>
      </c>
      <c r="N4167">
        <v>-1.494085E-2</v>
      </c>
      <c r="O4167">
        <v>-0.46524670000000001</v>
      </c>
      <c r="P4167">
        <v>-0.71962079999999995</v>
      </c>
      <c r="Q4167">
        <v>0.3825539</v>
      </c>
      <c r="R4167">
        <v>-0.57948120000000003</v>
      </c>
      <c r="S4167">
        <v>-1.778381</v>
      </c>
      <c r="T4167">
        <v>-0.16217110000000001</v>
      </c>
      <c r="U4167">
        <v>-3.0928499999999999</v>
      </c>
      <c r="V4167">
        <v>-0.18750120000000001</v>
      </c>
      <c r="W4167">
        <v>0.39168950000000002</v>
      </c>
      <c r="X4167">
        <v>0.90078999999999998</v>
      </c>
      <c r="Y4167">
        <v>-0.53494229999999998</v>
      </c>
      <c r="Z4167">
        <v>-1.309103E-3</v>
      </c>
      <c r="AA4167">
        <v>0.84488759999999996</v>
      </c>
      <c r="AB4167">
        <v>32</v>
      </c>
      <c r="AC4167">
        <v>-0.26699999999999502</v>
      </c>
      <c r="AD4167">
        <v>-4.8402999999999897E-2</v>
      </c>
      <c r="AE4167">
        <v>-0.77569999999999995</v>
      </c>
      <c r="AF4167">
        <v>-0.56042805323087297</v>
      </c>
      <c r="AG4167">
        <v>-4.8402999999999897E-2</v>
      </c>
      <c r="AH4167">
        <v>0.59519622066697897</v>
      </c>
      <c r="AI4167">
        <v>93.388364213334796</v>
      </c>
      <c r="AJ4167">
        <v>133.27671625395001</v>
      </c>
      <c r="AK4167">
        <v>0.81895115504735805</v>
      </c>
      <c r="AL4167">
        <v>66.940333915315307</v>
      </c>
      <c r="AM4167">
        <v>101.758328674577</v>
      </c>
      <c r="AN4167">
        <v>0.99999999425584496</v>
      </c>
    </row>
    <row r="4168" spans="1:40" x14ac:dyDescent="0.25">
      <c r="A4168" t="str">
        <f>"20190304164728504"</f>
        <v>20190304164728504</v>
      </c>
      <c r="B4168" t="str">
        <f>"1551689248493480"</f>
        <v>1551689248493480</v>
      </c>
      <c r="C4168" t="s">
        <v>40</v>
      </c>
      <c r="D4168">
        <v>4.0133640000000002</v>
      </c>
      <c r="E4168">
        <v>0.33740300000000001</v>
      </c>
      <c r="F4168" t="s">
        <v>41</v>
      </c>
      <c r="G4168">
        <v>-405.41300000000001</v>
      </c>
      <c r="H4168">
        <v>1.0756239999999999</v>
      </c>
      <c r="I4168">
        <v>136.232</v>
      </c>
      <c r="J4168">
        <v>-405.17</v>
      </c>
      <c r="K4168">
        <v>1.1207750000000001</v>
      </c>
      <c r="L4168">
        <v>136.98869999999999</v>
      </c>
      <c r="M4168">
        <v>-0.87969010000000003</v>
      </c>
      <c r="N4168">
        <v>-1.480895E-2</v>
      </c>
      <c r="O4168">
        <v>-0.47531669999999998</v>
      </c>
      <c r="P4168">
        <v>-0.71456719999999996</v>
      </c>
      <c r="Q4168">
        <v>0.38187070000000001</v>
      </c>
      <c r="R4168">
        <v>-0.58614709999999903</v>
      </c>
      <c r="S4168">
        <v>-1.74581899999999</v>
      </c>
      <c r="T4168">
        <v>-0.1541815</v>
      </c>
      <c r="U4168">
        <v>-3.11084</v>
      </c>
      <c r="V4168">
        <v>-0.1854556</v>
      </c>
      <c r="W4168">
        <v>0.3909185</v>
      </c>
      <c r="X4168">
        <v>0.90154809999999996</v>
      </c>
      <c r="Y4168">
        <v>-0.5341475</v>
      </c>
      <c r="Z4168">
        <v>-1.277039E-3</v>
      </c>
      <c r="AA4168">
        <v>0.84539030000000004</v>
      </c>
      <c r="AB4168">
        <v>32</v>
      </c>
      <c r="AC4168">
        <v>-0.242999999999995</v>
      </c>
      <c r="AD4168">
        <v>-4.5151000000000101E-2</v>
      </c>
      <c r="AE4168">
        <v>-0.75669999999999404</v>
      </c>
      <c r="AF4168">
        <v>-0.54844978654675203</v>
      </c>
      <c r="AG4168">
        <v>-4.5151000000000101E-2</v>
      </c>
      <c r="AH4168">
        <v>0.571654747317212</v>
      </c>
      <c r="AI4168">
        <v>93.261997979260002</v>
      </c>
      <c r="AJ4168">
        <v>133.81318562905199</v>
      </c>
      <c r="AK4168">
        <v>0.79348908706703902</v>
      </c>
      <c r="AL4168">
        <v>66.988337131987393</v>
      </c>
      <c r="AM4168">
        <v>101.624046752696</v>
      </c>
      <c r="AN4168">
        <v>1.0000000149136099</v>
      </c>
    </row>
    <row r="4169" spans="1:40" x14ac:dyDescent="0.25">
      <c r="A4169" t="str">
        <f>"20190304164728527"</f>
        <v>20190304164728527</v>
      </c>
      <c r="B4169" t="str">
        <f>"1551689248522760"</f>
        <v>1551689248522760</v>
      </c>
      <c r="C4169" t="s">
        <v>40</v>
      </c>
      <c r="D4169">
        <v>4.0137070000000001</v>
      </c>
      <c r="E4169">
        <v>0.33725060000000001</v>
      </c>
      <c r="F4169" t="s">
        <v>41</v>
      </c>
      <c r="G4169">
        <v>-405.65780000000001</v>
      </c>
      <c r="H4169">
        <v>1.076991</v>
      </c>
      <c r="I4169">
        <v>136.09809999999999</v>
      </c>
      <c r="J4169">
        <v>-405.45769999999999</v>
      </c>
      <c r="K4169">
        <v>1.120817</v>
      </c>
      <c r="L4169">
        <v>136.81970000000001</v>
      </c>
      <c r="M4169">
        <v>-0.87371399999999999</v>
      </c>
      <c r="N4169">
        <v>-1.464884E-2</v>
      </c>
      <c r="O4169">
        <v>-0.48621959999999997</v>
      </c>
      <c r="P4169">
        <v>-0.70798159999999999</v>
      </c>
      <c r="Q4169">
        <v>0.38204339999999998</v>
      </c>
      <c r="R4169">
        <v>-0.59397419999999901</v>
      </c>
      <c r="S4169">
        <v>-1.713654</v>
      </c>
      <c r="T4169">
        <v>-0.1538255</v>
      </c>
      <c r="U4169">
        <v>-3.1292420000000001</v>
      </c>
      <c r="V4169">
        <v>-0.1842694</v>
      </c>
      <c r="W4169">
        <v>0.39094800000000002</v>
      </c>
      <c r="X4169">
        <v>0.90177850000000004</v>
      </c>
      <c r="Y4169">
        <v>-0.53242840000000002</v>
      </c>
      <c r="Z4169">
        <v>-7.1770699999999896E-4</v>
      </c>
      <c r="AA4169">
        <v>0.84647479999999997</v>
      </c>
      <c r="AB4169">
        <v>32</v>
      </c>
      <c r="AC4169">
        <v>-0.20010000000002001</v>
      </c>
      <c r="AD4169">
        <v>-4.38259999999999E-2</v>
      </c>
      <c r="AE4169">
        <v>-0.721600000000023</v>
      </c>
      <c r="AF4169">
        <v>-0.53141637834620004</v>
      </c>
      <c r="AG4169">
        <v>-4.38259999999999E-2</v>
      </c>
      <c r="AH4169">
        <v>0.523947911108811</v>
      </c>
      <c r="AI4169">
        <v>93.360916139140599</v>
      </c>
      <c r="AJ4169">
        <v>135.40545668775499</v>
      </c>
      <c r="AK4169">
        <v>0.74755969594800797</v>
      </c>
      <c r="AL4169">
        <v>66.986500568646306</v>
      </c>
      <c r="AM4169">
        <v>101.54883025507</v>
      </c>
      <c r="AN4169">
        <v>1.0000000067713</v>
      </c>
    </row>
    <row r="4170" spans="1:40" x14ac:dyDescent="0.25">
      <c r="A4170" t="str">
        <f>"20190304164728553"</f>
        <v>20190304164728553</v>
      </c>
      <c r="B4170" t="str">
        <f>"1551689248543256"</f>
        <v>1551689248543256</v>
      </c>
      <c r="C4170" t="s">
        <v>40</v>
      </c>
      <c r="D4170">
        <v>4.0470119999999996</v>
      </c>
      <c r="E4170">
        <v>0.33748600000000001</v>
      </c>
      <c r="F4170" t="s">
        <v>41</v>
      </c>
      <c r="G4170">
        <v>-405.90949999999998</v>
      </c>
      <c r="H4170">
        <v>1.078478</v>
      </c>
      <c r="I4170">
        <v>135.9708</v>
      </c>
      <c r="J4170">
        <v>-405.77080000000001</v>
      </c>
      <c r="K4170">
        <v>1.120854</v>
      </c>
      <c r="L4170">
        <v>136.63050000000001</v>
      </c>
      <c r="M4170">
        <v>-0.86695599999999995</v>
      </c>
      <c r="N4170">
        <v>-1.445774E-2</v>
      </c>
      <c r="O4170">
        <v>-0.49817499999999998</v>
      </c>
      <c r="P4170">
        <v>-0.69937459999999996</v>
      </c>
      <c r="Q4170">
        <v>0.38315949999999999</v>
      </c>
      <c r="R4170">
        <v>-0.60337700000000005</v>
      </c>
      <c r="S4170">
        <v>-1.677246</v>
      </c>
      <c r="T4170">
        <v>-0.157169</v>
      </c>
      <c r="U4170">
        <v>-3.152603</v>
      </c>
      <c r="V4170">
        <v>-0.18432209999999999</v>
      </c>
      <c r="W4170">
        <v>0.39185360000000002</v>
      </c>
      <c r="X4170">
        <v>0.90137460000000003</v>
      </c>
      <c r="Y4170">
        <v>-0.53103459999999902</v>
      </c>
      <c r="Z4170">
        <v>1.4557409999999999E-4</v>
      </c>
      <c r="AA4170">
        <v>0.84735020000000005</v>
      </c>
      <c r="AB4170">
        <v>32</v>
      </c>
      <c r="AC4170">
        <v>-0.13869999999997101</v>
      </c>
      <c r="AD4170">
        <v>-4.23759999999999E-2</v>
      </c>
      <c r="AE4170">
        <v>-0.65970000000001505</v>
      </c>
      <c r="AF4170">
        <v>-0.50090721249841597</v>
      </c>
      <c r="AG4170">
        <v>-4.23759999999999E-2</v>
      </c>
      <c r="AH4170">
        <v>0.44717275131777001</v>
      </c>
      <c r="AI4170">
        <v>93.611109210942004</v>
      </c>
      <c r="AJ4170">
        <v>138.24389045996699</v>
      </c>
      <c r="AK4170">
        <v>0.67280549227101105</v>
      </c>
      <c r="AL4170">
        <v>66.930115535585998</v>
      </c>
      <c r="AM4170">
        <v>101.557081537063</v>
      </c>
      <c r="AN4170">
        <v>1.0000000249532599</v>
      </c>
    </row>
    <row r="4171" spans="1:40" x14ac:dyDescent="0.25">
      <c r="A4171" t="str">
        <f>"20190304164728576"</f>
        <v>20190304164728576</v>
      </c>
      <c r="B4171" t="str">
        <f>"1551689248573512"</f>
        <v>1551689248573512</v>
      </c>
      <c r="C4171" t="s">
        <v>40</v>
      </c>
      <c r="D4171">
        <v>4.0665250000000004</v>
      </c>
      <c r="E4171">
        <v>0.33776850000000003</v>
      </c>
      <c r="F4171" t="s">
        <v>41</v>
      </c>
      <c r="G4171">
        <v>-406.17169999999999</v>
      </c>
      <c r="H4171">
        <v>1.082508</v>
      </c>
      <c r="I4171">
        <v>135.85210000000001</v>
      </c>
      <c r="J4171">
        <v>-406.0324</v>
      </c>
      <c r="K4171">
        <v>1.120881</v>
      </c>
      <c r="L4171">
        <v>136.4675</v>
      </c>
      <c r="M4171">
        <v>-0.86109650000000004</v>
      </c>
      <c r="N4171">
        <v>-1.4284410000000001E-2</v>
      </c>
      <c r="O4171">
        <v>-0.5082409</v>
      </c>
      <c r="P4171">
        <v>-0.69112869999999904</v>
      </c>
      <c r="Q4171">
        <v>0.3849919</v>
      </c>
      <c r="R4171">
        <v>-0.61165559999999997</v>
      </c>
      <c r="S4171">
        <v>-1.6358029999999999</v>
      </c>
      <c r="T4171">
        <v>-0.15647320000000001</v>
      </c>
      <c r="U4171">
        <v>-3.1753079999999998</v>
      </c>
      <c r="V4171">
        <v>-0.18515619999999999</v>
      </c>
      <c r="W4171">
        <v>0.39347359999999998</v>
      </c>
      <c r="X4171">
        <v>0.90049749999999995</v>
      </c>
      <c r="Y4171">
        <v>-0.53238339999999995</v>
      </c>
      <c r="Z4171">
        <v>5.7574549999999996E-4</v>
      </c>
      <c r="AA4171">
        <v>0.84650319999999901</v>
      </c>
      <c r="AB4171">
        <v>32</v>
      </c>
      <c r="AC4171">
        <v>-0.13929999999999099</v>
      </c>
      <c r="AD4171">
        <v>-3.83729999999999E-2</v>
      </c>
      <c r="AE4171">
        <v>-0.61539999999999395</v>
      </c>
      <c r="AF4171">
        <v>-0.45747565441348398</v>
      </c>
      <c r="AG4171">
        <v>-3.83729999999999E-2</v>
      </c>
      <c r="AH4171">
        <v>0.43117161260977499</v>
      </c>
      <c r="AI4171">
        <v>93.493053814571397</v>
      </c>
      <c r="AJ4171">
        <v>136.6954653519</v>
      </c>
      <c r="AK4171">
        <v>0.62981379869812204</v>
      </c>
      <c r="AL4171">
        <v>66.829190133939093</v>
      </c>
      <c r="AM4171">
        <v>101.618962743089</v>
      </c>
      <c r="AN4171">
        <v>1.0000000199008201</v>
      </c>
    </row>
    <row r="4172" spans="1:40" x14ac:dyDescent="0.25">
      <c r="A4172" t="str">
        <f>"20190304164728594"</f>
        <v>20190304164728594</v>
      </c>
      <c r="B4172" t="str">
        <f>"1551689248583272"</f>
        <v>1551689248583272</v>
      </c>
      <c r="C4172" t="s">
        <v>40</v>
      </c>
      <c r="D4172">
        <v>4.0790860000000002</v>
      </c>
      <c r="E4172">
        <v>0.33788940000000001</v>
      </c>
      <c r="F4172" t="s">
        <v>41</v>
      </c>
      <c r="G4172">
        <v>-406.54230000000001</v>
      </c>
      <c r="H4172">
        <v>1.0707770000000001</v>
      </c>
      <c r="I4172">
        <v>135.44929999999999</v>
      </c>
      <c r="J4172">
        <v>-406.25729999999999</v>
      </c>
      <c r="K4172">
        <v>1.1208910000000001</v>
      </c>
      <c r="L4172">
        <v>136.32399999999899</v>
      </c>
      <c r="M4172">
        <v>-0.85591439999999996</v>
      </c>
      <c r="N4172">
        <v>-1.41268E-2</v>
      </c>
      <c r="O4172">
        <v>-0.51692499999999997</v>
      </c>
      <c r="P4172">
        <v>-0.6834093</v>
      </c>
      <c r="Q4172">
        <v>0.3868472</v>
      </c>
      <c r="R4172">
        <v>-0.61911349999999998</v>
      </c>
      <c r="S4172">
        <v>-1.6006469999999999</v>
      </c>
      <c r="T4172">
        <v>-0.1572779</v>
      </c>
      <c r="U4172">
        <v>-3.1950989999999999</v>
      </c>
      <c r="V4172">
        <v>-0.1864373</v>
      </c>
      <c r="W4172">
        <v>0.3951247</v>
      </c>
      <c r="X4172">
        <v>0.89950969999999997</v>
      </c>
      <c r="Y4172">
        <v>-0.53337709999999905</v>
      </c>
      <c r="Z4172">
        <v>1.0626349999999999E-3</v>
      </c>
      <c r="AA4172">
        <v>0.84587690000000004</v>
      </c>
      <c r="AB4172">
        <v>32</v>
      </c>
      <c r="AC4172">
        <v>-0.28500000000002501</v>
      </c>
      <c r="AD4172">
        <v>-5.0113999999999902E-2</v>
      </c>
      <c r="AE4172">
        <v>-0.87469999999999004</v>
      </c>
      <c r="AF4172">
        <v>-0.59962522108259597</v>
      </c>
      <c r="AG4172">
        <v>-5.0113999999999902E-2</v>
      </c>
      <c r="AH4172">
        <v>0.69409950833247003</v>
      </c>
      <c r="AI4172">
        <v>93.127291390242803</v>
      </c>
      <c r="AJ4172">
        <v>130.82338759527801</v>
      </c>
      <c r="AK4172">
        <v>0.91860543554984997</v>
      </c>
      <c r="AL4172">
        <v>66.726249673243601</v>
      </c>
      <c r="AM4172">
        <v>101.7096374338</v>
      </c>
      <c r="AN4172">
        <v>1.00000004788773</v>
      </c>
    </row>
    <row r="4173" spans="1:40" x14ac:dyDescent="0.25">
      <c r="A4173" t="str">
        <f>"20190304164728617"</f>
        <v>20190304164728617</v>
      </c>
      <c r="B4173" t="str">
        <f>"1551689248613528"</f>
        <v>1551689248613528</v>
      </c>
      <c r="C4173" t="s">
        <v>40</v>
      </c>
      <c r="D4173">
        <v>4.1072290000000002</v>
      </c>
      <c r="E4173">
        <v>0.33856960000000003</v>
      </c>
      <c r="F4173" t="s">
        <v>41</v>
      </c>
      <c r="G4173">
        <v>-406.63600000000002</v>
      </c>
      <c r="H4173">
        <v>1.0833809999999999</v>
      </c>
      <c r="I4173">
        <v>135.54759999999999</v>
      </c>
      <c r="J4173">
        <v>-406.5197</v>
      </c>
      <c r="K4173">
        <v>1.120908</v>
      </c>
      <c r="L4173">
        <v>136.1523</v>
      </c>
      <c r="M4173">
        <v>-0.84969280000000003</v>
      </c>
      <c r="N4173">
        <v>-1.394162E-2</v>
      </c>
      <c r="O4173">
        <v>-0.5270939</v>
      </c>
      <c r="P4173">
        <v>-0.67473950000000005</v>
      </c>
      <c r="Q4173">
        <v>0.3874667</v>
      </c>
      <c r="R4173">
        <v>-0.62816930000000004</v>
      </c>
      <c r="S4173">
        <v>-1.5677190000000001</v>
      </c>
      <c r="T4173">
        <v>-0.1552615</v>
      </c>
      <c r="U4173">
        <v>-3.2120820000000001</v>
      </c>
      <c r="V4173">
        <v>-0.18794620000000001</v>
      </c>
      <c r="W4173">
        <v>0.39551720000000001</v>
      </c>
      <c r="X4173">
        <v>0.89902309999999996</v>
      </c>
      <c r="Y4173">
        <v>-0.53207680000000002</v>
      </c>
      <c r="Z4173">
        <v>1.493744E-3</v>
      </c>
      <c r="AA4173">
        <v>0.84669479999999997</v>
      </c>
      <c r="AB4173">
        <v>32</v>
      </c>
      <c r="AC4173">
        <v>-0.116299999999967</v>
      </c>
      <c r="AD4173">
        <v>-3.7526999999999998E-2</v>
      </c>
      <c r="AE4173">
        <v>-0.60470000000000801</v>
      </c>
      <c r="AF4173">
        <v>-0.45087762630746298</v>
      </c>
      <c r="AG4173">
        <v>-3.7526999999999998E-2</v>
      </c>
      <c r="AH4173">
        <v>0.41604832411312898</v>
      </c>
      <c r="AI4173">
        <v>93.500325989562597</v>
      </c>
      <c r="AJ4173">
        <v>137.300657149084</v>
      </c>
      <c r="AK4173">
        <v>0.61465040277461402</v>
      </c>
      <c r="AL4173">
        <v>66.701767619790402</v>
      </c>
      <c r="AM4173">
        <v>101.80796821836699</v>
      </c>
      <c r="AN4173">
        <v>1.0000000819619399</v>
      </c>
    </row>
    <row r="4174" spans="1:40" x14ac:dyDescent="0.25">
      <c r="A4174" t="str">
        <f>"20190304164728639"</f>
        <v>20190304164728639</v>
      </c>
      <c r="B4174" t="str">
        <f>"1551689248633048"</f>
        <v>1551689248633048</v>
      </c>
      <c r="C4174" t="s">
        <v>40</v>
      </c>
      <c r="D4174">
        <v>3.9894470000000002</v>
      </c>
      <c r="E4174">
        <v>0.33888620000000003</v>
      </c>
      <c r="F4174" t="s">
        <v>41</v>
      </c>
      <c r="G4174">
        <v>-406.99979999999999</v>
      </c>
      <c r="H4174">
        <v>1.070449</v>
      </c>
      <c r="I4174">
        <v>135.13820000000001</v>
      </c>
      <c r="J4174">
        <v>-406.78960000000001</v>
      </c>
      <c r="K4174">
        <v>1.1209119999999999</v>
      </c>
      <c r="L4174">
        <v>135.971</v>
      </c>
      <c r="M4174">
        <v>-0.84310019999999997</v>
      </c>
      <c r="N4174">
        <v>-1.3741430000000001E-2</v>
      </c>
      <c r="O4174">
        <v>-0.53758090000000003</v>
      </c>
      <c r="P4174">
        <v>-0.66682450000000004</v>
      </c>
      <c r="Q4174">
        <v>0.38716830000000002</v>
      </c>
      <c r="R4174">
        <v>-0.63674640000000005</v>
      </c>
      <c r="S4174">
        <v>-1.529968</v>
      </c>
      <c r="T4174">
        <v>-0.16079969999999999</v>
      </c>
      <c r="U4174">
        <v>-3.2315670000000001</v>
      </c>
      <c r="V4174">
        <v>-0.1882336</v>
      </c>
      <c r="W4174">
        <v>0.39501819999999999</v>
      </c>
      <c r="X4174">
        <v>0.89918220000000004</v>
      </c>
      <c r="Y4174">
        <v>-0.53164269999999902</v>
      </c>
      <c r="Z4174">
        <v>2.533474E-3</v>
      </c>
      <c r="AA4174">
        <v>0.84696499999999997</v>
      </c>
      <c r="AB4174">
        <v>32</v>
      </c>
      <c r="AC4174">
        <v>-0.21019999999998601</v>
      </c>
      <c r="AD4174">
        <v>-5.0463000000000098E-2</v>
      </c>
      <c r="AE4174">
        <v>-0.83279999999999099</v>
      </c>
      <c r="AF4174">
        <v>-0.58716321486663803</v>
      </c>
      <c r="AG4174">
        <v>-5.0463000000000098E-2</v>
      </c>
      <c r="AH4174">
        <v>0.62282618725778105</v>
      </c>
      <c r="AI4174">
        <v>93.373946400169103</v>
      </c>
      <c r="AJ4174">
        <v>133.31176502693199</v>
      </c>
      <c r="AK4174">
        <v>0.85744948235775997</v>
      </c>
      <c r="AL4174">
        <v>66.732889556665</v>
      </c>
      <c r="AM4174">
        <v>101.823482956327</v>
      </c>
      <c r="AN4174">
        <v>0.99999994764851796</v>
      </c>
    </row>
    <row r="4175" spans="1:40" x14ac:dyDescent="0.25">
      <c r="A4175" t="str">
        <f>"20190304164728660"</f>
        <v>20190304164728660</v>
      </c>
      <c r="B4175" t="str">
        <f>"1551689248653544"</f>
        <v>1551689248653544</v>
      </c>
      <c r="C4175" t="s">
        <v>40</v>
      </c>
      <c r="D4175">
        <v>4.0724799999999997</v>
      </c>
      <c r="E4175">
        <v>0.33952979999999999</v>
      </c>
      <c r="F4175" t="s">
        <v>41</v>
      </c>
      <c r="G4175">
        <v>-407.23899999999998</v>
      </c>
      <c r="H4175">
        <v>1.0716270000000001</v>
      </c>
      <c r="I4175">
        <v>134.99160000000001</v>
      </c>
      <c r="J4175">
        <v>-407.03739999999999</v>
      </c>
      <c r="K4175">
        <v>1.120911</v>
      </c>
      <c r="L4175">
        <v>135.80029999999999</v>
      </c>
      <c r="M4175">
        <v>-0.83687780000000001</v>
      </c>
      <c r="N4175">
        <v>-1.3555350000000001E-2</v>
      </c>
      <c r="O4175">
        <v>-0.54722209999999905</v>
      </c>
      <c r="P4175">
        <v>-0.65923830000000005</v>
      </c>
      <c r="Q4175">
        <v>0.38699499999999998</v>
      </c>
      <c r="R4175">
        <v>-0.64470139999999998</v>
      </c>
      <c r="S4175">
        <v>-1.490356</v>
      </c>
      <c r="T4175">
        <v>-0.163487299999999</v>
      </c>
      <c r="U4175">
        <v>-3.2501679999999999</v>
      </c>
      <c r="V4175">
        <v>-0.1886678</v>
      </c>
      <c r="W4175">
        <v>0.39465549999999999</v>
      </c>
      <c r="X4175">
        <v>0.89925049999999995</v>
      </c>
      <c r="Y4175">
        <v>-0.53229169999999904</v>
      </c>
      <c r="Z4175">
        <v>3.2951090000000001E-3</v>
      </c>
      <c r="AA4175">
        <v>0.84655460000000005</v>
      </c>
      <c r="AB4175">
        <v>32</v>
      </c>
      <c r="AC4175">
        <v>-0.201600000000041</v>
      </c>
      <c r="AD4175">
        <v>-4.92839999999998E-2</v>
      </c>
      <c r="AE4175">
        <v>-0.80869999999998698</v>
      </c>
      <c r="AF4175">
        <v>-0.564541080334379</v>
      </c>
      <c r="AG4175">
        <v>-4.92839999999998E-2</v>
      </c>
      <c r="AH4175">
        <v>0.60917908226047801</v>
      </c>
      <c r="AI4175">
        <v>93.395910234155906</v>
      </c>
      <c r="AJ4175">
        <v>132.82202163663499</v>
      </c>
      <c r="AK4175">
        <v>0.83200642924488699</v>
      </c>
      <c r="AL4175">
        <v>66.755509345762604</v>
      </c>
      <c r="AM4175">
        <v>101.849111423876</v>
      </c>
      <c r="AN4175">
        <v>0.99999998209366903</v>
      </c>
    </row>
    <row r="4176" spans="1:40" x14ac:dyDescent="0.25">
      <c r="A4176" t="str">
        <f>"20190304164728685"</f>
        <v>20190304164728685</v>
      </c>
      <c r="B4176" t="str">
        <f>"1551689248673064"</f>
        <v>1551689248673064</v>
      </c>
      <c r="C4176" t="s">
        <v>40</v>
      </c>
      <c r="D4176">
        <v>4.0688820000000003</v>
      </c>
      <c r="E4176">
        <v>0.34010210000000002</v>
      </c>
      <c r="F4176" t="s">
        <v>41</v>
      </c>
      <c r="G4176">
        <v>-407.46809999999999</v>
      </c>
      <c r="H4176">
        <v>1.0708719999999901</v>
      </c>
      <c r="I4176">
        <v>134.83359999999999</v>
      </c>
      <c r="J4176">
        <v>-407.32040000000001</v>
      </c>
      <c r="K4176">
        <v>1.1209150000000001</v>
      </c>
      <c r="L4176">
        <v>135.6003</v>
      </c>
      <c r="M4176">
        <v>-0.82956770000000002</v>
      </c>
      <c r="N4176">
        <v>-1.333996E-2</v>
      </c>
      <c r="O4176">
        <v>-0.55824669999999998</v>
      </c>
      <c r="P4176">
        <v>-0.64944639999999998</v>
      </c>
      <c r="Q4176">
        <v>0.38734600000000002</v>
      </c>
      <c r="R4176">
        <v>-0.65435619999999906</v>
      </c>
      <c r="S4176">
        <v>-1.4558409999999999</v>
      </c>
      <c r="T4176">
        <v>-0.16909959999999999</v>
      </c>
      <c r="U4176">
        <v>-3.266159</v>
      </c>
      <c r="V4176">
        <v>-0.1901928</v>
      </c>
      <c r="W4176">
        <v>0.3947563</v>
      </c>
      <c r="X4176">
        <v>0.89888500000000005</v>
      </c>
      <c r="Y4176">
        <v>-0.53009790000000001</v>
      </c>
      <c r="Z4176">
        <v>4.5153390000000002E-3</v>
      </c>
      <c r="AA4176">
        <v>0.84792440000000002</v>
      </c>
      <c r="AB4176">
        <v>32</v>
      </c>
      <c r="AC4176">
        <v>-0.14769999999998601</v>
      </c>
      <c r="AD4176">
        <v>-5.0042999999999997E-2</v>
      </c>
      <c r="AE4176">
        <v>-0.76670000000001404</v>
      </c>
      <c r="AF4176">
        <v>-0.55136092221938904</v>
      </c>
      <c r="AG4176">
        <v>-5.0042999999999997E-2</v>
      </c>
      <c r="AH4176">
        <v>0.54833147198094501</v>
      </c>
      <c r="AI4176">
        <v>93.682218956792497</v>
      </c>
      <c r="AJ4176">
        <v>135.15783893272101</v>
      </c>
      <c r="AK4176">
        <v>0.77921150630904101</v>
      </c>
      <c r="AL4176">
        <v>66.749225008777898</v>
      </c>
      <c r="AM4176">
        <v>101.946864687607</v>
      </c>
      <c r="AN4176">
        <v>1.0000000403932601</v>
      </c>
    </row>
    <row r="4177" spans="1:40" x14ac:dyDescent="0.25">
      <c r="A4177" t="str">
        <f>"20190304164728709"</f>
        <v>20190304164728709</v>
      </c>
      <c r="B4177" t="str">
        <f>"1551689248703320"</f>
        <v>1551689248703320</v>
      </c>
      <c r="C4177" t="s">
        <v>40</v>
      </c>
      <c r="D4177">
        <v>4.0703950000000004</v>
      </c>
      <c r="E4177">
        <v>0.34099669999999999</v>
      </c>
      <c r="F4177" t="s">
        <v>41</v>
      </c>
      <c r="G4177">
        <v>-407.71230000000003</v>
      </c>
      <c r="H4177">
        <v>1.0727260000000001</v>
      </c>
      <c r="I4177">
        <v>134.68870000000001</v>
      </c>
      <c r="J4177">
        <v>-407.58359999999999</v>
      </c>
      <c r="K4177">
        <v>1.120911</v>
      </c>
      <c r="L4177">
        <v>135.4093</v>
      </c>
      <c r="M4177">
        <v>-0.82257569999999902</v>
      </c>
      <c r="N4177">
        <v>-1.3137279999999999E-2</v>
      </c>
      <c r="O4177">
        <v>-0.56850400000000001</v>
      </c>
      <c r="P4177">
        <v>-0.64026530000000004</v>
      </c>
      <c r="Q4177">
        <v>0.38788159999999999</v>
      </c>
      <c r="R4177">
        <v>-0.66302939999999999</v>
      </c>
      <c r="S4177">
        <v>-1.412323</v>
      </c>
      <c r="T4177">
        <v>-0.17365810000000001</v>
      </c>
      <c r="U4177">
        <v>-3.2857210000000001</v>
      </c>
      <c r="V4177">
        <v>-0.19134209999999999</v>
      </c>
      <c r="W4177">
        <v>0.39506380000000002</v>
      </c>
      <c r="X4177">
        <v>0.89850589999999997</v>
      </c>
      <c r="Y4177">
        <v>-0.53088340000000001</v>
      </c>
      <c r="Z4177">
        <v>5.5436510000000001E-3</v>
      </c>
      <c r="AA4177">
        <v>0.84742669999999998</v>
      </c>
      <c r="AB4177">
        <v>32</v>
      </c>
      <c r="AC4177">
        <v>-0.12870000000003701</v>
      </c>
      <c r="AD4177">
        <v>-4.8184999999999902E-2</v>
      </c>
      <c r="AE4177">
        <v>-0.72059999999999003</v>
      </c>
      <c r="AF4177">
        <v>-0.51738450689011894</v>
      </c>
      <c r="AG4177">
        <v>-4.8184999999999902E-2</v>
      </c>
      <c r="AH4177">
        <v>0.51334953181630605</v>
      </c>
      <c r="AI4177">
        <v>93.782404878367601</v>
      </c>
      <c r="AJ4177">
        <v>135.22429244844099</v>
      </c>
      <c r="AK4177">
        <v>0.73043566726369002</v>
      </c>
      <c r="AL4177">
        <v>66.730047547173299</v>
      </c>
      <c r="AM4177">
        <v>102.02188757680899</v>
      </c>
      <c r="AN4177">
        <v>1.00000002881882</v>
      </c>
    </row>
    <row r="4178" spans="1:40" x14ac:dyDescent="0.25">
      <c r="A4178" t="str">
        <f>"20190304164728732"</f>
        <v>20190304164728732</v>
      </c>
      <c r="B4178" t="str">
        <f>"1551689248722840"</f>
        <v>1551689248722840</v>
      </c>
      <c r="C4178" t="s">
        <v>40</v>
      </c>
      <c r="D4178">
        <v>4.0729610000000003</v>
      </c>
      <c r="E4178">
        <v>0.35212549999999998</v>
      </c>
      <c r="F4178" t="s">
        <v>41</v>
      </c>
      <c r="G4178">
        <v>-407.94880000000001</v>
      </c>
      <c r="H4178">
        <v>1.0727009999999999</v>
      </c>
      <c r="I4178">
        <v>134.53469999999999</v>
      </c>
      <c r="J4178">
        <v>-407.85840000000002</v>
      </c>
      <c r="K4178">
        <v>1.120906</v>
      </c>
      <c r="L4178">
        <v>135.2047</v>
      </c>
      <c r="M4178">
        <v>-0.81507810000000003</v>
      </c>
      <c r="N4178">
        <v>-1.292401E-2</v>
      </c>
      <c r="O4178">
        <v>-0.57920680000000002</v>
      </c>
      <c r="P4178">
        <v>-0.63100049999999996</v>
      </c>
      <c r="Q4178">
        <v>0.38738289999999997</v>
      </c>
      <c r="R4178">
        <v>-0.67214030000000002</v>
      </c>
      <c r="S4178">
        <v>-1.3781429999999999</v>
      </c>
      <c r="T4178">
        <v>-0.18193980000000001</v>
      </c>
      <c r="U4178">
        <v>-3.300278</v>
      </c>
      <c r="V4178">
        <v>-0.19231680000000001</v>
      </c>
      <c r="W4178">
        <v>0.39433829999999997</v>
      </c>
      <c r="X4178">
        <v>0.89861650000000004</v>
      </c>
      <c r="Y4178">
        <v>-0.52860739999999995</v>
      </c>
      <c r="Z4178">
        <v>7.1013839999999996E-3</v>
      </c>
      <c r="AA4178">
        <v>0.8488367</v>
      </c>
      <c r="AB4178">
        <v>32</v>
      </c>
      <c r="AC4178">
        <v>-9.0399999999988198E-2</v>
      </c>
      <c r="AD4178">
        <v>-4.8204999999999797E-2</v>
      </c>
      <c r="AE4178">
        <v>-0.67000000000001503</v>
      </c>
      <c r="AF4178">
        <v>-0.491285646870526</v>
      </c>
      <c r="AG4178">
        <v>-4.8204999999999797E-2</v>
      </c>
      <c r="AH4178">
        <v>0.45945438436831898</v>
      </c>
      <c r="AI4178">
        <v>94.099046418953293</v>
      </c>
      <c r="AJ4178">
        <v>136.917575717348</v>
      </c>
      <c r="AK4178">
        <v>0.67437648250903803</v>
      </c>
      <c r="AL4178">
        <v>66.775288825032703</v>
      </c>
      <c r="AM4178">
        <v>102.07988922480899</v>
      </c>
      <c r="AN4178">
        <v>1.00000003024068</v>
      </c>
    </row>
    <row r="4179" spans="1:40" x14ac:dyDescent="0.25">
      <c r="A4179" t="str">
        <f>"20190304164728757"</f>
        <v>20190304164728757</v>
      </c>
      <c r="B4179" t="str">
        <f>"1551689248753096"</f>
        <v>1551689248753096</v>
      </c>
      <c r="C4179" t="s">
        <v>40</v>
      </c>
      <c r="D4179">
        <v>4.0694970000000001</v>
      </c>
      <c r="E4179">
        <v>0.35342040000000002</v>
      </c>
      <c r="F4179" t="s">
        <v>41</v>
      </c>
      <c r="G4179">
        <v>-408.20659999999998</v>
      </c>
      <c r="H4179">
        <v>1.0583340000000001</v>
      </c>
      <c r="I4179">
        <v>134.39869999999999</v>
      </c>
      <c r="J4179">
        <v>-408.1352</v>
      </c>
      <c r="K4179">
        <v>1.1209089999999999</v>
      </c>
      <c r="L4179">
        <v>134.99270000000001</v>
      </c>
      <c r="M4179">
        <v>-0.80731379999999997</v>
      </c>
      <c r="N4179">
        <v>-1.270955E-2</v>
      </c>
      <c r="O4179">
        <v>-0.5899858</v>
      </c>
      <c r="P4179">
        <v>-0.62146610000000002</v>
      </c>
      <c r="Q4179">
        <v>0.38697429999999999</v>
      </c>
      <c r="R4179">
        <v>-0.68119819999999998</v>
      </c>
      <c r="S4179">
        <v>-1.4166259999999999</v>
      </c>
      <c r="T4179">
        <v>-0.25460429999999901</v>
      </c>
      <c r="U4179">
        <v>-3.2801819999999999</v>
      </c>
      <c r="V4179">
        <v>-0.19323950000000001</v>
      </c>
      <c r="W4179">
        <v>0.39370369999999999</v>
      </c>
      <c r="X4179">
        <v>0.89869679999999996</v>
      </c>
      <c r="Y4179">
        <v>-0.50680170000000002</v>
      </c>
      <c r="Z4179">
        <v>1.605811E-2</v>
      </c>
      <c r="AA4179">
        <v>0.86191309999999999</v>
      </c>
      <c r="AB4179">
        <v>32</v>
      </c>
      <c r="AC4179">
        <v>-7.1399999999982797E-2</v>
      </c>
      <c r="AD4179">
        <v>-6.2574999999999797E-2</v>
      </c>
      <c r="AE4179">
        <v>-0.59400000000002195</v>
      </c>
      <c r="AF4179">
        <v>-0.43272090296596599</v>
      </c>
      <c r="AG4179">
        <v>-6.2574999999999797E-2</v>
      </c>
      <c r="AH4179">
        <v>0.40371026159580198</v>
      </c>
      <c r="AI4179">
        <v>96.035823173054894</v>
      </c>
      <c r="AJ4179">
        <v>136.98644113573599</v>
      </c>
      <c r="AK4179">
        <v>0.59510081986704699</v>
      </c>
      <c r="AL4179">
        <v>66.814848918917804</v>
      </c>
      <c r="AM4179">
        <v>102.135079901932</v>
      </c>
      <c r="AN4179">
        <v>1.00000002304208</v>
      </c>
    </row>
    <row r="4180" spans="1:40" x14ac:dyDescent="0.25">
      <c r="A4180" t="str">
        <f>"20190304164728795"</f>
        <v>20190304164728795</v>
      </c>
      <c r="B4180" t="str">
        <f>"1551689248783352"</f>
        <v>1551689248783352</v>
      </c>
      <c r="C4180" t="s">
        <v>40</v>
      </c>
      <c r="D4180">
        <v>4.0737880000000004</v>
      </c>
      <c r="E4180">
        <v>0.35389480000000001</v>
      </c>
      <c r="F4180" t="s">
        <v>41</v>
      </c>
      <c r="G4180">
        <v>-408.56009999999998</v>
      </c>
      <c r="H4180">
        <v>1.040708</v>
      </c>
      <c r="I4180">
        <v>133.97649999999999</v>
      </c>
      <c r="J4180">
        <v>-408.5505</v>
      </c>
      <c r="K4180">
        <v>1.1208929999999999</v>
      </c>
      <c r="L4180">
        <v>134.66370000000001</v>
      </c>
      <c r="M4180">
        <v>-0.79526790000000003</v>
      </c>
      <c r="N4180">
        <v>-1.239964E-2</v>
      </c>
      <c r="O4180">
        <v>-0.6061318</v>
      </c>
      <c r="P4180">
        <v>-0.60615410000000003</v>
      </c>
      <c r="Q4180">
        <v>0.38501269999999999</v>
      </c>
      <c r="R4180">
        <v>-0.6959476</v>
      </c>
      <c r="S4180">
        <v>-1.3771359999999999</v>
      </c>
      <c r="T4180">
        <v>-0.25999739999999999</v>
      </c>
      <c r="U4180">
        <v>-3.295242</v>
      </c>
      <c r="V4180">
        <v>-0.19597680000000001</v>
      </c>
      <c r="W4180">
        <v>0.39138630000000002</v>
      </c>
      <c r="X4180">
        <v>0.89911620000000003</v>
      </c>
      <c r="Y4180">
        <v>-0.4996505</v>
      </c>
      <c r="Z4180">
        <v>1.8429540000000001E-2</v>
      </c>
      <c r="AA4180">
        <v>0.866031</v>
      </c>
      <c r="AB4180">
        <v>32</v>
      </c>
      <c r="AC4180">
        <v>-9.5999999999776195E-3</v>
      </c>
      <c r="AD4180">
        <v>-8.0185000000000103E-2</v>
      </c>
      <c r="AE4180">
        <v>-0.68720000000001802</v>
      </c>
      <c r="AF4180">
        <v>-0.53346885923865905</v>
      </c>
      <c r="AG4180">
        <v>-8.0185000000000103E-2</v>
      </c>
      <c r="AH4180">
        <v>0.418503991067047</v>
      </c>
      <c r="AI4180">
        <v>96.744499337871204</v>
      </c>
      <c r="AJ4180">
        <v>141.885970659973</v>
      </c>
      <c r="AK4180">
        <v>0.68276221962074202</v>
      </c>
      <c r="AL4180">
        <v>66.959214439681801</v>
      </c>
      <c r="AM4180">
        <v>102.296214038608</v>
      </c>
      <c r="AN4180">
        <v>1.0000000415341801</v>
      </c>
    </row>
    <row r="4181" spans="1:40" x14ac:dyDescent="0.25">
      <c r="A4181" t="str">
        <f>"20190304164728818"</f>
        <v>20190304164728818</v>
      </c>
      <c r="B4181" t="str">
        <f>"1551689248813608"</f>
        <v>1551689248813608</v>
      </c>
      <c r="C4181" t="s">
        <v>40</v>
      </c>
      <c r="D4181">
        <v>4.0862369999999997</v>
      </c>
      <c r="E4181">
        <v>0.35416009999999998</v>
      </c>
      <c r="F4181" t="s">
        <v>41</v>
      </c>
      <c r="G4181">
        <v>-408.96769999999998</v>
      </c>
      <c r="H4181">
        <v>1.034605</v>
      </c>
      <c r="I4181">
        <v>133.6011</v>
      </c>
      <c r="J4181">
        <v>-408.80220000000003</v>
      </c>
      <c r="K4181">
        <v>1.1208769999999999</v>
      </c>
      <c r="L4181">
        <v>134.45740000000001</v>
      </c>
      <c r="M4181">
        <v>-0.78772690000000001</v>
      </c>
      <c r="N4181">
        <v>-1.2220399999999999E-2</v>
      </c>
      <c r="O4181">
        <v>-0.61590369999999905</v>
      </c>
      <c r="P4181">
        <v>-0.59752899999999998</v>
      </c>
      <c r="Q4181">
        <v>0.38367800000000002</v>
      </c>
      <c r="R4181">
        <v>-0.70409600000000006</v>
      </c>
      <c r="S4181">
        <v>-1.3047789999999999</v>
      </c>
      <c r="T4181">
        <v>-0.26989170000000001</v>
      </c>
      <c r="U4181">
        <v>-3.3235779999999999</v>
      </c>
      <c r="V4181">
        <v>-0.19650919999999999</v>
      </c>
      <c r="W4181">
        <v>0.38987680000000002</v>
      </c>
      <c r="X4181">
        <v>0.8996556</v>
      </c>
      <c r="Y4181">
        <v>-0.50776650000000001</v>
      </c>
      <c r="Z4181">
        <v>2.011483E-2</v>
      </c>
      <c r="AA4181">
        <v>0.86125989999999997</v>
      </c>
      <c r="AB4181">
        <v>32</v>
      </c>
      <c r="AC4181">
        <v>-0.16549999999995099</v>
      </c>
      <c r="AD4181">
        <v>-8.6272000000000099E-2</v>
      </c>
      <c r="AE4181">
        <v>-0.85630000000000395</v>
      </c>
      <c r="AF4181">
        <v>-0.56709214123002205</v>
      </c>
      <c r="AG4181">
        <v>-8.6272000000000099E-2</v>
      </c>
      <c r="AH4181">
        <v>0.65144178276493803</v>
      </c>
      <c r="AI4181">
        <v>95.704185962033804</v>
      </c>
      <c r="AJ4181">
        <v>131.04017481782401</v>
      </c>
      <c r="AK4181">
        <v>0.86799352011453001</v>
      </c>
      <c r="AL4181">
        <v>67.053166043455604</v>
      </c>
      <c r="AM4181">
        <v>102.321432352011</v>
      </c>
      <c r="AN4181">
        <v>0.99999999173711995</v>
      </c>
    </row>
    <row r="4182" spans="1:40" x14ac:dyDescent="0.25">
      <c r="A4182" t="str">
        <f>"20190304164728840"</f>
        <v>20190304164728840</v>
      </c>
      <c r="B4182" t="str">
        <f>"1551689248833128"</f>
        <v>1551689248833128</v>
      </c>
      <c r="C4182" t="s">
        <v>40</v>
      </c>
      <c r="D4182">
        <v>4.0996030000000001</v>
      </c>
      <c r="E4182">
        <v>0.35925990000000002</v>
      </c>
      <c r="F4182" t="s">
        <v>41</v>
      </c>
      <c r="G4182">
        <v>-409.1918</v>
      </c>
      <c r="H4182">
        <v>1.0357559999999999</v>
      </c>
      <c r="I4182">
        <v>133.4289</v>
      </c>
      <c r="J4182">
        <v>-409.06490000000002</v>
      </c>
      <c r="K4182">
        <v>1.1208640000000001</v>
      </c>
      <c r="L4182">
        <v>134.23650000000001</v>
      </c>
      <c r="M4182">
        <v>-0.77966389999999997</v>
      </c>
      <c r="N4182">
        <v>-1.2040210000000001E-2</v>
      </c>
      <c r="O4182">
        <v>-0.62608269999999899</v>
      </c>
      <c r="P4182">
        <v>-0.58876649999999997</v>
      </c>
      <c r="Q4182">
        <v>0.38321260000000001</v>
      </c>
      <c r="R4182">
        <v>-0.71169019999999905</v>
      </c>
      <c r="S4182">
        <v>-1.264313</v>
      </c>
      <c r="T4182">
        <v>-0.27629969999999998</v>
      </c>
      <c r="U4182">
        <v>-3.3383940000000001</v>
      </c>
      <c r="V4182">
        <v>-0.1961533</v>
      </c>
      <c r="W4182">
        <v>0.38925539999999997</v>
      </c>
      <c r="X4182">
        <v>0.90000230000000003</v>
      </c>
      <c r="Y4182">
        <v>-0.50698849999999995</v>
      </c>
      <c r="Z4182">
        <v>2.1880529999999999E-2</v>
      </c>
      <c r="AA4182">
        <v>0.86167510000000003</v>
      </c>
      <c r="AB4182">
        <v>32</v>
      </c>
      <c r="AC4182">
        <v>-0.126899999999977</v>
      </c>
      <c r="AD4182">
        <v>-8.5107999999999906E-2</v>
      </c>
      <c r="AE4182">
        <v>-0.80760000000000698</v>
      </c>
      <c r="AF4182">
        <v>-0.54434675524494602</v>
      </c>
      <c r="AG4182">
        <v>-8.5107999999999906E-2</v>
      </c>
      <c r="AH4182">
        <v>0.59812489769462995</v>
      </c>
      <c r="AI4182">
        <v>96.007398392601104</v>
      </c>
      <c r="AJ4182">
        <v>132.304976593796</v>
      </c>
      <c r="AK4182">
        <v>0.81320978526571697</v>
      </c>
      <c r="AL4182">
        <v>67.091824135835196</v>
      </c>
      <c r="AM4182">
        <v>102.295202765163</v>
      </c>
      <c r="AN4182">
        <v>1.0000000117676699</v>
      </c>
    </row>
    <row r="4183" spans="1:40" x14ac:dyDescent="0.25">
      <c r="A4183" t="str">
        <f>"20190304164728861"</f>
        <v>20190304164728861</v>
      </c>
      <c r="B4183" t="str">
        <f>"1551689248853624"</f>
        <v>1551689248853624</v>
      </c>
      <c r="C4183" t="s">
        <v>40</v>
      </c>
      <c r="D4183">
        <v>4.1114540000000002</v>
      </c>
      <c r="E4183">
        <v>0.35963850000000003</v>
      </c>
      <c r="F4183" t="s">
        <v>41</v>
      </c>
      <c r="G4183">
        <v>-409.43099999999998</v>
      </c>
      <c r="H4183">
        <v>1.0334939999999999</v>
      </c>
      <c r="I4183">
        <v>133.26730000000001</v>
      </c>
      <c r="J4183">
        <v>-409.28230000000002</v>
      </c>
      <c r="K4183">
        <v>1.1208469999999999</v>
      </c>
      <c r="L4183">
        <v>134.04949999999999</v>
      </c>
      <c r="M4183">
        <v>-0.77283630000000003</v>
      </c>
      <c r="N4183">
        <v>-1.189141E-2</v>
      </c>
      <c r="O4183">
        <v>-0.63449390000000006</v>
      </c>
      <c r="P4183">
        <v>-0.5815167</v>
      </c>
      <c r="Q4183">
        <v>0.38336219999999999</v>
      </c>
      <c r="R4183">
        <v>-0.71754549999999995</v>
      </c>
      <c r="S4183">
        <v>-1.2594299999999901</v>
      </c>
      <c r="T4183">
        <v>-0.30059330000000001</v>
      </c>
      <c r="U4183">
        <v>-3.3352970000000002</v>
      </c>
      <c r="V4183">
        <v>-0.19547639999999999</v>
      </c>
      <c r="W4183">
        <v>0.38928479999999999</v>
      </c>
      <c r="X4183">
        <v>0.90013679999999996</v>
      </c>
      <c r="Y4183">
        <v>-0.49847789999999997</v>
      </c>
      <c r="Z4183">
        <v>2.6027140000000001E-2</v>
      </c>
      <c r="AA4183">
        <v>0.86651160000000005</v>
      </c>
      <c r="AB4183">
        <v>32</v>
      </c>
      <c r="AC4183">
        <v>-0.148699999999962</v>
      </c>
      <c r="AD4183">
        <v>-8.7352999999999695E-2</v>
      </c>
      <c r="AE4183">
        <v>-0.78219999999998802</v>
      </c>
      <c r="AF4183">
        <v>-0.50413142226261698</v>
      </c>
      <c r="AG4183">
        <v>-8.7352999999999695E-2</v>
      </c>
      <c r="AH4183">
        <v>0.603995137051482</v>
      </c>
      <c r="AI4183">
        <v>96.335697689548795</v>
      </c>
      <c r="AJ4183">
        <v>129.85044864102099</v>
      </c>
      <c r="AK4183">
        <v>0.79157385195783703</v>
      </c>
      <c r="AL4183">
        <v>67.089994350098607</v>
      </c>
      <c r="AM4183">
        <v>102.252282072646</v>
      </c>
      <c r="AN4183">
        <v>0.99999996859111895</v>
      </c>
    </row>
    <row r="4184" spans="1:40" x14ac:dyDescent="0.25">
      <c r="A4184" t="str">
        <f>"20190304164728884"</f>
        <v>20190304164728884</v>
      </c>
      <c r="B4184" t="str">
        <f>"1551689248873144"</f>
        <v>1551689248873144</v>
      </c>
      <c r="C4184" t="s">
        <v>40</v>
      </c>
      <c r="D4184">
        <v>4.1257469999999996</v>
      </c>
      <c r="E4184">
        <v>0.3607358</v>
      </c>
      <c r="F4184" t="s">
        <v>41</v>
      </c>
      <c r="G4184">
        <v>-409.63819999999998</v>
      </c>
      <c r="H4184">
        <v>1.03349</v>
      </c>
      <c r="I4184">
        <v>133.07830000000001</v>
      </c>
      <c r="J4184">
        <v>-409.52</v>
      </c>
      <c r="K4184">
        <v>1.120838</v>
      </c>
      <c r="L4184">
        <v>133.84030000000001</v>
      </c>
      <c r="M4184">
        <v>-0.76520849999999996</v>
      </c>
      <c r="N4184">
        <v>-1.172629E-2</v>
      </c>
      <c r="O4184">
        <v>-0.64367589999999997</v>
      </c>
      <c r="P4184">
        <v>-0.57342299999999902</v>
      </c>
      <c r="Q4184">
        <v>0.38377650000000002</v>
      </c>
      <c r="R4184">
        <v>-0.72381070000000003</v>
      </c>
      <c r="S4184">
        <v>-1.226837</v>
      </c>
      <c r="T4184">
        <v>-0.3011086</v>
      </c>
      <c r="U4184">
        <v>-3.347534</v>
      </c>
      <c r="V4184">
        <v>-0.1946843</v>
      </c>
      <c r="W4184">
        <v>0.38956540000000001</v>
      </c>
      <c r="X4184">
        <v>0.90018709999999902</v>
      </c>
      <c r="Y4184">
        <v>-0.4966179</v>
      </c>
      <c r="Z4184">
        <v>2.7171529999999999E-2</v>
      </c>
      <c r="AA4184">
        <v>0.86754390000000003</v>
      </c>
      <c r="AB4184">
        <v>32</v>
      </c>
      <c r="AC4184">
        <v>-0.118200000000001</v>
      </c>
      <c r="AD4184">
        <v>-8.7347999999999898E-2</v>
      </c>
      <c r="AE4184">
        <v>-0.76200000000000001</v>
      </c>
      <c r="AF4184">
        <v>-0.50061762829824696</v>
      </c>
      <c r="AG4184">
        <v>-8.7347999999999898E-2</v>
      </c>
      <c r="AH4184">
        <v>0.57360843273542605</v>
      </c>
      <c r="AI4184">
        <v>96.544854164311204</v>
      </c>
      <c r="AJ4184">
        <v>131.11287886033901</v>
      </c>
      <c r="AK4184">
        <v>0.76633825232214203</v>
      </c>
      <c r="AL4184">
        <v>67.072539883522197</v>
      </c>
      <c r="AM4184">
        <v>102.203463475823</v>
      </c>
      <c r="AN4184">
        <v>0.999999996275029</v>
      </c>
    </row>
    <row r="4185" spans="1:40" x14ac:dyDescent="0.25">
      <c r="A4185" t="str">
        <f>"20190304164728910"</f>
        <v>20190304164728910</v>
      </c>
      <c r="B4185" t="str">
        <f>"1551689248903577"</f>
        <v>1551689248903577</v>
      </c>
      <c r="C4185" t="s">
        <v>40</v>
      </c>
      <c r="D4185">
        <v>4.1285020000000001</v>
      </c>
      <c r="E4185">
        <v>0.36133559999999998</v>
      </c>
      <c r="F4185" t="s">
        <v>41</v>
      </c>
      <c r="G4185">
        <v>-409.85680000000002</v>
      </c>
      <c r="H4185">
        <v>1.035871</v>
      </c>
      <c r="I4185">
        <v>132.89670000000001</v>
      </c>
      <c r="J4185">
        <v>-409.80250000000001</v>
      </c>
      <c r="K4185">
        <v>1.1208260000000001</v>
      </c>
      <c r="L4185">
        <v>133.58529999999999</v>
      </c>
      <c r="M4185">
        <v>-0.7559226</v>
      </c>
      <c r="N4185">
        <v>-1.153349E-2</v>
      </c>
      <c r="O4185">
        <v>-0.65455969999999997</v>
      </c>
      <c r="P4185">
        <v>-0.56371930000000003</v>
      </c>
      <c r="Q4185">
        <v>0.38428899999999999</v>
      </c>
      <c r="R4185">
        <v>-0.73112440000000001</v>
      </c>
      <c r="S4185">
        <v>-1.197235</v>
      </c>
      <c r="T4185">
        <v>-0.30220380000000002</v>
      </c>
      <c r="U4185">
        <v>-3.3565059999999902</v>
      </c>
      <c r="V4185">
        <v>-0.1936232</v>
      </c>
      <c r="W4185">
        <v>0.38992549999999998</v>
      </c>
      <c r="X4185">
        <v>0.90025999999999995</v>
      </c>
      <c r="Y4185">
        <v>-0.49174980000000001</v>
      </c>
      <c r="Z4185">
        <v>2.8735409999999999E-2</v>
      </c>
      <c r="AA4185">
        <v>0.87026229999999904</v>
      </c>
      <c r="AB4185">
        <v>32</v>
      </c>
      <c r="AC4185">
        <v>-5.4300000000011998E-2</v>
      </c>
      <c r="AD4185">
        <v>-8.49550000000001E-2</v>
      </c>
      <c r="AE4185">
        <v>-0.68859999999997901</v>
      </c>
      <c r="AF4185">
        <v>-0.47779035777582202</v>
      </c>
      <c r="AG4185">
        <v>-8.49550000000001E-2</v>
      </c>
      <c r="AH4185">
        <v>0.484480305492339</v>
      </c>
      <c r="AI4185">
        <v>97.116678190509305</v>
      </c>
      <c r="AJ4185">
        <v>134.60167174518699</v>
      </c>
      <c r="AK4185">
        <v>0.685727456369146</v>
      </c>
      <c r="AL4185">
        <v>67.050134994498904</v>
      </c>
      <c r="AM4185">
        <v>102.13797407766801</v>
      </c>
      <c r="AN4185">
        <v>0.99999995336424397</v>
      </c>
    </row>
    <row r="4186" spans="1:40" x14ac:dyDescent="0.25">
      <c r="A4186" t="str">
        <f>"20190304164728932"</f>
        <v>20190304164728932</v>
      </c>
      <c r="B4186" t="str">
        <f>"1551689248923097"</f>
        <v>1551689248923097</v>
      </c>
      <c r="C4186" t="s">
        <v>40</v>
      </c>
      <c r="D4186">
        <v>4.1386209999999997</v>
      </c>
      <c r="E4186">
        <v>0.36123450000000001</v>
      </c>
      <c r="F4186" t="s">
        <v>41</v>
      </c>
      <c r="G4186">
        <v>-410.09589999999997</v>
      </c>
      <c r="H4186">
        <v>1.045153</v>
      </c>
      <c r="I4186">
        <v>132.72909999999999</v>
      </c>
      <c r="J4186">
        <v>-410.03609999999998</v>
      </c>
      <c r="K4186">
        <v>1.120808</v>
      </c>
      <c r="L4186">
        <v>133.369</v>
      </c>
      <c r="M4186">
        <v>-0.74805299999999997</v>
      </c>
      <c r="N4186">
        <v>-1.138133E-2</v>
      </c>
      <c r="O4186">
        <v>-0.66354159999999995</v>
      </c>
      <c r="P4186">
        <v>-0.55524629999999997</v>
      </c>
      <c r="Q4186">
        <v>0.38412629999999998</v>
      </c>
      <c r="R4186">
        <v>-0.73766469999999995</v>
      </c>
      <c r="S4186">
        <v>-1.1545099999999999</v>
      </c>
      <c r="T4186">
        <v>-0.29780279999999998</v>
      </c>
      <c r="U4186">
        <v>-3.3695979999999999</v>
      </c>
      <c r="V4186">
        <v>-0.1933241</v>
      </c>
      <c r="W4186">
        <v>0.38962910000000001</v>
      </c>
      <c r="X4186">
        <v>0.90045259999999905</v>
      </c>
      <c r="Y4186">
        <v>-0.49228129999999998</v>
      </c>
      <c r="Z4186">
        <v>2.914369E-2</v>
      </c>
      <c r="AA4186">
        <v>0.8699481</v>
      </c>
      <c r="AB4186">
        <v>32</v>
      </c>
      <c r="AC4186">
        <v>-5.97999999999956E-2</v>
      </c>
      <c r="AD4186">
        <v>-7.5655E-2</v>
      </c>
      <c r="AE4186">
        <v>-0.63990000000001102</v>
      </c>
      <c r="AF4186">
        <v>-0.43302716788367301</v>
      </c>
      <c r="AG4186">
        <v>-7.5655E-2</v>
      </c>
      <c r="AH4186">
        <v>0.46294900855008803</v>
      </c>
      <c r="AI4186">
        <v>96.805928208474299</v>
      </c>
      <c r="AJ4186">
        <v>133.087272504054</v>
      </c>
      <c r="AK4186">
        <v>0.638402687704135</v>
      </c>
      <c r="AL4186">
        <v>67.068576236157</v>
      </c>
      <c r="AM4186">
        <v>102.117262936009</v>
      </c>
      <c r="AN4186">
        <v>0.99999996402718905</v>
      </c>
    </row>
    <row r="4187" spans="1:40" x14ac:dyDescent="0.25">
      <c r="A4187" t="str">
        <f>"20190304164728959"</f>
        <v>20190304164728959</v>
      </c>
      <c r="B4187" t="str">
        <f>"1551689248953353"</f>
        <v>1551689248953353</v>
      </c>
      <c r="C4187" t="s">
        <v>40</v>
      </c>
      <c r="D4187">
        <v>4.1661029999999997</v>
      </c>
      <c r="E4187">
        <v>0.36105710000000002</v>
      </c>
      <c r="F4187" t="s">
        <v>41</v>
      </c>
      <c r="G4187">
        <v>-410.30869999999999</v>
      </c>
      <c r="H4187">
        <v>1.0487660000000001</v>
      </c>
      <c r="I4187">
        <v>132.53970000000001</v>
      </c>
      <c r="J4187">
        <v>-410.30829999999997</v>
      </c>
      <c r="K4187">
        <v>1.1208070000000001</v>
      </c>
      <c r="L4187">
        <v>133.10980000000001</v>
      </c>
      <c r="M4187">
        <v>-0.73864110000000005</v>
      </c>
      <c r="N4187">
        <v>-1.121144E-2</v>
      </c>
      <c r="O4187">
        <v>-0.67400569999999904</v>
      </c>
      <c r="P4187">
        <v>-0.54496460000000002</v>
      </c>
      <c r="Q4187">
        <v>0.38460949999999999</v>
      </c>
      <c r="R4187">
        <v>-0.74504300000000001</v>
      </c>
      <c r="S4187">
        <v>-1.111542</v>
      </c>
      <c r="T4187">
        <v>-0.29384460000000001</v>
      </c>
      <c r="U4187">
        <v>-3.3832399999999998</v>
      </c>
      <c r="V4187">
        <v>-0.19297449999999999</v>
      </c>
      <c r="W4187">
        <v>0.38995980000000002</v>
      </c>
      <c r="X4187">
        <v>0.90038449999999903</v>
      </c>
      <c r="Y4187">
        <v>-0.4910698</v>
      </c>
      <c r="Z4187">
        <v>2.980886E-2</v>
      </c>
      <c r="AA4187">
        <v>0.87061010000000005</v>
      </c>
      <c r="AB4187">
        <v>33</v>
      </c>
      <c r="AC4187">
        <v>-4.0000000001327803E-4</v>
      </c>
      <c r="AD4187">
        <v>-7.20409999999998E-2</v>
      </c>
      <c r="AE4187">
        <v>-0.57009999999999605</v>
      </c>
      <c r="AF4187">
        <v>-0.41424142000151498</v>
      </c>
      <c r="AG4187">
        <v>-7.20409999999998E-2</v>
      </c>
      <c r="AH4187">
        <v>0.37852587219432698</v>
      </c>
      <c r="AI4187">
        <v>97.315805779863098</v>
      </c>
      <c r="AJ4187">
        <v>137.57953045157899</v>
      </c>
      <c r="AK4187">
        <v>0.56574525684829902</v>
      </c>
      <c r="AL4187">
        <v>67.048002556470095</v>
      </c>
      <c r="AM4187">
        <v>102.096884324589</v>
      </c>
      <c r="AN4187">
        <v>1.00000002555326</v>
      </c>
    </row>
    <row r="4188" spans="1:40" x14ac:dyDescent="0.25">
      <c r="A4188" t="str">
        <f>"20190304164728980"</f>
        <v>20190304164728980</v>
      </c>
      <c r="B4188" t="str">
        <f>"1551689248972872"</f>
        <v>1551689248972872</v>
      </c>
      <c r="C4188" t="s">
        <v>40</v>
      </c>
      <c r="D4188">
        <v>4.1301889999999997</v>
      </c>
      <c r="E4188">
        <v>0.36092669999999999</v>
      </c>
      <c r="F4188" t="s">
        <v>41</v>
      </c>
      <c r="G4188">
        <v>-410.62939999999998</v>
      </c>
      <c r="H4188">
        <v>1.0332479999999999</v>
      </c>
      <c r="I4188">
        <v>132.0829</v>
      </c>
      <c r="J4188">
        <v>-410.52760000000001</v>
      </c>
      <c r="K4188">
        <v>1.1208119999999999</v>
      </c>
      <c r="L4188">
        <v>132.89580000000001</v>
      </c>
      <c r="M4188">
        <v>-0.73087880000000005</v>
      </c>
      <c r="N4188">
        <v>-1.1083239999999999E-2</v>
      </c>
      <c r="O4188">
        <v>-0.68241739999999995</v>
      </c>
      <c r="P4188">
        <v>-0.53654069999999898</v>
      </c>
      <c r="Q4188">
        <v>0.3854805</v>
      </c>
      <c r="R4188">
        <v>-0.75068570000000001</v>
      </c>
      <c r="S4188">
        <v>-1.062408</v>
      </c>
      <c r="T4188">
        <v>-0.2897807</v>
      </c>
      <c r="U4188">
        <v>-3.399124</v>
      </c>
      <c r="V4188">
        <v>-0.19251450000000001</v>
      </c>
      <c r="W4188">
        <v>0.39071699999999998</v>
      </c>
      <c r="X4188">
        <v>0.90015469999999898</v>
      </c>
      <c r="Y4188">
        <v>-0.49373430000000001</v>
      </c>
      <c r="Z4188">
        <v>3.0040910000000001E-2</v>
      </c>
      <c r="AA4188">
        <v>0.86909380000000003</v>
      </c>
      <c r="AB4188">
        <v>33</v>
      </c>
      <c r="AC4188">
        <v>-0.101799999999968</v>
      </c>
      <c r="AD4188">
        <v>-8.7564000000000197E-2</v>
      </c>
      <c r="AE4188">
        <v>-0.81290000000001295</v>
      </c>
      <c r="AF4188">
        <v>-0.51876706452481003</v>
      </c>
      <c r="AG4188">
        <v>-8.7564000000000197E-2</v>
      </c>
      <c r="AH4188">
        <v>0.62207259037320894</v>
      </c>
      <c r="AI4188">
        <v>96.169955634108405</v>
      </c>
      <c r="AJ4188">
        <v>129.825853212265</v>
      </c>
      <c r="AK4188">
        <v>0.814715305505747</v>
      </c>
      <c r="AL4188">
        <v>67.000880512183301</v>
      </c>
      <c r="AM4188">
        <v>102.071885646184</v>
      </c>
      <c r="AN4188">
        <v>1.0000000453656599</v>
      </c>
    </row>
    <row r="4189" spans="1:40" x14ac:dyDescent="0.25">
      <c r="A4189" t="str">
        <f>"20190304164729001"</f>
        <v>20190304164729001</v>
      </c>
      <c r="B4189" t="str">
        <f>"1551689248993368"</f>
        <v>1551689248993368</v>
      </c>
      <c r="C4189" t="s">
        <v>40</v>
      </c>
      <c r="D4189">
        <v>4.1844150000000004</v>
      </c>
      <c r="E4189">
        <v>0.36088619999999999</v>
      </c>
      <c r="F4189" t="s">
        <v>41</v>
      </c>
      <c r="G4189">
        <v>-410.83139999999997</v>
      </c>
      <c r="H4189">
        <v>1.0358050000000001</v>
      </c>
      <c r="I4189">
        <v>131.88319999999999</v>
      </c>
      <c r="J4189">
        <v>-410.73829999999998</v>
      </c>
      <c r="K4189">
        <v>1.120814</v>
      </c>
      <c r="L4189">
        <v>132.68549999999999</v>
      </c>
      <c r="M4189">
        <v>-0.72325269999999897</v>
      </c>
      <c r="N4189">
        <v>-1.0968759999999999E-2</v>
      </c>
      <c r="O4189">
        <v>-0.69049649999999996</v>
      </c>
      <c r="P4189">
        <v>-0.52861459999999905</v>
      </c>
      <c r="Q4189">
        <v>0.38584489999999999</v>
      </c>
      <c r="R4189">
        <v>-0.7561021</v>
      </c>
      <c r="S4189">
        <v>-1.0237430000000001</v>
      </c>
      <c r="T4189">
        <v>-0.28639389999999998</v>
      </c>
      <c r="U4189">
        <v>-3.411743</v>
      </c>
      <c r="V4189">
        <v>-0.1918686</v>
      </c>
      <c r="W4189">
        <v>0.39098690000000003</v>
      </c>
      <c r="X4189">
        <v>0.90017530000000001</v>
      </c>
      <c r="Y4189">
        <v>-0.4940137</v>
      </c>
      <c r="Z4189">
        <v>3.0401649999999999E-2</v>
      </c>
      <c r="AA4189">
        <v>0.86892250000000004</v>
      </c>
      <c r="AB4189">
        <v>33</v>
      </c>
      <c r="AC4189">
        <v>-9.3099999999992605E-2</v>
      </c>
      <c r="AD4189">
        <v>-8.5009000000000098E-2</v>
      </c>
      <c r="AE4189">
        <v>-0.80230000000000201</v>
      </c>
      <c r="AF4189">
        <v>-0.51035784833162701</v>
      </c>
      <c r="AG4189">
        <v>-8.5009000000000098E-2</v>
      </c>
      <c r="AH4189">
        <v>0.61454972658770601</v>
      </c>
      <c r="AI4189">
        <v>96.074343643918795</v>
      </c>
      <c r="AJ4189">
        <v>129.70821341410601</v>
      </c>
      <c r="AK4189">
        <v>0.80334490095083899</v>
      </c>
      <c r="AL4189">
        <v>66.984077470664701</v>
      </c>
      <c r="AM4189">
        <v>102.032298551662</v>
      </c>
      <c r="AN4189">
        <v>0.99999994318382801</v>
      </c>
    </row>
    <row r="4190" spans="1:40" x14ac:dyDescent="0.25">
      <c r="A4190" t="str">
        <f>"20190304164729019"</f>
        <v>20190304164729019</v>
      </c>
      <c r="B4190" t="str">
        <f>"1551689249012888"</f>
        <v>1551689249012888</v>
      </c>
      <c r="C4190" t="s">
        <v>40</v>
      </c>
      <c r="D4190">
        <v>4.2065890000000001</v>
      </c>
      <c r="E4190">
        <v>0.3609734</v>
      </c>
      <c r="F4190" t="s">
        <v>41</v>
      </c>
      <c r="G4190">
        <v>-411.02890000000002</v>
      </c>
      <c r="H4190">
        <v>1.0369429999999999</v>
      </c>
      <c r="I4190">
        <v>131.679</v>
      </c>
      <c r="J4190">
        <v>-410.92129999999997</v>
      </c>
      <c r="K4190">
        <v>1.120824</v>
      </c>
      <c r="L4190">
        <v>132.4992</v>
      </c>
      <c r="M4190">
        <v>-0.71649659999999904</v>
      </c>
      <c r="N4190">
        <v>-1.0873880000000001E-2</v>
      </c>
      <c r="O4190">
        <v>-0.69750599999999996</v>
      </c>
      <c r="P4190">
        <v>-0.52218580000000003</v>
      </c>
      <c r="Q4190">
        <v>0.38544390000000001</v>
      </c>
      <c r="R4190">
        <v>-0.76075969999999904</v>
      </c>
      <c r="S4190">
        <v>-0.98760990000000004</v>
      </c>
      <c r="T4190">
        <v>-0.28514650000000002</v>
      </c>
      <c r="U4190">
        <v>-3.4227449999999999</v>
      </c>
      <c r="V4190">
        <v>-0.19088050000000001</v>
      </c>
      <c r="W4190">
        <v>0.39052170000000003</v>
      </c>
      <c r="X4190">
        <v>0.90058729999999998</v>
      </c>
      <c r="Y4190">
        <v>-0.4947743</v>
      </c>
      <c r="Z4190">
        <v>3.0922160000000001E-2</v>
      </c>
      <c r="AA4190">
        <v>0.8684712</v>
      </c>
      <c r="AB4190">
        <v>33</v>
      </c>
      <c r="AC4190">
        <v>-0.10760000000004701</v>
      </c>
      <c r="AD4190">
        <v>-8.3881000000000094E-2</v>
      </c>
      <c r="AE4190">
        <v>-0.82019999999999904</v>
      </c>
      <c r="AF4190">
        <v>-0.50743170810954696</v>
      </c>
      <c r="AG4190">
        <v>-8.3881000000000094E-2</v>
      </c>
      <c r="AH4190">
        <v>0.642620348662712</v>
      </c>
      <c r="AI4190">
        <v>95.849131146233404</v>
      </c>
      <c r="AJ4190">
        <v>128.29564735033401</v>
      </c>
      <c r="AK4190">
        <v>0.82309408518793203</v>
      </c>
      <c r="AL4190">
        <v>67.013035597112193</v>
      </c>
      <c r="AM4190">
        <v>101.966806983962</v>
      </c>
      <c r="AN4190">
        <v>1.0000000241862099</v>
      </c>
    </row>
    <row r="4191" spans="1:40" x14ac:dyDescent="0.25">
      <c r="A4191" t="str">
        <f>"20190304164729043"</f>
        <v>20190304164729043</v>
      </c>
      <c r="B4191" t="str">
        <f>"1551689249033385"</f>
        <v>1551689249033385</v>
      </c>
      <c r="C4191" t="s">
        <v>40</v>
      </c>
      <c r="D4191">
        <v>4.22</v>
      </c>
      <c r="E4191">
        <v>0.3610969</v>
      </c>
      <c r="F4191" t="s">
        <v>41</v>
      </c>
      <c r="G4191">
        <v>-411.21109999999999</v>
      </c>
      <c r="H4191">
        <v>1.0339119999999999</v>
      </c>
      <c r="I4191">
        <v>131.46369999999999</v>
      </c>
      <c r="J4191">
        <v>-411.16149999999999</v>
      </c>
      <c r="K4191">
        <v>1.12083</v>
      </c>
      <c r="L4191">
        <v>132.249</v>
      </c>
      <c r="M4191">
        <v>-0.70742759999999905</v>
      </c>
      <c r="N4191">
        <v>-1.0752589999999999E-2</v>
      </c>
      <c r="O4191">
        <v>-0.70670409999999995</v>
      </c>
      <c r="P4191">
        <v>-0.51238629999999996</v>
      </c>
      <c r="Q4191">
        <v>0.38544929999999999</v>
      </c>
      <c r="R4191">
        <v>-0.76739139999999995</v>
      </c>
      <c r="S4191">
        <v>-0.95938109999999999</v>
      </c>
      <c r="T4191">
        <v>-0.2878754</v>
      </c>
      <c r="U4191">
        <v>-3.4307560000000001</v>
      </c>
      <c r="V4191">
        <v>-0.19081619999999999</v>
      </c>
      <c r="W4191">
        <v>0.39040839999999999</v>
      </c>
      <c r="X4191">
        <v>0.90064999999999995</v>
      </c>
      <c r="Y4191">
        <v>-0.49072189999999999</v>
      </c>
      <c r="Z4191">
        <v>3.2438559999999998E-2</v>
      </c>
      <c r="AA4191">
        <v>0.87071219999999905</v>
      </c>
      <c r="AB4191">
        <v>33</v>
      </c>
      <c r="AC4191">
        <v>-4.9599999999998E-2</v>
      </c>
      <c r="AD4191">
        <v>-8.6917999999999801E-2</v>
      </c>
      <c r="AE4191">
        <v>-0.78530000000000599</v>
      </c>
      <c r="AF4191">
        <v>-0.51424577733895704</v>
      </c>
      <c r="AG4191">
        <v>-8.6917999999999801E-2</v>
      </c>
      <c r="AH4191">
        <v>0.58298384444338003</v>
      </c>
      <c r="AI4191">
        <v>96.3796854067336</v>
      </c>
      <c r="AJ4191">
        <v>131.41528000025201</v>
      </c>
      <c r="AK4191">
        <v>0.78222351097172405</v>
      </c>
      <c r="AL4191">
        <v>67.0200859305493</v>
      </c>
      <c r="AM4191">
        <v>101.962083180755</v>
      </c>
      <c r="AN4191">
        <v>0.99999998173649896</v>
      </c>
    </row>
    <row r="4192" spans="1:40" x14ac:dyDescent="0.25">
      <c r="A4192" t="str">
        <f>"20190304164729065"</f>
        <v>20190304164729065</v>
      </c>
      <c r="B4192" t="str">
        <f>"1551689249052905"</f>
        <v>1551689249052905</v>
      </c>
      <c r="C4192" t="s">
        <v>40</v>
      </c>
      <c r="D4192">
        <v>4.2232010000000004</v>
      </c>
      <c r="E4192">
        <v>0.36126940000000002</v>
      </c>
      <c r="F4192" t="s">
        <v>41</v>
      </c>
      <c r="G4192">
        <v>-411.42380000000003</v>
      </c>
      <c r="H4192">
        <v>1.037547</v>
      </c>
      <c r="I4192">
        <v>131.267</v>
      </c>
      <c r="J4192">
        <v>-411.37860000000001</v>
      </c>
      <c r="K4192">
        <v>1.120844</v>
      </c>
      <c r="L4192">
        <v>132.0172</v>
      </c>
      <c r="M4192">
        <v>-0.69903179999999998</v>
      </c>
      <c r="N4192">
        <v>-1.064589E-2</v>
      </c>
      <c r="O4192">
        <v>-0.71501139999999996</v>
      </c>
      <c r="P4192">
        <v>-0.50445819999999997</v>
      </c>
      <c r="Q4192">
        <v>0.38502500000000001</v>
      </c>
      <c r="R4192">
        <v>-0.77283760000000001</v>
      </c>
      <c r="S4192">
        <v>-0.91934199999999999</v>
      </c>
      <c r="T4192">
        <v>-0.29192509999999999</v>
      </c>
      <c r="U4192">
        <v>-3.4421390000000001</v>
      </c>
      <c r="V4192">
        <v>-0.1896022</v>
      </c>
      <c r="W4192">
        <v>0.3899128</v>
      </c>
      <c r="X4192">
        <v>0.90112099999999995</v>
      </c>
      <c r="Y4192">
        <v>-0.49061769999999999</v>
      </c>
      <c r="Z4192">
        <v>3.3914640000000003E-2</v>
      </c>
      <c r="AA4192">
        <v>0.87071469999999995</v>
      </c>
      <c r="AB4192">
        <v>33</v>
      </c>
      <c r="AC4192">
        <v>-4.52000000000225E-2</v>
      </c>
      <c r="AD4192">
        <v>-8.3296999999999899E-2</v>
      </c>
      <c r="AE4192">
        <v>-0.75020000000000597</v>
      </c>
      <c r="AF4192">
        <v>-0.48615124645188101</v>
      </c>
      <c r="AG4192">
        <v>-8.3296999999999899E-2</v>
      </c>
      <c r="AH4192">
        <v>0.56113708582732202</v>
      </c>
      <c r="AI4192">
        <v>96.401444786085605</v>
      </c>
      <c r="AJ4192">
        <v>130.904611347978</v>
      </c>
      <c r="AK4192">
        <v>0.747098556902968</v>
      </c>
      <c r="AL4192">
        <v>67.050926842930906</v>
      </c>
      <c r="AM4192">
        <v>101.882113780531</v>
      </c>
      <c r="AN4192">
        <v>1.0000000212448299</v>
      </c>
    </row>
    <row r="4193" spans="1:40" x14ac:dyDescent="0.25">
      <c r="A4193" t="str">
        <f>"20190304164729085"</f>
        <v>20190304164729085</v>
      </c>
      <c r="B4193" t="str">
        <f>"1551689249073401"</f>
        <v>1551689249073401</v>
      </c>
      <c r="C4193" t="s">
        <v>40</v>
      </c>
      <c r="D4193">
        <v>4.2277360000000002</v>
      </c>
      <c r="E4193">
        <v>0.36138759999999998</v>
      </c>
      <c r="F4193" t="s">
        <v>41</v>
      </c>
      <c r="G4193">
        <v>-411.62450000000001</v>
      </c>
      <c r="H4193">
        <v>1.038594</v>
      </c>
      <c r="I4193">
        <v>131.0609</v>
      </c>
      <c r="J4193">
        <v>-411.58069999999998</v>
      </c>
      <c r="K4193">
        <v>1.1208389999999999</v>
      </c>
      <c r="L4193">
        <v>131.79650000000001</v>
      </c>
      <c r="M4193">
        <v>-0.69103559999999997</v>
      </c>
      <c r="N4193">
        <v>-1.055039E-2</v>
      </c>
      <c r="O4193">
        <v>-0.72274359999999904</v>
      </c>
      <c r="P4193">
        <v>-0.49735770000000001</v>
      </c>
      <c r="Q4193">
        <v>0.38382129999999998</v>
      </c>
      <c r="R4193">
        <v>-0.77802090000000002</v>
      </c>
      <c r="S4193">
        <v>-0.8869629</v>
      </c>
      <c r="T4193">
        <v>-0.29675649999999998</v>
      </c>
      <c r="U4193">
        <v>-3.4506839999999999</v>
      </c>
      <c r="V4193">
        <v>-0.18822549999999999</v>
      </c>
      <c r="W4193">
        <v>0.38865620000000001</v>
      </c>
      <c r="X4193">
        <v>0.90195210000000003</v>
      </c>
      <c r="Y4193">
        <v>-0.48912420000000001</v>
      </c>
      <c r="Z4193">
        <v>3.5531350000000003E-2</v>
      </c>
      <c r="AA4193">
        <v>0.87149009999999905</v>
      </c>
      <c r="AB4193">
        <v>33</v>
      </c>
      <c r="AC4193">
        <v>-4.3800000000032903E-2</v>
      </c>
      <c r="AD4193">
        <v>-8.2244999999999902E-2</v>
      </c>
      <c r="AE4193">
        <v>-0.73560000000000503</v>
      </c>
      <c r="AF4193">
        <v>-0.470831248034979</v>
      </c>
      <c r="AG4193">
        <v>-8.2244999999999902E-2</v>
      </c>
      <c r="AH4193">
        <v>0.55503504361146305</v>
      </c>
      <c r="AI4193">
        <v>96.447034276626695</v>
      </c>
      <c r="AJ4193">
        <v>130.307642835135</v>
      </c>
      <c r="AK4193">
        <v>0.73246856846417296</v>
      </c>
      <c r="AL4193">
        <v>67.129090811143996</v>
      </c>
      <c r="AM4193">
        <v>101.787697426314</v>
      </c>
      <c r="AN4193">
        <v>1.0000000356715399</v>
      </c>
    </row>
    <row r="4194" spans="1:40" x14ac:dyDescent="0.25">
      <c r="A4194" t="str">
        <f>"20190304164729109"</f>
        <v>20190304164729109</v>
      </c>
      <c r="B4194" t="str">
        <f>"1551689249103188"</f>
        <v>1551689249103188</v>
      </c>
      <c r="C4194" t="s">
        <v>40</v>
      </c>
      <c r="D4194">
        <v>4.26783</v>
      </c>
      <c r="E4194">
        <v>0.36136170000000001</v>
      </c>
      <c r="F4194" t="s">
        <v>41</v>
      </c>
      <c r="G4194">
        <v>-411.8152</v>
      </c>
      <c r="H4194">
        <v>1.0379689999999999</v>
      </c>
      <c r="I4194">
        <v>130.84729999999999</v>
      </c>
      <c r="J4194">
        <v>-411.80270000000002</v>
      </c>
      <c r="K4194">
        <v>1.120846</v>
      </c>
      <c r="L4194">
        <v>131.54859999999999</v>
      </c>
      <c r="M4194">
        <v>-0.6820541</v>
      </c>
      <c r="N4194">
        <v>-1.045016E-2</v>
      </c>
      <c r="O4194">
        <v>-0.73122730000000002</v>
      </c>
      <c r="P4194">
        <v>-0.4887301</v>
      </c>
      <c r="Q4194">
        <v>0.3821561</v>
      </c>
      <c r="R4194">
        <v>-0.78428290000000001</v>
      </c>
      <c r="S4194">
        <v>-0.8534851</v>
      </c>
      <c r="T4194">
        <v>-0.30190250000000002</v>
      </c>
      <c r="U4194">
        <v>-3.4592589999999999</v>
      </c>
      <c r="V4194">
        <v>-0.18757789999999999</v>
      </c>
      <c r="W4194">
        <v>0.38691429999999999</v>
      </c>
      <c r="X4194">
        <v>0.90283539999999995</v>
      </c>
      <c r="Y4194">
        <v>-0.48681859999999999</v>
      </c>
      <c r="Z4194">
        <v>3.7339049999999999E-2</v>
      </c>
      <c r="AA4194">
        <v>0.872704699999999</v>
      </c>
      <c r="AB4194">
        <v>33</v>
      </c>
      <c r="AC4194">
        <v>-1.24999999999886E-2</v>
      </c>
      <c r="AD4194">
        <v>-8.2876999999999798E-2</v>
      </c>
      <c r="AE4194">
        <v>-0.70130000000000303</v>
      </c>
      <c r="AF4194">
        <v>-0.462749205035761</v>
      </c>
      <c r="AG4194">
        <v>-8.2876999999999798E-2</v>
      </c>
      <c r="AH4194">
        <v>0.514185119469587</v>
      </c>
      <c r="AI4194">
        <v>96.831877442785498</v>
      </c>
      <c r="AJ4194">
        <v>131.986141116699</v>
      </c>
      <c r="AK4194">
        <v>0.69670062507089903</v>
      </c>
      <c r="AL4194">
        <v>67.237364969586906</v>
      </c>
      <c r="AM4194">
        <v>101.73709527074401</v>
      </c>
      <c r="AN4194">
        <v>0.99999995180302803</v>
      </c>
    </row>
    <row r="4195" spans="1:40" x14ac:dyDescent="0.25">
      <c r="A4195" t="str">
        <f>"20190304164729129"</f>
        <v>20190304164729129</v>
      </c>
      <c r="B4195" t="str">
        <f>"1551689249123684"</f>
        <v>1551689249123684</v>
      </c>
      <c r="C4195" t="s">
        <v>40</v>
      </c>
      <c r="D4195">
        <v>4.324624</v>
      </c>
      <c r="E4195">
        <v>0.36050019999999999</v>
      </c>
      <c r="F4195" t="s">
        <v>41</v>
      </c>
      <c r="G4195">
        <v>-412.01580000000001</v>
      </c>
      <c r="H4195">
        <v>1.0398849999999999</v>
      </c>
      <c r="I4195">
        <v>130.63820000000001</v>
      </c>
      <c r="J4195">
        <v>-412.0093</v>
      </c>
      <c r="K4195">
        <v>1.1208560000000001</v>
      </c>
      <c r="L4195">
        <v>131.31200000000001</v>
      </c>
      <c r="M4195">
        <v>-0.6734888</v>
      </c>
      <c r="N4195">
        <v>-1.036347E-2</v>
      </c>
      <c r="O4195">
        <v>-0.73912480000000003</v>
      </c>
      <c r="P4195">
        <v>-0.4805082</v>
      </c>
      <c r="Q4195">
        <v>0.38149880000000003</v>
      </c>
      <c r="R4195">
        <v>-0.78966499999999995</v>
      </c>
      <c r="S4195">
        <v>-0.81240840000000003</v>
      </c>
      <c r="T4195">
        <v>-0.30853180000000002</v>
      </c>
      <c r="U4195">
        <v>-3.4692080000000001</v>
      </c>
      <c r="V4195">
        <v>-0.18670729999999999</v>
      </c>
      <c r="W4195">
        <v>0.38619439999999999</v>
      </c>
      <c r="X4195">
        <v>0.90332400000000002</v>
      </c>
      <c r="Y4195">
        <v>-0.48700579999999999</v>
      </c>
      <c r="Z4195">
        <v>3.9246730000000001E-2</v>
      </c>
      <c r="AA4195">
        <v>0.87251650000000003</v>
      </c>
      <c r="AB4195">
        <v>33</v>
      </c>
      <c r="AC4195">
        <v>-6.5000000000168196E-3</v>
      </c>
      <c r="AD4195">
        <v>-8.0970999999999904E-2</v>
      </c>
      <c r="AE4195">
        <v>-0.67379999999999995</v>
      </c>
      <c r="AF4195">
        <v>-0.44262519589193999</v>
      </c>
      <c r="AG4195">
        <v>-8.0970999999999904E-2</v>
      </c>
      <c r="AH4195">
        <v>0.49527533892292003</v>
      </c>
      <c r="AI4195">
        <v>96.950078439979706</v>
      </c>
      <c r="AJ4195">
        <v>131.78700660315499</v>
      </c>
      <c r="AK4195">
        <v>0.66915695335593095</v>
      </c>
      <c r="AL4195">
        <v>67.282089643767705</v>
      </c>
      <c r="AM4195">
        <v>101.67797509984101</v>
      </c>
      <c r="AN4195">
        <v>0.999999989720325</v>
      </c>
    </row>
    <row r="4196" spans="1:40" x14ac:dyDescent="0.25">
      <c r="A4196" t="str">
        <f>"20190304164729176"</f>
        <v>20190304164729176</v>
      </c>
      <c r="B4196" t="str">
        <f>"1551689249163699"</f>
        <v>1551689249163699</v>
      </c>
      <c r="C4196" t="s">
        <v>40</v>
      </c>
      <c r="D4196">
        <v>4.2905819999999997</v>
      </c>
      <c r="E4196">
        <v>0.3428715</v>
      </c>
      <c r="F4196" t="s">
        <v>41</v>
      </c>
      <c r="G4196">
        <v>-412.20650000000001</v>
      </c>
      <c r="H4196">
        <v>1.042116</v>
      </c>
      <c r="I4196">
        <v>130.42179999999999</v>
      </c>
      <c r="J4196">
        <v>-412.43439999999998</v>
      </c>
      <c r="K4196">
        <v>1.1208940000000001</v>
      </c>
      <c r="L4196">
        <v>130.80779999999999</v>
      </c>
      <c r="M4196">
        <v>-0.65523279999999995</v>
      </c>
      <c r="N4196">
        <v>-1.0210840000000001E-2</v>
      </c>
      <c r="O4196">
        <v>-0.75535810000000003</v>
      </c>
      <c r="P4196">
        <v>-0.46432230000000002</v>
      </c>
      <c r="Q4196">
        <v>0.3821909</v>
      </c>
      <c r="R4196">
        <v>-0.79895879999999997</v>
      </c>
      <c r="S4196">
        <v>-0.76971440000000002</v>
      </c>
      <c r="T4196">
        <v>-0.3076314</v>
      </c>
      <c r="U4196">
        <v>-3.4793090000000002</v>
      </c>
      <c r="V4196">
        <v>-0.18287619999999999</v>
      </c>
      <c r="W4196">
        <v>0.38682850000000002</v>
      </c>
      <c r="X4196">
        <v>0.90383630000000004</v>
      </c>
      <c r="Y4196">
        <v>-0.47642649999999998</v>
      </c>
      <c r="Z4196">
        <v>4.1332220000000003E-2</v>
      </c>
      <c r="AA4196">
        <v>0.87824230000000003</v>
      </c>
      <c r="AB4196">
        <v>33</v>
      </c>
      <c r="AC4196">
        <v>0.22789999999997601</v>
      </c>
      <c r="AD4196">
        <v>-7.8778000000000001E-2</v>
      </c>
      <c r="AE4196">
        <v>-0.38599999999999501</v>
      </c>
      <c r="AF4196">
        <v>-0.41235236533331299</v>
      </c>
      <c r="AG4196">
        <v>-7.8778000000000001E-2</v>
      </c>
      <c r="AH4196">
        <v>0.13798629206753199</v>
      </c>
      <c r="AI4196">
        <v>100.26893825139101</v>
      </c>
      <c r="AJ4196">
        <v>161.498110561625</v>
      </c>
      <c r="AK4196">
        <v>0.44190571763502301</v>
      </c>
      <c r="AL4196">
        <v>67.242697821073193</v>
      </c>
      <c r="AM4196">
        <v>101.438422133648</v>
      </c>
      <c r="AN4196">
        <v>1.00000002506818</v>
      </c>
    </row>
    <row r="4197" spans="1:40" x14ac:dyDescent="0.25">
      <c r="A4197" t="str">
        <f>"20190304164729196"</f>
        <v>20190304164729196</v>
      </c>
      <c r="B4197" t="str">
        <f>"1551689249192980"</f>
        <v>1551689249192980</v>
      </c>
      <c r="C4197" t="s">
        <v>40</v>
      </c>
      <c r="D4197">
        <v>4.3001430000000003</v>
      </c>
      <c r="E4197">
        <v>0.35128819999999999</v>
      </c>
      <c r="F4197" t="s">
        <v>41</v>
      </c>
      <c r="G4197">
        <v>-412.613</v>
      </c>
      <c r="H4197">
        <v>1.0567979999999999</v>
      </c>
      <c r="I4197">
        <v>129.6747</v>
      </c>
      <c r="J4197">
        <v>-412.62990000000002</v>
      </c>
      <c r="K4197">
        <v>1.120924</v>
      </c>
      <c r="L4197">
        <v>130.56720000000001</v>
      </c>
      <c r="M4197">
        <v>-0.64652410000000005</v>
      </c>
      <c r="N4197">
        <v>-1.0153229999999999E-2</v>
      </c>
      <c r="O4197">
        <v>-0.76282629999999996</v>
      </c>
      <c r="P4197">
        <v>-0.45693640000000002</v>
      </c>
      <c r="Q4197">
        <v>0.38310129999999998</v>
      </c>
      <c r="R4197">
        <v>-0.80277200000000004</v>
      </c>
      <c r="S4197">
        <v>-0.55599980000000004</v>
      </c>
      <c r="T4197">
        <v>-0.1995304</v>
      </c>
      <c r="U4197">
        <v>-3.5272220000000001</v>
      </c>
      <c r="V4197">
        <v>-0.1806006</v>
      </c>
      <c r="W4197">
        <v>0.38773380000000002</v>
      </c>
      <c r="X4197">
        <v>0.90390590000000004</v>
      </c>
      <c r="Y4197">
        <v>-0.5196558</v>
      </c>
      <c r="Z4197">
        <v>2.2886099999999999E-2</v>
      </c>
      <c r="AA4197">
        <v>0.85406909999999903</v>
      </c>
      <c r="AB4197">
        <v>33</v>
      </c>
      <c r="AC4197">
        <v>1.68999999999641E-2</v>
      </c>
      <c r="AD4197">
        <v>-6.41260000000001E-2</v>
      </c>
      <c r="AE4197">
        <v>-0.89250000000001195</v>
      </c>
      <c r="AF4197">
        <v>-0.58691598530973099</v>
      </c>
      <c r="AG4197">
        <v>-6.41260000000001E-2</v>
      </c>
      <c r="AH4197">
        <v>0.66649112971935498</v>
      </c>
      <c r="AI4197">
        <v>94.130028533149499</v>
      </c>
      <c r="AJ4197">
        <v>131.367334256167</v>
      </c>
      <c r="AK4197">
        <v>0.89038920910053398</v>
      </c>
      <c r="AL4197">
        <v>67.186436310118594</v>
      </c>
      <c r="AM4197">
        <v>101.29892589386399</v>
      </c>
      <c r="AN4197">
        <v>0.99999997621880399</v>
      </c>
    </row>
    <row r="4198" spans="1:40" x14ac:dyDescent="0.25">
      <c r="A4198" t="str">
        <f>"20190304164729220"</f>
        <v>20190304164729220</v>
      </c>
      <c r="B4198" t="str">
        <f>"1551689249213475"</f>
        <v>1551689249213475</v>
      </c>
      <c r="C4198" t="s">
        <v>40</v>
      </c>
      <c r="D4198">
        <v>4.3053889999999999</v>
      </c>
      <c r="E4198">
        <v>0.35186000000000001</v>
      </c>
      <c r="F4198" t="s">
        <v>41</v>
      </c>
      <c r="G4198">
        <v>-412.8134</v>
      </c>
      <c r="H4198">
        <v>1.0611870000000001</v>
      </c>
      <c r="I4198">
        <v>129.4598</v>
      </c>
      <c r="J4198">
        <v>-412.8503</v>
      </c>
      <c r="K4198">
        <v>1.1209559999999901</v>
      </c>
      <c r="L4198">
        <v>130.28880000000001</v>
      </c>
      <c r="M4198">
        <v>-0.63645200000000002</v>
      </c>
      <c r="N4198">
        <v>-1.0096880000000001E-2</v>
      </c>
      <c r="O4198">
        <v>-0.7712504</v>
      </c>
      <c r="P4198">
        <v>-0.44788600000000001</v>
      </c>
      <c r="Q4198">
        <v>0.38384230000000003</v>
      </c>
      <c r="R4198">
        <v>-0.80750449999999996</v>
      </c>
      <c r="S4198">
        <v>-0.57913210000000004</v>
      </c>
      <c r="T4198">
        <v>-0.18863189999999999</v>
      </c>
      <c r="U4198">
        <v>-3.497452</v>
      </c>
      <c r="V4198">
        <v>-0.17871049999999999</v>
      </c>
      <c r="W4198">
        <v>0.38845930000000001</v>
      </c>
      <c r="X4198">
        <v>0.9039701</v>
      </c>
      <c r="Y4198">
        <v>-0.50173519999999905</v>
      </c>
      <c r="Z4198">
        <v>2.2383469999999999E-2</v>
      </c>
      <c r="AA4198">
        <v>0.86473169999999899</v>
      </c>
      <c r="AB4198">
        <v>33</v>
      </c>
      <c r="AC4198">
        <v>3.6900000000002799E-2</v>
      </c>
      <c r="AD4198">
        <v>-5.9768999999999697E-2</v>
      </c>
      <c r="AE4198">
        <v>-0.82900000000000695</v>
      </c>
      <c r="AF4198">
        <v>-0.55323604021907002</v>
      </c>
      <c r="AG4198">
        <v>-5.9768999999999697E-2</v>
      </c>
      <c r="AH4198">
        <v>0.61273407172352601</v>
      </c>
      <c r="AI4198">
        <v>94.140992021939397</v>
      </c>
      <c r="AJ4198">
        <v>132.07880009408001</v>
      </c>
      <c r="AK4198">
        <v>0.82769891398331996</v>
      </c>
      <c r="AL4198">
        <v>67.141333683599498</v>
      </c>
      <c r="AM4198">
        <v>101.182897082848</v>
      </c>
      <c r="AN4198">
        <v>1.00000000613037</v>
      </c>
    </row>
    <row r="4199" spans="1:40" x14ac:dyDescent="0.25">
      <c r="A4199" t="str">
        <f>"20190304164729240"</f>
        <v>20190304164729240</v>
      </c>
      <c r="B4199" t="str">
        <f>"1551689249232996"</f>
        <v>1551689249232996</v>
      </c>
      <c r="C4199" t="s">
        <v>40</v>
      </c>
      <c r="D4199">
        <v>4.3244109999999996</v>
      </c>
      <c r="E4199">
        <v>0.3531202</v>
      </c>
      <c r="F4199" t="s">
        <v>41</v>
      </c>
      <c r="G4199">
        <v>-413.01249999999999</v>
      </c>
      <c r="H4199">
        <v>1.060681</v>
      </c>
      <c r="I4199">
        <v>129.24250000000001</v>
      </c>
      <c r="J4199">
        <v>-413.03800000000001</v>
      </c>
      <c r="K4199">
        <v>1.1209830000000001</v>
      </c>
      <c r="L4199">
        <v>130.04580000000001</v>
      </c>
      <c r="M4199">
        <v>-0.62765009999999999</v>
      </c>
      <c r="N4199">
        <v>-1.0055669999999999E-2</v>
      </c>
      <c r="O4199">
        <v>-0.77843079999999998</v>
      </c>
      <c r="P4199">
        <v>-0.43968809999999903</v>
      </c>
      <c r="Q4199">
        <v>0.38441009999999998</v>
      </c>
      <c r="R4199">
        <v>-0.81172900000000003</v>
      </c>
      <c r="S4199">
        <v>-0.54391480000000003</v>
      </c>
      <c r="T4199">
        <v>-0.20217550000000001</v>
      </c>
      <c r="U4199">
        <v>-3.5096129999999999</v>
      </c>
      <c r="V4199">
        <v>-0.1774675</v>
      </c>
      <c r="W4199">
        <v>0.38900760000000001</v>
      </c>
      <c r="X4199">
        <v>0.90397919999999998</v>
      </c>
      <c r="Y4199">
        <v>-0.50084719999999905</v>
      </c>
      <c r="Z4199">
        <v>2.516318E-2</v>
      </c>
      <c r="AA4199">
        <v>0.86516979999999999</v>
      </c>
      <c r="AB4199">
        <v>33</v>
      </c>
      <c r="AC4199">
        <v>2.5500000000022199E-2</v>
      </c>
      <c r="AD4199">
        <v>-6.0302000000000001E-2</v>
      </c>
      <c r="AE4199">
        <v>-0.80330000000000701</v>
      </c>
      <c r="AF4199">
        <v>-0.52113400693099399</v>
      </c>
      <c r="AG4199">
        <v>-6.0302000000000001E-2</v>
      </c>
      <c r="AH4199">
        <v>0.60592803116060701</v>
      </c>
      <c r="AI4199">
        <v>94.314929997029495</v>
      </c>
      <c r="AJ4199">
        <v>130.69748239107301</v>
      </c>
      <c r="AK4199">
        <v>0.80147723818591599</v>
      </c>
      <c r="AL4199">
        <v>67.107236786406503</v>
      </c>
      <c r="AM4199">
        <v>101.106947292066</v>
      </c>
      <c r="AN4199">
        <v>1.00000001022332</v>
      </c>
    </row>
    <row r="4200" spans="1:40" x14ac:dyDescent="0.25">
      <c r="A4200" t="str">
        <f>"20190304164729263"</f>
        <v>20190304164729263</v>
      </c>
      <c r="B4200" t="str">
        <f>"1551689249253492"</f>
        <v>1551689249253492</v>
      </c>
      <c r="C4200" t="s">
        <v>40</v>
      </c>
      <c r="D4200">
        <v>4.2939239999999996</v>
      </c>
      <c r="E4200">
        <v>0.35480289999999998</v>
      </c>
      <c r="F4200" t="s">
        <v>41</v>
      </c>
      <c r="G4200">
        <v>-413.18990000000002</v>
      </c>
      <c r="H4200">
        <v>1.05982</v>
      </c>
      <c r="I4200">
        <v>129.01249999999999</v>
      </c>
      <c r="J4200">
        <v>-413.23379999999997</v>
      </c>
      <c r="K4200">
        <v>1.121019</v>
      </c>
      <c r="L4200">
        <v>129.78620000000001</v>
      </c>
      <c r="M4200">
        <v>-0.61823300000000003</v>
      </c>
      <c r="N4200">
        <v>-1.0020060000000001E-2</v>
      </c>
      <c r="O4200">
        <v>-0.78593109999999999</v>
      </c>
      <c r="P4200">
        <v>-0.43053279999999999</v>
      </c>
      <c r="Q4200">
        <v>0.38466240000000002</v>
      </c>
      <c r="R4200">
        <v>-0.81650259999999997</v>
      </c>
      <c r="S4200">
        <v>-0.51593020000000001</v>
      </c>
      <c r="T4200">
        <v>-0.20798330000000001</v>
      </c>
      <c r="U4200">
        <v>-3.5148470000000001</v>
      </c>
      <c r="V4200">
        <v>-0.1767196</v>
      </c>
      <c r="W4200">
        <v>0.38923029999999997</v>
      </c>
      <c r="X4200">
        <v>0.90402979999999999</v>
      </c>
      <c r="Y4200">
        <v>-0.49735699999999999</v>
      </c>
      <c r="Z4200">
        <v>2.6808470000000001E-2</v>
      </c>
      <c r="AA4200">
        <v>0.86713169999999995</v>
      </c>
      <c r="AB4200">
        <v>33</v>
      </c>
      <c r="AC4200">
        <v>4.3899999999950902E-2</v>
      </c>
      <c r="AD4200">
        <v>-6.1199000000000003E-2</v>
      </c>
      <c r="AE4200">
        <v>-0.77370000000001904</v>
      </c>
      <c r="AF4200">
        <v>-0.50967631392228696</v>
      </c>
      <c r="AG4200">
        <v>-6.1199000000000003E-2</v>
      </c>
      <c r="AH4200">
        <v>0.57736281116531296</v>
      </c>
      <c r="AI4200">
        <v>94.543440547082</v>
      </c>
      <c r="AJ4200">
        <v>131.43697260769</v>
      </c>
      <c r="AK4200">
        <v>0.77256914143079902</v>
      </c>
      <c r="AL4200">
        <v>67.093384167718298</v>
      </c>
      <c r="AM4200">
        <v>101.06069226242001</v>
      </c>
      <c r="AN4200">
        <v>0.99999996137514402</v>
      </c>
    </row>
    <row r="4201" spans="1:40" x14ac:dyDescent="0.25">
      <c r="A4201" t="str">
        <f>"20190304164729285"</f>
        <v>20190304164729285</v>
      </c>
      <c r="B4201" t="str">
        <f>"1551689249283748"</f>
        <v>1551689249283748</v>
      </c>
      <c r="C4201" t="s">
        <v>40</v>
      </c>
      <c r="D4201">
        <v>4.3192250000000003</v>
      </c>
      <c r="E4201">
        <v>0.35571970000000003</v>
      </c>
      <c r="F4201" t="s">
        <v>41</v>
      </c>
      <c r="G4201">
        <v>-413.37240000000003</v>
      </c>
      <c r="H4201">
        <v>1.0600240000000001</v>
      </c>
      <c r="I4201">
        <v>128.78360000000001</v>
      </c>
      <c r="J4201">
        <v>-413.42720000000003</v>
      </c>
      <c r="K4201">
        <v>1.121073</v>
      </c>
      <c r="L4201">
        <v>129.52330000000001</v>
      </c>
      <c r="M4201">
        <v>-0.60867209999999905</v>
      </c>
      <c r="N4201">
        <v>-9.9918579999999993E-3</v>
      </c>
      <c r="O4201">
        <v>-0.79335900000000004</v>
      </c>
      <c r="P4201">
        <v>-0.42101290000000002</v>
      </c>
      <c r="Q4201">
        <v>0.3864438</v>
      </c>
      <c r="R4201">
        <v>-0.82061530000000005</v>
      </c>
      <c r="S4201">
        <v>-0.48687740000000002</v>
      </c>
      <c r="T4201">
        <v>-0.21407580000000001</v>
      </c>
      <c r="U4201">
        <v>-3.5183409999999999</v>
      </c>
      <c r="V4201">
        <v>-0.1758651</v>
      </c>
      <c r="W4201">
        <v>0.39098300000000002</v>
      </c>
      <c r="X4201">
        <v>0.90344000000000002</v>
      </c>
      <c r="Y4201">
        <v>-0.49399470000000001</v>
      </c>
      <c r="Z4201">
        <v>2.8543300000000001E-2</v>
      </c>
      <c r="AA4201">
        <v>0.86899629999999894</v>
      </c>
      <c r="AB4201">
        <v>33</v>
      </c>
      <c r="AC4201">
        <v>5.4800000000000099E-2</v>
      </c>
      <c r="AD4201">
        <v>-6.1048999999999902E-2</v>
      </c>
      <c r="AE4201">
        <v>-0.73969999999999902</v>
      </c>
      <c r="AF4201">
        <v>-0.49041321702170398</v>
      </c>
      <c r="AG4201">
        <v>-6.1048999999999902E-2</v>
      </c>
      <c r="AH4201">
        <v>0.54979551759726697</v>
      </c>
      <c r="AI4201">
        <v>94.736942332311003</v>
      </c>
      <c r="AJ4201">
        <v>131.73270729012501</v>
      </c>
      <c r="AK4201">
        <v>0.73926126301911899</v>
      </c>
      <c r="AL4201">
        <v>66.984322524906702</v>
      </c>
      <c r="AM4201">
        <v>101.01553065215801</v>
      </c>
      <c r="AN4201">
        <v>1.0000000366435</v>
      </c>
    </row>
    <row r="4202" spans="1:40" x14ac:dyDescent="0.25">
      <c r="A4202" t="str">
        <f>"20190304164729309"</f>
        <v>20190304164729309</v>
      </c>
      <c r="B4202" t="str">
        <f>"1551689249303268"</f>
        <v>1551689249303268</v>
      </c>
      <c r="C4202" t="s">
        <v>40</v>
      </c>
      <c r="D4202">
        <v>4.3367129999999996</v>
      </c>
      <c r="E4202">
        <v>0.36435119999999999</v>
      </c>
      <c r="F4202" t="s">
        <v>41</v>
      </c>
      <c r="G4202">
        <v>-413.5521</v>
      </c>
      <c r="H4202">
        <v>1.0624769999999999</v>
      </c>
      <c r="I4202">
        <v>128.55189999999999</v>
      </c>
      <c r="J4202">
        <v>-413.62540000000001</v>
      </c>
      <c r="K4202">
        <v>1.121127</v>
      </c>
      <c r="L4202">
        <v>129.24700000000001</v>
      </c>
      <c r="M4202">
        <v>-0.59859439999999997</v>
      </c>
      <c r="N4202">
        <v>-9.9670639999999994E-3</v>
      </c>
      <c r="O4202">
        <v>-0.80099039999999999</v>
      </c>
      <c r="P4202">
        <v>-0.41103129999999999</v>
      </c>
      <c r="Q4202">
        <v>0.38753379999999998</v>
      </c>
      <c r="R4202">
        <v>-0.82514900000000002</v>
      </c>
      <c r="S4202">
        <v>-0.452179</v>
      </c>
      <c r="T4202">
        <v>-0.21251680000000001</v>
      </c>
      <c r="U4202">
        <v>-3.5238800000000001</v>
      </c>
      <c r="V4202">
        <v>-0.1751761</v>
      </c>
      <c r="W4202">
        <v>0.39204220000000001</v>
      </c>
      <c r="X4202">
        <v>0.90311470000000005</v>
      </c>
      <c r="Y4202">
        <v>-0.49160280000000001</v>
      </c>
      <c r="Z4202">
        <v>2.8907209999999999E-2</v>
      </c>
      <c r="AA4202">
        <v>0.87033959999999999</v>
      </c>
      <c r="AB4202">
        <v>33</v>
      </c>
      <c r="AC4202">
        <v>7.3300000000017407E-2</v>
      </c>
      <c r="AD4202">
        <v>-5.86499999999998E-2</v>
      </c>
      <c r="AE4202">
        <v>-0.69510000000002403</v>
      </c>
      <c r="AF4202">
        <v>-0.47149923805406702</v>
      </c>
      <c r="AG4202">
        <v>-5.86499999999998E-2</v>
      </c>
      <c r="AH4202">
        <v>0.50933064645765902</v>
      </c>
      <c r="AI4202">
        <v>94.830127848968502</v>
      </c>
      <c r="AJ4202">
        <v>132.791150006061</v>
      </c>
      <c r="AK4202">
        <v>0.69654078229960303</v>
      </c>
      <c r="AL4202">
        <v>66.918368080576101</v>
      </c>
      <c r="AM4202">
        <v>100.977280484754</v>
      </c>
      <c r="AN4202">
        <v>0.99999995697406896</v>
      </c>
    </row>
    <row r="4203" spans="1:40" x14ac:dyDescent="0.25">
      <c r="A4203" t="str">
        <f>"20190304164729332"</f>
        <v>20190304164729332</v>
      </c>
      <c r="B4203" t="str">
        <f>"1551689249323764"</f>
        <v>1551689249323764</v>
      </c>
      <c r="C4203" t="s">
        <v>40</v>
      </c>
      <c r="D4203">
        <v>4.3390750000000002</v>
      </c>
      <c r="E4203">
        <v>0.36444110000000002</v>
      </c>
      <c r="F4203" t="s">
        <v>41</v>
      </c>
      <c r="G4203">
        <v>-413.74979999999999</v>
      </c>
      <c r="H4203">
        <v>1.0557859999999999</v>
      </c>
      <c r="I4203">
        <v>128.3271</v>
      </c>
      <c r="J4203">
        <v>-413.82709999999997</v>
      </c>
      <c r="K4203">
        <v>1.121184</v>
      </c>
      <c r="L4203">
        <v>128.9581</v>
      </c>
      <c r="M4203">
        <v>-0.58801890000000001</v>
      </c>
      <c r="N4203">
        <v>-9.9432789999999993E-3</v>
      </c>
      <c r="O4203">
        <v>-0.808786</v>
      </c>
      <c r="P4203">
        <v>-0.4013196</v>
      </c>
      <c r="Q4203">
        <v>0.38795590000000002</v>
      </c>
      <c r="R4203">
        <v>-0.82971870000000003</v>
      </c>
      <c r="S4203">
        <v>-0.47595209999999999</v>
      </c>
      <c r="T4203">
        <v>-0.249747</v>
      </c>
      <c r="U4203">
        <v>-3.5159150000000001</v>
      </c>
      <c r="V4203">
        <v>-0.1738604</v>
      </c>
      <c r="W4203">
        <v>0.39245279999999999</v>
      </c>
      <c r="X4203">
        <v>0.90319070000000001</v>
      </c>
      <c r="Y4203">
        <v>-0.47403590000000001</v>
      </c>
      <c r="Z4203">
        <v>3.6901660000000003E-2</v>
      </c>
      <c r="AA4203">
        <v>0.87973189999999901</v>
      </c>
      <c r="AB4203">
        <v>33</v>
      </c>
      <c r="AC4203">
        <v>7.7299999999979704E-2</v>
      </c>
      <c r="AD4203">
        <v>-6.5397999999999804E-2</v>
      </c>
      <c r="AE4203">
        <v>-0.63100000000000001</v>
      </c>
      <c r="AF4203">
        <v>-0.42904009135869597</v>
      </c>
      <c r="AG4203">
        <v>-6.5397999999999804E-2</v>
      </c>
      <c r="AH4203">
        <v>0.46004454901895397</v>
      </c>
      <c r="AI4203">
        <v>95.935232616234103</v>
      </c>
      <c r="AJ4203">
        <v>133.00277170135101</v>
      </c>
      <c r="AK4203">
        <v>0.63245022371656301</v>
      </c>
      <c r="AL4203">
        <v>66.892794847110494</v>
      </c>
      <c r="AM4203">
        <v>100.89591909727299</v>
      </c>
      <c r="AN4203">
        <v>1.0000000397412401</v>
      </c>
    </row>
    <row r="4204" spans="1:40" x14ac:dyDescent="0.25">
      <c r="A4204" t="str">
        <f>"20190304164729355"</f>
        <v>20190304164729355</v>
      </c>
      <c r="B4204" t="str">
        <f>"1551689249343284"</f>
        <v>1551689249343284</v>
      </c>
      <c r="C4204" t="s">
        <v>40</v>
      </c>
      <c r="D4204">
        <v>4.3497960000000004</v>
      </c>
      <c r="E4204">
        <v>0.3660119</v>
      </c>
      <c r="F4204" t="s">
        <v>41</v>
      </c>
      <c r="G4204">
        <v>-413.93400000000003</v>
      </c>
      <c r="H4204">
        <v>1.0628219999999999</v>
      </c>
      <c r="I4204">
        <v>128.09180000000001</v>
      </c>
      <c r="J4204">
        <v>-414.01549999999997</v>
      </c>
      <c r="K4204">
        <v>1.121245</v>
      </c>
      <c r="L4204">
        <v>128.6806</v>
      </c>
      <c r="M4204">
        <v>-0.57783099999999998</v>
      </c>
      <c r="N4204">
        <v>-9.9198250000000002E-3</v>
      </c>
      <c r="O4204">
        <v>-0.81609639999999894</v>
      </c>
      <c r="P4204">
        <v>-0.39208029999999999</v>
      </c>
      <c r="Q4204">
        <v>0.38831209999999999</v>
      </c>
      <c r="R4204">
        <v>-0.83395889999999995</v>
      </c>
      <c r="S4204">
        <v>-0.43307499999999999</v>
      </c>
      <c r="T4204">
        <v>-0.236876</v>
      </c>
      <c r="U4204">
        <v>-3.5169679999999999</v>
      </c>
      <c r="V4204">
        <v>-0.17253350000000001</v>
      </c>
      <c r="W4204">
        <v>0.39279920000000002</v>
      </c>
      <c r="X4204">
        <v>0.9032945</v>
      </c>
      <c r="Y4204">
        <v>-0.47359069999999998</v>
      </c>
      <c r="Z4204">
        <v>3.5219010000000002E-2</v>
      </c>
      <c r="AA4204">
        <v>0.88004059999999995</v>
      </c>
      <c r="AB4204">
        <v>34</v>
      </c>
      <c r="AC4204">
        <v>8.14999999999486E-2</v>
      </c>
      <c r="AD4204">
        <v>-5.84230000000001E-2</v>
      </c>
      <c r="AE4204">
        <v>-0.588799999999992</v>
      </c>
      <c r="AF4204">
        <v>-0.40286687169016899</v>
      </c>
      <c r="AG4204">
        <v>-5.84230000000001E-2</v>
      </c>
      <c r="AH4204">
        <v>0.42929842740104601</v>
      </c>
      <c r="AI4204">
        <v>95.667262794893304</v>
      </c>
      <c r="AJ4204">
        <v>133.180760931451</v>
      </c>
      <c r="AK4204">
        <v>0.59161820712638202</v>
      </c>
      <c r="AL4204">
        <v>66.871213370439705</v>
      </c>
      <c r="AM4204">
        <v>100.813516519659</v>
      </c>
      <c r="AN4204">
        <v>0.999999986936569</v>
      </c>
    </row>
    <row r="4205" spans="1:40" x14ac:dyDescent="0.25">
      <c r="A4205" t="str">
        <f>"20190304164729382"</f>
        <v>20190304164729382</v>
      </c>
      <c r="B4205" t="str">
        <f>"1551689249373539"</f>
        <v>1551689249373539</v>
      </c>
      <c r="C4205" t="s">
        <v>40</v>
      </c>
      <c r="D4205">
        <v>4.3215219999999999</v>
      </c>
      <c r="E4205">
        <v>0.36727320000000002</v>
      </c>
      <c r="F4205" t="s">
        <v>41</v>
      </c>
      <c r="G4205">
        <v>-414.1447</v>
      </c>
      <c r="H4205">
        <v>1.047072</v>
      </c>
      <c r="I4205">
        <v>127.55719999999999</v>
      </c>
      <c r="J4205">
        <v>-414.23340000000002</v>
      </c>
      <c r="K4205">
        <v>1.121292</v>
      </c>
      <c r="L4205">
        <v>128.3493</v>
      </c>
      <c r="M4205">
        <v>-0.56563640000000004</v>
      </c>
      <c r="N4205">
        <v>-9.8916560000000004E-3</v>
      </c>
      <c r="O4205">
        <v>-0.82459559999999998</v>
      </c>
      <c r="P4205">
        <v>-0.38096829999999998</v>
      </c>
      <c r="Q4205">
        <v>0.38806350000000001</v>
      </c>
      <c r="R4205">
        <v>-0.83920790000000001</v>
      </c>
      <c r="S4205">
        <v>-0.4036865</v>
      </c>
      <c r="T4205">
        <v>-0.23207949999999999</v>
      </c>
      <c r="U4205">
        <v>-3.5155639999999999</v>
      </c>
      <c r="V4205">
        <v>-0.17122290000000001</v>
      </c>
      <c r="W4205">
        <v>0.39253660000000001</v>
      </c>
      <c r="X4205">
        <v>0.90365799999999996</v>
      </c>
      <c r="Y4205">
        <v>-0.46771380000000001</v>
      </c>
      <c r="Z4205">
        <v>3.5256990000000002E-2</v>
      </c>
      <c r="AA4205">
        <v>0.88317649999999903</v>
      </c>
      <c r="AB4205">
        <v>34</v>
      </c>
      <c r="AC4205">
        <v>8.8700000000017099E-2</v>
      </c>
      <c r="AD4205">
        <v>-7.4219999999999897E-2</v>
      </c>
      <c r="AE4205">
        <v>-0.79210000000000402</v>
      </c>
      <c r="AF4205">
        <v>-0.51672710000266497</v>
      </c>
      <c r="AG4205">
        <v>-7.4219999999999897E-2</v>
      </c>
      <c r="AH4205">
        <v>0.59783580023303895</v>
      </c>
      <c r="AI4205">
        <v>95.365804113566597</v>
      </c>
      <c r="AJ4205">
        <v>130.83782237917501</v>
      </c>
      <c r="AK4205">
        <v>0.79367697983338403</v>
      </c>
      <c r="AL4205">
        <v>66.887574130626405</v>
      </c>
      <c r="AM4205">
        <v>100.729072877825</v>
      </c>
      <c r="AN4205">
        <v>1.00000002239398</v>
      </c>
    </row>
    <row r="4206" spans="1:40" x14ac:dyDescent="0.25">
      <c r="A4206" t="str">
        <f>"20190304164729405"</f>
        <v>20190304164729405</v>
      </c>
      <c r="B4206" t="str">
        <f>"1551689249393060"</f>
        <v>1551689249393060</v>
      </c>
      <c r="C4206" t="s">
        <v>40</v>
      </c>
      <c r="D4206">
        <v>4.3428820000000004</v>
      </c>
      <c r="E4206">
        <v>0.37485839999999998</v>
      </c>
      <c r="F4206" t="s">
        <v>41</v>
      </c>
      <c r="G4206">
        <v>-414.33940000000001</v>
      </c>
      <c r="H4206">
        <v>1.05393</v>
      </c>
      <c r="I4206">
        <v>127.3252</v>
      </c>
      <c r="J4206">
        <v>-414.4196</v>
      </c>
      <c r="K4206">
        <v>1.121332</v>
      </c>
      <c r="L4206">
        <v>128.05799999999999</v>
      </c>
      <c r="M4206">
        <v>-0.55488850000000001</v>
      </c>
      <c r="N4206">
        <v>-9.8665019999999992E-3</v>
      </c>
      <c r="O4206">
        <v>-0.83186629999999995</v>
      </c>
      <c r="P4206">
        <v>-0.37099359999999998</v>
      </c>
      <c r="Q4206">
        <v>0.38745659999999998</v>
      </c>
      <c r="R4206">
        <v>-0.84394400000000003</v>
      </c>
      <c r="S4206">
        <v>-0.36392210000000003</v>
      </c>
      <c r="T4206">
        <v>-0.23131070000000001</v>
      </c>
      <c r="U4206">
        <v>-3.5165709999999999</v>
      </c>
      <c r="V4206">
        <v>-0.17039480000000001</v>
      </c>
      <c r="W4206">
        <v>0.39191189999999998</v>
      </c>
      <c r="X4206">
        <v>0.90408549999999999</v>
      </c>
      <c r="Y4206">
        <v>-0.4661476</v>
      </c>
      <c r="Z4206">
        <v>3.581757E-2</v>
      </c>
      <c r="AA4206">
        <v>0.88398159999999903</v>
      </c>
      <c r="AB4206">
        <v>34</v>
      </c>
      <c r="AC4206">
        <v>8.0199999999990695E-2</v>
      </c>
      <c r="AD4206">
        <v>-6.7401999999999906E-2</v>
      </c>
      <c r="AE4206">
        <v>-0.73279999999999701</v>
      </c>
      <c r="AF4206">
        <v>-0.46943651316482499</v>
      </c>
      <c r="AG4206">
        <v>-6.7401999999999906E-2</v>
      </c>
      <c r="AH4206">
        <v>0.560431853579199</v>
      </c>
      <c r="AI4206">
        <v>95.267614796661206</v>
      </c>
      <c r="AJ4206">
        <v>129.950670429371</v>
      </c>
      <c r="AK4206">
        <v>0.73416451290059404</v>
      </c>
      <c r="AL4206">
        <v>66.926483159337295</v>
      </c>
      <c r="AM4206">
        <v>100.673445734098</v>
      </c>
      <c r="AN4206">
        <v>0.99999995826944899</v>
      </c>
    </row>
    <row r="4207" spans="1:40" x14ac:dyDescent="0.25">
      <c r="A4207" t="str">
        <f>"20190304164729422"</f>
        <v>20190304164729422</v>
      </c>
      <c r="B4207" t="str">
        <f>"1551689249413556"</f>
        <v>1551689249413556</v>
      </c>
      <c r="C4207" t="s">
        <v>40</v>
      </c>
      <c r="D4207">
        <v>4.3533619999999997</v>
      </c>
      <c r="E4207">
        <v>0.3785732</v>
      </c>
      <c r="F4207" t="s">
        <v>41</v>
      </c>
      <c r="G4207">
        <v>-414.52530000000002</v>
      </c>
      <c r="H4207">
        <v>1.051372</v>
      </c>
      <c r="I4207">
        <v>127.08759999999999</v>
      </c>
      <c r="J4207">
        <v>-414.55340000000001</v>
      </c>
      <c r="K4207">
        <v>1.1213569999999999</v>
      </c>
      <c r="L4207">
        <v>127.8434</v>
      </c>
      <c r="M4207">
        <v>-0.54695859999999996</v>
      </c>
      <c r="N4207">
        <v>-9.8469049999999995E-3</v>
      </c>
      <c r="O4207">
        <v>-0.83710189999999995</v>
      </c>
      <c r="P4207">
        <v>-0.3624867</v>
      </c>
      <c r="Q4207">
        <v>0.38702049999999999</v>
      </c>
      <c r="R4207">
        <v>-0.84783180000000002</v>
      </c>
      <c r="S4207">
        <v>-0.38119510000000001</v>
      </c>
      <c r="T4207">
        <v>-0.25248150000000003</v>
      </c>
      <c r="U4207">
        <v>-3.503082</v>
      </c>
      <c r="V4207">
        <v>-0.1710306</v>
      </c>
      <c r="W4207">
        <v>0.39142670000000002</v>
      </c>
      <c r="X4207">
        <v>0.90417570000000003</v>
      </c>
      <c r="Y4207">
        <v>-0.45304090000000002</v>
      </c>
      <c r="Z4207">
        <v>4.0965689999999999E-2</v>
      </c>
      <c r="AA4207">
        <v>0.89054800000000001</v>
      </c>
      <c r="AB4207">
        <v>34</v>
      </c>
      <c r="AC4207">
        <v>2.80999999999949E-2</v>
      </c>
      <c r="AD4207">
        <v>-6.9984999999999895E-2</v>
      </c>
      <c r="AE4207">
        <v>-0.75580000000000702</v>
      </c>
      <c r="AF4207">
        <v>-0.43322554263855501</v>
      </c>
      <c r="AG4207">
        <v>-6.9984999999999895E-2</v>
      </c>
      <c r="AH4207">
        <v>0.61210086682875198</v>
      </c>
      <c r="AI4207">
        <v>95.331721026656396</v>
      </c>
      <c r="AJ4207">
        <v>125.28964701108799</v>
      </c>
      <c r="AK4207">
        <v>0.75315983840880696</v>
      </c>
      <c r="AL4207">
        <v>66.956698284648795</v>
      </c>
      <c r="AM4207">
        <v>100.711308002178</v>
      </c>
      <c r="AN4207">
        <v>1.00000001203987</v>
      </c>
    </row>
    <row r="4208" spans="1:40" x14ac:dyDescent="0.25">
      <c r="A4208" t="str">
        <f>"20190304164729442"</f>
        <v>20190304164729442</v>
      </c>
      <c r="B4208" t="str">
        <f>"1551689249433077"</f>
        <v>1551689249433077</v>
      </c>
      <c r="C4208" t="s">
        <v>40</v>
      </c>
      <c r="D4208">
        <v>4.3697619999999997</v>
      </c>
      <c r="E4208">
        <v>0.38301380000000002</v>
      </c>
      <c r="F4208" t="s">
        <v>41</v>
      </c>
      <c r="G4208">
        <v>-414.66289999999998</v>
      </c>
      <c r="H4208">
        <v>1.0446260000000001</v>
      </c>
      <c r="I4208">
        <v>126.8296</v>
      </c>
      <c r="J4208">
        <v>-414.7133</v>
      </c>
      <c r="K4208">
        <v>1.121397</v>
      </c>
      <c r="L4208">
        <v>127.5809</v>
      </c>
      <c r="M4208">
        <v>-0.53724539999999998</v>
      </c>
      <c r="N4208">
        <v>-9.821616E-3</v>
      </c>
      <c r="O4208">
        <v>-0.84336909999999898</v>
      </c>
      <c r="P4208">
        <v>-0.35198780000000002</v>
      </c>
      <c r="Q4208">
        <v>0.38594830000000002</v>
      </c>
      <c r="R4208">
        <v>-0.85273019999999999</v>
      </c>
      <c r="S4208">
        <v>-0.37796020000000002</v>
      </c>
      <c r="T4208">
        <v>-0.26473799999999997</v>
      </c>
      <c r="U4208">
        <v>-3.4977109999999998</v>
      </c>
      <c r="V4208">
        <v>-0.17201920000000001</v>
      </c>
      <c r="W4208">
        <v>0.39029079999999999</v>
      </c>
      <c r="X4208">
        <v>0.90447909999999998</v>
      </c>
      <c r="Y4208">
        <v>-0.44338870000000002</v>
      </c>
      <c r="Z4208">
        <v>4.4381780000000003E-2</v>
      </c>
      <c r="AA4208">
        <v>0.89522990000000002</v>
      </c>
      <c r="AB4208">
        <v>34</v>
      </c>
      <c r="AC4208">
        <v>5.0400000000024599E-2</v>
      </c>
      <c r="AD4208">
        <v>-7.6770999999999895E-2</v>
      </c>
      <c r="AE4208">
        <v>-0.75129999999999997</v>
      </c>
      <c r="AF4208">
        <v>-0.44156963151501699</v>
      </c>
      <c r="AG4208">
        <v>-7.6770999999999895E-2</v>
      </c>
      <c r="AH4208">
        <v>0.60033475476715203</v>
      </c>
      <c r="AI4208">
        <v>95.881570467159406</v>
      </c>
      <c r="AJ4208">
        <v>126.335932252484</v>
      </c>
      <c r="AK4208">
        <v>0.74918578717074202</v>
      </c>
      <c r="AL4208">
        <v>67.027404432439795</v>
      </c>
      <c r="AM4208">
        <v>100.768248641357</v>
      </c>
      <c r="AN4208">
        <v>0.99999997803504403</v>
      </c>
    </row>
    <row r="4209" spans="1:40" x14ac:dyDescent="0.25">
      <c r="A4209" t="str">
        <f>"20190304164729465"</f>
        <v>20190304164729465</v>
      </c>
      <c r="B4209" t="str">
        <f>"1551689249453572"</f>
        <v>1551689249453572</v>
      </c>
      <c r="C4209" t="s">
        <v>40</v>
      </c>
      <c r="D4209">
        <v>4.3609660000000003</v>
      </c>
      <c r="E4209">
        <v>0.38364789999999999</v>
      </c>
      <c r="F4209" t="s">
        <v>41</v>
      </c>
      <c r="G4209">
        <v>-414.81959999999998</v>
      </c>
      <c r="H4209">
        <v>1.0403119999999999</v>
      </c>
      <c r="I4209">
        <v>126.5778</v>
      </c>
      <c r="J4209">
        <v>-414.88260000000002</v>
      </c>
      <c r="K4209">
        <v>1.1214280000000001</v>
      </c>
      <c r="L4209">
        <v>127.2954</v>
      </c>
      <c r="M4209">
        <v>-0.52667489999999995</v>
      </c>
      <c r="N4209">
        <v>-9.7922889999999992E-3</v>
      </c>
      <c r="O4209">
        <v>-0.85001059999999995</v>
      </c>
      <c r="P4209">
        <v>-0.3409507</v>
      </c>
      <c r="Q4209">
        <v>0.38588349999999999</v>
      </c>
      <c r="R4209">
        <v>-0.85723209999999905</v>
      </c>
      <c r="S4209">
        <v>-0.36950680000000002</v>
      </c>
      <c r="T4209">
        <v>-0.28231699999999998</v>
      </c>
      <c r="U4209">
        <v>-3.4933930000000002</v>
      </c>
      <c r="V4209">
        <v>-0.1724579</v>
      </c>
      <c r="W4209">
        <v>0.39017000000000002</v>
      </c>
      <c r="X4209">
        <v>0.90444769999999997</v>
      </c>
      <c r="Y4209">
        <v>-0.43421369999999998</v>
      </c>
      <c r="Z4209">
        <v>4.8998989999999999E-2</v>
      </c>
      <c r="AA4209">
        <v>0.89947619999999895</v>
      </c>
      <c r="AB4209">
        <v>34</v>
      </c>
      <c r="AC4209">
        <v>6.3000000000045006E-2</v>
      </c>
      <c r="AD4209">
        <v>-8.1115999999999897E-2</v>
      </c>
      <c r="AE4209">
        <v>-0.71760000000000401</v>
      </c>
      <c r="AF4209">
        <v>-0.426110179913743</v>
      </c>
      <c r="AG4209">
        <v>-8.1115999999999897E-2</v>
      </c>
      <c r="AH4209">
        <v>0.56959230222568902</v>
      </c>
      <c r="AI4209">
        <v>96.505485602848495</v>
      </c>
      <c r="AJ4209">
        <v>126.80004494249199</v>
      </c>
      <c r="AK4209">
        <v>0.71595047429056402</v>
      </c>
      <c r="AL4209">
        <v>67.034922268576693</v>
      </c>
      <c r="AM4209">
        <v>100.79543232297</v>
      </c>
      <c r="AN4209">
        <v>0.99999999910384996</v>
      </c>
    </row>
    <row r="4210" spans="1:40" x14ac:dyDescent="0.25">
      <c r="A4210" t="str">
        <f>"20190304164729488"</f>
        <v>20190304164729488</v>
      </c>
      <c r="B4210" t="str">
        <f>"1551689249483830"</f>
        <v>1551689249483830</v>
      </c>
      <c r="C4210" t="s">
        <v>40</v>
      </c>
      <c r="D4210">
        <v>4.3648669999999896</v>
      </c>
      <c r="E4210">
        <v>0.3907042</v>
      </c>
      <c r="F4210" t="s">
        <v>41</v>
      </c>
      <c r="G4210">
        <v>-414.97370000000001</v>
      </c>
      <c r="H4210">
        <v>1.0435110000000001</v>
      </c>
      <c r="I4210">
        <v>126.32259999999999</v>
      </c>
      <c r="J4210">
        <v>-415.05669999999998</v>
      </c>
      <c r="K4210">
        <v>1.121456</v>
      </c>
      <c r="L4210">
        <v>126.9931</v>
      </c>
      <c r="M4210">
        <v>-0.51547500000000002</v>
      </c>
      <c r="N4210">
        <v>-9.7592749999999995E-3</v>
      </c>
      <c r="O4210">
        <v>-0.85684910000000003</v>
      </c>
      <c r="P4210">
        <v>-0.32944319999999999</v>
      </c>
      <c r="Q4210">
        <v>0.38569930000000002</v>
      </c>
      <c r="R4210">
        <v>-0.86180249999999903</v>
      </c>
      <c r="S4210">
        <v>-0.32772829999999997</v>
      </c>
      <c r="T4210">
        <v>-0.279972</v>
      </c>
      <c r="U4210">
        <v>-3.4953310000000002</v>
      </c>
      <c r="V4210">
        <v>-0.17277619999999999</v>
      </c>
      <c r="W4210">
        <v>0.38993080000000002</v>
      </c>
      <c r="X4210">
        <v>0.90449009999999996</v>
      </c>
      <c r="Y4210">
        <v>-0.43309690000000001</v>
      </c>
      <c r="Z4210">
        <v>4.9318809999999998E-2</v>
      </c>
      <c r="AA4210">
        <v>0.89999709999999999</v>
      </c>
      <c r="AB4210">
        <v>34</v>
      </c>
      <c r="AC4210">
        <v>8.2999999999969903E-2</v>
      </c>
      <c r="AD4210">
        <v>-7.7944999999999903E-2</v>
      </c>
      <c r="AE4210">
        <v>-0.67050000000000398</v>
      </c>
      <c r="AF4210">
        <v>-0.41129006356393399</v>
      </c>
      <c r="AG4210">
        <v>-7.7944999999999903E-2</v>
      </c>
      <c r="AH4210">
        <v>0.52477351552972995</v>
      </c>
      <c r="AI4210">
        <v>96.6678428011991</v>
      </c>
      <c r="AJ4210">
        <v>128.087494039717</v>
      </c>
      <c r="AK4210">
        <v>0.67128398015508794</v>
      </c>
      <c r="AL4210">
        <v>67.049806174350195</v>
      </c>
      <c r="AM4210">
        <v>100.814392604769</v>
      </c>
      <c r="AN4210">
        <v>0.99999999253654503</v>
      </c>
    </row>
    <row r="4211" spans="1:40" x14ac:dyDescent="0.25">
      <c r="A4211" t="str">
        <f>"20190304164729511"</f>
        <v>20190304164729511</v>
      </c>
      <c r="B4211" t="str">
        <f>"1551689249503348"</f>
        <v>1551689249503348</v>
      </c>
      <c r="C4211" t="s">
        <v>40</v>
      </c>
      <c r="D4211">
        <v>4.3704130000000001</v>
      </c>
      <c r="E4211">
        <v>0.39300299999999999</v>
      </c>
      <c r="F4211" t="s">
        <v>42</v>
      </c>
      <c r="G4211">
        <v>-416.37259999999998</v>
      </c>
      <c r="H4211" s="1">
        <v>-2.1579210000000001E-6</v>
      </c>
      <c r="I4211">
        <v>113.15300000000001</v>
      </c>
      <c r="J4211">
        <v>-415.22629999999998</v>
      </c>
      <c r="K4211">
        <v>1.121486</v>
      </c>
      <c r="L4211">
        <v>126.68989999999999</v>
      </c>
      <c r="M4211">
        <v>-0.50423609999999996</v>
      </c>
      <c r="N4211">
        <v>-9.7219760000000002E-3</v>
      </c>
      <c r="O4211">
        <v>-0.86351129999999998</v>
      </c>
      <c r="P4211">
        <v>-0.31797360000000002</v>
      </c>
      <c r="Q4211">
        <v>0.38537749999999998</v>
      </c>
      <c r="R4211">
        <v>-0.86624319999999899</v>
      </c>
      <c r="S4211">
        <v>-0.33093260000000002</v>
      </c>
      <c r="T4211">
        <v>-0.2820473</v>
      </c>
      <c r="U4211">
        <v>-3.4807890000000001</v>
      </c>
      <c r="V4211">
        <v>-0.1730681</v>
      </c>
      <c r="W4211">
        <v>0.38955220000000002</v>
      </c>
      <c r="X4211">
        <v>0.9045974</v>
      </c>
      <c r="Y4211">
        <v>-0.42012630000000001</v>
      </c>
      <c r="Z4211">
        <v>5.1071180000000001E-2</v>
      </c>
      <c r="AA4211">
        <v>0.90602740000000004</v>
      </c>
      <c r="AB4211">
        <v>34</v>
      </c>
      <c r="AC4211">
        <v>-1.1462999999999901</v>
      </c>
      <c r="AD4211">
        <v>-1.1214881579210001</v>
      </c>
      <c r="AE4211">
        <v>-13.536899999999999</v>
      </c>
      <c r="AF4211">
        <v>-5.7967224944067199</v>
      </c>
      <c r="AG4211">
        <v>-1.1214881579210001</v>
      </c>
      <c r="AH4211">
        <v>12.184813659762</v>
      </c>
      <c r="AI4211">
        <v>94.751153783840394</v>
      </c>
      <c r="AJ4211">
        <v>115.44199221300801</v>
      </c>
      <c r="AK4211">
        <v>13.539919175853299</v>
      </c>
      <c r="AL4211">
        <v>67.073360420819597</v>
      </c>
      <c r="AM4211">
        <v>100.83097678740801</v>
      </c>
      <c r="AN4211">
        <v>0.99999996992460405</v>
      </c>
    </row>
    <row r="4212" spans="1:40" x14ac:dyDescent="0.25">
      <c r="A4212" t="str">
        <f>"20190304164729531"</f>
        <v>20190304164729531</v>
      </c>
      <c r="B4212" t="str">
        <f>"1551689249523844"</f>
        <v>1551689249523844</v>
      </c>
      <c r="C4212" t="s">
        <v>40</v>
      </c>
      <c r="D4212">
        <v>4.4007639999999997</v>
      </c>
      <c r="E4212">
        <v>0.40078740000000002</v>
      </c>
      <c r="F4212" t="s">
        <v>42</v>
      </c>
      <c r="G4212">
        <v>-416.37549999999999</v>
      </c>
      <c r="H4212" s="1">
        <v>-2.2793459999999999E-6</v>
      </c>
      <c r="I4212">
        <v>113.4473</v>
      </c>
      <c r="J4212">
        <v>-415.37639999999999</v>
      </c>
      <c r="K4212">
        <v>1.1215059999999999</v>
      </c>
      <c r="L4212">
        <v>126.4136</v>
      </c>
      <c r="M4212">
        <v>-0.49399690000000002</v>
      </c>
      <c r="N4212">
        <v>-9.6828569999999996E-3</v>
      </c>
      <c r="O4212">
        <v>-0.86940980000000001</v>
      </c>
      <c r="P4212">
        <v>-0.30762129999999999</v>
      </c>
      <c r="Q4212">
        <v>0.38589889999999999</v>
      </c>
      <c r="R4212">
        <v>-0.86974189999999996</v>
      </c>
      <c r="S4212">
        <v>-0.30227659999999901</v>
      </c>
      <c r="T4212">
        <v>-0.29501240000000001</v>
      </c>
      <c r="U4212">
        <v>-3.4835210000000001</v>
      </c>
      <c r="V4212">
        <v>-0.17309939999999999</v>
      </c>
      <c r="W4212">
        <v>0.3900208</v>
      </c>
      <c r="X4212">
        <v>0.90438949999999996</v>
      </c>
      <c r="Y4212">
        <v>-0.41686719999999999</v>
      </c>
      <c r="Z4212">
        <v>5.4610810000000003E-2</v>
      </c>
      <c r="AA4212">
        <v>0.90732539999999995</v>
      </c>
      <c r="AB4212">
        <v>34</v>
      </c>
      <c r="AC4212">
        <v>-0.99909999999999799</v>
      </c>
      <c r="AD4212">
        <v>-1.1215082793459901</v>
      </c>
      <c r="AE4212">
        <v>-12.9663</v>
      </c>
      <c r="AF4212">
        <v>-5.49606932195592</v>
      </c>
      <c r="AG4212">
        <v>-1.1215082793459901</v>
      </c>
      <c r="AH4212">
        <v>11.6802647134495</v>
      </c>
      <c r="AI4212">
        <v>94.965378848811497</v>
      </c>
      <c r="AJ4212">
        <v>115.199011849206</v>
      </c>
      <c r="AK4212">
        <v>12.957358626997999</v>
      </c>
      <c r="AL4212">
        <v>67.044206288228096</v>
      </c>
      <c r="AM4212">
        <v>100.835320572637</v>
      </c>
      <c r="AN4212">
        <v>0.99999999721162403</v>
      </c>
    </row>
    <row r="4213" spans="1:40" x14ac:dyDescent="0.25">
      <c r="A4213" t="str">
        <f>"20190304164729554"</f>
        <v>20190304164729554</v>
      </c>
      <c r="B4213" t="str">
        <f>"1551689249543364"</f>
        <v>1551689249543364</v>
      </c>
      <c r="C4213" t="s">
        <v>40</v>
      </c>
      <c r="D4213">
        <v>4.4048679999999996</v>
      </c>
      <c r="E4213">
        <v>0.40347640000000001</v>
      </c>
      <c r="F4213" t="s">
        <v>42</v>
      </c>
      <c r="G4213">
        <v>-416.54520000000002</v>
      </c>
      <c r="H4213" s="1">
        <v>-2.384439E-6</v>
      </c>
      <c r="I4213">
        <v>113.7624</v>
      </c>
      <c r="J4213">
        <v>-415.53210000000001</v>
      </c>
      <c r="K4213">
        <v>1.1215280000000001</v>
      </c>
      <c r="L4213">
        <v>126.1187</v>
      </c>
      <c r="M4213">
        <v>-0.483072</v>
      </c>
      <c r="N4213">
        <v>-9.6354539999999999E-3</v>
      </c>
      <c r="O4213">
        <v>-0.87552759999999996</v>
      </c>
      <c r="P4213">
        <v>-0.29700650000000001</v>
      </c>
      <c r="Q4213">
        <v>0.38597429999999999</v>
      </c>
      <c r="R4213">
        <v>-0.87339059999999902</v>
      </c>
      <c r="S4213">
        <v>-0.3208008</v>
      </c>
      <c r="T4213">
        <v>-0.30782540000000003</v>
      </c>
      <c r="U4213">
        <v>-3.4724119999999998</v>
      </c>
      <c r="V4213">
        <v>-0.17280889999999999</v>
      </c>
      <c r="W4213">
        <v>0.39004670000000002</v>
      </c>
      <c r="X4213">
        <v>0.90443390000000001</v>
      </c>
      <c r="Y4213">
        <v>-0.4003949</v>
      </c>
      <c r="Z4213">
        <v>5.8757289999999997E-2</v>
      </c>
      <c r="AA4213">
        <v>0.91445699999999996</v>
      </c>
      <c r="AB4213">
        <v>34</v>
      </c>
      <c r="AC4213">
        <v>-1.0130999999999999</v>
      </c>
      <c r="AD4213">
        <v>-1.1215303844390001</v>
      </c>
      <c r="AE4213">
        <v>-12.356299999999999</v>
      </c>
      <c r="AF4213">
        <v>-5.0409691016389901</v>
      </c>
      <c r="AG4213">
        <v>-1.1215303844390001</v>
      </c>
      <c r="AH4213">
        <v>11.216418215682401</v>
      </c>
      <c r="AI4213">
        <v>95.211108161226306</v>
      </c>
      <c r="AJ4213">
        <v>114.20047123404601</v>
      </c>
      <c r="AK4213">
        <v>12.348167373176899</v>
      </c>
      <c r="AL4213">
        <v>67.042595043539393</v>
      </c>
      <c r="AM4213">
        <v>100.817047336846</v>
      </c>
      <c r="AN4213">
        <v>1.0000000117846499</v>
      </c>
    </row>
    <row r="4214" spans="1:40" x14ac:dyDescent="0.25">
      <c r="A4214" t="str">
        <f>"20190304164729581"</f>
        <v>20190304164729581</v>
      </c>
      <c r="B4214" t="str">
        <f>"1551689249573620"</f>
        <v>1551689249573620</v>
      </c>
      <c r="C4214" t="s">
        <v>40</v>
      </c>
      <c r="D4214">
        <v>4.4352299999999998</v>
      </c>
      <c r="E4214">
        <v>0.38541950000000003</v>
      </c>
      <c r="F4214" t="s">
        <v>42</v>
      </c>
      <c r="G4214">
        <v>-416.59710000000001</v>
      </c>
      <c r="H4214" s="1">
        <v>-2.3595309999999998E-6</v>
      </c>
      <c r="I4214">
        <v>113.7259</v>
      </c>
      <c r="J4214">
        <v>-415.71210000000002</v>
      </c>
      <c r="K4214">
        <v>1.1215569999999999</v>
      </c>
      <c r="L4214">
        <v>125.7653</v>
      </c>
      <c r="M4214">
        <v>-0.46999269999999999</v>
      </c>
      <c r="N4214">
        <v>-9.5758070000000004E-3</v>
      </c>
      <c r="O4214">
        <v>-0.88261840000000003</v>
      </c>
      <c r="P4214">
        <v>-0.2843408</v>
      </c>
      <c r="Q4214">
        <v>0.38661040000000002</v>
      </c>
      <c r="R4214">
        <v>-0.87731579999999998</v>
      </c>
      <c r="S4214">
        <v>-0.29840090000000002</v>
      </c>
      <c r="T4214">
        <v>-0.31423379999999901</v>
      </c>
      <c r="U4214">
        <v>-3.4722749999999998</v>
      </c>
      <c r="V4214">
        <v>-0.1723616</v>
      </c>
      <c r="W4214">
        <v>0.39062229999999998</v>
      </c>
      <c r="X4214">
        <v>0.90427080000000004</v>
      </c>
      <c r="Y4214">
        <v>-0.39261439999999997</v>
      </c>
      <c r="Z4214">
        <v>6.1312859999999997E-2</v>
      </c>
      <c r="AA4214">
        <v>0.91765719999999995</v>
      </c>
      <c r="AB4214">
        <v>34</v>
      </c>
      <c r="AC4214">
        <v>-0.88499999999999002</v>
      </c>
      <c r="AD4214">
        <v>-1.1215593595309901</v>
      </c>
      <c r="AE4214">
        <v>-12.039400000000001</v>
      </c>
      <c r="AF4214">
        <v>-4.8357953261714197</v>
      </c>
      <c r="AG4214">
        <v>-1.1215593595309901</v>
      </c>
      <c r="AH4214">
        <v>10.948144702938</v>
      </c>
      <c r="AI4214">
        <v>95.353478149099203</v>
      </c>
      <c r="AJ4214">
        <v>113.831046745893</v>
      </c>
      <c r="AK4214">
        <v>12.021010118540101</v>
      </c>
      <c r="AL4214">
        <v>67.006773518752098</v>
      </c>
      <c r="AM4214">
        <v>100.79160689498001</v>
      </c>
      <c r="AN4214">
        <v>0.99999999107224402</v>
      </c>
    </row>
    <row r="4215" spans="1:40" x14ac:dyDescent="0.25">
      <c r="A4215" t="str">
        <f>"20190304164729603"</f>
        <v>20190304164729603</v>
      </c>
      <c r="B4215" t="str">
        <f>"1551689249593140"</f>
        <v>1551689249593140</v>
      </c>
      <c r="C4215" t="s">
        <v>40</v>
      </c>
      <c r="D4215">
        <v>4.4199070000000003</v>
      </c>
      <c r="E4215">
        <v>0.37697209999999998</v>
      </c>
      <c r="F4215" t="s">
        <v>41</v>
      </c>
      <c r="G4215">
        <v>-415.74299999999999</v>
      </c>
      <c r="H4215">
        <v>1.0500849999999999</v>
      </c>
      <c r="I4215">
        <v>124.7223</v>
      </c>
      <c r="J4215">
        <v>-415.86579999999998</v>
      </c>
      <c r="K4215">
        <v>1.121583</v>
      </c>
      <c r="L4215">
        <v>125.4534</v>
      </c>
      <c r="M4215">
        <v>-0.4584587</v>
      </c>
      <c r="N4215">
        <v>-9.5220659999999992E-3</v>
      </c>
      <c r="O4215">
        <v>-0.88866489999999998</v>
      </c>
      <c r="P4215">
        <v>-0.27382289999999998</v>
      </c>
      <c r="Q4215">
        <v>0.38744529999999999</v>
      </c>
      <c r="R4215">
        <v>-0.88028839999999997</v>
      </c>
      <c r="S4215">
        <v>-0.1032715</v>
      </c>
      <c r="T4215">
        <v>-0.2392426</v>
      </c>
      <c r="U4215">
        <v>-3.4914860000000001</v>
      </c>
      <c r="V4215">
        <v>-0.17129140000000001</v>
      </c>
      <c r="W4215">
        <v>0.3914223</v>
      </c>
      <c r="X4215">
        <v>0.90412820000000005</v>
      </c>
      <c r="Y4215">
        <v>-0.43181199999999997</v>
      </c>
      <c r="Z4215">
        <v>4.4187459999999998E-2</v>
      </c>
      <c r="AA4215">
        <v>0.90088060000000003</v>
      </c>
      <c r="AB4215">
        <v>34</v>
      </c>
      <c r="AC4215">
        <v>0.122799999999926</v>
      </c>
      <c r="AD4215">
        <v>-7.1498000000000006E-2</v>
      </c>
      <c r="AE4215">
        <v>-0.73109999999999697</v>
      </c>
      <c r="AF4215">
        <v>-0.440232464358632</v>
      </c>
      <c r="AG4215">
        <v>-7.1498000000000006E-2</v>
      </c>
      <c r="AH4215">
        <v>0.58796207089386199</v>
      </c>
      <c r="AI4215">
        <v>95.559722208980602</v>
      </c>
      <c r="AJ4215">
        <v>126.82377524010001</v>
      </c>
      <c r="AK4215">
        <v>0.73798101837992702</v>
      </c>
      <c r="AL4215">
        <v>66.956971497216202</v>
      </c>
      <c r="AM4215">
        <v>100.727813135834</v>
      </c>
      <c r="AN4215">
        <v>0.99999998134324397</v>
      </c>
    </row>
    <row r="4216" spans="1:40" x14ac:dyDescent="0.25">
      <c r="A4216" t="str">
        <f>"20190304164729624"</f>
        <v>20190304164729624</v>
      </c>
      <c r="B4216" t="str">
        <f>"1551689249613637"</f>
        <v>1551689249613637</v>
      </c>
      <c r="C4216" t="s">
        <v>40</v>
      </c>
      <c r="D4216">
        <v>4.4123010000000003</v>
      </c>
      <c r="E4216">
        <v>0.37521290000000002</v>
      </c>
      <c r="F4216" t="s">
        <v>41</v>
      </c>
      <c r="G4216">
        <v>-415.86380000000003</v>
      </c>
      <c r="H4216">
        <v>1.0634749999999999</v>
      </c>
      <c r="I4216">
        <v>124.4495</v>
      </c>
      <c r="J4216">
        <v>-416.00349999999997</v>
      </c>
      <c r="K4216">
        <v>1.1216060000000001</v>
      </c>
      <c r="L4216">
        <v>125.1652</v>
      </c>
      <c r="M4216">
        <v>-0.44781120000000002</v>
      </c>
      <c r="N4216">
        <v>-9.4738300000000008E-3</v>
      </c>
      <c r="O4216">
        <v>-0.89407800000000004</v>
      </c>
      <c r="P4216">
        <v>-0.26378780000000002</v>
      </c>
      <c r="Q4216">
        <v>0.3884611</v>
      </c>
      <c r="R4216">
        <v>-0.88290100000000005</v>
      </c>
      <c r="S4216">
        <v>7.8125E-3</v>
      </c>
      <c r="T4216">
        <v>-0.2025102</v>
      </c>
      <c r="U4216">
        <v>-3.4995569999999998</v>
      </c>
      <c r="V4216">
        <v>-0.17063789999999901</v>
      </c>
      <c r="W4216">
        <v>0.39239760000000001</v>
      </c>
      <c r="X4216">
        <v>0.90382899999999999</v>
      </c>
      <c r="Y4216">
        <v>-0.44963209999999998</v>
      </c>
      <c r="Z4216">
        <v>3.6048690000000001E-2</v>
      </c>
      <c r="AA4216">
        <v>0.89248609999999995</v>
      </c>
      <c r="AB4216">
        <v>34</v>
      </c>
      <c r="AC4216">
        <v>0.13969999999994701</v>
      </c>
      <c r="AD4216">
        <v>-5.8130999999999898E-2</v>
      </c>
      <c r="AE4216">
        <v>-0.715699999999998</v>
      </c>
      <c r="AF4216">
        <v>-0.442608373796743</v>
      </c>
      <c r="AG4216">
        <v>-5.8130999999999898E-2</v>
      </c>
      <c r="AH4216">
        <v>0.57371235303815005</v>
      </c>
      <c r="AI4216">
        <v>94.5867153388307</v>
      </c>
      <c r="AJ4216">
        <v>127.64951596052001</v>
      </c>
      <c r="AK4216">
        <v>0.72693001708869398</v>
      </c>
      <c r="AL4216">
        <v>66.896232804432401</v>
      </c>
      <c r="AM4216">
        <v>100.691286166919</v>
      </c>
      <c r="AN4216">
        <v>1.00000001532158</v>
      </c>
    </row>
    <row r="4217" spans="1:40" x14ac:dyDescent="0.25">
      <c r="A4217" t="str">
        <f>"20190304164729644"</f>
        <v>20190304164729644</v>
      </c>
      <c r="B4217" t="str">
        <f>"1551689249633157"</f>
        <v>1551689249633157</v>
      </c>
      <c r="C4217" t="s">
        <v>40</v>
      </c>
      <c r="D4217">
        <v>4.4225190000000003</v>
      </c>
      <c r="E4217">
        <v>0.37514310000000001</v>
      </c>
      <c r="F4217" t="s">
        <v>41</v>
      </c>
      <c r="G4217">
        <v>-415.9855</v>
      </c>
      <c r="H4217">
        <v>1.067609</v>
      </c>
      <c r="I4217">
        <v>124.1758</v>
      </c>
      <c r="J4217">
        <v>-416.13159999999999</v>
      </c>
      <c r="K4217">
        <v>1.1216299999999999</v>
      </c>
      <c r="L4217">
        <v>124.88890000000001</v>
      </c>
      <c r="M4217">
        <v>-0.4376158</v>
      </c>
      <c r="N4217">
        <v>-9.4289130000000006E-3</v>
      </c>
      <c r="O4217">
        <v>-0.89911269999999999</v>
      </c>
      <c r="P4217">
        <v>-0.2530693</v>
      </c>
      <c r="Q4217">
        <v>0.38958959999999998</v>
      </c>
      <c r="R4217">
        <v>-0.88553719999999903</v>
      </c>
      <c r="S4217">
        <v>6.4086909999999997E-2</v>
      </c>
      <c r="T4217">
        <v>-0.19103619999999999</v>
      </c>
      <c r="U4217">
        <v>-3.5010680000000001</v>
      </c>
      <c r="V4217">
        <v>-0.17115810000000001</v>
      </c>
      <c r="W4217">
        <v>0.39345380000000002</v>
      </c>
      <c r="X4217">
        <v>0.9032713</v>
      </c>
      <c r="Y4217">
        <v>-0.45382650000000002</v>
      </c>
      <c r="Z4217">
        <v>3.3807009999999998E-2</v>
      </c>
      <c r="AA4217">
        <v>0.89044849999999998</v>
      </c>
      <c r="AB4217">
        <v>34</v>
      </c>
      <c r="AC4217">
        <v>0.14609999999998899</v>
      </c>
      <c r="AD4217">
        <v>-5.4020999999999798E-2</v>
      </c>
      <c r="AE4217">
        <v>-0.71310000000001095</v>
      </c>
      <c r="AF4217">
        <v>-0.44101491597217302</v>
      </c>
      <c r="AG4217">
        <v>-5.4020999999999798E-2</v>
      </c>
      <c r="AH4217">
        <v>0.57408535409036399</v>
      </c>
      <c r="AI4217">
        <v>94.267634187370703</v>
      </c>
      <c r="AJ4217">
        <v>127.531629590241</v>
      </c>
      <c r="AK4217">
        <v>0.72593830201471099</v>
      </c>
      <c r="AL4217">
        <v>66.830423995436803</v>
      </c>
      <c r="AM4217">
        <v>100.729591580036</v>
      </c>
      <c r="AN4217">
        <v>1.0000000146668699</v>
      </c>
    </row>
    <row r="4218" spans="1:40" x14ac:dyDescent="0.25">
      <c r="A4218" t="str">
        <f>"20190304164729666"</f>
        <v>20190304164729666</v>
      </c>
      <c r="B4218" t="str">
        <f>"1551689249653653"</f>
        <v>1551689249653653</v>
      </c>
      <c r="C4218" t="s">
        <v>40</v>
      </c>
      <c r="D4218">
        <v>4.4382169999999999</v>
      </c>
      <c r="E4218">
        <v>0.37649349999999998</v>
      </c>
      <c r="F4218" t="s">
        <v>41</v>
      </c>
      <c r="G4218">
        <v>-416.10219999999998</v>
      </c>
      <c r="H4218">
        <v>1.0686340000000001</v>
      </c>
      <c r="I4218">
        <v>123.8997</v>
      </c>
      <c r="J4218">
        <v>-416.26670000000001</v>
      </c>
      <c r="K4218">
        <v>1.121651</v>
      </c>
      <c r="L4218">
        <v>124.5887</v>
      </c>
      <c r="M4218">
        <v>-0.42656050000000001</v>
      </c>
      <c r="N4218">
        <v>-9.3803540000000005E-3</v>
      </c>
      <c r="O4218">
        <v>-0.90441050000000001</v>
      </c>
      <c r="P4218">
        <v>-0.24073530000000001</v>
      </c>
      <c r="Q4218">
        <v>0.39077469999999997</v>
      </c>
      <c r="R4218">
        <v>-0.8884493</v>
      </c>
      <c r="S4218">
        <v>0.1049194</v>
      </c>
      <c r="T4218">
        <v>-0.1874526</v>
      </c>
      <c r="U4218">
        <v>-3.5002140000000002</v>
      </c>
      <c r="V4218">
        <v>-0.17248269999999999</v>
      </c>
      <c r="W4218">
        <v>0.39454030000000001</v>
      </c>
      <c r="X4218">
        <v>0.90254509999999999</v>
      </c>
      <c r="Y4218">
        <v>-0.45329429999999998</v>
      </c>
      <c r="Z4218">
        <v>3.3452830000000003E-2</v>
      </c>
      <c r="AA4218">
        <v>0.89073289999999905</v>
      </c>
      <c r="AB4218">
        <v>35</v>
      </c>
      <c r="AC4218">
        <v>0.16450000000003201</v>
      </c>
      <c r="AD4218">
        <v>-5.30169999999998E-2</v>
      </c>
      <c r="AE4218">
        <v>-0.68900000000000705</v>
      </c>
      <c r="AF4218">
        <v>-0.44022913472651498</v>
      </c>
      <c r="AG4218">
        <v>-5.30169999999998E-2</v>
      </c>
      <c r="AH4218">
        <v>0.54991348355907499</v>
      </c>
      <c r="AI4218">
        <v>94.304161095259502</v>
      </c>
      <c r="AJ4218">
        <v>128.678757521894</v>
      </c>
      <c r="AK4218">
        <v>0.70641158877182497</v>
      </c>
      <c r="AL4218">
        <v>66.762693011397701</v>
      </c>
      <c r="AM4218">
        <v>100.81917198379</v>
      </c>
      <c r="AN4218">
        <v>0.99999999382869498</v>
      </c>
    </row>
    <row r="4219" spans="1:40" x14ac:dyDescent="0.25">
      <c r="A4219" t="str">
        <f>"20190304164729690"</f>
        <v>20190304164729690</v>
      </c>
      <c r="B4219" t="str">
        <f>"1551689249682933"</f>
        <v>1551689249682933</v>
      </c>
      <c r="C4219" t="s">
        <v>40</v>
      </c>
      <c r="D4219">
        <v>4.4215849999999897</v>
      </c>
      <c r="E4219">
        <v>0.37798949999999998</v>
      </c>
      <c r="F4219" t="s">
        <v>41</v>
      </c>
      <c r="G4219">
        <v>-416.22800000000001</v>
      </c>
      <c r="H4219">
        <v>1.0699399999999999</v>
      </c>
      <c r="I4219">
        <v>123.6245</v>
      </c>
      <c r="J4219">
        <v>-416.41250000000002</v>
      </c>
      <c r="K4219">
        <v>1.1216569999999999</v>
      </c>
      <c r="L4219">
        <v>124.25360000000001</v>
      </c>
      <c r="M4219">
        <v>-0.41425990000000001</v>
      </c>
      <c r="N4219">
        <v>-9.3272049999999999E-3</v>
      </c>
      <c r="O4219">
        <v>-0.91011089999999994</v>
      </c>
      <c r="P4219">
        <v>-0.2275324</v>
      </c>
      <c r="Q4219">
        <v>0.39143709999999998</v>
      </c>
      <c r="R4219">
        <v>-0.89163139999999996</v>
      </c>
      <c r="S4219">
        <v>0.14056399999999999</v>
      </c>
      <c r="T4219">
        <v>-0.18754090000000001</v>
      </c>
      <c r="U4219">
        <v>-3.4972530000000002</v>
      </c>
      <c r="V4219">
        <v>-0.17355470000000001</v>
      </c>
      <c r="W4219">
        <v>0.39511160000000001</v>
      </c>
      <c r="X4219">
        <v>0.90208960000000005</v>
      </c>
      <c r="Y4219">
        <v>-0.45029989999999998</v>
      </c>
      <c r="Z4219">
        <v>3.4030440000000002E-2</v>
      </c>
      <c r="AA4219">
        <v>0.89222860000000004</v>
      </c>
      <c r="AB4219">
        <v>35</v>
      </c>
      <c r="AC4219">
        <v>0.18450000000001399</v>
      </c>
      <c r="AD4219">
        <v>-5.1716999999999999E-2</v>
      </c>
      <c r="AE4219">
        <v>-0.62910000000000799</v>
      </c>
      <c r="AF4219">
        <v>-0.42589467987681401</v>
      </c>
      <c r="AG4219">
        <v>-5.1716999999999999E-2</v>
      </c>
      <c r="AH4219">
        <v>0.49307302360865801</v>
      </c>
      <c r="AI4219">
        <v>94.538410332456294</v>
      </c>
      <c r="AJ4219">
        <v>130.819003026334</v>
      </c>
      <c r="AK4219">
        <v>0.65359156439397204</v>
      </c>
      <c r="AL4219">
        <v>66.727066251151896</v>
      </c>
      <c r="AM4219">
        <v>100.89017769392299</v>
      </c>
      <c r="AN4219">
        <v>1.0000000283874</v>
      </c>
    </row>
    <row r="4220" spans="1:40" x14ac:dyDescent="0.25">
      <c r="A4220" t="str">
        <f>"20190304164729713"</f>
        <v>20190304164729713</v>
      </c>
      <c r="B4220" t="str">
        <f>"1551689249703428"</f>
        <v>1551689249703428</v>
      </c>
      <c r="C4220" t="s">
        <v>40</v>
      </c>
      <c r="D4220">
        <v>4.4285990000000002</v>
      </c>
      <c r="E4220">
        <v>0.39081310000000002</v>
      </c>
      <c r="F4220" t="s">
        <v>41</v>
      </c>
      <c r="G4220">
        <v>-416.3639</v>
      </c>
      <c r="H4220">
        <v>1.0714539999999999</v>
      </c>
      <c r="I4220">
        <v>123.3223</v>
      </c>
      <c r="J4220">
        <v>-416.54829999999998</v>
      </c>
      <c r="K4220">
        <v>1.1216569999999999</v>
      </c>
      <c r="L4220">
        <v>123.9298</v>
      </c>
      <c r="M4220">
        <v>-0.4024336</v>
      </c>
      <c r="N4220">
        <v>-9.2781879999999997E-3</v>
      </c>
      <c r="O4220">
        <v>-0.91540239999999995</v>
      </c>
      <c r="P4220">
        <v>-0.21514069999999999</v>
      </c>
      <c r="Q4220">
        <v>0.39038620000000002</v>
      </c>
      <c r="R4220">
        <v>-0.89516119999999899</v>
      </c>
      <c r="S4220">
        <v>0.1832886</v>
      </c>
      <c r="T4220">
        <v>-0.18830079999999999</v>
      </c>
      <c r="U4220">
        <v>-3.4940639999999998</v>
      </c>
      <c r="V4220">
        <v>-0.1745476</v>
      </c>
      <c r="W4220">
        <v>0.39398680000000003</v>
      </c>
      <c r="X4220">
        <v>0.90238989999999997</v>
      </c>
      <c r="Y4220">
        <v>-0.44965119999999997</v>
      </c>
      <c r="Z4220">
        <v>3.469262E-2</v>
      </c>
      <c r="AA4220">
        <v>0.8925303</v>
      </c>
      <c r="AB4220">
        <v>35</v>
      </c>
      <c r="AC4220">
        <v>0.18439999999998199</v>
      </c>
      <c r="AD4220">
        <v>-5.0202999999999699E-2</v>
      </c>
      <c r="AE4220">
        <v>-0.60750000000000104</v>
      </c>
      <c r="AF4220">
        <v>-0.41072802108086498</v>
      </c>
      <c r="AG4220">
        <v>-5.0202999999999699E-2</v>
      </c>
      <c r="AH4220">
        <v>0.47892411550580999</v>
      </c>
      <c r="AI4220">
        <v>94.549469856265901</v>
      </c>
      <c r="AJ4220">
        <v>130.616576454625</v>
      </c>
      <c r="AK4220">
        <v>0.63291876012883796</v>
      </c>
      <c r="AL4220">
        <v>66.797201591774495</v>
      </c>
      <c r="AM4220">
        <v>100.947421622465</v>
      </c>
      <c r="AN4220">
        <v>0.99999999743100398</v>
      </c>
    </row>
    <row r="4221" spans="1:40" x14ac:dyDescent="0.25">
      <c r="A4221" t="str">
        <f>"20190304164729756"</f>
        <v>20190304164729756</v>
      </c>
      <c r="B4221" t="str">
        <f>"1551689249743444"</f>
        <v>1551689249743444</v>
      </c>
      <c r="C4221" t="s">
        <v>40</v>
      </c>
      <c r="D4221">
        <v>4.4588700000000001</v>
      </c>
      <c r="E4221">
        <v>0.39526670000000003</v>
      </c>
      <c r="F4221" t="s">
        <v>42</v>
      </c>
      <c r="G4221">
        <v>-415.8845</v>
      </c>
      <c r="H4221" s="1">
        <v>-4.0510790000000001E-6</v>
      </c>
      <c r="I4221">
        <v>106.65689999999999</v>
      </c>
      <c r="J4221">
        <v>-416.79169999999999</v>
      </c>
      <c r="K4221">
        <v>1.121615</v>
      </c>
      <c r="L4221">
        <v>123.3186</v>
      </c>
      <c r="M4221">
        <v>-0.38032969999999999</v>
      </c>
      <c r="N4221">
        <v>-9.1927080000000008E-3</v>
      </c>
      <c r="O4221">
        <v>-0.92480549999999995</v>
      </c>
      <c r="P4221">
        <v>-0.1902973</v>
      </c>
      <c r="Q4221">
        <v>0.38929580000000003</v>
      </c>
      <c r="R4221">
        <v>-0.90124150000000003</v>
      </c>
      <c r="S4221">
        <v>0.13381960000000001</v>
      </c>
      <c r="T4221">
        <v>-0.22611980000000001</v>
      </c>
      <c r="U4221">
        <v>-3.4821170000000001</v>
      </c>
      <c r="V4221">
        <v>-0.17797199999999999</v>
      </c>
      <c r="W4221">
        <v>0.39272820000000003</v>
      </c>
      <c r="X4221">
        <v>0.90226969999999995</v>
      </c>
      <c r="Y4221">
        <v>-0.41535539999999999</v>
      </c>
      <c r="Z4221">
        <v>4.5288969999999998E-2</v>
      </c>
      <c r="AA4221">
        <v>0.90853110000000004</v>
      </c>
      <c r="AB4221">
        <v>35</v>
      </c>
      <c r="AC4221">
        <v>0.90719999999998802</v>
      </c>
      <c r="AD4221">
        <v>-1.1216190510789901</v>
      </c>
      <c r="AE4221">
        <v>-16.6617</v>
      </c>
      <c r="AF4221">
        <v>-7.1439468414836202</v>
      </c>
      <c r="AG4221">
        <v>-1.1216190510789901</v>
      </c>
      <c r="AH4221">
        <v>14.9966720855279</v>
      </c>
      <c r="AI4221">
        <v>93.862824771081193</v>
      </c>
      <c r="AJ4221">
        <v>115.471673596106</v>
      </c>
      <c r="AK4221">
        <v>16.6491495101263</v>
      </c>
      <c r="AL4221">
        <v>66.875638183587</v>
      </c>
      <c r="AM4221">
        <v>101.158306716046</v>
      </c>
      <c r="AN4221">
        <v>1.0000000416986601</v>
      </c>
    </row>
    <row r="4222" spans="1:40" x14ac:dyDescent="0.25">
      <c r="A4222" t="str">
        <f>"20190304164729779"</f>
        <v>20190304164729779</v>
      </c>
      <c r="B4222" t="str">
        <f>"1551689249773701"</f>
        <v>1551689249773701</v>
      </c>
      <c r="C4222" t="s">
        <v>40</v>
      </c>
      <c r="D4222">
        <v>4.4738389999999999</v>
      </c>
      <c r="E4222">
        <v>0.39921459999999998</v>
      </c>
      <c r="F4222" t="s">
        <v>41</v>
      </c>
      <c r="G4222">
        <v>-416.73099999999999</v>
      </c>
      <c r="H4222">
        <v>1.042106</v>
      </c>
      <c r="I4222">
        <v>122.2032</v>
      </c>
      <c r="J4222">
        <v>-416.91699999999997</v>
      </c>
      <c r="K4222">
        <v>1.1215869999999999</v>
      </c>
      <c r="L4222">
        <v>122.98609999999999</v>
      </c>
      <c r="M4222">
        <v>-0.36843680000000001</v>
      </c>
      <c r="N4222">
        <v>-9.1523030000000005E-3</v>
      </c>
      <c r="O4222">
        <v>-0.92960790000000004</v>
      </c>
      <c r="P4222">
        <v>-0.17973220000000001</v>
      </c>
      <c r="Q4222">
        <v>0.3891945</v>
      </c>
      <c r="R4222">
        <v>-0.90345109999999995</v>
      </c>
      <c r="S4222">
        <v>0.18966669999999999</v>
      </c>
      <c r="T4222">
        <v>-0.2477385</v>
      </c>
      <c r="U4222">
        <v>-3.4758</v>
      </c>
      <c r="V4222">
        <v>-0.17695169999999999</v>
      </c>
      <c r="W4222">
        <v>0.39262989999999998</v>
      </c>
      <c r="X4222">
        <v>0.90251309999999996</v>
      </c>
      <c r="Y4222">
        <v>-0.41827989999999998</v>
      </c>
      <c r="Z4222">
        <v>5.1040660000000002E-2</v>
      </c>
      <c r="AA4222">
        <v>0.90688299999999999</v>
      </c>
      <c r="AB4222">
        <v>35</v>
      </c>
      <c r="AC4222">
        <v>0.18599999999997799</v>
      </c>
      <c r="AD4222">
        <v>-7.9481000000000093E-2</v>
      </c>
      <c r="AE4222">
        <v>-0.78289999999999704</v>
      </c>
      <c r="AF4222">
        <v>-0.456917847832502</v>
      </c>
      <c r="AG4222">
        <v>-7.9481000000000093E-2</v>
      </c>
      <c r="AH4222">
        <v>0.65291848383778905</v>
      </c>
      <c r="AI4222">
        <v>95.695595140092806</v>
      </c>
      <c r="AJ4222">
        <v>124.98465232699</v>
      </c>
      <c r="AK4222">
        <v>0.800870586028681</v>
      </c>
      <c r="AL4222">
        <v>66.8817617193139</v>
      </c>
      <c r="AM4222">
        <v>101.093010615514</v>
      </c>
      <c r="AN4222">
        <v>1.00000001908925</v>
      </c>
    </row>
    <row r="4223" spans="1:40" x14ac:dyDescent="0.25">
      <c r="A4223" t="str">
        <f>"20190304164729803"</f>
        <v>20190304164729803</v>
      </c>
      <c r="B4223" t="str">
        <f>"1551689249793220"</f>
        <v>1551689249793220</v>
      </c>
      <c r="C4223" t="s">
        <v>40</v>
      </c>
      <c r="D4223">
        <v>4.4969989999999997</v>
      </c>
      <c r="E4223">
        <v>0.4002675</v>
      </c>
      <c r="F4223" t="s">
        <v>41</v>
      </c>
      <c r="G4223">
        <v>-416.85559999999998</v>
      </c>
      <c r="H4223">
        <v>1.0426150000000001</v>
      </c>
      <c r="I4223">
        <v>121.91930000000001</v>
      </c>
      <c r="J4223">
        <v>-417.04599999999999</v>
      </c>
      <c r="K4223">
        <v>1.1215539999999999</v>
      </c>
      <c r="L4223">
        <v>122.63030000000001</v>
      </c>
      <c r="M4223">
        <v>-0.35579709999999998</v>
      </c>
      <c r="N4223">
        <v>-9.115939E-3</v>
      </c>
      <c r="O4223">
        <v>-0.93451870000000004</v>
      </c>
      <c r="P4223">
        <v>-0.16943749999999999</v>
      </c>
      <c r="Q4223">
        <v>0.38899919999999999</v>
      </c>
      <c r="R4223">
        <v>-0.90552250000000001</v>
      </c>
      <c r="S4223">
        <v>0.20047000000000001</v>
      </c>
      <c r="T4223">
        <v>-0.25693739999999998</v>
      </c>
      <c r="U4223">
        <v>-3.4711609999999999</v>
      </c>
      <c r="V4223">
        <v>-0.1749821</v>
      </c>
      <c r="W4223">
        <v>0.39246940000000002</v>
      </c>
      <c r="X4223">
        <v>0.90296679999999996</v>
      </c>
      <c r="Y4223">
        <v>-0.40881129999999999</v>
      </c>
      <c r="Z4223">
        <v>5.4083909999999999E-2</v>
      </c>
      <c r="AA4223">
        <v>0.91101500000000002</v>
      </c>
      <c r="AB4223">
        <v>35</v>
      </c>
      <c r="AC4223">
        <v>0.190400000000011</v>
      </c>
      <c r="AD4223">
        <v>-7.8938999999999995E-2</v>
      </c>
      <c r="AE4223">
        <v>-0.71099999999999797</v>
      </c>
      <c r="AF4223">
        <v>-0.42602201093338998</v>
      </c>
      <c r="AG4223">
        <v>-7.8938999999999995E-2</v>
      </c>
      <c r="AH4223">
        <v>0.58993850513054102</v>
      </c>
      <c r="AI4223">
        <v>96.191233961574795</v>
      </c>
      <c r="AJ4223">
        <v>125.83480053805501</v>
      </c>
      <c r="AK4223">
        <v>0.73195188322483795</v>
      </c>
      <c r="AL4223">
        <v>66.891759887820299</v>
      </c>
      <c r="AM4223">
        <v>100.967170973808</v>
      </c>
      <c r="AN4223">
        <v>1.0000000035795</v>
      </c>
    </row>
    <row r="4224" spans="1:40" x14ac:dyDescent="0.25">
      <c r="A4224" t="str">
        <f>"20190304164729827"</f>
        <v>20190304164729827</v>
      </c>
      <c r="B4224" t="str">
        <f>"1551689249823476"</f>
        <v>1551689249823476</v>
      </c>
      <c r="C4224" t="s">
        <v>40</v>
      </c>
      <c r="D4224">
        <v>4.498888</v>
      </c>
      <c r="E4224">
        <v>0.41207729999999998</v>
      </c>
      <c r="F4224" t="s">
        <v>41</v>
      </c>
      <c r="G4224">
        <v>-416.97390000000001</v>
      </c>
      <c r="H4224">
        <v>1.043404</v>
      </c>
      <c r="I4224">
        <v>121.5761</v>
      </c>
      <c r="J4224">
        <v>-417.1653</v>
      </c>
      <c r="K4224">
        <v>1.121529</v>
      </c>
      <c r="L4224">
        <v>122.2878</v>
      </c>
      <c r="M4224">
        <v>-0.34373320000000002</v>
      </c>
      <c r="N4224">
        <v>-9.0848969999999998E-3</v>
      </c>
      <c r="O4224">
        <v>-0.93902359999999896</v>
      </c>
      <c r="P4224">
        <v>-0.15964130000000001</v>
      </c>
      <c r="Q4224">
        <v>0.3896346</v>
      </c>
      <c r="R4224">
        <v>-0.90702799999999995</v>
      </c>
      <c r="S4224">
        <v>0.2373962</v>
      </c>
      <c r="T4224">
        <v>-0.25704959999999999</v>
      </c>
      <c r="U4224">
        <v>-3.4678650000000002</v>
      </c>
      <c r="V4224">
        <v>-0.17300279999999901</v>
      </c>
      <c r="W4224">
        <v>0.39314480000000002</v>
      </c>
      <c r="X4224">
        <v>0.90305440000000003</v>
      </c>
      <c r="Y4224">
        <v>-0.40677170000000001</v>
      </c>
      <c r="Z4224">
        <v>5.4697919999999997E-2</v>
      </c>
      <c r="AA4224">
        <v>0.91189089999999995</v>
      </c>
      <c r="AB4224">
        <v>35</v>
      </c>
      <c r="AC4224">
        <v>0.191399999999987</v>
      </c>
      <c r="AD4224">
        <v>-7.8125E-2</v>
      </c>
      <c r="AE4224">
        <v>-0.71170000000000699</v>
      </c>
      <c r="AF4224">
        <v>-0.41966558837955298</v>
      </c>
      <c r="AG4224">
        <v>-7.8125E-2</v>
      </c>
      <c r="AH4224">
        <v>0.59584170086592902</v>
      </c>
      <c r="AI4224">
        <v>96.118573590590302</v>
      </c>
      <c r="AJ4224">
        <v>125.157954374417</v>
      </c>
      <c r="AK4224">
        <v>0.73297343347884003</v>
      </c>
      <c r="AL4224">
        <v>66.849680519361002</v>
      </c>
      <c r="AM4224">
        <v>100.84504791952099</v>
      </c>
      <c r="AN4224">
        <v>1.00000002596711</v>
      </c>
    </row>
    <row r="4225" spans="1:40" x14ac:dyDescent="0.25">
      <c r="A4225" t="str">
        <f>"20190304164729845"</f>
        <v>20190304164729845</v>
      </c>
      <c r="B4225" t="str">
        <f>"1551689249833237"</f>
        <v>1551689249833237</v>
      </c>
      <c r="C4225" t="s">
        <v>40</v>
      </c>
      <c r="D4225">
        <v>4.4833509999999999</v>
      </c>
      <c r="E4225">
        <v>0.4121109</v>
      </c>
      <c r="F4225" t="s">
        <v>42</v>
      </c>
      <c r="G4225">
        <v>-416.35120000000001</v>
      </c>
      <c r="H4225" s="1">
        <v>-4.2254560000000001E-6</v>
      </c>
      <c r="I4225">
        <v>107.2009</v>
      </c>
      <c r="J4225">
        <v>-417.25909999999999</v>
      </c>
      <c r="K4225">
        <v>1.1215029999999999</v>
      </c>
      <c r="L4225">
        <v>122.00830000000001</v>
      </c>
      <c r="M4225">
        <v>-0.3339821</v>
      </c>
      <c r="N4225">
        <v>-9.0609460000000003E-3</v>
      </c>
      <c r="O4225">
        <v>-0.94253589999999998</v>
      </c>
      <c r="P4225">
        <v>-0.15262249999999999</v>
      </c>
      <c r="Q4225">
        <v>0.39078410000000002</v>
      </c>
      <c r="R4225">
        <v>-0.90774109999999997</v>
      </c>
      <c r="S4225">
        <v>0.18618770000000001</v>
      </c>
      <c r="T4225">
        <v>-0.25650240000000002</v>
      </c>
      <c r="U4225">
        <v>-3.4504700000000001</v>
      </c>
      <c r="V4225">
        <v>-0.17045579999999999</v>
      </c>
      <c r="W4225">
        <v>0.39435540000000002</v>
      </c>
      <c r="X4225">
        <v>0.90301089999999995</v>
      </c>
      <c r="Y4225">
        <v>-0.38402520000000001</v>
      </c>
      <c r="Z4225">
        <v>5.5721359999999998E-2</v>
      </c>
      <c r="AA4225">
        <v>0.92163969999999995</v>
      </c>
      <c r="AB4225">
        <v>35</v>
      </c>
      <c r="AC4225">
        <v>0.90789999999998305</v>
      </c>
      <c r="AD4225">
        <v>-1.1215072254559999</v>
      </c>
      <c r="AE4225">
        <v>-14.807399999999999</v>
      </c>
      <c r="AF4225">
        <v>-5.7684063575973799</v>
      </c>
      <c r="AG4225">
        <v>-1.1215072254559999</v>
      </c>
      <c r="AH4225">
        <v>13.5762553687806</v>
      </c>
      <c r="AI4225">
        <v>94.347817356686903</v>
      </c>
      <c r="AJ4225">
        <v>113.020122083335</v>
      </c>
      <c r="AK4225">
        <v>14.793478299624599</v>
      </c>
      <c r="AL4225">
        <v>66.774222499207198</v>
      </c>
      <c r="AM4225">
        <v>100.689592320876</v>
      </c>
      <c r="AN4225">
        <v>1.0000000233908</v>
      </c>
    </row>
    <row r="4226" spans="1:40" x14ac:dyDescent="0.25">
      <c r="A4226" t="str">
        <f>"20190304164729868"</f>
        <v>20190304164729868</v>
      </c>
      <c r="B4226" t="str">
        <f>"1551689249863493"</f>
        <v>1551689249863493</v>
      </c>
      <c r="C4226" t="s">
        <v>40</v>
      </c>
      <c r="D4226">
        <v>4.5020220000000002</v>
      </c>
      <c r="E4226">
        <v>0.41373929999999998</v>
      </c>
      <c r="F4226" t="s">
        <v>42</v>
      </c>
      <c r="G4226">
        <v>-416.27210000000002</v>
      </c>
      <c r="H4226" s="1">
        <v>-3.7731259999999998E-6</v>
      </c>
      <c r="I4226">
        <v>106.21429999999999</v>
      </c>
      <c r="J4226">
        <v>-417.36579999999998</v>
      </c>
      <c r="K4226">
        <v>1.121461</v>
      </c>
      <c r="L4226">
        <v>121.6782</v>
      </c>
      <c r="M4226">
        <v>-0.32256240000000003</v>
      </c>
      <c r="N4226">
        <v>-9.0339909999999999E-3</v>
      </c>
      <c r="O4226">
        <v>-0.94650509999999999</v>
      </c>
      <c r="P4226">
        <v>-0.1434677</v>
      </c>
      <c r="Q4226">
        <v>0.39159949999999999</v>
      </c>
      <c r="R4226">
        <v>-0.90888239999999998</v>
      </c>
      <c r="S4226">
        <v>0.21536250000000001</v>
      </c>
      <c r="T4226">
        <v>-0.24472730000000001</v>
      </c>
      <c r="U4226">
        <v>-3.4464570000000001</v>
      </c>
      <c r="V4226">
        <v>-0.16849929999999999</v>
      </c>
      <c r="W4226">
        <v>0.3952176</v>
      </c>
      <c r="X4226">
        <v>0.9030011</v>
      </c>
      <c r="Y4226">
        <v>-0.38071529999999998</v>
      </c>
      <c r="Z4226">
        <v>5.3299739999999998E-2</v>
      </c>
      <c r="AA4226">
        <v>0.9231549</v>
      </c>
      <c r="AB4226">
        <v>35</v>
      </c>
      <c r="AC4226">
        <v>1.0936999999999499</v>
      </c>
      <c r="AD4226">
        <v>-1.1214647731259999</v>
      </c>
      <c r="AE4226">
        <v>-15.463900000000001</v>
      </c>
      <c r="AF4226">
        <v>-5.9921530167779498</v>
      </c>
      <c r="AG4226">
        <v>-1.1214647731259999</v>
      </c>
      <c r="AH4226">
        <v>14.2100924291216</v>
      </c>
      <c r="AI4226">
        <v>94.1591901102978</v>
      </c>
      <c r="AJ4226">
        <v>112.86432109203599</v>
      </c>
      <c r="AK4226">
        <v>15.4625453227476</v>
      </c>
      <c r="AL4226">
        <v>66.720453503665894</v>
      </c>
      <c r="AM4226">
        <v>100.56978902669699</v>
      </c>
      <c r="AN4226">
        <v>0.99999997602572899</v>
      </c>
    </row>
    <row r="4227" spans="1:40" x14ac:dyDescent="0.25">
      <c r="A4227" t="str">
        <f>"20190304164729890"</f>
        <v>20190304164729890</v>
      </c>
      <c r="B4227" t="str">
        <f>"1551689249883144"</f>
        <v>1551689249883144</v>
      </c>
      <c r="C4227" t="s">
        <v>40</v>
      </c>
      <c r="D4227">
        <v>4.4967189999999997</v>
      </c>
      <c r="E4227">
        <v>0.41534500000000002</v>
      </c>
      <c r="F4227" t="s">
        <v>42</v>
      </c>
      <c r="G4227">
        <v>-416.24029999999999</v>
      </c>
      <c r="H4227" s="1">
        <v>-3.4312510000000002E-6</v>
      </c>
      <c r="I4227">
        <v>105.4791</v>
      </c>
      <c r="J4227">
        <v>-417.47460000000001</v>
      </c>
      <c r="K4227">
        <v>1.12141</v>
      </c>
      <c r="L4227">
        <v>121.3283</v>
      </c>
      <c r="M4227">
        <v>-0.31058239999999998</v>
      </c>
      <c r="N4227">
        <v>-9.0076400000000008E-3</v>
      </c>
      <c r="O4227">
        <v>-0.9505036</v>
      </c>
      <c r="P4227">
        <v>-0.13364679999999901</v>
      </c>
      <c r="Q4227">
        <v>0.39285910000000002</v>
      </c>
      <c r="R4227">
        <v>-0.90983519999999896</v>
      </c>
      <c r="S4227">
        <v>0.23910519999999999</v>
      </c>
      <c r="T4227">
        <v>-0.23823169999999999</v>
      </c>
      <c r="U4227">
        <v>-3.441147</v>
      </c>
      <c r="V4227">
        <v>-0.16665389999999999</v>
      </c>
      <c r="W4227">
        <v>0.3965225</v>
      </c>
      <c r="X4227">
        <v>0.90277149999999995</v>
      </c>
      <c r="Y4227">
        <v>-0.37547530000000001</v>
      </c>
      <c r="Z4227">
        <v>5.2236989999999997E-2</v>
      </c>
      <c r="AA4227">
        <v>0.92535919999999905</v>
      </c>
      <c r="AB4227">
        <v>35</v>
      </c>
      <c r="AC4227">
        <v>1.2343000000000099</v>
      </c>
      <c r="AD4227">
        <v>-1.121413431251</v>
      </c>
      <c r="AE4227">
        <v>-15.8491999999999</v>
      </c>
      <c r="AF4227">
        <v>-6.06575360403603</v>
      </c>
      <c r="AG4227">
        <v>-1.121413431251</v>
      </c>
      <c r="AH4227">
        <v>14.6092704751601</v>
      </c>
      <c r="AI4227">
        <v>94.055064806980198</v>
      </c>
      <c r="AJ4227">
        <v>112.54817306732301</v>
      </c>
      <c r="AK4227">
        <v>15.8581751372928</v>
      </c>
      <c r="AL4227">
        <v>66.6390375875079</v>
      </c>
      <c r="AM4227">
        <v>100.45919667253099</v>
      </c>
      <c r="AN4227">
        <v>0.99999999830185504</v>
      </c>
    </row>
    <row r="4228" spans="1:40" x14ac:dyDescent="0.25">
      <c r="A4228" t="str">
        <f>"20190304164729912"</f>
        <v>20190304164729912</v>
      </c>
      <c r="B4228" t="str">
        <f>"1551689249903621"</f>
        <v>1551689249903621</v>
      </c>
      <c r="C4228" t="s">
        <v>40</v>
      </c>
      <c r="D4228">
        <v>4.615882</v>
      </c>
      <c r="E4228">
        <v>0.45175880000000002</v>
      </c>
      <c r="F4228" t="s">
        <v>42</v>
      </c>
      <c r="G4228">
        <v>-416.20080000000002</v>
      </c>
      <c r="H4228" s="1">
        <v>-3.1197E-6</v>
      </c>
      <c r="I4228">
        <v>104.8053</v>
      </c>
      <c r="J4228">
        <v>-417.56939999999997</v>
      </c>
      <c r="K4228">
        <v>1.1213610000000001</v>
      </c>
      <c r="L4228">
        <v>121.0094</v>
      </c>
      <c r="M4228">
        <v>-0.29977979999999999</v>
      </c>
      <c r="N4228">
        <v>-8.9860519999999996E-3</v>
      </c>
      <c r="O4228">
        <v>-0.95396619999999999</v>
      </c>
      <c r="P4228">
        <v>-0.124903399999999</v>
      </c>
      <c r="Q4228">
        <v>0.3941287</v>
      </c>
      <c r="R4228">
        <v>-0.91052829999999996</v>
      </c>
      <c r="S4228">
        <v>0.26495360000000001</v>
      </c>
      <c r="T4228">
        <v>-0.23326359999999999</v>
      </c>
      <c r="U4228">
        <v>-3.4369350000000001</v>
      </c>
      <c r="V4228">
        <v>-0.16489690000000001</v>
      </c>
      <c r="W4228">
        <v>0.39783879999999999</v>
      </c>
      <c r="X4228">
        <v>0.90251499999999996</v>
      </c>
      <c r="Y4228">
        <v>-0.37197000000000002</v>
      </c>
      <c r="Z4228">
        <v>5.1433319999999998E-2</v>
      </c>
      <c r="AA4228">
        <v>0.9268187</v>
      </c>
      <c r="AB4228">
        <v>35</v>
      </c>
      <c r="AC4228">
        <v>1.3685999999999501</v>
      </c>
      <c r="AD4228">
        <v>-1.1213641196999999</v>
      </c>
      <c r="AE4228">
        <v>-16.204099999999901</v>
      </c>
      <c r="AF4228">
        <v>-6.1343390923258498</v>
      </c>
      <c r="AG4228">
        <v>-1.1213641196999999</v>
      </c>
      <c r="AH4228">
        <v>14.977273333698299</v>
      </c>
      <c r="AI4228">
        <v>93.963396922182298</v>
      </c>
      <c r="AJ4228">
        <v>112.272852900193</v>
      </c>
      <c r="AK4228">
        <v>16.2236336898026</v>
      </c>
      <c r="AL4228">
        <v>66.556859519962103</v>
      </c>
      <c r="AM4228">
        <v>100.354201739194</v>
      </c>
      <c r="AN4228">
        <v>1.0000000118200201</v>
      </c>
    </row>
    <row r="4229" spans="1:40" x14ac:dyDescent="0.25">
      <c r="A4229" t="str">
        <f>"20190304164729934"</f>
        <v>20190304164729934</v>
      </c>
      <c r="B4229" t="str">
        <f>"1551689249923141"</f>
        <v>1551689249923141</v>
      </c>
      <c r="C4229" t="s">
        <v>40</v>
      </c>
      <c r="D4229">
        <v>4.588565</v>
      </c>
      <c r="E4229">
        <v>0.45715850000000002</v>
      </c>
      <c r="F4229" t="s">
        <v>42</v>
      </c>
      <c r="G4229">
        <v>-417.52210000000002</v>
      </c>
      <c r="H4229" s="1">
        <v>-3.1447749999999999E-6</v>
      </c>
      <c r="I4229">
        <v>105.3541</v>
      </c>
      <c r="J4229">
        <v>-417.66250000000002</v>
      </c>
      <c r="K4229">
        <v>1.1213059999999999</v>
      </c>
      <c r="L4229">
        <v>120.6837</v>
      </c>
      <c r="M4229">
        <v>-0.2888599</v>
      </c>
      <c r="N4229">
        <v>-8.9659419999999993E-3</v>
      </c>
      <c r="O4229">
        <v>-0.95732950000000006</v>
      </c>
      <c r="P4229">
        <v>-0.1159024</v>
      </c>
      <c r="Q4229">
        <v>0.3949474</v>
      </c>
      <c r="R4229">
        <v>-0.9113637</v>
      </c>
      <c r="S4229">
        <v>1.0284420000000001E-2</v>
      </c>
      <c r="T4229">
        <v>-0.24365700000000001</v>
      </c>
      <c r="U4229">
        <v>-3.401688</v>
      </c>
      <c r="V4229">
        <v>-0.1633598</v>
      </c>
      <c r="W4229">
        <v>0.39870260000000002</v>
      </c>
      <c r="X4229">
        <v>0.90241329999999997</v>
      </c>
      <c r="Y4229">
        <v>-0.2916359</v>
      </c>
      <c r="Z4229">
        <v>5.6376790000000003E-2</v>
      </c>
      <c r="AA4229">
        <v>0.95486660000000001</v>
      </c>
      <c r="AB4229">
        <v>35</v>
      </c>
      <c r="AC4229">
        <v>0.140399999999999</v>
      </c>
      <c r="AD4229">
        <v>-1.1213091447750001</v>
      </c>
      <c r="AE4229">
        <v>-15.329599999999999</v>
      </c>
      <c r="AF4229">
        <v>-4.5384182475929098</v>
      </c>
      <c r="AG4229">
        <v>-1.1213091447750001</v>
      </c>
      <c r="AH4229">
        <v>14.5576260736481</v>
      </c>
      <c r="AI4229">
        <v>94.205670700923903</v>
      </c>
      <c r="AJ4229">
        <v>107.315148506735</v>
      </c>
      <c r="AK4229">
        <v>15.289834900625999</v>
      </c>
      <c r="AL4229">
        <v>66.502902634528795</v>
      </c>
      <c r="AM4229">
        <v>100.260875216511</v>
      </c>
      <c r="AN4229">
        <v>0.99999997575984401</v>
      </c>
    </row>
    <row r="4230" spans="1:40" x14ac:dyDescent="0.25">
      <c r="A4230" t="str">
        <f>"20190304164729958"</f>
        <v>20190304164729958</v>
      </c>
      <c r="B4230" t="str">
        <f>"1551689249953398"</f>
        <v>1551689249953398</v>
      </c>
      <c r="C4230" t="s">
        <v>40</v>
      </c>
      <c r="D4230">
        <v>4.6032909999999996</v>
      </c>
      <c r="E4230">
        <v>0.46214630000000001</v>
      </c>
      <c r="F4230" t="s">
        <v>42</v>
      </c>
      <c r="G4230">
        <v>-417.65800000000002</v>
      </c>
      <c r="H4230" s="1">
        <v>-3.3774110000000001E-6</v>
      </c>
      <c r="I4230">
        <v>105.8972</v>
      </c>
      <c r="J4230">
        <v>-417.75900000000001</v>
      </c>
      <c r="K4230">
        <v>1.1212420000000001</v>
      </c>
      <c r="L4230">
        <v>120.3292</v>
      </c>
      <c r="M4230">
        <v>-0.27712179999999997</v>
      </c>
      <c r="N4230">
        <v>-8.945761E-3</v>
      </c>
      <c r="O4230">
        <v>-0.96079329999999996</v>
      </c>
      <c r="P4230">
        <v>-0.10515049999999999</v>
      </c>
      <c r="Q4230">
        <v>0.39516580000000001</v>
      </c>
      <c r="R4230">
        <v>-0.91257189999999999</v>
      </c>
      <c r="S4230">
        <v>1.037598E-3</v>
      </c>
      <c r="T4230">
        <v>-0.25811970000000001</v>
      </c>
      <c r="U4230">
        <v>-3.403778</v>
      </c>
      <c r="V4230">
        <v>-0.16286539999999999</v>
      </c>
      <c r="W4230">
        <v>0.3989413</v>
      </c>
      <c r="X4230">
        <v>0.90239720000000001</v>
      </c>
      <c r="Y4230">
        <v>-0.2773024</v>
      </c>
      <c r="Z4230">
        <v>6.0771499999999999E-2</v>
      </c>
      <c r="AA4230">
        <v>0.95885880000000001</v>
      </c>
      <c r="AB4230">
        <v>35</v>
      </c>
      <c r="AC4230">
        <v>0.10099999999999899</v>
      </c>
      <c r="AD4230">
        <v>-1.1212453774110001</v>
      </c>
      <c r="AE4230">
        <v>-14.432</v>
      </c>
      <c r="AF4230">
        <v>-4.0720476592921599</v>
      </c>
      <c r="AG4230">
        <v>-1.1212453774110001</v>
      </c>
      <c r="AH4230">
        <v>13.755706186821801</v>
      </c>
      <c r="AI4230">
        <v>94.469073822002898</v>
      </c>
      <c r="AJ4230">
        <v>106.49012713186799</v>
      </c>
      <c r="AK4230">
        <v>14.3895175747514</v>
      </c>
      <c r="AL4230">
        <v>66.487989376211402</v>
      </c>
      <c r="AM4230">
        <v>100.230656688335</v>
      </c>
      <c r="AN4230">
        <v>1.00000000296534</v>
      </c>
    </row>
    <row r="4231" spans="1:40" x14ac:dyDescent="0.25">
      <c r="A4231" t="str">
        <f>"20190304164729980"</f>
        <v>20190304164729980</v>
      </c>
      <c r="B4231" t="str">
        <f>"1551689249972917"</f>
        <v>1551689249972917</v>
      </c>
      <c r="C4231" t="s">
        <v>40</v>
      </c>
      <c r="D4231">
        <v>4.5783889999999996</v>
      </c>
      <c r="E4231">
        <v>0.46433600000000003</v>
      </c>
      <c r="F4231" t="s">
        <v>42</v>
      </c>
      <c r="G4231">
        <v>-417.75130000000001</v>
      </c>
      <c r="H4231" s="1">
        <v>-3.6077319999999998E-6</v>
      </c>
      <c r="I4231">
        <v>106.4195</v>
      </c>
      <c r="J4231">
        <v>-417.84870000000001</v>
      </c>
      <c r="K4231">
        <v>1.121162</v>
      </c>
      <c r="L4231">
        <v>119.98390000000001</v>
      </c>
      <c r="M4231">
        <v>-0.26582820000000001</v>
      </c>
      <c r="N4231">
        <v>-8.9273800000000004E-3</v>
      </c>
      <c r="O4231">
        <v>-0.96397920000000004</v>
      </c>
      <c r="P4231">
        <v>-9.5161179999999998E-2</v>
      </c>
      <c r="Q4231">
        <v>0.3951501</v>
      </c>
      <c r="R4231">
        <v>-0.91367449999999995</v>
      </c>
      <c r="S4231">
        <v>1.8920899999999999E-3</v>
      </c>
      <c r="T4231">
        <v>-0.27459660000000002</v>
      </c>
      <c r="U4231">
        <v>-3.4065249999999998</v>
      </c>
      <c r="V4231">
        <v>-0.16207750000000001</v>
      </c>
      <c r="W4231">
        <v>0.39895750000000002</v>
      </c>
      <c r="X4231">
        <v>0.90253190000000005</v>
      </c>
      <c r="Y4231">
        <v>-0.26624910000000002</v>
      </c>
      <c r="Z4231">
        <v>6.5663810000000003E-2</v>
      </c>
      <c r="AA4231">
        <v>0.96166499999999999</v>
      </c>
      <c r="AB4231">
        <v>36</v>
      </c>
      <c r="AC4231">
        <v>9.73999999999932E-2</v>
      </c>
      <c r="AD4231">
        <v>-1.121165607732</v>
      </c>
      <c r="AE4231">
        <v>-13.564399999999999</v>
      </c>
      <c r="AF4231">
        <v>-3.6747346824476601</v>
      </c>
      <c r="AG4231">
        <v>-1.121165607732</v>
      </c>
      <c r="AH4231">
        <v>12.9618773199713</v>
      </c>
      <c r="AI4231">
        <v>94.757051859883902</v>
      </c>
      <c r="AJ4231">
        <v>105.828206962332</v>
      </c>
      <c r="AK4231">
        <v>13.5192807117957</v>
      </c>
      <c r="AL4231">
        <v>66.486977483247799</v>
      </c>
      <c r="AM4231">
        <v>100.18071351675999</v>
      </c>
      <c r="AN4231">
        <v>1.00000001666505</v>
      </c>
    </row>
    <row r="4232" spans="1:40" x14ac:dyDescent="0.25">
      <c r="A4232" t="str">
        <f>"20190304164730024"</f>
        <v>20190304164730024</v>
      </c>
      <c r="B4232" t="str">
        <f>"1551689250012936"</f>
        <v>1551689250012936</v>
      </c>
      <c r="C4232" t="s">
        <v>40</v>
      </c>
      <c r="D4232">
        <v>4.6083910000000001</v>
      </c>
      <c r="E4232">
        <v>0.46684949999999997</v>
      </c>
      <c r="F4232" t="s">
        <v>42</v>
      </c>
      <c r="G4232">
        <v>-417.75760000000002</v>
      </c>
      <c r="H4232" s="1">
        <v>-3.6231199999999998E-6</v>
      </c>
      <c r="I4232">
        <v>106.45440000000001</v>
      </c>
      <c r="J4232">
        <v>-418.01220000000001</v>
      </c>
      <c r="K4232">
        <v>1.121008</v>
      </c>
      <c r="L4232">
        <v>119.30970000000001</v>
      </c>
      <c r="M4232">
        <v>-0.244141</v>
      </c>
      <c r="N4232">
        <v>-8.8972099999999991E-3</v>
      </c>
      <c r="O4232">
        <v>-0.96969879999999997</v>
      </c>
      <c r="P4232">
        <v>-7.4074100000000004E-2</v>
      </c>
      <c r="Q4232">
        <v>0.392376</v>
      </c>
      <c r="R4232">
        <v>-0.9168174</v>
      </c>
      <c r="S4232">
        <v>2.2949219999999999E-2</v>
      </c>
      <c r="T4232">
        <v>-0.28241460000000002</v>
      </c>
      <c r="U4232">
        <v>-3.4079899999999999</v>
      </c>
      <c r="V4232">
        <v>-0.1627236</v>
      </c>
      <c r="W4232">
        <v>0.39619900000000002</v>
      </c>
      <c r="X4232">
        <v>0.90363009999999999</v>
      </c>
      <c r="Y4232">
        <v>-0.25054169999999998</v>
      </c>
      <c r="Z4232">
        <v>6.8644280000000002E-2</v>
      </c>
      <c r="AA4232">
        <v>0.96566909999999895</v>
      </c>
      <c r="AB4232">
        <v>36</v>
      </c>
      <c r="AC4232">
        <v>0.25459999999998201</v>
      </c>
      <c r="AD4232">
        <v>-1.12101162312</v>
      </c>
      <c r="AE4232">
        <v>-12.8553</v>
      </c>
      <c r="AF4232">
        <v>-3.3599854190270499</v>
      </c>
      <c r="AG4232">
        <v>-1.12101162312</v>
      </c>
      <c r="AH4232">
        <v>12.3105276964911</v>
      </c>
      <c r="AI4232">
        <v>95.020426427881603</v>
      </c>
      <c r="AJ4232">
        <v>105.26624603281</v>
      </c>
      <c r="AK4232">
        <v>12.8099672615241</v>
      </c>
      <c r="AL4232">
        <v>66.659226070415897</v>
      </c>
      <c r="AM4232">
        <v>100.20828398508699</v>
      </c>
      <c r="AN4232">
        <v>0.99999998761198405</v>
      </c>
    </row>
    <row r="4233" spans="1:40" x14ac:dyDescent="0.25">
      <c r="A4233" t="str">
        <f>"20190304164730046"</f>
        <v>20190304164730046</v>
      </c>
      <c r="B4233" t="str">
        <f>"1551689250033429"</f>
        <v>1551689250033429</v>
      </c>
      <c r="C4233" t="s">
        <v>40</v>
      </c>
      <c r="D4233">
        <v>4.6109220000000004</v>
      </c>
      <c r="E4233">
        <v>0.47870639999999998</v>
      </c>
      <c r="F4233" t="s">
        <v>42</v>
      </c>
      <c r="G4233">
        <v>-417.70510000000002</v>
      </c>
      <c r="H4233" s="1">
        <v>-3.7032739999999999E-6</v>
      </c>
      <c r="I4233">
        <v>106.60429999999999</v>
      </c>
      <c r="J4233">
        <v>-418.08920000000001</v>
      </c>
      <c r="K4233">
        <v>1.120927</v>
      </c>
      <c r="L4233">
        <v>118.9679</v>
      </c>
      <c r="M4233">
        <v>-0.2333472</v>
      </c>
      <c r="N4233">
        <v>-8.8832140000000004E-3</v>
      </c>
      <c r="O4233">
        <v>-0.97235309999999997</v>
      </c>
      <c r="P4233">
        <v>-6.2631850000000003E-2</v>
      </c>
      <c r="Q4233">
        <v>0.39220450000000001</v>
      </c>
      <c r="R4233">
        <v>-0.91774350000000005</v>
      </c>
      <c r="S4233">
        <v>8.236694E-2</v>
      </c>
      <c r="T4233">
        <v>-0.300649</v>
      </c>
      <c r="U4233">
        <v>-3.4075160000000002</v>
      </c>
      <c r="V4233">
        <v>-0.16389400000000001</v>
      </c>
      <c r="W4233">
        <v>0.39601019999999998</v>
      </c>
      <c r="X4233">
        <v>0.90350129999999995</v>
      </c>
      <c r="Y4233">
        <v>-0.25659110000000002</v>
      </c>
      <c r="Z4233">
        <v>7.3889999999999997E-2</v>
      </c>
      <c r="AA4233">
        <v>0.96369150000000003</v>
      </c>
      <c r="AB4233">
        <v>36</v>
      </c>
      <c r="AC4233">
        <v>0.38409999999998901</v>
      </c>
      <c r="AD4233">
        <v>-1.1209307032739999</v>
      </c>
      <c r="AE4233">
        <v>-12.3636</v>
      </c>
      <c r="AF4233">
        <v>-3.2320784131979599</v>
      </c>
      <c r="AG4233">
        <v>-1.1209307032739999</v>
      </c>
      <c r="AH4233">
        <v>11.8354321801423</v>
      </c>
      <c r="AI4233">
        <v>95.220291647313203</v>
      </c>
      <c r="AJ4233">
        <v>105.274191631356</v>
      </c>
      <c r="AK4233">
        <v>12.3199136117649</v>
      </c>
      <c r="AL4233">
        <v>66.671006469984604</v>
      </c>
      <c r="AM4233">
        <v>100.281581697636</v>
      </c>
      <c r="AN4233">
        <v>0.99999996042086403</v>
      </c>
    </row>
    <row r="4234" spans="1:40" x14ac:dyDescent="0.25">
      <c r="A4234" t="str">
        <f>"20190304164730069"</f>
        <v>20190304164730069</v>
      </c>
      <c r="B4234" t="str">
        <f>"1551689250063685"</f>
        <v>1551689250063685</v>
      </c>
      <c r="C4234" t="s">
        <v>40</v>
      </c>
      <c r="D4234">
        <v>4.6220540000000003</v>
      </c>
      <c r="E4234">
        <v>0.48152400000000001</v>
      </c>
      <c r="F4234" t="s">
        <v>42</v>
      </c>
      <c r="G4234">
        <v>-417.99079999999998</v>
      </c>
      <c r="H4234" s="1">
        <v>-4.1819910000000003E-6</v>
      </c>
      <c r="I4234">
        <v>107.7242</v>
      </c>
      <c r="J4234">
        <v>-418.16520000000003</v>
      </c>
      <c r="K4234">
        <v>1.1208359999999999</v>
      </c>
      <c r="L4234">
        <v>118.61279999999999</v>
      </c>
      <c r="M4234">
        <v>-0.2222932</v>
      </c>
      <c r="N4234">
        <v>-8.8678319999999904E-3</v>
      </c>
      <c r="O4234">
        <v>-0.97493980000000002</v>
      </c>
      <c r="P4234">
        <v>-5.1423389999999999E-2</v>
      </c>
      <c r="Q4234">
        <v>0.3930323</v>
      </c>
      <c r="R4234">
        <v>-0.91808579999999995</v>
      </c>
      <c r="S4234">
        <v>2.990723E-2</v>
      </c>
      <c r="T4234">
        <v>-0.34060449999999998</v>
      </c>
      <c r="U4234">
        <v>-3.4165040000000002</v>
      </c>
      <c r="V4234">
        <v>-0.16452349999999999</v>
      </c>
      <c r="W4234">
        <v>0.39683800000000002</v>
      </c>
      <c r="X4234">
        <v>0.90302349999999998</v>
      </c>
      <c r="Y4234">
        <v>-0.23066790000000001</v>
      </c>
      <c r="Z4234">
        <v>8.530749E-2</v>
      </c>
      <c r="AA4234">
        <v>0.96928579999999998</v>
      </c>
      <c r="AB4234">
        <v>36</v>
      </c>
      <c r="AC4234">
        <v>0.17440000000004799</v>
      </c>
      <c r="AD4234">
        <v>-1.1208401819910001</v>
      </c>
      <c r="AE4234">
        <v>-10.888599999999901</v>
      </c>
      <c r="AF4234">
        <v>-2.5634371309300601</v>
      </c>
      <c r="AG4234">
        <v>-1.1208401819910001</v>
      </c>
      <c r="AH4234">
        <v>10.4664997982513</v>
      </c>
      <c r="AI4234">
        <v>95.938217422321401</v>
      </c>
      <c r="AJ4234">
        <v>103.761883539994</v>
      </c>
      <c r="AK4234">
        <v>10.8339794473033</v>
      </c>
      <c r="AL4234">
        <v>66.619342973901595</v>
      </c>
      <c r="AM4234">
        <v>100.325568252617</v>
      </c>
      <c r="AN4234">
        <v>0.999999910924246</v>
      </c>
    </row>
    <row r="4235" spans="1:40" x14ac:dyDescent="0.25">
      <c r="A4235" t="str">
        <f>"20190304164730091"</f>
        <v>20190304164730091</v>
      </c>
      <c r="B4235" t="str">
        <f>"1551689250083205"</f>
        <v>1551689250083205</v>
      </c>
      <c r="C4235" t="s">
        <v>40</v>
      </c>
      <c r="D4235">
        <v>4.6304019999999904</v>
      </c>
      <c r="E4235">
        <v>0.48319210000000001</v>
      </c>
      <c r="F4235" t="s">
        <v>42</v>
      </c>
      <c r="G4235">
        <v>-418.00229999999999</v>
      </c>
      <c r="H4235" s="1">
        <v>-3.9692019999999997E-6</v>
      </c>
      <c r="I4235">
        <v>107.2783</v>
      </c>
      <c r="J4235">
        <v>-418.23680000000002</v>
      </c>
      <c r="K4235">
        <v>1.120719</v>
      </c>
      <c r="L4235">
        <v>118.2602</v>
      </c>
      <c r="M4235">
        <v>-0.21151900000000001</v>
      </c>
      <c r="N4235">
        <v>-8.8489899999999993E-3</v>
      </c>
      <c r="O4235">
        <v>-0.97733400000000004</v>
      </c>
      <c r="P4235">
        <v>-4.078416E-2</v>
      </c>
      <c r="Q4235">
        <v>0.3932293</v>
      </c>
      <c r="R4235">
        <v>-0.91853569999999995</v>
      </c>
      <c r="S4235">
        <v>4.9102779999999999E-2</v>
      </c>
      <c r="T4235">
        <v>-0.33769870000000002</v>
      </c>
      <c r="U4235">
        <v>-3.4149780000000001</v>
      </c>
      <c r="V4235">
        <v>-0.16489329999999999</v>
      </c>
      <c r="W4235">
        <v>0.39705069999999998</v>
      </c>
      <c r="X4235">
        <v>0.90286259999999996</v>
      </c>
      <c r="Y4235">
        <v>-0.22538230000000001</v>
      </c>
      <c r="Z4235">
        <v>8.4976670000000004E-2</v>
      </c>
      <c r="AA4235">
        <v>0.97055749999999996</v>
      </c>
      <c r="AB4235">
        <v>36</v>
      </c>
      <c r="AC4235">
        <v>0.23450000000002499</v>
      </c>
      <c r="AD4235">
        <v>-1.120722969202</v>
      </c>
      <c r="AE4235">
        <v>-10.9818999999999</v>
      </c>
      <c r="AF4235">
        <v>-2.5258709361970699</v>
      </c>
      <c r="AG4235">
        <v>-1.120722969202</v>
      </c>
      <c r="AH4235">
        <v>10.573728829072801</v>
      </c>
      <c r="AI4235">
        <v>95.885868004361498</v>
      </c>
      <c r="AJ4235">
        <v>103.43513687439101</v>
      </c>
      <c r="AK4235">
        <v>10.9288510517248</v>
      </c>
      <c r="AL4235">
        <v>66.606066682792999</v>
      </c>
      <c r="AM4235">
        <v>100.350080490262</v>
      </c>
      <c r="AN4235">
        <v>0.99999996661706902</v>
      </c>
    </row>
    <row r="4236" spans="1:40" x14ac:dyDescent="0.25">
      <c r="A4236" t="str">
        <f>"20190304164730114"</f>
        <v>20190304164730114</v>
      </c>
      <c r="B4236" t="str">
        <f>"1551689250103701"</f>
        <v>1551689250103701</v>
      </c>
      <c r="C4236" t="s">
        <v>40</v>
      </c>
      <c r="D4236">
        <v>4.6136970000000002</v>
      </c>
      <c r="E4236">
        <v>0.4839368</v>
      </c>
      <c r="F4236" t="s">
        <v>42</v>
      </c>
      <c r="G4236">
        <v>-417.98689999999999</v>
      </c>
      <c r="H4236" s="1">
        <v>-3.7980779999999999E-6</v>
      </c>
      <c r="I4236">
        <v>106.9106</v>
      </c>
      <c r="J4236">
        <v>-418.30360000000002</v>
      </c>
      <c r="K4236">
        <v>1.120571</v>
      </c>
      <c r="L4236">
        <v>117.9126</v>
      </c>
      <c r="M4236">
        <v>-0.20112679999999999</v>
      </c>
      <c r="N4236">
        <v>-8.8259210000000005E-3</v>
      </c>
      <c r="O4236">
        <v>-0.97952550000000005</v>
      </c>
      <c r="P4236">
        <v>-3.0017240000000001E-2</v>
      </c>
      <c r="Q4236">
        <v>0.39205610000000002</v>
      </c>
      <c r="R4236">
        <v>-0.91945140000000003</v>
      </c>
      <c r="S4236">
        <v>7.5164789999999995E-2</v>
      </c>
      <c r="T4236">
        <v>-0.33708759999999999</v>
      </c>
      <c r="U4236">
        <v>-3.4136959999999998</v>
      </c>
      <c r="V4236">
        <v>-0.16581940000000001</v>
      </c>
      <c r="W4236">
        <v>0.3958894</v>
      </c>
      <c r="X4236">
        <v>0.90320299999999998</v>
      </c>
      <c r="Y4236">
        <v>-0.2224489</v>
      </c>
      <c r="Z4236">
        <v>8.5208619999999999E-2</v>
      </c>
      <c r="AA4236">
        <v>0.97121360000000001</v>
      </c>
      <c r="AB4236">
        <v>36</v>
      </c>
      <c r="AC4236">
        <v>0.31670000000002502</v>
      </c>
      <c r="AD4236">
        <v>-1.1205747980779901</v>
      </c>
      <c r="AE4236">
        <v>-11.001999999999899</v>
      </c>
      <c r="AF4236">
        <v>-2.4972266227037099</v>
      </c>
      <c r="AG4236">
        <v>-1.1205747980779901</v>
      </c>
      <c r="AH4236">
        <v>10.603551294754601</v>
      </c>
      <c r="AI4236">
        <v>95.873075262896506</v>
      </c>
      <c r="AJ4236">
        <v>103.252159030426</v>
      </c>
      <c r="AK4236">
        <v>10.9511245424258</v>
      </c>
      <c r="AL4236">
        <v>66.678546637088303</v>
      </c>
      <c r="AM4236">
        <v>100.403107043049</v>
      </c>
      <c r="AN4236">
        <v>1.00000007482885</v>
      </c>
    </row>
    <row r="4237" spans="1:40" x14ac:dyDescent="0.25">
      <c r="A4237" t="str">
        <f>"20190304164730135"</f>
        <v>20190304164730135</v>
      </c>
      <c r="B4237" t="str">
        <f>"1551689250123221"</f>
        <v>1551689250123221</v>
      </c>
      <c r="C4237" t="s">
        <v>40</v>
      </c>
      <c r="D4237">
        <v>4.6291209999999996</v>
      </c>
      <c r="E4237">
        <v>0.49314219999999998</v>
      </c>
      <c r="F4237" t="s">
        <v>42</v>
      </c>
      <c r="G4237">
        <v>-417.95609999999999</v>
      </c>
      <c r="H4237" s="1">
        <v>-3.7450710000000002E-6</v>
      </c>
      <c r="I4237">
        <v>106.7869</v>
      </c>
      <c r="J4237">
        <v>-418.36529999999999</v>
      </c>
      <c r="K4237">
        <v>1.120404</v>
      </c>
      <c r="L4237">
        <v>117.57259999999999</v>
      </c>
      <c r="M4237">
        <v>-0.1912153</v>
      </c>
      <c r="N4237">
        <v>-8.7997459999999902E-3</v>
      </c>
      <c r="O4237">
        <v>-0.98150879999999996</v>
      </c>
      <c r="P4237">
        <v>-1.9250610000000001E-2</v>
      </c>
      <c r="Q4237">
        <v>0.39110790000000001</v>
      </c>
      <c r="R4237">
        <v>-0.92014379999999996</v>
      </c>
      <c r="S4237">
        <v>0.1065979</v>
      </c>
      <c r="T4237">
        <v>-0.34373870000000001</v>
      </c>
      <c r="U4237">
        <v>-3.4128569999999998</v>
      </c>
      <c r="V4237">
        <v>-0.16715820000000001</v>
      </c>
      <c r="W4237">
        <v>0.39494859999999998</v>
      </c>
      <c r="X4237">
        <v>0.90336799999999995</v>
      </c>
      <c r="Y4237">
        <v>-0.22153120000000001</v>
      </c>
      <c r="Z4237">
        <v>8.7385329999999997E-2</v>
      </c>
      <c r="AA4237">
        <v>0.97123000000000004</v>
      </c>
      <c r="AB4237">
        <v>36</v>
      </c>
      <c r="AC4237">
        <v>0.40919999999999801</v>
      </c>
      <c r="AD4237">
        <v>-1.1204077450709999</v>
      </c>
      <c r="AE4237">
        <v>-10.785699999999901</v>
      </c>
      <c r="AF4237">
        <v>-2.4378506968144</v>
      </c>
      <c r="AG4237">
        <v>-1.1204077450709999</v>
      </c>
      <c r="AH4237">
        <v>10.396395053277599</v>
      </c>
      <c r="AI4237">
        <v>95.9897206353304</v>
      </c>
      <c r="AJ4237">
        <v>103.196856577331</v>
      </c>
      <c r="AK4237">
        <v>10.737013534451201</v>
      </c>
      <c r="AL4237">
        <v>66.737231633705207</v>
      </c>
      <c r="AM4237">
        <v>100.48337188964101</v>
      </c>
      <c r="AN4237">
        <v>1.00000000194659</v>
      </c>
    </row>
    <row r="4238" spans="1:40" x14ac:dyDescent="0.25">
      <c r="A4238" t="str">
        <f>"20190304164730158"</f>
        <v>20190304164730158</v>
      </c>
      <c r="B4238" t="str">
        <f>"1551689250153477"</f>
        <v>1551689250153477</v>
      </c>
      <c r="C4238" t="s">
        <v>40</v>
      </c>
      <c r="D4238">
        <v>4.6014910000000002</v>
      </c>
      <c r="E4238">
        <v>0.49567630000000001</v>
      </c>
      <c r="F4238" t="s">
        <v>42</v>
      </c>
      <c r="G4238">
        <v>-418.14389999999997</v>
      </c>
      <c r="H4238" s="1">
        <v>-3.7553759999999998E-6</v>
      </c>
      <c r="I4238">
        <v>106.87909999999999</v>
      </c>
      <c r="J4238">
        <v>-418.42759999999998</v>
      </c>
      <c r="K4238">
        <v>1.1202049999999999</v>
      </c>
      <c r="L4238">
        <v>117.2086</v>
      </c>
      <c r="M4238">
        <v>-0.18090709999999999</v>
      </c>
      <c r="N4238">
        <v>-8.7697820000000003E-3</v>
      </c>
      <c r="O4238">
        <v>-0.98346120000000004</v>
      </c>
      <c r="P4238">
        <v>-9.8096840000000008E-3</v>
      </c>
      <c r="Q4238">
        <v>0.39111299999999999</v>
      </c>
      <c r="R4238">
        <v>-0.92029050000000001</v>
      </c>
      <c r="S4238">
        <v>7.0678710000000006E-2</v>
      </c>
      <c r="T4238">
        <v>-0.35768870000000003</v>
      </c>
      <c r="U4238">
        <v>-3.4138790000000001</v>
      </c>
      <c r="V4238">
        <v>-0.166749799999999</v>
      </c>
      <c r="W4238">
        <v>0.39501520000000001</v>
      </c>
      <c r="X4238">
        <v>0.90341439999999995</v>
      </c>
      <c r="Y4238">
        <v>-0.20103299999999999</v>
      </c>
      <c r="Z4238">
        <v>9.1811050000000005E-2</v>
      </c>
      <c r="AA4238">
        <v>0.97527249999999999</v>
      </c>
      <c r="AB4238">
        <v>36</v>
      </c>
      <c r="AC4238">
        <v>0.28370000000001</v>
      </c>
      <c r="AD4238">
        <v>-1.1202087553759901</v>
      </c>
      <c r="AE4238">
        <v>-10.329499999999999</v>
      </c>
      <c r="AF4238">
        <v>-2.1228227719294201</v>
      </c>
      <c r="AG4238">
        <v>-1.1202087553759901</v>
      </c>
      <c r="AH4238">
        <v>9.9903204419918197</v>
      </c>
      <c r="AI4238">
        <v>96.259218936842899</v>
      </c>
      <c r="AJ4238">
        <v>101.996239058432</v>
      </c>
      <c r="AK4238">
        <v>10.274616621087199</v>
      </c>
      <c r="AL4238">
        <v>66.733078962208893</v>
      </c>
      <c r="AM4238">
        <v>100.45779947970399</v>
      </c>
      <c r="AN4238">
        <v>1.00000004107921</v>
      </c>
    </row>
    <row r="4239" spans="1:40" x14ac:dyDescent="0.25">
      <c r="A4239" t="str">
        <f>"20190304164730182"</f>
        <v>20190304164730182</v>
      </c>
      <c r="B4239" t="str">
        <f>"1551689250172997"</f>
        <v>1551689250172997</v>
      </c>
      <c r="C4239" t="s">
        <v>40</v>
      </c>
      <c r="D4239">
        <v>4.6288090000000004</v>
      </c>
      <c r="E4239">
        <v>0.49695679999999998</v>
      </c>
      <c r="F4239" t="s">
        <v>42</v>
      </c>
      <c r="G4239">
        <v>-418.16340000000002</v>
      </c>
      <c r="H4239" s="1">
        <v>-3.5587189999999998E-6</v>
      </c>
      <c r="I4239">
        <v>106.4705</v>
      </c>
      <c r="J4239">
        <v>-418.49020000000002</v>
      </c>
      <c r="K4239">
        <v>1.1199790000000001</v>
      </c>
      <c r="L4239">
        <v>116.8189</v>
      </c>
      <c r="M4239">
        <v>-0.17017160000000001</v>
      </c>
      <c r="N4239">
        <v>-8.7401110000000001E-3</v>
      </c>
      <c r="O4239">
        <v>-0.98537580000000002</v>
      </c>
      <c r="P4239">
        <v>1.190007E-4</v>
      </c>
      <c r="Q4239">
        <v>0.3904321</v>
      </c>
      <c r="R4239">
        <v>-0.92063189999999995</v>
      </c>
      <c r="S4239">
        <v>8.3923339999999999E-2</v>
      </c>
      <c r="T4239">
        <v>-0.35594320000000002</v>
      </c>
      <c r="U4239">
        <v>-3.4120180000000002</v>
      </c>
      <c r="V4239">
        <v>-0.16646639999999999</v>
      </c>
      <c r="W4239">
        <v>0.39440009999999998</v>
      </c>
      <c r="X4239">
        <v>0.90373530000000002</v>
      </c>
      <c r="Y4239">
        <v>-0.1941465</v>
      </c>
      <c r="Z4239">
        <v>9.1771920000000007E-2</v>
      </c>
      <c r="AA4239">
        <v>0.97667040000000005</v>
      </c>
      <c r="AB4239">
        <v>36</v>
      </c>
      <c r="AC4239">
        <v>0.32679999999999099</v>
      </c>
      <c r="AD4239">
        <v>-1.119982558719</v>
      </c>
      <c r="AE4239">
        <v>-10.3483999999999</v>
      </c>
      <c r="AF4239">
        <v>-2.0590103203991799</v>
      </c>
      <c r="AG4239">
        <v>-1.119982558719</v>
      </c>
      <c r="AH4239">
        <v>10.024534513379299</v>
      </c>
      <c r="AI4239">
        <v>96.245565018076803</v>
      </c>
      <c r="AJ4239">
        <v>101.606959088675</v>
      </c>
      <c r="AK4239">
        <v>10.2949102298795</v>
      </c>
      <c r="AL4239">
        <v>66.771434833138699</v>
      </c>
      <c r="AM4239">
        <v>100.436791329942</v>
      </c>
      <c r="AN4239">
        <v>0.99999999683752905</v>
      </c>
    </row>
    <row r="4240" spans="1:40" x14ac:dyDescent="0.25">
      <c r="A4240" t="str">
        <f>"20190304164730204"</f>
        <v>20190304164730204</v>
      </c>
      <c r="B4240" t="str">
        <f>"1551689250193493"</f>
        <v>1551689250193493</v>
      </c>
      <c r="C4240" t="s">
        <v>40</v>
      </c>
      <c r="D4240">
        <v>4.6020979999999998</v>
      </c>
      <c r="E4240">
        <v>0.49839850000000002</v>
      </c>
      <c r="F4240" t="s">
        <v>42</v>
      </c>
      <c r="G4240">
        <v>-418.15370000000001</v>
      </c>
      <c r="H4240" s="1">
        <v>-3.4536109999999999E-6</v>
      </c>
      <c r="I4240">
        <v>106.2444</v>
      </c>
      <c r="J4240">
        <v>-418.541</v>
      </c>
      <c r="K4240">
        <v>1.1197870000000001</v>
      </c>
      <c r="L4240">
        <v>116.4832</v>
      </c>
      <c r="M4240">
        <v>-0.161188</v>
      </c>
      <c r="N4240">
        <v>-8.7169480000000004E-3</v>
      </c>
      <c r="O4240">
        <v>-0.98688540000000002</v>
      </c>
      <c r="P4240">
        <v>7.9898680000000007E-3</v>
      </c>
      <c r="Q4240">
        <v>0.39056809999999997</v>
      </c>
      <c r="R4240">
        <v>-0.92053980000000002</v>
      </c>
      <c r="S4240">
        <v>0.1085815</v>
      </c>
      <c r="T4240">
        <v>-0.36136459999999998</v>
      </c>
      <c r="U4240">
        <v>-3.4118650000000001</v>
      </c>
      <c r="V4240">
        <v>-0.16576969999999999</v>
      </c>
      <c r="W4240">
        <v>0.39460420000000002</v>
      </c>
      <c r="X4240">
        <v>0.90377430000000003</v>
      </c>
      <c r="Y4240">
        <v>-0.19225900000000001</v>
      </c>
      <c r="Z4240">
        <v>9.3557580000000001E-2</v>
      </c>
      <c r="AA4240">
        <v>0.97687440000000003</v>
      </c>
      <c r="AB4240">
        <v>36</v>
      </c>
      <c r="AC4240">
        <v>0.38729999999998199</v>
      </c>
      <c r="AD4240">
        <v>-1.1197904536109999</v>
      </c>
      <c r="AE4240">
        <v>-10.2387999999999</v>
      </c>
      <c r="AF4240">
        <v>-2.0086773838381302</v>
      </c>
      <c r="AG4240">
        <v>-1.1197904536109999</v>
      </c>
      <c r="AH4240">
        <v>9.9239410961168399</v>
      </c>
      <c r="AI4240">
        <v>96.310954609434006</v>
      </c>
      <c r="AJ4240">
        <v>101.44248997344801</v>
      </c>
      <c r="AK4240">
        <v>10.1869191795919</v>
      </c>
      <c r="AL4240">
        <v>66.758709339097507</v>
      </c>
      <c r="AM4240">
        <v>100.39362620050299</v>
      </c>
      <c r="AN4240">
        <v>1.0000000267181</v>
      </c>
    </row>
    <row r="4241" spans="1:40" x14ac:dyDescent="0.25">
      <c r="A4241" t="str">
        <f>"20190304164730226"</f>
        <v>20190304164730226</v>
      </c>
      <c r="B4241" t="str">
        <f>"1551689250223748"</f>
        <v>1551689250223748</v>
      </c>
      <c r="C4241" t="s">
        <v>40</v>
      </c>
      <c r="D4241">
        <v>4.5737819999999996</v>
      </c>
      <c r="E4241">
        <v>0.50029209999999902</v>
      </c>
      <c r="F4241" t="s">
        <v>42</v>
      </c>
      <c r="G4241">
        <v>-418.1574</v>
      </c>
      <c r="H4241" s="1">
        <v>-3.312698E-6</v>
      </c>
      <c r="I4241">
        <v>105.9477</v>
      </c>
      <c r="J4241">
        <v>-418.59230000000002</v>
      </c>
      <c r="K4241">
        <v>1.119567</v>
      </c>
      <c r="L4241">
        <v>116.1237</v>
      </c>
      <c r="M4241">
        <v>-0.1518794</v>
      </c>
      <c r="N4241">
        <v>-8.6915919999999997E-3</v>
      </c>
      <c r="O4241">
        <v>-0.98836100000000005</v>
      </c>
      <c r="P4241">
        <v>1.56981E-2</v>
      </c>
      <c r="Q4241">
        <v>0.39106760000000002</v>
      </c>
      <c r="R4241">
        <v>-0.9202283</v>
      </c>
      <c r="S4241">
        <v>0.1242371</v>
      </c>
      <c r="T4241">
        <v>-0.36262810000000001</v>
      </c>
      <c r="U4241">
        <v>-3.411743</v>
      </c>
      <c r="V4241">
        <v>-0.16458529999999999</v>
      </c>
      <c r="W4241">
        <v>0.39519169999999998</v>
      </c>
      <c r="X4241">
        <v>0.90373400000000004</v>
      </c>
      <c r="Y4241">
        <v>-0.1874874</v>
      </c>
      <c r="Z4241">
        <v>9.4212900000000002E-2</v>
      </c>
      <c r="AA4241">
        <v>0.97773840000000001</v>
      </c>
      <c r="AB4241">
        <v>36</v>
      </c>
      <c r="AC4241">
        <v>0.43490000000002699</v>
      </c>
      <c r="AD4241">
        <v>-1.1195703126979999</v>
      </c>
      <c r="AE4241">
        <v>-10.176</v>
      </c>
      <c r="AF4241">
        <v>-1.9518539991438699</v>
      </c>
      <c r="AG4241">
        <v>-1.1195703126979999</v>
      </c>
      <c r="AH4241">
        <v>9.8725993266584702</v>
      </c>
      <c r="AI4241">
        <v>96.347963892623198</v>
      </c>
      <c r="AJ4241">
        <v>101.183394411046</v>
      </c>
      <c r="AK4241">
        <v>10.125778448286599</v>
      </c>
      <c r="AL4241">
        <v>66.722068869273599</v>
      </c>
      <c r="AM4241">
        <v>100.321417218127</v>
      </c>
      <c r="AN4241">
        <v>0.99999997174048905</v>
      </c>
    </row>
    <row r="4242" spans="1:40" x14ac:dyDescent="0.25">
      <c r="A4242" t="str">
        <f>"20190304164730248"</f>
        <v>20190304164730248</v>
      </c>
      <c r="B4242" t="str">
        <f>"1551689250243269"</f>
        <v>1551689250243269</v>
      </c>
      <c r="C4242" t="s">
        <v>40</v>
      </c>
      <c r="D4242">
        <v>4.5583580000000001</v>
      </c>
      <c r="E4242">
        <v>0.50153669999999995</v>
      </c>
      <c r="F4242" t="s">
        <v>42</v>
      </c>
      <c r="G4242">
        <v>-418.17309999999998</v>
      </c>
      <c r="H4242" s="1">
        <v>-3.1386520000000001E-6</v>
      </c>
      <c r="I4242">
        <v>105.58540000000001</v>
      </c>
      <c r="J4242">
        <v>-418.63920000000002</v>
      </c>
      <c r="K4242">
        <v>1.119335</v>
      </c>
      <c r="L4242">
        <v>115.773</v>
      </c>
      <c r="M4242">
        <v>-0.14313779999999901</v>
      </c>
      <c r="N4242">
        <v>-8.6639360000000006E-3</v>
      </c>
      <c r="O4242">
        <v>-0.98966480000000001</v>
      </c>
      <c r="P4242">
        <v>2.290377E-2</v>
      </c>
      <c r="Q4242">
        <v>0.39058789999999999</v>
      </c>
      <c r="R4242">
        <v>-0.92028080000000001</v>
      </c>
      <c r="S4242">
        <v>0.13571169999999999</v>
      </c>
      <c r="T4242">
        <v>-0.3624637</v>
      </c>
      <c r="U4242">
        <v>-3.4117739999999999</v>
      </c>
      <c r="V4242">
        <v>-0.163460299999999</v>
      </c>
      <c r="W4242">
        <v>0.39480490000000001</v>
      </c>
      <c r="X4242">
        <v>0.9041072</v>
      </c>
      <c r="Y4242">
        <v>-0.18208969999999999</v>
      </c>
      <c r="Z4242">
        <v>9.4446100000000005E-2</v>
      </c>
      <c r="AA4242">
        <v>0.97873560000000004</v>
      </c>
      <c r="AB4242">
        <v>37</v>
      </c>
      <c r="AC4242">
        <v>0.46610000000003898</v>
      </c>
      <c r="AD4242">
        <v>-1.119338138652</v>
      </c>
      <c r="AE4242">
        <v>-10.1875999999999</v>
      </c>
      <c r="AF4242">
        <v>-1.89673600085005</v>
      </c>
      <c r="AG4242">
        <v>-1.119338138652</v>
      </c>
      <c r="AH4242">
        <v>9.8967451267700906</v>
      </c>
      <c r="AI4242">
        <v>96.338431934363001</v>
      </c>
      <c r="AJ4242">
        <v>100.849322008884</v>
      </c>
      <c r="AK4242">
        <v>10.1388406353886</v>
      </c>
      <c r="AL4242">
        <v>66.746193364883695</v>
      </c>
      <c r="AM4242">
        <v>100.24822562109</v>
      </c>
      <c r="AN4242">
        <v>1.00000000391597</v>
      </c>
    </row>
    <row r="4243" spans="1:40" x14ac:dyDescent="0.25">
      <c r="A4243" t="str">
        <f>"20190304164730271"</f>
        <v>20190304164730271</v>
      </c>
      <c r="B4243" t="str">
        <f>"1551689250263765"</f>
        <v>1551689250263765</v>
      </c>
      <c r="C4243" t="s">
        <v>40</v>
      </c>
      <c r="D4243">
        <v>4.5546980000000001</v>
      </c>
      <c r="E4243">
        <v>0.50272700000000003</v>
      </c>
      <c r="F4243" t="s">
        <v>42</v>
      </c>
      <c r="G4243">
        <v>-418.17380000000003</v>
      </c>
      <c r="H4243" s="1">
        <v>-3.0207580000000001E-6</v>
      </c>
      <c r="I4243">
        <v>105.33629999999999</v>
      </c>
      <c r="J4243">
        <v>-418.68560000000002</v>
      </c>
      <c r="K4243">
        <v>1.1190519999999999</v>
      </c>
      <c r="L4243">
        <v>115.4036</v>
      </c>
      <c r="M4243">
        <v>-0.1343076</v>
      </c>
      <c r="N4243">
        <v>-8.6320830000000005E-3</v>
      </c>
      <c r="O4243">
        <v>-0.99090199999999995</v>
      </c>
      <c r="P4243">
        <v>2.946615E-2</v>
      </c>
      <c r="Q4243">
        <v>0.38992880000000002</v>
      </c>
      <c r="R4243">
        <v>-0.92037329999999995</v>
      </c>
      <c r="S4243">
        <v>0.15213009999999999</v>
      </c>
      <c r="T4243">
        <v>-0.36587059999999999</v>
      </c>
      <c r="U4243">
        <v>-3.411362</v>
      </c>
      <c r="V4243">
        <v>-0.1615954</v>
      </c>
      <c r="W4243">
        <v>0.39426820000000001</v>
      </c>
      <c r="X4243">
        <v>0.90467649999999999</v>
      </c>
      <c r="Y4243">
        <v>-0.17802490000000001</v>
      </c>
      <c r="Z4243">
        <v>9.5674679999999998E-2</v>
      </c>
      <c r="AA4243">
        <v>0.97936380000000001</v>
      </c>
      <c r="AB4243">
        <v>37</v>
      </c>
      <c r="AC4243">
        <v>0.51179999999999304</v>
      </c>
      <c r="AD4243">
        <v>-1.1190550207579999</v>
      </c>
      <c r="AE4243">
        <v>-10.067299999999999</v>
      </c>
      <c r="AF4243">
        <v>-1.83669237250664</v>
      </c>
      <c r="AG4243">
        <v>-1.1190550207579999</v>
      </c>
      <c r="AH4243">
        <v>9.7867263177116897</v>
      </c>
      <c r="AI4243">
        <v>96.412121461166294</v>
      </c>
      <c r="AJ4243">
        <v>100.62916311972999</v>
      </c>
      <c r="AK4243">
        <v>10.0202662154504</v>
      </c>
      <c r="AL4243">
        <v>66.779659308807197</v>
      </c>
      <c r="AM4243">
        <v>100.12749644975899</v>
      </c>
      <c r="AN4243">
        <v>1.00000002824232</v>
      </c>
    </row>
    <row r="4244" spans="1:40" x14ac:dyDescent="0.25">
      <c r="A4244" t="str">
        <f>"20190304164730292"</f>
        <v>20190304164730292</v>
      </c>
      <c r="B4244" t="str">
        <f>"1551689250283285"</f>
        <v>1551689250283285</v>
      </c>
      <c r="C4244" t="s">
        <v>40</v>
      </c>
      <c r="D4244">
        <v>4.5576280000000002</v>
      </c>
      <c r="E4244">
        <v>0.50389490000000003</v>
      </c>
      <c r="F4244" t="s">
        <v>42</v>
      </c>
      <c r="G4244">
        <v>-418.18220000000002</v>
      </c>
      <c r="H4244" s="1">
        <v>-2.8876819999999998E-6</v>
      </c>
      <c r="I4244">
        <v>105.0579</v>
      </c>
      <c r="J4244">
        <v>-418.72620000000001</v>
      </c>
      <c r="K4244">
        <v>1.1187670000000001</v>
      </c>
      <c r="L4244">
        <v>115.0581</v>
      </c>
      <c r="M4244">
        <v>-0.12641350000000001</v>
      </c>
      <c r="N4244">
        <v>-8.6013089999999997E-3</v>
      </c>
      <c r="O4244">
        <v>-0.99194040000000006</v>
      </c>
      <c r="P4244">
        <v>3.4895669999999997E-2</v>
      </c>
      <c r="Q4244">
        <v>0.38928849999999998</v>
      </c>
      <c r="R4244">
        <v>-0.92045460000000001</v>
      </c>
      <c r="S4244">
        <v>0.16595460000000001</v>
      </c>
      <c r="T4244">
        <v>-0.36890260000000002</v>
      </c>
      <c r="U4244">
        <v>-3.4105219999999998</v>
      </c>
      <c r="V4244">
        <v>-0.15947</v>
      </c>
      <c r="W4244">
        <v>0.3937563</v>
      </c>
      <c r="X4244">
        <v>0.90527639999999998</v>
      </c>
      <c r="Y4244">
        <v>-0.1741577</v>
      </c>
      <c r="Z4244">
        <v>9.6779879999999999E-2</v>
      </c>
      <c r="AA4244">
        <v>0.9799504</v>
      </c>
      <c r="AB4244">
        <v>37</v>
      </c>
      <c r="AC4244">
        <v>0.54399999999998205</v>
      </c>
      <c r="AD4244">
        <v>-1.118769887682</v>
      </c>
      <c r="AE4244">
        <v>-10.0001999999999</v>
      </c>
      <c r="AF4244">
        <v>-1.7816097224787</v>
      </c>
      <c r="AG4244">
        <v>-1.118769887682</v>
      </c>
      <c r="AH4244">
        <v>9.7297790843993894</v>
      </c>
      <c r="AI4244">
        <v>96.452936673337007</v>
      </c>
      <c r="AJ4244">
        <v>100.376419679145</v>
      </c>
      <c r="AK4244">
        <v>9.9546160295628994</v>
      </c>
      <c r="AL4244">
        <v>66.811570570478295</v>
      </c>
      <c r="AM4244">
        <v>99.990506658855793</v>
      </c>
      <c r="AN4244">
        <v>1.00000003254332</v>
      </c>
    </row>
    <row r="4245" spans="1:40" x14ac:dyDescent="0.25">
      <c r="A4245" t="str">
        <f>"20190304164730314"</f>
        <v>20190304164730314</v>
      </c>
      <c r="B4245" t="str">
        <f>"1551689250302805"</f>
        <v>1551689250302805</v>
      </c>
      <c r="C4245" t="s">
        <v>40</v>
      </c>
      <c r="D4245">
        <v>4.5478870000000002</v>
      </c>
      <c r="E4245">
        <v>0.50509199999999999</v>
      </c>
      <c r="F4245" t="s">
        <v>42</v>
      </c>
      <c r="G4245">
        <v>-418.1884</v>
      </c>
      <c r="H4245" s="1">
        <v>-2.7662389999999999E-6</v>
      </c>
      <c r="I4245">
        <v>104.80329999999999</v>
      </c>
      <c r="J4245">
        <v>-418.76510000000002</v>
      </c>
      <c r="K4245">
        <v>1.1184719999999999</v>
      </c>
      <c r="L4245">
        <v>114.7055</v>
      </c>
      <c r="M4245">
        <v>-0.11872489999999999</v>
      </c>
      <c r="N4245">
        <v>-8.5707470000000001E-3</v>
      </c>
      <c r="O4245">
        <v>-0.99289019999999995</v>
      </c>
      <c r="P4245">
        <v>3.7967380000000002E-2</v>
      </c>
      <c r="Q4245">
        <v>0.38997540000000003</v>
      </c>
      <c r="R4245">
        <v>-0.92004200000000003</v>
      </c>
      <c r="S4245">
        <v>0.17883299999999999</v>
      </c>
      <c r="T4245">
        <v>-0.37200329999999998</v>
      </c>
      <c r="U4245">
        <v>-3.409805</v>
      </c>
      <c r="V4245">
        <v>-0.1551486</v>
      </c>
      <c r="W4245">
        <v>0.39462039999999998</v>
      </c>
      <c r="X4245">
        <v>0.90565090000000004</v>
      </c>
      <c r="Y4245">
        <v>-0.17022619999999999</v>
      </c>
      <c r="Z4245">
        <v>9.7889660000000003E-2</v>
      </c>
      <c r="AA4245">
        <v>0.98053080000000004</v>
      </c>
      <c r="AB4245">
        <v>37</v>
      </c>
      <c r="AC4245">
        <v>0.57670000000001598</v>
      </c>
      <c r="AD4245">
        <v>-1.118474766239</v>
      </c>
      <c r="AE4245">
        <v>-9.9022000000000006</v>
      </c>
      <c r="AF4245">
        <v>-1.7263510321835001</v>
      </c>
      <c r="AG4245">
        <v>-1.118474766239</v>
      </c>
      <c r="AH4245">
        <v>9.6411000918755398</v>
      </c>
      <c r="AI4245">
        <v>96.514662122791904</v>
      </c>
      <c r="AJ4245">
        <v>100.151887503776</v>
      </c>
      <c r="AK4245">
        <v>9.8580974163677695</v>
      </c>
      <c r="AL4245">
        <v>66.757697292606295</v>
      </c>
      <c r="AM4245">
        <v>99.721073644381093</v>
      </c>
      <c r="AN4245">
        <v>0.99999995042446299</v>
      </c>
    </row>
    <row r="4246" spans="1:40" x14ac:dyDescent="0.25">
      <c r="A4246" t="str">
        <f>"20190304164730337"</f>
        <v>20190304164730337</v>
      </c>
      <c r="B4246" t="str">
        <f>"1551689250333061"</f>
        <v>1551689250333061</v>
      </c>
      <c r="C4246" t="s">
        <v>40</v>
      </c>
      <c r="D4246">
        <v>4.5598070000000002</v>
      </c>
      <c r="E4246">
        <v>0.51831519999999998</v>
      </c>
      <c r="F4246" t="s">
        <v>42</v>
      </c>
      <c r="G4246">
        <v>-418.19869999999997</v>
      </c>
      <c r="H4246" s="1">
        <v>-2.585038E-6</v>
      </c>
      <c r="I4246">
        <v>104.4239</v>
      </c>
      <c r="J4246">
        <v>-418.803</v>
      </c>
      <c r="K4246">
        <v>1.118158</v>
      </c>
      <c r="L4246">
        <v>114.33669999999999</v>
      </c>
      <c r="M4246">
        <v>-0.1111104</v>
      </c>
      <c r="N4246">
        <v>-8.5402480000000003E-3</v>
      </c>
      <c r="O4246">
        <v>-0.99377139999999997</v>
      </c>
      <c r="P4246">
        <v>4.1171350000000002E-2</v>
      </c>
      <c r="Q4246">
        <v>0.39070339999999998</v>
      </c>
      <c r="R4246">
        <v>-0.91959570000000002</v>
      </c>
      <c r="S4246">
        <v>0.18786620000000001</v>
      </c>
      <c r="T4246">
        <v>-0.37097629999999998</v>
      </c>
      <c r="U4246">
        <v>-3.4102019999999902</v>
      </c>
      <c r="V4246">
        <v>-0.15100949999999999</v>
      </c>
      <c r="W4246">
        <v>0.39552369999999998</v>
      </c>
      <c r="X4246">
        <v>0.9059564</v>
      </c>
      <c r="Y4246">
        <v>-0.16525909999999999</v>
      </c>
      <c r="Z4246">
        <v>9.7798590000000005E-2</v>
      </c>
      <c r="AA4246">
        <v>0.98138930000000002</v>
      </c>
      <c r="AB4246">
        <v>37</v>
      </c>
      <c r="AC4246">
        <v>0.60430000000008</v>
      </c>
      <c r="AD4246">
        <v>-1.1181605850380001</v>
      </c>
      <c r="AE4246">
        <v>-9.9127999999999901</v>
      </c>
      <c r="AF4246">
        <v>-1.68070750564723</v>
      </c>
      <c r="AG4246">
        <v>-1.1181605850380001</v>
      </c>
      <c r="AH4246">
        <v>9.6617904924846094</v>
      </c>
      <c r="AI4246">
        <v>96.504656053243707</v>
      </c>
      <c r="AJ4246">
        <v>99.868086986839401</v>
      </c>
      <c r="AK4246">
        <v>9.8704233107875101</v>
      </c>
      <c r="AL4246">
        <v>66.701358445545793</v>
      </c>
      <c r="AM4246">
        <v>99.463353927287201</v>
      </c>
      <c r="AN4246">
        <v>0.99999993252644703</v>
      </c>
    </row>
    <row r="4247" spans="1:40" x14ac:dyDescent="0.25">
      <c r="A4247" t="str">
        <f>"20190304164730360"</f>
        <v>20190304164730360</v>
      </c>
      <c r="B4247" t="str">
        <f>"1551689250353560"</f>
        <v>1551689250353560</v>
      </c>
      <c r="C4247" t="s">
        <v>40</v>
      </c>
      <c r="D4247">
        <v>4.5415979999999996</v>
      </c>
      <c r="E4247">
        <v>0.51824780000000004</v>
      </c>
      <c r="F4247" t="s">
        <v>42</v>
      </c>
      <c r="G4247">
        <v>-418.50360000000001</v>
      </c>
      <c r="H4247" s="1">
        <v>-2.465932E-6</v>
      </c>
      <c r="I4247">
        <v>104.2863</v>
      </c>
      <c r="J4247">
        <v>-418.83960000000002</v>
      </c>
      <c r="K4247">
        <v>1.1178349999999999</v>
      </c>
      <c r="L4247">
        <v>113.9542</v>
      </c>
      <c r="M4247">
        <v>-0.1036291</v>
      </c>
      <c r="N4247">
        <v>-8.5112079999999993E-3</v>
      </c>
      <c r="O4247">
        <v>-0.99457980000000001</v>
      </c>
      <c r="P4247">
        <v>4.5087259999999997E-2</v>
      </c>
      <c r="Q4247">
        <v>0.39204719999999998</v>
      </c>
      <c r="R4247">
        <v>-0.91883970000000004</v>
      </c>
      <c r="S4247">
        <v>0.10186770000000001</v>
      </c>
      <c r="T4247">
        <v>-0.38042680000000001</v>
      </c>
      <c r="U4247">
        <v>-3.4193880000000001</v>
      </c>
      <c r="V4247">
        <v>-0.1476797</v>
      </c>
      <c r="W4247">
        <v>0.39702229999999999</v>
      </c>
      <c r="X4247">
        <v>0.90584989999999999</v>
      </c>
      <c r="Y4247">
        <v>-0.13298170000000001</v>
      </c>
      <c r="Z4247">
        <v>0.1006905</v>
      </c>
      <c r="AA4247">
        <v>0.98599049999999999</v>
      </c>
      <c r="AB4247">
        <v>37</v>
      </c>
      <c r="AC4247">
        <v>0.33600000000001201</v>
      </c>
      <c r="AD4247">
        <v>-1.1178374659320001</v>
      </c>
      <c r="AE4247">
        <v>-9.6678999999999995</v>
      </c>
      <c r="AF4247">
        <v>-1.31849722489893</v>
      </c>
      <c r="AG4247">
        <v>-1.1178374659320001</v>
      </c>
      <c r="AH4247">
        <v>9.4547770331077405</v>
      </c>
      <c r="AI4247">
        <v>96.678737513537698</v>
      </c>
      <c r="AJ4247">
        <v>97.938870976590195</v>
      </c>
      <c r="AK4247">
        <v>9.6114933427688101</v>
      </c>
      <c r="AL4247">
        <v>66.607840958476402</v>
      </c>
      <c r="AM4247">
        <v>99.2594070993824</v>
      </c>
      <c r="AN4247">
        <v>1.00000002090969</v>
      </c>
    </row>
    <row r="4248" spans="1:40" x14ac:dyDescent="0.25">
      <c r="A4248" t="str">
        <f>"20190304164730382"</f>
        <v>20190304164730382</v>
      </c>
      <c r="B4248" t="str">
        <f>"1551689250373077"</f>
        <v>1551689250373077</v>
      </c>
      <c r="C4248" t="s">
        <v>40</v>
      </c>
      <c r="D4248">
        <v>4.5328439999999999</v>
      </c>
      <c r="E4248">
        <v>0.51906289999999999</v>
      </c>
      <c r="F4248" t="s">
        <v>42</v>
      </c>
      <c r="G4248">
        <v>-418.4753</v>
      </c>
      <c r="H4248" s="1">
        <v>-2.2093920000000002E-6</v>
      </c>
      <c r="I4248">
        <v>103.733</v>
      </c>
      <c r="J4248">
        <v>-418.87220000000002</v>
      </c>
      <c r="K4248">
        <v>1.1175569999999999</v>
      </c>
      <c r="L4248">
        <v>113.5887</v>
      </c>
      <c r="M4248">
        <v>-9.6811759999999997E-2</v>
      </c>
      <c r="N4248">
        <v>-8.4873829999999994E-3</v>
      </c>
      <c r="O4248">
        <v>-0.9952666</v>
      </c>
      <c r="P4248">
        <v>4.8242790000000001E-2</v>
      </c>
      <c r="Q4248">
        <v>0.39426329999999998</v>
      </c>
      <c r="R4248">
        <v>-0.91773059999999995</v>
      </c>
      <c r="S4248">
        <v>0.1218262</v>
      </c>
      <c r="T4248">
        <v>-0.37386849999999999</v>
      </c>
      <c r="U4248">
        <v>-3.418533</v>
      </c>
      <c r="V4248">
        <v>-0.14423239999999901</v>
      </c>
      <c r="W4248">
        <v>0.39937820000000002</v>
      </c>
      <c r="X4248">
        <v>0.9053696</v>
      </c>
      <c r="Y4248">
        <v>-0.13195660000000001</v>
      </c>
      <c r="Z4248">
        <v>9.8986920000000006E-2</v>
      </c>
      <c r="AA4248">
        <v>0.98630070000000003</v>
      </c>
      <c r="AB4248">
        <v>37</v>
      </c>
      <c r="AC4248">
        <v>0.39690000000001602</v>
      </c>
      <c r="AD4248">
        <v>-1.1175592093919999</v>
      </c>
      <c r="AE4248">
        <v>-9.8557000000000095</v>
      </c>
      <c r="AF4248">
        <v>-1.33211712516352</v>
      </c>
      <c r="AG4248">
        <v>-1.1175592093919999</v>
      </c>
      <c r="AH4248">
        <v>9.6471356582041903</v>
      </c>
      <c r="AI4248">
        <v>96.5463285705343</v>
      </c>
      <c r="AJ4248">
        <v>97.861925693192902</v>
      </c>
      <c r="AK4248">
        <v>9.8025864459052698</v>
      </c>
      <c r="AL4248">
        <v>66.460688041798704</v>
      </c>
      <c r="AM4248">
        <v>99.051600151368802</v>
      </c>
      <c r="AN4248">
        <v>1.00000002222457</v>
      </c>
    </row>
    <row r="4249" spans="1:40" x14ac:dyDescent="0.25">
      <c r="A4249" t="str">
        <f>"20190304164730406"</f>
        <v>20190304164730406</v>
      </c>
      <c r="B4249" t="str">
        <f>"1551689250393314"</f>
        <v>1551689250393314</v>
      </c>
      <c r="C4249" t="s">
        <v>40</v>
      </c>
      <c r="D4249">
        <v>4.5751160000000004</v>
      </c>
      <c r="E4249">
        <v>0.51987410000000001</v>
      </c>
      <c r="F4249" t="s">
        <v>42</v>
      </c>
      <c r="G4249">
        <v>-418.47219999999999</v>
      </c>
      <c r="H4249" s="1">
        <v>-1.9237779999999999E-6</v>
      </c>
      <c r="I4249">
        <v>103.1277</v>
      </c>
      <c r="J4249">
        <v>-418.90249999999997</v>
      </c>
      <c r="K4249">
        <v>1.117292</v>
      </c>
      <c r="L4249">
        <v>113.22239999999999</v>
      </c>
      <c r="M4249">
        <v>-9.0308139999999995E-2</v>
      </c>
      <c r="N4249">
        <v>-8.4667330000000006E-3</v>
      </c>
      <c r="O4249">
        <v>-0.99587789999999998</v>
      </c>
      <c r="P4249">
        <v>5.0672469999999997E-2</v>
      </c>
      <c r="Q4249">
        <v>0.3984144</v>
      </c>
      <c r="R4249">
        <v>-0.91580519999999999</v>
      </c>
      <c r="S4249">
        <v>0.13070680000000001</v>
      </c>
      <c r="T4249">
        <v>-0.36525299999999999</v>
      </c>
      <c r="U4249">
        <v>-3.4189910000000001</v>
      </c>
      <c r="V4249">
        <v>-0.14033399999999999</v>
      </c>
      <c r="W4249">
        <v>0.40366439999999998</v>
      </c>
      <c r="X4249">
        <v>0.90408040000000001</v>
      </c>
      <c r="Y4249">
        <v>-0.12804689999999999</v>
      </c>
      <c r="Z4249">
        <v>9.6663139999999995E-2</v>
      </c>
      <c r="AA4249">
        <v>0.98704619999999998</v>
      </c>
      <c r="AB4249">
        <v>37</v>
      </c>
      <c r="AC4249">
        <v>0.43029999999998803</v>
      </c>
      <c r="AD4249">
        <v>-1.117293923778</v>
      </c>
      <c r="AE4249">
        <v>-10.0946999999999</v>
      </c>
      <c r="AF4249">
        <v>-1.32401760946388</v>
      </c>
      <c r="AG4249">
        <v>-1.117293923778</v>
      </c>
      <c r="AH4249">
        <v>9.8936076072519299</v>
      </c>
      <c r="AI4249">
        <v>96.386705110538898</v>
      </c>
      <c r="AJ4249">
        <v>97.622351646384502</v>
      </c>
      <c r="AK4249">
        <v>10.0441445543438</v>
      </c>
      <c r="AL4249">
        <v>66.192540740584903</v>
      </c>
      <c r="AM4249">
        <v>98.823205307646703</v>
      </c>
      <c r="AN4249">
        <v>0.99999997452375899</v>
      </c>
    </row>
    <row r="4250" spans="1:40" x14ac:dyDescent="0.25">
      <c r="A4250" t="str">
        <f>"20190304164730427"</f>
        <v>20190304164730427</v>
      </c>
      <c r="B4250" t="str">
        <f>"1551689250423571"</f>
        <v>1551689250423571</v>
      </c>
      <c r="C4250" t="s">
        <v>40</v>
      </c>
      <c r="D4250">
        <v>4.5972189999999999</v>
      </c>
      <c r="E4250">
        <v>0.52046040000000005</v>
      </c>
      <c r="F4250" t="s">
        <v>42</v>
      </c>
      <c r="G4250">
        <v>-418.46890000000002</v>
      </c>
      <c r="H4250" s="1">
        <v>-1.5665219999999999E-6</v>
      </c>
      <c r="I4250">
        <v>102.3706</v>
      </c>
      <c r="J4250">
        <v>-418.93099999999998</v>
      </c>
      <c r="K4250">
        <v>1.117024</v>
      </c>
      <c r="L4250">
        <v>112.8527</v>
      </c>
      <c r="M4250">
        <v>-8.4097679999999994E-2</v>
      </c>
      <c r="N4250">
        <v>-8.4464610000000006E-3</v>
      </c>
      <c r="O4250">
        <v>-0.99642180000000002</v>
      </c>
      <c r="P4250">
        <v>5.3908249999999998E-2</v>
      </c>
      <c r="Q4250">
        <v>0.40162209999999998</v>
      </c>
      <c r="R4250">
        <v>-0.91421750000000002</v>
      </c>
      <c r="S4250">
        <v>0.136718799999999</v>
      </c>
      <c r="T4250">
        <v>-0.35227920000000001</v>
      </c>
      <c r="U4250">
        <v>-3.4215089999999901</v>
      </c>
      <c r="V4250">
        <v>-0.1375296</v>
      </c>
      <c r="W4250">
        <v>0.40698869999999998</v>
      </c>
      <c r="X4250">
        <v>0.90302039999999995</v>
      </c>
      <c r="Y4250">
        <v>-0.1235854</v>
      </c>
      <c r="Z4250">
        <v>9.3022350000000004E-2</v>
      </c>
      <c r="AA4250">
        <v>0.98796430000000002</v>
      </c>
      <c r="AB4250">
        <v>37</v>
      </c>
      <c r="AC4250">
        <v>0.46209999999996398</v>
      </c>
      <c r="AD4250">
        <v>-1.1170255665219999</v>
      </c>
      <c r="AE4250">
        <v>-10.482100000000001</v>
      </c>
      <c r="AF4250">
        <v>-1.32697452590817</v>
      </c>
      <c r="AG4250">
        <v>-1.1170255665219999</v>
      </c>
      <c r="AH4250">
        <v>10.289479927785001</v>
      </c>
      <c r="AI4250">
        <v>96.145265825810199</v>
      </c>
      <c r="AJ4250">
        <v>97.348543629536493</v>
      </c>
      <c r="AK4250">
        <v>10.434654028426801</v>
      </c>
      <c r="AL4250">
        <v>65.984190967393403</v>
      </c>
      <c r="AM4250">
        <v>98.659577170766397</v>
      </c>
      <c r="AN4250">
        <v>1.0000000178099999</v>
      </c>
    </row>
    <row r="4251" spans="1:40" x14ac:dyDescent="0.25">
      <c r="A4251" t="str">
        <f>"20190304164730448"</f>
        <v>20190304164730448</v>
      </c>
      <c r="B4251" t="str">
        <f>"1551689250443090"</f>
        <v>1551689250443090</v>
      </c>
      <c r="C4251" t="s">
        <v>40</v>
      </c>
      <c r="D4251">
        <v>4.5748220000000002</v>
      </c>
      <c r="E4251">
        <v>0.53432460000000004</v>
      </c>
      <c r="F4251" t="s">
        <v>42</v>
      </c>
      <c r="G4251">
        <v>-418.46449999999999</v>
      </c>
      <c r="H4251" s="1">
        <v>-1.233671E-6</v>
      </c>
      <c r="I4251">
        <v>101.6648</v>
      </c>
      <c r="J4251">
        <v>-418.9572</v>
      </c>
      <c r="K4251">
        <v>1.1167199999999999</v>
      </c>
      <c r="L4251">
        <v>112.4851</v>
      </c>
      <c r="M4251">
        <v>-7.8285649999999998E-2</v>
      </c>
      <c r="N4251">
        <v>-8.4251369999999992E-3</v>
      </c>
      <c r="O4251">
        <v>-0.99689559999999999</v>
      </c>
      <c r="P4251">
        <v>5.677459E-2</v>
      </c>
      <c r="Q4251">
        <v>0.4042386</v>
      </c>
      <c r="R4251">
        <v>-0.91289030000000004</v>
      </c>
      <c r="S4251">
        <v>0.14273069999999999</v>
      </c>
      <c r="T4251">
        <v>-0.34178350000000002</v>
      </c>
      <c r="U4251">
        <v>-3.4232330000000002</v>
      </c>
      <c r="V4251">
        <v>-0.13472629999999999</v>
      </c>
      <c r="W4251">
        <v>0.40972520000000001</v>
      </c>
      <c r="X4251">
        <v>0.90220509999999998</v>
      </c>
      <c r="Y4251">
        <v>-0.1195253</v>
      </c>
      <c r="Z4251">
        <v>9.0092030000000003E-2</v>
      </c>
      <c r="AA4251">
        <v>0.98873509999999998</v>
      </c>
      <c r="AB4251">
        <v>37</v>
      </c>
      <c r="AC4251">
        <v>0.49270000000001302</v>
      </c>
      <c r="AD4251">
        <v>-1.116721233671</v>
      </c>
      <c r="AE4251">
        <v>-10.8203</v>
      </c>
      <c r="AF4251">
        <v>-1.3242161603994</v>
      </c>
      <c r="AG4251">
        <v>-1.116721233671</v>
      </c>
      <c r="AH4251">
        <v>10.635467787001099</v>
      </c>
      <c r="AI4251">
        <v>95.948479589339399</v>
      </c>
      <c r="AJ4251">
        <v>97.097340195362193</v>
      </c>
      <c r="AK4251">
        <v>10.7756108783462</v>
      </c>
      <c r="AL4251">
        <v>65.812425992435607</v>
      </c>
      <c r="AM4251">
        <v>98.493219251462307</v>
      </c>
      <c r="AN4251">
        <v>0.99999997894636905</v>
      </c>
    </row>
    <row r="4252" spans="1:40" x14ac:dyDescent="0.25">
      <c r="A4252" t="str">
        <f>"20190304164730472"</f>
        <v>20190304164730472</v>
      </c>
      <c r="B4252" t="str">
        <f>"1551689250463590"</f>
        <v>1551689250463590</v>
      </c>
      <c r="C4252" t="s">
        <v>40</v>
      </c>
      <c r="D4252">
        <v>4.6957259999999996</v>
      </c>
      <c r="E4252">
        <v>0.54385729999999999</v>
      </c>
      <c r="F4252" t="s">
        <v>42</v>
      </c>
      <c r="G4252">
        <v>-418.81509999999997</v>
      </c>
      <c r="H4252" s="1">
        <v>-4.4021179999999998E-6</v>
      </c>
      <c r="I4252">
        <v>99.404290000000003</v>
      </c>
      <c r="J4252">
        <v>-418.98169999999999</v>
      </c>
      <c r="K4252">
        <v>1.1163829999999999</v>
      </c>
      <c r="L4252">
        <v>112.1168</v>
      </c>
      <c r="M4252">
        <v>-7.2848560000000007E-2</v>
      </c>
      <c r="N4252">
        <v>-8.4026869999999903E-3</v>
      </c>
      <c r="O4252">
        <v>-0.99730759999999996</v>
      </c>
      <c r="P4252">
        <v>5.8857279999999998E-2</v>
      </c>
      <c r="Q4252">
        <v>0.40448580000000001</v>
      </c>
      <c r="R4252">
        <v>-0.91264840000000003</v>
      </c>
      <c r="S4252">
        <v>3.7078859999999998E-2</v>
      </c>
      <c r="T4252">
        <v>-0.29137049999999998</v>
      </c>
      <c r="U4252">
        <v>-3.4129939999999999</v>
      </c>
      <c r="V4252">
        <v>-0.13150400000000001</v>
      </c>
      <c r="W4252">
        <v>0.41011239999999999</v>
      </c>
      <c r="X4252">
        <v>0.90250459999999999</v>
      </c>
      <c r="Y4252">
        <v>-8.3616270000000006E-2</v>
      </c>
      <c r="Z4252">
        <v>7.6192839999999998E-2</v>
      </c>
      <c r="AA4252">
        <v>0.99358089999999999</v>
      </c>
      <c r="AB4252">
        <v>37</v>
      </c>
      <c r="AC4252">
        <v>0.16660000000001601</v>
      </c>
      <c r="AD4252">
        <v>-1.11638740211799</v>
      </c>
      <c r="AE4252">
        <v>-12.712509999999901</v>
      </c>
      <c r="AF4252">
        <v>-1.0839203104366399</v>
      </c>
      <c r="AG4252">
        <v>-1.11638740211799</v>
      </c>
      <c r="AH4252">
        <v>12.5696729285998</v>
      </c>
      <c r="AI4252">
        <v>95.056792512905801</v>
      </c>
      <c r="AJ4252">
        <v>94.928593193133906</v>
      </c>
      <c r="AK4252">
        <v>12.6656180900483</v>
      </c>
      <c r="AL4252">
        <v>65.788104671050604</v>
      </c>
      <c r="AM4252">
        <v>98.290228926854496</v>
      </c>
      <c r="AN4252">
        <v>1.00000001783545</v>
      </c>
    </row>
    <row r="4253" spans="1:40" x14ac:dyDescent="0.25">
      <c r="A4253" t="str">
        <f>"20190304164730493"</f>
        <v>20190304164730493</v>
      </c>
      <c r="B4253" t="str">
        <f>"1551689250483107"</f>
        <v>1551689250483107</v>
      </c>
      <c r="C4253" t="s">
        <v>40</v>
      </c>
      <c r="D4253">
        <v>4.7835150000000004</v>
      </c>
      <c r="E4253">
        <v>0.54425619999999997</v>
      </c>
      <c r="F4253" t="s">
        <v>41</v>
      </c>
      <c r="G4253">
        <v>-418.98570000000001</v>
      </c>
      <c r="H4253">
        <v>1.016993</v>
      </c>
      <c r="I4253">
        <v>111.3476</v>
      </c>
      <c r="J4253">
        <v>-419.00420000000003</v>
      </c>
      <c r="K4253">
        <v>1.1160049999999999</v>
      </c>
      <c r="L4253">
        <v>111.7547</v>
      </c>
      <c r="M4253">
        <v>-6.7918930000000002E-2</v>
      </c>
      <c r="N4253">
        <v>-8.3769480000000004E-3</v>
      </c>
      <c r="O4253">
        <v>-0.99765590000000004</v>
      </c>
      <c r="P4253">
        <v>6.0587809999999999E-2</v>
      </c>
      <c r="Q4253">
        <v>0.40317770000000003</v>
      </c>
      <c r="R4253">
        <v>-0.91311410000000004</v>
      </c>
      <c r="S4253">
        <v>-1.7608639999999998E-2</v>
      </c>
      <c r="T4253">
        <v>-0.450851</v>
      </c>
      <c r="U4253">
        <v>-3.488083</v>
      </c>
      <c r="V4253">
        <v>-0.12838640000000001</v>
      </c>
      <c r="W4253">
        <v>0.40894960000000002</v>
      </c>
      <c r="X4253">
        <v>0.90348059999999997</v>
      </c>
      <c r="Y4253">
        <v>-6.2883380000000003E-2</v>
      </c>
      <c r="Z4253">
        <v>0.119307</v>
      </c>
      <c r="AA4253">
        <v>0.99086399999999997</v>
      </c>
      <c r="AB4253">
        <v>37</v>
      </c>
      <c r="AC4253">
        <v>1.8500000000017201E-2</v>
      </c>
      <c r="AD4253">
        <v>-9.9011999999999795E-2</v>
      </c>
      <c r="AE4253">
        <v>-0.40709999999999902</v>
      </c>
      <c r="AF4253">
        <v>-4.3537963934031997E-2</v>
      </c>
      <c r="AG4253">
        <v>-9.9011999999999795E-2</v>
      </c>
      <c r="AH4253">
        <v>0.38233391528844701</v>
      </c>
      <c r="AI4253">
        <v>104.429456896582</v>
      </c>
      <c r="AJ4253">
        <v>96.496525917701106</v>
      </c>
      <c r="AK4253">
        <v>0.39733883931389602</v>
      </c>
      <c r="AL4253">
        <v>65.861133102969106</v>
      </c>
      <c r="AM4253">
        <v>98.087696696352396</v>
      </c>
      <c r="AN4253">
        <v>1.0000000188107301</v>
      </c>
    </row>
    <row r="4254" spans="1:40" x14ac:dyDescent="0.25">
      <c r="A4254" t="str">
        <f>"20190304164730515"</f>
        <v>20190304164730515</v>
      </c>
      <c r="B4254" t="str">
        <f>"1551689250503603"</f>
        <v>1551689250503603</v>
      </c>
      <c r="C4254" t="s">
        <v>40</v>
      </c>
      <c r="D4254">
        <v>4.4915469999999997</v>
      </c>
      <c r="E4254">
        <v>0.54447290000000004</v>
      </c>
      <c r="F4254" t="s">
        <v>41</v>
      </c>
      <c r="G4254">
        <v>-419.00799999999998</v>
      </c>
      <c r="H4254">
        <v>1.022278</v>
      </c>
      <c r="I4254">
        <v>111.0117</v>
      </c>
      <c r="J4254">
        <v>-419.02530000000002</v>
      </c>
      <c r="K4254">
        <v>1.115577</v>
      </c>
      <c r="L4254">
        <v>111.3895</v>
      </c>
      <c r="M4254">
        <v>-6.341629E-2</v>
      </c>
      <c r="N4254">
        <v>-8.3475849999999994E-3</v>
      </c>
      <c r="O4254">
        <v>-0.99795230000000001</v>
      </c>
      <c r="P4254">
        <v>6.1873419999999998E-2</v>
      </c>
      <c r="Q4254">
        <v>0.4009375</v>
      </c>
      <c r="R4254">
        <v>-0.91401390000000005</v>
      </c>
      <c r="S4254">
        <v>-1.6479489999999999E-2</v>
      </c>
      <c r="T4254">
        <v>-0.43937680000000001</v>
      </c>
      <c r="U4254">
        <v>-3.4805299999999999</v>
      </c>
      <c r="V4254">
        <v>-0.12518399999999999</v>
      </c>
      <c r="W4254">
        <v>0.40686240000000001</v>
      </c>
      <c r="X4254">
        <v>0.90487119999999999</v>
      </c>
      <c r="Y4254">
        <v>-5.8691590000000002E-2</v>
      </c>
      <c r="Z4254">
        <v>0.1164738</v>
      </c>
      <c r="AA4254">
        <v>0.99145810000000001</v>
      </c>
      <c r="AB4254">
        <v>37</v>
      </c>
      <c r="AC4254">
        <v>1.7299999999977399E-2</v>
      </c>
      <c r="AD4254">
        <v>-9.3299000000000007E-2</v>
      </c>
      <c r="AE4254">
        <v>-0.37779999999999297</v>
      </c>
      <c r="AF4254">
        <v>-3.8859742515937497E-2</v>
      </c>
      <c r="AG4254">
        <v>-9.3299000000000007E-2</v>
      </c>
      <c r="AH4254">
        <v>0.35437563059003702</v>
      </c>
      <c r="AI4254">
        <v>104.665861982408</v>
      </c>
      <c r="AJ4254">
        <v>96.257876110852294</v>
      </c>
      <c r="AK4254">
        <v>0.36850626934353697</v>
      </c>
      <c r="AL4254">
        <v>65.992111700961203</v>
      </c>
      <c r="AM4254">
        <v>97.8765624198426</v>
      </c>
      <c r="AN4254">
        <v>0.99999996748959896</v>
      </c>
    </row>
    <row r="4255" spans="1:40" x14ac:dyDescent="0.25">
      <c r="A4255" t="str">
        <f>"20190304164730538"</f>
        <v>20190304164730538</v>
      </c>
      <c r="B4255" t="str">
        <f>"1551689250532883"</f>
        <v>1551689250532883</v>
      </c>
      <c r="C4255" t="s">
        <v>40</v>
      </c>
      <c r="D4255">
        <v>4.6080969999999999</v>
      </c>
      <c r="E4255">
        <v>0.54549429999999999</v>
      </c>
      <c r="F4255" t="s">
        <v>41</v>
      </c>
      <c r="G4255">
        <v>-419.0308</v>
      </c>
      <c r="H4255">
        <v>0.98933009999999999</v>
      </c>
      <c r="I4255">
        <v>110.3617</v>
      </c>
      <c r="J4255">
        <v>-419.04610000000002</v>
      </c>
      <c r="K4255">
        <v>1.1150960000000001</v>
      </c>
      <c r="L4255">
        <v>111.0047</v>
      </c>
      <c r="M4255">
        <v>-5.9218939999999998E-2</v>
      </c>
      <c r="N4255">
        <v>-8.3167239999999993E-3</v>
      </c>
      <c r="O4255">
        <v>-0.99821040000000005</v>
      </c>
      <c r="P4255">
        <v>6.3212069999999995E-2</v>
      </c>
      <c r="Q4255">
        <v>0.39859630000000001</v>
      </c>
      <c r="R4255">
        <v>-0.91494549999999997</v>
      </c>
      <c r="S4255">
        <v>-1.7700199999999999E-2</v>
      </c>
      <c r="T4255">
        <v>-0.42651719999999999</v>
      </c>
      <c r="U4255">
        <v>-3.47052</v>
      </c>
      <c r="V4255">
        <v>-0.1222577</v>
      </c>
      <c r="W4255">
        <v>0.4046785</v>
      </c>
      <c r="X4255">
        <v>0.90624959999999999</v>
      </c>
      <c r="Y4255">
        <v>-5.4132220000000002E-2</v>
      </c>
      <c r="Z4255">
        <v>0.1133115</v>
      </c>
      <c r="AA4255">
        <v>0.99208379999999996</v>
      </c>
      <c r="AB4255">
        <v>38</v>
      </c>
      <c r="AC4255">
        <v>1.53000000000247E-2</v>
      </c>
      <c r="AD4255">
        <v>-0.12576589999999899</v>
      </c>
      <c r="AE4255">
        <v>-0.64300000000000002</v>
      </c>
      <c r="AF4255">
        <v>-5.1387455738837802E-2</v>
      </c>
      <c r="AG4255">
        <v>-0.12576589999999899</v>
      </c>
      <c r="AH4255">
        <v>0.61736076510423699</v>
      </c>
      <c r="AI4255">
        <v>101.47584695330499</v>
      </c>
      <c r="AJ4255">
        <v>94.758178444025106</v>
      </c>
      <c r="AK4255">
        <v>0.632132934199927</v>
      </c>
      <c r="AL4255">
        <v>66.129017765384503</v>
      </c>
      <c r="AM4255">
        <v>97.683108095665801</v>
      </c>
      <c r="AN4255">
        <v>0.99999998553584901</v>
      </c>
    </row>
    <row r="4256" spans="1:40" x14ac:dyDescent="0.25">
      <c r="A4256" t="str">
        <f>"20190304164730561"</f>
        <v>20190304164730561</v>
      </c>
      <c r="B4256" t="str">
        <f>"1551689250553386"</f>
        <v>1551689250553386</v>
      </c>
      <c r="C4256" t="s">
        <v>40</v>
      </c>
      <c r="D4256">
        <v>4.5660360000000004</v>
      </c>
      <c r="E4256">
        <v>0.54616450000000005</v>
      </c>
      <c r="F4256" t="s">
        <v>41</v>
      </c>
      <c r="G4256">
        <v>-419.05270000000002</v>
      </c>
      <c r="H4256">
        <v>0.99244520000000003</v>
      </c>
      <c r="I4256">
        <v>110.0253</v>
      </c>
      <c r="J4256">
        <v>-419.0659</v>
      </c>
      <c r="K4256">
        <v>1.1146320000000001</v>
      </c>
      <c r="L4256">
        <v>110.6174</v>
      </c>
      <c r="M4256">
        <v>-5.5459809999999998E-2</v>
      </c>
      <c r="N4256">
        <v>-8.2891349999999996E-3</v>
      </c>
      <c r="O4256">
        <v>-0.99842649999999999</v>
      </c>
      <c r="P4256">
        <v>6.4292249999999995E-2</v>
      </c>
      <c r="Q4256">
        <v>0.39578239999999998</v>
      </c>
      <c r="R4256">
        <v>-0.91609130000000005</v>
      </c>
      <c r="S4256">
        <v>-2.23999E-2</v>
      </c>
      <c r="T4256">
        <v>-0.43470530000000002</v>
      </c>
      <c r="U4256">
        <v>-3.4698180000000001</v>
      </c>
      <c r="V4256">
        <v>-0.1194943</v>
      </c>
      <c r="W4256">
        <v>0.40201300000000001</v>
      </c>
      <c r="X4256">
        <v>0.90780320000000003</v>
      </c>
      <c r="Y4256">
        <v>-4.9031119999999997E-2</v>
      </c>
      <c r="Z4256">
        <v>0.1157203</v>
      </c>
      <c r="AA4256">
        <v>0.99207100000000004</v>
      </c>
      <c r="AB4256">
        <v>38</v>
      </c>
      <c r="AC4256">
        <v>1.31999999999834E-2</v>
      </c>
      <c r="AD4256">
        <v>-0.1221868</v>
      </c>
      <c r="AE4256">
        <v>-0.59210000000000196</v>
      </c>
      <c r="AF4256">
        <v>-4.4139797485925898E-2</v>
      </c>
      <c r="AG4256">
        <v>-0.1221868</v>
      </c>
      <c r="AH4256">
        <v>0.56635040209827203</v>
      </c>
      <c r="AI4256">
        <v>102.13891325272</v>
      </c>
      <c r="AJ4256">
        <v>94.456467345523905</v>
      </c>
      <c r="AK4256">
        <v>0.58105999154408605</v>
      </c>
      <c r="AL4256">
        <v>66.295918586271696</v>
      </c>
      <c r="AM4256">
        <v>97.498743163766306</v>
      </c>
      <c r="AN4256">
        <v>0.999999994915865</v>
      </c>
    </row>
    <row r="4257" spans="1:40" x14ac:dyDescent="0.25">
      <c r="A4257" t="str">
        <f>"20190304164730583"</f>
        <v>20190304164730583</v>
      </c>
      <c r="B4257" t="str">
        <f>"1551689250572899"</f>
        <v>1551689250572899</v>
      </c>
      <c r="C4257" t="s">
        <v>40</v>
      </c>
      <c r="D4257">
        <v>4.6060239999999997</v>
      </c>
      <c r="E4257">
        <v>0.54684929999999998</v>
      </c>
      <c r="F4257" t="s">
        <v>41</v>
      </c>
      <c r="G4257">
        <v>-419.07279999999997</v>
      </c>
      <c r="H4257">
        <v>0.99370130000000001</v>
      </c>
      <c r="I4257">
        <v>109.6887</v>
      </c>
      <c r="J4257">
        <v>-419.08370000000002</v>
      </c>
      <c r="K4257">
        <v>1.1142069999999999</v>
      </c>
      <c r="L4257">
        <v>110.25060000000001</v>
      </c>
      <c r="M4257">
        <v>-5.2351340000000003E-2</v>
      </c>
      <c r="N4257">
        <v>-8.2649279999999995E-3</v>
      </c>
      <c r="O4257">
        <v>-0.9985946</v>
      </c>
      <c r="P4257">
        <v>6.5027870000000002E-2</v>
      </c>
      <c r="Q4257">
        <v>0.3941751</v>
      </c>
      <c r="R4257">
        <v>-0.91673230000000006</v>
      </c>
      <c r="S4257">
        <v>-2.4322509999999999E-2</v>
      </c>
      <c r="T4257">
        <v>-0.45221729999999999</v>
      </c>
      <c r="U4257">
        <v>-3.4718629999999999</v>
      </c>
      <c r="V4257">
        <v>-0.1169975</v>
      </c>
      <c r="W4257">
        <v>0.40053460000000002</v>
      </c>
      <c r="X4257">
        <v>0.90878139999999996</v>
      </c>
      <c r="Y4257">
        <v>-4.538114E-2</v>
      </c>
      <c r="Z4257">
        <v>0.1206295</v>
      </c>
      <c r="AA4257">
        <v>0.99165979999999998</v>
      </c>
      <c r="AB4257">
        <v>38</v>
      </c>
      <c r="AC4257">
        <v>1.09000000000492E-2</v>
      </c>
      <c r="AD4257">
        <v>-0.12050569999999899</v>
      </c>
      <c r="AE4257">
        <v>-0.56190000000000795</v>
      </c>
      <c r="AF4257">
        <v>-3.8530771551819401E-2</v>
      </c>
      <c r="AG4257">
        <v>-0.12050569999999899</v>
      </c>
      <c r="AH4257">
        <v>0.53591921512060003</v>
      </c>
      <c r="AI4257">
        <v>102.641060000523</v>
      </c>
      <c r="AJ4257">
        <v>94.112296054790505</v>
      </c>
      <c r="AK4257">
        <v>0.55065020586970503</v>
      </c>
      <c r="AL4257">
        <v>66.388397014453105</v>
      </c>
      <c r="AM4257">
        <v>97.335968763032994</v>
      </c>
      <c r="AN4257">
        <v>1.0000000068946799</v>
      </c>
    </row>
    <row r="4258" spans="1:40" x14ac:dyDescent="0.25">
      <c r="A4258" t="str">
        <f>"20190304164730606"</f>
        <v>20190304164730606</v>
      </c>
      <c r="B4258" t="str">
        <f>"1551689250593395"</f>
        <v>1551689250593395</v>
      </c>
      <c r="C4258" t="s">
        <v>40</v>
      </c>
      <c r="D4258">
        <v>4.5829550000000001</v>
      </c>
      <c r="E4258">
        <v>0.54709459999999999</v>
      </c>
      <c r="F4258" t="s">
        <v>41</v>
      </c>
      <c r="G4258">
        <v>-419.09089999999998</v>
      </c>
      <c r="H4258">
        <v>0.99364850000000005</v>
      </c>
      <c r="I4258">
        <v>109.35169999999999</v>
      </c>
      <c r="J4258">
        <v>-419.10140000000001</v>
      </c>
      <c r="K4258">
        <v>1.113761</v>
      </c>
      <c r="L4258">
        <v>109.869</v>
      </c>
      <c r="M4258">
        <v>-4.963294E-2</v>
      </c>
      <c r="N4258">
        <v>-8.2382619999999997E-3</v>
      </c>
      <c r="O4258">
        <v>-0.99873350000000005</v>
      </c>
      <c r="P4258">
        <v>6.6344440000000005E-2</v>
      </c>
      <c r="Q4258">
        <v>0.39185029999999998</v>
      </c>
      <c r="R4258">
        <v>-0.91763349999999999</v>
      </c>
      <c r="S4258">
        <v>-2.7282710000000002E-2</v>
      </c>
      <c r="T4258">
        <v>-0.46606209999999998</v>
      </c>
      <c r="U4258">
        <v>-3.4748380000000001</v>
      </c>
      <c r="V4258">
        <v>-0.1154145</v>
      </c>
      <c r="W4258">
        <v>0.39833350000000001</v>
      </c>
      <c r="X4258">
        <v>0.9099505</v>
      </c>
      <c r="Y4258">
        <v>-4.1828030000000002E-2</v>
      </c>
      <c r="Z4258">
        <v>0.1244613</v>
      </c>
      <c r="AA4258">
        <v>0.99134239999999996</v>
      </c>
      <c r="AB4258">
        <v>38</v>
      </c>
      <c r="AC4258">
        <v>1.0500000000035901E-2</v>
      </c>
      <c r="AD4258">
        <v>-0.120112499999999</v>
      </c>
      <c r="AE4258">
        <v>-0.51730000000000498</v>
      </c>
      <c r="AF4258">
        <v>-3.4313858115132899E-2</v>
      </c>
      <c r="AG4258">
        <v>-0.120112499999999</v>
      </c>
      <c r="AH4258">
        <v>0.48974842541945601</v>
      </c>
      <c r="AI4258">
        <v>103.74758126767</v>
      </c>
      <c r="AJ4258">
        <v>94.007836460726907</v>
      </c>
      <c r="AK4258">
        <v>0.50542850504876702</v>
      </c>
      <c r="AL4258">
        <v>66.525961179174502</v>
      </c>
      <c r="AM4258">
        <v>97.2285706411935</v>
      </c>
      <c r="AN4258">
        <v>0.99999999824137498</v>
      </c>
    </row>
    <row r="4259" spans="1:40" x14ac:dyDescent="0.25">
      <c r="A4259" t="str">
        <f>"20190304164730628"</f>
        <v>20190304164730628</v>
      </c>
      <c r="B4259" t="str">
        <f>"1551689250623651"</f>
        <v>1551689250623651</v>
      </c>
      <c r="C4259" t="s">
        <v>40</v>
      </c>
      <c r="D4259">
        <v>4.5602179999999999</v>
      </c>
      <c r="E4259">
        <v>0.54767310000000002</v>
      </c>
      <c r="F4259" t="s">
        <v>41</v>
      </c>
      <c r="G4259">
        <v>-419.10860000000002</v>
      </c>
      <c r="H4259">
        <v>0.99610650000000001</v>
      </c>
      <c r="I4259">
        <v>109.0127</v>
      </c>
      <c r="J4259">
        <v>-419.11840000000001</v>
      </c>
      <c r="K4259">
        <v>1.1132930000000001</v>
      </c>
      <c r="L4259">
        <v>109.4906</v>
      </c>
      <c r="M4259">
        <v>-4.7476150000000002E-2</v>
      </c>
      <c r="N4259">
        <v>-8.2115450000000006E-3</v>
      </c>
      <c r="O4259">
        <v>-0.99883880000000003</v>
      </c>
      <c r="P4259">
        <v>6.7349899999999893E-2</v>
      </c>
      <c r="Q4259">
        <v>0.38952560000000003</v>
      </c>
      <c r="R4259">
        <v>-0.91854990000000003</v>
      </c>
      <c r="S4259">
        <v>-2.7832030000000001E-2</v>
      </c>
      <c r="T4259">
        <v>-0.47758879999999998</v>
      </c>
      <c r="U4259">
        <v>-3.4752200000000002</v>
      </c>
      <c r="V4259">
        <v>-0.11401310000000001</v>
      </c>
      <c r="W4259">
        <v>0.39613330000000002</v>
      </c>
      <c r="X4259">
        <v>0.91108699999999998</v>
      </c>
      <c r="Y4259">
        <v>-3.9518780000000003E-2</v>
      </c>
      <c r="Z4259">
        <v>0.12772439999999999</v>
      </c>
      <c r="AA4259">
        <v>0.99102210000000002</v>
      </c>
      <c r="AB4259">
        <v>38</v>
      </c>
      <c r="AC4259">
        <v>9.7999999999842605E-3</v>
      </c>
      <c r="AD4259">
        <v>-0.1171865</v>
      </c>
      <c r="AE4259">
        <v>-0.47790000000000499</v>
      </c>
      <c r="AF4259">
        <v>-3.06371658401971E-2</v>
      </c>
      <c r="AG4259">
        <v>-0.1171865</v>
      </c>
      <c r="AH4259">
        <v>0.44985783552839298</v>
      </c>
      <c r="AI4259">
        <v>104.568565917225</v>
      </c>
      <c r="AJ4259">
        <v>93.896061757955493</v>
      </c>
      <c r="AK4259">
        <v>0.46587915160399701</v>
      </c>
      <c r="AL4259">
        <v>66.663327393126906</v>
      </c>
      <c r="AM4259">
        <v>97.132893957387097</v>
      </c>
      <c r="AN4259">
        <v>1.0000000499547399</v>
      </c>
    </row>
    <row r="4260" spans="1:40" x14ac:dyDescent="0.25">
      <c r="A4260" t="str">
        <f>"20190304164730650"</f>
        <v>20190304164730650</v>
      </c>
      <c r="B4260" t="str">
        <f>"1551689250643176"</f>
        <v>1551689250643176</v>
      </c>
      <c r="C4260" t="s">
        <v>40</v>
      </c>
      <c r="D4260">
        <v>4.5025040000000001</v>
      </c>
      <c r="E4260">
        <v>0.54795039999999995</v>
      </c>
      <c r="F4260" t="s">
        <v>41</v>
      </c>
      <c r="G4260">
        <v>-419.12619999999998</v>
      </c>
      <c r="H4260">
        <v>0.99885749999999995</v>
      </c>
      <c r="I4260">
        <v>108.67270000000001</v>
      </c>
      <c r="J4260">
        <v>-419.13529999999997</v>
      </c>
      <c r="K4260">
        <v>1.112792</v>
      </c>
      <c r="L4260">
        <v>109.104</v>
      </c>
      <c r="M4260">
        <v>-4.5826770000000003E-2</v>
      </c>
      <c r="N4260">
        <v>-8.1869300000000002E-3</v>
      </c>
      <c r="O4260">
        <v>-0.99891569999999996</v>
      </c>
      <c r="P4260">
        <v>6.7051440000000004E-2</v>
      </c>
      <c r="Q4260">
        <v>0.38744070000000003</v>
      </c>
      <c r="R4260">
        <v>-0.91945299999999996</v>
      </c>
      <c r="S4260">
        <v>-3.207397E-2</v>
      </c>
      <c r="T4260">
        <v>-0.48616530000000002</v>
      </c>
      <c r="U4260">
        <v>-3.4745330000000001</v>
      </c>
      <c r="V4260">
        <v>-0.11173760000000001</v>
      </c>
      <c r="W4260">
        <v>0.39418880000000001</v>
      </c>
      <c r="X4260">
        <v>0.91221149999999995</v>
      </c>
      <c r="Y4260">
        <v>-3.6661699999999998E-2</v>
      </c>
      <c r="Z4260">
        <v>0.1301947</v>
      </c>
      <c r="AA4260">
        <v>0.99081039999999998</v>
      </c>
      <c r="AB4260">
        <v>38</v>
      </c>
      <c r="AC4260">
        <v>9.0999999999894499E-3</v>
      </c>
      <c r="AD4260">
        <v>-0.11393449999999899</v>
      </c>
      <c r="AE4260">
        <v>-0.43129999999999302</v>
      </c>
      <c r="AF4260">
        <v>-2.6974647573943401E-2</v>
      </c>
      <c r="AG4260">
        <v>-0.11393449999999899</v>
      </c>
      <c r="AH4260">
        <v>0.40236400910034198</v>
      </c>
      <c r="AI4260">
        <v>105.77650152872</v>
      </c>
      <c r="AJ4260">
        <v>93.835393388109495</v>
      </c>
      <c r="AK4260">
        <v>0.41905309654181999</v>
      </c>
      <c r="AL4260">
        <v>66.784607845050999</v>
      </c>
      <c r="AM4260">
        <v>96.983423304518595</v>
      </c>
      <c r="AN4260">
        <v>0.99999996101572397</v>
      </c>
    </row>
    <row r="4261" spans="1:40" x14ac:dyDescent="0.25">
      <c r="A4261" t="str">
        <f>"20190304164730671"</f>
        <v>20190304164730671</v>
      </c>
      <c r="B4261" t="str">
        <f>"1551689250663666"</f>
        <v>1551689250663666</v>
      </c>
      <c r="C4261" t="s">
        <v>40</v>
      </c>
      <c r="D4261">
        <v>4.7443429999999998</v>
      </c>
      <c r="E4261">
        <v>0.54836989999999997</v>
      </c>
      <c r="F4261" t="s">
        <v>41</v>
      </c>
      <c r="G4261">
        <v>-419.14370000000002</v>
      </c>
      <c r="H4261">
        <v>1.00376</v>
      </c>
      <c r="I4261">
        <v>108.3308</v>
      </c>
      <c r="J4261">
        <v>-419.15089999999998</v>
      </c>
      <c r="K4261">
        <v>1.112311</v>
      </c>
      <c r="L4261">
        <v>108.7432</v>
      </c>
      <c r="M4261">
        <v>-4.4781639999999998E-2</v>
      </c>
      <c r="N4261">
        <v>-8.1680740000000009E-3</v>
      </c>
      <c r="O4261">
        <v>-0.99896359999999995</v>
      </c>
      <c r="P4261">
        <v>6.6194530000000001E-2</v>
      </c>
      <c r="Q4261">
        <v>0.3863991</v>
      </c>
      <c r="R4261">
        <v>-0.91995360000000004</v>
      </c>
      <c r="S4261">
        <v>-3.619385E-2</v>
      </c>
      <c r="T4261">
        <v>-0.48957119999999998</v>
      </c>
      <c r="U4261">
        <v>-3.4717410000000002</v>
      </c>
      <c r="V4261">
        <v>-0.10947</v>
      </c>
      <c r="W4261">
        <v>0.39327800000000002</v>
      </c>
      <c r="X4261">
        <v>0.91287929999999995</v>
      </c>
      <c r="Y4261">
        <v>-3.4435800000000003E-2</v>
      </c>
      <c r="Z4261">
        <v>0.131289299999999</v>
      </c>
      <c r="AA4261">
        <v>0.99074580000000001</v>
      </c>
      <c r="AB4261">
        <v>38</v>
      </c>
      <c r="AC4261">
        <v>7.1999999999547903E-3</v>
      </c>
      <c r="AD4261">
        <v>-0.10855099999999999</v>
      </c>
      <c r="AE4261">
        <v>-0.41240000000000498</v>
      </c>
      <c r="AF4261">
        <v>-2.39991003225964E-2</v>
      </c>
      <c r="AG4261">
        <v>-0.10855099999999999</v>
      </c>
      <c r="AH4261">
        <v>0.384997907252347</v>
      </c>
      <c r="AI4261">
        <v>105.71691924580701</v>
      </c>
      <c r="AJ4261">
        <v>93.566955177169405</v>
      </c>
      <c r="AK4261">
        <v>0.40072766937906901</v>
      </c>
      <c r="AL4261">
        <v>66.841378032160407</v>
      </c>
      <c r="AM4261">
        <v>96.838100977729297</v>
      </c>
      <c r="AN4261">
        <v>0.99999994127624303</v>
      </c>
    </row>
    <row r="4262" spans="1:40" x14ac:dyDescent="0.25">
      <c r="A4262" t="str">
        <f>"20190304164730694"</f>
        <v>20190304164730694</v>
      </c>
      <c r="B4262" t="str">
        <f>"1551689250683187"</f>
        <v>1551689250683187</v>
      </c>
      <c r="C4262" t="s">
        <v>40</v>
      </c>
      <c r="D4262">
        <v>4.5916329999999999</v>
      </c>
      <c r="E4262">
        <v>0.54864159999999995</v>
      </c>
      <c r="F4262" t="s">
        <v>41</v>
      </c>
      <c r="G4262">
        <v>-419.16</v>
      </c>
      <c r="H4262">
        <v>1.0048410000000001</v>
      </c>
      <c r="I4262">
        <v>107.9897</v>
      </c>
      <c r="J4262">
        <v>-419.16739999999999</v>
      </c>
      <c r="K4262">
        <v>1.1118059999999901</v>
      </c>
      <c r="L4262">
        <v>108.3609</v>
      </c>
      <c r="M4262">
        <v>-4.415343E-2</v>
      </c>
      <c r="N4262">
        <v>-8.1522539999999994E-3</v>
      </c>
      <c r="O4262">
        <v>-0.99899159999999998</v>
      </c>
      <c r="P4262">
        <v>6.5080360000000004E-2</v>
      </c>
      <c r="Q4262">
        <v>0.38563799999999998</v>
      </c>
      <c r="R4262">
        <v>-0.92035219999999995</v>
      </c>
      <c r="S4262">
        <v>-4.0863040000000003E-2</v>
      </c>
      <c r="T4262">
        <v>-0.49519970000000002</v>
      </c>
      <c r="U4262">
        <v>-3.4719850000000001</v>
      </c>
      <c r="V4262">
        <v>-0.1073023</v>
      </c>
      <c r="W4262">
        <v>0.39265099999999997</v>
      </c>
      <c r="X4262">
        <v>0.91340650000000001</v>
      </c>
      <c r="Y4262">
        <v>-3.2479300000000003E-2</v>
      </c>
      <c r="Z4262">
        <v>0.13287739999999901</v>
      </c>
      <c r="AA4262">
        <v>0.99060020000000004</v>
      </c>
      <c r="AB4262">
        <v>38</v>
      </c>
      <c r="AC4262">
        <v>7.3999999999614296E-3</v>
      </c>
      <c r="AD4262">
        <v>-0.10696499999999901</v>
      </c>
      <c r="AE4262">
        <v>-0.37120000000000097</v>
      </c>
      <c r="AF4262">
        <v>-2.1960303287123999E-2</v>
      </c>
      <c r="AG4262">
        <v>-0.10696499999999901</v>
      </c>
      <c r="AH4262">
        <v>0.34211461016893702</v>
      </c>
      <c r="AI4262">
        <v>107.328769420637</v>
      </c>
      <c r="AJ4262">
        <v>93.672771640216894</v>
      </c>
      <c r="AK4262">
        <v>0.359118605249723</v>
      </c>
      <c r="AL4262">
        <v>66.880447059603895</v>
      </c>
      <c r="AM4262">
        <v>96.700104996645805</v>
      </c>
      <c r="AN4262">
        <v>1.0000000128142701</v>
      </c>
    </row>
    <row r="4263" spans="1:40" x14ac:dyDescent="0.25">
      <c r="A4263" t="str">
        <f>"20190304164730719"</f>
        <v>20190304164730719</v>
      </c>
      <c r="B4263" t="str">
        <f>"1551689250713443"</f>
        <v>1551689250713443</v>
      </c>
      <c r="C4263" t="s">
        <v>40</v>
      </c>
      <c r="D4263">
        <v>4.7090249999999996</v>
      </c>
      <c r="E4263">
        <v>0.54919430000000002</v>
      </c>
      <c r="F4263" t="s">
        <v>41</v>
      </c>
      <c r="G4263">
        <v>-419.18040000000002</v>
      </c>
      <c r="H4263">
        <v>0.96271649999999998</v>
      </c>
      <c r="I4263">
        <v>107.3252</v>
      </c>
      <c r="J4263">
        <v>-419.18599999999998</v>
      </c>
      <c r="K4263">
        <v>1.1112599999999999</v>
      </c>
      <c r="L4263">
        <v>107.9349</v>
      </c>
      <c r="M4263">
        <v>-4.4073620000000001E-2</v>
      </c>
      <c r="N4263">
        <v>-8.1392640000000002E-3</v>
      </c>
      <c r="O4263">
        <v>-0.99899530000000003</v>
      </c>
      <c r="P4263">
        <v>6.3656610000000002E-2</v>
      </c>
      <c r="Q4263">
        <v>0.3847584</v>
      </c>
      <c r="R4263">
        <v>-0.92081979999999997</v>
      </c>
      <c r="S4263">
        <v>-4.4158940000000001E-2</v>
      </c>
      <c r="T4263">
        <v>-0.49985429999999997</v>
      </c>
      <c r="U4263">
        <v>-3.4721980000000001</v>
      </c>
      <c r="V4263">
        <v>-0.1053024</v>
      </c>
      <c r="W4263">
        <v>0.3919106</v>
      </c>
      <c r="X4263">
        <v>0.91395709999999997</v>
      </c>
      <c r="Y4263">
        <v>-3.146272E-2</v>
      </c>
      <c r="Z4263">
        <v>0.13418369999999999</v>
      </c>
      <c r="AA4263">
        <v>0.99045689999999997</v>
      </c>
      <c r="AB4263">
        <v>38</v>
      </c>
      <c r="AC4263">
        <v>5.5999999999585201E-3</v>
      </c>
      <c r="AD4263">
        <v>-0.14854349999999999</v>
      </c>
      <c r="AE4263">
        <v>-0.60970000000000302</v>
      </c>
      <c r="AF4263">
        <v>-3.0648091924410301E-2</v>
      </c>
      <c r="AG4263">
        <v>-0.14854349999999999</v>
      </c>
      <c r="AH4263">
        <v>0.57474801294097699</v>
      </c>
      <c r="AI4263">
        <v>104.47129326232501</v>
      </c>
      <c r="AJ4263">
        <v>93.052372022948603</v>
      </c>
      <c r="AK4263">
        <v>0.59442388521194101</v>
      </c>
      <c r="AL4263">
        <v>66.926566292017895</v>
      </c>
      <c r="AM4263">
        <v>96.572405428696996</v>
      </c>
      <c r="AN4263">
        <v>1.0000000472392601</v>
      </c>
    </row>
    <row r="4264" spans="1:40" x14ac:dyDescent="0.25">
      <c r="A4264" t="str">
        <f>"20190304164730740"</f>
        <v>20190304164730740</v>
      </c>
      <c r="B4264" t="str">
        <f>"1551689250732963"</f>
        <v>1551689250732963</v>
      </c>
      <c r="C4264" t="s">
        <v>40</v>
      </c>
      <c r="D4264">
        <v>4.8238399999999997</v>
      </c>
      <c r="E4264">
        <v>0.54949130000000002</v>
      </c>
      <c r="F4264" t="s">
        <v>41</v>
      </c>
      <c r="G4264">
        <v>-419.20080000000002</v>
      </c>
      <c r="H4264">
        <v>0.97238659999999999</v>
      </c>
      <c r="I4264">
        <v>106.9781</v>
      </c>
      <c r="J4264">
        <v>-419.20209999999997</v>
      </c>
      <c r="K4264">
        <v>1.110841</v>
      </c>
      <c r="L4264">
        <v>107.5728</v>
      </c>
      <c r="M4264">
        <v>-4.4368570000000003E-2</v>
      </c>
      <c r="N4264">
        <v>-8.1302839999999998E-3</v>
      </c>
      <c r="O4264">
        <v>-0.99898240000000005</v>
      </c>
      <c r="P4264">
        <v>6.2090619999999999E-2</v>
      </c>
      <c r="Q4264">
        <v>0.38431120000000002</v>
      </c>
      <c r="R4264">
        <v>-0.92111379999999998</v>
      </c>
      <c r="S4264">
        <v>-5.212402E-2</v>
      </c>
      <c r="T4264">
        <v>-0.50383719999999999</v>
      </c>
      <c r="U4264">
        <v>-3.4720759999999999</v>
      </c>
      <c r="V4264">
        <v>-0.1036204</v>
      </c>
      <c r="W4264">
        <v>0.39156750000000001</v>
      </c>
      <c r="X4264">
        <v>0.91429629999999995</v>
      </c>
      <c r="Y4264">
        <v>-2.9489029999999999E-2</v>
      </c>
      <c r="Z4264">
        <v>0.1353087</v>
      </c>
      <c r="AA4264">
        <v>0.99036460000000004</v>
      </c>
      <c r="AB4264">
        <v>38</v>
      </c>
      <c r="AC4264">
        <v>1.29999999995789E-3</v>
      </c>
      <c r="AD4264">
        <v>-0.13845439999999901</v>
      </c>
      <c r="AE4264">
        <v>-0.594700000000003</v>
      </c>
      <c r="AF4264">
        <v>-2.6262113781881299E-2</v>
      </c>
      <c r="AG4264">
        <v>-0.13845439999999901</v>
      </c>
      <c r="AH4264">
        <v>0.56351308346304796</v>
      </c>
      <c r="AI4264">
        <v>103.789662233383</v>
      </c>
      <c r="AJ4264">
        <v>92.668297072131097</v>
      </c>
      <c r="AK4264">
        <v>0.58086686489563599</v>
      </c>
      <c r="AL4264">
        <v>66.947931180928606</v>
      </c>
      <c r="AM4264">
        <v>96.465941544704407</v>
      </c>
      <c r="AN4264">
        <v>1.0000000092730399</v>
      </c>
    </row>
    <row r="4265" spans="1:40" x14ac:dyDescent="0.25">
      <c r="A4265" t="str">
        <f>"20190304164730762"</f>
        <v>20190304164730762</v>
      </c>
      <c r="B4265" t="str">
        <f>"1551689250753459"</f>
        <v>1551689250753459</v>
      </c>
      <c r="C4265" t="s">
        <v>40</v>
      </c>
      <c r="D4265">
        <v>4.6270189999999998</v>
      </c>
      <c r="E4265">
        <v>0.54976429999999998</v>
      </c>
      <c r="F4265" t="s">
        <v>41</v>
      </c>
      <c r="G4265">
        <v>-419.21839999999997</v>
      </c>
      <c r="H4265">
        <v>0.97408689999999998</v>
      </c>
      <c r="I4265">
        <v>106.6337</v>
      </c>
      <c r="J4265">
        <v>-419.21899999999999</v>
      </c>
      <c r="K4265">
        <v>1.1104320000000001</v>
      </c>
      <c r="L4265">
        <v>107.20350000000001</v>
      </c>
      <c r="M4265">
        <v>-4.5013030000000002E-2</v>
      </c>
      <c r="N4265">
        <v>-8.1228569999999903E-3</v>
      </c>
      <c r="O4265">
        <v>-0.99895350000000005</v>
      </c>
      <c r="P4265">
        <v>6.0367549999999999E-2</v>
      </c>
      <c r="Q4265">
        <v>0.38431209999999999</v>
      </c>
      <c r="R4265">
        <v>-0.92122749999999998</v>
      </c>
      <c r="S4265">
        <v>-5.9234620000000002E-2</v>
      </c>
      <c r="T4265">
        <v>-0.50555669999999997</v>
      </c>
      <c r="U4265">
        <v>-3.4718629999999999</v>
      </c>
      <c r="V4265">
        <v>-0.10211679999999999</v>
      </c>
      <c r="W4265">
        <v>0.39166410000000002</v>
      </c>
      <c r="X4265">
        <v>0.91442409999999996</v>
      </c>
      <c r="Y4265">
        <v>-2.8107119999999999E-2</v>
      </c>
      <c r="Z4265">
        <v>0.13579920000000001</v>
      </c>
      <c r="AA4265">
        <v>0.99033760000000004</v>
      </c>
      <c r="AB4265">
        <v>38</v>
      </c>
      <c r="AC4265">
        <v>6.0000000001991696E-4</v>
      </c>
      <c r="AD4265">
        <v>-0.136345099999999</v>
      </c>
      <c r="AE4265">
        <v>-0.56979999999999997</v>
      </c>
      <c r="AF4265">
        <v>-2.4827116371510499E-2</v>
      </c>
      <c r="AG4265">
        <v>-0.136345099999999</v>
      </c>
      <c r="AH4265">
        <v>0.53836961243177295</v>
      </c>
      <c r="AI4265">
        <v>104.19718920545399</v>
      </c>
      <c r="AJ4265">
        <v>92.640345720207193</v>
      </c>
      <c r="AK4265">
        <v>0.55592104798367903</v>
      </c>
      <c r="AL4265">
        <v>66.941916261408096</v>
      </c>
      <c r="AM4265">
        <v>96.372010682986897</v>
      </c>
      <c r="AN4265">
        <v>1.0000000213659199</v>
      </c>
    </row>
    <row r="4266" spans="1:40" x14ac:dyDescent="0.25">
      <c r="A4266" t="str">
        <f>"20190304164730783"</f>
        <v>20190304164730783</v>
      </c>
      <c r="B4266" t="str">
        <f>"1551689250772979"</f>
        <v>1551689250772979</v>
      </c>
      <c r="C4266" t="s">
        <v>40</v>
      </c>
      <c r="D4266">
        <v>4.6306629999999904</v>
      </c>
      <c r="E4266">
        <v>0.55000380000000004</v>
      </c>
      <c r="F4266" t="s">
        <v>41</v>
      </c>
      <c r="G4266">
        <v>-419.23610000000002</v>
      </c>
      <c r="H4266">
        <v>0.97712549999999998</v>
      </c>
      <c r="I4266">
        <v>106.288</v>
      </c>
      <c r="J4266">
        <v>-419.23630000000003</v>
      </c>
      <c r="K4266">
        <v>1.1100490000000001</v>
      </c>
      <c r="L4266">
        <v>106.8323</v>
      </c>
      <c r="M4266">
        <v>-4.600075E-2</v>
      </c>
      <c r="N4266">
        <v>-8.1178369999999993E-3</v>
      </c>
      <c r="O4266">
        <v>-0.99890860000000004</v>
      </c>
      <c r="P4266">
        <v>5.8457929999999998E-2</v>
      </c>
      <c r="Q4266">
        <v>0.38459409999999999</v>
      </c>
      <c r="R4266">
        <v>-0.92123319999999997</v>
      </c>
      <c r="S4266">
        <v>-6.3995360000000001E-2</v>
      </c>
      <c r="T4266">
        <v>-0.50540879999999999</v>
      </c>
      <c r="U4266">
        <v>-3.4715729999999998</v>
      </c>
      <c r="V4266">
        <v>-0.1007489</v>
      </c>
      <c r="W4266">
        <v>0.39203700000000002</v>
      </c>
      <c r="X4266">
        <v>0.91441600000000001</v>
      </c>
      <c r="Y4266">
        <v>-2.7736589999999998E-2</v>
      </c>
      <c r="Z4266">
        <v>0.13576440000000001</v>
      </c>
      <c r="AA4266">
        <v>0.99035280000000003</v>
      </c>
      <c r="AB4266">
        <v>38</v>
      </c>
      <c r="AC4266">
        <v>2.0000000000663901E-4</v>
      </c>
      <c r="AD4266">
        <v>-0.1329235</v>
      </c>
      <c r="AE4266">
        <v>-0.544300000000006</v>
      </c>
      <c r="AF4266">
        <v>-2.3818327396115301E-2</v>
      </c>
      <c r="AG4266">
        <v>-0.1329235</v>
      </c>
      <c r="AH4266">
        <v>0.51311325678831399</v>
      </c>
      <c r="AI4266">
        <v>104.508415815894</v>
      </c>
      <c r="AJ4266">
        <v>92.657718731028396</v>
      </c>
      <c r="AK4266">
        <v>0.53058569888766205</v>
      </c>
      <c r="AL4266">
        <v>66.918692644366999</v>
      </c>
      <c r="AM4266">
        <v>96.287398165172405</v>
      </c>
      <c r="AN4266">
        <v>0.99999998563810399</v>
      </c>
    </row>
    <row r="4267" spans="1:40" x14ac:dyDescent="0.25">
      <c r="A4267" t="str">
        <f>"20190304164730807"</f>
        <v>20190304164730807</v>
      </c>
      <c r="B4267" t="str">
        <f>"1551689250803235"</f>
        <v>1551689250803235</v>
      </c>
      <c r="C4267" t="s">
        <v>40</v>
      </c>
      <c r="D4267">
        <v>4.6261890000000001</v>
      </c>
      <c r="E4267">
        <v>0.55033759999999998</v>
      </c>
      <c r="F4267" t="s">
        <v>41</v>
      </c>
      <c r="G4267">
        <v>-419.25459999999998</v>
      </c>
      <c r="H4267">
        <v>0.98072950000000003</v>
      </c>
      <c r="I4267">
        <v>105.94119999999999</v>
      </c>
      <c r="J4267">
        <v>-419.25599999999997</v>
      </c>
      <c r="K4267">
        <v>1.1096379999999999</v>
      </c>
      <c r="L4267">
        <v>106.4282</v>
      </c>
      <c r="M4267">
        <v>-4.7434080000000003E-2</v>
      </c>
      <c r="N4267">
        <v>-8.115911E-3</v>
      </c>
      <c r="O4267">
        <v>-0.9988416</v>
      </c>
      <c r="P4267">
        <v>5.7476920000000001E-2</v>
      </c>
      <c r="Q4267">
        <v>0.38439839999999997</v>
      </c>
      <c r="R4267">
        <v>-0.92137639999999998</v>
      </c>
      <c r="S4267">
        <v>-7.1044919999999998E-2</v>
      </c>
      <c r="T4267">
        <v>-0.50380649999999905</v>
      </c>
      <c r="U4267">
        <v>-3.4713440000000002</v>
      </c>
      <c r="V4267">
        <v>-0.1006975</v>
      </c>
      <c r="W4267">
        <v>0.39194129999999999</v>
      </c>
      <c r="X4267">
        <v>0.91446269999999996</v>
      </c>
      <c r="Y4267">
        <v>-2.7158519999999998E-2</v>
      </c>
      <c r="Z4267">
        <v>0.13531309999999999</v>
      </c>
      <c r="AA4267">
        <v>0.99043060000000005</v>
      </c>
      <c r="AB4267">
        <v>39</v>
      </c>
      <c r="AC4267">
        <v>1.39999999998963E-3</v>
      </c>
      <c r="AD4267">
        <v>-0.12890849999999901</v>
      </c>
      <c r="AE4267">
        <v>-0.48700000000000798</v>
      </c>
      <c r="AF4267">
        <v>-2.2895408611970001E-2</v>
      </c>
      <c r="AG4267">
        <v>-0.12890849999999901</v>
      </c>
      <c r="AH4267">
        <v>0.45453812434681301</v>
      </c>
      <c r="AI4267">
        <v>105.814465129296</v>
      </c>
      <c r="AJ4267">
        <v>92.883592055199898</v>
      </c>
      <c r="AK4267">
        <v>0.47301850660674799</v>
      </c>
      <c r="AL4267">
        <v>66.9246531829437</v>
      </c>
      <c r="AM4267">
        <v>96.283897778392202</v>
      </c>
      <c r="AN4267">
        <v>0.99999999942161499</v>
      </c>
    </row>
    <row r="4268" spans="1:40" x14ac:dyDescent="0.25">
      <c r="A4268" t="str">
        <f>"20190304164730830"</f>
        <v>20190304164730830</v>
      </c>
      <c r="B4268" t="str">
        <f>"1551689250823734"</f>
        <v>1551689250823734</v>
      </c>
      <c r="C4268" t="s">
        <v>40</v>
      </c>
      <c r="D4268">
        <v>4.6740930000000001</v>
      </c>
      <c r="E4268">
        <v>0.55054080000000005</v>
      </c>
      <c r="F4268" t="s">
        <v>41</v>
      </c>
      <c r="G4268">
        <v>-419.27539999999999</v>
      </c>
      <c r="H4268">
        <v>0.98833249999999995</v>
      </c>
      <c r="I4268">
        <v>105.592</v>
      </c>
      <c r="J4268">
        <v>-419.27629999999999</v>
      </c>
      <c r="K4268">
        <v>1.109232</v>
      </c>
      <c r="L4268">
        <v>106.0266</v>
      </c>
      <c r="M4268">
        <v>-4.9201889999999998E-2</v>
      </c>
      <c r="N4268">
        <v>-8.1177079999999995E-3</v>
      </c>
      <c r="O4268">
        <v>-0.99875599999999998</v>
      </c>
      <c r="P4268">
        <v>5.6757549999999997E-2</v>
      </c>
      <c r="Q4268">
        <v>0.38343379999999999</v>
      </c>
      <c r="R4268">
        <v>-0.92182299999999995</v>
      </c>
      <c r="S4268">
        <v>-7.9101560000000001E-2</v>
      </c>
      <c r="T4268">
        <v>-0.50335629999999998</v>
      </c>
      <c r="U4268">
        <v>-3.470917</v>
      </c>
      <c r="V4268">
        <v>-0.1012392</v>
      </c>
      <c r="W4268">
        <v>0.39108219999999999</v>
      </c>
      <c r="X4268">
        <v>0.91477070000000005</v>
      </c>
      <c r="Y4268">
        <v>-2.6627379999999999E-2</v>
      </c>
      <c r="Z4268">
        <v>0.13518279999999999</v>
      </c>
      <c r="AA4268">
        <v>0.99046279999999998</v>
      </c>
      <c r="AB4268">
        <v>39</v>
      </c>
      <c r="AC4268">
        <v>9.0000000000145497E-4</v>
      </c>
      <c r="AD4268">
        <v>-0.12089949999999899</v>
      </c>
      <c r="AE4268">
        <v>-0.434599999999989</v>
      </c>
      <c r="AF4268">
        <v>-2.0682219212080299E-2</v>
      </c>
      <c r="AG4268">
        <v>-0.12089949999999899</v>
      </c>
      <c r="AH4268">
        <v>0.402853700803189</v>
      </c>
      <c r="AI4268">
        <v>106.684156164942</v>
      </c>
      <c r="AJ4268">
        <v>92.938943838235403</v>
      </c>
      <c r="AK4268">
        <v>0.42111227427209003</v>
      </c>
      <c r="AL4268">
        <v>66.978147355678004</v>
      </c>
      <c r="AM4268">
        <v>96.315319412986298</v>
      </c>
      <c r="AN4268">
        <v>1.0000000481759801</v>
      </c>
    </row>
    <row r="4269" spans="1:40" x14ac:dyDescent="0.25">
      <c r="A4269" t="str">
        <f>"20190304164730851"</f>
        <v>20190304164730851</v>
      </c>
      <c r="B4269" t="str">
        <f>"1551689250843251"</f>
        <v>1551689250843251</v>
      </c>
      <c r="C4269" t="s">
        <v>40</v>
      </c>
      <c r="D4269">
        <v>4.6590639999999999</v>
      </c>
      <c r="E4269">
        <v>0.55073380000000005</v>
      </c>
      <c r="F4269" t="s">
        <v>41</v>
      </c>
      <c r="G4269">
        <v>-419.29559999999998</v>
      </c>
      <c r="H4269">
        <v>0.99486600000000003</v>
      </c>
      <c r="I4269">
        <v>105.24250000000001</v>
      </c>
      <c r="J4269">
        <v>-419.29599999999999</v>
      </c>
      <c r="K4269">
        <v>1.1088720000000001</v>
      </c>
      <c r="L4269">
        <v>105.6559</v>
      </c>
      <c r="M4269">
        <v>-5.1127659999999998E-2</v>
      </c>
      <c r="N4269">
        <v>-8.1222359999999997E-3</v>
      </c>
      <c r="O4269">
        <v>-0.99865930000000003</v>
      </c>
      <c r="P4269">
        <v>5.510222E-2</v>
      </c>
      <c r="Q4269">
        <v>0.38404880000000002</v>
      </c>
      <c r="R4269">
        <v>-0.92166749999999997</v>
      </c>
      <c r="S4269">
        <v>-8.5296629999999998E-2</v>
      </c>
      <c r="T4269">
        <v>-0.50619579999999997</v>
      </c>
      <c r="U4269">
        <v>-3.470215</v>
      </c>
      <c r="V4269">
        <v>-0.1009985</v>
      </c>
      <c r="W4269">
        <v>0.39178950000000001</v>
      </c>
      <c r="X4269">
        <v>0.91449449999999999</v>
      </c>
      <c r="Y4269">
        <v>-2.6785719999999999E-2</v>
      </c>
      <c r="Z4269">
        <v>0.1359754</v>
      </c>
      <c r="AA4269">
        <v>0.99035010000000001</v>
      </c>
      <c r="AB4269">
        <v>39</v>
      </c>
      <c r="AC4269">
        <v>4.0000000001327803E-4</v>
      </c>
      <c r="AD4269">
        <v>-0.114005999999999</v>
      </c>
      <c r="AE4269">
        <v>-0.41339999999999499</v>
      </c>
      <c r="AF4269">
        <v>-2.0014211564447802E-2</v>
      </c>
      <c r="AG4269">
        <v>-0.114005999999999</v>
      </c>
      <c r="AH4269">
        <v>0.38366046201508602</v>
      </c>
      <c r="AI4269">
        <v>106.528248783123</v>
      </c>
      <c r="AJ4269">
        <v>92.986211630868993</v>
      </c>
      <c r="AK4269">
        <v>0.400740922310382</v>
      </c>
      <c r="AL4269">
        <v>66.934105547055296</v>
      </c>
      <c r="AM4269">
        <v>96.302312967850895</v>
      </c>
      <c r="AN4269">
        <v>0.99999994992137298</v>
      </c>
    </row>
    <row r="4270" spans="1:40" x14ac:dyDescent="0.25">
      <c r="A4270" t="str">
        <f>"20190304164730872"</f>
        <v>20190304164730872</v>
      </c>
      <c r="B4270" t="str">
        <f>"1551689250863747"</f>
        <v>1551689250863747</v>
      </c>
      <c r="C4270" t="s">
        <v>40</v>
      </c>
      <c r="D4270">
        <v>4.6144829999999999</v>
      </c>
      <c r="E4270">
        <v>0.55094860000000001</v>
      </c>
      <c r="F4270" t="s">
        <v>41</v>
      </c>
      <c r="G4270">
        <v>-419.31630000000001</v>
      </c>
      <c r="H4270">
        <v>0.99835119999999999</v>
      </c>
      <c r="I4270">
        <v>104.8938</v>
      </c>
      <c r="J4270">
        <v>-419.31639999999999</v>
      </c>
      <c r="K4270">
        <v>1.1085309999999999</v>
      </c>
      <c r="L4270">
        <v>105.28749999999999</v>
      </c>
      <c r="M4270">
        <v>-5.3307060000000003E-2</v>
      </c>
      <c r="N4270">
        <v>-8.1287789999999992E-3</v>
      </c>
      <c r="O4270">
        <v>-0.99854520000000002</v>
      </c>
      <c r="P4270">
        <v>5.3667930000000003E-2</v>
      </c>
      <c r="Q4270">
        <v>0.38578499999999999</v>
      </c>
      <c r="R4270">
        <v>-0.92102649999999997</v>
      </c>
      <c r="S4270">
        <v>-9.1094969999999997E-2</v>
      </c>
      <c r="T4270">
        <v>-0.50295270000000003</v>
      </c>
      <c r="U4270">
        <v>-3.4700009999999999</v>
      </c>
      <c r="V4270">
        <v>-0.1011963</v>
      </c>
      <c r="W4270">
        <v>0.39361249999999998</v>
      </c>
      <c r="X4270">
        <v>0.91368950000000004</v>
      </c>
      <c r="Y4270">
        <v>-2.7308550000000001E-2</v>
      </c>
      <c r="Z4270">
        <v>0.1350451</v>
      </c>
      <c r="AA4270">
        <v>0.99046310000000004</v>
      </c>
      <c r="AB4270">
        <v>39</v>
      </c>
      <c r="AC4270" s="1">
        <v>9.9999999974897906E-5</v>
      </c>
      <c r="AD4270">
        <v>-0.11017979999999999</v>
      </c>
      <c r="AE4270">
        <v>-0.393699999999995</v>
      </c>
      <c r="AF4270">
        <v>-1.9555917327842499E-2</v>
      </c>
      <c r="AG4270">
        <v>-0.11017979999999999</v>
      </c>
      <c r="AH4270">
        <v>0.36458085643763699</v>
      </c>
      <c r="AI4270">
        <v>106.792537234265</v>
      </c>
      <c r="AJ4270">
        <v>93.070371785756805</v>
      </c>
      <c r="AK4270">
        <v>0.38136756955904699</v>
      </c>
      <c r="AL4270">
        <v>66.820532622910903</v>
      </c>
      <c r="AM4270">
        <v>96.320074492862403</v>
      </c>
      <c r="AN4270">
        <v>0.999999996850095</v>
      </c>
    </row>
    <row r="4271" spans="1:40" x14ac:dyDescent="0.25">
      <c r="A4271" t="str">
        <f>"20190304164730895"</f>
        <v>20190304164730895</v>
      </c>
      <c r="B4271" t="str">
        <f>"1551689250883267"</f>
        <v>1551689250883267</v>
      </c>
      <c r="C4271" t="s">
        <v>40</v>
      </c>
      <c r="D4271">
        <v>4.6540010000000001</v>
      </c>
      <c r="E4271">
        <v>0.55089169999999998</v>
      </c>
      <c r="F4271" t="s">
        <v>41</v>
      </c>
      <c r="G4271">
        <v>-419.3365</v>
      </c>
      <c r="H4271">
        <v>1.002262</v>
      </c>
      <c r="I4271">
        <v>104.544</v>
      </c>
      <c r="J4271">
        <v>-419.33969999999999</v>
      </c>
      <c r="K4271">
        <v>1.108193</v>
      </c>
      <c r="L4271">
        <v>104.8905</v>
      </c>
      <c r="M4271">
        <v>-5.5931139999999997E-2</v>
      </c>
      <c r="N4271">
        <v>-8.1375189999999993E-3</v>
      </c>
      <c r="O4271">
        <v>-0.99840180000000001</v>
      </c>
      <c r="P4271">
        <v>5.1920630000000002E-2</v>
      </c>
      <c r="Q4271">
        <v>0.38632699999999998</v>
      </c>
      <c r="R4271">
        <v>-0.92089960000000004</v>
      </c>
      <c r="S4271">
        <v>-9.4177250000000004E-2</v>
      </c>
      <c r="T4271">
        <v>-0.4960792</v>
      </c>
      <c r="U4271">
        <v>-3.47052</v>
      </c>
      <c r="V4271">
        <v>-0.10151689999999999</v>
      </c>
      <c r="W4271">
        <v>0.3942484</v>
      </c>
      <c r="X4271">
        <v>0.91337970000000002</v>
      </c>
      <c r="Y4271">
        <v>-2.9052330000000001E-2</v>
      </c>
      <c r="Z4271">
        <v>0.1330624</v>
      </c>
      <c r="AA4271">
        <v>0.99068179999999995</v>
      </c>
      <c r="AB4271">
        <v>39</v>
      </c>
      <c r="AC4271">
        <v>3.19999999999254E-3</v>
      </c>
      <c r="AD4271">
        <v>-0.105931</v>
      </c>
      <c r="AE4271">
        <v>-0.34650000000000603</v>
      </c>
      <c r="AF4271">
        <v>-2.0646268351982799E-2</v>
      </c>
      <c r="AG4271">
        <v>-0.105931</v>
      </c>
      <c r="AH4271">
        <v>0.316225699175603</v>
      </c>
      <c r="AI4271">
        <v>108.483427353452</v>
      </c>
      <c r="AJ4271">
        <v>93.735520128514494</v>
      </c>
      <c r="AK4271">
        <v>0.33413520912493</v>
      </c>
      <c r="AL4271">
        <v>66.780892548660205</v>
      </c>
      <c r="AM4271">
        <v>96.342067195770298</v>
      </c>
      <c r="AN4271">
        <v>0.99999997913012895</v>
      </c>
    </row>
    <row r="4272" spans="1:40" x14ac:dyDescent="0.25">
      <c r="A4272" t="str">
        <f>"20190304164730917"</f>
        <v>20190304164730917</v>
      </c>
      <c r="B4272" t="str">
        <f>"1551689250913525"</f>
        <v>1551689250913525</v>
      </c>
      <c r="C4272" t="s">
        <v>40</v>
      </c>
      <c r="D4272">
        <v>4.6381550000000002</v>
      </c>
      <c r="E4272">
        <v>0.52784799999999998</v>
      </c>
      <c r="F4272" t="s">
        <v>41</v>
      </c>
      <c r="G4272">
        <v>-419.36900000000003</v>
      </c>
      <c r="H4272">
        <v>0.96236440000000001</v>
      </c>
      <c r="I4272">
        <v>103.8638</v>
      </c>
      <c r="J4272">
        <v>-419.36349999999999</v>
      </c>
      <c r="K4272">
        <v>1.107891</v>
      </c>
      <c r="L4272">
        <v>104.50490000000001</v>
      </c>
      <c r="M4272">
        <v>-5.8722700000000003E-2</v>
      </c>
      <c r="N4272">
        <v>-8.1471200000000008E-3</v>
      </c>
      <c r="O4272">
        <v>-0.99824139999999995</v>
      </c>
      <c r="P4272">
        <v>5.1312999999999998E-2</v>
      </c>
      <c r="Q4272">
        <v>0.38695299999999999</v>
      </c>
      <c r="R4272">
        <v>-0.92067100000000002</v>
      </c>
      <c r="S4272">
        <v>-9.9395750000000005E-2</v>
      </c>
      <c r="T4272">
        <v>-0.4929074</v>
      </c>
      <c r="U4272">
        <v>-3.470062</v>
      </c>
      <c r="V4272">
        <v>-0.10316690000000001</v>
      </c>
      <c r="W4272">
        <v>0.39496389999999998</v>
      </c>
      <c r="X4272">
        <v>0.91288559999999996</v>
      </c>
      <c r="Y4272">
        <v>-3.0350990000000001E-2</v>
      </c>
      <c r="Z4272">
        <v>0.13214709999999999</v>
      </c>
      <c r="AA4272">
        <v>0.99076529999999996</v>
      </c>
      <c r="AB4272">
        <v>39</v>
      </c>
      <c r="AC4272">
        <v>-5.5000000000404699E-3</v>
      </c>
      <c r="AD4272">
        <v>-0.14552659999999901</v>
      </c>
      <c r="AE4272">
        <v>-0.641100000000008</v>
      </c>
      <c r="AF4272">
        <v>-3.0582167121921001E-2</v>
      </c>
      <c r="AG4272">
        <v>-0.14552659999999901</v>
      </c>
      <c r="AH4272">
        <v>0.60894205833974901</v>
      </c>
      <c r="AI4272">
        <v>103.42430112896</v>
      </c>
      <c r="AJ4272">
        <v>92.875081678664898</v>
      </c>
      <c r="AK4272">
        <v>0.62683625506864504</v>
      </c>
      <c r="AL4272">
        <v>66.736277509825499</v>
      </c>
      <c r="AM4272">
        <v>96.447745985913201</v>
      </c>
      <c r="AN4272">
        <v>1.00000000512309</v>
      </c>
    </row>
    <row r="4273" spans="1:40" x14ac:dyDescent="0.25">
      <c r="A4273" t="str">
        <f>"20190304164730941"</f>
        <v>20190304164730941</v>
      </c>
      <c r="B4273" t="str">
        <f>"1551689250933043"</f>
        <v>1551689250933043</v>
      </c>
      <c r="C4273" t="s">
        <v>40</v>
      </c>
      <c r="D4273">
        <v>4.6090010000000001</v>
      </c>
      <c r="E4273">
        <v>0.52628649999999999</v>
      </c>
      <c r="F4273" t="s">
        <v>42</v>
      </c>
      <c r="G4273">
        <v>-419.14429999999999</v>
      </c>
      <c r="H4273" s="1">
        <v>-1.6636160000000001E-6</v>
      </c>
      <c r="I4273">
        <v>93.156880000000001</v>
      </c>
      <c r="J4273">
        <v>-419.39100000000002</v>
      </c>
      <c r="K4273">
        <v>1.107612</v>
      </c>
      <c r="L4273">
        <v>104.08320000000001</v>
      </c>
      <c r="M4273">
        <v>-6.1975629999999997E-2</v>
      </c>
      <c r="N4273">
        <v>-8.1572250000000006E-3</v>
      </c>
      <c r="O4273">
        <v>-0.99804440000000005</v>
      </c>
      <c r="P4273">
        <v>4.9989510000000001E-2</v>
      </c>
      <c r="Q4273">
        <v>0.38774340000000002</v>
      </c>
      <c r="R4273">
        <v>-0.92041090000000003</v>
      </c>
      <c r="S4273">
        <v>6.5551760000000001E-2</v>
      </c>
      <c r="T4273">
        <v>-0.33136149999999998</v>
      </c>
      <c r="U4273">
        <v>-3.394104</v>
      </c>
      <c r="V4273">
        <v>-0.10454289999999899</v>
      </c>
      <c r="W4273">
        <v>0.39583950000000001</v>
      </c>
      <c r="X4273">
        <v>0.91234959999999998</v>
      </c>
      <c r="Y4273">
        <v>-8.1127309999999994E-2</v>
      </c>
      <c r="Z4273">
        <v>8.8590920000000004E-2</v>
      </c>
      <c r="AA4273">
        <v>0.99275880000000005</v>
      </c>
      <c r="AB4273">
        <v>39</v>
      </c>
      <c r="AC4273">
        <v>0.24669999999997499</v>
      </c>
      <c r="AD4273">
        <v>-1.1076136636159899</v>
      </c>
      <c r="AE4273">
        <v>-10.92632</v>
      </c>
      <c r="AF4273">
        <v>-0.91402592958337803</v>
      </c>
      <c r="AG4273">
        <v>-1.1076136636159899</v>
      </c>
      <c r="AH4273">
        <v>10.779311677877301</v>
      </c>
      <c r="AI4273">
        <v>95.845928131337004</v>
      </c>
      <c r="AJ4273">
        <v>94.846770705340802</v>
      </c>
      <c r="AK4273">
        <v>10.874548803357399</v>
      </c>
      <c r="AL4273">
        <v>66.681657200789303</v>
      </c>
      <c r="AM4273">
        <v>96.536809793437598</v>
      </c>
      <c r="AN4273">
        <v>0.99999996016040904</v>
      </c>
    </row>
    <row r="4274" spans="1:40" x14ac:dyDescent="0.25">
      <c r="A4274" t="str">
        <f>"20190304164730962"</f>
        <v>20190304164730962</v>
      </c>
      <c r="B4274" t="str">
        <f>"1551689250953539"</f>
        <v>1551689250953539</v>
      </c>
      <c r="C4274" t="s">
        <v>40</v>
      </c>
      <c r="D4274">
        <v>4.6037759999999999</v>
      </c>
      <c r="E4274">
        <v>0.52569719999999998</v>
      </c>
      <c r="F4274" t="s">
        <v>42</v>
      </c>
      <c r="G4274">
        <v>-419.1456</v>
      </c>
      <c r="H4274" s="1">
        <v>-1.359806E-6</v>
      </c>
      <c r="I4274">
        <v>92.449219999999997</v>
      </c>
      <c r="J4274">
        <v>-419.41570000000002</v>
      </c>
      <c r="K4274">
        <v>1.10741</v>
      </c>
      <c r="L4274">
        <v>103.7208</v>
      </c>
      <c r="M4274">
        <v>-6.4894469999999996E-2</v>
      </c>
      <c r="N4274">
        <v>-8.1653890000000003E-3</v>
      </c>
      <c r="O4274">
        <v>-0.99785880000000005</v>
      </c>
      <c r="P4274">
        <v>4.7922510000000001E-2</v>
      </c>
      <c r="Q4274">
        <v>0.38892199999999999</v>
      </c>
      <c r="R4274">
        <v>-0.92002360000000005</v>
      </c>
      <c r="S4274">
        <v>7.1533200000000005E-2</v>
      </c>
      <c r="T4274">
        <v>-0.32289420000000002</v>
      </c>
      <c r="U4274">
        <v>-3.3915709999999999</v>
      </c>
      <c r="V4274">
        <v>-0.1049321</v>
      </c>
      <c r="W4274">
        <v>0.39707569999999998</v>
      </c>
      <c r="X4274">
        <v>0.91176760000000001</v>
      </c>
      <c r="Y4274">
        <v>-8.5809220000000005E-2</v>
      </c>
      <c r="Z4274">
        <v>8.6154430000000004E-2</v>
      </c>
      <c r="AA4274">
        <v>0.99257960000000001</v>
      </c>
      <c r="AB4274">
        <v>39</v>
      </c>
      <c r="AC4274">
        <v>0.270100000000013</v>
      </c>
      <c r="AD4274">
        <v>-1.107411359806</v>
      </c>
      <c r="AE4274">
        <v>-11.27158</v>
      </c>
      <c r="AF4274">
        <v>-0.99145346739705698</v>
      </c>
      <c r="AG4274">
        <v>-1.107411359806</v>
      </c>
      <c r="AH4274">
        <v>11.122985724583</v>
      </c>
      <c r="AI4274">
        <v>95.663359939556898</v>
      </c>
      <c r="AJ4274">
        <v>95.093629493292497</v>
      </c>
      <c r="AK4274">
        <v>11.221860421833799</v>
      </c>
      <c r="AL4274">
        <v>66.604506980761499</v>
      </c>
      <c r="AM4274">
        <v>96.565085150320101</v>
      </c>
      <c r="AN4274">
        <v>1.0000000067753201</v>
      </c>
    </row>
    <row r="4275" spans="1:40" x14ac:dyDescent="0.25">
      <c r="A4275" t="str">
        <f>"20190304164730984"</f>
        <v>20190304164730984</v>
      </c>
      <c r="B4275" t="str">
        <f>"1551689250973059"</f>
        <v>1551689250973059</v>
      </c>
      <c r="C4275" t="s">
        <v>40</v>
      </c>
      <c r="D4275">
        <v>4.5621320000000001</v>
      </c>
      <c r="E4275">
        <v>0.52531989999999995</v>
      </c>
      <c r="F4275" t="s">
        <v>42</v>
      </c>
      <c r="G4275">
        <v>-419.1687</v>
      </c>
      <c r="H4275" s="1">
        <v>-1.070117E-6</v>
      </c>
      <c r="I4275">
        <v>91.783510000000007</v>
      </c>
      <c r="J4275">
        <v>-419.44319999999999</v>
      </c>
      <c r="K4275">
        <v>1.1072390000000001</v>
      </c>
      <c r="L4275">
        <v>103.3365</v>
      </c>
      <c r="M4275">
        <v>-6.8083169999999998E-2</v>
      </c>
      <c r="N4275">
        <v>-8.1739380000000004E-3</v>
      </c>
      <c r="O4275">
        <v>-0.99764629999999999</v>
      </c>
      <c r="P4275">
        <v>4.5282009999999998E-2</v>
      </c>
      <c r="Q4275">
        <v>0.39022489999999999</v>
      </c>
      <c r="R4275">
        <v>-0.91960560000000002</v>
      </c>
      <c r="S4275">
        <v>7.0159910000000006E-2</v>
      </c>
      <c r="T4275">
        <v>-0.31449339999999998</v>
      </c>
      <c r="U4275">
        <v>-3.3900760000000001</v>
      </c>
      <c r="V4275">
        <v>-0.1050141</v>
      </c>
      <c r="W4275">
        <v>0.39842759999999999</v>
      </c>
      <c r="X4275">
        <v>0.91116819999999998</v>
      </c>
      <c r="Y4275">
        <v>-8.8604180000000005E-2</v>
      </c>
      <c r="Z4275">
        <v>8.3711750000000001E-2</v>
      </c>
      <c r="AA4275">
        <v>0.99254299999999995</v>
      </c>
      <c r="AB4275">
        <v>39</v>
      </c>
      <c r="AC4275">
        <v>0.27449999999998898</v>
      </c>
      <c r="AD4275">
        <v>-1.10724007011699</v>
      </c>
      <c r="AE4275">
        <v>-11.552989999999999</v>
      </c>
      <c r="AF4275">
        <v>-1.05080681237755</v>
      </c>
      <c r="AG4275">
        <v>-1.10724007011699</v>
      </c>
      <c r="AH4275">
        <v>11.402812264921799</v>
      </c>
      <c r="AI4275">
        <v>95.522912357044405</v>
      </c>
      <c r="AJ4275">
        <v>95.265124707312296</v>
      </c>
      <c r="AK4275">
        <v>11.504534022673999</v>
      </c>
      <c r="AL4275">
        <v>66.520083129422602</v>
      </c>
      <c r="AM4275">
        <v>96.574454922076399</v>
      </c>
      <c r="AN4275">
        <v>1.0000000011659</v>
      </c>
    </row>
    <row r="4276" spans="1:40" x14ac:dyDescent="0.25">
      <c r="A4276" t="str">
        <f>"20190304164731008"</f>
        <v>20190304164731008</v>
      </c>
      <c r="B4276" t="str">
        <f>"1551689251003315"</f>
        <v>1551689251003315</v>
      </c>
      <c r="C4276" t="s">
        <v>40</v>
      </c>
      <c r="D4276">
        <v>4.6145529999999999</v>
      </c>
      <c r="E4276">
        <v>0.52504839999999997</v>
      </c>
      <c r="F4276" t="s">
        <v>42</v>
      </c>
      <c r="G4276">
        <v>-419.2124</v>
      </c>
      <c r="H4276" s="1">
        <v>-7.9020790000000004E-7</v>
      </c>
      <c r="I4276">
        <v>91.149119999999996</v>
      </c>
      <c r="J4276">
        <v>-419.47430000000003</v>
      </c>
      <c r="K4276">
        <v>1.1070819999999999</v>
      </c>
      <c r="L4276">
        <v>102.92059999999999</v>
      </c>
      <c r="M4276">
        <v>-7.160213E-2</v>
      </c>
      <c r="N4276">
        <v>-8.1834539999999997E-3</v>
      </c>
      <c r="O4276">
        <v>-0.9973997</v>
      </c>
      <c r="P4276">
        <v>4.3070039999999997E-2</v>
      </c>
      <c r="Q4276">
        <v>0.3913392</v>
      </c>
      <c r="R4276">
        <v>-0.91923820000000001</v>
      </c>
      <c r="S4276">
        <v>6.4178470000000001E-2</v>
      </c>
      <c r="T4276">
        <v>-0.3079654</v>
      </c>
      <c r="U4276">
        <v>-3.3897710000000001</v>
      </c>
      <c r="V4276">
        <v>-0.1058476</v>
      </c>
      <c r="W4276">
        <v>0.39959240000000001</v>
      </c>
      <c r="X4276">
        <v>0.91056150000000002</v>
      </c>
      <c r="Y4276">
        <v>-9.0371900000000005E-2</v>
      </c>
      <c r="Z4276">
        <v>8.177914E-2</v>
      </c>
      <c r="AA4276">
        <v>0.9925448</v>
      </c>
      <c r="AB4276">
        <v>39</v>
      </c>
      <c r="AC4276">
        <v>0.261900000000025</v>
      </c>
      <c r="AD4276">
        <v>-1.1070827902078999</v>
      </c>
      <c r="AE4276">
        <v>-11.771479999999899</v>
      </c>
      <c r="AF4276">
        <v>-1.0944434289412399</v>
      </c>
      <c r="AG4276">
        <v>-1.1070827902078999</v>
      </c>
      <c r="AH4276">
        <v>11.6197843816516</v>
      </c>
      <c r="AI4276">
        <v>95.4186272254437</v>
      </c>
      <c r="AJ4276">
        <v>95.380696915976301</v>
      </c>
      <c r="AK4276">
        <v>11.7236013152786</v>
      </c>
      <c r="AL4276">
        <v>66.447300663642295</v>
      </c>
      <c r="AM4276">
        <v>96.630550005212498</v>
      </c>
      <c r="AN4276">
        <v>1.00000002292288</v>
      </c>
    </row>
    <row r="4277" spans="1:40" x14ac:dyDescent="0.25">
      <c r="A4277" t="str">
        <f>"20190304164731030"</f>
        <v>20190304164731030</v>
      </c>
      <c r="B4277" t="str">
        <f>"1551689251023811"</f>
        <v>1551689251023811</v>
      </c>
      <c r="C4277" t="s">
        <v>40</v>
      </c>
      <c r="D4277">
        <v>4.6066539999999998</v>
      </c>
      <c r="E4277">
        <v>0.52493369999999995</v>
      </c>
      <c r="F4277" t="s">
        <v>42</v>
      </c>
      <c r="G4277">
        <v>-419.27890000000002</v>
      </c>
      <c r="H4277" s="1">
        <v>-5.7621390000000001E-7</v>
      </c>
      <c r="I4277">
        <v>90.677779999999998</v>
      </c>
      <c r="J4277">
        <v>-419.50529999999998</v>
      </c>
      <c r="K4277">
        <v>1.1069709999999999</v>
      </c>
      <c r="L4277">
        <v>102.52500000000001</v>
      </c>
      <c r="M4277">
        <v>-7.4985469999999999E-2</v>
      </c>
      <c r="N4277">
        <v>-8.1930030000000008E-3</v>
      </c>
      <c r="O4277">
        <v>-0.99715120000000002</v>
      </c>
      <c r="P4277">
        <v>4.1783920000000002E-2</v>
      </c>
      <c r="Q4277">
        <v>0.3924087</v>
      </c>
      <c r="R4277">
        <v>-0.91884169999999998</v>
      </c>
      <c r="S4277">
        <v>5.4138180000000001E-2</v>
      </c>
      <c r="T4277">
        <v>-0.30669210000000002</v>
      </c>
      <c r="U4277">
        <v>-3.3916019999999998</v>
      </c>
      <c r="V4277">
        <v>-0.1075091</v>
      </c>
      <c r="W4277">
        <v>0.4007098</v>
      </c>
      <c r="X4277">
        <v>0.90987549999999995</v>
      </c>
      <c r="Y4277">
        <v>-9.0803560000000005E-2</v>
      </c>
      <c r="Z4277">
        <v>8.1320199999999995E-2</v>
      </c>
      <c r="AA4277">
        <v>0.99254299999999995</v>
      </c>
      <c r="AB4277">
        <v>39</v>
      </c>
      <c r="AC4277">
        <v>0.226399999999955</v>
      </c>
      <c r="AD4277">
        <v>-1.1069715762139001</v>
      </c>
      <c r="AE4277">
        <v>-11.84722</v>
      </c>
      <c r="AF4277">
        <v>-1.10452199982688</v>
      </c>
      <c r="AG4277">
        <v>-1.1069715762139001</v>
      </c>
      <c r="AH4277">
        <v>11.694821565449599</v>
      </c>
      <c r="AI4277">
        <v>95.383398289188307</v>
      </c>
      <c r="AJ4277">
        <v>95.395318343752294</v>
      </c>
      <c r="AK4277">
        <v>11.7989069988009</v>
      </c>
      <c r="AL4277">
        <v>66.377440694134606</v>
      </c>
      <c r="AM4277">
        <v>96.738712115583297</v>
      </c>
      <c r="AN4277">
        <v>0.99999998794954903</v>
      </c>
    </row>
    <row r="4278" spans="1:40" x14ac:dyDescent="0.25">
      <c r="A4278" t="str">
        <f>"20190304164731053"</f>
        <v>20190304164731053</v>
      </c>
      <c r="B4278" t="str">
        <f>"1551689251043331"</f>
        <v>1551689251043331</v>
      </c>
      <c r="C4278" t="s">
        <v>40</v>
      </c>
      <c r="D4278">
        <v>4.5924990000000001</v>
      </c>
      <c r="E4278">
        <v>0.52472540000000001</v>
      </c>
      <c r="F4278" t="s">
        <v>42</v>
      </c>
      <c r="G4278">
        <v>-419.33460000000002</v>
      </c>
      <c r="H4278" s="1">
        <v>-3.5691409999999998E-7</v>
      </c>
      <c r="I4278">
        <v>90.176609999999997</v>
      </c>
      <c r="J4278">
        <v>-419.53829999999999</v>
      </c>
      <c r="K4278">
        <v>1.1068770000000001</v>
      </c>
      <c r="L4278">
        <v>102.12139999999999</v>
      </c>
      <c r="M4278">
        <v>-7.8445200000000007E-2</v>
      </c>
      <c r="N4278">
        <v>-8.2032939999999999E-3</v>
      </c>
      <c r="O4278">
        <v>-0.99688500000000002</v>
      </c>
      <c r="P4278">
        <v>4.0473299999999997E-2</v>
      </c>
      <c r="Q4278">
        <v>0.39299640000000002</v>
      </c>
      <c r="R4278">
        <v>-0.91864939999999995</v>
      </c>
      <c r="S4278">
        <v>4.6905519999999999E-2</v>
      </c>
      <c r="T4278">
        <v>-0.30414069999999999</v>
      </c>
      <c r="U4278">
        <v>-3.3927309999999999</v>
      </c>
      <c r="V4278">
        <v>-0.10925509999999999</v>
      </c>
      <c r="W4278">
        <v>0.40134310000000001</v>
      </c>
      <c r="X4278">
        <v>0.90938819999999998</v>
      </c>
      <c r="Y4278">
        <v>-9.2139059999999995E-2</v>
      </c>
      <c r="Z4278">
        <v>8.0502370000000004E-2</v>
      </c>
      <c r="AA4278">
        <v>0.99248670000000005</v>
      </c>
      <c r="AB4278">
        <v>39</v>
      </c>
      <c r="AC4278">
        <v>0.20369999999996899</v>
      </c>
      <c r="AD4278">
        <v>-1.1068773569140999</v>
      </c>
      <c r="AE4278">
        <v>-11.9447899999999</v>
      </c>
      <c r="AF4278">
        <v>-1.13041088105833</v>
      </c>
      <c r="AG4278">
        <v>-1.1068773569140999</v>
      </c>
      <c r="AH4278">
        <v>11.7907808668011</v>
      </c>
      <c r="AI4278">
        <v>95.338673546258505</v>
      </c>
      <c r="AJ4278">
        <v>95.476348206956004</v>
      </c>
      <c r="AK4278">
        <v>11.8964498776815</v>
      </c>
      <c r="AL4278">
        <v>66.337829199752406</v>
      </c>
      <c r="AM4278">
        <v>96.8507554547284</v>
      </c>
      <c r="AN4278">
        <v>0.99999992954642702</v>
      </c>
    </row>
    <row r="4279" spans="1:40" x14ac:dyDescent="0.25">
      <c r="A4279" t="str">
        <f>"20190304164731073"</f>
        <v>20190304164731073</v>
      </c>
      <c r="B4279" t="str">
        <f>"1551689251063827"</f>
        <v>1551689251063827</v>
      </c>
      <c r="C4279" t="s">
        <v>40</v>
      </c>
      <c r="D4279">
        <v>4.6253989999999998</v>
      </c>
      <c r="E4279">
        <v>0.52452159999999903</v>
      </c>
      <c r="F4279" t="s">
        <v>42</v>
      </c>
      <c r="G4279">
        <v>-419.39479999999998</v>
      </c>
      <c r="H4279" s="1">
        <v>-2.0024479999999999E-7</v>
      </c>
      <c r="I4279">
        <v>89.763310000000004</v>
      </c>
      <c r="J4279">
        <v>-419.56900000000002</v>
      </c>
      <c r="K4279">
        <v>1.1068100000000001</v>
      </c>
      <c r="L4279">
        <v>101.76049999999999</v>
      </c>
      <c r="M4279">
        <v>-8.1527340000000004E-2</v>
      </c>
      <c r="N4279">
        <v>-8.2127469999999994E-3</v>
      </c>
      <c r="O4279">
        <v>-0.99663749999999995</v>
      </c>
      <c r="P4279">
        <v>4.0120549999999998E-2</v>
      </c>
      <c r="Q4279">
        <v>0.39412459999999999</v>
      </c>
      <c r="R4279">
        <v>-0.91818120000000003</v>
      </c>
      <c r="S4279">
        <v>3.939819E-2</v>
      </c>
      <c r="T4279">
        <v>-0.30398829999999999</v>
      </c>
      <c r="U4279">
        <v>-3.3939819999999998</v>
      </c>
      <c r="V4279">
        <v>-0.1116114</v>
      </c>
      <c r="W4279">
        <v>0.40251110000000001</v>
      </c>
      <c r="X4279">
        <v>0.90858550000000005</v>
      </c>
      <c r="Y4279">
        <v>-9.3017669999999997E-2</v>
      </c>
      <c r="Z4279">
        <v>8.0381510000000003E-2</v>
      </c>
      <c r="AA4279">
        <v>0.99241449999999998</v>
      </c>
      <c r="AB4279">
        <v>39</v>
      </c>
      <c r="AC4279">
        <v>0.17420000000004099</v>
      </c>
      <c r="AD4279">
        <v>-1.1068102002447999</v>
      </c>
      <c r="AE4279">
        <v>-11.9971899999999</v>
      </c>
      <c r="AF4279">
        <v>-1.1420338671594501</v>
      </c>
      <c r="AG4279">
        <v>-1.1068102002447999</v>
      </c>
      <c r="AH4279">
        <v>11.8422774842482</v>
      </c>
      <c r="AI4279">
        <v>95.314986459687304</v>
      </c>
      <c r="AJ4279">
        <v>95.508399757327496</v>
      </c>
      <c r="AK4279">
        <v>11.9485901338626</v>
      </c>
      <c r="AL4279">
        <v>66.2647451439571</v>
      </c>
      <c r="AM4279">
        <v>97.003176266866902</v>
      </c>
      <c r="AN4279">
        <v>0.99999995052170798</v>
      </c>
    </row>
    <row r="4280" spans="1:40" x14ac:dyDescent="0.25">
      <c r="A4280" t="str">
        <f>"20190304164731097"</f>
        <v>20190304164731097</v>
      </c>
      <c r="B4280" t="str">
        <f>"1551689251093106"</f>
        <v>1551689251093106</v>
      </c>
      <c r="C4280" t="s">
        <v>40</v>
      </c>
      <c r="D4280">
        <v>4.5867319999999996</v>
      </c>
      <c r="E4280">
        <v>0.52426890000000004</v>
      </c>
      <c r="F4280" t="s">
        <v>42</v>
      </c>
      <c r="G4280">
        <v>-419.43150000000003</v>
      </c>
      <c r="H4280" s="1">
        <v>-4.2461470000000001E-6</v>
      </c>
      <c r="I4280">
        <v>89.295569999999998</v>
      </c>
      <c r="J4280">
        <v>-419.6046</v>
      </c>
      <c r="K4280">
        <v>1.106752</v>
      </c>
      <c r="L4280">
        <v>101.3578</v>
      </c>
      <c r="M4280">
        <v>-8.4936280000000003E-2</v>
      </c>
      <c r="N4280">
        <v>-8.2235109999999993E-3</v>
      </c>
      <c r="O4280">
        <v>-0.99635269999999998</v>
      </c>
      <c r="P4280">
        <v>3.9564229999999999E-2</v>
      </c>
      <c r="Q4280">
        <v>0.39508510000000002</v>
      </c>
      <c r="R4280">
        <v>-0.91779230000000001</v>
      </c>
      <c r="S4280">
        <v>3.7445069999999997E-2</v>
      </c>
      <c r="T4280">
        <v>-0.30146299999999998</v>
      </c>
      <c r="U4280">
        <v>-3.3950809999999998</v>
      </c>
      <c r="V4280">
        <v>-0.1140828</v>
      </c>
      <c r="W4280">
        <v>0.40351049999999999</v>
      </c>
      <c r="X4280">
        <v>0.90783499999999995</v>
      </c>
      <c r="Y4280">
        <v>-9.5848550000000005E-2</v>
      </c>
      <c r="Z4280">
        <v>7.956278E-2</v>
      </c>
      <c r="AA4280">
        <v>0.99221110000000001</v>
      </c>
      <c r="AB4280">
        <v>39</v>
      </c>
      <c r="AC4280">
        <v>0.173099999999976</v>
      </c>
      <c r="AD4280">
        <v>-1.106756246147</v>
      </c>
      <c r="AE4280">
        <v>-12.06223</v>
      </c>
      <c r="AF4280">
        <v>-1.1870384250274</v>
      </c>
      <c r="AG4280">
        <v>-1.106756246147</v>
      </c>
      <c r="AH4280">
        <v>11.9037415969131</v>
      </c>
      <c r="AI4280">
        <v>95.285766225959406</v>
      </c>
      <c r="AJ4280">
        <v>95.694695913105704</v>
      </c>
      <c r="AK4280">
        <v>12.0138683868668</v>
      </c>
      <c r="AL4280">
        <v>66.202178918152995</v>
      </c>
      <c r="AM4280">
        <v>97.162511062238394</v>
      </c>
      <c r="AN4280">
        <v>0.99999999804554496</v>
      </c>
    </row>
    <row r="4281" spans="1:40" x14ac:dyDescent="0.25">
      <c r="A4281" t="str">
        <f>"20190304164731119"</f>
        <v>20190304164731119</v>
      </c>
      <c r="B4281" t="str">
        <f>"1551689251113602"</f>
        <v>1551689251113602</v>
      </c>
      <c r="C4281" t="s">
        <v>40</v>
      </c>
      <c r="D4281">
        <v>4.6178239999999997</v>
      </c>
      <c r="E4281">
        <v>0.52410049999999997</v>
      </c>
      <c r="F4281" t="s">
        <v>42</v>
      </c>
      <c r="G4281">
        <v>-419.46280000000002</v>
      </c>
      <c r="H4281" s="1">
        <v>-4.0280110000000003E-6</v>
      </c>
      <c r="I4281">
        <v>88.800039999999996</v>
      </c>
      <c r="J4281">
        <v>-419.64139999999998</v>
      </c>
      <c r="K4281">
        <v>1.1067119999999999</v>
      </c>
      <c r="L4281">
        <v>100.9562</v>
      </c>
      <c r="M4281">
        <v>-8.8291620000000001E-2</v>
      </c>
      <c r="N4281">
        <v>-8.2343980000000004E-3</v>
      </c>
      <c r="O4281">
        <v>-0.99606079999999997</v>
      </c>
      <c r="P4281">
        <v>4.0019579999999999E-2</v>
      </c>
      <c r="Q4281">
        <v>0.39577109999999999</v>
      </c>
      <c r="R4281">
        <v>-0.91747699999999999</v>
      </c>
      <c r="S4281">
        <v>3.8330080000000002E-2</v>
      </c>
      <c r="T4281">
        <v>-0.29929169999999999</v>
      </c>
      <c r="U4281">
        <v>-3.395905</v>
      </c>
      <c r="V4281">
        <v>-0.11754009999999999</v>
      </c>
      <c r="W4281">
        <v>0.40423759999999997</v>
      </c>
      <c r="X4281">
        <v>0.90707020000000005</v>
      </c>
      <c r="Y4281">
        <v>-9.9455730000000006E-2</v>
      </c>
      <c r="Z4281">
        <v>7.8848970000000004E-2</v>
      </c>
      <c r="AA4281">
        <v>0.99191300000000004</v>
      </c>
      <c r="AB4281">
        <v>40</v>
      </c>
      <c r="AC4281">
        <v>0.17859999999996001</v>
      </c>
      <c r="AD4281">
        <v>-1.106716028011</v>
      </c>
      <c r="AE4281">
        <v>-12.15616</v>
      </c>
      <c r="AF4281">
        <v>-1.2409423138007301</v>
      </c>
      <c r="AG4281">
        <v>-1.106716028011</v>
      </c>
      <c r="AH4281">
        <v>11.993525829086201</v>
      </c>
      <c r="AI4281">
        <v>95.244262960899405</v>
      </c>
      <c r="AJ4281">
        <v>95.907241215474301</v>
      </c>
      <c r="AK4281">
        <v>12.1082376919928</v>
      </c>
      <c r="AL4281">
        <v>66.156640705422106</v>
      </c>
      <c r="AM4281">
        <v>97.383367292826193</v>
      </c>
      <c r="AN4281">
        <v>1.0000000300448999</v>
      </c>
    </row>
    <row r="4282" spans="1:40" x14ac:dyDescent="0.25">
      <c r="A4282" t="str">
        <f>"20190304164731141"</f>
        <v>20190304164731141</v>
      </c>
      <c r="B4282" t="str">
        <f>"1551689251133123"</f>
        <v>1551689251133123</v>
      </c>
      <c r="C4282" t="s">
        <v>40</v>
      </c>
      <c r="D4282">
        <v>4.5933630000000001</v>
      </c>
      <c r="E4282">
        <v>0.52391259999999995</v>
      </c>
      <c r="F4282" t="s">
        <v>42</v>
      </c>
      <c r="G4282">
        <v>-419.49169999999998</v>
      </c>
      <c r="H4282" s="1">
        <v>-3.8486809999999998E-6</v>
      </c>
      <c r="I4282">
        <v>88.393950000000004</v>
      </c>
      <c r="J4282">
        <v>-419.67939999999999</v>
      </c>
      <c r="K4282">
        <v>1.106698</v>
      </c>
      <c r="L4282">
        <v>100.5558</v>
      </c>
      <c r="M4282">
        <v>-9.1593649999999999E-2</v>
      </c>
      <c r="N4282">
        <v>-8.2454599999999996E-3</v>
      </c>
      <c r="O4282">
        <v>-0.99576249999999999</v>
      </c>
      <c r="P4282">
        <v>4.059244E-2</v>
      </c>
      <c r="Q4282">
        <v>0.39646039999999999</v>
      </c>
      <c r="R4282">
        <v>-0.91715409999999997</v>
      </c>
      <c r="S4282">
        <v>4.0496829999999998E-2</v>
      </c>
      <c r="T4282">
        <v>-0.29928369999999999</v>
      </c>
      <c r="U4282">
        <v>-3.3971559999999998</v>
      </c>
      <c r="V4282">
        <v>-0.12107619999999999</v>
      </c>
      <c r="W4282">
        <v>0.40496490000000002</v>
      </c>
      <c r="X4282">
        <v>0.90628030000000004</v>
      </c>
      <c r="Y4282">
        <v>-0.1033809</v>
      </c>
      <c r="Z4282">
        <v>7.8746300000000005E-2</v>
      </c>
      <c r="AA4282">
        <v>0.9915197</v>
      </c>
      <c r="AB4282">
        <v>40</v>
      </c>
      <c r="AC4282">
        <v>0.187700000000006</v>
      </c>
      <c r="AD4282">
        <v>-1.1067018486810001</v>
      </c>
      <c r="AE4282">
        <v>-12.161849999999999</v>
      </c>
      <c r="AF4282">
        <v>-1.29021563524451</v>
      </c>
      <c r="AG4282">
        <v>-1.1067018486810001</v>
      </c>
      <c r="AH4282">
        <v>11.994235230577599</v>
      </c>
      <c r="AI4282">
        <v>95.241655960734604</v>
      </c>
      <c r="AJ4282">
        <v>96.139678133311904</v>
      </c>
      <c r="AK4282">
        <v>12.114087837461501</v>
      </c>
      <c r="AL4282">
        <v>66.111072369087907</v>
      </c>
      <c r="AM4282">
        <v>97.609477937938294</v>
      </c>
      <c r="AN4282">
        <v>0.99999999930326999</v>
      </c>
    </row>
    <row r="4283" spans="1:40" x14ac:dyDescent="0.25">
      <c r="A4283" t="str">
        <f>"20190304164731163"</f>
        <v>20190304164731163</v>
      </c>
      <c r="B4283" t="str">
        <f>"1551689251153620"</f>
        <v>1551689251153620</v>
      </c>
      <c r="C4283" t="s">
        <v>40</v>
      </c>
      <c r="D4283">
        <v>4.590446</v>
      </c>
      <c r="E4283">
        <v>0.52375799999999995</v>
      </c>
      <c r="F4283" t="s">
        <v>42</v>
      </c>
      <c r="G4283">
        <v>-419.5222</v>
      </c>
      <c r="H4283" s="1">
        <v>-3.685052E-6</v>
      </c>
      <c r="I4283">
        <v>88.025130000000004</v>
      </c>
      <c r="J4283">
        <v>-419.71710000000002</v>
      </c>
      <c r="K4283">
        <v>1.1066959999999999</v>
      </c>
      <c r="L4283">
        <v>100.17270000000001</v>
      </c>
      <c r="M4283">
        <v>-9.4695230000000005E-2</v>
      </c>
      <c r="N4283">
        <v>-8.2562709999999904E-3</v>
      </c>
      <c r="O4283">
        <v>-0.99547209999999997</v>
      </c>
      <c r="P4283">
        <v>4.1441499999999999E-2</v>
      </c>
      <c r="Q4283">
        <v>0.39695380000000002</v>
      </c>
      <c r="R4283">
        <v>-0.91690269999999996</v>
      </c>
      <c r="S4283">
        <v>4.2663569999999998E-2</v>
      </c>
      <c r="T4283">
        <v>-0.30018699999999998</v>
      </c>
      <c r="U4283">
        <v>-3.3988649999999998</v>
      </c>
      <c r="V4283">
        <v>-0.1247265</v>
      </c>
      <c r="W4283">
        <v>0.40549200000000002</v>
      </c>
      <c r="X4283">
        <v>0.9055493</v>
      </c>
      <c r="Y4283">
        <v>-0.1071028</v>
      </c>
      <c r="Z4283">
        <v>7.8896279999999999E-2</v>
      </c>
      <c r="AA4283">
        <v>0.99111269999999996</v>
      </c>
      <c r="AB4283">
        <v>40</v>
      </c>
      <c r="AC4283">
        <v>0.194900000000018</v>
      </c>
      <c r="AD4283">
        <v>-1.1066996850519999</v>
      </c>
      <c r="AE4283">
        <v>-12.14757</v>
      </c>
      <c r="AF4283">
        <v>-1.3333164855075099</v>
      </c>
      <c r="AG4283">
        <v>-1.1066996850519999</v>
      </c>
      <c r="AH4283">
        <v>11.9751533299399</v>
      </c>
      <c r="AI4283">
        <v>95.247822814875605</v>
      </c>
      <c r="AJ4283">
        <v>96.3531596265601</v>
      </c>
      <c r="AK4283">
        <v>12.099868359572801</v>
      </c>
      <c r="AL4283">
        <v>66.078037892189798</v>
      </c>
      <c r="AM4283">
        <v>97.8423321859472</v>
      </c>
      <c r="AN4283">
        <v>0.99999999829837005</v>
      </c>
    </row>
    <row r="4284" spans="1:40" x14ac:dyDescent="0.25">
      <c r="A4284" t="str">
        <f>"20190304164731185"</f>
        <v>20190304164731185</v>
      </c>
      <c r="B4284" t="str">
        <f>"1551689251173139"</f>
        <v>1551689251173139</v>
      </c>
      <c r="C4284" t="s">
        <v>40</v>
      </c>
      <c r="D4284">
        <v>4.6198370000000004</v>
      </c>
      <c r="E4284">
        <v>0.52358379999999904</v>
      </c>
      <c r="F4284" t="s">
        <v>42</v>
      </c>
      <c r="G4284">
        <v>-419.55279999999999</v>
      </c>
      <c r="H4284" s="1">
        <v>-3.5287510000000001E-6</v>
      </c>
      <c r="I4284">
        <v>87.673479999999998</v>
      </c>
      <c r="J4284">
        <v>-419.75689999999997</v>
      </c>
      <c r="K4284">
        <v>1.106711</v>
      </c>
      <c r="L4284">
        <v>99.779110000000003</v>
      </c>
      <c r="M4284">
        <v>-9.7799819999999996E-2</v>
      </c>
      <c r="N4284">
        <v>-8.2673520000000004E-3</v>
      </c>
      <c r="O4284">
        <v>-0.99517169999999999</v>
      </c>
      <c r="P4284">
        <v>4.2123729999999998E-2</v>
      </c>
      <c r="Q4284">
        <v>0.39724959999999998</v>
      </c>
      <c r="R4284">
        <v>-0.91674350000000004</v>
      </c>
      <c r="S4284">
        <v>4.4677729999999999E-2</v>
      </c>
      <c r="T4284">
        <v>-0.30105939999999998</v>
      </c>
      <c r="U4284">
        <v>-3.4002080000000001</v>
      </c>
      <c r="V4284">
        <v>-0.12824360000000001</v>
      </c>
      <c r="W4284">
        <v>0.40581499999999998</v>
      </c>
      <c r="X4284">
        <v>0.90491310000000003</v>
      </c>
      <c r="Y4284">
        <v>-0.11078349999999999</v>
      </c>
      <c r="Z4284">
        <v>7.9044169999999997E-2</v>
      </c>
      <c r="AA4284">
        <v>0.99069629999999997</v>
      </c>
      <c r="AB4284">
        <v>40</v>
      </c>
      <c r="AC4284">
        <v>0.20409999999998199</v>
      </c>
      <c r="AD4284">
        <v>-1.1067145287510001</v>
      </c>
      <c r="AE4284">
        <v>-12.10563</v>
      </c>
      <c r="AF4284">
        <v>-1.3755966630686201</v>
      </c>
      <c r="AG4284">
        <v>-1.1067145287510001</v>
      </c>
      <c r="AH4284">
        <v>11.9279670373251</v>
      </c>
      <c r="AI4284">
        <v>95.266200979407103</v>
      </c>
      <c r="AJ4284">
        <v>96.578592119667405</v>
      </c>
      <c r="AK4284">
        <v>12.057921913460399</v>
      </c>
      <c r="AL4284">
        <v>66.057790091161294</v>
      </c>
      <c r="AM4284">
        <v>98.0661993086118</v>
      </c>
      <c r="AN4284">
        <v>0.99999997685878395</v>
      </c>
    </row>
    <row r="4285" spans="1:40" x14ac:dyDescent="0.25">
      <c r="A4285" t="str">
        <f>"20190304164731210"</f>
        <v>20190304164731210</v>
      </c>
      <c r="B4285" t="str">
        <f>"1551689251203396"</f>
        <v>1551689251203396</v>
      </c>
      <c r="C4285" t="s">
        <v>40</v>
      </c>
      <c r="D4285">
        <v>4.6098559999999997</v>
      </c>
      <c r="E4285">
        <v>0.52335929999999997</v>
      </c>
      <c r="F4285" t="s">
        <v>42</v>
      </c>
      <c r="G4285">
        <v>-419.58449999999999</v>
      </c>
      <c r="H4285" s="1">
        <v>-3.3847770000000002E-6</v>
      </c>
      <c r="I4285">
        <v>87.350980000000007</v>
      </c>
      <c r="J4285">
        <v>-419.80220000000003</v>
      </c>
      <c r="K4285">
        <v>1.106762</v>
      </c>
      <c r="L4285">
        <v>99.344700000000003</v>
      </c>
      <c r="M4285">
        <v>-0.10110180000000001</v>
      </c>
      <c r="N4285">
        <v>-8.2789319999999993E-3</v>
      </c>
      <c r="O4285">
        <v>-0.99484170000000005</v>
      </c>
      <c r="P4285">
        <v>4.2794180000000001E-2</v>
      </c>
      <c r="Q4285">
        <v>0.39722160000000001</v>
      </c>
      <c r="R4285">
        <v>-0.91672450000000005</v>
      </c>
      <c r="S4285">
        <v>4.7180180000000002E-2</v>
      </c>
      <c r="T4285">
        <v>-0.30290479999999997</v>
      </c>
      <c r="U4285">
        <v>-3.4015499999999999</v>
      </c>
      <c r="V4285">
        <v>-0.13197590000000001</v>
      </c>
      <c r="W4285">
        <v>0.40580579999999999</v>
      </c>
      <c r="X4285">
        <v>0.90438039999999997</v>
      </c>
      <c r="Y4285">
        <v>-0.11480170000000001</v>
      </c>
      <c r="Z4285">
        <v>7.9464439999999997E-2</v>
      </c>
      <c r="AA4285">
        <v>0.990205</v>
      </c>
      <c r="AB4285">
        <v>40</v>
      </c>
      <c r="AC4285">
        <v>0.217700000000036</v>
      </c>
      <c r="AD4285">
        <v>-1.106765384777</v>
      </c>
      <c r="AE4285">
        <v>-11.9937199999999</v>
      </c>
      <c r="AF4285">
        <v>-1.4171490431543301</v>
      </c>
      <c r="AG4285">
        <v>-1.106765384777</v>
      </c>
      <c r="AH4285">
        <v>11.8097194140311</v>
      </c>
      <c r="AI4285">
        <v>95.3160047971202</v>
      </c>
      <c r="AJ4285">
        <v>96.842690736204403</v>
      </c>
      <c r="AK4285">
        <v>11.945824109938901</v>
      </c>
      <c r="AL4285">
        <v>66.058366069884997</v>
      </c>
      <c r="AM4285">
        <v>98.302547568001501</v>
      </c>
      <c r="AN4285">
        <v>0.99999994669930303</v>
      </c>
    </row>
    <row r="4286" spans="1:40" x14ac:dyDescent="0.25">
      <c r="A4286" t="str">
        <f>"20190304164731232"</f>
        <v>20190304164731232</v>
      </c>
      <c r="B4286" t="str">
        <f>"1551689251222915"</f>
        <v>1551689251222915</v>
      </c>
      <c r="C4286" t="s">
        <v>40</v>
      </c>
      <c r="D4286">
        <v>4.7087849999999998</v>
      </c>
      <c r="E4286">
        <v>0.50335569999999996</v>
      </c>
      <c r="F4286" t="s">
        <v>42</v>
      </c>
      <c r="G4286">
        <v>-419.62049999999999</v>
      </c>
      <c r="H4286" s="1">
        <v>-3.2520579999999999E-6</v>
      </c>
      <c r="I4286">
        <v>87.056469999999905</v>
      </c>
      <c r="J4286">
        <v>-419.84649999999999</v>
      </c>
      <c r="K4286">
        <v>1.106851</v>
      </c>
      <c r="L4286">
        <v>98.931340000000006</v>
      </c>
      <c r="M4286">
        <v>-0.1040903</v>
      </c>
      <c r="N4286">
        <v>-8.2890440000000006E-3</v>
      </c>
      <c r="O4286">
        <v>-0.99453340000000001</v>
      </c>
      <c r="P4286">
        <v>4.2855780000000003E-2</v>
      </c>
      <c r="Q4286">
        <v>0.39687620000000001</v>
      </c>
      <c r="R4286">
        <v>-0.9168712</v>
      </c>
      <c r="S4286">
        <v>5.0323489999999999E-2</v>
      </c>
      <c r="T4286">
        <v>-0.30649690000000002</v>
      </c>
      <c r="U4286">
        <v>-3.4029850000000001</v>
      </c>
      <c r="V4286">
        <v>-0.13486600000000001</v>
      </c>
      <c r="W4286">
        <v>0.40546199999999999</v>
      </c>
      <c r="X4286">
        <v>0.90410829999999998</v>
      </c>
      <c r="Y4286">
        <v>-0.11869059999999999</v>
      </c>
      <c r="Z4286">
        <v>8.0386780000000005E-2</v>
      </c>
      <c r="AA4286">
        <v>0.98967190000000005</v>
      </c>
      <c r="AB4286">
        <v>40</v>
      </c>
      <c r="AC4286">
        <v>0.22599999999999901</v>
      </c>
      <c r="AD4286">
        <v>-1.106854252058</v>
      </c>
      <c r="AE4286">
        <v>-11.87487</v>
      </c>
      <c r="AF4286">
        <v>-1.44829505562529</v>
      </c>
      <c r="AG4286">
        <v>-1.106854252058</v>
      </c>
      <c r="AH4286">
        <v>11.685347961921099</v>
      </c>
      <c r="AI4286">
        <v>95.370154291671099</v>
      </c>
      <c r="AJ4286">
        <v>97.065272322361594</v>
      </c>
      <c r="AK4286">
        <v>11.826666558866901</v>
      </c>
      <c r="AL4286">
        <v>66.079919462011603</v>
      </c>
      <c r="AM4286">
        <v>98.484261135004502</v>
      </c>
      <c r="AN4286">
        <v>1.0000000447644399</v>
      </c>
    </row>
    <row r="4287" spans="1:40" x14ac:dyDescent="0.25">
      <c r="A4287" t="str">
        <f>"20190304164731254"</f>
        <v>20190304164731254</v>
      </c>
      <c r="B4287" t="str">
        <f>"1551689251243411"</f>
        <v>1551689251243411</v>
      </c>
      <c r="C4287" t="s">
        <v>40</v>
      </c>
      <c r="D4287">
        <v>4.5005680000000003</v>
      </c>
      <c r="E4287">
        <v>0.48416340000000002</v>
      </c>
      <c r="F4287" t="s">
        <v>42</v>
      </c>
      <c r="G4287">
        <v>-419.0917</v>
      </c>
      <c r="H4287" s="1">
        <v>-3.1546700000000001E-6</v>
      </c>
      <c r="I4287">
        <v>86.610799999999998</v>
      </c>
      <c r="J4287">
        <v>-419.8888</v>
      </c>
      <c r="K4287">
        <v>1.106962</v>
      </c>
      <c r="L4287">
        <v>98.546300000000002</v>
      </c>
      <c r="M4287">
        <v>-0.10670490000000001</v>
      </c>
      <c r="N4287">
        <v>-8.2977669999999993E-3</v>
      </c>
      <c r="O4287">
        <v>-0.99425609999999998</v>
      </c>
      <c r="P4287">
        <v>4.3158780000000001E-2</v>
      </c>
      <c r="Q4287">
        <v>0.39644940000000001</v>
      </c>
      <c r="R4287">
        <v>-0.91704140000000001</v>
      </c>
      <c r="S4287">
        <v>0.20794679999999999</v>
      </c>
      <c r="T4287">
        <v>-0.3049365</v>
      </c>
      <c r="U4287">
        <v>-3.3942869999999998</v>
      </c>
      <c r="V4287">
        <v>-0.13768469999999999</v>
      </c>
      <c r="W4287">
        <v>0.40502519999999997</v>
      </c>
      <c r="X4287">
        <v>0.90387919999999999</v>
      </c>
      <c r="Y4287">
        <v>-0.1670422</v>
      </c>
      <c r="Z4287">
        <v>7.9706120000000005E-2</v>
      </c>
      <c r="AA4287">
        <v>0.9827226</v>
      </c>
      <c r="AB4287">
        <v>40</v>
      </c>
      <c r="AC4287">
        <v>0.79710000000000003</v>
      </c>
      <c r="AD4287">
        <v>-1.1069651546699999</v>
      </c>
      <c r="AE4287">
        <v>-11.935499999999999</v>
      </c>
      <c r="AF4287">
        <v>-2.04862551038631</v>
      </c>
      <c r="AG4287">
        <v>-1.1069651546699999</v>
      </c>
      <c r="AH4287">
        <v>11.682253354602899</v>
      </c>
      <c r="AI4287">
        <v>95.3320793128741</v>
      </c>
      <c r="AJ4287">
        <v>99.946379477223999</v>
      </c>
      <c r="AK4287">
        <v>11.912064547197099</v>
      </c>
      <c r="AL4287">
        <v>66.107294924718502</v>
      </c>
      <c r="AM4287">
        <v>98.661082911778195</v>
      </c>
      <c r="AN4287">
        <v>1.00000004872088</v>
      </c>
    </row>
    <row r="4288" spans="1:40" x14ac:dyDescent="0.25">
      <c r="A4288" t="str">
        <f>"20190304164731274"</f>
        <v>20190304164731274</v>
      </c>
      <c r="B4288" t="str">
        <f>"1551689251263907"</f>
        <v>1551689251263907</v>
      </c>
      <c r="C4288" t="s">
        <v>40</v>
      </c>
      <c r="D4288">
        <v>4.558173</v>
      </c>
      <c r="E4288">
        <v>0.47556540000000003</v>
      </c>
      <c r="F4288" t="s">
        <v>42</v>
      </c>
      <c r="G4288">
        <v>-418.1728</v>
      </c>
      <c r="H4288" s="1">
        <v>-1.4995180000000001E-6</v>
      </c>
      <c r="I4288">
        <v>82.372669999999999</v>
      </c>
      <c r="J4288">
        <v>-419.92970000000003</v>
      </c>
      <c r="K4288">
        <v>1.107092</v>
      </c>
      <c r="L4288">
        <v>98.180480000000003</v>
      </c>
      <c r="M4288">
        <v>-0.1090112</v>
      </c>
      <c r="N4288">
        <v>-8.3057029999999994E-3</v>
      </c>
      <c r="O4288">
        <v>-0.99400619999999995</v>
      </c>
      <c r="P4288">
        <v>4.3502869999999999E-2</v>
      </c>
      <c r="Q4288">
        <v>0.39627610000000002</v>
      </c>
      <c r="R4288">
        <v>-0.91710060000000004</v>
      </c>
      <c r="S4288">
        <v>0.35583500000000001</v>
      </c>
      <c r="T4288">
        <v>-0.22955010000000001</v>
      </c>
      <c r="U4288">
        <v>-3.3539119999999998</v>
      </c>
      <c r="V4288">
        <v>-0.14026910000000001</v>
      </c>
      <c r="W4288">
        <v>0.40482980000000002</v>
      </c>
      <c r="X4288">
        <v>0.90356930000000002</v>
      </c>
      <c r="Y4288">
        <v>-0.21302969999999999</v>
      </c>
      <c r="Z4288">
        <v>5.8364560000000003E-2</v>
      </c>
      <c r="AA4288">
        <v>0.97530090000000003</v>
      </c>
      <c r="AB4288">
        <v>40</v>
      </c>
      <c r="AC4288">
        <v>1.7569000000000301</v>
      </c>
      <c r="AD4288">
        <v>-1.107093499518</v>
      </c>
      <c r="AE4288">
        <v>-15.80781</v>
      </c>
      <c r="AF4288">
        <v>-3.4529864983044698</v>
      </c>
      <c r="AG4288">
        <v>-1.107093499518</v>
      </c>
      <c r="AH4288">
        <v>15.447227172597501</v>
      </c>
      <c r="AI4288">
        <v>94.000937293723894</v>
      </c>
      <c r="AJ4288">
        <v>102.600431466789</v>
      </c>
      <c r="AK4288">
        <v>15.867123214243399</v>
      </c>
      <c r="AL4288">
        <v>66.119538879138105</v>
      </c>
      <c r="AM4288">
        <v>98.824099065775698</v>
      </c>
      <c r="AN4288">
        <v>1.00000003364266</v>
      </c>
    </row>
    <row r="4289" spans="1:40" x14ac:dyDescent="0.25">
      <c r="A4289" t="str">
        <f>"20190304164731297"</f>
        <v>20190304164731297</v>
      </c>
      <c r="B4289" t="str">
        <f>"1551689251293187"</f>
        <v>1551689251293187</v>
      </c>
      <c r="C4289" t="s">
        <v>40</v>
      </c>
      <c r="D4289">
        <v>4.522138</v>
      </c>
      <c r="E4289">
        <v>0.46986460000000002</v>
      </c>
      <c r="F4289" t="s">
        <v>42</v>
      </c>
      <c r="G4289">
        <v>-417.88529999999997</v>
      </c>
      <c r="H4289" s="1">
        <v>-1.38987E-6</v>
      </c>
      <c r="I4289">
        <v>81.998199999999997</v>
      </c>
      <c r="J4289">
        <v>-419.97620000000001</v>
      </c>
      <c r="K4289">
        <v>1.107264</v>
      </c>
      <c r="L4289">
        <v>97.773409999999998</v>
      </c>
      <c r="M4289">
        <v>-0.1113552</v>
      </c>
      <c r="N4289">
        <v>-8.3142860000000006E-3</v>
      </c>
      <c r="O4289">
        <v>-0.99374600000000002</v>
      </c>
      <c r="P4289">
        <v>4.3106419999999999E-2</v>
      </c>
      <c r="Q4289">
        <v>0.39628609999999997</v>
      </c>
      <c r="R4289">
        <v>-0.91711450000000005</v>
      </c>
      <c r="S4289">
        <v>0.42324830000000002</v>
      </c>
      <c r="T4289">
        <v>-0.2291955</v>
      </c>
      <c r="U4289">
        <v>-3.3501280000000002</v>
      </c>
      <c r="V4289">
        <v>-0.14218349999999999</v>
      </c>
      <c r="W4289">
        <v>0.40479929999999997</v>
      </c>
      <c r="X4289">
        <v>0.90328370000000002</v>
      </c>
      <c r="Y4289">
        <v>-0.2347524</v>
      </c>
      <c r="Z4289">
        <v>5.8044079999999998E-2</v>
      </c>
      <c r="AA4289">
        <v>0.97032059999999998</v>
      </c>
      <c r="AB4289">
        <v>40</v>
      </c>
      <c r="AC4289">
        <v>2.0909000000000302</v>
      </c>
      <c r="AD4289">
        <v>-1.10726538987</v>
      </c>
      <c r="AE4289">
        <v>-15.77521</v>
      </c>
      <c r="AF4289">
        <v>-3.8161310748339901</v>
      </c>
      <c r="AG4289">
        <v>-1.10726538987</v>
      </c>
      <c r="AH4289">
        <v>15.369836609203499</v>
      </c>
      <c r="AI4289">
        <v>93.999529898706797</v>
      </c>
      <c r="AJ4289">
        <v>103.943833612235</v>
      </c>
      <c r="AK4289">
        <v>15.875162059567399</v>
      </c>
      <c r="AL4289">
        <v>66.121449947807506</v>
      </c>
      <c r="AM4289">
        <v>98.945379025252606</v>
      </c>
      <c r="AN4289">
        <v>1.0000000318192099</v>
      </c>
    </row>
    <row r="4290" spans="1:40" x14ac:dyDescent="0.25">
      <c r="A4290" t="str">
        <f>"20190304164731320"</f>
        <v>20190304164731320</v>
      </c>
      <c r="B4290" t="str">
        <f>"1551689251313683"</f>
        <v>1551689251313683</v>
      </c>
      <c r="C4290" t="s">
        <v>40</v>
      </c>
      <c r="D4290">
        <v>4.5065580000000001</v>
      </c>
      <c r="E4290">
        <v>0.46796209999999999</v>
      </c>
      <c r="F4290" t="s">
        <v>42</v>
      </c>
      <c r="G4290">
        <v>-417.74529999999999</v>
      </c>
      <c r="H4290" s="1">
        <v>-1.292096E-6</v>
      </c>
      <c r="I4290">
        <v>81.682059999999893</v>
      </c>
      <c r="J4290">
        <v>-420.0247</v>
      </c>
      <c r="K4290">
        <v>1.1074349999999999</v>
      </c>
      <c r="L4290">
        <v>97.355900000000005</v>
      </c>
      <c r="M4290">
        <v>-0.1135554</v>
      </c>
      <c r="N4290">
        <v>-8.3237580000000005E-3</v>
      </c>
      <c r="O4290">
        <v>-0.99349699999999996</v>
      </c>
      <c r="P4290">
        <v>4.229136E-2</v>
      </c>
      <c r="Q4290">
        <v>0.39611600000000002</v>
      </c>
      <c r="R4290">
        <v>-0.9172264</v>
      </c>
      <c r="S4290">
        <v>0.4642944</v>
      </c>
      <c r="T4290">
        <v>-0.23044029999999999</v>
      </c>
      <c r="U4290">
        <v>-3.3488769999999999</v>
      </c>
      <c r="V4290">
        <v>-0.1435671</v>
      </c>
      <c r="W4290">
        <v>0.40458349999999998</v>
      </c>
      <c r="X4290">
        <v>0.90316149999999995</v>
      </c>
      <c r="Y4290">
        <v>-0.24860589999999999</v>
      </c>
      <c r="Z4290">
        <v>5.8214460000000003E-2</v>
      </c>
      <c r="AA4290">
        <v>0.96685370000000004</v>
      </c>
      <c r="AB4290">
        <v>40</v>
      </c>
      <c r="AC4290">
        <v>2.2793999999999999</v>
      </c>
      <c r="AD4290">
        <v>-1.1074362920959999</v>
      </c>
      <c r="AE4290">
        <v>-15.67384</v>
      </c>
      <c r="AF4290">
        <v>-4.0248888707829202</v>
      </c>
      <c r="AG4290">
        <v>-1.1074362920959999</v>
      </c>
      <c r="AH4290">
        <v>15.239102151013499</v>
      </c>
      <c r="AI4290">
        <v>94.019076421541399</v>
      </c>
      <c r="AJ4290">
        <v>104.79488426454</v>
      </c>
      <c r="AK4290">
        <v>15.8005183437831</v>
      </c>
      <c r="AL4290">
        <v>66.134970456302398</v>
      </c>
      <c r="AM4290">
        <v>99.032201173591702</v>
      </c>
      <c r="AN4290">
        <v>1.0000000078784499</v>
      </c>
    </row>
    <row r="4291" spans="1:40" x14ac:dyDescent="0.25">
      <c r="A4291" t="str">
        <f>"20190304164731341"</f>
        <v>20190304164731341</v>
      </c>
      <c r="B4291" t="str">
        <f>"1551689251333203"</f>
        <v>1551689251333203</v>
      </c>
      <c r="C4291" t="s">
        <v>40</v>
      </c>
      <c r="D4291">
        <v>4.5060510000000003</v>
      </c>
      <c r="E4291">
        <v>0.46644570000000002</v>
      </c>
      <c r="F4291" t="s">
        <v>42</v>
      </c>
      <c r="G4291">
        <v>-417.76569999999998</v>
      </c>
      <c r="H4291" s="1">
        <v>-1.1926429999999999E-6</v>
      </c>
      <c r="I4291">
        <v>81.405779999999993</v>
      </c>
      <c r="J4291">
        <v>-420.06990000000002</v>
      </c>
      <c r="K4291">
        <v>1.10759599999999</v>
      </c>
      <c r="L4291">
        <v>96.972380000000001</v>
      </c>
      <c r="M4291">
        <v>-0.1153877</v>
      </c>
      <c r="N4291">
        <v>-8.3332000000000007E-3</v>
      </c>
      <c r="O4291">
        <v>-0.993286</v>
      </c>
      <c r="P4291">
        <v>4.1840339999999997E-2</v>
      </c>
      <c r="Q4291">
        <v>0.39523380000000002</v>
      </c>
      <c r="R4291">
        <v>-0.91762750000000004</v>
      </c>
      <c r="S4291">
        <v>0.47436519999999999</v>
      </c>
      <c r="T4291">
        <v>-0.23254620000000001</v>
      </c>
      <c r="U4291">
        <v>-3.3493040000000001</v>
      </c>
      <c r="V4291">
        <v>-0.1450023</v>
      </c>
      <c r="W4291">
        <v>0.40366229999999997</v>
      </c>
      <c r="X4291">
        <v>0.90334440000000005</v>
      </c>
      <c r="Y4291">
        <v>-0.25321709999999997</v>
      </c>
      <c r="Z4291">
        <v>5.8722940000000001E-2</v>
      </c>
      <c r="AA4291">
        <v>0.96562559999999997</v>
      </c>
      <c r="AB4291">
        <v>40</v>
      </c>
      <c r="AC4291">
        <v>2.30420000000003</v>
      </c>
      <c r="AD4291">
        <v>-1.1075971926429899</v>
      </c>
      <c r="AE4291">
        <v>-15.5665999999999</v>
      </c>
      <c r="AF4291">
        <v>-4.0649259131297599</v>
      </c>
      <c r="AG4291">
        <v>-1.1075971926429899</v>
      </c>
      <c r="AH4291">
        <v>15.1218160394198</v>
      </c>
      <c r="AI4291">
        <v>94.0460175342578</v>
      </c>
      <c r="AJ4291">
        <v>105.046114802685</v>
      </c>
      <c r="AK4291">
        <v>15.6977614502972</v>
      </c>
      <c r="AL4291">
        <v>66.192673205538796</v>
      </c>
      <c r="AM4291">
        <v>99.119167437137605</v>
      </c>
      <c r="AN4291">
        <v>1.0000000122289701</v>
      </c>
    </row>
    <row r="4292" spans="1:40" x14ac:dyDescent="0.25">
      <c r="A4292" t="str">
        <f>"20190304164731364"</f>
        <v>20190304164731364</v>
      </c>
      <c r="B4292" t="str">
        <f>"1551689251353699"</f>
        <v>1551689251353699</v>
      </c>
      <c r="C4292" t="s">
        <v>40</v>
      </c>
      <c r="D4292">
        <v>4.4831620000000001</v>
      </c>
      <c r="E4292">
        <v>0.46538790000000002</v>
      </c>
      <c r="F4292" t="s">
        <v>42</v>
      </c>
      <c r="G4292">
        <v>-417.82560000000001</v>
      </c>
      <c r="H4292" s="1">
        <v>-1.1669800000000001E-6</v>
      </c>
      <c r="I4292">
        <v>81.37715</v>
      </c>
      <c r="J4292">
        <v>-420.11810000000003</v>
      </c>
      <c r="K4292">
        <v>1.1077760000000001</v>
      </c>
      <c r="L4292">
        <v>96.569180000000003</v>
      </c>
      <c r="M4292">
        <v>-0.1170915</v>
      </c>
      <c r="N4292">
        <v>-8.3448540000000005E-3</v>
      </c>
      <c r="O4292">
        <v>-0.99308609999999997</v>
      </c>
      <c r="P4292">
        <v>4.096615E-2</v>
      </c>
      <c r="Q4292">
        <v>0.39548870000000003</v>
      </c>
      <c r="R4292">
        <v>-0.91755679999999995</v>
      </c>
      <c r="S4292">
        <v>0.48208620000000002</v>
      </c>
      <c r="T4292">
        <v>-0.23790739999999999</v>
      </c>
      <c r="U4292">
        <v>-3.3497919999999999</v>
      </c>
      <c r="V4292">
        <v>-0.14585890000000001</v>
      </c>
      <c r="W4292">
        <v>0.40386509999999998</v>
      </c>
      <c r="X4292">
        <v>0.90311580000000002</v>
      </c>
      <c r="Y4292">
        <v>-0.25702039999999998</v>
      </c>
      <c r="Z4292">
        <v>6.017198E-2</v>
      </c>
      <c r="AA4292">
        <v>0.96453089999999997</v>
      </c>
      <c r="AB4292">
        <v>40</v>
      </c>
      <c r="AC4292">
        <v>2.2925000000000102</v>
      </c>
      <c r="AD4292">
        <v>-1.1077771669800001</v>
      </c>
      <c r="AE4292">
        <v>-15.192030000000001</v>
      </c>
      <c r="AF4292">
        <v>-4.0346735069827204</v>
      </c>
      <c r="AG4292">
        <v>-1.1077771669800001</v>
      </c>
      <c r="AH4292">
        <v>14.742435627086399</v>
      </c>
      <c r="AI4292">
        <v>94.145368888837496</v>
      </c>
      <c r="AJ4292">
        <v>105.305783380332</v>
      </c>
      <c r="AK4292">
        <v>15.324658847048401</v>
      </c>
      <c r="AL4292">
        <v>66.179971821874503</v>
      </c>
      <c r="AM4292">
        <v>99.174408009290303</v>
      </c>
      <c r="AN4292">
        <v>0.99999999295843001</v>
      </c>
    </row>
    <row r="4293" spans="1:40" x14ac:dyDescent="0.25">
      <c r="A4293" t="str">
        <f>"20190304164731386"</f>
        <v>20190304164731386</v>
      </c>
      <c r="B4293" t="str">
        <f>"1551689251382979"</f>
        <v>1551689251382979</v>
      </c>
      <c r="C4293" t="s">
        <v>40</v>
      </c>
      <c r="D4293">
        <v>4.4514469999999999</v>
      </c>
      <c r="E4293">
        <v>0.46422289999999999</v>
      </c>
      <c r="F4293" t="s">
        <v>42</v>
      </c>
      <c r="G4293">
        <v>-417.85379999999998</v>
      </c>
      <c r="H4293" s="1">
        <v>-1.0209540000000001E-6</v>
      </c>
      <c r="I4293">
        <v>80.970119999999994</v>
      </c>
      <c r="J4293">
        <v>-420.1669</v>
      </c>
      <c r="K4293">
        <v>1.107982</v>
      </c>
      <c r="L4293">
        <v>96.165099999999995</v>
      </c>
      <c r="M4293">
        <v>-0.1185541</v>
      </c>
      <c r="N4293">
        <v>-8.3620159999999999E-3</v>
      </c>
      <c r="O4293">
        <v>-0.99291260000000003</v>
      </c>
      <c r="P4293">
        <v>3.9875540000000001E-2</v>
      </c>
      <c r="Q4293">
        <v>0.39562340000000001</v>
      </c>
      <c r="R4293">
        <v>-0.917547</v>
      </c>
      <c r="S4293">
        <v>0.48632809999999999</v>
      </c>
      <c r="T4293">
        <v>-0.2379309</v>
      </c>
      <c r="U4293">
        <v>-3.350403</v>
      </c>
      <c r="V4293">
        <v>-0.14630940000000001</v>
      </c>
      <c r="W4293">
        <v>0.4039432</v>
      </c>
      <c r="X4293">
        <v>0.90300800000000003</v>
      </c>
      <c r="Y4293">
        <v>-0.2596136</v>
      </c>
      <c r="Z4293">
        <v>6.0098619999999998E-2</v>
      </c>
      <c r="AA4293">
        <v>0.96384069999999999</v>
      </c>
      <c r="AB4293">
        <v>40</v>
      </c>
      <c r="AC4293">
        <v>2.3131000000000199</v>
      </c>
      <c r="AD4293">
        <v>-1.107983020954</v>
      </c>
      <c r="AE4293">
        <v>-15.194979999999999</v>
      </c>
      <c r="AF4293">
        <v>-4.0770888439130202</v>
      </c>
      <c r="AG4293">
        <v>-1.107983020954</v>
      </c>
      <c r="AH4293">
        <v>14.7369925428436</v>
      </c>
      <c r="AI4293">
        <v>94.144513898010999</v>
      </c>
      <c r="AJ4293">
        <v>105.464466009514</v>
      </c>
      <c r="AK4293">
        <v>15.330663032749399</v>
      </c>
      <c r="AL4293">
        <v>66.175080412924203</v>
      </c>
      <c r="AM4293">
        <v>99.203339793700195</v>
      </c>
      <c r="AN4293">
        <v>0.99999999870930001</v>
      </c>
    </row>
    <row r="4294" spans="1:40" x14ac:dyDescent="0.25">
      <c r="A4294" t="str">
        <f>"20190304164731411"</f>
        <v>20190304164731411</v>
      </c>
      <c r="B4294" t="str">
        <f>"1551689251403476"</f>
        <v>1551689251403476</v>
      </c>
      <c r="C4294" t="s">
        <v>40</v>
      </c>
      <c r="D4294">
        <v>4.3502580000000002</v>
      </c>
      <c r="E4294">
        <v>0.4635126</v>
      </c>
      <c r="F4294" t="s">
        <v>42</v>
      </c>
      <c r="G4294">
        <v>-417.8623</v>
      </c>
      <c r="H4294" s="1">
        <v>-8.3466780000000001E-7</v>
      </c>
      <c r="I4294">
        <v>80.429339999999996</v>
      </c>
      <c r="J4294">
        <v>-420.21839999999997</v>
      </c>
      <c r="K4294">
        <v>1.1082289999999999</v>
      </c>
      <c r="L4294">
        <v>95.742490000000004</v>
      </c>
      <c r="M4294">
        <v>-0.11981070000000001</v>
      </c>
      <c r="N4294">
        <v>-8.3864419999999992E-3</v>
      </c>
      <c r="O4294">
        <v>-0.99276149999999996</v>
      </c>
      <c r="P4294">
        <v>3.883503E-2</v>
      </c>
      <c r="Q4294">
        <v>0.39561669999999999</v>
      </c>
      <c r="R4294">
        <v>-0.91759460000000004</v>
      </c>
      <c r="S4294">
        <v>0.49063109999999999</v>
      </c>
      <c r="T4294">
        <v>-0.2358778</v>
      </c>
      <c r="U4294">
        <v>-3.3499759999999998</v>
      </c>
      <c r="V4294">
        <v>-0.146665299999999</v>
      </c>
      <c r="W4294">
        <v>0.40387339999999999</v>
      </c>
      <c r="X4294">
        <v>0.90298149999999999</v>
      </c>
      <c r="Y4294">
        <v>-0.26206970000000002</v>
      </c>
      <c r="Z4294">
        <v>5.9447159999999999E-2</v>
      </c>
      <c r="AA4294">
        <v>0.96321619999999997</v>
      </c>
      <c r="AB4294">
        <v>41</v>
      </c>
      <c r="AC4294">
        <v>2.3560999999999601</v>
      </c>
      <c r="AD4294">
        <v>-1.1082298346677999</v>
      </c>
      <c r="AE4294">
        <v>-15.31315</v>
      </c>
      <c r="AF4294">
        <v>-4.1526239620621599</v>
      </c>
      <c r="AG4294">
        <v>-1.1082298346677999</v>
      </c>
      <c r="AH4294">
        <v>14.8445903118391</v>
      </c>
      <c r="AI4294">
        <v>94.112226458020501</v>
      </c>
      <c r="AJ4294">
        <v>105.628425432413</v>
      </c>
      <c r="AK4294">
        <v>15.4542654520714</v>
      </c>
      <c r="AL4294">
        <v>66.179452451937806</v>
      </c>
      <c r="AM4294">
        <v>99.2256086786265</v>
      </c>
      <c r="AN4294">
        <v>1.0000000113969501</v>
      </c>
    </row>
    <row r="4295" spans="1:40" x14ac:dyDescent="0.25">
      <c r="A4295" t="str">
        <f>"20190304164731435"</f>
        <v>20190304164731435</v>
      </c>
      <c r="B4295" t="str">
        <f>"1551689251422996"</f>
        <v>1551689251422996</v>
      </c>
      <c r="C4295" t="s">
        <v>40</v>
      </c>
      <c r="D4295">
        <v>4.3941650000000001</v>
      </c>
      <c r="E4295">
        <v>0.46264440000000001</v>
      </c>
      <c r="F4295" t="s">
        <v>42</v>
      </c>
      <c r="G4295">
        <v>-417.87810000000002</v>
      </c>
      <c r="H4295" s="1">
        <v>-6.3185499999999996E-7</v>
      </c>
      <c r="I4295">
        <v>79.845699999999994</v>
      </c>
      <c r="J4295">
        <v>-420.27350000000001</v>
      </c>
      <c r="K4295">
        <v>1.108519</v>
      </c>
      <c r="L4295">
        <v>95.292720000000003</v>
      </c>
      <c r="M4295">
        <v>-0.1208263</v>
      </c>
      <c r="N4295">
        <v>-8.4162179999999996E-3</v>
      </c>
      <c r="O4295">
        <v>-0.99263809999999997</v>
      </c>
      <c r="P4295">
        <v>3.8796450000000003E-2</v>
      </c>
      <c r="Q4295">
        <v>0.39523380000000002</v>
      </c>
      <c r="R4295">
        <v>-0.91776080000000004</v>
      </c>
      <c r="S4295">
        <v>0.49307250000000002</v>
      </c>
      <c r="T4295">
        <v>-0.23348720000000001</v>
      </c>
      <c r="U4295">
        <v>-3.3492130000000002</v>
      </c>
      <c r="V4295">
        <v>-0.1478554</v>
      </c>
      <c r="W4295">
        <v>0.40341929999999998</v>
      </c>
      <c r="X4295">
        <v>0.90299039999999997</v>
      </c>
      <c r="Y4295">
        <v>-0.2637815</v>
      </c>
      <c r="Z4295">
        <v>5.8713639999999997E-2</v>
      </c>
      <c r="AA4295">
        <v>0.96279380000000003</v>
      </c>
      <c r="AB4295">
        <v>41</v>
      </c>
      <c r="AC4295">
        <v>2.3953999999999902</v>
      </c>
      <c r="AD4295">
        <v>-1.1085196318549999</v>
      </c>
      <c r="AE4295">
        <v>-15.447019999999901</v>
      </c>
      <c r="AF4295">
        <v>-4.2230837429741603</v>
      </c>
      <c r="AG4295">
        <v>-1.1085196318549999</v>
      </c>
      <c r="AH4295">
        <v>14.969125412657601</v>
      </c>
      <c r="AI4295">
        <v>94.076675371154593</v>
      </c>
      <c r="AJ4295">
        <v>105.754799724799</v>
      </c>
      <c r="AK4295">
        <v>15.5928819560161</v>
      </c>
      <c r="AL4295">
        <v>66.207889959855905</v>
      </c>
      <c r="AM4295">
        <v>99.299076246609502</v>
      </c>
      <c r="AN4295">
        <v>1.0000000067068999</v>
      </c>
    </row>
    <row r="4296" spans="1:40" x14ac:dyDescent="0.25">
      <c r="A4296" t="str">
        <f>"20190304164731457"</f>
        <v>20190304164731457</v>
      </c>
      <c r="B4296" t="str">
        <f>"1551689251453251"</f>
        <v>1551689251453251</v>
      </c>
      <c r="C4296" t="s">
        <v>40</v>
      </c>
      <c r="D4296">
        <v>4.3917580000000003</v>
      </c>
      <c r="E4296">
        <v>0.46144930000000001</v>
      </c>
      <c r="F4296" t="s">
        <v>42</v>
      </c>
      <c r="G4296">
        <v>-417.90109999999999</v>
      </c>
      <c r="H4296" s="1">
        <v>-4.5761579999999996E-6</v>
      </c>
      <c r="I4296">
        <v>79.432019999999994</v>
      </c>
      <c r="J4296">
        <v>-420.3229</v>
      </c>
      <c r="K4296">
        <v>1.1087880000000001</v>
      </c>
      <c r="L4296">
        <v>94.890349999999998</v>
      </c>
      <c r="M4296">
        <v>-0.1214379</v>
      </c>
      <c r="N4296">
        <v>-8.4434680000000008E-3</v>
      </c>
      <c r="O4296">
        <v>-0.99256319999999998</v>
      </c>
      <c r="P4296">
        <v>3.9116829999999998E-2</v>
      </c>
      <c r="Q4296">
        <v>0.39447500000000002</v>
      </c>
      <c r="R4296">
        <v>-0.9180741</v>
      </c>
      <c r="S4296">
        <v>0.50085449999999998</v>
      </c>
      <c r="T4296">
        <v>-0.23402729999999999</v>
      </c>
      <c r="U4296">
        <v>-3.3484500000000001</v>
      </c>
      <c r="V4296">
        <v>-0.14903089999999999</v>
      </c>
      <c r="W4296">
        <v>0.40259489999999998</v>
      </c>
      <c r="X4296">
        <v>0.90316510000000005</v>
      </c>
      <c r="Y4296">
        <v>-0.26659319999999997</v>
      </c>
      <c r="Z4296">
        <v>5.8808449999999998E-2</v>
      </c>
      <c r="AA4296">
        <v>0.96201329999999996</v>
      </c>
      <c r="AB4296">
        <v>41</v>
      </c>
      <c r="AC4296">
        <v>2.4218000000000202</v>
      </c>
      <c r="AD4296">
        <v>-1.108792576158</v>
      </c>
      <c r="AE4296">
        <v>-15.45833</v>
      </c>
      <c r="AF4296">
        <v>-4.2597779252479402</v>
      </c>
      <c r="AG4296">
        <v>-1.108792576158</v>
      </c>
      <c r="AH4296">
        <v>14.9746094960785</v>
      </c>
      <c r="AI4296">
        <v>94.073687691049003</v>
      </c>
      <c r="AJ4296">
        <v>105.879288200982</v>
      </c>
      <c r="AK4296">
        <v>15.6081407768324</v>
      </c>
      <c r="AL4296">
        <v>66.259502010169101</v>
      </c>
      <c r="AM4296">
        <v>99.369919823221096</v>
      </c>
      <c r="AN4296">
        <v>1.0000000302594101</v>
      </c>
    </row>
    <row r="4297" spans="1:40" x14ac:dyDescent="0.25">
      <c r="A4297" t="str">
        <f>"20190304164731475"</f>
        <v>20190304164731475</v>
      </c>
      <c r="B4297" t="str">
        <f>"1551689251473747"</f>
        <v>1551689251473747</v>
      </c>
      <c r="C4297" t="s">
        <v>40</v>
      </c>
      <c r="D4297">
        <v>4.3958469999999998</v>
      </c>
      <c r="E4297">
        <v>0.46077499999999999</v>
      </c>
      <c r="F4297" t="s">
        <v>42</v>
      </c>
      <c r="G4297">
        <v>-417.90949999999998</v>
      </c>
      <c r="H4297" s="1">
        <v>-4.4191099999999996E-6</v>
      </c>
      <c r="I4297">
        <v>79.06944</v>
      </c>
      <c r="J4297">
        <v>-420.36450000000002</v>
      </c>
      <c r="K4297">
        <v>1.108994</v>
      </c>
      <c r="L4297">
        <v>94.552580000000006</v>
      </c>
      <c r="M4297">
        <v>-0.121795899999999</v>
      </c>
      <c r="N4297">
        <v>-8.4660229999999996E-3</v>
      </c>
      <c r="O4297">
        <v>-0.99251929999999999</v>
      </c>
      <c r="P4297">
        <v>3.904929E-2</v>
      </c>
      <c r="Q4297">
        <v>0.3940459</v>
      </c>
      <c r="R4297">
        <v>-0.91826090000000005</v>
      </c>
      <c r="S4297">
        <v>0.5105286</v>
      </c>
      <c r="T4297">
        <v>-0.2345508</v>
      </c>
      <c r="U4297">
        <v>-3.3467099999999999</v>
      </c>
      <c r="V4297">
        <v>-0.14951900000000001</v>
      </c>
      <c r="W4297">
        <v>0.40211259999999999</v>
      </c>
      <c r="X4297">
        <v>0.90329930000000003</v>
      </c>
      <c r="Y4297">
        <v>-0.26972869999999999</v>
      </c>
      <c r="Z4297">
        <v>5.8919039999999999E-2</v>
      </c>
      <c r="AA4297">
        <v>0.96113210000000004</v>
      </c>
      <c r="AB4297">
        <v>41</v>
      </c>
      <c r="AC4297">
        <v>2.45500000000004</v>
      </c>
      <c r="AD4297">
        <v>-1.10899841911</v>
      </c>
      <c r="AE4297">
        <v>-15.483140000000001</v>
      </c>
      <c r="AF4297">
        <v>-4.30104717259489</v>
      </c>
      <c r="AG4297">
        <v>-1.10899841911</v>
      </c>
      <c r="AH4297">
        <v>14.9938063809622</v>
      </c>
      <c r="AI4297">
        <v>94.066685108398204</v>
      </c>
      <c r="AJ4297">
        <v>106.00579901848199</v>
      </c>
      <c r="AK4297">
        <v>15.637874346095099</v>
      </c>
      <c r="AL4297">
        <v>66.289687352914598</v>
      </c>
      <c r="AM4297">
        <v>99.398689346167004</v>
      </c>
      <c r="AN4297">
        <v>1.00000004991012</v>
      </c>
    </row>
    <row r="4298" spans="1:40" x14ac:dyDescent="0.25">
      <c r="A4298" t="str">
        <f>"20190304164731499"</f>
        <v>20190304164731499</v>
      </c>
      <c r="B4298" t="str">
        <f>"1551689251493267"</f>
        <v>1551689251493267</v>
      </c>
      <c r="C4298" t="s">
        <v>40</v>
      </c>
      <c r="D4298">
        <v>4.3941400000000002</v>
      </c>
      <c r="E4298">
        <v>0.46050429999999998</v>
      </c>
      <c r="F4298" t="s">
        <v>42</v>
      </c>
      <c r="G4298">
        <v>-417.92649999999998</v>
      </c>
      <c r="H4298" s="1">
        <v>-4.2712839999999996E-6</v>
      </c>
      <c r="I4298">
        <v>78.731849999999994</v>
      </c>
      <c r="J4298">
        <v>-420.41579999999999</v>
      </c>
      <c r="K4298">
        <v>1.1092470000000001</v>
      </c>
      <c r="L4298">
        <v>94.135859999999994</v>
      </c>
      <c r="M4298">
        <v>-0.122</v>
      </c>
      <c r="N4298">
        <v>-8.4928169999999997E-3</v>
      </c>
      <c r="O4298">
        <v>-0.99249399999999999</v>
      </c>
      <c r="P4298">
        <v>3.869533E-2</v>
      </c>
      <c r="Q4298">
        <v>0.3938566</v>
      </c>
      <c r="R4298">
        <v>-0.91835719999999998</v>
      </c>
      <c r="S4298">
        <v>0.51559449999999996</v>
      </c>
      <c r="T4298">
        <v>-0.23453070000000001</v>
      </c>
      <c r="U4298">
        <v>-3.345764</v>
      </c>
      <c r="V4298">
        <v>-0.14960960000000001</v>
      </c>
      <c r="W4298">
        <v>0.40185710000000002</v>
      </c>
      <c r="X4298">
        <v>0.90339789999999998</v>
      </c>
      <c r="Y4298">
        <v>-0.27138800000000002</v>
      </c>
      <c r="Z4298">
        <v>5.8877600000000002E-2</v>
      </c>
      <c r="AA4298">
        <v>0.96066750000000001</v>
      </c>
      <c r="AB4298">
        <v>41</v>
      </c>
      <c r="AC4298">
        <v>2.4893000000000098</v>
      </c>
      <c r="AD4298">
        <v>-1.1092512712839999</v>
      </c>
      <c r="AE4298">
        <v>-15.40401</v>
      </c>
      <c r="AF4298">
        <v>-4.3281876985695904</v>
      </c>
      <c r="AG4298">
        <v>-1.1092512712839999</v>
      </c>
      <c r="AH4298">
        <v>14.9098820378179</v>
      </c>
      <c r="AI4298">
        <v>94.086698882199101</v>
      </c>
      <c r="AJ4298">
        <v>106.187477679198</v>
      </c>
      <c r="AK4298">
        <v>15.5649680217641</v>
      </c>
      <c r="AL4298">
        <v>66.305672871158194</v>
      </c>
      <c r="AM4298">
        <v>99.403274627443196</v>
      </c>
      <c r="AN4298">
        <v>0.99999996347848896</v>
      </c>
    </row>
    <row r="4299" spans="1:40" x14ac:dyDescent="0.25">
      <c r="A4299" t="str">
        <f>"20190304164731521"</f>
        <v>20190304164731521</v>
      </c>
      <c r="B4299" t="str">
        <f>"1551689251513764"</f>
        <v>1551689251513764</v>
      </c>
      <c r="C4299" t="s">
        <v>40</v>
      </c>
      <c r="D4299">
        <v>4.3615680000000001</v>
      </c>
      <c r="E4299">
        <v>0.45072499999999999</v>
      </c>
      <c r="F4299" t="s">
        <v>42</v>
      </c>
      <c r="G4299">
        <v>-417.96730000000002</v>
      </c>
      <c r="H4299" s="1">
        <v>-4.075241E-6</v>
      </c>
      <c r="I4299">
        <v>78.291749999999993</v>
      </c>
      <c r="J4299">
        <v>-420.46820000000002</v>
      </c>
      <c r="K4299">
        <v>1.109497</v>
      </c>
      <c r="L4299">
        <v>93.70975</v>
      </c>
      <c r="M4299">
        <v>-0.1219417</v>
      </c>
      <c r="N4299">
        <v>-8.5191840000000008E-3</v>
      </c>
      <c r="O4299">
        <v>-0.99250059999999996</v>
      </c>
      <c r="P4299">
        <v>3.861506E-2</v>
      </c>
      <c r="Q4299">
        <v>0.39360420000000002</v>
      </c>
      <c r="R4299">
        <v>-0.91846879999999997</v>
      </c>
      <c r="S4299">
        <v>0.51699830000000002</v>
      </c>
      <c r="T4299">
        <v>-0.23421030000000001</v>
      </c>
      <c r="U4299">
        <v>-3.345367</v>
      </c>
      <c r="V4299">
        <v>-0.1497425</v>
      </c>
      <c r="W4299">
        <v>0.4015357</v>
      </c>
      <c r="X4299">
        <v>0.90351890000000001</v>
      </c>
      <c r="Y4299">
        <v>-0.27174320000000002</v>
      </c>
      <c r="Z4299">
        <v>5.8762090000000003E-2</v>
      </c>
      <c r="AA4299">
        <v>0.96057420000000004</v>
      </c>
      <c r="AB4299">
        <v>41</v>
      </c>
      <c r="AC4299">
        <v>2.5009000000000001</v>
      </c>
      <c r="AD4299">
        <v>-1.1095010752409999</v>
      </c>
      <c r="AE4299">
        <v>-15.417999999999999</v>
      </c>
      <c r="AF4299">
        <v>-4.3404998248362299</v>
      </c>
      <c r="AG4299">
        <v>-1.1095010752409999</v>
      </c>
      <c r="AH4299">
        <v>14.9226609507274</v>
      </c>
      <c r="AI4299">
        <v>94.083498853866303</v>
      </c>
      <c r="AJ4299">
        <v>106.21793552177699</v>
      </c>
      <c r="AK4299">
        <v>15.5806527852888</v>
      </c>
      <c r="AL4299">
        <v>66.325784062882306</v>
      </c>
      <c r="AM4299">
        <v>99.410240441206895</v>
      </c>
      <c r="AN4299">
        <v>1.0000000686689701</v>
      </c>
    </row>
    <row r="4300" spans="1:40" x14ac:dyDescent="0.25">
      <c r="A4300" t="str">
        <f>"20190304164731542"</f>
        <v>20190304164731542</v>
      </c>
      <c r="B4300" t="str">
        <f>"1551689251533283"</f>
        <v>1551689251533283</v>
      </c>
      <c r="C4300" t="s">
        <v>40</v>
      </c>
      <c r="D4300">
        <v>4.8126369999999996</v>
      </c>
      <c r="E4300">
        <v>0.48131040000000003</v>
      </c>
      <c r="F4300" t="s">
        <v>42</v>
      </c>
      <c r="G4300">
        <v>-417.26350000000002</v>
      </c>
      <c r="H4300" s="1">
        <v>-3.0762709999999999E-6</v>
      </c>
      <c r="I4300">
        <v>75.672139999999999</v>
      </c>
      <c r="J4300">
        <v>-420.51369999999997</v>
      </c>
      <c r="K4300">
        <v>1.109729</v>
      </c>
      <c r="L4300">
        <v>93.338620000000006</v>
      </c>
      <c r="M4300">
        <v>-0.12167219999999999</v>
      </c>
      <c r="N4300">
        <v>-8.5415149999999995E-3</v>
      </c>
      <c r="O4300">
        <v>-0.99253360000000002</v>
      </c>
      <c r="P4300">
        <v>3.9302700000000003E-2</v>
      </c>
      <c r="Q4300">
        <v>0.39163120000000001</v>
      </c>
      <c r="R4300">
        <v>-0.91928270000000001</v>
      </c>
      <c r="S4300">
        <v>0.59149169999999995</v>
      </c>
      <c r="T4300">
        <v>-0.20477999999999999</v>
      </c>
      <c r="U4300">
        <v>-3.3291930000000001</v>
      </c>
      <c r="V4300">
        <v>-0.15050729999999901</v>
      </c>
      <c r="W4300">
        <v>0.3995049</v>
      </c>
      <c r="X4300">
        <v>0.90429159999999997</v>
      </c>
      <c r="Y4300">
        <v>-0.29311579999999998</v>
      </c>
      <c r="Z4300">
        <v>5.0279900000000002E-2</v>
      </c>
      <c r="AA4300">
        <v>0.95475390000000004</v>
      </c>
      <c r="AB4300">
        <v>41</v>
      </c>
      <c r="AC4300">
        <v>3.2501999999999498</v>
      </c>
      <c r="AD4300">
        <v>-1.1097320762709999</v>
      </c>
      <c r="AE4300">
        <v>-17.6664799999999</v>
      </c>
      <c r="AF4300">
        <v>-5.3552093695645002</v>
      </c>
      <c r="AG4300">
        <v>-1.1097320762709999</v>
      </c>
      <c r="AH4300">
        <v>17.0745736947685</v>
      </c>
      <c r="AI4300">
        <v>93.548633785492299</v>
      </c>
      <c r="AJ4300">
        <v>107.413328285403</v>
      </c>
      <c r="AK4300">
        <v>17.929050156967499</v>
      </c>
      <c r="AL4300">
        <v>66.452767843543896</v>
      </c>
      <c r="AM4300">
        <v>99.449501121449899</v>
      </c>
      <c r="AN4300">
        <v>0.99999995515392903</v>
      </c>
    </row>
    <row r="4301" spans="1:40" x14ac:dyDescent="0.25">
      <c r="A4301" t="str">
        <f>"20190304164731565"</f>
        <v>20190304164731565</v>
      </c>
      <c r="B4301" t="str">
        <f>"1551689251553779"</f>
        <v>1551689251553779</v>
      </c>
      <c r="C4301" t="s">
        <v>40</v>
      </c>
      <c r="D4301">
        <v>4.5294420000000004</v>
      </c>
      <c r="E4301">
        <v>0.54050529999999997</v>
      </c>
      <c r="F4301" t="s">
        <v>42</v>
      </c>
      <c r="G4301">
        <v>-419.0419</v>
      </c>
      <c r="H4301" s="1">
        <v>-4.3247390000000003E-6</v>
      </c>
      <c r="I4301">
        <v>79.317679999999996</v>
      </c>
      <c r="J4301">
        <v>-420.56360000000001</v>
      </c>
      <c r="K4301">
        <v>1.1099969999999999</v>
      </c>
      <c r="L4301">
        <v>92.928439999999995</v>
      </c>
      <c r="M4301">
        <v>-0.1211338</v>
      </c>
      <c r="N4301">
        <v>-8.5656340000000008E-3</v>
      </c>
      <c r="O4301">
        <v>-0.99259929999999996</v>
      </c>
      <c r="P4301">
        <v>3.9345650000000003E-2</v>
      </c>
      <c r="Q4301">
        <v>0.3906193</v>
      </c>
      <c r="R4301">
        <v>-0.91971119999999995</v>
      </c>
      <c r="S4301">
        <v>0.35287479999999999</v>
      </c>
      <c r="T4301">
        <v>-0.26606980000000002</v>
      </c>
      <c r="U4301">
        <v>-3.3616640000000002</v>
      </c>
      <c r="V4301">
        <v>-0.1503708</v>
      </c>
      <c r="W4301">
        <v>0.39842100000000003</v>
      </c>
      <c r="X4301">
        <v>0.90479240000000005</v>
      </c>
      <c r="Y4301">
        <v>-0.22377079999999999</v>
      </c>
      <c r="Z4301">
        <v>6.822193E-2</v>
      </c>
      <c r="AA4301">
        <v>0.97225119999999998</v>
      </c>
      <c r="AB4301">
        <v>41</v>
      </c>
      <c r="AC4301">
        <v>1.5217000000000001</v>
      </c>
      <c r="AD4301">
        <v>-1.1100013247389999</v>
      </c>
      <c r="AE4301">
        <v>-13.610760000000001</v>
      </c>
      <c r="AF4301">
        <v>-3.1386598229094602</v>
      </c>
      <c r="AG4301">
        <v>-1.1100013247389999</v>
      </c>
      <c r="AH4301">
        <v>13.2392234200735</v>
      </c>
      <c r="AI4301">
        <v>94.663898745930297</v>
      </c>
      <c r="AJ4301">
        <v>103.337046620031</v>
      </c>
      <c r="AK4301">
        <v>13.6513854678377</v>
      </c>
      <c r="AL4301">
        <v>66.520494864833395</v>
      </c>
      <c r="AM4301">
        <v>99.435953802976798</v>
      </c>
      <c r="AN4301">
        <v>0.99999997891569903</v>
      </c>
    </row>
    <row r="4302" spans="1:40" x14ac:dyDescent="0.25">
      <c r="A4302" t="str">
        <f>"20190304164731587"</f>
        <v>20190304164731587</v>
      </c>
      <c r="B4302" t="str">
        <f>"1551689251583060"</f>
        <v>1551689251583060</v>
      </c>
      <c r="C4302" t="s">
        <v>40</v>
      </c>
      <c r="D4302">
        <v>4.4416960000000003</v>
      </c>
      <c r="E4302">
        <v>0.54800669999999996</v>
      </c>
      <c r="F4302" t="s">
        <v>42</v>
      </c>
      <c r="G4302">
        <v>-420.87950000000001</v>
      </c>
      <c r="H4302" s="1">
        <v>-1.7966399999999999E-6</v>
      </c>
      <c r="I4302">
        <v>83.2316</v>
      </c>
      <c r="J4302">
        <v>-420.61410000000001</v>
      </c>
      <c r="K4302">
        <v>1.1102700000000001</v>
      </c>
      <c r="L4302">
        <v>92.509829999999994</v>
      </c>
      <c r="M4302">
        <v>-0.1203342</v>
      </c>
      <c r="N4302">
        <v>-8.5897860000000003E-3</v>
      </c>
      <c r="O4302">
        <v>-0.99269649999999998</v>
      </c>
      <c r="P4302">
        <v>4.0639050000000003E-2</v>
      </c>
      <c r="Q4302">
        <v>0.39042090000000002</v>
      </c>
      <c r="R4302">
        <v>-0.91973939999999998</v>
      </c>
      <c r="S4302">
        <v>-0.1118774</v>
      </c>
      <c r="T4302">
        <v>-0.39304729999999999</v>
      </c>
      <c r="U4302">
        <v>-3.433624</v>
      </c>
      <c r="V4302">
        <v>-0.15119879999999999</v>
      </c>
      <c r="W4302">
        <v>0.39814110000000003</v>
      </c>
      <c r="X4302">
        <v>0.90477759999999996</v>
      </c>
      <c r="Y4302">
        <v>-8.8074769999999997E-2</v>
      </c>
      <c r="Z4302">
        <v>0.1037199</v>
      </c>
      <c r="AA4302">
        <v>0.9906992</v>
      </c>
      <c r="AB4302">
        <v>41</v>
      </c>
      <c r="AC4302">
        <v>-0.26539999999999903</v>
      </c>
      <c r="AD4302">
        <v>-1.11027179664</v>
      </c>
      <c r="AE4302">
        <v>-9.2782300000000006</v>
      </c>
      <c r="AF4302">
        <v>-0.84102479287777898</v>
      </c>
      <c r="AG4302">
        <v>-1.11027179664</v>
      </c>
      <c r="AH4302">
        <v>9.1123641097368502</v>
      </c>
      <c r="AI4302">
        <v>96.917696153100593</v>
      </c>
      <c r="AJ4302">
        <v>95.273169569094094</v>
      </c>
      <c r="AK4302">
        <v>9.2181997067252599</v>
      </c>
      <c r="AL4302">
        <v>66.537977994959306</v>
      </c>
      <c r="AM4302">
        <v>99.487122229695998</v>
      </c>
      <c r="AN4302">
        <v>0.99999995904620398</v>
      </c>
    </row>
    <row r="4303" spans="1:40" x14ac:dyDescent="0.25">
      <c r="A4303" t="str">
        <f>"20190304164731612"</f>
        <v>20190304164731612</v>
      </c>
      <c r="B4303" t="str">
        <f>"1551689251603559"</f>
        <v>1551689251603559</v>
      </c>
      <c r="C4303" t="s">
        <v>40</v>
      </c>
      <c r="D4303">
        <v>4.3116479999999999</v>
      </c>
      <c r="E4303">
        <v>0.5491045</v>
      </c>
      <c r="F4303" t="s">
        <v>41</v>
      </c>
      <c r="G4303">
        <v>-420.65390000000002</v>
      </c>
      <c r="H4303">
        <v>1.0034989999999999</v>
      </c>
      <c r="I4303">
        <v>91.662660000000002</v>
      </c>
      <c r="J4303">
        <v>-420.66699999999997</v>
      </c>
      <c r="K4303">
        <v>1.1105689999999999</v>
      </c>
      <c r="L4303">
        <v>92.066559999999996</v>
      </c>
      <c r="M4303">
        <v>-0.11922770000000001</v>
      </c>
      <c r="N4303">
        <v>-8.6173510000000005E-3</v>
      </c>
      <c r="O4303">
        <v>-0.99282969999999904</v>
      </c>
      <c r="P4303">
        <v>4.2272789999999998E-2</v>
      </c>
      <c r="Q4303">
        <v>0.38991179999999998</v>
      </c>
      <c r="R4303">
        <v>-0.91988179999999997</v>
      </c>
      <c r="S4303">
        <v>-0.16226199999999999</v>
      </c>
      <c r="T4303">
        <v>-0.43525950000000002</v>
      </c>
      <c r="U4303">
        <v>-3.453735</v>
      </c>
      <c r="V4303">
        <v>-0.1521111</v>
      </c>
      <c r="W4303">
        <v>0.39754830000000002</v>
      </c>
      <c r="X4303">
        <v>0.90488539999999995</v>
      </c>
      <c r="Y4303">
        <v>-7.2775790000000007E-2</v>
      </c>
      <c r="Z4303">
        <v>0.1149414</v>
      </c>
      <c r="AA4303">
        <v>0.99070290000000005</v>
      </c>
      <c r="AB4303">
        <v>41</v>
      </c>
      <c r="AC4303">
        <v>1.3099999999951701E-2</v>
      </c>
      <c r="AD4303">
        <v>-0.10707</v>
      </c>
      <c r="AE4303">
        <v>-0.40389999999999199</v>
      </c>
      <c r="AF4303">
        <v>-5.7152356857702598E-2</v>
      </c>
      <c r="AG4303">
        <v>-0.10707</v>
      </c>
      <c r="AH4303">
        <v>0.37325467510052501</v>
      </c>
      <c r="AI4303">
        <v>105.83070405522299</v>
      </c>
      <c r="AJ4303">
        <v>98.705454416996105</v>
      </c>
      <c r="AK4303">
        <v>0.39249131108699498</v>
      </c>
      <c r="AL4303">
        <v>66.575000232693895</v>
      </c>
      <c r="AM4303">
        <v>99.542199613979804</v>
      </c>
      <c r="AN4303">
        <v>1.00000001235463</v>
      </c>
    </row>
    <row r="4304" spans="1:40" x14ac:dyDescent="0.25">
      <c r="A4304" t="str">
        <f>"20190304164731635"</f>
        <v>20190304164731635</v>
      </c>
      <c r="B4304" t="str">
        <f>"1551689251623076"</f>
        <v>1551689251623076</v>
      </c>
      <c r="C4304" t="s">
        <v>40</v>
      </c>
      <c r="D4304">
        <v>4.3178010000000002</v>
      </c>
      <c r="E4304">
        <v>0.54929749999999999</v>
      </c>
      <c r="F4304" t="s">
        <v>42</v>
      </c>
      <c r="G4304">
        <v>-421.1003</v>
      </c>
      <c r="H4304" s="1">
        <v>-1.7848160000000001E-6</v>
      </c>
      <c r="I4304">
        <v>83.06711</v>
      </c>
      <c r="J4304">
        <v>-420.71589999999998</v>
      </c>
      <c r="K4304">
        <v>1.110835</v>
      </c>
      <c r="L4304">
        <v>91.651730000000001</v>
      </c>
      <c r="M4304">
        <v>-0.11795269999999999</v>
      </c>
      <c r="N4304">
        <v>-8.6462109999999991E-3</v>
      </c>
      <c r="O4304">
        <v>-0.99298149999999996</v>
      </c>
      <c r="P4304">
        <v>4.4481189999999997E-2</v>
      </c>
      <c r="Q4304">
        <v>0.39021479999999997</v>
      </c>
      <c r="R4304">
        <v>-0.91964849999999998</v>
      </c>
      <c r="S4304">
        <v>-0.16607669999999999</v>
      </c>
      <c r="T4304">
        <v>-0.42566340000000003</v>
      </c>
      <c r="U4304">
        <v>-3.449341</v>
      </c>
      <c r="V4304">
        <v>-0.15336920000000001</v>
      </c>
      <c r="W4304">
        <v>0.39777449999999998</v>
      </c>
      <c r="X4304">
        <v>0.90457359999999998</v>
      </c>
      <c r="Y4304">
        <v>-7.0330699999999996E-2</v>
      </c>
      <c r="Z4304">
        <v>0.1124161</v>
      </c>
      <c r="AA4304">
        <v>0.99116910000000003</v>
      </c>
      <c r="AB4304">
        <v>41</v>
      </c>
      <c r="AC4304">
        <v>-0.384400000000027</v>
      </c>
      <c r="AD4304">
        <v>-1.1108367848159999</v>
      </c>
      <c r="AE4304">
        <v>-8.5846199999999993</v>
      </c>
      <c r="AF4304">
        <v>-0.62053128280384595</v>
      </c>
      <c r="AG4304">
        <v>-1.1108367848159999</v>
      </c>
      <c r="AH4304">
        <v>8.4291754099230491</v>
      </c>
      <c r="AI4304">
        <v>97.487417639771394</v>
      </c>
      <c r="AJ4304">
        <v>94.210352993919599</v>
      </c>
      <c r="AK4304">
        <v>8.5246709922841006</v>
      </c>
      <c r="AL4304">
        <v>66.560875521151104</v>
      </c>
      <c r="AM4304">
        <v>99.622907354216593</v>
      </c>
      <c r="AN4304">
        <v>1.00000003108792</v>
      </c>
    </row>
    <row r="4305" spans="1:40" x14ac:dyDescent="0.25">
      <c r="A4305" t="str">
        <f>"20190304164731656"</f>
        <v>20190304164731656</v>
      </c>
      <c r="B4305" t="str">
        <f>"1551689251643571"</f>
        <v>1551689251643571</v>
      </c>
      <c r="C4305" t="s">
        <v>40</v>
      </c>
      <c r="D4305">
        <v>4.3746119999999999</v>
      </c>
      <c r="E4305">
        <v>0.54962999999999995</v>
      </c>
      <c r="F4305" t="s">
        <v>41</v>
      </c>
      <c r="G4305">
        <v>-420.76600000000002</v>
      </c>
      <c r="H4305">
        <v>0.98325549999999995</v>
      </c>
      <c r="I4305">
        <v>90.581530000000001</v>
      </c>
      <c r="J4305">
        <v>-420.76179999999999</v>
      </c>
      <c r="K4305">
        <v>1.111083</v>
      </c>
      <c r="L4305">
        <v>91.256259999999997</v>
      </c>
      <c r="M4305">
        <v>-0.116531</v>
      </c>
      <c r="N4305">
        <v>-8.6745889999999999E-3</v>
      </c>
      <c r="O4305">
        <v>-0.99314930000000001</v>
      </c>
      <c r="P4305">
        <v>4.7175050000000003E-2</v>
      </c>
      <c r="Q4305">
        <v>0.3897429</v>
      </c>
      <c r="R4305">
        <v>-0.91971460000000005</v>
      </c>
      <c r="S4305">
        <v>-0.16082759999999999</v>
      </c>
      <c r="T4305">
        <v>-0.41064859999999997</v>
      </c>
      <c r="U4305">
        <v>-3.4441220000000001</v>
      </c>
      <c r="V4305">
        <v>-0.15498190000000001</v>
      </c>
      <c r="W4305">
        <v>0.39723540000000002</v>
      </c>
      <c r="X4305">
        <v>0.9045356</v>
      </c>
      <c r="Y4305">
        <v>-7.0317779999999996E-2</v>
      </c>
      <c r="Z4305">
        <v>0.10838399999999999</v>
      </c>
      <c r="AA4305">
        <v>0.99161909999999998</v>
      </c>
      <c r="AB4305">
        <v>41</v>
      </c>
      <c r="AC4305">
        <v>-4.1999999999688901E-3</v>
      </c>
      <c r="AD4305">
        <v>-0.12782749999999901</v>
      </c>
      <c r="AE4305">
        <v>-0.67472999999999606</v>
      </c>
      <c r="AF4305">
        <v>-7.1878806535509501E-2</v>
      </c>
      <c r="AG4305">
        <v>-0.12782749999999901</v>
      </c>
      <c r="AH4305">
        <v>0.64738755758306998</v>
      </c>
      <c r="AI4305">
        <v>101.102934037681</v>
      </c>
      <c r="AJ4305">
        <v>96.335545629239206</v>
      </c>
      <c r="AK4305">
        <v>0.66378993838306399</v>
      </c>
      <c r="AL4305">
        <v>66.594536693147305</v>
      </c>
      <c r="AM4305">
        <v>99.722572916724801</v>
      </c>
      <c r="AN4305">
        <v>1.00000000200406</v>
      </c>
    </row>
    <row r="4306" spans="1:40" x14ac:dyDescent="0.25">
      <c r="A4306" t="str">
        <f>"20190304164731678"</f>
        <v>20190304164731678</v>
      </c>
      <c r="B4306" t="str">
        <f>"1551689251673828"</f>
        <v>1551689251673828</v>
      </c>
      <c r="C4306" t="s">
        <v>40</v>
      </c>
      <c r="D4306">
        <v>4.8822239999999999</v>
      </c>
      <c r="E4306">
        <v>0.54979089999999997</v>
      </c>
      <c r="F4306" t="s">
        <v>41</v>
      </c>
      <c r="G4306">
        <v>-420.80869999999999</v>
      </c>
      <c r="H4306">
        <v>0.98524990000000001</v>
      </c>
      <c r="I4306">
        <v>90.213520000000003</v>
      </c>
      <c r="J4306">
        <v>-420.80790000000002</v>
      </c>
      <c r="K4306">
        <v>1.1112930000000001</v>
      </c>
      <c r="L4306">
        <v>90.852869999999996</v>
      </c>
      <c r="M4306">
        <v>-0.1149247</v>
      </c>
      <c r="N4306">
        <v>-8.7023699999999992E-3</v>
      </c>
      <c r="O4306">
        <v>-0.99333640000000001</v>
      </c>
      <c r="P4306">
        <v>4.9041319999999999E-2</v>
      </c>
      <c r="Q4306">
        <v>0.38924239999999999</v>
      </c>
      <c r="R4306">
        <v>-0.91982920000000001</v>
      </c>
      <c r="S4306">
        <v>-0.15380859999999999</v>
      </c>
      <c r="T4306">
        <v>-0.41602030000000001</v>
      </c>
      <c r="U4306">
        <v>-3.4460449999999998</v>
      </c>
      <c r="V4306">
        <v>-0.15558810000000001</v>
      </c>
      <c r="W4306">
        <v>0.3966787</v>
      </c>
      <c r="X4306">
        <v>0.90467580000000003</v>
      </c>
      <c r="Y4306">
        <v>-7.0752049999999997E-2</v>
      </c>
      <c r="Z4306">
        <v>0.1098369</v>
      </c>
      <c r="AA4306">
        <v>0.99142830000000004</v>
      </c>
      <c r="AB4306">
        <v>41</v>
      </c>
      <c r="AC4306">
        <v>-7.9999999996971296E-4</v>
      </c>
      <c r="AD4306">
        <v>-0.12604309999999999</v>
      </c>
      <c r="AE4306">
        <v>-0.63935000000000697</v>
      </c>
      <c r="AF4306">
        <v>-6.9965932447126206E-2</v>
      </c>
      <c r="AG4306">
        <v>-0.12604309999999999</v>
      </c>
      <c r="AH4306">
        <v>0.61144166245994702</v>
      </c>
      <c r="AI4306">
        <v>101.574369527081</v>
      </c>
      <c r="AJ4306">
        <v>96.527838332109198</v>
      </c>
      <c r="AK4306">
        <v>0.628206177423137</v>
      </c>
      <c r="AL4306">
        <v>66.629287909730394</v>
      </c>
      <c r="AM4306">
        <v>99.758388590314496</v>
      </c>
      <c r="AN4306">
        <v>0.99999997550046904</v>
      </c>
    </row>
    <row r="4307" spans="1:40" x14ac:dyDescent="0.25">
      <c r="A4307" t="str">
        <f>"20190304164731701"</f>
        <v>20190304164731701</v>
      </c>
      <c r="B4307" t="str">
        <f>"1551689251693348"</f>
        <v>1551689251693348</v>
      </c>
      <c r="C4307" t="s">
        <v>40</v>
      </c>
      <c r="D4307">
        <v>4.3917929999999998</v>
      </c>
      <c r="E4307">
        <v>0.54988649999999994</v>
      </c>
      <c r="F4307" t="s">
        <v>41</v>
      </c>
      <c r="G4307">
        <v>-420.85180000000003</v>
      </c>
      <c r="H4307">
        <v>0.99128590000000005</v>
      </c>
      <c r="I4307">
        <v>89.842219999999998</v>
      </c>
      <c r="J4307">
        <v>-420.85520000000002</v>
      </c>
      <c r="K4307">
        <v>1.1114930000000001</v>
      </c>
      <c r="L4307">
        <v>90.43253</v>
      </c>
      <c r="M4307">
        <v>-0.1131066</v>
      </c>
      <c r="N4307">
        <v>-8.7302919999999902E-3</v>
      </c>
      <c r="O4307">
        <v>-0.99354450000000005</v>
      </c>
      <c r="P4307">
        <v>5.0478160000000001E-2</v>
      </c>
      <c r="Q4307">
        <v>0.38872970000000001</v>
      </c>
      <c r="R4307">
        <v>-0.9199678</v>
      </c>
      <c r="S4307">
        <v>-0.14840699999999901</v>
      </c>
      <c r="T4307">
        <v>-0.40892980000000001</v>
      </c>
      <c r="U4307">
        <v>-3.4424440000000001</v>
      </c>
      <c r="V4307">
        <v>-0.1555609</v>
      </c>
      <c r="W4307">
        <v>0.39611879999999999</v>
      </c>
      <c r="X4307">
        <v>0.9049258</v>
      </c>
      <c r="Y4307">
        <v>-7.0424879999999995E-2</v>
      </c>
      <c r="Z4307">
        <v>0.1079775</v>
      </c>
      <c r="AA4307">
        <v>0.99165579999999998</v>
      </c>
      <c r="AB4307">
        <v>41</v>
      </c>
      <c r="AC4307">
        <v>3.3999999999991802E-3</v>
      </c>
      <c r="AD4307">
        <v>-0.1202071</v>
      </c>
      <c r="AE4307">
        <v>-0.590310000000002</v>
      </c>
      <c r="AF4307">
        <v>-6.7355750717107601E-2</v>
      </c>
      <c r="AG4307">
        <v>-0.1202071</v>
      </c>
      <c r="AH4307">
        <v>0.56280030715095597</v>
      </c>
      <c r="AI4307">
        <v>101.973548716664</v>
      </c>
      <c r="AJ4307">
        <v>96.824679276545197</v>
      </c>
      <c r="AK4307">
        <v>0.57942275565797896</v>
      </c>
      <c r="AL4307">
        <v>66.664230973904594</v>
      </c>
      <c r="AM4307">
        <v>99.754071753672505</v>
      </c>
      <c r="AN4307">
        <v>1.00000000041394</v>
      </c>
    </row>
    <row r="4308" spans="1:40" x14ac:dyDescent="0.25">
      <c r="A4308" t="str">
        <f>"20190304164731722"</f>
        <v>20190304164731722</v>
      </c>
      <c r="B4308" t="str">
        <f>"1551689251713844"</f>
        <v>1551689251713844</v>
      </c>
      <c r="C4308" t="s">
        <v>40</v>
      </c>
      <c r="D4308">
        <v>4.4073560000000001</v>
      </c>
      <c r="E4308">
        <v>0.54992099999999999</v>
      </c>
      <c r="F4308" t="s">
        <v>41</v>
      </c>
      <c r="G4308">
        <v>-420.89569999999998</v>
      </c>
      <c r="H4308">
        <v>0.99836349999999996</v>
      </c>
      <c r="I4308">
        <v>89.462789999999998</v>
      </c>
      <c r="J4308">
        <v>-420.89980000000003</v>
      </c>
      <c r="K4308">
        <v>1.1116740000000001</v>
      </c>
      <c r="L4308">
        <v>90.027100000000004</v>
      </c>
      <c r="M4308">
        <v>-0.1112336</v>
      </c>
      <c r="N4308">
        <v>-8.7592069999999998E-3</v>
      </c>
      <c r="O4308">
        <v>-0.99375590000000003</v>
      </c>
      <c r="P4308">
        <v>5.1330889999999997E-2</v>
      </c>
      <c r="Q4308">
        <v>0.38891700000000001</v>
      </c>
      <c r="R4308">
        <v>-0.91984169999999998</v>
      </c>
      <c r="S4308">
        <v>-0.14355470000000001</v>
      </c>
      <c r="T4308">
        <v>-0.40114100000000003</v>
      </c>
      <c r="U4308">
        <v>-3.4383539999999999</v>
      </c>
      <c r="V4308">
        <v>-0.1548495</v>
      </c>
      <c r="W4308">
        <v>0.39627030000000002</v>
      </c>
      <c r="X4308">
        <v>0.90498149999999999</v>
      </c>
      <c r="Y4308">
        <v>-6.9882310000000003E-2</v>
      </c>
      <c r="Z4308">
        <v>0.1059305</v>
      </c>
      <c r="AA4308">
        <v>0.99191490000000004</v>
      </c>
      <c r="AB4308">
        <v>42</v>
      </c>
      <c r="AC4308">
        <v>4.1000000000508399E-3</v>
      </c>
      <c r="AD4308">
        <v>-0.113310499999999</v>
      </c>
      <c r="AE4308">
        <v>-0.56431000000000597</v>
      </c>
      <c r="AF4308">
        <v>-6.4256587035191895E-2</v>
      </c>
      <c r="AG4308">
        <v>-0.113310499999999</v>
      </c>
      <c r="AH4308">
        <v>0.53863584562376099</v>
      </c>
      <c r="AI4308">
        <v>101.79855633042401</v>
      </c>
      <c r="AJ4308">
        <v>96.802952482339705</v>
      </c>
      <c r="AK4308">
        <v>0.55416311008446395</v>
      </c>
      <c r="AL4308">
        <v>66.654777419317398</v>
      </c>
      <c r="AM4308">
        <v>99.709729993205301</v>
      </c>
      <c r="AN4308">
        <v>1.00000001682729</v>
      </c>
    </row>
    <row r="4309" spans="1:40" x14ac:dyDescent="0.25">
      <c r="A4309" t="str">
        <f>"20190304164731745"</f>
        <v>20190304164731745</v>
      </c>
      <c r="B4309" t="str">
        <f>"1551689251733364"</f>
        <v>1551689251733364</v>
      </c>
      <c r="C4309" t="s">
        <v>40</v>
      </c>
      <c r="D4309">
        <v>4.4119729999999997</v>
      </c>
      <c r="E4309">
        <v>0.54988380000000003</v>
      </c>
      <c r="F4309" t="s">
        <v>42</v>
      </c>
      <c r="G4309">
        <v>-421.29640000000001</v>
      </c>
      <c r="H4309" s="1">
        <v>-6.4079400000000001E-7</v>
      </c>
      <c r="I4309">
        <v>80.278779999999998</v>
      </c>
      <c r="J4309">
        <v>-420.94319999999999</v>
      </c>
      <c r="K4309">
        <v>1.1118209999999999</v>
      </c>
      <c r="L4309">
        <v>89.627380000000002</v>
      </c>
      <c r="M4309">
        <v>-0.1092887</v>
      </c>
      <c r="N4309">
        <v>-8.7893580000000006E-3</v>
      </c>
      <c r="O4309">
        <v>-0.9939713</v>
      </c>
      <c r="P4309">
        <v>5.2048039999999997E-2</v>
      </c>
      <c r="Q4309">
        <v>0.38963619999999999</v>
      </c>
      <c r="R4309">
        <v>-0.91949700000000001</v>
      </c>
      <c r="S4309">
        <v>-0.13970949999999999</v>
      </c>
      <c r="T4309">
        <v>-0.39170129999999997</v>
      </c>
      <c r="U4309">
        <v>-3.4348450000000001</v>
      </c>
      <c r="V4309">
        <v>-0.15389920000000001</v>
      </c>
      <c r="W4309">
        <v>0.39696189999999998</v>
      </c>
      <c r="X4309">
        <v>0.90484050000000005</v>
      </c>
      <c r="Y4309">
        <v>-6.8986759999999994E-2</v>
      </c>
      <c r="Z4309">
        <v>0.1033903</v>
      </c>
      <c r="AA4309">
        <v>0.99224559999999995</v>
      </c>
      <c r="AB4309">
        <v>42</v>
      </c>
      <c r="AC4309">
        <v>-0.353200000000015</v>
      </c>
      <c r="AD4309">
        <v>-1.111821640794</v>
      </c>
      <c r="AE4309">
        <v>-9.3485999999999994</v>
      </c>
      <c r="AF4309">
        <v>-0.66131115317790601</v>
      </c>
      <c r="AG4309">
        <v>-1.111821640794</v>
      </c>
      <c r="AH4309">
        <v>9.2012419706857091</v>
      </c>
      <c r="AI4309">
        <v>96.872310865756901</v>
      </c>
      <c r="AJ4309">
        <v>94.110890442198297</v>
      </c>
      <c r="AK4309">
        <v>9.29173469301419</v>
      </c>
      <c r="AL4309">
        <v>66.611611507195605</v>
      </c>
      <c r="AM4309">
        <v>99.652741891398307</v>
      </c>
      <c r="AN4309">
        <v>1.00000002212624</v>
      </c>
    </row>
    <row r="4310" spans="1:40" x14ac:dyDescent="0.25">
      <c r="A4310" t="str">
        <f>"20190304164731766"</f>
        <v>20190304164731766</v>
      </c>
      <c r="B4310" t="str">
        <f>"1551689251763620"</f>
        <v>1551689251763620</v>
      </c>
      <c r="C4310" t="s">
        <v>40</v>
      </c>
      <c r="D4310">
        <v>4.3951880000000001</v>
      </c>
      <c r="E4310">
        <v>0.54996199999999995</v>
      </c>
      <c r="F4310" t="s">
        <v>42</v>
      </c>
      <c r="G4310">
        <v>-421.33890000000002</v>
      </c>
      <c r="H4310" s="1">
        <v>-3.8307959999999999E-7</v>
      </c>
      <c r="I4310">
        <v>79.651650000000004</v>
      </c>
      <c r="J4310">
        <v>-420.9862</v>
      </c>
      <c r="K4310">
        <v>1.1119680000000001</v>
      </c>
      <c r="L4310">
        <v>89.22287</v>
      </c>
      <c r="M4310">
        <v>-0.107242</v>
      </c>
      <c r="N4310">
        <v>-8.8198459999999992E-3</v>
      </c>
      <c r="O4310">
        <v>-0.99419369999999996</v>
      </c>
      <c r="P4310">
        <v>5.356818E-2</v>
      </c>
      <c r="Q4310">
        <v>0.38987899999999998</v>
      </c>
      <c r="R4310">
        <v>-0.91930650000000003</v>
      </c>
      <c r="S4310">
        <v>-0.13613889999999901</v>
      </c>
      <c r="T4310">
        <v>-0.38255719999999999</v>
      </c>
      <c r="U4310">
        <v>-3.4324650000000001</v>
      </c>
      <c r="V4310">
        <v>-0.15365899999999999</v>
      </c>
      <c r="W4310">
        <v>0.39718029999999999</v>
      </c>
      <c r="X4310">
        <v>0.90478550000000002</v>
      </c>
      <c r="Y4310">
        <v>-6.7926299999999995E-2</v>
      </c>
      <c r="Z4310">
        <v>0.10088999999999999</v>
      </c>
      <c r="AA4310">
        <v>0.99257609999999996</v>
      </c>
      <c r="AB4310">
        <v>42</v>
      </c>
      <c r="AC4310">
        <v>-0.35270000000002699</v>
      </c>
      <c r="AD4310">
        <v>-1.1119683830796001</v>
      </c>
      <c r="AE4310">
        <v>-9.5712199999999896</v>
      </c>
      <c r="AF4310">
        <v>-0.66682285514023099</v>
      </c>
      <c r="AG4310">
        <v>-1.1119683830796001</v>
      </c>
      <c r="AH4310">
        <v>9.4267791662613796</v>
      </c>
      <c r="AI4310">
        <v>96.710819623610405</v>
      </c>
      <c r="AJ4310">
        <v>94.046196562797405</v>
      </c>
      <c r="AK4310">
        <v>9.5155289844845505</v>
      </c>
      <c r="AL4310">
        <v>66.597977647069996</v>
      </c>
      <c r="AM4310">
        <v>99.63853394905</v>
      </c>
      <c r="AN4310">
        <v>1.00000003999966</v>
      </c>
    </row>
    <row r="4311" spans="1:40" x14ac:dyDescent="0.25">
      <c r="A4311" t="str">
        <f>"20190304164731788"</f>
        <v>20190304164731788</v>
      </c>
      <c r="B4311" t="str">
        <f>"1551689251783139"</f>
        <v>1551689251783139</v>
      </c>
      <c r="C4311" t="s">
        <v>40</v>
      </c>
      <c r="D4311">
        <v>4.3495119999999998</v>
      </c>
      <c r="E4311">
        <v>0.55008950000000001</v>
      </c>
      <c r="F4311" t="s">
        <v>42</v>
      </c>
      <c r="G4311">
        <v>-421.36430000000001</v>
      </c>
      <c r="H4311" s="1">
        <v>-4.4659440000000002E-6</v>
      </c>
      <c r="I4311">
        <v>79.399000000000001</v>
      </c>
      <c r="J4311">
        <v>-421.02949999999998</v>
      </c>
      <c r="K4311">
        <v>1.1121080000000001</v>
      </c>
      <c r="L4311">
        <v>88.806669999999997</v>
      </c>
      <c r="M4311">
        <v>-0.1050749</v>
      </c>
      <c r="N4311">
        <v>-8.8499289999999994E-3</v>
      </c>
      <c r="O4311">
        <v>-0.99442509999999995</v>
      </c>
      <c r="P4311">
        <v>5.5365860000000003E-2</v>
      </c>
      <c r="Q4311">
        <v>0.39068360000000002</v>
      </c>
      <c r="R4311">
        <v>-0.91885870000000003</v>
      </c>
      <c r="S4311">
        <v>-0.1322632</v>
      </c>
      <c r="T4311">
        <v>-0.38892130000000003</v>
      </c>
      <c r="U4311">
        <v>-3.4359739999999999</v>
      </c>
      <c r="V4311">
        <v>-0.15354970000000001</v>
      </c>
      <c r="W4311">
        <v>0.39796169999999997</v>
      </c>
      <c r="X4311">
        <v>0.90446059999999995</v>
      </c>
      <c r="Y4311">
        <v>-6.6916379999999998E-2</v>
      </c>
      <c r="Z4311">
        <v>0.1025948</v>
      </c>
      <c r="AA4311">
        <v>0.99246990000000002</v>
      </c>
      <c r="AB4311">
        <v>42</v>
      </c>
      <c r="AC4311">
        <v>-0.33480000000002902</v>
      </c>
      <c r="AD4311">
        <v>-1.112112465944</v>
      </c>
      <c r="AE4311">
        <v>-9.4076699999999907</v>
      </c>
      <c r="AF4311">
        <v>-0.64657791399580899</v>
      </c>
      <c r="AG4311">
        <v>-1.112112465944</v>
      </c>
      <c r="AH4311">
        <v>9.26150809876167</v>
      </c>
      <c r="AI4311">
        <v>96.830766070692903</v>
      </c>
      <c r="AJ4311">
        <v>93.993536894595294</v>
      </c>
      <c r="AK4311">
        <v>9.3504218834875701</v>
      </c>
      <c r="AL4311">
        <v>66.549183830099096</v>
      </c>
      <c r="AM4311">
        <v>99.635201477986598</v>
      </c>
      <c r="AN4311">
        <v>1.0000000009946699</v>
      </c>
    </row>
    <row r="4312" spans="1:40" x14ac:dyDescent="0.25">
      <c r="A4312" t="str">
        <f>"20190304164731811"</f>
        <v>20190304164731811</v>
      </c>
      <c r="B4312" t="str">
        <f>"1551689251803635"</f>
        <v>1551689251803635</v>
      </c>
      <c r="C4312" t="s">
        <v>40</v>
      </c>
      <c r="D4312">
        <v>4.4374589999999996</v>
      </c>
      <c r="E4312">
        <v>0.54992030000000003</v>
      </c>
      <c r="F4312" t="s">
        <v>42</v>
      </c>
      <c r="G4312">
        <v>-421.39019999999999</v>
      </c>
      <c r="H4312" s="1">
        <v>-4.3275350000000004E-6</v>
      </c>
      <c r="I4312">
        <v>78.978809999999996</v>
      </c>
      <c r="J4312">
        <v>-421.07119999999998</v>
      </c>
      <c r="K4312">
        <v>1.112225</v>
      </c>
      <c r="L4312">
        <v>88.397279999999995</v>
      </c>
      <c r="M4312">
        <v>-0.10290000000000001</v>
      </c>
      <c r="N4312">
        <v>-8.8778109999999993E-3</v>
      </c>
      <c r="O4312">
        <v>-0.99465219999999999</v>
      </c>
      <c r="P4312">
        <v>5.72731E-2</v>
      </c>
      <c r="Q4312">
        <v>0.39064520000000003</v>
      </c>
      <c r="R4312">
        <v>-0.91875819999999997</v>
      </c>
      <c r="S4312">
        <v>-0.12615970000000001</v>
      </c>
      <c r="T4312">
        <v>-0.38903270000000001</v>
      </c>
      <c r="U4312">
        <v>-3.4379270000000002</v>
      </c>
      <c r="V4312">
        <v>-0.15355750000000001</v>
      </c>
      <c r="W4312">
        <v>0.39790789999999998</v>
      </c>
      <c r="X4312">
        <v>0.90448300000000004</v>
      </c>
      <c r="Y4312">
        <v>-6.6515589999999999E-2</v>
      </c>
      <c r="Z4312">
        <v>0.1025783</v>
      </c>
      <c r="AA4312">
        <v>0.99249860000000001</v>
      </c>
      <c r="AB4312">
        <v>42</v>
      </c>
      <c r="AC4312">
        <v>-0.31900000000001599</v>
      </c>
      <c r="AD4312">
        <v>-1.1122293275349999</v>
      </c>
      <c r="AE4312">
        <v>-9.4184700000000099</v>
      </c>
      <c r="AF4312">
        <v>-0.64293645768094398</v>
      </c>
      <c r="AG4312">
        <v>-1.1122293275349999</v>
      </c>
      <c r="AH4312">
        <v>9.2721417719626302</v>
      </c>
      <c r="AI4312">
        <v>96.823937653488599</v>
      </c>
      <c r="AJ4312">
        <v>93.966578196527493</v>
      </c>
      <c r="AK4312">
        <v>9.3607176223310304</v>
      </c>
      <c r="AL4312">
        <v>66.552545050794606</v>
      </c>
      <c r="AM4312">
        <v>99.635447590690404</v>
      </c>
      <c r="AN4312">
        <v>1.00000004998882</v>
      </c>
    </row>
    <row r="4313" spans="1:40" x14ac:dyDescent="0.25">
      <c r="A4313" t="str">
        <f>"20190304164731837"</f>
        <v>20190304164731837</v>
      </c>
      <c r="B4313" t="str">
        <f>"1551689251833892"</f>
        <v>1551689251833892</v>
      </c>
      <c r="C4313" t="s">
        <v>40</v>
      </c>
      <c r="D4313">
        <v>4.4188479999999997</v>
      </c>
      <c r="E4313">
        <v>0.52821109999999905</v>
      </c>
      <c r="F4313" t="s">
        <v>42</v>
      </c>
      <c r="G4313">
        <v>-421.41410000000002</v>
      </c>
      <c r="H4313" s="1">
        <v>-4.1341620000000004E-6</v>
      </c>
      <c r="I4313">
        <v>78.398089999999996</v>
      </c>
      <c r="J4313">
        <v>-421.11919999999998</v>
      </c>
      <c r="K4313">
        <v>1.1123369999999999</v>
      </c>
      <c r="L4313">
        <v>87.914280000000005</v>
      </c>
      <c r="M4313">
        <v>-0.1002957</v>
      </c>
      <c r="N4313">
        <v>-8.9082620000000001E-3</v>
      </c>
      <c r="O4313">
        <v>-0.99491790000000002</v>
      </c>
      <c r="P4313">
        <v>5.9452280000000003E-2</v>
      </c>
      <c r="Q4313">
        <v>0.39070319999999997</v>
      </c>
      <c r="R4313">
        <v>-0.91859489999999999</v>
      </c>
      <c r="S4313">
        <v>-0.1177979</v>
      </c>
      <c r="T4313">
        <v>-0.38209189999999998</v>
      </c>
      <c r="U4313">
        <v>-3.4350890000000001</v>
      </c>
      <c r="V4313">
        <v>-0.15343589999999999</v>
      </c>
      <c r="W4313">
        <v>0.39795429999999998</v>
      </c>
      <c r="X4313">
        <v>0.90448320000000004</v>
      </c>
      <c r="Y4313">
        <v>-6.6280350000000002E-2</v>
      </c>
      <c r="Z4313">
        <v>0.1007205</v>
      </c>
      <c r="AA4313">
        <v>0.99270449999999999</v>
      </c>
      <c r="AB4313">
        <v>42</v>
      </c>
      <c r="AC4313">
        <v>-0.29490000000004102</v>
      </c>
      <c r="AD4313">
        <v>-1.112341134162</v>
      </c>
      <c r="AE4313">
        <v>-9.5161899999999999</v>
      </c>
      <c r="AF4313">
        <v>-0.652155875682637</v>
      </c>
      <c r="AG4313">
        <v>-1.112341134162</v>
      </c>
      <c r="AH4313">
        <v>9.3698818644133492</v>
      </c>
      <c r="AI4313">
        <v>96.753968003491707</v>
      </c>
      <c r="AJ4313">
        <v>93.981439367550294</v>
      </c>
      <c r="AK4313">
        <v>9.4581867309753598</v>
      </c>
      <c r="AL4313">
        <v>66.549646704923504</v>
      </c>
      <c r="AM4313">
        <v>99.627958210667501</v>
      </c>
      <c r="AN4313">
        <v>1.00000002968976</v>
      </c>
    </row>
    <row r="4314" spans="1:40" x14ac:dyDescent="0.25">
      <c r="A4314" t="str">
        <f>"20190304164731861"</f>
        <v>20190304164731861</v>
      </c>
      <c r="B4314" t="str">
        <f>"1551689251853412"</f>
        <v>1551689251853412</v>
      </c>
      <c r="C4314" t="s">
        <v>40</v>
      </c>
      <c r="D4314">
        <v>4.3949850000000001</v>
      </c>
      <c r="E4314">
        <v>0.52827969999999902</v>
      </c>
      <c r="F4314" t="s">
        <v>42</v>
      </c>
      <c r="G4314">
        <v>-420.91050000000001</v>
      </c>
      <c r="H4314" s="1">
        <v>-2.961463E-6</v>
      </c>
      <c r="I4314">
        <v>75.927660000000003</v>
      </c>
      <c r="J4314">
        <v>-421.16340000000002</v>
      </c>
      <c r="K4314">
        <v>1.112419</v>
      </c>
      <c r="L4314">
        <v>87.457149999999999</v>
      </c>
      <c r="M4314">
        <v>-9.7804440000000006E-2</v>
      </c>
      <c r="N4314">
        <v>-8.9349500000000005E-3</v>
      </c>
      <c r="O4314">
        <v>-0.99516570000000004</v>
      </c>
      <c r="P4314">
        <v>6.1522939999999998E-2</v>
      </c>
      <c r="Q4314">
        <v>0.39089010000000002</v>
      </c>
      <c r="R4314">
        <v>-0.91837930000000001</v>
      </c>
      <c r="S4314">
        <v>5.9143069999999999E-2</v>
      </c>
      <c r="T4314">
        <v>-0.31515189999999998</v>
      </c>
      <c r="U4314">
        <v>-3.3960880000000002</v>
      </c>
      <c r="V4314">
        <v>-0.15328169999999999</v>
      </c>
      <c r="W4314">
        <v>0.39813670000000001</v>
      </c>
      <c r="X4314">
        <v>0.90442909999999999</v>
      </c>
      <c r="Y4314">
        <v>-0.1150091</v>
      </c>
      <c r="Z4314">
        <v>8.2516179999999995E-2</v>
      </c>
      <c r="AA4314">
        <v>0.98993129999999996</v>
      </c>
      <c r="AB4314">
        <v>42</v>
      </c>
      <c r="AC4314">
        <v>0.252900000000011</v>
      </c>
      <c r="AD4314">
        <v>-1.112421961463</v>
      </c>
      <c r="AE4314">
        <v>-11.5294899999999</v>
      </c>
      <c r="AF4314">
        <v>-1.36665106239096</v>
      </c>
      <c r="AG4314">
        <v>-1.112421961463</v>
      </c>
      <c r="AH4314">
        <v>11.343919864219499</v>
      </c>
      <c r="AI4314">
        <v>95.560750423286194</v>
      </c>
      <c r="AJ4314">
        <v>96.869562807315603</v>
      </c>
      <c r="AK4314">
        <v>11.479971064097301</v>
      </c>
      <c r="AL4314">
        <v>66.538255183140095</v>
      </c>
      <c r="AM4314">
        <v>99.619027756240797</v>
      </c>
      <c r="AN4314">
        <v>1.0000000541842899</v>
      </c>
    </row>
    <row r="4315" spans="1:40" x14ac:dyDescent="0.25">
      <c r="A4315" t="str">
        <f>"20190304164731881"</f>
        <v>20190304164731881</v>
      </c>
      <c r="B4315" t="str">
        <f>"1551689251873908"</f>
        <v>1551689251873908</v>
      </c>
      <c r="C4315" t="s">
        <v>40</v>
      </c>
      <c r="D4315">
        <v>4.5694660000000002</v>
      </c>
      <c r="E4315">
        <v>0.52792510000000004</v>
      </c>
      <c r="F4315" t="s">
        <v>42</v>
      </c>
      <c r="G4315">
        <v>-420.93259999999998</v>
      </c>
      <c r="H4315" s="1">
        <v>-2.8747070000000002E-6</v>
      </c>
      <c r="I4315">
        <v>75.711699999999993</v>
      </c>
      <c r="J4315">
        <v>-421.19839999999999</v>
      </c>
      <c r="K4315">
        <v>1.1124670000000001</v>
      </c>
      <c r="L4315">
        <v>87.086429999999993</v>
      </c>
      <c r="M4315">
        <v>-9.5773239999999996E-2</v>
      </c>
      <c r="N4315">
        <v>-8.9564450000000004E-3</v>
      </c>
      <c r="O4315">
        <v>-0.99536290000000005</v>
      </c>
      <c r="P4315">
        <v>6.3430039999999993E-2</v>
      </c>
      <c r="Q4315">
        <v>0.39095429999999998</v>
      </c>
      <c r="R4315">
        <v>-0.91822190000000004</v>
      </c>
      <c r="S4315">
        <v>6.6802979999999998E-2</v>
      </c>
      <c r="T4315">
        <v>-0.32193840000000001</v>
      </c>
      <c r="U4315">
        <v>-3.3991699999999998</v>
      </c>
      <c r="V4315">
        <v>-0.15336469999999999</v>
      </c>
      <c r="W4315">
        <v>0.39819919999999998</v>
      </c>
      <c r="X4315">
        <v>0.90438750000000001</v>
      </c>
      <c r="Y4315">
        <v>-0.1151919</v>
      </c>
      <c r="Z4315">
        <v>8.4387899999999905E-2</v>
      </c>
      <c r="AA4315">
        <v>0.98975219999999997</v>
      </c>
      <c r="AB4315">
        <v>42</v>
      </c>
      <c r="AC4315">
        <v>0.26580000000001203</v>
      </c>
      <c r="AD4315">
        <v>-1.1124698747069901</v>
      </c>
      <c r="AE4315">
        <v>-11.37473</v>
      </c>
      <c r="AF4315">
        <v>-1.3411946890838</v>
      </c>
      <c r="AG4315">
        <v>-1.1124698747069901</v>
      </c>
      <c r="AH4315">
        <v>11.190004356400999</v>
      </c>
      <c r="AI4315">
        <v>95.637398911404802</v>
      </c>
      <c r="AJ4315">
        <v>96.834667702484495</v>
      </c>
      <c r="AK4315">
        <v>11.324865999756099</v>
      </c>
      <c r="AL4315">
        <v>66.534351103473796</v>
      </c>
      <c r="AM4315">
        <v>99.624573346004198</v>
      </c>
      <c r="AN4315">
        <v>1.0000000421214801</v>
      </c>
    </row>
    <row r="4316" spans="1:40" x14ac:dyDescent="0.25">
      <c r="A4316" t="str">
        <f>"20190304164731901"</f>
        <v>20190304164731901</v>
      </c>
      <c r="B4316" t="str">
        <f>"1551689251893428"</f>
        <v>1551689251893428</v>
      </c>
      <c r="C4316" t="s">
        <v>40</v>
      </c>
      <c r="D4316">
        <v>4.3926069999999999</v>
      </c>
      <c r="E4316">
        <v>0.52850059999999999</v>
      </c>
      <c r="F4316" t="s">
        <v>42</v>
      </c>
      <c r="G4316">
        <v>-420.93900000000002</v>
      </c>
      <c r="H4316" s="1">
        <v>-2.8186220000000002E-6</v>
      </c>
      <c r="I4316">
        <v>75.577010000000001</v>
      </c>
      <c r="J4316">
        <v>-421.2328</v>
      </c>
      <c r="K4316">
        <v>1.112514</v>
      </c>
      <c r="L4316">
        <v>86.714749999999995</v>
      </c>
      <c r="M4316">
        <v>-9.3730679999999997E-2</v>
      </c>
      <c r="N4316">
        <v>-8.9798780000000002E-3</v>
      </c>
      <c r="O4316">
        <v>-0.99555720000000003</v>
      </c>
      <c r="P4316">
        <v>6.4172430000000003E-2</v>
      </c>
      <c r="Q4316">
        <v>0.39145550000000001</v>
      </c>
      <c r="R4316">
        <v>-0.91795680000000002</v>
      </c>
      <c r="S4316">
        <v>7.6690670000000002E-2</v>
      </c>
      <c r="T4316">
        <v>-0.32881749999999998</v>
      </c>
      <c r="U4316">
        <v>-3.4018860000000002</v>
      </c>
      <c r="V4316">
        <v>-0.1522647</v>
      </c>
      <c r="W4316">
        <v>0.39871050000000002</v>
      </c>
      <c r="X4316">
        <v>0.90434809999999999</v>
      </c>
      <c r="Y4316">
        <v>-0.11600829999999999</v>
      </c>
      <c r="Z4316">
        <v>8.6285929999999997E-2</v>
      </c>
      <c r="AA4316">
        <v>0.98949319999999996</v>
      </c>
      <c r="AB4316">
        <v>42</v>
      </c>
      <c r="AC4316">
        <v>0.29379999999997602</v>
      </c>
      <c r="AD4316">
        <v>-1.112516818622</v>
      </c>
      <c r="AE4316">
        <v>-11.1377399999999</v>
      </c>
      <c r="AF4316">
        <v>-1.32330240535107</v>
      </c>
      <c r="AG4316">
        <v>-1.112516818622</v>
      </c>
      <c r="AH4316">
        <v>10.9519673722055</v>
      </c>
      <c r="AI4316">
        <v>95.758693025163893</v>
      </c>
      <c r="AJ4316">
        <v>96.889526436239905</v>
      </c>
      <c r="AK4316">
        <v>11.087579187973301</v>
      </c>
      <c r="AL4316">
        <v>66.502410766352398</v>
      </c>
      <c r="AM4316">
        <v>99.557228037687807</v>
      </c>
      <c r="AN4316">
        <v>1.0000000438249701</v>
      </c>
    </row>
    <row r="4317" spans="1:40" x14ac:dyDescent="0.25">
      <c r="A4317" t="str">
        <f>"20190304164731923"</f>
        <v>20190304164731923</v>
      </c>
      <c r="B4317" t="str">
        <f>"1551689251913924"</f>
        <v>1551689251913924</v>
      </c>
      <c r="C4317" t="s">
        <v>40</v>
      </c>
      <c r="D4317">
        <v>4.4331250000000004</v>
      </c>
      <c r="E4317">
        <v>0.52902190000000004</v>
      </c>
      <c r="F4317" t="s">
        <v>42</v>
      </c>
      <c r="G4317">
        <v>-420.98320000000001</v>
      </c>
      <c r="H4317" s="1">
        <v>-2.6534459999999999E-6</v>
      </c>
      <c r="I4317">
        <v>75.164540000000002</v>
      </c>
      <c r="J4317">
        <v>-421.26949999999999</v>
      </c>
      <c r="K4317">
        <v>1.1125659999999999</v>
      </c>
      <c r="L4317">
        <v>86.306790000000007</v>
      </c>
      <c r="M4317">
        <v>-9.1484360000000001E-2</v>
      </c>
      <c r="N4317">
        <v>-9.0085719999999994E-3</v>
      </c>
      <c r="O4317">
        <v>-0.99576569999999998</v>
      </c>
      <c r="P4317">
        <v>6.5533759999999996E-2</v>
      </c>
      <c r="Q4317">
        <v>0.39169920000000003</v>
      </c>
      <c r="R4317">
        <v>-0.91775649999999998</v>
      </c>
      <c r="S4317">
        <v>7.3516849999999995E-2</v>
      </c>
      <c r="T4317">
        <v>-0.32775189999999998</v>
      </c>
      <c r="U4317">
        <v>-3.4027400000000001</v>
      </c>
      <c r="V4317">
        <v>-0.15159710000000001</v>
      </c>
      <c r="W4317">
        <v>0.3989685</v>
      </c>
      <c r="X4317">
        <v>0.90434650000000005</v>
      </c>
      <c r="Y4317">
        <v>-0.1128411</v>
      </c>
      <c r="Z4317">
        <v>8.5976709999999998E-2</v>
      </c>
      <c r="AA4317">
        <v>0.9898863</v>
      </c>
      <c r="AB4317">
        <v>42</v>
      </c>
      <c r="AC4317">
        <v>0.28629999999998201</v>
      </c>
      <c r="AD4317">
        <v>-1.112568653446</v>
      </c>
      <c r="AE4317">
        <v>-11.142250000000001</v>
      </c>
      <c r="AF4317">
        <v>-1.2916130851942</v>
      </c>
      <c r="AG4317">
        <v>-1.112568653446</v>
      </c>
      <c r="AH4317">
        <v>10.960124744116699</v>
      </c>
      <c r="AI4317">
        <v>95.756707471632694</v>
      </c>
      <c r="AJ4317">
        <v>96.721111521428398</v>
      </c>
      <c r="AK4317">
        <v>11.0919073101552</v>
      </c>
      <c r="AL4317">
        <v>66.486291448616797</v>
      </c>
      <c r="AM4317">
        <v>99.516109186258205</v>
      </c>
      <c r="AN4317">
        <v>1.0000000683914501</v>
      </c>
    </row>
    <row r="4318" spans="1:40" x14ac:dyDescent="0.25">
      <c r="A4318" t="str">
        <f>"20190304164731946"</f>
        <v>20190304164731946</v>
      </c>
      <c r="B4318" t="str">
        <f>"1551689251933444"</f>
        <v>1551689251933444</v>
      </c>
      <c r="C4318" t="s">
        <v>40</v>
      </c>
      <c r="D4318">
        <v>4.4351250000000002</v>
      </c>
      <c r="E4318">
        <v>0.52916589999999997</v>
      </c>
      <c r="F4318" t="s">
        <v>42</v>
      </c>
      <c r="G4318">
        <v>-421.02109999999999</v>
      </c>
      <c r="H4318" s="1">
        <v>-2.502188E-6</v>
      </c>
      <c r="I4318">
        <v>74.788469999999904</v>
      </c>
      <c r="J4318">
        <v>-421.3073</v>
      </c>
      <c r="K4318">
        <v>1.112614</v>
      </c>
      <c r="L4318">
        <v>85.877229999999997</v>
      </c>
      <c r="M4318">
        <v>-8.9116689999999998E-2</v>
      </c>
      <c r="N4318">
        <v>-9.0425230000000002E-3</v>
      </c>
      <c r="O4318">
        <v>-0.99598010000000003</v>
      </c>
      <c r="P4318">
        <v>6.794087E-2</v>
      </c>
      <c r="Q4318">
        <v>0.39196789999999998</v>
      </c>
      <c r="R4318">
        <v>-0.91746669999999997</v>
      </c>
      <c r="S4318">
        <v>7.3425290000000004E-2</v>
      </c>
      <c r="T4318">
        <v>-0.32878980000000002</v>
      </c>
      <c r="U4318">
        <v>-3.403931</v>
      </c>
      <c r="V4318">
        <v>-0.15185019999999999</v>
      </c>
      <c r="W4318">
        <v>0.39924999999999999</v>
      </c>
      <c r="X4318">
        <v>0.90417970000000003</v>
      </c>
      <c r="Y4318">
        <v>-0.1104448</v>
      </c>
      <c r="Z4318">
        <v>8.6252179999999998E-2</v>
      </c>
      <c r="AA4318">
        <v>0.99013260000000003</v>
      </c>
      <c r="AB4318">
        <v>42</v>
      </c>
      <c r="AC4318">
        <v>0.286200000000008</v>
      </c>
      <c r="AD4318">
        <v>-1.1126165021879999</v>
      </c>
      <c r="AE4318">
        <v>-11.088760000000001</v>
      </c>
      <c r="AF4318">
        <v>-1.26061234145682</v>
      </c>
      <c r="AG4318">
        <v>-1.1126165021879999</v>
      </c>
      <c r="AH4318">
        <v>10.9093722504655</v>
      </c>
      <c r="AI4318">
        <v>95.785071661643002</v>
      </c>
      <c r="AJ4318">
        <v>96.591473992405696</v>
      </c>
      <c r="AK4318">
        <v>11.0381819995686</v>
      </c>
      <c r="AL4318">
        <v>66.468698968972006</v>
      </c>
      <c r="AM4318">
        <v>99.533431698024401</v>
      </c>
      <c r="AN4318">
        <v>0.99999998781606503</v>
      </c>
    </row>
    <row r="4319" spans="1:40" x14ac:dyDescent="0.25">
      <c r="A4319" t="str">
        <f>"20190304164731967"</f>
        <v>20190304164731967</v>
      </c>
      <c r="B4319" t="str">
        <f>"1551689251963700"</f>
        <v>1551689251963700</v>
      </c>
      <c r="C4319" t="s">
        <v>40</v>
      </c>
      <c r="D4319">
        <v>4.4252019999999996</v>
      </c>
      <c r="E4319">
        <v>0.52956630000000005</v>
      </c>
      <c r="F4319" t="s">
        <v>42</v>
      </c>
      <c r="G4319">
        <v>-421.04090000000002</v>
      </c>
      <c r="H4319" s="1">
        <v>-2.3499090000000002E-6</v>
      </c>
      <c r="I4319">
        <v>74.421180000000007</v>
      </c>
      <c r="J4319">
        <v>-421.3417</v>
      </c>
      <c r="K4319">
        <v>1.1126469999999999</v>
      </c>
      <c r="L4319">
        <v>85.474299999999999</v>
      </c>
      <c r="M4319">
        <v>-8.6895470000000002E-2</v>
      </c>
      <c r="N4319">
        <v>-9.077702E-3</v>
      </c>
      <c r="O4319">
        <v>-0.99617619999999896</v>
      </c>
      <c r="P4319">
        <v>7.0682910000000002E-2</v>
      </c>
      <c r="Q4319">
        <v>0.39261810000000003</v>
      </c>
      <c r="R4319">
        <v>-0.91698159999999895</v>
      </c>
      <c r="S4319">
        <v>7.91626E-2</v>
      </c>
      <c r="T4319">
        <v>-0.33072760000000001</v>
      </c>
      <c r="U4319">
        <v>-3.4053339999999999</v>
      </c>
      <c r="V4319">
        <v>-0.15255009999999999</v>
      </c>
      <c r="W4319">
        <v>0.39991270000000001</v>
      </c>
      <c r="X4319">
        <v>0.90376900000000004</v>
      </c>
      <c r="Y4319">
        <v>-0.10988580000000001</v>
      </c>
      <c r="Z4319">
        <v>8.6763800000000002E-2</v>
      </c>
      <c r="AA4319">
        <v>0.99014999999999997</v>
      </c>
      <c r="AB4319">
        <v>42</v>
      </c>
      <c r="AC4319">
        <v>0.30079999999998103</v>
      </c>
      <c r="AD4319">
        <v>-1.112649349909</v>
      </c>
      <c r="AE4319">
        <v>-11.0531199999999</v>
      </c>
      <c r="AF4319">
        <v>-1.24753544636185</v>
      </c>
      <c r="AG4319">
        <v>-1.112649349909</v>
      </c>
      <c r="AH4319">
        <v>10.875050606144701</v>
      </c>
      <c r="AI4319">
        <v>95.803923791529201</v>
      </c>
      <c r="AJ4319">
        <v>96.5441006028272</v>
      </c>
      <c r="AK4319">
        <v>11.0027750568659</v>
      </c>
      <c r="AL4319">
        <v>66.427280277086098</v>
      </c>
      <c r="AM4319">
        <v>99.580831915894095</v>
      </c>
      <c r="AN4319">
        <v>1.0000000529961399</v>
      </c>
    </row>
    <row r="4320" spans="1:40" x14ac:dyDescent="0.25">
      <c r="A4320" t="str">
        <f>"20190304164731992"</f>
        <v>20190304164731992</v>
      </c>
      <c r="B4320" t="str">
        <f>"1551689251983220"</f>
        <v>1551689251983220</v>
      </c>
      <c r="C4320" t="s">
        <v>40</v>
      </c>
      <c r="D4320">
        <v>4.4384059999999996</v>
      </c>
      <c r="E4320">
        <v>0.52972129999999995</v>
      </c>
      <c r="F4320" t="s">
        <v>42</v>
      </c>
      <c r="G4320">
        <v>-421.05309999999997</v>
      </c>
      <c r="H4320" s="1">
        <v>-2.2073780000000001E-6</v>
      </c>
      <c r="I4320">
        <v>74.081409999999906</v>
      </c>
      <c r="J4320">
        <v>-421.37939999999998</v>
      </c>
      <c r="K4320">
        <v>1.1126860000000001</v>
      </c>
      <c r="L4320">
        <v>85.021150000000006</v>
      </c>
      <c r="M4320">
        <v>-8.4397539999999993E-2</v>
      </c>
      <c r="N4320">
        <v>-9.1229610000000006E-3</v>
      </c>
      <c r="O4320">
        <v>-0.99639049999999996</v>
      </c>
      <c r="P4320">
        <v>7.3853189999999999E-2</v>
      </c>
      <c r="Q4320">
        <v>0.3929319</v>
      </c>
      <c r="R4320">
        <v>-0.91659740000000001</v>
      </c>
      <c r="S4320">
        <v>8.6334229999999998E-2</v>
      </c>
      <c r="T4320">
        <v>-0.3327734</v>
      </c>
      <c r="U4320">
        <v>-3.40741</v>
      </c>
      <c r="V4320">
        <v>-0.1534335</v>
      </c>
      <c r="W4320">
        <v>0.4002483</v>
      </c>
      <c r="X4320">
        <v>0.90347080000000002</v>
      </c>
      <c r="Y4320">
        <v>-0.10946110000000001</v>
      </c>
      <c r="Z4320">
        <v>8.7278629999999996E-2</v>
      </c>
      <c r="AA4320">
        <v>0.99015189999999997</v>
      </c>
      <c r="AB4320">
        <v>42</v>
      </c>
      <c r="AC4320">
        <v>0.32630000000000298</v>
      </c>
      <c r="AD4320">
        <v>-1.112688207378</v>
      </c>
      <c r="AE4320">
        <v>-10.93974</v>
      </c>
      <c r="AF4320">
        <v>-1.2356892774477</v>
      </c>
      <c r="AG4320">
        <v>-1.112688207378</v>
      </c>
      <c r="AH4320">
        <v>10.761931624711799</v>
      </c>
      <c r="AI4320">
        <v>95.864640096337993</v>
      </c>
      <c r="AJ4320">
        <v>96.5500400982977</v>
      </c>
      <c r="AK4320">
        <v>10.889636143242299</v>
      </c>
      <c r="AL4320">
        <v>66.4062985120446</v>
      </c>
      <c r="AM4320">
        <v>99.638396767136996</v>
      </c>
      <c r="AN4320">
        <v>1.00000001351389</v>
      </c>
    </row>
    <row r="4321" spans="1:40" x14ac:dyDescent="0.25">
      <c r="A4321" t="str">
        <f>"20190304164732011"</f>
        <v>20190304164732011</v>
      </c>
      <c r="B4321" t="str">
        <f>"1551689252003716"</f>
        <v>1551689252003716</v>
      </c>
      <c r="C4321" t="s">
        <v>40</v>
      </c>
      <c r="D4321">
        <v>4.473274</v>
      </c>
      <c r="E4321">
        <v>0.52994350000000001</v>
      </c>
      <c r="F4321" t="s">
        <v>42</v>
      </c>
      <c r="G4321">
        <v>-421.05900000000003</v>
      </c>
      <c r="H4321" s="1">
        <v>-2.0359709999999999E-6</v>
      </c>
      <c r="I4321">
        <v>73.678190000000001</v>
      </c>
      <c r="J4321">
        <v>-421.41</v>
      </c>
      <c r="K4321">
        <v>1.112716</v>
      </c>
      <c r="L4321">
        <v>84.641779999999997</v>
      </c>
      <c r="M4321">
        <v>-8.2306450000000003E-2</v>
      </c>
      <c r="N4321">
        <v>-9.1697970000000004E-3</v>
      </c>
      <c r="O4321">
        <v>-0.99656500000000003</v>
      </c>
      <c r="P4321">
        <v>7.5048539999999997E-2</v>
      </c>
      <c r="Q4321">
        <v>0.39264749999999998</v>
      </c>
      <c r="R4321">
        <v>-0.91662189999999999</v>
      </c>
      <c r="S4321">
        <v>9.6282960000000001E-2</v>
      </c>
      <c r="T4321">
        <v>-0.33436080000000001</v>
      </c>
      <c r="U4321">
        <v>-3.4085390000000002</v>
      </c>
      <c r="V4321">
        <v>-0.15274299999999999</v>
      </c>
      <c r="W4321">
        <v>0.40000449999999999</v>
      </c>
      <c r="X4321">
        <v>0.90369580000000005</v>
      </c>
      <c r="Y4321">
        <v>-0.11025310000000001</v>
      </c>
      <c r="Z4321">
        <v>8.7672550000000002E-2</v>
      </c>
      <c r="AA4321">
        <v>0.99002920000000005</v>
      </c>
      <c r="AB4321">
        <v>42</v>
      </c>
      <c r="AC4321">
        <v>0.35099999999999898</v>
      </c>
      <c r="AD4321">
        <v>-1.1127180359710001</v>
      </c>
      <c r="AE4321">
        <v>-10.96359</v>
      </c>
      <c r="AF4321">
        <v>-1.2394667450136001</v>
      </c>
      <c r="AG4321">
        <v>-1.1127180359710001</v>
      </c>
      <c r="AH4321">
        <v>10.786503144598599</v>
      </c>
      <c r="AI4321">
        <v>95.851470697910997</v>
      </c>
      <c r="AJ4321">
        <v>96.555052871793805</v>
      </c>
      <c r="AK4321">
        <v>10.914351530347799</v>
      </c>
      <c r="AL4321">
        <v>66.421541742775105</v>
      </c>
      <c r="AM4321">
        <v>99.593484486325295</v>
      </c>
      <c r="AN4321">
        <v>1.0000000615034399</v>
      </c>
    </row>
    <row r="4322" spans="1:40" x14ac:dyDescent="0.25">
      <c r="A4322" t="str">
        <f>"20190304164732035"</f>
        <v>20190304164732035</v>
      </c>
      <c r="B4322" t="str">
        <f>"1551689252023236"</f>
        <v>1551689252023236</v>
      </c>
      <c r="C4322" t="s">
        <v>40</v>
      </c>
      <c r="D4322">
        <v>4.4862419999999998</v>
      </c>
      <c r="E4322">
        <v>0.53025580000000005</v>
      </c>
      <c r="F4322" t="s">
        <v>42</v>
      </c>
      <c r="G4322">
        <v>-421.0779</v>
      </c>
      <c r="H4322" s="1">
        <v>-1.926551E-6</v>
      </c>
      <c r="I4322">
        <v>73.4114</v>
      </c>
      <c r="J4322">
        <v>-421.44400000000002</v>
      </c>
      <c r="K4322">
        <v>1.112744</v>
      </c>
      <c r="L4322">
        <v>84.208950000000002</v>
      </c>
      <c r="M4322">
        <v>-7.9920720000000001E-2</v>
      </c>
      <c r="N4322">
        <v>-9.2400160000000002E-3</v>
      </c>
      <c r="O4322">
        <v>-0.99675860000000005</v>
      </c>
      <c r="P4322">
        <v>7.4606039999999998E-2</v>
      </c>
      <c r="Q4322">
        <v>0.39163900000000001</v>
      </c>
      <c r="R4322">
        <v>-0.91708990000000001</v>
      </c>
      <c r="S4322">
        <v>0.10083010000000001</v>
      </c>
      <c r="T4322">
        <v>-0.33780009999999999</v>
      </c>
      <c r="U4322">
        <v>-3.409332</v>
      </c>
      <c r="V4322">
        <v>-0.15018219999999999</v>
      </c>
      <c r="W4322">
        <v>0.39907520000000002</v>
      </c>
      <c r="X4322">
        <v>0.90453539999999999</v>
      </c>
      <c r="Y4322">
        <v>-0.109184</v>
      </c>
      <c r="Z4322">
        <v>8.8599499999999998E-2</v>
      </c>
      <c r="AA4322">
        <v>0.99006519999999998</v>
      </c>
      <c r="AB4322">
        <v>42</v>
      </c>
      <c r="AC4322">
        <v>0.36610000000001702</v>
      </c>
      <c r="AD4322">
        <v>-1.112745926551</v>
      </c>
      <c r="AE4322">
        <v>-10.797549999999999</v>
      </c>
      <c r="AF4322">
        <v>-1.2150242172600401</v>
      </c>
      <c r="AG4322">
        <v>-1.112745926551</v>
      </c>
      <c r="AH4322">
        <v>10.621077144925099</v>
      </c>
      <c r="AI4322">
        <v>95.942451166844805</v>
      </c>
      <c r="AJ4322">
        <v>96.526121519836593</v>
      </c>
      <c r="AK4322">
        <v>10.748105277863299</v>
      </c>
      <c r="AL4322">
        <v>66.479622492153695</v>
      </c>
      <c r="AM4322">
        <v>99.426960982696599</v>
      </c>
      <c r="AN4322">
        <v>0.99999999915251903</v>
      </c>
    </row>
    <row r="4323" spans="1:40" x14ac:dyDescent="0.25">
      <c r="A4323" t="str">
        <f>"20190304164732079"</f>
        <v>20190304164732079</v>
      </c>
      <c r="B4323" t="str">
        <f>"1551689252073015"</f>
        <v>1551689252073015</v>
      </c>
      <c r="C4323" t="s">
        <v>40</v>
      </c>
      <c r="D4323">
        <v>4.5094690000000002</v>
      </c>
      <c r="E4323">
        <v>0.53061049999999998</v>
      </c>
      <c r="F4323" t="s">
        <v>42</v>
      </c>
      <c r="G4323">
        <v>-421.11410000000001</v>
      </c>
      <c r="H4323" s="1">
        <v>-1.838775E-6</v>
      </c>
      <c r="I4323">
        <v>73.184349999999995</v>
      </c>
      <c r="J4323">
        <v>-421.50779999999997</v>
      </c>
      <c r="K4323">
        <v>1.1128070000000001</v>
      </c>
      <c r="L4323">
        <v>83.3566</v>
      </c>
      <c r="M4323">
        <v>-7.5222830000000004E-2</v>
      </c>
      <c r="N4323">
        <v>-9.4400390000000008E-3</v>
      </c>
      <c r="O4323">
        <v>-0.99712250000000002</v>
      </c>
      <c r="P4323">
        <v>7.4579049999999994E-2</v>
      </c>
      <c r="Q4323">
        <v>0.38974950000000003</v>
      </c>
      <c r="R4323">
        <v>-0.91789659999999995</v>
      </c>
      <c r="S4323">
        <v>0.1020508</v>
      </c>
      <c r="T4323">
        <v>-0.34416930000000001</v>
      </c>
      <c r="U4323">
        <v>-3.4098820000000001</v>
      </c>
      <c r="V4323">
        <v>-0.14595830000000001</v>
      </c>
      <c r="W4323">
        <v>0.39739560000000002</v>
      </c>
      <c r="X4323">
        <v>0.90596520000000003</v>
      </c>
      <c r="Y4323">
        <v>-0.1048441</v>
      </c>
      <c r="Z4323">
        <v>9.0290019999999999E-2</v>
      </c>
      <c r="AA4323">
        <v>0.99038150000000003</v>
      </c>
      <c r="AB4323">
        <v>42</v>
      </c>
      <c r="AC4323">
        <v>0.39369999999996702</v>
      </c>
      <c r="AD4323">
        <v>-1.1128088387749999</v>
      </c>
      <c r="AE4323">
        <v>-10.17225</v>
      </c>
      <c r="AF4323">
        <v>-1.1441316174148799</v>
      </c>
      <c r="AG4323">
        <v>-1.1128088387749999</v>
      </c>
      <c r="AH4323">
        <v>9.9943805295997805</v>
      </c>
      <c r="AI4323">
        <v>96.312449328987796</v>
      </c>
      <c r="AJ4323">
        <v>96.530647905072001</v>
      </c>
      <c r="AK4323">
        <v>10.121018863734299</v>
      </c>
      <c r="AL4323">
        <v>66.584534899346593</v>
      </c>
      <c r="AM4323">
        <v>99.152168915314405</v>
      </c>
      <c r="AN4323">
        <v>1.0000000159246401</v>
      </c>
    </row>
    <row r="4324" spans="1:40" x14ac:dyDescent="0.25">
      <c r="A4324" t="str">
        <f>"20190304164732101"</f>
        <v>20190304164732101</v>
      </c>
      <c r="B4324" t="str">
        <f>"1551689252093508"</f>
        <v>1551689252093508</v>
      </c>
      <c r="C4324" t="s">
        <v>40</v>
      </c>
      <c r="D4324">
        <v>4.5288589999999997</v>
      </c>
      <c r="E4324">
        <v>0.53071899999999905</v>
      </c>
      <c r="F4324" t="s">
        <v>42</v>
      </c>
      <c r="G4324">
        <v>-421.19380000000001</v>
      </c>
      <c r="H4324" s="1">
        <v>-1.674114E-6</v>
      </c>
      <c r="I4324">
        <v>72.751050000000006</v>
      </c>
      <c r="J4324">
        <v>-421.53710000000001</v>
      </c>
      <c r="K4324">
        <v>1.112841</v>
      </c>
      <c r="L4324">
        <v>82.946169999999995</v>
      </c>
      <c r="M4324">
        <v>-7.2960469999999999E-2</v>
      </c>
      <c r="N4324">
        <v>-9.5496290000000005E-3</v>
      </c>
      <c r="O4324">
        <v>-0.99728919999999999</v>
      </c>
      <c r="P4324">
        <v>7.6208410000000004E-2</v>
      </c>
      <c r="Q4324">
        <v>0.38937539999999998</v>
      </c>
      <c r="R4324">
        <v>-0.91792110000000005</v>
      </c>
      <c r="S4324">
        <v>0.1010132</v>
      </c>
      <c r="T4324">
        <v>-0.3580257</v>
      </c>
      <c r="U4324">
        <v>-3.41214</v>
      </c>
      <c r="V4324">
        <v>-0.14553260000000001</v>
      </c>
      <c r="W4324">
        <v>0.39712069999999999</v>
      </c>
      <c r="X4324">
        <v>0.90615420000000002</v>
      </c>
      <c r="Y4324">
        <v>-0.1022554</v>
      </c>
      <c r="Z4324">
        <v>9.412885E-2</v>
      </c>
      <c r="AA4324">
        <v>0.99029469999999997</v>
      </c>
      <c r="AB4324">
        <v>42</v>
      </c>
      <c r="AC4324">
        <v>0.34329999999999899</v>
      </c>
      <c r="AD4324">
        <v>-1.1128426741140001</v>
      </c>
      <c r="AE4324">
        <v>-10.1951199999999</v>
      </c>
      <c r="AF4324">
        <v>-1.0734838225936001</v>
      </c>
      <c r="AG4324">
        <v>-1.1128426741140001</v>
      </c>
      <c r="AH4324">
        <v>10.0236044523392</v>
      </c>
      <c r="AI4324">
        <v>96.299429416948996</v>
      </c>
      <c r="AJ4324">
        <v>96.112826023970399</v>
      </c>
      <c r="AK4324">
        <v>10.142161138123001</v>
      </c>
      <c r="AL4324">
        <v>66.601697786363601</v>
      </c>
      <c r="AM4324">
        <v>99.124054225399306</v>
      </c>
      <c r="AN4324">
        <v>1.00000001110444</v>
      </c>
    </row>
    <row r="4325" spans="1:40" x14ac:dyDescent="0.25">
      <c r="A4325" t="str">
        <f>"20190304164732123"</f>
        <v>20190304164732123</v>
      </c>
      <c r="B4325" t="str">
        <f>"1551689252113028"</f>
        <v>1551689252113028</v>
      </c>
      <c r="C4325" t="s">
        <v>40</v>
      </c>
      <c r="D4325">
        <v>4.5211620000000003</v>
      </c>
      <c r="E4325">
        <v>0.53087030000000002</v>
      </c>
      <c r="F4325" t="s">
        <v>42</v>
      </c>
      <c r="G4325">
        <v>-421.22129999999999</v>
      </c>
      <c r="H4325" s="1">
        <v>-1.5439259999999901E-6</v>
      </c>
      <c r="I4325">
        <v>72.43056</v>
      </c>
      <c r="J4325">
        <v>-421.56569999999999</v>
      </c>
      <c r="K4325">
        <v>1.1128629999999999</v>
      </c>
      <c r="L4325">
        <v>82.530819999999906</v>
      </c>
      <c r="M4325">
        <v>-7.0671319999999996E-2</v>
      </c>
      <c r="N4325">
        <v>-9.6675670000000002E-3</v>
      </c>
      <c r="O4325">
        <v>-0.99745300000000003</v>
      </c>
      <c r="P4325">
        <v>7.8339450000000005E-2</v>
      </c>
      <c r="Q4325">
        <v>0.3897002</v>
      </c>
      <c r="R4325">
        <v>-0.91760390000000003</v>
      </c>
      <c r="S4325">
        <v>0.1025085</v>
      </c>
      <c r="T4325">
        <v>-0.36118630000000002</v>
      </c>
      <c r="U4325">
        <v>-3.4129640000000001</v>
      </c>
      <c r="V4325">
        <v>-0.14556169999999999</v>
      </c>
      <c r="W4325">
        <v>0.39754699999999998</v>
      </c>
      <c r="X4325">
        <v>0.90596259999999995</v>
      </c>
      <c r="Y4325">
        <v>-0.10039629999999999</v>
      </c>
      <c r="Z4325">
        <v>9.4927499999999998E-2</v>
      </c>
      <c r="AA4325">
        <v>0.99040870000000003</v>
      </c>
      <c r="AB4325">
        <v>42</v>
      </c>
      <c r="AC4325">
        <v>0.34440000000000698</v>
      </c>
      <c r="AD4325">
        <v>-1.1128645439260001</v>
      </c>
      <c r="AE4325">
        <v>-10.100259999999899</v>
      </c>
      <c r="AF4325">
        <v>-1.0447027431592399</v>
      </c>
      <c r="AG4325">
        <v>-1.1128645439260001</v>
      </c>
      <c r="AH4325">
        <v>9.93024973421584</v>
      </c>
      <c r="AI4325">
        <v>96.359543996354404</v>
      </c>
      <c r="AJ4325">
        <v>96.005657865024006</v>
      </c>
      <c r="AK4325">
        <v>10.046876683755301</v>
      </c>
      <c r="AL4325">
        <v>66.575081824615097</v>
      </c>
      <c r="AM4325">
        <v>99.127745450165506</v>
      </c>
      <c r="AN4325">
        <v>1.0000000291573199</v>
      </c>
    </row>
    <row r="4326" spans="1:40" x14ac:dyDescent="0.25">
      <c r="A4326" t="str">
        <f>"20190304164732146"</f>
        <v>20190304164732146</v>
      </c>
      <c r="B4326" t="str">
        <f>"1551689252143284"</f>
        <v>1551689252143284</v>
      </c>
      <c r="C4326" t="s">
        <v>40</v>
      </c>
      <c r="D4326">
        <v>4.5525769999999897</v>
      </c>
      <c r="E4326">
        <v>0.53099039999999997</v>
      </c>
      <c r="F4326" t="s">
        <v>42</v>
      </c>
      <c r="G4326">
        <v>-421.23450000000003</v>
      </c>
      <c r="H4326" s="1">
        <v>-1.373596E-6</v>
      </c>
      <c r="I4326">
        <v>72.025300000000001</v>
      </c>
      <c r="J4326">
        <v>-421.5942</v>
      </c>
      <c r="K4326">
        <v>1.112887</v>
      </c>
      <c r="L4326">
        <v>82.10266</v>
      </c>
      <c r="M4326">
        <v>-6.8314520000000004E-2</v>
      </c>
      <c r="N4326">
        <v>-9.8075300000000001E-3</v>
      </c>
      <c r="O4326">
        <v>-0.99761560000000005</v>
      </c>
      <c r="P4326">
        <v>7.9981720000000006E-2</v>
      </c>
      <c r="Q4326">
        <v>0.39022000000000001</v>
      </c>
      <c r="R4326">
        <v>-0.91724139999999998</v>
      </c>
      <c r="S4326">
        <v>0.10760500000000001</v>
      </c>
      <c r="T4326">
        <v>-0.36162719999999998</v>
      </c>
      <c r="U4326">
        <v>-3.4137879999999998</v>
      </c>
      <c r="V4326">
        <v>-0.14503920000000001</v>
      </c>
      <c r="W4326">
        <v>0.39819179999999998</v>
      </c>
      <c r="X4326">
        <v>0.90576310000000004</v>
      </c>
      <c r="Y4326">
        <v>-9.9515359999999997E-2</v>
      </c>
      <c r="Z4326">
        <v>9.4917409999999994E-2</v>
      </c>
      <c r="AA4326">
        <v>0.99049849999999995</v>
      </c>
      <c r="AB4326">
        <v>43</v>
      </c>
      <c r="AC4326">
        <v>0.35969999999997498</v>
      </c>
      <c r="AD4326">
        <v>-1.112888373596</v>
      </c>
      <c r="AE4326">
        <v>-10.077360000000001</v>
      </c>
      <c r="AF4326">
        <v>-1.0347195837777501</v>
      </c>
      <c r="AG4326">
        <v>-1.112888373596</v>
      </c>
      <c r="AH4326">
        <v>9.90855264641724</v>
      </c>
      <c r="AI4326">
        <v>96.373999912672403</v>
      </c>
      <c r="AJ4326">
        <v>95.961613722934402</v>
      </c>
      <c r="AK4326">
        <v>10.0243992685826</v>
      </c>
      <c r="AL4326">
        <v>66.534810683151406</v>
      </c>
      <c r="AM4326">
        <v>99.097499510856807</v>
      </c>
      <c r="AN4326">
        <v>0.99999993622274297</v>
      </c>
    </row>
    <row r="4327" spans="1:40" x14ac:dyDescent="0.25">
      <c r="A4327" t="str">
        <f>"20190304164732168"</f>
        <v>20190304164732168</v>
      </c>
      <c r="B4327" t="str">
        <f>"1551689252163780"</f>
        <v>1551689252163780</v>
      </c>
      <c r="C4327" t="s">
        <v>40</v>
      </c>
      <c r="D4327">
        <v>4.4950609999999998</v>
      </c>
      <c r="E4327">
        <v>0.53098020000000001</v>
      </c>
      <c r="F4327" t="s">
        <v>42</v>
      </c>
      <c r="G4327">
        <v>-421.24560000000002</v>
      </c>
      <c r="H4327" s="1">
        <v>-1.207866E-6</v>
      </c>
      <c r="I4327">
        <v>71.632099999999994</v>
      </c>
      <c r="J4327">
        <v>-421.62200000000001</v>
      </c>
      <c r="K4327">
        <v>1.1129070000000001</v>
      </c>
      <c r="L4327">
        <v>81.670959999999994</v>
      </c>
      <c r="M4327">
        <v>-6.5948999999999994E-2</v>
      </c>
      <c r="N4327">
        <v>-9.9715729999999992E-3</v>
      </c>
      <c r="O4327">
        <v>-0.99777329999999997</v>
      </c>
      <c r="P4327">
        <v>8.1123550000000003E-2</v>
      </c>
      <c r="Q4327">
        <v>0.38981789999999999</v>
      </c>
      <c r="R4327">
        <v>-0.91731200000000002</v>
      </c>
      <c r="S4327">
        <v>0.1137085</v>
      </c>
      <c r="T4327">
        <v>-0.36299169999999997</v>
      </c>
      <c r="U4327">
        <v>-3.4151919999999998</v>
      </c>
      <c r="V4327">
        <v>-0.14402879999999901</v>
      </c>
      <c r="W4327">
        <v>0.39794679999999999</v>
      </c>
      <c r="X4327">
        <v>0.90603199999999995</v>
      </c>
      <c r="Y4327">
        <v>-9.8910319999999996E-2</v>
      </c>
      <c r="Z4327">
        <v>9.5127349999999999E-2</v>
      </c>
      <c r="AA4327">
        <v>0.99053899999999995</v>
      </c>
      <c r="AB4327">
        <v>43</v>
      </c>
      <c r="AC4327">
        <v>0.37639999999993201</v>
      </c>
      <c r="AD4327">
        <v>-1.112908207866</v>
      </c>
      <c r="AE4327">
        <v>-10.03886</v>
      </c>
      <c r="AF4327">
        <v>-1.0250855451665899</v>
      </c>
      <c r="AG4327">
        <v>-1.112908207866</v>
      </c>
      <c r="AH4327">
        <v>9.8710345944853906</v>
      </c>
      <c r="AI4327">
        <v>96.398517462464696</v>
      </c>
      <c r="AJ4327">
        <v>95.928790688336704</v>
      </c>
      <c r="AK4327">
        <v>9.9863251008352591</v>
      </c>
      <c r="AL4327">
        <v>66.550113575681394</v>
      </c>
      <c r="AM4327">
        <v>99.032534463796196</v>
      </c>
      <c r="AN4327">
        <v>0.99999996794183899</v>
      </c>
    </row>
    <row r="4328" spans="1:40" x14ac:dyDescent="0.25">
      <c r="A4328" t="str">
        <f>"20190304164732191"</f>
        <v>20190304164732191</v>
      </c>
      <c r="B4328" t="str">
        <f>"1551689252183300"</f>
        <v>1551689252183300</v>
      </c>
      <c r="C4328" t="s">
        <v>40</v>
      </c>
      <c r="D4328">
        <v>4.5380469999999997</v>
      </c>
      <c r="E4328">
        <v>0.53108859999999902</v>
      </c>
      <c r="F4328" t="s">
        <v>42</v>
      </c>
      <c r="G4328">
        <v>-421.25580000000002</v>
      </c>
      <c r="H4328" s="1">
        <v>-1.0309989999999999E-6</v>
      </c>
      <c r="I4328">
        <v>71.213530000000006</v>
      </c>
      <c r="J4328">
        <v>-421.64850000000001</v>
      </c>
      <c r="K4328">
        <v>1.112933</v>
      </c>
      <c r="L4328">
        <v>81.244259999999997</v>
      </c>
      <c r="M4328">
        <v>-6.3639070000000006E-2</v>
      </c>
      <c r="N4328">
        <v>-1.015451E-2</v>
      </c>
      <c r="O4328">
        <v>-0.99792119999999995</v>
      </c>
      <c r="P4328">
        <v>8.2855490000000004E-2</v>
      </c>
      <c r="Q4328">
        <v>0.38938329999999999</v>
      </c>
      <c r="R4328">
        <v>-0.91734150000000003</v>
      </c>
      <c r="S4328">
        <v>0.1195679</v>
      </c>
      <c r="T4328">
        <v>-0.36335329999999999</v>
      </c>
      <c r="U4328">
        <v>-3.4142459999999999</v>
      </c>
      <c r="V4328">
        <v>-0.14364250000000001</v>
      </c>
      <c r="W4328">
        <v>0.39768609999999999</v>
      </c>
      <c r="X4328">
        <v>0.90620780000000001</v>
      </c>
      <c r="Y4328">
        <v>-9.8313289999999998E-2</v>
      </c>
      <c r="Z4328">
        <v>9.5101140000000001E-2</v>
      </c>
      <c r="AA4328">
        <v>0.99060090000000001</v>
      </c>
      <c r="AB4328">
        <v>43</v>
      </c>
      <c r="AC4328">
        <v>0.39269999999999</v>
      </c>
      <c r="AD4328">
        <v>-1.1129340309989999</v>
      </c>
      <c r="AE4328">
        <v>-10.030729999999901</v>
      </c>
      <c r="AF4328">
        <v>-1.01777315711827</v>
      </c>
      <c r="AG4328">
        <v>-1.1129340309989999</v>
      </c>
      <c r="AH4328">
        <v>9.8641567235788994</v>
      </c>
      <c r="AI4328">
        <v>96.403524203645404</v>
      </c>
      <c r="AJ4328">
        <v>95.890871834585496</v>
      </c>
      <c r="AK4328">
        <v>9.9787810991139203</v>
      </c>
      <c r="AL4328">
        <v>66.566394848494397</v>
      </c>
      <c r="AM4328">
        <v>99.006987114542497</v>
      </c>
      <c r="AN4328">
        <v>0.999999989360149</v>
      </c>
    </row>
    <row r="4329" spans="1:40" x14ac:dyDescent="0.25">
      <c r="A4329" t="str">
        <f>"20190304164732213"</f>
        <v>20190304164732213</v>
      </c>
      <c r="B4329" t="str">
        <f>"1551689252203525"</f>
        <v>1551689252203525</v>
      </c>
      <c r="C4329" t="s">
        <v>40</v>
      </c>
      <c r="D4329">
        <v>4.5788900000000003</v>
      </c>
      <c r="E4329">
        <v>0.53118980000000005</v>
      </c>
      <c r="F4329" t="s">
        <v>42</v>
      </c>
      <c r="G4329">
        <v>-421.26029999999997</v>
      </c>
      <c r="H4329" s="1">
        <v>-8.9690320000000001E-7</v>
      </c>
      <c r="I4329">
        <v>70.898139999999998</v>
      </c>
      <c r="J4329">
        <v>-421.67290000000003</v>
      </c>
      <c r="K4329">
        <v>1.11293</v>
      </c>
      <c r="L4329">
        <v>80.835819999999998</v>
      </c>
      <c r="M4329">
        <v>-6.1475189999999999E-2</v>
      </c>
      <c r="N4329">
        <v>-1.0349270000000001E-2</v>
      </c>
      <c r="O4329">
        <v>-0.99805520000000003</v>
      </c>
      <c r="P4329">
        <v>8.4763549999999993E-2</v>
      </c>
      <c r="Q4329">
        <v>0.3890439</v>
      </c>
      <c r="R4329">
        <v>-0.9173116</v>
      </c>
      <c r="S4329">
        <v>0.1281128</v>
      </c>
      <c r="T4329">
        <v>-0.36731659999999999</v>
      </c>
      <c r="U4329">
        <v>-3.4146730000000001</v>
      </c>
      <c r="V4329">
        <v>-0.1435466</v>
      </c>
      <c r="W4329">
        <v>0.39753339999999998</v>
      </c>
      <c r="X4329">
        <v>0.90629000000000004</v>
      </c>
      <c r="Y4329">
        <v>-9.8621630000000002E-2</v>
      </c>
      <c r="Z4329">
        <v>9.6044610000000002E-2</v>
      </c>
      <c r="AA4329">
        <v>0.99047929999999995</v>
      </c>
      <c r="AB4329">
        <v>43</v>
      </c>
      <c r="AC4329">
        <v>0.41260000000005398</v>
      </c>
      <c r="AD4329">
        <v>-1.1129308969031999</v>
      </c>
      <c r="AE4329">
        <v>-9.9376800000000003</v>
      </c>
      <c r="AF4329">
        <v>-1.0101256835652701</v>
      </c>
      <c r="AG4329">
        <v>-1.1129308969031999</v>
      </c>
      <c r="AH4329">
        <v>9.7711768731649293</v>
      </c>
      <c r="AI4329">
        <v>96.463796577604398</v>
      </c>
      <c r="AJ4329">
        <v>95.902162782616401</v>
      </c>
      <c r="AK4329">
        <v>9.88609460629187</v>
      </c>
      <c r="AL4329">
        <v>66.575930244130404</v>
      </c>
      <c r="AM4329">
        <v>99.000269238247398</v>
      </c>
      <c r="AN4329">
        <v>0.99999999729356004</v>
      </c>
    </row>
    <row r="4330" spans="1:40" x14ac:dyDescent="0.25">
      <c r="A4330" t="str">
        <f>"20190304164732236"</f>
        <v>20190304164732236</v>
      </c>
      <c r="B4330" t="str">
        <f>"1551689252223046"</f>
        <v>1551689252223046</v>
      </c>
      <c r="C4330" t="s">
        <v>40</v>
      </c>
      <c r="D4330">
        <v>4.8251049999999998</v>
      </c>
      <c r="E4330">
        <v>0.53137780000000001</v>
      </c>
      <c r="F4330" t="s">
        <v>42</v>
      </c>
      <c r="G4330">
        <v>-421.26740000000001</v>
      </c>
      <c r="H4330" s="1">
        <v>-7.6138159999999999E-7</v>
      </c>
      <c r="I4330">
        <v>70.577819999999903</v>
      </c>
      <c r="J4330">
        <v>-421.69779999999997</v>
      </c>
      <c r="K4330">
        <v>1.112919</v>
      </c>
      <c r="L4330">
        <v>80.403139999999993</v>
      </c>
      <c r="M4330">
        <v>-5.9262960000000003E-2</v>
      </c>
      <c r="N4330">
        <v>-1.058983E-2</v>
      </c>
      <c r="O4330">
        <v>-0.99818620000000002</v>
      </c>
      <c r="P4330">
        <v>8.7061940000000004E-2</v>
      </c>
      <c r="Q4330">
        <v>0.3880612</v>
      </c>
      <c r="R4330">
        <v>-0.9175122</v>
      </c>
      <c r="S4330">
        <v>0.13497919999999999</v>
      </c>
      <c r="T4330">
        <v>-0.37051770000000001</v>
      </c>
      <c r="U4330">
        <v>-3.4150999999999998</v>
      </c>
      <c r="V4330">
        <v>-0.1437842</v>
      </c>
      <c r="W4330">
        <v>0.39678819999999998</v>
      </c>
      <c r="X4330">
        <v>0.90657889999999997</v>
      </c>
      <c r="Y4330">
        <v>-9.8395689999999994E-2</v>
      </c>
      <c r="Z4330">
        <v>9.6727259999999995E-2</v>
      </c>
      <c r="AA4330">
        <v>0.99043530000000002</v>
      </c>
      <c r="AB4330">
        <v>43</v>
      </c>
      <c r="AC4330">
        <v>0.43039999999996298</v>
      </c>
      <c r="AD4330">
        <v>-1.1129197613816</v>
      </c>
      <c r="AE4330">
        <v>-9.8253200000000191</v>
      </c>
      <c r="AF4330">
        <v>-0.99915878393876001</v>
      </c>
      <c r="AG4330">
        <v>-1.1129197613816</v>
      </c>
      <c r="AH4330">
        <v>9.6588530085795803</v>
      </c>
      <c r="AI4330">
        <v>96.538208458621597</v>
      </c>
      <c r="AJ4330">
        <v>95.905947980381498</v>
      </c>
      <c r="AK4330">
        <v>9.7739628663169391</v>
      </c>
      <c r="AL4330">
        <v>66.622454636729202</v>
      </c>
      <c r="AM4330">
        <v>99.012096500714094</v>
      </c>
      <c r="AN4330">
        <v>1.0000000368770401</v>
      </c>
    </row>
    <row r="4331" spans="1:40" x14ac:dyDescent="0.25">
      <c r="A4331" t="str">
        <f>"20190304164732260"</f>
        <v>20190304164732260</v>
      </c>
      <c r="B4331" t="str">
        <f>"1551689252253304"</f>
        <v>1551689252253304</v>
      </c>
      <c r="C4331" t="s">
        <v>40</v>
      </c>
      <c r="D4331">
        <v>4.4122659999999998</v>
      </c>
      <c r="E4331">
        <v>0.56822969999999995</v>
      </c>
      <c r="F4331" t="s">
        <v>42</v>
      </c>
      <c r="G4331">
        <v>-421.28469999999999</v>
      </c>
      <c r="H4331" s="1">
        <v>-6.3511709999999995E-7</v>
      </c>
      <c r="I4331">
        <v>70.272769999999994</v>
      </c>
      <c r="J4331">
        <v>-421.72269999999997</v>
      </c>
      <c r="K4331">
        <v>1.1129</v>
      </c>
      <c r="L4331">
        <v>79.952579999999998</v>
      </c>
      <c r="M4331">
        <v>-5.7064009999999998E-2</v>
      </c>
      <c r="N4331">
        <v>-1.088507E-2</v>
      </c>
      <c r="O4331">
        <v>-0.99831119999999995</v>
      </c>
      <c r="P4331">
        <v>9.0113960000000007E-2</v>
      </c>
      <c r="Q4331">
        <v>0.3866096</v>
      </c>
      <c r="R4331">
        <v>-0.91783049999999999</v>
      </c>
      <c r="S4331">
        <v>0.13925170000000001</v>
      </c>
      <c r="T4331">
        <v>-0.37518879999999999</v>
      </c>
      <c r="U4331">
        <v>-3.4151609999999999</v>
      </c>
      <c r="V4331">
        <v>-0.1447648</v>
      </c>
      <c r="W4331">
        <v>0.39562799999999998</v>
      </c>
      <c r="X4331">
        <v>0.90692980000000001</v>
      </c>
      <c r="Y4331">
        <v>-9.7433950000000005E-2</v>
      </c>
      <c r="Z4331">
        <v>9.7792550000000006E-2</v>
      </c>
      <c r="AA4331">
        <v>0.99042580000000002</v>
      </c>
      <c r="AB4331">
        <v>43</v>
      </c>
      <c r="AC4331">
        <v>0.43799999999998801</v>
      </c>
      <c r="AD4331">
        <v>-1.1129006351171</v>
      </c>
      <c r="AE4331">
        <v>-9.6798100000000105</v>
      </c>
      <c r="AF4331">
        <v>-0.97680230656931299</v>
      </c>
      <c r="AG4331">
        <v>-1.1129006351171</v>
      </c>
      <c r="AH4331">
        <v>9.5135426458685508</v>
      </c>
      <c r="AI4331">
        <v>96.637592452459302</v>
      </c>
      <c r="AJ4331">
        <v>95.862297245700802</v>
      </c>
      <c r="AK4331">
        <v>9.62809348960233</v>
      </c>
      <c r="AL4331">
        <v>66.694853726484794</v>
      </c>
      <c r="AM4331">
        <v>99.069087715636897</v>
      </c>
      <c r="AN4331">
        <v>1.0000000119155299</v>
      </c>
    </row>
    <row r="4332" spans="1:40" x14ac:dyDescent="0.25">
      <c r="A4332" t="str">
        <f>"20190304164732284"</f>
        <v>20190304164732284</v>
      </c>
      <c r="B4332" t="str">
        <f>"1551689252273798"</f>
        <v>1551689252273798</v>
      </c>
      <c r="C4332" t="s">
        <v>40</v>
      </c>
      <c r="D4332">
        <v>4.596114</v>
      </c>
      <c r="E4332">
        <v>0.57040729999999995</v>
      </c>
      <c r="F4332" t="s">
        <v>41</v>
      </c>
      <c r="G4332">
        <v>-421.76350000000002</v>
      </c>
      <c r="H4332">
        <v>0.99571739999999997</v>
      </c>
      <c r="I4332">
        <v>78.963489999999993</v>
      </c>
      <c r="J4332">
        <v>-421.7475</v>
      </c>
      <c r="K4332">
        <v>1.1128709999999999</v>
      </c>
      <c r="L4332">
        <v>79.488219999999998</v>
      </c>
      <c r="M4332">
        <v>-5.4897210000000002E-2</v>
      </c>
      <c r="N4332">
        <v>-1.1218540000000001E-2</v>
      </c>
      <c r="O4332">
        <v>-0.99842920000000002</v>
      </c>
      <c r="P4332">
        <v>9.2136079999999995E-2</v>
      </c>
      <c r="Q4332">
        <v>0.38616899999999998</v>
      </c>
      <c r="R4332">
        <v>-0.91781539999999995</v>
      </c>
      <c r="S4332">
        <v>-0.14239499999999999</v>
      </c>
      <c r="T4332">
        <v>-0.40935440000000001</v>
      </c>
      <c r="U4332">
        <v>-3.454987</v>
      </c>
      <c r="V4332">
        <v>-0.14472449999999901</v>
      </c>
      <c r="W4332">
        <v>0.39552110000000001</v>
      </c>
      <c r="X4332">
        <v>0.90698279999999998</v>
      </c>
      <c r="Y4332">
        <v>-1.396008E-2</v>
      </c>
      <c r="Z4332">
        <v>0.1062038</v>
      </c>
      <c r="AA4332">
        <v>0.99424639999999997</v>
      </c>
      <c r="AB4332">
        <v>43</v>
      </c>
      <c r="AC4332">
        <v>-1.6000000000019499E-2</v>
      </c>
      <c r="AD4332">
        <v>-0.117153599999999</v>
      </c>
      <c r="AE4332">
        <v>-0.52472999999999104</v>
      </c>
      <c r="AF4332">
        <v>-1.22234153315587E-2</v>
      </c>
      <c r="AG4332">
        <v>-0.117153599999999</v>
      </c>
      <c r="AH4332">
        <v>0.49992060286361401</v>
      </c>
      <c r="AI4332">
        <v>103.18514644635501</v>
      </c>
      <c r="AJ4332">
        <v>91.400643603415205</v>
      </c>
      <c r="AK4332">
        <v>0.51360976143648895</v>
      </c>
      <c r="AL4332">
        <v>66.701521330046901</v>
      </c>
      <c r="AM4332">
        <v>99.0660839687486</v>
      </c>
      <c r="AN4332">
        <v>0.99999996047064899</v>
      </c>
    </row>
    <row r="4333" spans="1:40" x14ac:dyDescent="0.25">
      <c r="A4333" t="str">
        <f>"20190304164732302"</f>
        <v>20190304164732302</v>
      </c>
      <c r="B4333" t="str">
        <f>"1551689252293318"</f>
        <v>1551689252293318</v>
      </c>
      <c r="C4333" t="s">
        <v>40</v>
      </c>
      <c r="D4333">
        <v>4.6763139999999996</v>
      </c>
      <c r="E4333">
        <v>0.57115950000000004</v>
      </c>
      <c r="F4333" t="s">
        <v>41</v>
      </c>
      <c r="G4333">
        <v>-421.78809999999999</v>
      </c>
      <c r="H4333">
        <v>1.0027489999999999</v>
      </c>
      <c r="I4333">
        <v>78.581569999999999</v>
      </c>
      <c r="J4333">
        <v>-421.76560000000001</v>
      </c>
      <c r="K4333">
        <v>1.112852</v>
      </c>
      <c r="L4333">
        <v>79.135959999999997</v>
      </c>
      <c r="M4333">
        <v>-5.332721E-2</v>
      </c>
      <c r="N4333">
        <v>-1.150256E-2</v>
      </c>
      <c r="O4333">
        <v>-0.99851080000000003</v>
      </c>
      <c r="P4333">
        <v>9.3830810000000001E-2</v>
      </c>
      <c r="Q4333">
        <v>0.38508870000000001</v>
      </c>
      <c r="R4333">
        <v>-0.91809739999999995</v>
      </c>
      <c r="S4333">
        <v>-0.1534729</v>
      </c>
      <c r="T4333">
        <v>-0.42054219999999998</v>
      </c>
      <c r="U4333">
        <v>-3.4609679999999998</v>
      </c>
      <c r="V4333">
        <v>-0.1449308</v>
      </c>
      <c r="W4333">
        <v>0.39472479999999999</v>
      </c>
      <c r="X4333">
        <v>0.90729680000000001</v>
      </c>
      <c r="Y4333">
        <v>-9.2979540000000006E-3</v>
      </c>
      <c r="Z4333">
        <v>0.1088925</v>
      </c>
      <c r="AA4333">
        <v>0.99400999999999995</v>
      </c>
      <c r="AB4333">
        <v>43</v>
      </c>
      <c r="AC4333">
        <v>-2.2499999999979502E-2</v>
      </c>
      <c r="AD4333">
        <v>-0.11010300000000001</v>
      </c>
      <c r="AE4333">
        <v>-0.55438999999999705</v>
      </c>
      <c r="AF4333">
        <v>-6.8291318226012697E-3</v>
      </c>
      <c r="AG4333">
        <v>-0.11010300000000001</v>
      </c>
      <c r="AH4333">
        <v>0.53378177535446403</v>
      </c>
      <c r="AI4333">
        <v>101.653994916518</v>
      </c>
      <c r="AJ4333">
        <v>90.732994460820294</v>
      </c>
      <c r="AK4333">
        <v>0.54506173168826799</v>
      </c>
      <c r="AL4333">
        <v>66.751189430752405</v>
      </c>
      <c r="AM4333">
        <v>99.075702572435404</v>
      </c>
      <c r="AN4333">
        <v>1.0000000439069501</v>
      </c>
    </row>
    <row r="4334" spans="1:40" x14ac:dyDescent="0.25">
      <c r="A4334" t="str">
        <f>"20190304164732325"</f>
        <v>20190304164732325</v>
      </c>
      <c r="B4334" t="str">
        <f>"1551689252313481"</f>
        <v>1551689252313481</v>
      </c>
      <c r="C4334" t="s">
        <v>40</v>
      </c>
      <c r="D4334">
        <v>4.6881570000000004</v>
      </c>
      <c r="E4334">
        <v>0.57136290000000001</v>
      </c>
      <c r="F4334" t="s">
        <v>41</v>
      </c>
      <c r="G4334">
        <v>-421.8073</v>
      </c>
      <c r="H4334">
        <v>0.99640980000000001</v>
      </c>
      <c r="I4334">
        <v>78.20608</v>
      </c>
      <c r="J4334">
        <v>-421.78629999999998</v>
      </c>
      <c r="K4334">
        <v>1.112833</v>
      </c>
      <c r="L4334">
        <v>78.722899999999996</v>
      </c>
      <c r="M4334">
        <v>-5.1564390000000002E-2</v>
      </c>
      <c r="N4334">
        <v>-1.18683E-2</v>
      </c>
      <c r="O4334">
        <v>-0.99859909999999996</v>
      </c>
      <c r="P4334">
        <v>9.4708990000000007E-2</v>
      </c>
      <c r="Q4334">
        <v>0.3841541</v>
      </c>
      <c r="R4334">
        <v>-0.91839870000000001</v>
      </c>
      <c r="S4334">
        <v>-0.15448000000000001</v>
      </c>
      <c r="T4334">
        <v>-0.43406410000000001</v>
      </c>
      <c r="U4334">
        <v>-3.4654850000000001</v>
      </c>
      <c r="V4334">
        <v>-0.1441355</v>
      </c>
      <c r="W4334">
        <v>0.3941595</v>
      </c>
      <c r="X4334">
        <v>0.90766910000000001</v>
      </c>
      <c r="Y4334">
        <v>-7.3194799999999997E-3</v>
      </c>
      <c r="Z4334">
        <v>0.1122017</v>
      </c>
      <c r="AA4334">
        <v>0.9936585</v>
      </c>
      <c r="AB4334">
        <v>42</v>
      </c>
      <c r="AC4334">
        <v>-2.1000000000015E-2</v>
      </c>
      <c r="AD4334">
        <v>-0.11642319999999901</v>
      </c>
      <c r="AE4334">
        <v>-0.51681999999999495</v>
      </c>
      <c r="AF4334">
        <v>-5.4054740354565999E-3</v>
      </c>
      <c r="AG4334">
        <v>-0.11642319999999901</v>
      </c>
      <c r="AH4334">
        <v>0.49227553300573001</v>
      </c>
      <c r="AI4334">
        <v>103.305200207534</v>
      </c>
      <c r="AJ4334">
        <v>90.629115974729103</v>
      </c>
      <c r="AK4334">
        <v>0.50588415773165296</v>
      </c>
      <c r="AL4334">
        <v>66.786434835707396</v>
      </c>
      <c r="AM4334">
        <v>99.023080772836295</v>
      </c>
      <c r="AN4334">
        <v>0.99999997444765398</v>
      </c>
    </row>
    <row r="4335" spans="1:40" x14ac:dyDescent="0.25">
      <c r="A4335" t="str">
        <f>"20190304164732347"</f>
        <v>20190304164732347</v>
      </c>
      <c r="B4335" t="str">
        <f>"1551689252343737"</f>
        <v>1551689252343737</v>
      </c>
      <c r="C4335" t="s">
        <v>40</v>
      </c>
      <c r="D4335">
        <v>4.6661830000000002</v>
      </c>
      <c r="E4335">
        <v>0.57258809999999905</v>
      </c>
      <c r="F4335" t="s">
        <v>41</v>
      </c>
      <c r="G4335">
        <v>-421.8261</v>
      </c>
      <c r="H4335">
        <v>0.99783339999999998</v>
      </c>
      <c r="I4335">
        <v>77.827209999999994</v>
      </c>
      <c r="J4335">
        <v>-421.80689999999998</v>
      </c>
      <c r="K4335">
        <v>1.1128199999999999</v>
      </c>
      <c r="L4335">
        <v>78.293909999999997</v>
      </c>
      <c r="M4335">
        <v>-4.9803149999999997E-2</v>
      </c>
      <c r="N4335">
        <v>-1.2255479999999999E-2</v>
      </c>
      <c r="O4335">
        <v>-0.99868389999999996</v>
      </c>
      <c r="P4335">
        <v>9.4853160000000006E-2</v>
      </c>
      <c r="Q4335">
        <v>0.38393460000000001</v>
      </c>
      <c r="R4335">
        <v>-0.91847559999999995</v>
      </c>
      <c r="S4335">
        <v>-0.152832</v>
      </c>
      <c r="T4335">
        <v>-0.44552659999999999</v>
      </c>
      <c r="U4335">
        <v>-3.468658</v>
      </c>
      <c r="V4335">
        <v>-0.14260400000000001</v>
      </c>
      <c r="W4335">
        <v>0.3943296</v>
      </c>
      <c r="X4335">
        <v>0.90783720000000001</v>
      </c>
      <c r="Y4335">
        <v>-6.0822649999999999E-3</v>
      </c>
      <c r="Z4335">
        <v>0.1149471</v>
      </c>
      <c r="AA4335">
        <v>0.99335300000000004</v>
      </c>
      <c r="AB4335">
        <v>42</v>
      </c>
      <c r="AC4335">
        <v>-1.9200000000011999E-2</v>
      </c>
      <c r="AD4335">
        <v>-0.11498659999999999</v>
      </c>
      <c r="AE4335">
        <v>-0.466700000000003</v>
      </c>
      <c r="AF4335">
        <v>-3.8362231699228199E-3</v>
      </c>
      <c r="AG4335">
        <v>-0.11498659999999999</v>
      </c>
      <c r="AH4335">
        <v>0.44038876954794498</v>
      </c>
      <c r="AI4335">
        <v>104.632836681035</v>
      </c>
      <c r="AJ4335">
        <v>90.499090469142999</v>
      </c>
      <c r="AK4335">
        <v>0.45516909290034502</v>
      </c>
      <c r="AL4335">
        <v>66.775831934663799</v>
      </c>
      <c r="AM4335">
        <v>98.927132850865206</v>
      </c>
      <c r="AN4335">
        <v>1.00000005797799</v>
      </c>
    </row>
    <row r="4336" spans="1:40" x14ac:dyDescent="0.25">
      <c r="A4336" t="str">
        <f>"20190304164732370"</f>
        <v>20190304164732370</v>
      </c>
      <c r="B4336" t="str">
        <f>"1551689252363256"</f>
        <v>1551689252363256</v>
      </c>
      <c r="C4336" t="s">
        <v>40</v>
      </c>
      <c r="D4336">
        <v>4.7071290000000001</v>
      </c>
      <c r="E4336">
        <v>0.5726774</v>
      </c>
      <c r="F4336" t="s">
        <v>41</v>
      </c>
      <c r="G4336">
        <v>-421.84660000000002</v>
      </c>
      <c r="H4336">
        <v>1.0054419999999999</v>
      </c>
      <c r="I4336">
        <v>77.445939999999993</v>
      </c>
      <c r="J4336">
        <v>-421.82709999999997</v>
      </c>
      <c r="K4336">
        <v>1.1128009999999999</v>
      </c>
      <c r="L4336">
        <v>77.86157</v>
      </c>
      <c r="M4336">
        <v>-4.8080640000000001E-2</v>
      </c>
      <c r="N4336">
        <v>-1.262539E-2</v>
      </c>
      <c r="O4336">
        <v>-0.99876379999999998</v>
      </c>
      <c r="P4336">
        <v>9.4931600000000005E-2</v>
      </c>
      <c r="Q4336">
        <v>0.38475340000000002</v>
      </c>
      <c r="R4336">
        <v>-0.91812490000000002</v>
      </c>
      <c r="S4336">
        <v>-0.16189579999999901</v>
      </c>
      <c r="T4336">
        <v>-0.43899460000000001</v>
      </c>
      <c r="U4336">
        <v>-3.4665219999999999</v>
      </c>
      <c r="V4336">
        <v>-0.14103570000000001</v>
      </c>
      <c r="W4336">
        <v>0.3955128</v>
      </c>
      <c r="X4336">
        <v>0.90756740000000002</v>
      </c>
      <c r="Y4336">
        <v>-1.7312689999999999E-3</v>
      </c>
      <c r="Z4336">
        <v>0.11282929999999999</v>
      </c>
      <c r="AA4336">
        <v>0.99361290000000002</v>
      </c>
      <c r="AB4336">
        <v>42</v>
      </c>
      <c r="AC4336">
        <v>-1.9500000000050401E-2</v>
      </c>
      <c r="AD4336">
        <v>-0.107358999999999</v>
      </c>
      <c r="AE4336">
        <v>-0.41562999999999301</v>
      </c>
      <c r="AF4336">
        <v>-4.7619991972129902E-4</v>
      </c>
      <c r="AG4336">
        <v>-0.107358999999999</v>
      </c>
      <c r="AH4336">
        <v>0.39011513744203602</v>
      </c>
      <c r="AI4336">
        <v>105.386799635096</v>
      </c>
      <c r="AJ4336">
        <v>90.069938921703994</v>
      </c>
      <c r="AK4336">
        <v>0.40461834129063201</v>
      </c>
      <c r="AL4336">
        <v>66.702040440404403</v>
      </c>
      <c r="AM4336">
        <v>98.833095359764698</v>
      </c>
      <c r="AN4336">
        <v>1.0000000145905401</v>
      </c>
    </row>
    <row r="4337" spans="1:40" x14ac:dyDescent="0.25">
      <c r="A4337" t="str">
        <f>"20190304164732391"</f>
        <v>20190304164732391</v>
      </c>
      <c r="B4337" t="str">
        <f>"1551689252383753"</f>
        <v>1551689252383753</v>
      </c>
      <c r="C4337" t="s">
        <v>40</v>
      </c>
      <c r="D4337">
        <v>4.6974650000000002</v>
      </c>
      <c r="E4337">
        <v>0.57272000000000001</v>
      </c>
      <c r="F4337" t="s">
        <v>41</v>
      </c>
      <c r="G4337">
        <v>-421.86430000000001</v>
      </c>
      <c r="H4337">
        <v>1.011738</v>
      </c>
      <c r="I4337">
        <v>77.065519999999907</v>
      </c>
      <c r="J4337">
        <v>-421.84530000000001</v>
      </c>
      <c r="K4337">
        <v>1.112779</v>
      </c>
      <c r="L4337">
        <v>77.453919999999997</v>
      </c>
      <c r="M4337">
        <v>-4.6491310000000001E-2</v>
      </c>
      <c r="N4337">
        <v>-1.2943909999999999E-2</v>
      </c>
      <c r="O4337">
        <v>-0.99883469999999996</v>
      </c>
      <c r="P4337">
        <v>9.4852069999999997E-2</v>
      </c>
      <c r="Q4337">
        <v>0.38535170000000002</v>
      </c>
      <c r="R4337">
        <v>-0.91788179999999997</v>
      </c>
      <c r="S4337">
        <v>-0.16036989999999901</v>
      </c>
      <c r="T4337">
        <v>-0.44055060000000001</v>
      </c>
      <c r="U4337">
        <v>-3.4687190000000001</v>
      </c>
      <c r="V4337">
        <v>-0.1394493</v>
      </c>
      <c r="W4337">
        <v>0.39642480000000002</v>
      </c>
      <c r="X4337">
        <v>0.90741459999999996</v>
      </c>
      <c r="Y4337">
        <v>-6.0696589999999998E-4</v>
      </c>
      <c r="Z4337">
        <v>0.1128875</v>
      </c>
      <c r="AA4337">
        <v>0.99360760000000004</v>
      </c>
      <c r="AB4337">
        <v>42</v>
      </c>
      <c r="AC4337">
        <v>-1.9000000000005401E-2</v>
      </c>
      <c r="AD4337">
        <v>-0.10104100000000001</v>
      </c>
      <c r="AE4337">
        <v>-0.38840000000000402</v>
      </c>
      <c r="AF4337">
        <v>8.6248150688859795E-4</v>
      </c>
      <c r="AG4337">
        <v>-0.10104100000000001</v>
      </c>
      <c r="AH4337">
        <v>0.36426976985355802</v>
      </c>
      <c r="AI4337">
        <v>105.50288734000701</v>
      </c>
      <c r="AJ4337">
        <v>89.864341040625206</v>
      </c>
      <c r="AK4337">
        <v>0.37802446056375</v>
      </c>
      <c r="AL4337">
        <v>66.645134964221697</v>
      </c>
      <c r="AM4337">
        <v>98.736728020191507</v>
      </c>
      <c r="AN4337">
        <v>0.99999999280934404</v>
      </c>
    </row>
    <row r="4338" spans="1:40" x14ac:dyDescent="0.25">
      <c r="A4338" t="str">
        <f>"20190304164732414"</f>
        <v>20190304164732414</v>
      </c>
      <c r="B4338" t="str">
        <f>"1551689252403273"</f>
        <v>1551689252403273</v>
      </c>
      <c r="C4338" t="s">
        <v>40</v>
      </c>
      <c r="D4338">
        <v>4.7067969999999999</v>
      </c>
      <c r="E4338">
        <v>0.57281380000000004</v>
      </c>
      <c r="F4338" t="s">
        <v>41</v>
      </c>
      <c r="G4338">
        <v>-421.88080000000002</v>
      </c>
      <c r="H4338">
        <v>1.015077</v>
      </c>
      <c r="I4338">
        <v>76.686869999999999</v>
      </c>
      <c r="J4338">
        <v>-421.86320000000001</v>
      </c>
      <c r="K4338">
        <v>1.1127590000000001</v>
      </c>
      <c r="L4338">
        <v>77.039919999999995</v>
      </c>
      <c r="M4338">
        <v>-4.4899300000000003E-2</v>
      </c>
      <c r="N4338">
        <v>-1.3236110000000001E-2</v>
      </c>
      <c r="O4338">
        <v>-0.99890400000000001</v>
      </c>
      <c r="P4338">
        <v>9.6258449999999995E-2</v>
      </c>
      <c r="Q4338">
        <v>0.385656</v>
      </c>
      <c r="R4338">
        <v>-0.91760790000000003</v>
      </c>
      <c r="S4338">
        <v>-0.16033939999999999</v>
      </c>
      <c r="T4338">
        <v>-0.44206269999999998</v>
      </c>
      <c r="U4338">
        <v>-3.4705509999999999</v>
      </c>
      <c r="V4338">
        <v>-0.1393479</v>
      </c>
      <c r="W4338">
        <v>0.39700790000000002</v>
      </c>
      <c r="X4338">
        <v>0.90717519999999996</v>
      </c>
      <c r="Y4338">
        <v>9.5191749999999999E-4</v>
      </c>
      <c r="Z4338">
        <v>0.1129706</v>
      </c>
      <c r="AA4338">
        <v>0.99359790000000003</v>
      </c>
      <c r="AB4338">
        <v>42</v>
      </c>
      <c r="AC4338">
        <v>-1.7600000000015801E-2</v>
      </c>
      <c r="AD4338">
        <v>-9.7682000000000005E-2</v>
      </c>
      <c r="AE4338">
        <v>-0.35304999999999598</v>
      </c>
      <c r="AF4338">
        <v>1.6064886316912901E-3</v>
      </c>
      <c r="AG4338">
        <v>-9.7682000000000005E-2</v>
      </c>
      <c r="AH4338">
        <v>0.32840634321278001</v>
      </c>
      <c r="AI4338">
        <v>106.564527036025</v>
      </c>
      <c r="AJ4338">
        <v>89.719724401949705</v>
      </c>
      <c r="AK4338">
        <v>0.34262965457198002</v>
      </c>
      <c r="AL4338">
        <v>66.608738804018799</v>
      </c>
      <c r="AM4338">
        <v>98.732741484742107</v>
      </c>
      <c r="AN4338">
        <v>0.99999997669592899</v>
      </c>
    </row>
    <row r="4339" spans="1:40" x14ac:dyDescent="0.25">
      <c r="A4339" t="str">
        <f>"20190304164732437"</f>
        <v>20190304164732437</v>
      </c>
      <c r="B4339" t="str">
        <f>"1551689252433529"</f>
        <v>1551689252433529</v>
      </c>
      <c r="C4339" t="s">
        <v>40</v>
      </c>
      <c r="D4339">
        <v>4.7117849999999999</v>
      </c>
      <c r="E4339">
        <v>0.57286190000000003</v>
      </c>
      <c r="F4339" t="s">
        <v>41</v>
      </c>
      <c r="G4339">
        <v>-421.8963</v>
      </c>
      <c r="H4339">
        <v>1.0194030000000001</v>
      </c>
      <c r="I4339">
        <v>76.308109999999999</v>
      </c>
      <c r="J4339">
        <v>-421.88139999999999</v>
      </c>
      <c r="K4339">
        <v>1.112741</v>
      </c>
      <c r="L4339">
        <v>76.601749999999996</v>
      </c>
      <c r="M4339">
        <v>-4.3226090000000002E-2</v>
      </c>
      <c r="N4339">
        <v>-1.3510049999999999E-2</v>
      </c>
      <c r="O4339">
        <v>-0.99897429999999998</v>
      </c>
      <c r="P4339">
        <v>9.6731659999999997E-2</v>
      </c>
      <c r="Q4339">
        <v>0.3851928</v>
      </c>
      <c r="R4339">
        <v>-0.91775269999999998</v>
      </c>
      <c r="S4339">
        <v>-0.15539549999999999</v>
      </c>
      <c r="T4339">
        <v>-0.44307299999999999</v>
      </c>
      <c r="U4339">
        <v>-3.4718930000000001</v>
      </c>
      <c r="V4339">
        <v>-0.1382563</v>
      </c>
      <c r="W4339">
        <v>0.3968179</v>
      </c>
      <c r="X4339">
        <v>0.90742529999999999</v>
      </c>
      <c r="Y4339">
        <v>1.196969E-3</v>
      </c>
      <c r="Z4339">
        <v>0.1129516</v>
      </c>
      <c r="AA4339">
        <v>0.99359980000000003</v>
      </c>
      <c r="AB4339">
        <v>42</v>
      </c>
      <c r="AC4339">
        <v>-1.4900000000011401E-2</v>
      </c>
      <c r="AD4339">
        <v>-9.3337999999999893E-2</v>
      </c>
      <c r="AE4339">
        <v>-0.29363999999999602</v>
      </c>
      <c r="AF4339">
        <v>1.99132382612472E-3</v>
      </c>
      <c r="AG4339">
        <v>-9.3337999999999893E-2</v>
      </c>
      <c r="AH4339">
        <v>0.26709233524998999</v>
      </c>
      <c r="AI4339">
        <v>109.261965731315</v>
      </c>
      <c r="AJ4339">
        <v>89.572835600660994</v>
      </c>
      <c r="AK4339">
        <v>0.28293862084182397</v>
      </c>
      <c r="AL4339">
        <v>66.620598917297301</v>
      </c>
      <c r="AM4339">
        <v>98.663022743149995</v>
      </c>
      <c r="AN4339">
        <v>0.99999996266509406</v>
      </c>
    </row>
    <row r="4340" spans="1:40" x14ac:dyDescent="0.25">
      <c r="A4340" t="str">
        <f>"20190304164732463"</f>
        <v>20190304164732463</v>
      </c>
      <c r="B4340" t="str">
        <f>"1551689252453048"</f>
        <v>1551689252453048</v>
      </c>
      <c r="C4340" t="s">
        <v>40</v>
      </c>
      <c r="D4340">
        <v>4.7051080000000001</v>
      </c>
      <c r="E4340">
        <v>0.57296259999999999</v>
      </c>
      <c r="F4340" t="s">
        <v>41</v>
      </c>
      <c r="G4340">
        <v>-421.92680000000001</v>
      </c>
      <c r="H4340">
        <v>0.97982619999999998</v>
      </c>
      <c r="I4340">
        <v>75.575360000000003</v>
      </c>
      <c r="J4340">
        <v>-421.90109999999999</v>
      </c>
      <c r="K4340">
        <v>1.1127119999999999</v>
      </c>
      <c r="L4340">
        <v>76.103969999999904</v>
      </c>
      <c r="M4340">
        <v>-4.1330510000000001E-2</v>
      </c>
      <c r="N4340">
        <v>-1.378187E-2</v>
      </c>
      <c r="O4340">
        <v>-0.99905069999999996</v>
      </c>
      <c r="P4340">
        <v>9.8004579999999994E-2</v>
      </c>
      <c r="Q4340">
        <v>0.38444250000000002</v>
      </c>
      <c r="R4340">
        <v>-0.91793230000000003</v>
      </c>
      <c r="S4340">
        <v>-0.15261839999999999</v>
      </c>
      <c r="T4340">
        <v>-0.4499552</v>
      </c>
      <c r="U4340">
        <v>-3.4738159999999998</v>
      </c>
      <c r="V4340">
        <v>-0.13775689999999999</v>
      </c>
      <c r="W4340">
        <v>0.3963372</v>
      </c>
      <c r="X4340">
        <v>0.9077113</v>
      </c>
      <c r="Y4340">
        <v>2.2677560000000001E-3</v>
      </c>
      <c r="Z4340">
        <v>0.1145622</v>
      </c>
      <c r="AA4340">
        <v>0.99341349999999995</v>
      </c>
      <c r="AB4340">
        <v>42</v>
      </c>
      <c r="AC4340">
        <v>-2.5700000000028901E-2</v>
      </c>
      <c r="AD4340">
        <v>-0.1328858</v>
      </c>
      <c r="AE4340">
        <v>-0.52860999999998604</v>
      </c>
      <c r="AF4340">
        <v>3.6012016185082698E-3</v>
      </c>
      <c r="AG4340">
        <v>-0.1328858</v>
      </c>
      <c r="AH4340">
        <v>0.49783384032217398</v>
      </c>
      <c r="AI4340">
        <v>104.94502290635</v>
      </c>
      <c r="AJ4340">
        <v>89.585544335528496</v>
      </c>
      <c r="AK4340">
        <v>0.515276757737685</v>
      </c>
      <c r="AL4340">
        <v>66.650601374068799</v>
      </c>
      <c r="AM4340">
        <v>98.629524105547304</v>
      </c>
      <c r="AN4340">
        <v>0.99999997187456902</v>
      </c>
    </row>
    <row r="4341" spans="1:40" x14ac:dyDescent="0.25">
      <c r="A4341" t="str">
        <f>"20190304164732486"</f>
        <v>20190304164732486</v>
      </c>
      <c r="B4341" t="str">
        <f>"1551689252473545"</f>
        <v>1551689252473545</v>
      </c>
      <c r="C4341" t="s">
        <v>40</v>
      </c>
      <c r="D4341">
        <v>4.720904</v>
      </c>
      <c r="E4341">
        <v>0.57303119999999996</v>
      </c>
      <c r="F4341" t="s">
        <v>41</v>
      </c>
      <c r="G4341">
        <v>-421.94009999999997</v>
      </c>
      <c r="H4341">
        <v>0.99314179999999996</v>
      </c>
      <c r="I4341">
        <v>75.1935</v>
      </c>
      <c r="J4341">
        <v>-421.9171</v>
      </c>
      <c r="K4341">
        <v>1.1126940000000001</v>
      </c>
      <c r="L4341">
        <v>75.681979999999996</v>
      </c>
      <c r="M4341">
        <v>-3.9725820000000002E-2</v>
      </c>
      <c r="N4341">
        <v>-1.398336E-2</v>
      </c>
      <c r="O4341">
        <v>-0.99911280000000002</v>
      </c>
      <c r="P4341">
        <v>9.9278669999999999E-2</v>
      </c>
      <c r="Q4341">
        <v>0.38396839999999999</v>
      </c>
      <c r="R4341">
        <v>-0.91799370000000002</v>
      </c>
      <c r="S4341">
        <v>-0.14837649999999999</v>
      </c>
      <c r="T4341">
        <v>-0.45646639999999999</v>
      </c>
      <c r="U4341">
        <v>-3.47525</v>
      </c>
      <c r="V4341">
        <v>-0.1375284</v>
      </c>
      <c r="W4341">
        <v>0.39606229999999998</v>
      </c>
      <c r="X4341">
        <v>0.9078659</v>
      </c>
      <c r="Y4341">
        <v>2.6371950000000002E-3</v>
      </c>
      <c r="Z4341">
        <v>0.11615209999999999</v>
      </c>
      <c r="AA4341">
        <v>0.993228</v>
      </c>
      <c r="AB4341">
        <v>42</v>
      </c>
      <c r="AC4341">
        <v>-2.2999999999967699E-2</v>
      </c>
      <c r="AD4341">
        <v>-0.1195522</v>
      </c>
      <c r="AE4341">
        <v>-0.48848000000000902</v>
      </c>
      <c r="AF4341">
        <v>3.3730772904670301E-3</v>
      </c>
      <c r="AG4341">
        <v>-0.1195522</v>
      </c>
      <c r="AH4341">
        <v>0.46142993206173299</v>
      </c>
      <c r="AI4341">
        <v>104.525033096852</v>
      </c>
      <c r="AJ4341">
        <v>89.581172271370804</v>
      </c>
      <c r="AK4341">
        <v>0.47667776157247199</v>
      </c>
      <c r="AL4341">
        <v>66.667755273702397</v>
      </c>
      <c r="AM4341">
        <v>98.613980005792598</v>
      </c>
      <c r="AN4341">
        <v>0.99999994933532799</v>
      </c>
    </row>
    <row r="4342" spans="1:40" x14ac:dyDescent="0.25">
      <c r="A4342" t="str">
        <f>"20190304164732505"</f>
        <v>20190304164732505</v>
      </c>
      <c r="B4342" t="str">
        <f>"1551689252493064"</f>
        <v>1551689252493064</v>
      </c>
      <c r="C4342" t="s">
        <v>40</v>
      </c>
      <c r="D4342">
        <v>4.7208699999999997</v>
      </c>
      <c r="E4342">
        <v>0.57313319999999901</v>
      </c>
      <c r="F4342" t="s">
        <v>41</v>
      </c>
      <c r="G4342">
        <v>-421.95339999999999</v>
      </c>
      <c r="H4342">
        <v>0.99814530000000001</v>
      </c>
      <c r="I4342">
        <v>74.816100000000006</v>
      </c>
      <c r="J4342">
        <v>-421.9307</v>
      </c>
      <c r="K4342">
        <v>1.1126739999999999</v>
      </c>
      <c r="L4342">
        <v>75.309719999999999</v>
      </c>
      <c r="M4342">
        <v>-3.832004E-2</v>
      </c>
      <c r="N4342">
        <v>-1.4139860000000001E-2</v>
      </c>
      <c r="O4342">
        <v>-0.99916559999999999</v>
      </c>
      <c r="P4342">
        <v>0.10034750000000001</v>
      </c>
      <c r="Q4342">
        <v>0.38478250000000003</v>
      </c>
      <c r="R4342">
        <v>-0.91753649999999998</v>
      </c>
      <c r="S4342">
        <v>-0.14425660000000001</v>
      </c>
      <c r="T4342">
        <v>-0.45997080000000001</v>
      </c>
      <c r="U4342">
        <v>-3.4759829999999998</v>
      </c>
      <c r="V4342">
        <v>-0.13726569999999999</v>
      </c>
      <c r="W4342">
        <v>0.39702670000000001</v>
      </c>
      <c r="X4342">
        <v>0.90748439999999997</v>
      </c>
      <c r="Y4342">
        <v>2.855822E-3</v>
      </c>
      <c r="Z4342">
        <v>0.1169656</v>
      </c>
      <c r="AA4342">
        <v>0.99313189999999996</v>
      </c>
      <c r="AB4342">
        <v>42</v>
      </c>
      <c r="AC4342">
        <v>-2.2699999999986099E-2</v>
      </c>
      <c r="AD4342">
        <v>-0.114528699999999</v>
      </c>
      <c r="AE4342">
        <v>-0.49361999999999201</v>
      </c>
      <c r="AF4342">
        <v>3.57391103352379E-3</v>
      </c>
      <c r="AG4342">
        <v>-0.114528699999999</v>
      </c>
      <c r="AH4342">
        <v>0.46893664534827201</v>
      </c>
      <c r="AI4342">
        <v>103.724325190926</v>
      </c>
      <c r="AJ4342">
        <v>89.563339619325703</v>
      </c>
      <c r="AK4342">
        <v>0.482733024884621</v>
      </c>
      <c r="AL4342">
        <v>66.6075658759205</v>
      </c>
      <c r="AM4342">
        <v>98.601332522398494</v>
      </c>
      <c r="AN4342">
        <v>1.0000000045763699</v>
      </c>
    </row>
    <row r="4343" spans="1:40" x14ac:dyDescent="0.25">
      <c r="A4343" t="str">
        <f>"20190304164732525"</f>
        <v>20190304164732525</v>
      </c>
      <c r="B4343" t="str">
        <f>"1551689252513561"</f>
        <v>1551689252513561</v>
      </c>
      <c r="C4343" t="s">
        <v>40</v>
      </c>
      <c r="D4343">
        <v>4.7256450000000001</v>
      </c>
      <c r="E4343">
        <v>0.57319059999999999</v>
      </c>
      <c r="F4343" t="s">
        <v>41</v>
      </c>
      <c r="G4343">
        <v>-421.96600000000001</v>
      </c>
      <c r="H4343">
        <v>0.99835430000000003</v>
      </c>
      <c r="I4343">
        <v>74.441379999999995</v>
      </c>
      <c r="J4343">
        <v>-421.9436</v>
      </c>
      <c r="K4343">
        <v>1.1126419999999999</v>
      </c>
      <c r="L4343">
        <v>74.941990000000004</v>
      </c>
      <c r="M4343">
        <v>-3.695507E-2</v>
      </c>
      <c r="N4343">
        <v>-1.42766E-2</v>
      </c>
      <c r="O4343">
        <v>-0.99921519999999997</v>
      </c>
      <c r="P4343">
        <v>0.1017985</v>
      </c>
      <c r="Q4343">
        <v>0.38529289999999999</v>
      </c>
      <c r="R4343">
        <v>-0.91716229999999999</v>
      </c>
      <c r="S4343">
        <v>-0.14041139999999999</v>
      </c>
      <c r="T4343">
        <v>-0.45783570000000001</v>
      </c>
      <c r="U4343">
        <v>-3.4769899999999998</v>
      </c>
      <c r="V4343">
        <v>-0.13741999999999999</v>
      </c>
      <c r="W4343">
        <v>0.39766950000000001</v>
      </c>
      <c r="X4343">
        <v>0.90717950000000003</v>
      </c>
      <c r="Y4343">
        <v>3.1167679999999998E-3</v>
      </c>
      <c r="Z4343">
        <v>0.1162062</v>
      </c>
      <c r="AA4343">
        <v>0.9932202</v>
      </c>
      <c r="AB4343">
        <v>42</v>
      </c>
      <c r="AC4343">
        <v>-2.24000000000046E-2</v>
      </c>
      <c r="AD4343">
        <v>-0.11428770000000001</v>
      </c>
      <c r="AE4343">
        <v>-0.500609999999994</v>
      </c>
      <c r="AF4343">
        <v>3.69076145601994E-3</v>
      </c>
      <c r="AG4343">
        <v>-0.11428770000000001</v>
      </c>
      <c r="AH4343">
        <v>0.47631992152810798</v>
      </c>
      <c r="AI4343">
        <v>103.49203541409</v>
      </c>
      <c r="AJ4343">
        <v>89.5560529527433</v>
      </c>
      <c r="AK4343">
        <v>0.48985300625387401</v>
      </c>
      <c r="AL4343">
        <v>66.567430882663203</v>
      </c>
      <c r="AM4343">
        <v>98.613707081577701</v>
      </c>
      <c r="AN4343">
        <v>0.99999996642524902</v>
      </c>
    </row>
    <row r="4344" spans="1:40" x14ac:dyDescent="0.25">
      <c r="A4344" t="str">
        <f>"20190304164732549"</f>
        <v>20190304164732549</v>
      </c>
      <c r="B4344" t="str">
        <f>"1551689252543818"</f>
        <v>1551689252543818</v>
      </c>
      <c r="C4344" t="s">
        <v>40</v>
      </c>
      <c r="D4344">
        <v>4.7026059999999896</v>
      </c>
      <c r="E4344">
        <v>0.57332510000000003</v>
      </c>
      <c r="F4344" t="s">
        <v>41</v>
      </c>
      <c r="G4344">
        <v>-421.97789999999998</v>
      </c>
      <c r="H4344">
        <v>0.99774839999999998</v>
      </c>
      <c r="I4344">
        <v>74.06747</v>
      </c>
      <c r="J4344">
        <v>-421.95839999999998</v>
      </c>
      <c r="K4344">
        <v>1.112598</v>
      </c>
      <c r="L4344">
        <v>74.503299999999996</v>
      </c>
      <c r="M4344">
        <v>-3.5375789999999997E-2</v>
      </c>
      <c r="N4344">
        <v>-1.4419019999999999E-2</v>
      </c>
      <c r="O4344">
        <v>-0.99927029999999994</v>
      </c>
      <c r="P4344">
        <v>0.10447240000000001</v>
      </c>
      <c r="Q4344">
        <v>0.38574399999999998</v>
      </c>
      <c r="R4344">
        <v>-0.91667200000000004</v>
      </c>
      <c r="S4344">
        <v>-0.1358337</v>
      </c>
      <c r="T4344">
        <v>-0.45699719999999999</v>
      </c>
      <c r="U4344">
        <v>-3.4779969999999998</v>
      </c>
      <c r="V4344">
        <v>-0.13858090000000001</v>
      </c>
      <c r="W4344">
        <v>0.3982579</v>
      </c>
      <c r="X4344">
        <v>0.90674480000000002</v>
      </c>
      <c r="Y4344">
        <v>3.381921E-3</v>
      </c>
      <c r="Z4344">
        <v>0.115806199999999</v>
      </c>
      <c r="AA4344">
        <v>0.99326599999999998</v>
      </c>
      <c r="AB4344">
        <v>42</v>
      </c>
      <c r="AC4344">
        <v>-1.9499999999993599E-2</v>
      </c>
      <c r="AD4344">
        <v>-0.114849599999999</v>
      </c>
      <c r="AE4344">
        <v>-0.435829999999995</v>
      </c>
      <c r="AF4344">
        <v>3.80468372251936E-3</v>
      </c>
      <c r="AG4344">
        <v>-0.114849599999999</v>
      </c>
      <c r="AH4344">
        <v>0.40797302285869502</v>
      </c>
      <c r="AI4344">
        <v>105.721936957162</v>
      </c>
      <c r="AJ4344">
        <v>89.465685258259896</v>
      </c>
      <c r="AK4344">
        <v>0.42384772456490699</v>
      </c>
      <c r="AL4344">
        <v>66.5306854246993</v>
      </c>
      <c r="AM4344">
        <v>98.689469357807596</v>
      </c>
      <c r="AN4344">
        <v>1.00000007654212</v>
      </c>
    </row>
    <row r="4345" spans="1:40" x14ac:dyDescent="0.25">
      <c r="A4345" t="str">
        <f>"20190304164732572"</f>
        <v>20190304164732572</v>
      </c>
      <c r="B4345" t="str">
        <f>"1551689252563336"</f>
        <v>1551689252563336</v>
      </c>
      <c r="C4345" t="s">
        <v>40</v>
      </c>
      <c r="D4345">
        <v>4.691516</v>
      </c>
      <c r="E4345">
        <v>0.57343299999999997</v>
      </c>
      <c r="F4345" t="s">
        <v>41</v>
      </c>
      <c r="G4345">
        <v>-421.9889</v>
      </c>
      <c r="H4345">
        <v>1.0059400000000001</v>
      </c>
      <c r="I4345">
        <v>73.689669999999893</v>
      </c>
      <c r="J4345">
        <v>-421.97219999999999</v>
      </c>
      <c r="K4345">
        <v>1.1125400000000001</v>
      </c>
      <c r="L4345">
        <v>74.076139999999995</v>
      </c>
      <c r="M4345">
        <v>-3.3911570000000002E-2</v>
      </c>
      <c r="N4345">
        <v>-1.453812E-2</v>
      </c>
      <c r="O4345">
        <v>-0.99931910000000002</v>
      </c>
      <c r="P4345">
        <v>0.10818899999999999</v>
      </c>
      <c r="Q4345">
        <v>0.38653759999999998</v>
      </c>
      <c r="R4345">
        <v>-0.91590609999999995</v>
      </c>
      <c r="S4345">
        <v>-0.1289063</v>
      </c>
      <c r="T4345">
        <v>-0.45623160000000001</v>
      </c>
      <c r="U4345">
        <v>-3.4793699999999999</v>
      </c>
      <c r="V4345">
        <v>-0.1408681</v>
      </c>
      <c r="W4345">
        <v>0.3991635</v>
      </c>
      <c r="X4345">
        <v>0.90599379999999996</v>
      </c>
      <c r="Y4345">
        <v>2.8591990000000002E-3</v>
      </c>
      <c r="Z4345">
        <v>0.1154367</v>
      </c>
      <c r="AA4345">
        <v>0.99331069999999999</v>
      </c>
      <c r="AB4345">
        <v>42</v>
      </c>
      <c r="AC4345">
        <v>-1.6700000000014301E-2</v>
      </c>
      <c r="AD4345">
        <v>-0.106599999999999</v>
      </c>
      <c r="AE4345">
        <v>-0.38647000000001602</v>
      </c>
      <c r="AF4345">
        <v>3.3302990598139898E-3</v>
      </c>
      <c r="AG4345">
        <v>-0.106599999999999</v>
      </c>
      <c r="AH4345">
        <v>0.35951254083466599</v>
      </c>
      <c r="AI4345">
        <v>106.515084082995</v>
      </c>
      <c r="AJ4345">
        <v>89.469262956407107</v>
      </c>
      <c r="AK4345">
        <v>0.37499855720952402</v>
      </c>
      <c r="AL4345">
        <v>66.474105850154899</v>
      </c>
      <c r="AM4345">
        <v>98.837846126278507</v>
      </c>
      <c r="AN4345">
        <v>1.0000000434841401</v>
      </c>
    </row>
    <row r="4346" spans="1:40" x14ac:dyDescent="0.25">
      <c r="A4346" t="str">
        <f>"20190304164732592"</f>
        <v>20190304164732592</v>
      </c>
      <c r="B4346" t="str">
        <f>"1551689252583833"</f>
        <v>1551689252583833</v>
      </c>
      <c r="C4346" t="s">
        <v>40</v>
      </c>
      <c r="D4346">
        <v>4.7246629999999996</v>
      </c>
      <c r="E4346">
        <v>0.57348669999999902</v>
      </c>
      <c r="F4346" t="s">
        <v>41</v>
      </c>
      <c r="G4346">
        <v>-421.99860000000001</v>
      </c>
      <c r="H4346">
        <v>1.013191</v>
      </c>
      <c r="I4346">
        <v>73.312650000000005</v>
      </c>
      <c r="J4346">
        <v>-421.98439999999999</v>
      </c>
      <c r="K4346">
        <v>1.1124719999999999</v>
      </c>
      <c r="L4346">
        <v>73.685550000000006</v>
      </c>
      <c r="M4346">
        <v>-3.266173E-2</v>
      </c>
      <c r="N4346">
        <v>-1.463155E-2</v>
      </c>
      <c r="O4346">
        <v>-0.99935949999999996</v>
      </c>
      <c r="P4346">
        <v>0.11161310000000001</v>
      </c>
      <c r="Q4346">
        <v>0.38622459999999997</v>
      </c>
      <c r="R4346">
        <v>-0.91562739999999998</v>
      </c>
      <c r="S4346">
        <v>-0.118927</v>
      </c>
      <c r="T4346">
        <v>-0.45301619999999998</v>
      </c>
      <c r="U4346">
        <v>-3.4806819999999998</v>
      </c>
      <c r="V4346">
        <v>-0.1430612</v>
      </c>
      <c r="W4346">
        <v>0.39895049999999999</v>
      </c>
      <c r="X4346">
        <v>0.90574390000000005</v>
      </c>
      <c r="Y4346">
        <v>1.2574979999999999E-3</v>
      </c>
      <c r="Z4346">
        <v>0.1144083</v>
      </c>
      <c r="AA4346">
        <v>0.99343300000000001</v>
      </c>
      <c r="AB4346">
        <v>42</v>
      </c>
      <c r="AC4346">
        <v>-1.42000000000166E-2</v>
      </c>
      <c r="AD4346">
        <v>-9.9280999999999897E-2</v>
      </c>
      <c r="AE4346">
        <v>-0.37290000000000101</v>
      </c>
      <c r="AF4346">
        <v>1.87859176274327E-3</v>
      </c>
      <c r="AG4346">
        <v>-9.9280999999999897E-2</v>
      </c>
      <c r="AH4346">
        <v>0.34849774275262102</v>
      </c>
      <c r="AI4346">
        <v>105.901119847457</v>
      </c>
      <c r="AJ4346">
        <v>89.691147678469903</v>
      </c>
      <c r="AK4346">
        <v>0.36236849031294499</v>
      </c>
      <c r="AL4346">
        <v>66.487414713074799</v>
      </c>
      <c r="AM4346">
        <v>98.975651172065696</v>
      </c>
      <c r="AN4346">
        <v>1.0000000103914499</v>
      </c>
    </row>
    <row r="4347" spans="1:40" x14ac:dyDescent="0.25">
      <c r="A4347" t="str">
        <f>"20190304164732615"</f>
        <v>20190304164732615</v>
      </c>
      <c r="B4347" t="str">
        <f>"1551689252603353"</f>
        <v>1551689252603353</v>
      </c>
      <c r="C4347" t="s">
        <v>40</v>
      </c>
      <c r="D4347">
        <v>4.5336850000000002</v>
      </c>
      <c r="E4347">
        <v>0.57329090000000005</v>
      </c>
      <c r="F4347" t="s">
        <v>41</v>
      </c>
      <c r="G4347">
        <v>-422.00760000000002</v>
      </c>
      <c r="H4347">
        <v>1.014826</v>
      </c>
      <c r="I4347">
        <v>72.938689999999994</v>
      </c>
      <c r="J4347">
        <v>-421.99680000000001</v>
      </c>
      <c r="K4347">
        <v>1.1123639999999999</v>
      </c>
      <c r="L4347">
        <v>73.273709999999994</v>
      </c>
      <c r="M4347">
        <v>-3.1461339999999997E-2</v>
      </c>
      <c r="N4347">
        <v>-1.4716419999999999E-2</v>
      </c>
      <c r="O4347">
        <v>-0.99939690000000003</v>
      </c>
      <c r="P4347">
        <v>0.1152411</v>
      </c>
      <c r="Q4347">
        <v>0.38588359999999999</v>
      </c>
      <c r="R4347">
        <v>-0.91532179999999996</v>
      </c>
      <c r="S4347">
        <v>-0.1079407</v>
      </c>
      <c r="T4347">
        <v>-0.4552274</v>
      </c>
      <c r="U4347">
        <v>-3.4816280000000002</v>
      </c>
      <c r="V4347">
        <v>-0.14547950000000001</v>
      </c>
      <c r="W4347">
        <v>0.39871010000000001</v>
      </c>
      <c r="X4347">
        <v>0.90546450000000001</v>
      </c>
      <c r="Y4347">
        <v>-6.8183860000000003E-4</v>
      </c>
      <c r="Z4347">
        <v>0.1149222</v>
      </c>
      <c r="AA4347">
        <v>0.99337430000000004</v>
      </c>
      <c r="AB4347">
        <v>42</v>
      </c>
      <c r="AC4347">
        <v>-1.08000000000174E-2</v>
      </c>
      <c r="AD4347">
        <v>-9.7537999999999903E-2</v>
      </c>
      <c r="AE4347">
        <v>-0.335019999999985</v>
      </c>
      <c r="AF4347">
        <v>2.3355914063284499E-4</v>
      </c>
      <c r="AG4347">
        <v>-9.7537999999999903E-2</v>
      </c>
      <c r="AH4347">
        <v>0.30902707504845001</v>
      </c>
      <c r="AI4347">
        <v>107.517218317868</v>
      </c>
      <c r="AJ4347">
        <v>89.956696511220301</v>
      </c>
      <c r="AK4347">
        <v>0.324054700794283</v>
      </c>
      <c r="AL4347">
        <v>66.502434534782907</v>
      </c>
      <c r="AM4347">
        <v>99.127611599408198</v>
      </c>
      <c r="AN4347">
        <v>0.99999999476125501</v>
      </c>
    </row>
    <row r="4348" spans="1:40" x14ac:dyDescent="0.25">
      <c r="A4348" t="str">
        <f>"20190304164732638"</f>
        <v>20190304164732638</v>
      </c>
      <c r="B4348" t="str">
        <f>"1551689252633609"</f>
        <v>1551689252633609</v>
      </c>
      <c r="C4348" t="s">
        <v>40</v>
      </c>
      <c r="D4348">
        <v>4.5748769999999999</v>
      </c>
      <c r="E4348">
        <v>0.49602499999999999</v>
      </c>
      <c r="F4348" t="s">
        <v>41</v>
      </c>
      <c r="G4348">
        <v>-422.0256</v>
      </c>
      <c r="H4348">
        <v>0.97381099999999998</v>
      </c>
      <c r="I4348">
        <v>72.213489999999993</v>
      </c>
      <c r="J4348">
        <v>-422.0093</v>
      </c>
      <c r="K4348">
        <v>1.112249</v>
      </c>
      <c r="L4348">
        <v>72.843630000000005</v>
      </c>
      <c r="M4348">
        <v>-3.0359319999999999E-2</v>
      </c>
      <c r="N4348">
        <v>-1.4791210000000001E-2</v>
      </c>
      <c r="O4348">
        <v>-0.99942969999999998</v>
      </c>
      <c r="P4348">
        <v>0.1177228</v>
      </c>
      <c r="Q4348">
        <v>0.38586140000000002</v>
      </c>
      <c r="R4348">
        <v>-0.91501529999999998</v>
      </c>
      <c r="S4348">
        <v>-9.408569E-2</v>
      </c>
      <c r="T4348">
        <v>-0.4549607</v>
      </c>
      <c r="U4348">
        <v>-3.4811709999999998</v>
      </c>
      <c r="V4348">
        <v>-0.14682200000000001</v>
      </c>
      <c r="W4348">
        <v>0.39879229999999999</v>
      </c>
      <c r="X4348">
        <v>0.90521160000000001</v>
      </c>
      <c r="Y4348">
        <v>-3.5219719999999999E-3</v>
      </c>
      <c r="Z4348">
        <v>0.1148023</v>
      </c>
      <c r="AA4348">
        <v>0.99338210000000005</v>
      </c>
      <c r="AB4348">
        <v>42</v>
      </c>
      <c r="AC4348">
        <v>-1.6300000000001001E-2</v>
      </c>
      <c r="AD4348">
        <v>-0.13843799999999901</v>
      </c>
      <c r="AE4348">
        <v>-0.63013999999999704</v>
      </c>
      <c r="AF4348">
        <v>-2.7095385266858898E-3</v>
      </c>
      <c r="AG4348">
        <v>-0.13843799999999901</v>
      </c>
      <c r="AH4348">
        <v>0.60133984176933797</v>
      </c>
      <c r="AI4348">
        <v>102.964386100312</v>
      </c>
      <c r="AJ4348">
        <v>90.258163621653594</v>
      </c>
      <c r="AK4348">
        <v>0.61707538173403098</v>
      </c>
      <c r="AL4348">
        <v>66.497299481199505</v>
      </c>
      <c r="AM4348">
        <v>99.212934079816193</v>
      </c>
      <c r="AN4348">
        <v>1.00000001949892</v>
      </c>
    </row>
    <row r="4349" spans="1:40" x14ac:dyDescent="0.25">
      <c r="A4349" t="str">
        <f>"20190304164732662"</f>
        <v>20190304164732662</v>
      </c>
      <c r="B4349" t="str">
        <f>"1551689252653128"</f>
        <v>1551689252653128</v>
      </c>
      <c r="C4349" t="s">
        <v>40</v>
      </c>
      <c r="D4349">
        <v>4.602665</v>
      </c>
      <c r="E4349">
        <v>0.48577730000000002</v>
      </c>
      <c r="F4349" t="s">
        <v>42</v>
      </c>
      <c r="G4349">
        <v>-419.4572</v>
      </c>
      <c r="H4349" s="1">
        <v>-2.9177149999999998E-6</v>
      </c>
      <c r="I4349">
        <v>56.209620000000001</v>
      </c>
      <c r="J4349">
        <v>-422.02249999999998</v>
      </c>
      <c r="K4349">
        <v>1.112128</v>
      </c>
      <c r="L4349">
        <v>72.377229999999997</v>
      </c>
      <c r="M4349">
        <v>-2.9309640000000001E-2</v>
      </c>
      <c r="N4349">
        <v>-1.485976E-2</v>
      </c>
      <c r="O4349">
        <v>-0.99946000000000002</v>
      </c>
      <c r="P4349">
        <v>0.11943040000000001</v>
      </c>
      <c r="Q4349">
        <v>0.38689649999999998</v>
      </c>
      <c r="R4349">
        <v>-0.91435650000000002</v>
      </c>
      <c r="S4349">
        <v>0.5073242</v>
      </c>
      <c r="T4349">
        <v>-0.2211022</v>
      </c>
      <c r="U4349">
        <v>-3.3066409999999999</v>
      </c>
      <c r="V4349">
        <v>-0.14742179999999999</v>
      </c>
      <c r="W4349">
        <v>0.39992800000000001</v>
      </c>
      <c r="X4349">
        <v>0.90461279999999999</v>
      </c>
      <c r="Y4349">
        <v>-0.1802552</v>
      </c>
      <c r="Z4349">
        <v>5.0877329999999998E-2</v>
      </c>
      <c r="AA4349">
        <v>0.98230320000000004</v>
      </c>
      <c r="AB4349">
        <v>42</v>
      </c>
      <c r="AC4349">
        <v>2.5652999999999802</v>
      </c>
      <c r="AD4349">
        <v>-1.1121309177150001</v>
      </c>
      <c r="AE4349">
        <v>-16.16761</v>
      </c>
      <c r="AF4349">
        <v>-3.0241586684632802</v>
      </c>
      <c r="AG4349">
        <v>-1.1121309177150001</v>
      </c>
      <c r="AH4349">
        <v>16.011564332162099</v>
      </c>
      <c r="AI4349">
        <v>93.904455068249604</v>
      </c>
      <c r="AJ4349">
        <v>100.69565411261</v>
      </c>
      <c r="AK4349">
        <v>16.332561440054199</v>
      </c>
      <c r="AL4349">
        <v>66.426321389492003</v>
      </c>
      <c r="AM4349">
        <v>99.255938617285295</v>
      </c>
      <c r="AN4349">
        <v>0.99999995511153805</v>
      </c>
    </row>
    <row r="4350" spans="1:40" x14ac:dyDescent="0.25">
      <c r="A4350" t="str">
        <f>"20190304164732705"</f>
        <v>20190304164732705</v>
      </c>
      <c r="B4350" t="str">
        <f>"1551689252693145"</f>
        <v>1551689252693145</v>
      </c>
      <c r="C4350" t="s">
        <v>40</v>
      </c>
      <c r="D4350">
        <v>4.5391839999999997</v>
      </c>
      <c r="E4350">
        <v>0.48030240000000002</v>
      </c>
      <c r="F4350" t="s">
        <v>42</v>
      </c>
      <c r="G4350">
        <v>-419.27550000000002</v>
      </c>
      <c r="H4350" s="1">
        <v>-3.370616E-6</v>
      </c>
      <c r="I4350">
        <v>57.190179999999998</v>
      </c>
      <c r="J4350">
        <v>-422.04360000000003</v>
      </c>
      <c r="K4350">
        <v>1.111918</v>
      </c>
      <c r="L4350">
        <v>71.604429999999994</v>
      </c>
      <c r="M4350">
        <v>-2.7909819999999998E-2</v>
      </c>
      <c r="N4350">
        <v>-1.4950069999999999E-2</v>
      </c>
      <c r="O4350">
        <v>-0.99949860000000001</v>
      </c>
      <c r="P4350">
        <v>0.12105249999999999</v>
      </c>
      <c r="Q4350">
        <v>0.38857510000000001</v>
      </c>
      <c r="R4350">
        <v>-0.91343070000000004</v>
      </c>
      <c r="S4350">
        <v>0.59786989999999995</v>
      </c>
      <c r="T4350">
        <v>-0.2420456</v>
      </c>
      <c r="U4350">
        <v>-3.3053279999999998</v>
      </c>
      <c r="V4350">
        <v>-0.14752879999999999</v>
      </c>
      <c r="W4350">
        <v>0.40175630000000001</v>
      </c>
      <c r="X4350">
        <v>0.9037849</v>
      </c>
      <c r="Y4350">
        <v>-0.20497090000000001</v>
      </c>
      <c r="Z4350">
        <v>5.668111E-2</v>
      </c>
      <c r="AA4350">
        <v>0.97712549999999998</v>
      </c>
      <c r="AB4350">
        <v>42</v>
      </c>
      <c r="AC4350">
        <v>2.7681</v>
      </c>
      <c r="AD4350">
        <v>-1.111921370616</v>
      </c>
      <c r="AE4350">
        <v>-14.414249999999999</v>
      </c>
      <c r="AF4350">
        <v>-3.1512803504053299</v>
      </c>
      <c r="AG4350">
        <v>-1.111921370616</v>
      </c>
      <c r="AH4350">
        <v>14.2495894462712</v>
      </c>
      <c r="AI4350">
        <v>94.357000829552206</v>
      </c>
      <c r="AJ4350">
        <v>102.470188930981</v>
      </c>
      <c r="AK4350">
        <v>14.6361790221549</v>
      </c>
      <c r="AL4350">
        <v>66.311980936301893</v>
      </c>
      <c r="AM4350">
        <v>99.270877826117797</v>
      </c>
      <c r="AN4350">
        <v>1.0000000084435701</v>
      </c>
    </row>
    <row r="4351" spans="1:40" x14ac:dyDescent="0.25">
      <c r="A4351" t="str">
        <f>"20190304164732728"</f>
        <v>20190304164732728</v>
      </c>
      <c r="B4351" t="str">
        <f>"1551689252723401"</f>
        <v>1551689252723401</v>
      </c>
      <c r="C4351" t="s">
        <v>40</v>
      </c>
      <c r="D4351">
        <v>4.5177490000000002</v>
      </c>
      <c r="E4351">
        <v>0.47884759999999998</v>
      </c>
      <c r="F4351" t="s">
        <v>42</v>
      </c>
      <c r="G4351">
        <v>-419.28429999999997</v>
      </c>
      <c r="H4351" s="1">
        <v>-3.5263020000000001E-6</v>
      </c>
      <c r="I4351">
        <v>57.556739999999998</v>
      </c>
      <c r="J4351">
        <v>-422.05509999999998</v>
      </c>
      <c r="K4351">
        <v>1.1118059999999901</v>
      </c>
      <c r="L4351">
        <v>71.17313</v>
      </c>
      <c r="M4351">
        <v>-2.7299159999999999E-2</v>
      </c>
      <c r="N4351">
        <v>-1.498973E-2</v>
      </c>
      <c r="O4351">
        <v>-0.99951520000000005</v>
      </c>
      <c r="P4351">
        <v>0.1216188</v>
      </c>
      <c r="Q4351">
        <v>0.38931290000000002</v>
      </c>
      <c r="R4351">
        <v>-0.91304180000000001</v>
      </c>
      <c r="S4351">
        <v>0.65008540000000004</v>
      </c>
      <c r="T4351">
        <v>-0.26196599999999998</v>
      </c>
      <c r="U4351">
        <v>-3.3096009999999998</v>
      </c>
      <c r="V4351">
        <v>-0.14741460000000001</v>
      </c>
      <c r="W4351">
        <v>0.40256740000000002</v>
      </c>
      <c r="X4351">
        <v>0.90344259999999998</v>
      </c>
      <c r="Y4351">
        <v>-0.21893480000000001</v>
      </c>
      <c r="Z4351">
        <v>6.2180319999999997E-2</v>
      </c>
      <c r="AA4351">
        <v>0.97375619999999996</v>
      </c>
      <c r="AB4351">
        <v>42</v>
      </c>
      <c r="AC4351">
        <v>2.7707999999999999</v>
      </c>
      <c r="AD4351">
        <v>-1.11180952630199</v>
      </c>
      <c r="AE4351">
        <v>-13.6163899999999</v>
      </c>
      <c r="AF4351">
        <v>-3.1215406752327599</v>
      </c>
      <c r="AG4351">
        <v>-1.11180952630199</v>
      </c>
      <c r="AH4351">
        <v>13.4495610386841</v>
      </c>
      <c r="AI4351">
        <v>94.603794968988396</v>
      </c>
      <c r="AJ4351">
        <v>103.066573803512</v>
      </c>
      <c r="AK4351">
        <v>13.851744610091499</v>
      </c>
      <c r="AL4351">
        <v>66.261223881237399</v>
      </c>
      <c r="AM4351">
        <v>99.267274863723699</v>
      </c>
      <c r="AN4351">
        <v>1.00000005366533</v>
      </c>
    </row>
    <row r="4352" spans="1:40" x14ac:dyDescent="0.25">
      <c r="A4352" t="str">
        <f>"20190304164732750"</f>
        <v>20190304164732750</v>
      </c>
      <c r="B4352" t="str">
        <f>"1551689252743897"</f>
        <v>1551689252743897</v>
      </c>
      <c r="C4352" t="s">
        <v>40</v>
      </c>
      <c r="D4352">
        <v>4.5566389999999997</v>
      </c>
      <c r="E4352">
        <v>0.47821180000000002</v>
      </c>
      <c r="F4352" t="s">
        <v>42</v>
      </c>
      <c r="G4352">
        <v>-419.31720000000001</v>
      </c>
      <c r="H4352" s="1">
        <v>-3.5164170000000002E-6</v>
      </c>
      <c r="I4352">
        <v>57.547310000000003</v>
      </c>
      <c r="J4352">
        <v>-422.06580000000002</v>
      </c>
      <c r="K4352">
        <v>1.111718</v>
      </c>
      <c r="L4352">
        <v>70.766269999999906</v>
      </c>
      <c r="M4352">
        <v>-2.68065E-2</v>
      </c>
      <c r="N4352">
        <v>-1.502124E-2</v>
      </c>
      <c r="O4352">
        <v>-0.99952779999999997</v>
      </c>
      <c r="P4352">
        <v>0.1222361</v>
      </c>
      <c r="Q4352">
        <v>0.3898993</v>
      </c>
      <c r="R4352">
        <v>-0.91270870000000004</v>
      </c>
      <c r="S4352">
        <v>0.66555790000000004</v>
      </c>
      <c r="T4352">
        <v>-0.27027109999999999</v>
      </c>
      <c r="U4352">
        <v>-3.3123170000000002</v>
      </c>
      <c r="V4352">
        <v>-0.14747639999999901</v>
      </c>
      <c r="W4352">
        <v>0.40321380000000001</v>
      </c>
      <c r="X4352">
        <v>0.90314419999999995</v>
      </c>
      <c r="Y4352">
        <v>-0.2226419</v>
      </c>
      <c r="Z4352">
        <v>6.4450729999999998E-2</v>
      </c>
      <c r="AA4352">
        <v>0.97276750000000001</v>
      </c>
      <c r="AB4352">
        <v>42</v>
      </c>
      <c r="AC4352">
        <v>2.7486000000000099</v>
      </c>
      <c r="AD4352">
        <v>-1.111721516417</v>
      </c>
      <c r="AE4352">
        <v>-13.2189599999999</v>
      </c>
      <c r="AF4352">
        <v>-3.0811167775363399</v>
      </c>
      <c r="AG4352">
        <v>-1.111721516417</v>
      </c>
      <c r="AH4352">
        <v>13.052030031687099</v>
      </c>
      <c r="AI4352">
        <v>94.738850765691197</v>
      </c>
      <c r="AJ4352">
        <v>103.282319537742</v>
      </c>
      <c r="AK4352">
        <v>13.4567712797291</v>
      </c>
      <c r="AL4352">
        <v>66.220758308806097</v>
      </c>
      <c r="AM4352">
        <v>99.274102463078407</v>
      </c>
      <c r="AN4352">
        <v>1.0000000515305101</v>
      </c>
    </row>
    <row r="4353" spans="1:40" x14ac:dyDescent="0.25">
      <c r="A4353" t="str">
        <f>"20190304164732772"</f>
        <v>20190304164732772</v>
      </c>
      <c r="B4353" t="str">
        <f>"1551689252763417"</f>
        <v>1551689252763417</v>
      </c>
      <c r="C4353" t="s">
        <v>40</v>
      </c>
      <c r="D4353">
        <v>4.5665360000000002</v>
      </c>
      <c r="E4353">
        <v>0.47771459999999999</v>
      </c>
      <c r="F4353" t="s">
        <v>42</v>
      </c>
      <c r="G4353">
        <v>-419.32209999999998</v>
      </c>
      <c r="H4353" s="1">
        <v>-3.404931E-6</v>
      </c>
      <c r="I4353">
        <v>57.289459999999998</v>
      </c>
      <c r="J4353">
        <v>-422.07639999999998</v>
      </c>
      <c r="K4353">
        <v>1.1116459999999999</v>
      </c>
      <c r="L4353">
        <v>70.353790000000004</v>
      </c>
      <c r="M4353">
        <v>-2.6367160000000001E-2</v>
      </c>
      <c r="N4353">
        <v>-1.504802E-2</v>
      </c>
      <c r="O4353">
        <v>-0.99953899999999996</v>
      </c>
      <c r="P4353">
        <v>0.1227172</v>
      </c>
      <c r="Q4353">
        <v>0.39047189999999998</v>
      </c>
      <c r="R4353">
        <v>-0.91239919999999997</v>
      </c>
      <c r="S4353">
        <v>0.67452999999999996</v>
      </c>
      <c r="T4353">
        <v>-0.27332099999999998</v>
      </c>
      <c r="U4353">
        <v>-3.3133240000000002</v>
      </c>
      <c r="V4353">
        <v>-0.1474625</v>
      </c>
      <c r="W4353">
        <v>0.403839</v>
      </c>
      <c r="X4353">
        <v>0.90286699999999998</v>
      </c>
      <c r="Y4353">
        <v>-0.22467290000000001</v>
      </c>
      <c r="Z4353">
        <v>6.5253459999999999E-2</v>
      </c>
      <c r="AA4353">
        <v>0.97224690000000002</v>
      </c>
      <c r="AB4353">
        <v>41</v>
      </c>
      <c r="AC4353">
        <v>2.7543000000000002</v>
      </c>
      <c r="AD4353">
        <v>-1.111649404931</v>
      </c>
      <c r="AE4353">
        <v>-13.06433</v>
      </c>
      <c r="AF4353">
        <v>-3.07652323789</v>
      </c>
      <c r="AG4353">
        <v>-1.111649404931</v>
      </c>
      <c r="AH4353">
        <v>12.897745043920899</v>
      </c>
      <c r="AI4353">
        <v>94.792320285330007</v>
      </c>
      <c r="AJ4353">
        <v>103.416170440014</v>
      </c>
      <c r="AK4353">
        <v>13.3061108837536</v>
      </c>
      <c r="AL4353">
        <v>66.181605976116302</v>
      </c>
      <c r="AM4353">
        <v>99.276041150015104</v>
      </c>
      <c r="AN4353">
        <v>0.99999997325812395</v>
      </c>
    </row>
    <row r="4354" spans="1:40" x14ac:dyDescent="0.25">
      <c r="A4354" t="str">
        <f>"20190304164732793"</f>
        <v>20190304164732793</v>
      </c>
      <c r="B4354" t="str">
        <f>"1551689252782937"</f>
        <v>1551689252782937</v>
      </c>
      <c r="C4354" t="s">
        <v>40</v>
      </c>
      <c r="D4354">
        <v>4.6044489999999998</v>
      </c>
      <c r="E4354">
        <v>0.47767140000000002</v>
      </c>
      <c r="F4354" t="s">
        <v>42</v>
      </c>
      <c r="G4354">
        <v>-419.33519999999999</v>
      </c>
      <c r="H4354" s="1">
        <v>-3.2908599999999999E-6</v>
      </c>
      <c r="I4354">
        <v>57.028979999999997</v>
      </c>
      <c r="J4354">
        <v>-422.08629999999999</v>
      </c>
      <c r="K4354">
        <v>1.1115919999999999</v>
      </c>
      <c r="L4354">
        <v>69.963409999999996</v>
      </c>
      <c r="M4354">
        <v>-2.5990800000000001E-2</v>
      </c>
      <c r="N4354">
        <v>-1.5069290000000001E-2</v>
      </c>
      <c r="O4354">
        <v>-0.99954869999999996</v>
      </c>
      <c r="P4354">
        <v>0.1229933</v>
      </c>
      <c r="Q4354">
        <v>0.39255410000000002</v>
      </c>
      <c r="R4354">
        <v>-0.91146799999999994</v>
      </c>
      <c r="S4354">
        <v>0.68188479999999996</v>
      </c>
      <c r="T4354">
        <v>-0.27653280000000002</v>
      </c>
      <c r="U4354">
        <v>-3.314667</v>
      </c>
      <c r="V4354">
        <v>-0.1473052</v>
      </c>
      <c r="W4354">
        <v>0.4059527</v>
      </c>
      <c r="X4354">
        <v>0.90194430000000003</v>
      </c>
      <c r="Y4354">
        <v>-0.22628499999999999</v>
      </c>
      <c r="Z4354">
        <v>6.6106670000000006E-2</v>
      </c>
      <c r="AA4354">
        <v>0.97181530000000005</v>
      </c>
      <c r="AB4354">
        <v>41</v>
      </c>
      <c r="AC4354">
        <v>2.7511000000000001</v>
      </c>
      <c r="AD4354">
        <v>-1.11159529086</v>
      </c>
      <c r="AE4354">
        <v>-12.9344299999999</v>
      </c>
      <c r="AF4354">
        <v>-3.0647289025198501</v>
      </c>
      <c r="AG4354">
        <v>-1.11159529086</v>
      </c>
      <c r="AH4354">
        <v>12.7683251967816</v>
      </c>
      <c r="AI4354">
        <v>94.8388024338891</v>
      </c>
      <c r="AJ4354">
        <v>103.497137072873</v>
      </c>
      <c r="AK4354">
        <v>13.177948841430901</v>
      </c>
      <c r="AL4354">
        <v>66.049157186195004</v>
      </c>
      <c r="AM4354">
        <v>99.275632888873602</v>
      </c>
      <c r="AN4354">
        <v>0.99999996844340899</v>
      </c>
    </row>
    <row r="4355" spans="1:40" x14ac:dyDescent="0.25">
      <c r="A4355" t="str">
        <f>"20190304164732817"</f>
        <v>20190304164732817</v>
      </c>
      <c r="B4355" t="str">
        <f>"1551689252803433"</f>
        <v>1551689252803433</v>
      </c>
      <c r="C4355" t="s">
        <v>40</v>
      </c>
      <c r="D4355">
        <v>4.5960599999999996</v>
      </c>
      <c r="E4355">
        <v>0.47729630000000001</v>
      </c>
      <c r="F4355" t="s">
        <v>42</v>
      </c>
      <c r="G4355">
        <v>-419.31700000000001</v>
      </c>
      <c r="H4355" s="1">
        <v>-3.06255E-6</v>
      </c>
      <c r="I4355">
        <v>56.48921</v>
      </c>
      <c r="J4355">
        <v>-422.09660000000002</v>
      </c>
      <c r="K4355">
        <v>1.111545</v>
      </c>
      <c r="L4355">
        <v>69.549840000000003</v>
      </c>
      <c r="M4355">
        <v>-2.561917E-2</v>
      </c>
      <c r="N4355">
        <v>-1.5088300000000001E-2</v>
      </c>
      <c r="O4355">
        <v>-0.99955819999999995</v>
      </c>
      <c r="P4355">
        <v>0.12403409999999999</v>
      </c>
      <c r="Q4355">
        <v>0.3944993</v>
      </c>
      <c r="R4355">
        <v>-0.91048709999999999</v>
      </c>
      <c r="S4355">
        <v>0.68179319999999999</v>
      </c>
      <c r="T4355">
        <v>-0.2736652</v>
      </c>
      <c r="U4355">
        <v>-3.3172299999999999</v>
      </c>
      <c r="V4355">
        <v>-0.14792429999999901</v>
      </c>
      <c r="W4355">
        <v>0.40792149999999999</v>
      </c>
      <c r="X4355">
        <v>0.90095420000000004</v>
      </c>
      <c r="Y4355">
        <v>-0.22576270000000001</v>
      </c>
      <c r="Z4355">
        <v>6.5197019999999994E-2</v>
      </c>
      <c r="AA4355">
        <v>0.97199820000000003</v>
      </c>
      <c r="AB4355">
        <v>41</v>
      </c>
      <c r="AC4355">
        <v>2.77960000000007</v>
      </c>
      <c r="AD4355">
        <v>-1.11154806255</v>
      </c>
      <c r="AE4355">
        <v>-13.06063</v>
      </c>
      <c r="AF4355">
        <v>-3.0919031990869699</v>
      </c>
      <c r="AG4355">
        <v>-1.11154806255</v>
      </c>
      <c r="AH4355">
        <v>12.8957643283272</v>
      </c>
      <c r="AI4355">
        <v>94.7912917022051</v>
      </c>
      <c r="AJ4355">
        <v>103.48279245021</v>
      </c>
      <c r="AK4355">
        <v>13.307747446493</v>
      </c>
      <c r="AL4355">
        <v>65.925666853823301</v>
      </c>
      <c r="AM4355">
        <v>99.323990965242103</v>
      </c>
      <c r="AN4355">
        <v>1.00000000959519</v>
      </c>
    </row>
    <row r="4356" spans="1:40" x14ac:dyDescent="0.25">
      <c r="A4356" t="str">
        <f>"20190304164732862"</f>
        <v>20190304164732862</v>
      </c>
      <c r="B4356" t="str">
        <f>"1551689252853209"</f>
        <v>1551689252853209</v>
      </c>
      <c r="C4356" t="s">
        <v>40</v>
      </c>
      <c r="D4356">
        <v>4.5838010000000002</v>
      </c>
      <c r="E4356">
        <v>0.47678920000000002</v>
      </c>
      <c r="F4356" t="s">
        <v>42</v>
      </c>
      <c r="G4356">
        <v>-419.27460000000002</v>
      </c>
      <c r="H4356" s="1">
        <v>-2.8279620000000001E-6</v>
      </c>
      <c r="I4356">
        <v>55.924889999999998</v>
      </c>
      <c r="J4356">
        <v>-422.11750000000001</v>
      </c>
      <c r="K4356">
        <v>1.111469</v>
      </c>
      <c r="L4356">
        <v>68.698669999999893</v>
      </c>
      <c r="M4356">
        <v>-2.4886470000000001E-2</v>
      </c>
      <c r="N4356">
        <v>-1.511763E-2</v>
      </c>
      <c r="O4356">
        <v>-0.99957620000000003</v>
      </c>
      <c r="P4356">
        <v>0.12708539999999999</v>
      </c>
      <c r="Q4356">
        <v>0.394592</v>
      </c>
      <c r="R4356">
        <v>-0.9100258</v>
      </c>
      <c r="S4356">
        <v>0.68734740000000005</v>
      </c>
      <c r="T4356">
        <v>-0.27073760000000002</v>
      </c>
      <c r="U4356">
        <v>-3.3186040000000001</v>
      </c>
      <c r="V4356">
        <v>-0.15020919999999999</v>
      </c>
      <c r="W4356">
        <v>0.40806379999999998</v>
      </c>
      <c r="X4356">
        <v>0.90051159999999997</v>
      </c>
      <c r="Y4356">
        <v>-0.22654270000000001</v>
      </c>
      <c r="Z4356">
        <v>6.4264009999999996E-2</v>
      </c>
      <c r="AA4356">
        <v>0.97187889999999999</v>
      </c>
      <c r="AB4356">
        <v>41</v>
      </c>
      <c r="AC4356">
        <v>2.8428999999999802</v>
      </c>
      <c r="AD4356">
        <v>-1.1114718279619999</v>
      </c>
      <c r="AE4356">
        <v>-12.773779999999901</v>
      </c>
      <c r="AF4356">
        <v>-3.1373179611889599</v>
      </c>
      <c r="AG4356">
        <v>-1.1114718279619999</v>
      </c>
      <c r="AH4356">
        <v>12.6081129768931</v>
      </c>
      <c r="AI4356">
        <v>94.889556094118205</v>
      </c>
      <c r="AJ4356">
        <v>103.973309705364</v>
      </c>
      <c r="AK4356">
        <v>13.040040124633601</v>
      </c>
      <c r="AL4356">
        <v>65.916736487421502</v>
      </c>
      <c r="AM4356">
        <v>99.469994277612898</v>
      </c>
      <c r="AN4356">
        <v>1.0000000051848199</v>
      </c>
    </row>
    <row r="4357" spans="1:40" x14ac:dyDescent="0.25">
      <c r="A4357" t="str">
        <f>"20190304164732884"</f>
        <v>20190304164732884</v>
      </c>
      <c r="B4357" t="str">
        <f>"1551689252873705"</f>
        <v>1551689252873705</v>
      </c>
      <c r="C4357" t="s">
        <v>40</v>
      </c>
      <c r="D4357">
        <v>4.5963560000000001</v>
      </c>
      <c r="E4357">
        <v>0.47664099999999998</v>
      </c>
      <c r="F4357" t="s">
        <v>42</v>
      </c>
      <c r="G4357">
        <v>-419.35680000000002</v>
      </c>
      <c r="H4357" s="1">
        <v>-2.6625849999999999E-6</v>
      </c>
      <c r="I4357">
        <v>55.573369999999997</v>
      </c>
      <c r="J4357">
        <v>-422.12720000000002</v>
      </c>
      <c r="K4357">
        <v>1.111442</v>
      </c>
      <c r="L4357">
        <v>68.294159999999906</v>
      </c>
      <c r="M4357">
        <v>-2.453934E-2</v>
      </c>
      <c r="N4357">
        <v>-1.5127750000000001E-2</v>
      </c>
      <c r="O4357">
        <v>-0.99958469999999999</v>
      </c>
      <c r="P4357">
        <v>0.129353</v>
      </c>
      <c r="Q4357">
        <v>0.39447209999999999</v>
      </c>
      <c r="R4357">
        <v>-0.90975830000000002</v>
      </c>
      <c r="S4357">
        <v>0.69851680000000005</v>
      </c>
      <c r="T4357">
        <v>-0.2812289</v>
      </c>
      <c r="U4357">
        <v>-3.3210139999999999</v>
      </c>
      <c r="V4357">
        <v>-0.15212590000000001</v>
      </c>
      <c r="W4357">
        <v>0.40795720000000002</v>
      </c>
      <c r="X4357">
        <v>0.90023809999999904</v>
      </c>
      <c r="Y4357">
        <v>-0.22914870000000001</v>
      </c>
      <c r="Z4357">
        <v>6.7201869999999997E-2</v>
      </c>
      <c r="AA4357">
        <v>0.97106890000000001</v>
      </c>
      <c r="AB4357">
        <v>41</v>
      </c>
      <c r="AC4357">
        <v>2.7703999999999902</v>
      </c>
      <c r="AD4357">
        <v>-1.1114446625849901</v>
      </c>
      <c r="AE4357">
        <v>-12.7207899999999</v>
      </c>
      <c r="AF4357">
        <v>-3.0594628837248101</v>
      </c>
      <c r="AG4357">
        <v>-1.1114446625849901</v>
      </c>
      <c r="AH4357">
        <v>12.557445295207501</v>
      </c>
      <c r="AI4357">
        <v>94.914965428560294</v>
      </c>
      <c r="AJ4357">
        <v>103.692625268629</v>
      </c>
      <c r="AK4357">
        <v>12.9724729607352</v>
      </c>
      <c r="AL4357">
        <v>65.923426299322102</v>
      </c>
      <c r="AM4357">
        <v>99.591462427396806</v>
      </c>
      <c r="AN4357">
        <v>1.00000000158712</v>
      </c>
    </row>
    <row r="4358" spans="1:40" x14ac:dyDescent="0.25">
      <c r="A4358" t="str">
        <f>"20190304164732905"</f>
        <v>20190304164732905</v>
      </c>
      <c r="B4358" t="str">
        <f>"1551689252893225"</f>
        <v>1551689252893225</v>
      </c>
      <c r="C4358" t="s">
        <v>40</v>
      </c>
      <c r="D4358">
        <v>4.5782439999999998</v>
      </c>
      <c r="E4358">
        <v>0.4764371</v>
      </c>
      <c r="F4358" t="s">
        <v>42</v>
      </c>
      <c r="G4358">
        <v>-419.36790000000002</v>
      </c>
      <c r="H4358" s="1">
        <v>-2.5662500000000002E-6</v>
      </c>
      <c r="I4358">
        <v>55.353389999999997</v>
      </c>
      <c r="J4358">
        <v>-422.13630000000001</v>
      </c>
      <c r="K4358">
        <v>1.1114269999999999</v>
      </c>
      <c r="L4358">
        <v>67.910030000000006</v>
      </c>
      <c r="M4358">
        <v>-2.420247E-2</v>
      </c>
      <c r="N4358">
        <v>-1.513539E-2</v>
      </c>
      <c r="O4358">
        <v>-0.9995927</v>
      </c>
      <c r="P4358">
        <v>0.13253519999999999</v>
      </c>
      <c r="Q4358">
        <v>0.39506200000000002</v>
      </c>
      <c r="R4358">
        <v>-0.90904390000000002</v>
      </c>
      <c r="S4358">
        <v>0.70803830000000001</v>
      </c>
      <c r="T4358">
        <v>-0.28519549999999999</v>
      </c>
      <c r="U4358">
        <v>-3.3205870000000002</v>
      </c>
      <c r="V4358">
        <v>-0.15496499999999999</v>
      </c>
      <c r="W4358">
        <v>0.40854699999999999</v>
      </c>
      <c r="X4358">
        <v>0.89948609999999896</v>
      </c>
      <c r="Y4358">
        <v>-0.23149049999999999</v>
      </c>
      <c r="Z4358">
        <v>6.8312150000000002E-2</v>
      </c>
      <c r="AA4358">
        <v>0.97043579999999996</v>
      </c>
      <c r="AB4358">
        <v>41</v>
      </c>
      <c r="AC4358">
        <v>2.7683999999999802</v>
      </c>
      <c r="AD4358">
        <v>-1.11142956625</v>
      </c>
      <c r="AE4358">
        <v>-12.55664</v>
      </c>
      <c r="AF4358">
        <v>-3.0487468466617398</v>
      </c>
      <c r="AG4358">
        <v>-1.11142956625</v>
      </c>
      <c r="AH4358">
        <v>12.3933551755699</v>
      </c>
      <c r="AI4358">
        <v>94.976946682658706</v>
      </c>
      <c r="AJ4358">
        <v>103.820258764332</v>
      </c>
      <c r="AK4358">
        <v>12.8111430217444</v>
      </c>
      <c r="AL4358">
        <v>65.886408352816005</v>
      </c>
      <c r="AM4358">
        <v>99.775057322900295</v>
      </c>
      <c r="AN4358">
        <v>1.0000000232635999</v>
      </c>
    </row>
    <row r="4359" spans="1:40" x14ac:dyDescent="0.25">
      <c r="A4359" t="str">
        <f>"20190304164732929"</f>
        <v>20190304164732929</v>
      </c>
      <c r="B4359" t="str">
        <f>"1551689252923482"</f>
        <v>1551689252923482</v>
      </c>
      <c r="C4359" t="s">
        <v>40</v>
      </c>
      <c r="D4359">
        <v>4.5776199999999996</v>
      </c>
      <c r="E4359">
        <v>0.47612599999999999</v>
      </c>
      <c r="F4359" t="s">
        <v>42</v>
      </c>
      <c r="G4359">
        <v>-419.34160000000003</v>
      </c>
      <c r="H4359" s="1">
        <v>-2.427123E-6</v>
      </c>
      <c r="I4359">
        <v>55.0182199999999</v>
      </c>
      <c r="J4359">
        <v>-422.1463</v>
      </c>
      <c r="K4359">
        <v>1.1114219999999999</v>
      </c>
      <c r="L4359">
        <v>67.481899999999996</v>
      </c>
      <c r="M4359">
        <v>-2.3806540000000001E-2</v>
      </c>
      <c r="N4359">
        <v>-1.514215E-2</v>
      </c>
      <c r="O4359">
        <v>-0.99960199999999999</v>
      </c>
      <c r="P4359">
        <v>0.13552600000000001</v>
      </c>
      <c r="Q4359">
        <v>0.39554349999999999</v>
      </c>
      <c r="R4359">
        <v>-0.90839340000000002</v>
      </c>
      <c r="S4359">
        <v>0.71963500000000002</v>
      </c>
      <c r="T4359">
        <v>-0.28619299999999998</v>
      </c>
      <c r="U4359">
        <v>-3.3196409999999998</v>
      </c>
      <c r="V4359">
        <v>-0.15757070000000001</v>
      </c>
      <c r="W4359">
        <v>0.40902529999999998</v>
      </c>
      <c r="X4359">
        <v>0.89881580000000005</v>
      </c>
      <c r="Y4359">
        <v>-0.23439450000000001</v>
      </c>
      <c r="Z4359">
        <v>6.8560179999999998E-2</v>
      </c>
      <c r="AA4359">
        <v>0.96972100000000006</v>
      </c>
      <c r="AB4359">
        <v>41</v>
      </c>
      <c r="AC4359">
        <v>2.80469999999996</v>
      </c>
      <c r="AD4359">
        <v>-1.1114244271229901</v>
      </c>
      <c r="AE4359">
        <v>-12.46368</v>
      </c>
      <c r="AF4359">
        <v>-3.07736475106163</v>
      </c>
      <c r="AG4359">
        <v>-1.1114244271229901</v>
      </c>
      <c r="AH4359">
        <v>12.3002734150151</v>
      </c>
      <c r="AI4359">
        <v>95.009514365492095</v>
      </c>
      <c r="AJ4359">
        <v>104.046310625717</v>
      </c>
      <c r="AK4359">
        <v>12.7280070770097</v>
      </c>
      <c r="AL4359">
        <v>65.856380453420797</v>
      </c>
      <c r="AM4359">
        <v>99.943435340783097</v>
      </c>
      <c r="AN4359">
        <v>1.0000000319341</v>
      </c>
    </row>
    <row r="4360" spans="1:40" x14ac:dyDescent="0.25">
      <c r="A4360" t="str">
        <f>"20190304164732951"</f>
        <v>20190304164732951</v>
      </c>
      <c r="B4360" t="str">
        <f>"1551689252943977"</f>
        <v>1551689252943977</v>
      </c>
      <c r="C4360" t="s">
        <v>40</v>
      </c>
      <c r="D4360">
        <v>4.5465039999999997</v>
      </c>
      <c r="E4360">
        <v>0.47601719999999997</v>
      </c>
      <c r="F4360" t="s">
        <v>42</v>
      </c>
      <c r="G4360">
        <v>-419.32420000000002</v>
      </c>
      <c r="H4360" s="1">
        <v>-2.2933609999999999E-6</v>
      </c>
      <c r="I4360">
        <v>54.699210000000001</v>
      </c>
      <c r="J4360">
        <v>-422.1558</v>
      </c>
      <c r="K4360">
        <v>1.1114329999999999</v>
      </c>
      <c r="L4360">
        <v>67.065550000000002</v>
      </c>
      <c r="M4360">
        <v>-2.3387109999999999E-2</v>
      </c>
      <c r="N4360">
        <v>-1.5147290000000001E-2</v>
      </c>
      <c r="O4360">
        <v>-0.99961169999999999</v>
      </c>
      <c r="P4360">
        <v>0.1380844</v>
      </c>
      <c r="Q4360">
        <v>0.39676860000000003</v>
      </c>
      <c r="R4360">
        <v>-0.90747310000000003</v>
      </c>
      <c r="S4360">
        <v>0.73272709999999996</v>
      </c>
      <c r="T4360">
        <v>-0.28856859999999901</v>
      </c>
      <c r="U4360">
        <v>-3.3188780000000002</v>
      </c>
      <c r="V4360">
        <v>-0.15973219999999999</v>
      </c>
      <c r="W4360">
        <v>0.41023759999999998</v>
      </c>
      <c r="X4360">
        <v>0.89788129999999999</v>
      </c>
      <c r="Y4360">
        <v>-0.23766860000000001</v>
      </c>
      <c r="Z4360">
        <v>6.9196679999999997E-2</v>
      </c>
      <c r="AA4360">
        <v>0.96887840000000003</v>
      </c>
      <c r="AB4360">
        <v>41</v>
      </c>
      <c r="AC4360">
        <v>2.8315999999999799</v>
      </c>
      <c r="AD4360">
        <v>-1.1114352933610001</v>
      </c>
      <c r="AE4360">
        <v>-12.366339999999999</v>
      </c>
      <c r="AF4360">
        <v>-3.09630654407739</v>
      </c>
      <c r="AG4360">
        <v>-1.1114352933610001</v>
      </c>
      <c r="AH4360">
        <v>12.2030646830101</v>
      </c>
      <c r="AI4360">
        <v>95.045046123963999</v>
      </c>
      <c r="AJ4360">
        <v>104.23730935862</v>
      </c>
      <c r="AK4360">
        <v>12.638717905070701</v>
      </c>
      <c r="AL4360">
        <v>65.780239864911906</v>
      </c>
      <c r="AM4360">
        <v>100.087331484713</v>
      </c>
      <c r="AN4360">
        <v>1.00000004653014</v>
      </c>
    </row>
    <row r="4361" spans="1:40" x14ac:dyDescent="0.25">
      <c r="A4361" t="str">
        <f>"20190304164732972"</f>
        <v>20190304164732972</v>
      </c>
      <c r="B4361" t="str">
        <f>"1551689252963497"</f>
        <v>1551689252963497</v>
      </c>
      <c r="C4361" t="s">
        <v>40</v>
      </c>
      <c r="D4361">
        <v>4.5383180000000003</v>
      </c>
      <c r="E4361">
        <v>0.47591349999999999</v>
      </c>
      <c r="F4361" t="s">
        <v>42</v>
      </c>
      <c r="G4361">
        <v>-419.27330000000001</v>
      </c>
      <c r="H4361" s="1">
        <v>-2.092182E-6</v>
      </c>
      <c r="I4361">
        <v>54.209240000000001</v>
      </c>
      <c r="J4361">
        <v>-422.16449999999998</v>
      </c>
      <c r="K4361">
        <v>1.1114660000000001</v>
      </c>
      <c r="L4361">
        <v>66.676609999999997</v>
      </c>
      <c r="M4361">
        <v>-2.2948949999999999E-2</v>
      </c>
      <c r="N4361">
        <v>-1.515087E-2</v>
      </c>
      <c r="O4361">
        <v>-0.9996218</v>
      </c>
      <c r="P4361">
        <v>0.13990839999999999</v>
      </c>
      <c r="Q4361">
        <v>0.39792480000000002</v>
      </c>
      <c r="R4361">
        <v>-0.90668709999999997</v>
      </c>
      <c r="S4361">
        <v>0.743927</v>
      </c>
      <c r="T4361">
        <v>-0.28685280000000002</v>
      </c>
      <c r="U4361">
        <v>-3.3181150000000001</v>
      </c>
      <c r="V4361">
        <v>-0.1611629</v>
      </c>
      <c r="W4361">
        <v>0.41137570000000001</v>
      </c>
      <c r="X4361">
        <v>0.89710460000000003</v>
      </c>
      <c r="Y4361">
        <v>-0.24041199999999999</v>
      </c>
      <c r="Z4361">
        <v>6.8655939999999999E-2</v>
      </c>
      <c r="AA4361">
        <v>0.96823979999999998</v>
      </c>
      <c r="AB4361">
        <v>41</v>
      </c>
      <c r="AC4361">
        <v>2.89119999999996</v>
      </c>
      <c r="AD4361">
        <v>-1.1114680921819999</v>
      </c>
      <c r="AE4361">
        <v>-12.467369999999899</v>
      </c>
      <c r="AF4361">
        <v>-3.1528053698098901</v>
      </c>
      <c r="AG4361">
        <v>-1.1114680921819999</v>
      </c>
      <c r="AH4361">
        <v>12.304922640536301</v>
      </c>
      <c r="AI4361">
        <v>95.000675623273295</v>
      </c>
      <c r="AJ4361">
        <v>104.371332150005</v>
      </c>
      <c r="AK4361">
        <v>12.7509475808437</v>
      </c>
      <c r="AL4361">
        <v>65.708717961857204</v>
      </c>
      <c r="AM4361">
        <v>100.18442824260801</v>
      </c>
      <c r="AN4361">
        <v>1.00000005511402</v>
      </c>
    </row>
    <row r="4362" spans="1:40" x14ac:dyDescent="0.25">
      <c r="A4362" t="str">
        <f>"20190304164732994"</f>
        <v>20190304164732994</v>
      </c>
      <c r="B4362" t="str">
        <f>"1551689252983994"</f>
        <v>1551689252983994</v>
      </c>
      <c r="C4362" t="s">
        <v>40</v>
      </c>
      <c r="D4362">
        <v>4.6692710000000002</v>
      </c>
      <c r="E4362">
        <v>0.47590110000000002</v>
      </c>
      <c r="F4362" t="s">
        <v>42</v>
      </c>
      <c r="G4362">
        <v>-419.22280000000001</v>
      </c>
      <c r="H4362" s="1">
        <v>-1.8969940000000001E-6</v>
      </c>
      <c r="I4362">
        <v>53.733359999999998</v>
      </c>
      <c r="J4362">
        <v>-422.17320000000001</v>
      </c>
      <c r="K4362">
        <v>1.111518</v>
      </c>
      <c r="L4362">
        <v>66.276340000000005</v>
      </c>
      <c r="M4362">
        <v>-2.243469E-2</v>
      </c>
      <c r="N4362">
        <v>-1.515359E-2</v>
      </c>
      <c r="O4362">
        <v>-0.99963360000000001</v>
      </c>
      <c r="P4362">
        <v>0.14219219999999999</v>
      </c>
      <c r="Q4362">
        <v>0.39880650000000001</v>
      </c>
      <c r="R4362">
        <v>-0.90594419999999998</v>
      </c>
      <c r="S4362">
        <v>0.75396730000000001</v>
      </c>
      <c r="T4362">
        <v>-0.28487709999999999</v>
      </c>
      <c r="U4362">
        <v>-3.3174440000000001</v>
      </c>
      <c r="V4362">
        <v>-0.16300510000000001</v>
      </c>
      <c r="W4362">
        <v>0.41223179999999998</v>
      </c>
      <c r="X4362">
        <v>0.89637849999999997</v>
      </c>
      <c r="Y4362">
        <v>-0.24275070000000001</v>
      </c>
      <c r="Z4362">
        <v>6.8045839999999996E-2</v>
      </c>
      <c r="AA4362">
        <v>0.96769930000000004</v>
      </c>
      <c r="AB4362">
        <v>41</v>
      </c>
      <c r="AC4362">
        <v>2.9504000000000001</v>
      </c>
      <c r="AD4362">
        <v>-1.1115198969939999</v>
      </c>
      <c r="AE4362">
        <v>-12.54298</v>
      </c>
      <c r="AF4362">
        <v>-3.2072217123521201</v>
      </c>
      <c r="AG4362">
        <v>-1.1115198969939999</v>
      </c>
      <c r="AH4362">
        <v>12.381489920083601</v>
      </c>
      <c r="AI4362">
        <v>94.966780565305399</v>
      </c>
      <c r="AJ4362">
        <v>104.52233856240299</v>
      </c>
      <c r="AK4362">
        <v>12.8383425812964</v>
      </c>
      <c r="AL4362">
        <v>65.654891446737594</v>
      </c>
      <c r="AM4362">
        <v>100.30652886375999</v>
      </c>
      <c r="AN4362">
        <v>1.00000006740974</v>
      </c>
    </row>
    <row r="4363" spans="1:40" x14ac:dyDescent="0.25">
      <c r="A4363" t="str">
        <f>"20190304164733018"</f>
        <v>20190304164733018</v>
      </c>
      <c r="B4363" t="str">
        <f>"1551689253013273"</f>
        <v>1551689253013273</v>
      </c>
      <c r="C4363" t="s">
        <v>40</v>
      </c>
      <c r="D4363">
        <v>4.5820439999999998</v>
      </c>
      <c r="E4363">
        <v>0.51095939999999995</v>
      </c>
      <c r="F4363" t="s">
        <v>42</v>
      </c>
      <c r="G4363">
        <v>-419.17880000000002</v>
      </c>
      <c r="H4363" s="1">
        <v>-1.695919E-6</v>
      </c>
      <c r="I4363">
        <v>53.24644</v>
      </c>
      <c r="J4363">
        <v>-422.18200000000002</v>
      </c>
      <c r="K4363">
        <v>1.1115820000000001</v>
      </c>
      <c r="L4363">
        <v>65.858339999999998</v>
      </c>
      <c r="M4363">
        <v>-2.180961E-2</v>
      </c>
      <c r="N4363">
        <v>-1.51556E-2</v>
      </c>
      <c r="O4363">
        <v>-0.99964739999999996</v>
      </c>
      <c r="P4363">
        <v>0.14451029999999901</v>
      </c>
      <c r="Q4363">
        <v>0.39962419999999998</v>
      </c>
      <c r="R4363">
        <v>-0.90521719999999894</v>
      </c>
      <c r="S4363">
        <v>0.76214599999999999</v>
      </c>
      <c r="T4363">
        <v>-0.2829044</v>
      </c>
      <c r="U4363">
        <v>-3.316376</v>
      </c>
      <c r="V4363">
        <v>-0.16480330000000001</v>
      </c>
      <c r="W4363">
        <v>0.4130141</v>
      </c>
      <c r="X4363">
        <v>0.89568919999999996</v>
      </c>
      <c r="Y4363">
        <v>-0.24448790000000001</v>
      </c>
      <c r="Z4363">
        <v>6.7458760000000006E-2</v>
      </c>
      <c r="AA4363">
        <v>0.96730300000000002</v>
      </c>
      <c r="AB4363">
        <v>41</v>
      </c>
      <c r="AC4363">
        <v>3.0031999999999299</v>
      </c>
      <c r="AD4363">
        <v>-1.111583695919</v>
      </c>
      <c r="AE4363">
        <v>-12.6119</v>
      </c>
      <c r="AF4363">
        <v>-3.2536587196874498</v>
      </c>
      <c r="AG4363">
        <v>-1.111583695919</v>
      </c>
      <c r="AH4363">
        <v>12.4518547242449</v>
      </c>
      <c r="AI4363">
        <v>94.936422408451406</v>
      </c>
      <c r="AJ4363">
        <v>104.643915231626</v>
      </c>
      <c r="AK4363">
        <v>12.917840355528901</v>
      </c>
      <c r="AL4363">
        <v>65.605681912673404</v>
      </c>
      <c r="AM4363">
        <v>100.425591176222</v>
      </c>
      <c r="AN4363">
        <v>0.99999995874316905</v>
      </c>
    </row>
    <row r="4364" spans="1:40" x14ac:dyDescent="0.25">
      <c r="A4364" t="str">
        <f>"20190304164733040"</f>
        <v>20190304164733040</v>
      </c>
      <c r="B4364" t="str">
        <f>"1551689253033769"</f>
        <v>1551689253033769</v>
      </c>
      <c r="C4364" t="s">
        <v>40</v>
      </c>
      <c r="D4364">
        <v>4.5076159999999996</v>
      </c>
      <c r="E4364">
        <v>0.51531519999999997</v>
      </c>
      <c r="F4364" t="s">
        <v>42</v>
      </c>
      <c r="G4364">
        <v>-420.76049999999998</v>
      </c>
      <c r="H4364" s="1">
        <v>-3.0542290000000001E-6</v>
      </c>
      <c r="I4364">
        <v>56.236910000000002</v>
      </c>
      <c r="J4364">
        <v>-422.19060000000002</v>
      </c>
      <c r="K4364">
        <v>1.1116469999999901</v>
      </c>
      <c r="L4364">
        <v>65.433350000000004</v>
      </c>
      <c r="M4364">
        <v>-2.1095340000000001E-2</v>
      </c>
      <c r="N4364">
        <v>-1.515699E-2</v>
      </c>
      <c r="O4364">
        <v>-0.99966270000000002</v>
      </c>
      <c r="P4364">
        <v>0.14735999999999999</v>
      </c>
      <c r="Q4364">
        <v>0.4005977</v>
      </c>
      <c r="R4364">
        <v>-0.90432690000000004</v>
      </c>
      <c r="S4364">
        <v>0.50344849999999997</v>
      </c>
      <c r="T4364">
        <v>-0.39368340000000002</v>
      </c>
      <c r="U4364">
        <v>-3.407562</v>
      </c>
      <c r="V4364">
        <v>-0.1670565</v>
      </c>
      <c r="W4364">
        <v>0.4139466</v>
      </c>
      <c r="X4364">
        <v>0.894841</v>
      </c>
      <c r="Y4364">
        <v>-0.1661262</v>
      </c>
      <c r="Z4364">
        <v>9.8231929999999995E-2</v>
      </c>
      <c r="AA4364">
        <v>0.98119959999999995</v>
      </c>
      <c r="AB4364">
        <v>41</v>
      </c>
      <c r="AC4364">
        <v>1.4301000000000299</v>
      </c>
      <c r="AD4364">
        <v>-1.11165005422899</v>
      </c>
      <c r="AE4364">
        <v>-9.1964400000000097</v>
      </c>
      <c r="AF4364">
        <v>-1.6009656889272399</v>
      </c>
      <c r="AG4364">
        <v>-1.11165005422899</v>
      </c>
      <c r="AH4364">
        <v>9.0353181365839603</v>
      </c>
      <c r="AI4364">
        <v>96.907537599338795</v>
      </c>
      <c r="AJ4364">
        <v>100.04793491891201</v>
      </c>
      <c r="AK4364">
        <v>9.2431504807328899</v>
      </c>
      <c r="AL4364">
        <v>65.547004634250499</v>
      </c>
      <c r="AM4364">
        <v>100.574730763707</v>
      </c>
      <c r="AN4364">
        <v>1.0000000385623999</v>
      </c>
    </row>
    <row r="4365" spans="1:40" x14ac:dyDescent="0.25">
      <c r="A4365" t="str">
        <f>"20190304164733065"</f>
        <v>20190304164733065</v>
      </c>
      <c r="B4365" t="str">
        <f>"1551689253053289"</f>
        <v>1551689253053289</v>
      </c>
      <c r="C4365" t="s">
        <v>40</v>
      </c>
      <c r="D4365">
        <v>4.4750809999999897</v>
      </c>
      <c r="E4365">
        <v>0.51737359999999999</v>
      </c>
      <c r="F4365" t="s">
        <v>42</v>
      </c>
      <c r="G4365">
        <v>-420.87419999999997</v>
      </c>
      <c r="H4365" s="1">
        <v>-3.0017220000000002E-6</v>
      </c>
      <c r="I4365">
        <v>56.04401</v>
      </c>
      <c r="J4365">
        <v>-422.19909999999999</v>
      </c>
      <c r="K4365">
        <v>1.1117140000000001</v>
      </c>
      <c r="L4365">
        <v>64.992919999999998</v>
      </c>
      <c r="M4365">
        <v>-2.0263400000000001E-2</v>
      </c>
      <c r="N4365">
        <v>-1.515765E-2</v>
      </c>
      <c r="O4365">
        <v>-0.99967969999999895</v>
      </c>
      <c r="P4365">
        <v>0.150285</v>
      </c>
      <c r="Q4365">
        <v>0.40079949999999998</v>
      </c>
      <c r="R4365">
        <v>-0.90375570000000005</v>
      </c>
      <c r="S4365">
        <v>0.47930909999999899</v>
      </c>
      <c r="T4365">
        <v>-0.40474260000000001</v>
      </c>
      <c r="U4365">
        <v>-3.4185789999999998</v>
      </c>
      <c r="V4365">
        <v>-0.16929179999999999</v>
      </c>
      <c r="W4365">
        <v>0.41410849999999999</v>
      </c>
      <c r="X4365">
        <v>0.89434579999999997</v>
      </c>
      <c r="Y4365">
        <v>-0.15801870000000001</v>
      </c>
      <c r="Z4365">
        <v>0.1011502</v>
      </c>
      <c r="AA4365">
        <v>0.9822417</v>
      </c>
      <c r="AB4365">
        <v>41</v>
      </c>
      <c r="AC4365">
        <v>1.32490000000001</v>
      </c>
      <c r="AD4365">
        <v>-1.1117170017219999</v>
      </c>
      <c r="AE4365">
        <v>-8.9489099999999908</v>
      </c>
      <c r="AF4365">
        <v>-1.48357922710009</v>
      </c>
      <c r="AG4365">
        <v>-1.1117170017219999</v>
      </c>
      <c r="AH4365">
        <v>8.7875139199844305</v>
      </c>
      <c r="AI4365">
        <v>97.110667659388199</v>
      </c>
      <c r="AJ4365">
        <v>99.582773437388198</v>
      </c>
      <c r="AK4365">
        <v>8.9809422060784208</v>
      </c>
      <c r="AL4365">
        <v>65.536812630050704</v>
      </c>
      <c r="AM4365">
        <v>100.718766372941</v>
      </c>
      <c r="AN4365">
        <v>0.99999998664856504</v>
      </c>
    </row>
    <row r="4366" spans="1:40" x14ac:dyDescent="0.25">
      <c r="A4366" t="str">
        <f>"20190304164733091"</f>
        <v>20190304164733091</v>
      </c>
      <c r="B4366" t="str">
        <f>"1551689253073785"</f>
        <v>1551689253073785</v>
      </c>
      <c r="C4366" t="s">
        <v>40</v>
      </c>
      <c r="D4366">
        <v>4.4848460000000001</v>
      </c>
      <c r="E4366">
        <v>0.51841059999999906</v>
      </c>
      <c r="F4366" t="s">
        <v>42</v>
      </c>
      <c r="G4366">
        <v>-420.91930000000002</v>
      </c>
      <c r="H4366" s="1">
        <v>-2.8736549999999999E-6</v>
      </c>
      <c r="I4366">
        <v>55.717509999999997</v>
      </c>
      <c r="J4366">
        <v>-422.20760000000001</v>
      </c>
      <c r="K4366">
        <v>1.111802</v>
      </c>
      <c r="L4366">
        <v>64.528049999999993</v>
      </c>
      <c r="M4366">
        <v>-1.9277019999999999E-2</v>
      </c>
      <c r="N4366">
        <v>-1.515768E-2</v>
      </c>
      <c r="O4366">
        <v>-0.99969940000000002</v>
      </c>
      <c r="P4366">
        <v>0.1537953</v>
      </c>
      <c r="Q4366">
        <v>0.4011323</v>
      </c>
      <c r="R4366">
        <v>-0.90301750000000003</v>
      </c>
      <c r="S4366">
        <v>0.47228999999999999</v>
      </c>
      <c r="T4366">
        <v>-0.4102539</v>
      </c>
      <c r="U4366">
        <v>-3.422882</v>
      </c>
      <c r="V4366">
        <v>-0.1719801</v>
      </c>
      <c r="W4366">
        <v>0.41439369999999998</v>
      </c>
      <c r="X4366">
        <v>0.89370059999999996</v>
      </c>
      <c r="Y4366">
        <v>-0.15487879999999901</v>
      </c>
      <c r="Z4366">
        <v>0.1026193</v>
      </c>
      <c r="AA4366">
        <v>0.98258939999999995</v>
      </c>
      <c r="AB4366">
        <v>41</v>
      </c>
      <c r="AC4366">
        <v>1.28829999999999</v>
      </c>
      <c r="AD4366">
        <v>-1.1118048736549999</v>
      </c>
      <c r="AE4366">
        <v>-8.8105399999999907</v>
      </c>
      <c r="AF4366">
        <v>-1.4355399977445</v>
      </c>
      <c r="AG4366">
        <v>-1.1118048736549999</v>
      </c>
      <c r="AH4366">
        <v>8.64921806784319</v>
      </c>
      <c r="AI4366">
        <v>97.227059620223898</v>
      </c>
      <c r="AJ4366">
        <v>99.423669308873002</v>
      </c>
      <c r="AK4366">
        <v>8.8377518831042394</v>
      </c>
      <c r="AL4366">
        <v>65.518860039942098</v>
      </c>
      <c r="AM4366">
        <v>100.892611951787</v>
      </c>
      <c r="AN4366">
        <v>1.0000000279180199</v>
      </c>
    </row>
    <row r="4367" spans="1:40" x14ac:dyDescent="0.25">
      <c r="A4367" t="str">
        <f>"20190304164733130"</f>
        <v>20190304164733130</v>
      </c>
      <c r="B4367" t="str">
        <f>"1551689253123564"</f>
        <v>1551689253123564</v>
      </c>
      <c r="C4367" t="s">
        <v>40</v>
      </c>
      <c r="D4367">
        <v>4.4969489999999999</v>
      </c>
      <c r="E4367">
        <v>0.51946539999999997</v>
      </c>
      <c r="F4367" t="s">
        <v>42</v>
      </c>
      <c r="G4367">
        <v>-420.93009999999998</v>
      </c>
      <c r="H4367" s="1">
        <v>-2.6966909999999999E-6</v>
      </c>
      <c r="I4367">
        <v>55.298250000000003</v>
      </c>
      <c r="J4367">
        <v>-422.21929999999998</v>
      </c>
      <c r="K4367">
        <v>1.111944</v>
      </c>
      <c r="L4367">
        <v>63.8268699999999</v>
      </c>
      <c r="M4367">
        <v>-1.7574969999999999E-2</v>
      </c>
      <c r="N4367">
        <v>-1.5156569999999999E-2</v>
      </c>
      <c r="O4367">
        <v>-0.99973080000000003</v>
      </c>
      <c r="P4367">
        <v>0.162153399999999</v>
      </c>
      <c r="Q4367">
        <v>0.40187210000000001</v>
      </c>
      <c r="R4367">
        <v>-0.90122460000000004</v>
      </c>
      <c r="S4367">
        <v>0.473999</v>
      </c>
      <c r="T4367">
        <v>-0.41253469999999998</v>
      </c>
      <c r="U4367">
        <v>-3.4247130000000001</v>
      </c>
      <c r="V4367">
        <v>-0.1789037</v>
      </c>
      <c r="W4367">
        <v>0.41503839999999997</v>
      </c>
      <c r="X4367">
        <v>0.89204069999999902</v>
      </c>
      <c r="Y4367">
        <v>-0.15359909999999999</v>
      </c>
      <c r="Z4367">
        <v>0.10322000000000001</v>
      </c>
      <c r="AA4367">
        <v>0.98272729999999997</v>
      </c>
      <c r="AB4367">
        <v>41</v>
      </c>
      <c r="AC4367">
        <v>1.2891999999999899</v>
      </c>
      <c r="AD4367">
        <v>-1.1119466966910001</v>
      </c>
      <c r="AE4367">
        <v>-8.5286199999999894</v>
      </c>
      <c r="AF4367">
        <v>-1.4153863139721801</v>
      </c>
      <c r="AG4367">
        <v>-1.1119466966910001</v>
      </c>
      <c r="AH4367">
        <v>8.3656160488135196</v>
      </c>
      <c r="AI4367">
        <v>97.466410954135497</v>
      </c>
      <c r="AJ4367">
        <v>99.602984770734395</v>
      </c>
      <c r="AK4367">
        <v>8.5570599945441597</v>
      </c>
      <c r="AL4367">
        <v>65.478265495473906</v>
      </c>
      <c r="AM4367">
        <v>101.340534799609</v>
      </c>
      <c r="AN4367">
        <v>1.00000000890237</v>
      </c>
    </row>
    <row r="4368" spans="1:40" x14ac:dyDescent="0.25">
      <c r="A4368" t="str">
        <f>"20190304164733151"</f>
        <v>20190304164733151</v>
      </c>
      <c r="B4368" t="str">
        <f>"1551689253144057"</f>
        <v>1551689253144057</v>
      </c>
      <c r="C4368" t="s">
        <v>40</v>
      </c>
      <c r="D4368">
        <v>4.5810559999999896</v>
      </c>
      <c r="E4368">
        <v>0.51938869999999904</v>
      </c>
      <c r="F4368" t="s">
        <v>42</v>
      </c>
      <c r="G4368">
        <v>-420.92059999999998</v>
      </c>
      <c r="H4368" s="1">
        <v>-2.4755560000000001E-6</v>
      </c>
      <c r="I4368">
        <v>54.788699999999999</v>
      </c>
      <c r="J4368">
        <v>-422.22550000000001</v>
      </c>
      <c r="K4368">
        <v>1.112015</v>
      </c>
      <c r="L4368">
        <v>63.423279999999998</v>
      </c>
      <c r="M4368">
        <v>-1.6503899999999998E-2</v>
      </c>
      <c r="N4368">
        <v>-1.5155439999999999E-2</v>
      </c>
      <c r="O4368">
        <v>-0.99974909999999995</v>
      </c>
      <c r="P4368">
        <v>0.16718769999999999</v>
      </c>
      <c r="Q4368">
        <v>0.4011846</v>
      </c>
      <c r="R4368">
        <v>-0.90061059999999904</v>
      </c>
      <c r="S4368">
        <v>0.49261470000000002</v>
      </c>
      <c r="T4368">
        <v>-0.42177049999999999</v>
      </c>
      <c r="U4368">
        <v>-3.4282530000000002</v>
      </c>
      <c r="V4368">
        <v>-0.18303410000000001</v>
      </c>
      <c r="W4368">
        <v>0.41430159999999999</v>
      </c>
      <c r="X4368">
        <v>0.89154509999999898</v>
      </c>
      <c r="Y4368">
        <v>-0.1575907</v>
      </c>
      <c r="Z4368">
        <v>0.10563400000000001</v>
      </c>
      <c r="AA4368">
        <v>0.9818384</v>
      </c>
      <c r="AB4368">
        <v>41</v>
      </c>
      <c r="AC4368">
        <v>1.3049000000000299</v>
      </c>
      <c r="AD4368">
        <v>-1.1120174755559999</v>
      </c>
      <c r="AE4368">
        <v>-8.6345799999999997</v>
      </c>
      <c r="AF4368">
        <v>-1.4241493553512701</v>
      </c>
      <c r="AG4368">
        <v>-1.1120174755559999</v>
      </c>
      <c r="AH4368">
        <v>8.4744468722214705</v>
      </c>
      <c r="AI4368">
        <v>97.373412385717799</v>
      </c>
      <c r="AJ4368">
        <v>99.539543916037204</v>
      </c>
      <c r="AK4368">
        <v>8.6649312774189706</v>
      </c>
      <c r="AL4368">
        <v>65.524656907636697</v>
      </c>
      <c r="AM4368">
        <v>101.601614037433</v>
      </c>
      <c r="AN4368">
        <v>0.99999998142968904</v>
      </c>
    </row>
    <row r="4369" spans="1:40" x14ac:dyDescent="0.25">
      <c r="A4369" t="str">
        <f>"20190304164733173"</f>
        <v>20190304164733173</v>
      </c>
      <c r="B4369" t="str">
        <f>"1551689253163578"</f>
        <v>1551689253163578</v>
      </c>
      <c r="C4369" t="s">
        <v>40</v>
      </c>
      <c r="D4369">
        <v>4.5109789999999998</v>
      </c>
      <c r="E4369">
        <v>0.42754530000000002</v>
      </c>
      <c r="F4369" t="s">
        <v>42</v>
      </c>
      <c r="G4369">
        <v>-420.89519999999999</v>
      </c>
      <c r="H4369" s="1">
        <v>-2.327333E-6</v>
      </c>
      <c r="I4369">
        <v>54.458930000000002</v>
      </c>
      <c r="J4369">
        <v>-422.23090000000002</v>
      </c>
      <c r="K4369">
        <v>1.11208</v>
      </c>
      <c r="L4369">
        <v>63.032229999999998</v>
      </c>
      <c r="M4369">
        <v>-1.5411080000000001E-2</v>
      </c>
      <c r="N4369">
        <v>-1.5153899999999901E-2</v>
      </c>
      <c r="O4369">
        <v>-0.99976659999999995</v>
      </c>
      <c r="P4369">
        <v>0.17327600000000001</v>
      </c>
      <c r="Q4369">
        <v>0.40124860000000001</v>
      </c>
      <c r="R4369">
        <v>-0.89943069999999903</v>
      </c>
      <c r="S4369">
        <v>0.50839230000000002</v>
      </c>
      <c r="T4369">
        <v>-0.4249945</v>
      </c>
      <c r="U4369">
        <v>-3.4260250000000001</v>
      </c>
      <c r="V4369">
        <v>-0.18818599999999999</v>
      </c>
      <c r="W4369">
        <v>0.41430679999999998</v>
      </c>
      <c r="X4369">
        <v>0.89046950000000002</v>
      </c>
      <c r="Y4369">
        <v>-0.16100829999999999</v>
      </c>
      <c r="Z4369">
        <v>0.1065537</v>
      </c>
      <c r="AA4369">
        <v>0.98118430000000001</v>
      </c>
      <c r="AB4369">
        <v>41</v>
      </c>
      <c r="AC4369">
        <v>1.3357000000000301</v>
      </c>
      <c r="AD4369">
        <v>-1.1120823273330001</v>
      </c>
      <c r="AE4369">
        <v>-8.5732999999999997</v>
      </c>
      <c r="AF4369">
        <v>-1.4439601519091001</v>
      </c>
      <c r="AG4369">
        <v>-1.1120823273330001</v>
      </c>
      <c r="AH4369">
        <v>8.4134851221757092</v>
      </c>
      <c r="AI4369">
        <v>97.422342680446704</v>
      </c>
      <c r="AJ4369">
        <v>99.738483422297094</v>
      </c>
      <c r="AK4369">
        <v>8.6086282254572808</v>
      </c>
      <c r="AL4369">
        <v>65.524330370561003</v>
      </c>
      <c r="AM4369">
        <v>101.932934061803</v>
      </c>
      <c r="AN4369">
        <v>1.0000000127762401</v>
      </c>
    </row>
    <row r="4370" spans="1:40" x14ac:dyDescent="0.25">
      <c r="A4370" t="str">
        <f>"20190304164733196"</f>
        <v>20190304164733196</v>
      </c>
      <c r="B4370" t="str">
        <f>"1551689253193833"</f>
        <v>1551689253193833</v>
      </c>
      <c r="C4370" t="s">
        <v>40</v>
      </c>
      <c r="D4370">
        <v>4.4792769999999997</v>
      </c>
      <c r="E4370">
        <v>0.4062984</v>
      </c>
      <c r="F4370" t="s">
        <v>42</v>
      </c>
      <c r="G4370">
        <v>-399.78219999999999</v>
      </c>
      <c r="H4370">
        <v>7.9985600000000004E-2</v>
      </c>
      <c r="I4370">
        <v>5.0583140000000002</v>
      </c>
      <c r="J4370">
        <v>-422.23610000000002</v>
      </c>
      <c r="K4370">
        <v>1.1121379999999901</v>
      </c>
      <c r="L4370">
        <v>62.6248199999999</v>
      </c>
      <c r="M4370">
        <v>-1.421506E-2</v>
      </c>
      <c r="N4370">
        <v>-1.515184E-2</v>
      </c>
      <c r="O4370">
        <v>-0.99978440000000002</v>
      </c>
      <c r="P4370">
        <v>0.17875199999999999</v>
      </c>
      <c r="Q4370">
        <v>0.40147749999999999</v>
      </c>
      <c r="R4370">
        <v>-0.89825619999999995</v>
      </c>
      <c r="S4370">
        <v>1.2108460000000001</v>
      </c>
      <c r="T4370">
        <v>-5.5669429999999999E-2</v>
      </c>
      <c r="U4370">
        <v>-3.127014</v>
      </c>
      <c r="V4370">
        <v>-0.19263430000000001</v>
      </c>
      <c r="W4370">
        <v>0.41447869999999998</v>
      </c>
      <c r="X4370">
        <v>0.8894377</v>
      </c>
      <c r="Y4370">
        <v>-0.37422870000000003</v>
      </c>
      <c r="Z4370">
        <v>1.3601220000000001E-3</v>
      </c>
      <c r="AA4370">
        <v>0.92733540000000003</v>
      </c>
      <c r="AB4370">
        <v>40</v>
      </c>
      <c r="AC4370">
        <v>22.453900000000001</v>
      </c>
      <c r="AD4370">
        <v>-1.03215239999999</v>
      </c>
      <c r="AE4370">
        <v>-57.566505999999897</v>
      </c>
      <c r="AF4370">
        <v>-23.263544740622699</v>
      </c>
      <c r="AG4370">
        <v>-1.03215239999999</v>
      </c>
      <c r="AH4370">
        <v>57.2255007723044</v>
      </c>
      <c r="AI4370">
        <v>90.957248479111897</v>
      </c>
      <c r="AJ4370">
        <v>112.122926701788</v>
      </c>
      <c r="AK4370">
        <v>61.782002161768702</v>
      </c>
      <c r="AL4370">
        <v>65.5135078184544</v>
      </c>
      <c r="AM4370">
        <v>102.220372409635</v>
      </c>
      <c r="AN4370">
        <v>0.99999999423573405</v>
      </c>
    </row>
    <row r="4371" spans="1:40" x14ac:dyDescent="0.25">
      <c r="A4371" t="str">
        <f>"20190304164733219"</f>
        <v>20190304164733219</v>
      </c>
      <c r="B4371" t="str">
        <f>"1551689253213353"</f>
        <v>1551689253213353</v>
      </c>
      <c r="C4371" t="s">
        <v>40</v>
      </c>
      <c r="D4371">
        <v>4.423756</v>
      </c>
      <c r="E4371">
        <v>0.40308939999999999</v>
      </c>
      <c r="F4371" t="s">
        <v>46</v>
      </c>
      <c r="G4371">
        <v>-408.8134</v>
      </c>
      <c r="H4371">
        <v>0.34109200000000001</v>
      </c>
      <c r="I4371">
        <v>32.849609999999998</v>
      </c>
      <c r="J4371">
        <v>-422.2407</v>
      </c>
      <c r="K4371">
        <v>1.1122080000000001</v>
      </c>
      <c r="L4371">
        <v>62.21884</v>
      </c>
      <c r="M4371">
        <v>-1.2968210000000001E-2</v>
      </c>
      <c r="N4371">
        <v>-1.51495E-2</v>
      </c>
      <c r="O4371">
        <v>-0.99980150000000001</v>
      </c>
      <c r="P4371">
        <v>0.18297160000000001</v>
      </c>
      <c r="Q4371">
        <v>0.40170600000000001</v>
      </c>
      <c r="R4371">
        <v>-0.89730379999999998</v>
      </c>
      <c r="S4371">
        <v>1.3964840000000001</v>
      </c>
      <c r="T4371">
        <v>-8.0218789999999998E-2</v>
      </c>
      <c r="U4371">
        <v>-3.0977779999999999</v>
      </c>
      <c r="V4371">
        <v>-0.19578290000000001</v>
      </c>
      <c r="W4371">
        <v>0.41465740000000001</v>
      </c>
      <c r="X4371">
        <v>0.88866659999999997</v>
      </c>
      <c r="Y4371">
        <v>-0.42262909999999998</v>
      </c>
      <c r="Z4371">
        <v>8.3415169999999997E-3</v>
      </c>
      <c r="AA4371">
        <v>0.90626430000000002</v>
      </c>
      <c r="AB4371">
        <v>40</v>
      </c>
      <c r="AC4371">
        <v>13.427300000000001</v>
      </c>
      <c r="AD4371">
        <v>-0.77111600000000002</v>
      </c>
      <c r="AE4371">
        <v>-29.369229999999899</v>
      </c>
      <c r="AF4371">
        <v>-13.7992123664428</v>
      </c>
      <c r="AG4371">
        <v>-0.77111600000000002</v>
      </c>
      <c r="AH4371">
        <v>29.175975917612099</v>
      </c>
      <c r="AI4371">
        <v>91.368666396535303</v>
      </c>
      <c r="AJ4371">
        <v>115.31250554487499</v>
      </c>
      <c r="AK4371">
        <v>32.283903923855398</v>
      </c>
      <c r="AL4371">
        <v>65.502257197279704</v>
      </c>
      <c r="AM4371">
        <v>102.424405952835</v>
      </c>
      <c r="AN4371">
        <v>1.0000000146313599</v>
      </c>
    </row>
    <row r="4372" spans="1:40" x14ac:dyDescent="0.25">
      <c r="A4372" t="str">
        <f>"20190304164733241"</f>
        <v>20190304164733241</v>
      </c>
      <c r="B4372" t="str">
        <f>"1551689253233849"</f>
        <v>1551689253233849</v>
      </c>
      <c r="C4372" t="s">
        <v>40</v>
      </c>
      <c r="D4372">
        <v>4.418768</v>
      </c>
      <c r="E4372">
        <v>0.3999663</v>
      </c>
      <c r="F4372" t="s">
        <v>46</v>
      </c>
      <c r="G4372">
        <v>-408.62329999999997</v>
      </c>
      <c r="H4372">
        <v>0.32173220000000002</v>
      </c>
      <c r="I4372">
        <v>32.931539999999998</v>
      </c>
      <c r="J4372">
        <v>-422.245</v>
      </c>
      <c r="K4372">
        <v>1.1122669999999999</v>
      </c>
      <c r="L4372">
        <v>61.798459999999999</v>
      </c>
      <c r="M4372">
        <v>-1.1631280000000001E-2</v>
      </c>
      <c r="N4372">
        <v>-1.514684E-2</v>
      </c>
      <c r="O4372">
        <v>-0.99981779999999998</v>
      </c>
      <c r="P4372">
        <v>0.18742729999999999</v>
      </c>
      <c r="Q4372">
        <v>0.40227279999999999</v>
      </c>
      <c r="R4372">
        <v>-0.89612959999999997</v>
      </c>
      <c r="S4372">
        <v>1.4357599999999999</v>
      </c>
      <c r="T4372">
        <v>-8.3344219999999997E-2</v>
      </c>
      <c r="U4372">
        <v>-3.0879210000000001</v>
      </c>
      <c r="V4372">
        <v>-0.1990864</v>
      </c>
      <c r="W4372">
        <v>0.4151707</v>
      </c>
      <c r="X4372">
        <v>0.887692499999999</v>
      </c>
      <c r="Y4372">
        <v>-0.43199280000000001</v>
      </c>
      <c r="Z4372">
        <v>9.2170949999999998E-3</v>
      </c>
      <c r="AA4372">
        <v>0.90183000000000002</v>
      </c>
      <c r="AB4372">
        <v>40</v>
      </c>
      <c r="AC4372">
        <v>13.621700000000001</v>
      </c>
      <c r="AD4372">
        <v>-0.79053479999999998</v>
      </c>
      <c r="AE4372">
        <v>-28.86692</v>
      </c>
      <c r="AF4372">
        <v>-13.9480205536613</v>
      </c>
      <c r="AG4372">
        <v>-0.79053479999999998</v>
      </c>
      <c r="AH4372">
        <v>28.688913578661101</v>
      </c>
      <c r="AI4372">
        <v>91.419599940497207</v>
      </c>
      <c r="AJ4372">
        <v>115.928165998591</v>
      </c>
      <c r="AK4372">
        <v>31.9096534760134</v>
      </c>
      <c r="AL4372">
        <v>65.469934303564102</v>
      </c>
      <c r="AM4372">
        <v>102.640788180557</v>
      </c>
      <c r="AN4372">
        <v>1.0000000396798401</v>
      </c>
    </row>
    <row r="4373" spans="1:40" x14ac:dyDescent="0.25">
      <c r="A4373" t="str">
        <f>"20190304164733264"</f>
        <v>20190304164733264</v>
      </c>
      <c r="B4373" t="str">
        <f>"1551689253253369"</f>
        <v>1551689253253369</v>
      </c>
      <c r="C4373" t="s">
        <v>40</v>
      </c>
      <c r="D4373">
        <v>4.4368080000000001</v>
      </c>
      <c r="E4373">
        <v>0.39830700000000002</v>
      </c>
      <c r="F4373" t="s">
        <v>46</v>
      </c>
      <c r="G4373">
        <v>-408.55349999999999</v>
      </c>
      <c r="H4373">
        <v>0.16296229999999901</v>
      </c>
      <c r="I4373">
        <v>33.177430000000001</v>
      </c>
      <c r="J4373">
        <v>-422.2484</v>
      </c>
      <c r="K4373">
        <v>1.1123270000000001</v>
      </c>
      <c r="L4373">
        <v>61.4054</v>
      </c>
      <c r="M4373">
        <v>-1.033163E-2</v>
      </c>
      <c r="N4373">
        <v>-1.514419E-2</v>
      </c>
      <c r="O4373">
        <v>-0.9998321</v>
      </c>
      <c r="P4373">
        <v>0.19141849999999999</v>
      </c>
      <c r="Q4373">
        <v>0.4028119</v>
      </c>
      <c r="R4373">
        <v>-0.89504269999999997</v>
      </c>
      <c r="S4373">
        <v>1.4757690000000001</v>
      </c>
      <c r="T4373">
        <v>-0.10232330000000001</v>
      </c>
      <c r="U4373">
        <v>-3.084991</v>
      </c>
      <c r="V4373">
        <v>-0.20196059999999999</v>
      </c>
      <c r="W4373">
        <v>0.4156591</v>
      </c>
      <c r="X4373">
        <v>0.8868142</v>
      </c>
      <c r="Y4373">
        <v>-0.44064510000000001</v>
      </c>
      <c r="Z4373">
        <v>1.465851E-2</v>
      </c>
      <c r="AA4373">
        <v>0.89756170000000002</v>
      </c>
      <c r="AB4373">
        <v>40</v>
      </c>
      <c r="AC4373">
        <v>13.694900000000001</v>
      </c>
      <c r="AD4373">
        <v>-0.94936469999999995</v>
      </c>
      <c r="AE4373">
        <v>-28.227969999999999</v>
      </c>
      <c r="AF4373">
        <v>-13.9730494415106</v>
      </c>
      <c r="AG4373">
        <v>-0.94936469999999995</v>
      </c>
      <c r="AH4373">
        <v>28.059264987476801</v>
      </c>
      <c r="AI4373">
        <v>91.734768645614494</v>
      </c>
      <c r="AJ4373">
        <v>116.47254456516799</v>
      </c>
      <c r="AK4373">
        <v>31.360321357823299</v>
      </c>
      <c r="AL4373">
        <v>65.439169949360107</v>
      </c>
      <c r="AM4373">
        <v>102.829569816787</v>
      </c>
      <c r="AN4373">
        <v>0.99999999834340503</v>
      </c>
    </row>
    <row r="4374" spans="1:40" x14ac:dyDescent="0.25">
      <c r="A4374" t="str">
        <f>"20190304164733289"</f>
        <v>20190304164733289</v>
      </c>
      <c r="B4374" t="str">
        <f>"1551689253283625"</f>
        <v>1551689253283625</v>
      </c>
      <c r="C4374" t="s">
        <v>40</v>
      </c>
      <c r="D4374">
        <v>4.4186699999999997</v>
      </c>
      <c r="E4374">
        <v>0.39713229999999999</v>
      </c>
      <c r="F4374" t="s">
        <v>53</v>
      </c>
      <c r="G4374">
        <v>-408.8365</v>
      </c>
      <c r="H4374">
        <v>7.9987779999999994E-2</v>
      </c>
      <c r="I4374">
        <v>33.895949999999999</v>
      </c>
      <c r="J4374">
        <v>-422.2516</v>
      </c>
      <c r="K4374">
        <v>1.1123959999999999</v>
      </c>
      <c r="L4374">
        <v>60.942659999999997</v>
      </c>
      <c r="M4374">
        <v>-8.7181729999999992E-3</v>
      </c>
      <c r="N4374">
        <v>-1.5141099999999999E-2</v>
      </c>
      <c r="O4374">
        <v>-0.99984740000000005</v>
      </c>
      <c r="P4374">
        <v>0.1955144</v>
      </c>
      <c r="Q4374">
        <v>0.40329799999999999</v>
      </c>
      <c r="R4374">
        <v>-0.8939378</v>
      </c>
      <c r="S4374">
        <v>1.5028079999999999</v>
      </c>
      <c r="T4374">
        <v>-0.1156745</v>
      </c>
      <c r="U4374">
        <v>-3.0824579999999999</v>
      </c>
      <c r="V4374">
        <v>-0.20468230000000001</v>
      </c>
      <c r="W4374">
        <v>0.41608410000000001</v>
      </c>
      <c r="X4374">
        <v>0.88599050000000001</v>
      </c>
      <c r="Y4374">
        <v>-0.44581749999999998</v>
      </c>
      <c r="Z4374">
        <v>1.8475950000000001E-2</v>
      </c>
      <c r="AA4374">
        <v>0.89493319999999998</v>
      </c>
      <c r="AB4374">
        <v>40</v>
      </c>
      <c r="AC4374">
        <v>13.415099999999899</v>
      </c>
      <c r="AD4374">
        <v>-1.03240822</v>
      </c>
      <c r="AE4374">
        <v>-27.046710000000001</v>
      </c>
      <c r="AF4374">
        <v>-13.634471259405499</v>
      </c>
      <c r="AG4374">
        <v>-1.03240822</v>
      </c>
      <c r="AH4374">
        <v>26.897260514698502</v>
      </c>
      <c r="AI4374">
        <v>91.960813226872204</v>
      </c>
      <c r="AJ4374">
        <v>116.88087370017</v>
      </c>
      <c r="AK4374">
        <v>30.173287796523599</v>
      </c>
      <c r="AL4374">
        <v>65.412393853298596</v>
      </c>
      <c r="AM4374">
        <v>103.008305147728</v>
      </c>
      <c r="AN4374">
        <v>0.99999999414817498</v>
      </c>
    </row>
    <row r="4375" spans="1:40" x14ac:dyDescent="0.25">
      <c r="A4375" t="str">
        <f>"20190304164733309"</f>
        <v>20190304164733309</v>
      </c>
      <c r="B4375" t="str">
        <f>"1551689253303146"</f>
        <v>1551689253303146</v>
      </c>
      <c r="C4375" t="s">
        <v>40</v>
      </c>
      <c r="D4375">
        <v>4.4386000000000001</v>
      </c>
      <c r="E4375">
        <v>0.39673340000000001</v>
      </c>
      <c r="F4375" t="s">
        <v>53</v>
      </c>
      <c r="G4375">
        <v>-409.94760000000002</v>
      </c>
      <c r="H4375">
        <v>6.0182100000000002E-2</v>
      </c>
      <c r="I4375">
        <v>36.126089999999998</v>
      </c>
      <c r="J4375">
        <v>-422.25360000000001</v>
      </c>
      <c r="K4375">
        <v>1.112466</v>
      </c>
      <c r="L4375">
        <v>60.595210000000002</v>
      </c>
      <c r="M4375">
        <v>-7.4227030000000001E-3</v>
      </c>
      <c r="N4375">
        <v>-1.5138860000000001E-2</v>
      </c>
      <c r="O4375">
        <v>-0.99985800000000002</v>
      </c>
      <c r="P4375">
        <v>0.1984911</v>
      </c>
      <c r="Q4375">
        <v>0.40407589999999999</v>
      </c>
      <c r="R4375">
        <v>-0.89293040000000001</v>
      </c>
      <c r="S4375">
        <v>1.527466</v>
      </c>
      <c r="T4375">
        <v>-0.1306254</v>
      </c>
      <c r="U4375">
        <v>-3.0808110000000002</v>
      </c>
      <c r="V4375">
        <v>-0.2065698</v>
      </c>
      <c r="W4375">
        <v>0.41680679999999998</v>
      </c>
      <c r="X4375">
        <v>0.88521240000000001</v>
      </c>
      <c r="Y4375">
        <v>-0.45055319999999999</v>
      </c>
      <c r="Z4375">
        <v>2.2734089999999998E-2</v>
      </c>
      <c r="AA4375">
        <v>0.89246000000000003</v>
      </c>
      <c r="AB4375">
        <v>40</v>
      </c>
      <c r="AC4375">
        <v>12.3059999999999</v>
      </c>
      <c r="AD4375">
        <v>-1.0522838999999999</v>
      </c>
      <c r="AE4375">
        <v>-24.469119999999901</v>
      </c>
      <c r="AF4375">
        <v>-12.4689039014066</v>
      </c>
      <c r="AG4375">
        <v>-1.0522838999999999</v>
      </c>
      <c r="AH4375">
        <v>24.3411625841001</v>
      </c>
      <c r="AI4375">
        <v>92.203436424160401</v>
      </c>
      <c r="AJ4375">
        <v>117.124061497989</v>
      </c>
      <c r="AK4375">
        <v>27.369199145285702</v>
      </c>
      <c r="AL4375">
        <v>65.366848864315301</v>
      </c>
      <c r="AM4375">
        <v>103.13526470155701</v>
      </c>
      <c r="AN4375">
        <v>0.99999999195601896</v>
      </c>
    </row>
    <row r="4376" spans="1:40" x14ac:dyDescent="0.25">
      <c r="A4376" t="str">
        <f>"20190304164733330"</f>
        <v>20190304164733330</v>
      </c>
      <c r="B4376" t="str">
        <f>"1551689253323658"</f>
        <v>1551689253323658</v>
      </c>
      <c r="C4376" t="s">
        <v>40</v>
      </c>
      <c r="D4376">
        <v>4.5903839999999896</v>
      </c>
      <c r="E4376">
        <v>0.39678580000000002</v>
      </c>
      <c r="F4376" t="s">
        <v>53</v>
      </c>
      <c r="G4376">
        <v>-409.95780000000002</v>
      </c>
      <c r="H4376">
        <v>2.742845E-2</v>
      </c>
      <c r="I4376">
        <v>36.045999999999999</v>
      </c>
      <c r="J4376">
        <v>-422.2552</v>
      </c>
      <c r="K4376">
        <v>1.1125700000000001</v>
      </c>
      <c r="L4376">
        <v>60.202060000000003</v>
      </c>
      <c r="M4376">
        <v>-5.8483969999999904E-3</v>
      </c>
      <c r="N4376">
        <v>-1.513684E-2</v>
      </c>
      <c r="O4376">
        <v>-0.9998686</v>
      </c>
      <c r="P4376">
        <v>0.20116980000000001</v>
      </c>
      <c r="Q4376">
        <v>0.40414220000000001</v>
      </c>
      <c r="R4376">
        <v>-0.89230039999999999</v>
      </c>
      <c r="S4376">
        <v>1.5419309999999999</v>
      </c>
      <c r="T4376">
        <v>-0.136067299999999</v>
      </c>
      <c r="U4376">
        <v>-3.0785520000000002</v>
      </c>
      <c r="V4376">
        <v>-0.20794389999999999</v>
      </c>
      <c r="W4376">
        <v>0.41681069999999998</v>
      </c>
      <c r="X4376">
        <v>0.88488880000000003</v>
      </c>
      <c r="Y4376">
        <v>-0.45274350000000002</v>
      </c>
      <c r="Z4376">
        <v>2.4282689999999999E-2</v>
      </c>
      <c r="AA4376">
        <v>0.89131009999999999</v>
      </c>
      <c r="AB4376">
        <v>40</v>
      </c>
      <c r="AC4376">
        <v>12.2973999999999</v>
      </c>
      <c r="AD4376">
        <v>-1.0851415499999999</v>
      </c>
      <c r="AE4376">
        <v>-24.15606</v>
      </c>
      <c r="AF4376">
        <v>-12.418577401966401</v>
      </c>
      <c r="AG4376">
        <v>-1.0851415499999999</v>
      </c>
      <c r="AH4376">
        <v>24.045182508469001</v>
      </c>
      <c r="AI4376">
        <v>92.296173389460293</v>
      </c>
      <c r="AJ4376">
        <v>117.314925118445</v>
      </c>
      <c r="AK4376">
        <v>27.0844863111293</v>
      </c>
      <c r="AL4376">
        <v>65.366603428562996</v>
      </c>
      <c r="AM4376">
        <v>103.22424635288699</v>
      </c>
      <c r="AN4376">
        <v>1.0000000067735699</v>
      </c>
    </row>
    <row r="4377" spans="1:40" x14ac:dyDescent="0.25">
      <c r="A4377" t="str">
        <f>"20190304164733351"</f>
        <v>20190304164733351</v>
      </c>
      <c r="B4377" t="str">
        <f>"1551689253343161"</f>
        <v>1551689253343161</v>
      </c>
      <c r="C4377" t="s">
        <v>40</v>
      </c>
      <c r="D4377">
        <v>4.436712</v>
      </c>
      <c r="E4377">
        <v>0.39647339999999998</v>
      </c>
      <c r="F4377" t="s">
        <v>53</v>
      </c>
      <c r="G4377">
        <v>-410.17200000000003</v>
      </c>
      <c r="H4377" s="1">
        <v>-4.4713870000000004E-6</v>
      </c>
      <c r="I4377">
        <v>36.216059999999999</v>
      </c>
      <c r="J4377">
        <v>-422.2559</v>
      </c>
      <c r="K4377">
        <v>1.1127</v>
      </c>
      <c r="L4377">
        <v>59.820740000000001</v>
      </c>
      <c r="M4377">
        <v>-4.1866209999999997E-3</v>
      </c>
      <c r="N4377">
        <v>-1.513577E-2</v>
      </c>
      <c r="O4377">
        <v>-0.99987689999999996</v>
      </c>
      <c r="P4377">
        <v>0.20301749999999999</v>
      </c>
      <c r="Q4377">
        <v>0.40487519999999999</v>
      </c>
      <c r="R4377">
        <v>-0.89154929999999999</v>
      </c>
      <c r="S4377">
        <v>1.5502009999999999</v>
      </c>
      <c r="T4377">
        <v>-0.14273720000000001</v>
      </c>
      <c r="U4377">
        <v>-3.0772710000000001</v>
      </c>
      <c r="V4377">
        <v>-0.20843149999999999</v>
      </c>
      <c r="W4377">
        <v>0.41747420000000002</v>
      </c>
      <c r="X4377">
        <v>0.88446119999999995</v>
      </c>
      <c r="Y4377">
        <v>-0.45329469999999999</v>
      </c>
      <c r="Z4377">
        <v>2.620635E-2</v>
      </c>
      <c r="AA4377">
        <v>0.89097539999999997</v>
      </c>
      <c r="AB4377">
        <v>40</v>
      </c>
      <c r="AC4377">
        <v>12.0839</v>
      </c>
      <c r="AD4377">
        <v>-1.112704471387</v>
      </c>
      <c r="AE4377">
        <v>-23.604679999999998</v>
      </c>
      <c r="AF4377">
        <v>-12.1612172395923</v>
      </c>
      <c r="AG4377">
        <v>-1.112704471387</v>
      </c>
      <c r="AH4377">
        <v>23.512478693408799</v>
      </c>
      <c r="AI4377">
        <v>92.406971495135096</v>
      </c>
      <c r="AJ4377">
        <v>117.34908818843</v>
      </c>
      <c r="AK4377">
        <v>26.494715893875899</v>
      </c>
      <c r="AL4377">
        <v>65.324774591152305</v>
      </c>
      <c r="AM4377">
        <v>103.260343640428</v>
      </c>
      <c r="AN4377">
        <v>1.0000000060816601</v>
      </c>
    </row>
    <row r="4378" spans="1:40" x14ac:dyDescent="0.25">
      <c r="A4378" t="str">
        <f>"20190304164733375"</f>
        <v>20190304164733375</v>
      </c>
      <c r="B4378" t="str">
        <f>"1551689253363658"</f>
        <v>1551689253363658</v>
      </c>
      <c r="C4378" t="s">
        <v>40</v>
      </c>
      <c r="D4378">
        <v>4.4563839999999999</v>
      </c>
      <c r="E4378">
        <v>0.39610390000000001</v>
      </c>
      <c r="F4378" t="s">
        <v>53</v>
      </c>
      <c r="G4378">
        <v>-410.3372</v>
      </c>
      <c r="H4378" s="1">
        <v>-4.3772189999999997E-6</v>
      </c>
      <c r="I4378">
        <v>36.321249999999999</v>
      </c>
      <c r="J4378">
        <v>-422.2559</v>
      </c>
      <c r="K4378">
        <v>1.112854</v>
      </c>
      <c r="L4378">
        <v>59.422580000000004</v>
      </c>
      <c r="M4378">
        <v>-2.2911619999999998E-3</v>
      </c>
      <c r="N4378">
        <v>-1.513543E-2</v>
      </c>
      <c r="O4378">
        <v>-0.99988279999999996</v>
      </c>
      <c r="P4378">
        <v>0.20422109999999999</v>
      </c>
      <c r="Q4378">
        <v>0.40506370000000003</v>
      </c>
      <c r="R4378">
        <v>-0.8911888</v>
      </c>
      <c r="S4378">
        <v>1.560028</v>
      </c>
      <c r="T4378">
        <v>-0.145641299999999</v>
      </c>
      <c r="U4378">
        <v>-3.0758359999999998</v>
      </c>
      <c r="V4378">
        <v>-0.20809259999999999</v>
      </c>
      <c r="W4378">
        <v>0.41759160000000001</v>
      </c>
      <c r="X4378">
        <v>0.88448559999999998</v>
      </c>
      <c r="Y4378">
        <v>-0.45402609999999899</v>
      </c>
      <c r="Z4378">
        <v>2.7034579999999999E-2</v>
      </c>
      <c r="AA4378">
        <v>0.89057819999999899</v>
      </c>
      <c r="AB4378">
        <v>40</v>
      </c>
      <c r="AC4378">
        <v>11.918699999999999</v>
      </c>
      <c r="AD4378">
        <v>-1.1128583772189999</v>
      </c>
      <c r="AE4378">
        <v>-23.101330000000001</v>
      </c>
      <c r="AF4378">
        <v>-11.949702574909301</v>
      </c>
      <c r="AG4378">
        <v>-1.1128583772189999</v>
      </c>
      <c r="AH4378">
        <v>23.0317465925935</v>
      </c>
      <c r="AI4378">
        <v>92.4558740690928</v>
      </c>
      <c r="AJ4378">
        <v>117.421916007129</v>
      </c>
      <c r="AK4378">
        <v>25.971045348656698</v>
      </c>
      <c r="AL4378">
        <v>65.317372433669306</v>
      </c>
      <c r="AM4378">
        <v>103.23919048020301</v>
      </c>
      <c r="AN4378">
        <v>1.0000000255863299</v>
      </c>
    </row>
    <row r="4379" spans="1:40" x14ac:dyDescent="0.25">
      <c r="A4379" t="str">
        <f>"20190304164733397"</f>
        <v>20190304164733397</v>
      </c>
      <c r="B4379" t="str">
        <f>"1551689253393914"</f>
        <v>1551689253393914</v>
      </c>
      <c r="C4379" t="s">
        <v>40</v>
      </c>
      <c r="D4379">
        <v>4.4820359999999999</v>
      </c>
      <c r="E4379">
        <v>0.3955901</v>
      </c>
      <c r="F4379" t="s">
        <v>41</v>
      </c>
      <c r="G4379">
        <v>-421.71339999999998</v>
      </c>
      <c r="H4379">
        <v>1.060983</v>
      </c>
      <c r="I4379">
        <v>58.358519999999999</v>
      </c>
      <c r="J4379">
        <v>-422.25490000000002</v>
      </c>
      <c r="K4379">
        <v>1.113019</v>
      </c>
      <c r="L4379">
        <v>59.015500000000003</v>
      </c>
      <c r="M4379">
        <v>-1.465305E-4</v>
      </c>
      <c r="N4379">
        <v>-1.5136109999999999E-2</v>
      </c>
      <c r="O4379">
        <v>-0.99988580000000005</v>
      </c>
      <c r="P4379">
        <v>0.2061451</v>
      </c>
      <c r="Q4379">
        <v>0.40467910000000001</v>
      </c>
      <c r="R4379">
        <v>-0.89092109999999902</v>
      </c>
      <c r="S4379">
        <v>1.567474</v>
      </c>
      <c r="T4379">
        <v>-0.14991409999999999</v>
      </c>
      <c r="U4379">
        <v>-3.075256</v>
      </c>
      <c r="V4379">
        <v>-0.20827190000000001</v>
      </c>
      <c r="W4379">
        <v>0.41712660000000001</v>
      </c>
      <c r="X4379">
        <v>0.88466270000000002</v>
      </c>
      <c r="Y4379">
        <v>-0.45387719999999998</v>
      </c>
      <c r="Z4379">
        <v>2.826379E-2</v>
      </c>
      <c r="AA4379">
        <v>0.89061590000000002</v>
      </c>
      <c r="AB4379">
        <v>40</v>
      </c>
      <c r="AC4379">
        <v>0.54150000000004095</v>
      </c>
      <c r="AD4379">
        <v>-5.2035999999999902E-2</v>
      </c>
      <c r="AE4379">
        <v>-0.65698000000000401</v>
      </c>
      <c r="AF4379">
        <v>-0.53958060474241398</v>
      </c>
      <c r="AG4379">
        <v>-5.2035999999999902E-2</v>
      </c>
      <c r="AH4379">
        <v>0.65445583936071605</v>
      </c>
      <c r="AI4379">
        <v>93.510583935726899</v>
      </c>
      <c r="AJ4379">
        <v>129.50463074491299</v>
      </c>
      <c r="AK4379">
        <v>0.84980434217737899</v>
      </c>
      <c r="AL4379">
        <v>65.346688205022502</v>
      </c>
      <c r="AM4379">
        <v>103.247636605773</v>
      </c>
      <c r="AN4379">
        <v>0.99999993876422799</v>
      </c>
    </row>
    <row r="4380" spans="1:40" x14ac:dyDescent="0.25">
      <c r="A4380" t="str">
        <f>"20190304164733419"</f>
        <v>20190304164733419</v>
      </c>
      <c r="B4380" t="str">
        <f>"1551689253413437"</f>
        <v>1551689253413437</v>
      </c>
      <c r="C4380" t="s">
        <v>40</v>
      </c>
      <c r="D4380">
        <v>4.5583039999999997</v>
      </c>
      <c r="E4380">
        <v>0.39531129999999998</v>
      </c>
      <c r="F4380" t="s">
        <v>41</v>
      </c>
      <c r="G4380">
        <v>-421.73320000000001</v>
      </c>
      <c r="H4380">
        <v>1.0607770000000001</v>
      </c>
      <c r="I4380">
        <v>57.998739999999998</v>
      </c>
      <c r="J4380">
        <v>-422.25290000000001</v>
      </c>
      <c r="K4380">
        <v>1.1131679999999999</v>
      </c>
      <c r="L4380">
        <v>58.6209699999999</v>
      </c>
      <c r="M4380">
        <v>2.0952309999999999E-3</v>
      </c>
      <c r="N4380">
        <v>-1.513715E-2</v>
      </c>
      <c r="O4380">
        <v>-0.99988330000000003</v>
      </c>
      <c r="P4380">
        <v>0.2078168</v>
      </c>
      <c r="Q4380">
        <v>0.4043196</v>
      </c>
      <c r="R4380">
        <v>-0.89069529999999997</v>
      </c>
      <c r="S4380">
        <v>1.57782</v>
      </c>
      <c r="T4380">
        <v>-0.1579409</v>
      </c>
      <c r="U4380">
        <v>-3.073944</v>
      </c>
      <c r="V4380">
        <v>-0.2081026</v>
      </c>
      <c r="W4380">
        <v>0.41669410000000001</v>
      </c>
      <c r="X4380">
        <v>0.88490639999999998</v>
      </c>
      <c r="Y4380">
        <v>-0.45437060000000001</v>
      </c>
      <c r="Z4380">
        <v>3.0568499999999998E-2</v>
      </c>
      <c r="AA4380">
        <v>0.89028809999999903</v>
      </c>
      <c r="AB4380">
        <v>40</v>
      </c>
      <c r="AC4380">
        <v>0.51970000000000005</v>
      </c>
      <c r="AD4380">
        <v>-5.2390999999999799E-2</v>
      </c>
      <c r="AE4380">
        <v>-0.62222999999998696</v>
      </c>
      <c r="AF4380">
        <v>-0.51623909609701002</v>
      </c>
      <c r="AG4380">
        <v>-5.2390999999999799E-2</v>
      </c>
      <c r="AH4380">
        <v>0.62072540040673096</v>
      </c>
      <c r="AI4380">
        <v>93.712895180372797</v>
      </c>
      <c r="AJ4380">
        <v>129.74930322532401</v>
      </c>
      <c r="AK4380">
        <v>0.80904118803071701</v>
      </c>
      <c r="AL4380">
        <v>65.3739526046582</v>
      </c>
      <c r="AM4380">
        <v>103.23372994877801</v>
      </c>
      <c r="AN4380">
        <v>1.00000000093126</v>
      </c>
    </row>
    <row r="4381" spans="1:40" x14ac:dyDescent="0.25">
      <c r="A4381" t="str">
        <f>"20190304164733441"</f>
        <v>20190304164733441</v>
      </c>
      <c r="B4381" t="str">
        <f>"1551689253433929"</f>
        <v>1551689253433929</v>
      </c>
      <c r="C4381" t="s">
        <v>40</v>
      </c>
      <c r="D4381">
        <v>4.4836600000000004</v>
      </c>
      <c r="E4381">
        <v>0.39484750000000002</v>
      </c>
      <c r="F4381" t="s">
        <v>41</v>
      </c>
      <c r="G4381">
        <v>-421.74689999999998</v>
      </c>
      <c r="H4381">
        <v>1.0609230000000001</v>
      </c>
      <c r="I4381">
        <v>57.640479999999997</v>
      </c>
      <c r="J4381">
        <v>-422.24979999999999</v>
      </c>
      <c r="K4381">
        <v>1.1133249999999999</v>
      </c>
      <c r="L4381">
        <v>58.221559999999997</v>
      </c>
      <c r="M4381">
        <v>4.5388540000000002E-3</v>
      </c>
      <c r="N4381">
        <v>-1.513799E-2</v>
      </c>
      <c r="O4381">
        <v>-0.99987519999999996</v>
      </c>
      <c r="P4381">
        <v>0.21029349999999999</v>
      </c>
      <c r="Q4381">
        <v>0.40378019999999998</v>
      </c>
      <c r="R4381">
        <v>-0.89035839999999999</v>
      </c>
      <c r="S4381">
        <v>1.585205</v>
      </c>
      <c r="T4381">
        <v>-0.16372239999999999</v>
      </c>
      <c r="U4381">
        <v>-3.072632</v>
      </c>
      <c r="V4381">
        <v>-0.20855760000000001</v>
      </c>
      <c r="W4381">
        <v>0.41607769999999999</v>
      </c>
      <c r="X4381">
        <v>0.88508929999999997</v>
      </c>
      <c r="Y4381">
        <v>-0.45401079999999999</v>
      </c>
      <c r="Z4381">
        <v>3.2243519999999998E-2</v>
      </c>
      <c r="AA4381">
        <v>0.8904126</v>
      </c>
      <c r="AB4381">
        <v>40</v>
      </c>
      <c r="AC4381">
        <v>0.502900000000011</v>
      </c>
      <c r="AD4381">
        <v>-5.2401999999999803E-2</v>
      </c>
      <c r="AE4381">
        <v>-0.58107999999999205</v>
      </c>
      <c r="AF4381">
        <v>-0.49794177270974799</v>
      </c>
      <c r="AG4381">
        <v>-5.2401999999999803E-2</v>
      </c>
      <c r="AH4381">
        <v>0.58065695236396997</v>
      </c>
      <c r="AI4381">
        <v>93.918991055472304</v>
      </c>
      <c r="AJ4381">
        <v>130.614705663053</v>
      </c>
      <c r="AK4381">
        <v>0.76671668492471201</v>
      </c>
      <c r="AL4381">
        <v>65.412797184438503</v>
      </c>
      <c r="AM4381">
        <v>103.25899945804299</v>
      </c>
      <c r="AN4381">
        <v>0.99999999696476904</v>
      </c>
    </row>
    <row r="4382" spans="1:40" x14ac:dyDescent="0.25">
      <c r="A4382" t="str">
        <f>"20190304164733464"</f>
        <v>20190304164733464</v>
      </c>
      <c r="B4382" t="str">
        <f>"1551689253453449"</f>
        <v>1551689253453449</v>
      </c>
      <c r="C4382" t="s">
        <v>40</v>
      </c>
      <c r="D4382">
        <v>4.5032550000000002</v>
      </c>
      <c r="E4382">
        <v>0.39433360000000001</v>
      </c>
      <c r="F4382" t="s">
        <v>41</v>
      </c>
      <c r="G4382">
        <v>-421.76170000000002</v>
      </c>
      <c r="H4382">
        <v>1.0615570000000001</v>
      </c>
      <c r="I4382">
        <v>57.282240000000002</v>
      </c>
      <c r="J4382">
        <v>-422.2457</v>
      </c>
      <c r="K4382">
        <v>1.1134790000000001</v>
      </c>
      <c r="L4382">
        <v>57.826569999999997</v>
      </c>
      <c r="M4382">
        <v>7.1387029999999997E-3</v>
      </c>
      <c r="N4382">
        <v>-1.513863E-2</v>
      </c>
      <c r="O4382">
        <v>-0.99985990000000002</v>
      </c>
      <c r="P4382">
        <v>0.21368789999999999</v>
      </c>
      <c r="Q4382">
        <v>0.4030977</v>
      </c>
      <c r="R4382">
        <v>-0.88985930000000002</v>
      </c>
      <c r="S4382">
        <v>1.59552</v>
      </c>
      <c r="T4382">
        <v>-0.16915669999999999</v>
      </c>
      <c r="U4382">
        <v>-3.0693049999999999</v>
      </c>
      <c r="V4382">
        <v>-0.20979349999999999</v>
      </c>
      <c r="W4382">
        <v>0.41531000000000001</v>
      </c>
      <c r="X4382">
        <v>0.88515779999999999</v>
      </c>
      <c r="Y4382">
        <v>-0.45441730000000002</v>
      </c>
      <c r="Z4382">
        <v>3.3826219999999997E-2</v>
      </c>
      <c r="AA4382">
        <v>0.8901464</v>
      </c>
      <c r="AB4382">
        <v>40</v>
      </c>
      <c r="AC4382">
        <v>0.48399999999998</v>
      </c>
      <c r="AD4382">
        <v>-5.1922000000000197E-2</v>
      </c>
      <c r="AE4382">
        <v>-0.54432999999999498</v>
      </c>
      <c r="AF4382">
        <v>-0.47767419881593598</v>
      </c>
      <c r="AG4382">
        <v>-5.1922000000000197E-2</v>
      </c>
      <c r="AH4382">
        <v>0.54500233013769495</v>
      </c>
      <c r="AI4382">
        <v>94.097983170083197</v>
      </c>
      <c r="AJ4382">
        <v>131.23335553246699</v>
      </c>
      <c r="AK4382">
        <v>0.726564569844941</v>
      </c>
      <c r="AL4382">
        <v>65.4611603437356</v>
      </c>
      <c r="AM4382">
        <v>103.33377751701001</v>
      </c>
      <c r="AN4382">
        <v>1.00000001982154</v>
      </c>
    </row>
    <row r="4383" spans="1:40" x14ac:dyDescent="0.25">
      <c r="A4383" t="str">
        <f>"20190304164733488"</f>
        <v>20190304164733488</v>
      </c>
      <c r="B4383" t="str">
        <f>"1551689253483705"</f>
        <v>1551689253483705</v>
      </c>
      <c r="C4383" t="s">
        <v>40</v>
      </c>
      <c r="D4383">
        <v>4.4683169999999999</v>
      </c>
      <c r="E4383">
        <v>0.393428</v>
      </c>
      <c r="F4383" t="s">
        <v>41</v>
      </c>
      <c r="G4383">
        <v>-421.7731</v>
      </c>
      <c r="H4383">
        <v>1.06159</v>
      </c>
      <c r="I4383">
        <v>56.925020000000004</v>
      </c>
      <c r="J4383">
        <v>-422.24009999999998</v>
      </c>
      <c r="K4383">
        <v>1.1136490000000001</v>
      </c>
      <c r="L4383">
        <v>57.403530000000003</v>
      </c>
      <c r="M4383">
        <v>1.01271E-2</v>
      </c>
      <c r="N4383">
        <v>-1.5139949999999999E-2</v>
      </c>
      <c r="O4383">
        <v>-0.99983420000000001</v>
      </c>
      <c r="P4383">
        <v>0.21817520000000001</v>
      </c>
      <c r="Q4383">
        <v>0.40232309999999999</v>
      </c>
      <c r="R4383">
        <v>-0.889121099999999</v>
      </c>
      <c r="S4383">
        <v>1.607513</v>
      </c>
      <c r="T4383">
        <v>-0.17642049999999901</v>
      </c>
      <c r="U4383">
        <v>-3.0652159999999999</v>
      </c>
      <c r="V4383">
        <v>-0.2117976</v>
      </c>
      <c r="W4383">
        <v>0.4144332</v>
      </c>
      <c r="X4383">
        <v>0.88509150000000003</v>
      </c>
      <c r="Y4383">
        <v>-0.45493620000000001</v>
      </c>
      <c r="Z4383">
        <v>3.5940279999999998E-2</v>
      </c>
      <c r="AA4383">
        <v>0.88979850000000005</v>
      </c>
      <c r="AB4383">
        <v>40</v>
      </c>
      <c r="AC4383">
        <v>0.46699999999998398</v>
      </c>
      <c r="AD4383">
        <v>-5.20589999999998E-2</v>
      </c>
      <c r="AE4383">
        <v>-0.47851000000000699</v>
      </c>
      <c r="AF4383">
        <v>-0.459344965431846</v>
      </c>
      <c r="AG4383">
        <v>-5.20589999999998E-2</v>
      </c>
      <c r="AH4383">
        <v>0.48030369154628499</v>
      </c>
      <c r="AI4383">
        <v>94.478927647555295</v>
      </c>
      <c r="AJ4383">
        <v>133.722237872802</v>
      </c>
      <c r="AK4383">
        <v>0.666633012130042</v>
      </c>
      <c r="AL4383">
        <v>65.516373374395997</v>
      </c>
      <c r="AM4383">
        <v>103.45751091582</v>
      </c>
      <c r="AN4383">
        <v>1.0000000320001201</v>
      </c>
    </row>
    <row r="4384" spans="1:40" x14ac:dyDescent="0.25">
      <c r="A4384" t="str">
        <f>"20190304164733509"</f>
        <v>20190304164733509</v>
      </c>
      <c r="B4384" t="str">
        <f>"1551689253504202"</f>
        <v>1551689253504202</v>
      </c>
      <c r="C4384" t="s">
        <v>40</v>
      </c>
      <c r="D4384">
        <v>4.4764169999999996</v>
      </c>
      <c r="E4384">
        <v>0.39240190000000003</v>
      </c>
      <c r="F4384" t="s">
        <v>41</v>
      </c>
      <c r="G4384">
        <v>-421.79469999999998</v>
      </c>
      <c r="H4384">
        <v>1.0630630000000001</v>
      </c>
      <c r="I4384">
        <v>56.56568</v>
      </c>
      <c r="J4384">
        <v>-422.23399999999998</v>
      </c>
      <c r="K4384">
        <v>1.113807</v>
      </c>
      <c r="L4384">
        <v>57.039369999999998</v>
      </c>
      <c r="M4384">
        <v>1.286998E-2</v>
      </c>
      <c r="N4384">
        <v>-1.514187E-2</v>
      </c>
      <c r="O4384">
        <v>-0.99980250000000004</v>
      </c>
      <c r="P4384">
        <v>0.22197639999999999</v>
      </c>
      <c r="Q4384">
        <v>0.4007559</v>
      </c>
      <c r="R4384">
        <v>-0.88888789999999995</v>
      </c>
      <c r="S4384">
        <v>1.6266480000000001</v>
      </c>
      <c r="T4384">
        <v>-0.1846535</v>
      </c>
      <c r="U4384">
        <v>-3.0585019999999998</v>
      </c>
      <c r="V4384">
        <v>-0.21330760000000001</v>
      </c>
      <c r="W4384">
        <v>0.41278130000000002</v>
      </c>
      <c r="X4384">
        <v>0.88550069999999903</v>
      </c>
      <c r="Y4384">
        <v>-0.45759499999999997</v>
      </c>
      <c r="Z4384">
        <v>3.8314019999999997E-2</v>
      </c>
      <c r="AA4384">
        <v>0.88833490000000004</v>
      </c>
      <c r="AB4384">
        <v>40</v>
      </c>
      <c r="AC4384">
        <v>0.43930000000005898</v>
      </c>
      <c r="AD4384">
        <v>-5.0744000000000102E-2</v>
      </c>
      <c r="AE4384">
        <v>-0.47368999999999001</v>
      </c>
      <c r="AF4384">
        <v>-0.43051048376796203</v>
      </c>
      <c r="AG4384">
        <v>-5.0744000000000102E-2</v>
      </c>
      <c r="AH4384">
        <v>0.47636623732071398</v>
      </c>
      <c r="AI4384">
        <v>94.518745080698196</v>
      </c>
      <c r="AJ4384">
        <v>132.105333783247</v>
      </c>
      <c r="AK4384">
        <v>0.64407998123619703</v>
      </c>
      <c r="AL4384">
        <v>65.620328424757702</v>
      </c>
      <c r="AM4384">
        <v>103.543898951107</v>
      </c>
      <c r="AN4384">
        <v>1.00000001177396</v>
      </c>
    </row>
    <row r="4385" spans="1:40" x14ac:dyDescent="0.25">
      <c r="A4385" t="str">
        <f>"20190304164733531"</f>
        <v>20190304164733531</v>
      </c>
      <c r="B4385" t="str">
        <f>"1551689253523722"</f>
        <v>1551689253523722</v>
      </c>
      <c r="C4385" t="s">
        <v>40</v>
      </c>
      <c r="D4385">
        <v>4.4778949999999904</v>
      </c>
      <c r="E4385">
        <v>0.39133309999999999</v>
      </c>
      <c r="F4385" t="s">
        <v>41</v>
      </c>
      <c r="G4385">
        <v>-421.78800000000001</v>
      </c>
      <c r="H4385">
        <v>1.0617129999999999</v>
      </c>
      <c r="I4385">
        <v>56.212969999999999</v>
      </c>
      <c r="J4385">
        <v>-422.22609999999997</v>
      </c>
      <c r="K4385">
        <v>1.11399</v>
      </c>
      <c r="L4385">
        <v>56.639339999999997</v>
      </c>
      <c r="M4385">
        <v>1.6061889999999999E-2</v>
      </c>
      <c r="N4385">
        <v>-1.514452E-2</v>
      </c>
      <c r="O4385">
        <v>-0.99975630000000004</v>
      </c>
      <c r="P4385">
        <v>0.22675909999999999</v>
      </c>
      <c r="Q4385">
        <v>0.39848479999999997</v>
      </c>
      <c r="R4385">
        <v>-0.88870159999999998</v>
      </c>
      <c r="S4385">
        <v>1.6461490000000001</v>
      </c>
      <c r="T4385">
        <v>-0.19230539999999999</v>
      </c>
      <c r="U4385">
        <v>-3.0506289999999998</v>
      </c>
      <c r="V4385">
        <v>-0.2154132</v>
      </c>
      <c r="W4385">
        <v>0.41041149999999998</v>
      </c>
      <c r="X4385">
        <v>0.88609230000000005</v>
      </c>
      <c r="Y4385">
        <v>-0.460065</v>
      </c>
      <c r="Z4385">
        <v>4.0536969999999999E-2</v>
      </c>
      <c r="AA4385">
        <v>0.88695939999999995</v>
      </c>
      <c r="AB4385">
        <v>40</v>
      </c>
      <c r="AC4385">
        <v>0.43809999999996302</v>
      </c>
      <c r="AD4385">
        <v>-5.2277000000000101E-2</v>
      </c>
      <c r="AE4385">
        <v>-0.42637000000000502</v>
      </c>
      <c r="AF4385">
        <v>-0.428064118996972</v>
      </c>
      <c r="AG4385">
        <v>-5.2277000000000101E-2</v>
      </c>
      <c r="AH4385">
        <v>0.430206580200235</v>
      </c>
      <c r="AI4385">
        <v>94.9232505769684</v>
      </c>
      <c r="AJ4385">
        <v>134.85697550917001</v>
      </c>
      <c r="AK4385">
        <v>0.609138306420829</v>
      </c>
      <c r="AL4385">
        <v>65.769312923721699</v>
      </c>
      <c r="AM4385">
        <v>103.66381221184599</v>
      </c>
      <c r="AN4385">
        <v>1.0000000050928901</v>
      </c>
    </row>
    <row r="4386" spans="1:40" x14ac:dyDescent="0.25">
      <c r="A4386" t="str">
        <f>"20190304164733553"</f>
        <v>20190304164733553</v>
      </c>
      <c r="B4386" t="str">
        <f>"1551689253543242"</f>
        <v>1551689253543242</v>
      </c>
      <c r="C4386" t="s">
        <v>40</v>
      </c>
      <c r="D4386">
        <v>4.5057070000000001</v>
      </c>
      <c r="E4386">
        <v>0.37241459999999998</v>
      </c>
      <c r="F4386" t="s">
        <v>41</v>
      </c>
      <c r="G4386">
        <v>-421.7903</v>
      </c>
      <c r="H4386">
        <v>1.0613729999999999</v>
      </c>
      <c r="I4386">
        <v>55.8459</v>
      </c>
      <c r="J4386">
        <v>-422.21699999999998</v>
      </c>
      <c r="K4386">
        <v>1.1141749999999999</v>
      </c>
      <c r="L4386">
        <v>56.249760000000002</v>
      </c>
      <c r="M4386">
        <v>1.9361409999999999E-2</v>
      </c>
      <c r="N4386">
        <v>-1.514764E-2</v>
      </c>
      <c r="O4386">
        <v>-0.99969790000000003</v>
      </c>
      <c r="P4386">
        <v>0.2324852</v>
      </c>
      <c r="Q4386">
        <v>0.3979123</v>
      </c>
      <c r="R4386">
        <v>-0.88747779999999998</v>
      </c>
      <c r="S4386">
        <v>1.669983</v>
      </c>
      <c r="T4386">
        <v>-0.20159669999999999</v>
      </c>
      <c r="U4386">
        <v>-3.0399780000000001</v>
      </c>
      <c r="V4386">
        <v>-0.2183985</v>
      </c>
      <c r="W4386">
        <v>0.40971610000000003</v>
      </c>
      <c r="X4386">
        <v>0.8856832</v>
      </c>
      <c r="Y4386">
        <v>-0.46372370000000002</v>
      </c>
      <c r="Z4386">
        <v>4.3238840000000001E-2</v>
      </c>
      <c r="AA4386">
        <v>0.88492409999999999</v>
      </c>
      <c r="AB4386">
        <v>40</v>
      </c>
      <c r="AC4386">
        <v>0.42669999999998198</v>
      </c>
      <c r="AD4386">
        <v>-5.2802000000000002E-2</v>
      </c>
      <c r="AE4386">
        <v>-0.403859999999994</v>
      </c>
      <c r="AF4386">
        <v>-0.41544417893046798</v>
      </c>
      <c r="AG4386">
        <v>-5.2802000000000002E-2</v>
      </c>
      <c r="AH4386">
        <v>0.40874522621725701</v>
      </c>
      <c r="AI4386">
        <v>95.176814188724606</v>
      </c>
      <c r="AJ4386">
        <v>135.46568575547701</v>
      </c>
      <c r="AK4386">
        <v>0.58519618673279805</v>
      </c>
      <c r="AL4386">
        <v>65.812997050297099</v>
      </c>
      <c r="AM4386">
        <v>103.85208139085999</v>
      </c>
      <c r="AN4386">
        <v>0.99999995908184902</v>
      </c>
    </row>
    <row r="4387" spans="1:40" x14ac:dyDescent="0.25">
      <c r="A4387" t="str">
        <f>"20190304164733575"</f>
        <v>20190304164733575</v>
      </c>
      <c r="B4387" t="str">
        <f>"1551689253563738"</f>
        <v>1551689253563738</v>
      </c>
      <c r="C4387" t="s">
        <v>40</v>
      </c>
      <c r="D4387">
        <v>4.5302959999999999</v>
      </c>
      <c r="E4387">
        <v>0.37344250000000001</v>
      </c>
      <c r="F4387" t="s">
        <v>41</v>
      </c>
      <c r="G4387">
        <v>-421.76280000000003</v>
      </c>
      <c r="H4387">
        <v>1.0683400000000001</v>
      </c>
      <c r="I4387">
        <v>55.509950000000003</v>
      </c>
      <c r="J4387">
        <v>-422.20650000000001</v>
      </c>
      <c r="K4387">
        <v>1.114387</v>
      </c>
      <c r="L4387">
        <v>55.863529999999997</v>
      </c>
      <c r="M4387">
        <v>2.2847869999999999E-2</v>
      </c>
      <c r="N4387">
        <v>-1.515145E-2</v>
      </c>
      <c r="O4387">
        <v>-0.99962419999999996</v>
      </c>
      <c r="P4387">
        <v>0.23732909999999999</v>
      </c>
      <c r="Q4387">
        <v>0.39988760000000001</v>
      </c>
      <c r="R4387">
        <v>-0.88530489999999995</v>
      </c>
      <c r="S4387">
        <v>1.832031</v>
      </c>
      <c r="T4387">
        <v>-0.18483050000000001</v>
      </c>
      <c r="U4387">
        <v>-2.9833069999999999</v>
      </c>
      <c r="V4387">
        <v>-0.22039149999999999</v>
      </c>
      <c r="W4387">
        <v>0.41155570000000002</v>
      </c>
      <c r="X4387">
        <v>0.8843356</v>
      </c>
      <c r="Y4387">
        <v>-0.50307609999999903</v>
      </c>
      <c r="Z4387">
        <v>3.7996340000000003E-2</v>
      </c>
      <c r="AA4387">
        <v>0.86340649999999997</v>
      </c>
      <c r="AB4387">
        <v>40</v>
      </c>
      <c r="AC4387">
        <v>0.443699999999978</v>
      </c>
      <c r="AD4387">
        <v>-4.6046999999999901E-2</v>
      </c>
      <c r="AE4387">
        <v>-0.35358000000000001</v>
      </c>
      <c r="AF4387">
        <v>-0.43265471099549602</v>
      </c>
      <c r="AG4387">
        <v>-4.6046999999999901E-2</v>
      </c>
      <c r="AH4387">
        <v>0.36124685565600001</v>
      </c>
      <c r="AI4387">
        <v>94.670455193397402</v>
      </c>
      <c r="AJ4387">
        <v>140.139665722492</v>
      </c>
      <c r="AK4387">
        <v>0.56551721094670704</v>
      </c>
      <c r="AL4387">
        <v>65.697400522088799</v>
      </c>
      <c r="AM4387">
        <v>103.994014197193</v>
      </c>
      <c r="AN4387">
        <v>0.99999998045104899</v>
      </c>
    </row>
    <row r="4388" spans="1:40" x14ac:dyDescent="0.25">
      <c r="A4388" t="str">
        <f>"20190304164733621"</f>
        <v>20190304164733621</v>
      </c>
      <c r="B4388" t="str">
        <f>"1551689253613514"</f>
        <v>1551689253613514</v>
      </c>
      <c r="C4388" t="s">
        <v>40</v>
      </c>
      <c r="D4388">
        <v>4.6814839999999904</v>
      </c>
      <c r="E4388">
        <v>0.492365</v>
      </c>
      <c r="F4388" t="s">
        <v>41</v>
      </c>
      <c r="G4388">
        <v>-421.5788</v>
      </c>
      <c r="H4388">
        <v>1.051507</v>
      </c>
      <c r="I4388">
        <v>54.848709999999997</v>
      </c>
      <c r="J4388">
        <v>-422.17959999999999</v>
      </c>
      <c r="K4388">
        <v>1.114822</v>
      </c>
      <c r="L4388">
        <v>55.063659999999999</v>
      </c>
      <c r="M4388">
        <v>3.0794749999999999E-2</v>
      </c>
      <c r="N4388">
        <v>-1.516383E-2</v>
      </c>
      <c r="O4388">
        <v>-0.99941080000000004</v>
      </c>
      <c r="P4388">
        <v>0.24250820000000001</v>
      </c>
      <c r="Q4388">
        <v>0.4020418</v>
      </c>
      <c r="R4388">
        <v>-0.8829226</v>
      </c>
      <c r="S4388">
        <v>1.841766</v>
      </c>
      <c r="T4388">
        <v>-0.18454119999999999</v>
      </c>
      <c r="U4388">
        <v>-2.9782709999999999</v>
      </c>
      <c r="V4388">
        <v>-0.2190164</v>
      </c>
      <c r="W4388">
        <v>0.41349249999999999</v>
      </c>
      <c r="X4388">
        <v>0.88377359999999905</v>
      </c>
      <c r="Y4388">
        <v>-0.49889879999999998</v>
      </c>
      <c r="Z4388">
        <v>3.8020819999999997E-2</v>
      </c>
      <c r="AA4388">
        <v>0.86582579999999998</v>
      </c>
      <c r="AB4388">
        <v>39</v>
      </c>
      <c r="AC4388">
        <v>0.60079999999999201</v>
      </c>
      <c r="AD4388">
        <v>-6.3314999999999996E-2</v>
      </c>
      <c r="AE4388">
        <v>-0.214950000000001</v>
      </c>
      <c r="AF4388">
        <v>-0.58810463747088504</v>
      </c>
      <c r="AG4388">
        <v>-6.3314999999999996E-2</v>
      </c>
      <c r="AH4388">
        <v>0.23107654828428301</v>
      </c>
      <c r="AI4388">
        <v>95.722057971660703</v>
      </c>
      <c r="AJ4388">
        <v>158.54927258638099</v>
      </c>
      <c r="AK4388">
        <v>0.63503718395597897</v>
      </c>
      <c r="AL4388">
        <v>65.575582246226006</v>
      </c>
      <c r="AM4388">
        <v>103.91860302750899</v>
      </c>
      <c r="AN4388">
        <v>1.0000000035410801</v>
      </c>
    </row>
    <row r="4389" spans="1:40" x14ac:dyDescent="0.25">
      <c r="A4389" t="str">
        <f>"20190304164733642"</f>
        <v>20190304164733642</v>
      </c>
      <c r="B4389" t="str">
        <f>"1551689253634010"</f>
        <v>1551689253634010</v>
      </c>
      <c r="C4389" t="s">
        <v>40</v>
      </c>
      <c r="D4389">
        <v>4.6492870000000002</v>
      </c>
      <c r="E4389">
        <v>0.49665969999999998</v>
      </c>
      <c r="F4389" t="s">
        <v>42</v>
      </c>
      <c r="G4389">
        <v>-419.04629999999997</v>
      </c>
      <c r="H4389" s="1">
        <v>-2.2500920000000001E-6</v>
      </c>
      <c r="I4389">
        <v>44.483460000000001</v>
      </c>
      <c r="J4389">
        <v>-422.16419999999999</v>
      </c>
      <c r="K4389">
        <v>1.115043</v>
      </c>
      <c r="L4389">
        <v>54.679839999999999</v>
      </c>
      <c r="M4389">
        <v>3.4946909999999998E-2</v>
      </c>
      <c r="N4389">
        <v>-1.517078E-2</v>
      </c>
      <c r="O4389">
        <v>-0.9992742</v>
      </c>
      <c r="P4389">
        <v>0.2452985</v>
      </c>
      <c r="Q4389">
        <v>0.40135460000000001</v>
      </c>
      <c r="R4389">
        <v>-0.88246460000000004</v>
      </c>
      <c r="S4389">
        <v>0.97375489999999998</v>
      </c>
      <c r="T4389">
        <v>-0.34646519999999997</v>
      </c>
      <c r="U4389">
        <v>-3.288116</v>
      </c>
      <c r="V4389">
        <v>-0.2183351</v>
      </c>
      <c r="W4389">
        <v>0.4127113</v>
      </c>
      <c r="X4389">
        <v>0.88430710000000001</v>
      </c>
      <c r="Y4389">
        <v>-0.24900559999999999</v>
      </c>
      <c r="Z4389">
        <v>8.587641E-2</v>
      </c>
      <c r="AA4389">
        <v>0.96468719999999997</v>
      </c>
      <c r="AB4389">
        <v>39</v>
      </c>
      <c r="AC4389">
        <v>3.1179000000000201</v>
      </c>
      <c r="AD4389">
        <v>-1.1150452500920001</v>
      </c>
      <c r="AE4389">
        <v>-10.19638</v>
      </c>
      <c r="AF4389">
        <v>-2.7297684315396502</v>
      </c>
      <c r="AG4389">
        <v>-1.1150452500920001</v>
      </c>
      <c r="AH4389">
        <v>10.1877074726</v>
      </c>
      <c r="AI4389">
        <v>96.034932417804797</v>
      </c>
      <c r="AJ4389">
        <v>104.99989737131401</v>
      </c>
      <c r="AK4389">
        <v>10.605863715268701</v>
      </c>
      <c r="AL4389">
        <v>65.624729837255202</v>
      </c>
      <c r="AM4389">
        <v>103.868933332122</v>
      </c>
      <c r="AN4389">
        <v>0.999999940075053</v>
      </c>
    </row>
    <row r="4390" spans="1:40" x14ac:dyDescent="0.25">
      <c r="A4390" t="str">
        <f>"20190304164733665"</f>
        <v>20190304164733665</v>
      </c>
      <c r="B4390" t="str">
        <f>"1551689253653530"</f>
        <v>1551689253653530</v>
      </c>
      <c r="C4390" t="s">
        <v>40</v>
      </c>
      <c r="D4390">
        <v>4.6237870000000001</v>
      </c>
      <c r="E4390">
        <v>0.49846269999999998</v>
      </c>
      <c r="F4390" t="s">
        <v>42</v>
      </c>
      <c r="G4390">
        <v>-419.40370000000001</v>
      </c>
      <c r="H4390" s="1">
        <v>-2.4722459999999998E-6</v>
      </c>
      <c r="I4390">
        <v>45.149099999999997</v>
      </c>
      <c r="J4390">
        <v>-422.14659999999998</v>
      </c>
      <c r="K4390">
        <v>1.115286</v>
      </c>
      <c r="L4390">
        <v>54.289250000000003</v>
      </c>
      <c r="M4390">
        <v>3.9445929999999997E-2</v>
      </c>
      <c r="N4390">
        <v>-1.517889E-2</v>
      </c>
      <c r="O4390">
        <v>-0.99910650000000001</v>
      </c>
      <c r="P4390">
        <v>0.24790219999999999</v>
      </c>
      <c r="Q4390">
        <v>0.4021459</v>
      </c>
      <c r="R4390">
        <v>-0.88137559999999904</v>
      </c>
      <c r="S4390">
        <v>0.95846560000000003</v>
      </c>
      <c r="T4390">
        <v>-0.38716289999999998</v>
      </c>
      <c r="U4390">
        <v>-3.3092350000000001</v>
      </c>
      <c r="V4390">
        <v>-0.21721860000000001</v>
      </c>
      <c r="W4390">
        <v>0.41339530000000002</v>
      </c>
      <c r="X4390">
        <v>0.88426269999999996</v>
      </c>
      <c r="Y4390">
        <v>-0.2385506</v>
      </c>
      <c r="Z4390">
        <v>9.7110279999999993E-2</v>
      </c>
      <c r="AA4390">
        <v>0.96626250000000002</v>
      </c>
      <c r="AB4390">
        <v>39</v>
      </c>
      <c r="AC4390">
        <v>2.7428999999999601</v>
      </c>
      <c r="AD4390">
        <v>-1.1152884722459999</v>
      </c>
      <c r="AE4390">
        <v>-9.1401500000000002</v>
      </c>
      <c r="AF4390">
        <v>-2.3481086831446598</v>
      </c>
      <c r="AG4390">
        <v>-1.1152884722459999</v>
      </c>
      <c r="AH4390">
        <v>9.1167180835839208</v>
      </c>
      <c r="AI4390">
        <v>96.756231064928002</v>
      </c>
      <c r="AJ4390">
        <v>104.443228972564</v>
      </c>
      <c r="AK4390">
        <v>9.4800860428442402</v>
      </c>
      <c r="AL4390">
        <v>65.581700059237903</v>
      </c>
      <c r="AM4390">
        <v>103.801396254709</v>
      </c>
      <c r="AN4390">
        <v>1.00000005842966</v>
      </c>
    </row>
    <row r="4391" spans="1:40" x14ac:dyDescent="0.25">
      <c r="A4391" t="str">
        <f>"20190304164733691"</f>
        <v>20190304164733691</v>
      </c>
      <c r="B4391" t="str">
        <f>"1551689253683786"</f>
        <v>1551689253683786</v>
      </c>
      <c r="C4391" t="s">
        <v>40</v>
      </c>
      <c r="D4391">
        <v>4.6731119999999997</v>
      </c>
      <c r="E4391">
        <v>0.49965389999999998</v>
      </c>
      <c r="F4391" t="s">
        <v>42</v>
      </c>
      <c r="G4391">
        <v>-419.44319999999999</v>
      </c>
      <c r="H4391" s="1">
        <v>-2.3955490000000001E-6</v>
      </c>
      <c r="I4391">
        <v>44.986640000000001</v>
      </c>
      <c r="J4391">
        <v>-422.1234</v>
      </c>
      <c r="K4391">
        <v>1.1156079999999999</v>
      </c>
      <c r="L4391">
        <v>53.828890000000001</v>
      </c>
      <c r="M4391">
        <v>4.5125029999999997E-2</v>
      </c>
      <c r="N4391">
        <v>-1.519149E-2</v>
      </c>
      <c r="O4391">
        <v>-0.99886600000000003</v>
      </c>
      <c r="P4391">
        <v>0.25208269999999999</v>
      </c>
      <c r="Q4391">
        <v>0.40443259999999998</v>
      </c>
      <c r="R4391">
        <v>-0.87914110000000001</v>
      </c>
      <c r="S4391">
        <v>0.96310419999999997</v>
      </c>
      <c r="T4391">
        <v>-0.39733639999999998</v>
      </c>
      <c r="U4391">
        <v>-3.3141780000000001</v>
      </c>
      <c r="V4391">
        <v>-0.21677189999999999</v>
      </c>
      <c r="W4391">
        <v>0.41552210000000001</v>
      </c>
      <c r="X4391">
        <v>0.88337500000000002</v>
      </c>
      <c r="Y4391">
        <v>-0.2338151</v>
      </c>
      <c r="Z4391">
        <v>9.9862619999999999E-2</v>
      </c>
      <c r="AA4391">
        <v>0.96713910000000003</v>
      </c>
      <c r="AB4391">
        <v>39</v>
      </c>
      <c r="AC4391">
        <v>2.6802000000000099</v>
      </c>
      <c r="AD4391">
        <v>-1.115610395549</v>
      </c>
      <c r="AE4391">
        <v>-8.8422499999999999</v>
      </c>
      <c r="AF4391">
        <v>-2.2456768330796399</v>
      </c>
      <c r="AG4391">
        <v>-1.115610395549</v>
      </c>
      <c r="AH4391">
        <v>8.8255319727117296</v>
      </c>
      <c r="AI4391">
        <v>96.984137589570295</v>
      </c>
      <c r="AJ4391">
        <v>104.27608258011099</v>
      </c>
      <c r="AK4391">
        <v>9.1748387230863404</v>
      </c>
      <c r="AL4391">
        <v>65.4478009139942</v>
      </c>
      <c r="AM4391">
        <v>103.787409933455</v>
      </c>
      <c r="AN4391">
        <v>1.0000000314215001</v>
      </c>
    </row>
    <row r="4392" spans="1:40" x14ac:dyDescent="0.25">
      <c r="A4392" t="str">
        <f>"20190304164733716"</f>
        <v>20190304164733716</v>
      </c>
      <c r="B4392" t="str">
        <f>"1551689253714043"</f>
        <v>1551689253714043</v>
      </c>
      <c r="C4392" t="s">
        <v>40</v>
      </c>
      <c r="D4392">
        <v>4.6734299999999998</v>
      </c>
      <c r="E4392">
        <v>0.50024199999999996</v>
      </c>
      <c r="F4392" t="s">
        <v>42</v>
      </c>
      <c r="G4392">
        <v>-419.34050000000002</v>
      </c>
      <c r="H4392" s="1">
        <v>-2.1464650000000002E-6</v>
      </c>
      <c r="I4392">
        <v>44.363549999999996</v>
      </c>
      <c r="J4392">
        <v>-422.09899999999999</v>
      </c>
      <c r="K4392">
        <v>1.115939</v>
      </c>
      <c r="L4392">
        <v>53.400759999999998</v>
      </c>
      <c r="M4392">
        <v>5.0813219999999999E-2</v>
      </c>
      <c r="N4392">
        <v>-1.520736E-2</v>
      </c>
      <c r="O4392">
        <v>-0.9985927</v>
      </c>
      <c r="P4392">
        <v>0.25792080000000001</v>
      </c>
      <c r="Q4392">
        <v>0.40723140000000002</v>
      </c>
      <c r="R4392">
        <v>-0.87615089999999995</v>
      </c>
      <c r="S4392">
        <v>0.97396850000000001</v>
      </c>
      <c r="T4392">
        <v>-0.39045259999999998</v>
      </c>
      <c r="U4392">
        <v>-3.3127749999999998</v>
      </c>
      <c r="V4392">
        <v>-0.21803939999999999</v>
      </c>
      <c r="W4392">
        <v>0.41813270000000002</v>
      </c>
      <c r="X4392">
        <v>0.88182990000000006</v>
      </c>
      <c r="Y4392">
        <v>-0.2313721</v>
      </c>
      <c r="Z4392">
        <v>9.7875429999999999E-2</v>
      </c>
      <c r="AA4392">
        <v>0.96792940000000005</v>
      </c>
      <c r="AB4392">
        <v>39</v>
      </c>
      <c r="AC4392">
        <v>2.7584999999999602</v>
      </c>
      <c r="AD4392">
        <v>-1.115941146465</v>
      </c>
      <c r="AE4392">
        <v>-9.03721</v>
      </c>
      <c r="AF4392">
        <v>-2.2640923855077899</v>
      </c>
      <c r="AG4392">
        <v>-1.115941146465</v>
      </c>
      <c r="AH4392">
        <v>9.0396284069658304</v>
      </c>
      <c r="AI4392">
        <v>96.828704888028597</v>
      </c>
      <c r="AJ4392">
        <v>104.061207842348</v>
      </c>
      <c r="AK4392">
        <v>9.3854313011449602</v>
      </c>
      <c r="AL4392">
        <v>65.283248363901507</v>
      </c>
      <c r="AM4392">
        <v>103.888278817219</v>
      </c>
      <c r="AN4392">
        <v>1.00000005364782</v>
      </c>
    </row>
    <row r="4393" spans="1:40" x14ac:dyDescent="0.25">
      <c r="A4393" t="str">
        <f>"20190304164733740"</f>
        <v>20190304164733740</v>
      </c>
      <c r="B4393" t="str">
        <f>"1551689253733562"</f>
        <v>1551689253733562</v>
      </c>
      <c r="C4393" t="s">
        <v>40</v>
      </c>
      <c r="D4393">
        <v>4.7001140000000001</v>
      </c>
      <c r="E4393">
        <v>0.50050130000000004</v>
      </c>
      <c r="F4393" t="s">
        <v>42</v>
      </c>
      <c r="G4393">
        <v>-419.26130000000001</v>
      </c>
      <c r="H4393" s="1">
        <v>-1.9663900000000001E-6</v>
      </c>
      <c r="I4393">
        <v>43.911029999999997</v>
      </c>
      <c r="J4393">
        <v>-422.07319999999999</v>
      </c>
      <c r="K4393">
        <v>1.1162510000000001</v>
      </c>
      <c r="L4393">
        <v>52.994869999999999</v>
      </c>
      <c r="M4393">
        <v>5.657918E-2</v>
      </c>
      <c r="N4393">
        <v>-1.522545E-2</v>
      </c>
      <c r="O4393">
        <v>-0.998282</v>
      </c>
      <c r="P4393">
        <v>0.26453110000000002</v>
      </c>
      <c r="Q4393">
        <v>0.40770430000000002</v>
      </c>
      <c r="R4393">
        <v>-0.87395669999999903</v>
      </c>
      <c r="S4393">
        <v>0.99084470000000002</v>
      </c>
      <c r="T4393">
        <v>-0.38965060000000001</v>
      </c>
      <c r="U4393">
        <v>-3.313507</v>
      </c>
      <c r="V4393">
        <v>-0.21995329999999999</v>
      </c>
      <c r="W4393">
        <v>0.41842679999999999</v>
      </c>
      <c r="X4393">
        <v>0.88121479999999996</v>
      </c>
      <c r="Y4393">
        <v>-0.2302411</v>
      </c>
      <c r="Z4393">
        <v>9.7503049999999994E-2</v>
      </c>
      <c r="AA4393">
        <v>0.9682366</v>
      </c>
      <c r="AB4393">
        <v>39</v>
      </c>
      <c r="AC4393">
        <v>2.8118999999999699</v>
      </c>
      <c r="AD4393">
        <v>-1.11625296639</v>
      </c>
      <c r="AE4393">
        <v>-9.0838400000000004</v>
      </c>
      <c r="AF4393">
        <v>-2.2622057936280302</v>
      </c>
      <c r="AG4393">
        <v>-1.11625296639</v>
      </c>
      <c r="AH4393">
        <v>9.1029607356240607</v>
      </c>
      <c r="AI4393">
        <v>96.786594851166697</v>
      </c>
      <c r="AJ4393">
        <v>103.95603847672101</v>
      </c>
      <c r="AK4393">
        <v>9.4460303774660801</v>
      </c>
      <c r="AL4393">
        <v>65.264694960405095</v>
      </c>
      <c r="AM4393">
        <v>104.014798933436</v>
      </c>
      <c r="AN4393">
        <v>0.99999998243908494</v>
      </c>
    </row>
    <row r="4394" spans="1:40" x14ac:dyDescent="0.25">
      <c r="A4394" t="str">
        <f>"20190304164733760"</f>
        <v>20190304164733760</v>
      </c>
      <c r="B4394" t="str">
        <f>"1551689253753082"</f>
        <v>1551689253753082</v>
      </c>
      <c r="C4394" t="s">
        <v>40</v>
      </c>
      <c r="D4394">
        <v>4.693187</v>
      </c>
      <c r="E4394">
        <v>0.50043260000000001</v>
      </c>
      <c r="F4394" t="s">
        <v>42</v>
      </c>
      <c r="G4394">
        <v>-419.20710000000003</v>
      </c>
      <c r="H4394" s="1">
        <v>-1.8388760000000001E-6</v>
      </c>
      <c r="I4394">
        <v>43.591389999999997</v>
      </c>
      <c r="J4394">
        <v>-422.04790000000003</v>
      </c>
      <c r="K4394">
        <v>1.1165050000000001</v>
      </c>
      <c r="L4394">
        <v>52.631320000000002</v>
      </c>
      <c r="M4394">
        <v>6.1992789999999999E-2</v>
      </c>
      <c r="N4394">
        <v>-1.524212E-2</v>
      </c>
      <c r="O4394">
        <v>-0.99796019999999996</v>
      </c>
      <c r="P4394">
        <v>0.27143650000000002</v>
      </c>
      <c r="Q4394">
        <v>0.4065029</v>
      </c>
      <c r="R4394">
        <v>-0.87239769999999905</v>
      </c>
      <c r="S4394">
        <v>1.0090330000000001</v>
      </c>
      <c r="T4394">
        <v>-0.39298670000000002</v>
      </c>
      <c r="U4394">
        <v>-3.3105769999999999</v>
      </c>
      <c r="V4394">
        <v>-0.22237760000000001</v>
      </c>
      <c r="W4394">
        <v>0.41707070000000002</v>
      </c>
      <c r="X4394">
        <v>0.88124919999999995</v>
      </c>
      <c r="Y4394">
        <v>-0.23004740000000001</v>
      </c>
      <c r="Z4394">
        <v>9.8408860000000001E-2</v>
      </c>
      <c r="AA4394">
        <v>0.96819100000000002</v>
      </c>
      <c r="AB4394">
        <v>39</v>
      </c>
      <c r="AC4394">
        <v>2.8408000000000002</v>
      </c>
      <c r="AD4394">
        <v>-1.11650683887599</v>
      </c>
      <c r="AE4394">
        <v>-9.0399299999999894</v>
      </c>
      <c r="AF4394">
        <v>-2.2437090619462001</v>
      </c>
      <c r="AG4394">
        <v>-1.11650683887599</v>
      </c>
      <c r="AH4394">
        <v>9.07270903171929</v>
      </c>
      <c r="AI4394">
        <v>96.812452748287996</v>
      </c>
      <c r="AJ4394">
        <v>103.890719877005</v>
      </c>
      <c r="AK4394">
        <v>9.4124846374460205</v>
      </c>
      <c r="AL4394">
        <v>65.350212748875705</v>
      </c>
      <c r="AM4394">
        <v>104.162553539032</v>
      </c>
      <c r="AN4394">
        <v>0.99999995914044404</v>
      </c>
    </row>
    <row r="4395" spans="1:40" x14ac:dyDescent="0.25">
      <c r="A4395" t="str">
        <f>"20190304164733800"</f>
        <v>20190304164733800</v>
      </c>
      <c r="B4395" t="str">
        <f>"1551689253793102"</f>
        <v>1551689253793102</v>
      </c>
      <c r="C4395" t="s">
        <v>40</v>
      </c>
      <c r="D4395">
        <v>4.7095599999999997</v>
      </c>
      <c r="E4395">
        <v>0.50068369999999995</v>
      </c>
      <c r="F4395" t="s">
        <v>42</v>
      </c>
      <c r="G4395">
        <v>-419.18009999999998</v>
      </c>
      <c r="H4395" s="1">
        <v>-1.7746079999999999E-6</v>
      </c>
      <c r="I4395">
        <v>43.430399999999999</v>
      </c>
      <c r="J4395">
        <v>-421.99439999999998</v>
      </c>
      <c r="K4395">
        <v>1.1169439999999999</v>
      </c>
      <c r="L4395">
        <v>51.94641</v>
      </c>
      <c r="M4395">
        <v>7.2797899999999999E-2</v>
      </c>
      <c r="N4395">
        <v>-1.5269629999999999E-2</v>
      </c>
      <c r="O4395">
        <v>-0.99722999999999995</v>
      </c>
      <c r="P4395">
        <v>0.28279609999999999</v>
      </c>
      <c r="Q4395">
        <v>0.4051052</v>
      </c>
      <c r="R4395">
        <v>-0.86943459999999995</v>
      </c>
      <c r="S4395">
        <v>1.0301819999999999</v>
      </c>
      <c r="T4395">
        <v>-0.4010705</v>
      </c>
      <c r="U4395">
        <v>-3.305145</v>
      </c>
      <c r="V4395">
        <v>-0.2247276</v>
      </c>
      <c r="W4395">
        <v>0.41543229999999998</v>
      </c>
      <c r="X4395">
        <v>0.88142699999999996</v>
      </c>
      <c r="Y4395">
        <v>-0.22553970000000001</v>
      </c>
      <c r="Z4395">
        <v>0.1007237</v>
      </c>
      <c r="AA4395">
        <v>0.96901320000000002</v>
      </c>
      <c r="AB4395">
        <v>39</v>
      </c>
      <c r="AC4395">
        <v>2.8142999999999998</v>
      </c>
      <c r="AD4395">
        <v>-1.116945774608</v>
      </c>
      <c r="AE4395">
        <v>-8.5160099999999996</v>
      </c>
      <c r="AF4395">
        <v>-2.1534144768976602</v>
      </c>
      <c r="AG4395">
        <v>-1.116945774608</v>
      </c>
      <c r="AH4395">
        <v>8.5654683755520402</v>
      </c>
      <c r="AI4395">
        <v>97.207682389769701</v>
      </c>
      <c r="AJ4395">
        <v>104.112064787598</v>
      </c>
      <c r="AK4395">
        <v>8.9023598144149005</v>
      </c>
      <c r="AL4395">
        <v>65.453457185943094</v>
      </c>
      <c r="AM4395">
        <v>104.30333718240701</v>
      </c>
      <c r="AN4395">
        <v>1.0000000232070201</v>
      </c>
    </row>
    <row r="4396" spans="1:40" x14ac:dyDescent="0.25">
      <c r="A4396" t="str">
        <f>"20190304164733823"</f>
        <v>20190304164733823</v>
      </c>
      <c r="B4396" t="str">
        <f>"1551689253813594"</f>
        <v>1551689253813594</v>
      </c>
      <c r="C4396" t="s">
        <v>40</v>
      </c>
      <c r="D4396">
        <v>4.7222559999999998</v>
      </c>
      <c r="E4396">
        <v>0.50094189999999905</v>
      </c>
      <c r="F4396" t="s">
        <v>42</v>
      </c>
      <c r="G4396">
        <v>-419.1207</v>
      </c>
      <c r="H4396" s="1">
        <v>-1.637446E-6</v>
      </c>
      <c r="I4396">
        <v>43.086120000000001</v>
      </c>
      <c r="J4396">
        <v>-421.9597</v>
      </c>
      <c r="K4396">
        <v>1.1171599999999999</v>
      </c>
      <c r="L4396">
        <v>51.549349999999997</v>
      </c>
      <c r="M4396">
        <v>7.9386230000000002E-2</v>
      </c>
      <c r="N4396">
        <v>-1.528382E-2</v>
      </c>
      <c r="O4396">
        <v>-0.99672680000000002</v>
      </c>
      <c r="P4396">
        <v>0.28897810000000002</v>
      </c>
      <c r="Q4396">
        <v>0.40590510000000002</v>
      </c>
      <c r="R4396">
        <v>-0.86702509999999999</v>
      </c>
      <c r="S4396">
        <v>1.069153</v>
      </c>
      <c r="T4396">
        <v>-0.4155488</v>
      </c>
      <c r="U4396">
        <v>-3.2963870000000002</v>
      </c>
      <c r="V4396">
        <v>-0.2254496</v>
      </c>
      <c r="W4396">
        <v>0.4161067</v>
      </c>
      <c r="X4396">
        <v>0.88092429999999999</v>
      </c>
      <c r="Y4396">
        <v>-0.23009260000000001</v>
      </c>
      <c r="Z4396">
        <v>0.10479330000000001</v>
      </c>
      <c r="AA4396">
        <v>0.96751010000000004</v>
      </c>
      <c r="AB4396">
        <v>39</v>
      </c>
      <c r="AC4396">
        <v>2.8389999999999902</v>
      </c>
      <c r="AD4396">
        <v>-1.1171616374459901</v>
      </c>
      <c r="AE4396">
        <v>-8.4632299999999905</v>
      </c>
      <c r="AF4396">
        <v>-2.1248164361854101</v>
      </c>
      <c r="AG4396">
        <v>-1.1171616374459901</v>
      </c>
      <c r="AH4396">
        <v>8.5283455584841299</v>
      </c>
      <c r="AI4396">
        <v>97.243920681386001</v>
      </c>
      <c r="AJ4396">
        <v>103.99026573448501</v>
      </c>
      <c r="AK4396">
        <v>8.8597727384273597</v>
      </c>
      <c r="AL4396">
        <v>65.410969079693203</v>
      </c>
      <c r="AM4396">
        <v>104.355245506746</v>
      </c>
      <c r="AN4396">
        <v>0.99999996512776901</v>
      </c>
    </row>
    <row r="4397" spans="1:40" x14ac:dyDescent="0.25">
      <c r="A4397" t="str">
        <f>"20190304164733844"</f>
        <v>20190304164733844</v>
      </c>
      <c r="B4397" t="str">
        <f>"1551689253834090"</f>
        <v>1551689253834090</v>
      </c>
      <c r="C4397" t="s">
        <v>40</v>
      </c>
      <c r="D4397">
        <v>4.7516870000000004</v>
      </c>
      <c r="E4397">
        <v>0.50129259999999998</v>
      </c>
      <c r="F4397" t="s">
        <v>42</v>
      </c>
      <c r="G4397">
        <v>-419.03829999999999</v>
      </c>
      <c r="H4397" s="1">
        <v>-1.4997560000000001E-6</v>
      </c>
      <c r="I4397">
        <v>42.731079999999999</v>
      </c>
      <c r="J4397">
        <v>-421.92419999999998</v>
      </c>
      <c r="K4397">
        <v>1.1173439999999999</v>
      </c>
      <c r="L4397">
        <v>51.172669999999997</v>
      </c>
      <c r="M4397">
        <v>8.5809209999999997E-2</v>
      </c>
      <c r="N4397">
        <v>-1.529617E-2</v>
      </c>
      <c r="O4397">
        <v>-0.99619420000000003</v>
      </c>
      <c r="P4397">
        <v>0.29591139999999999</v>
      </c>
      <c r="Q4397">
        <v>0.40671170000000001</v>
      </c>
      <c r="R4397">
        <v>-0.86430469999999904</v>
      </c>
      <c r="S4397">
        <v>1.090546</v>
      </c>
      <c r="T4397">
        <v>-0.41703390000000001</v>
      </c>
      <c r="U4397">
        <v>-3.2918400000000001</v>
      </c>
      <c r="V4397">
        <v>-0.227074</v>
      </c>
      <c r="W4397">
        <v>0.41678599999999999</v>
      </c>
      <c r="X4397">
        <v>0.88018569999999996</v>
      </c>
      <c r="Y4397">
        <v>-0.229878</v>
      </c>
      <c r="Z4397">
        <v>0.1051686</v>
      </c>
      <c r="AA4397">
        <v>0.96752039999999995</v>
      </c>
      <c r="AB4397">
        <v>39</v>
      </c>
      <c r="AC4397">
        <v>2.8858999999999901</v>
      </c>
      <c r="AD4397">
        <v>-1.1173454997559999</v>
      </c>
      <c r="AE4397">
        <v>-8.4415899999999997</v>
      </c>
      <c r="AF4397">
        <v>-2.1175849799441502</v>
      </c>
      <c r="AG4397">
        <v>-1.1173454997559999</v>
      </c>
      <c r="AH4397">
        <v>8.5243955095407902</v>
      </c>
      <c r="AI4397">
        <v>97.2496531757849</v>
      </c>
      <c r="AJ4397">
        <v>103.950722535468</v>
      </c>
      <c r="AK4397">
        <v>8.8542614551519403</v>
      </c>
      <c r="AL4397">
        <v>65.368160630321398</v>
      </c>
      <c r="AM4397">
        <v>104.465979347623</v>
      </c>
      <c r="AN4397">
        <v>1.0000000188782401</v>
      </c>
    </row>
    <row r="4398" spans="1:40" x14ac:dyDescent="0.25">
      <c r="A4398" t="str">
        <f>"20190304164733867"</f>
        <v>20190304164733867</v>
      </c>
      <c r="B4398" t="str">
        <f>"1551689253863370"</f>
        <v>1551689253863370</v>
      </c>
      <c r="C4398" t="s">
        <v>40</v>
      </c>
      <c r="D4398">
        <v>4.8517939999999999</v>
      </c>
      <c r="E4398">
        <v>0.45957569999999998</v>
      </c>
      <c r="F4398" t="s">
        <v>42</v>
      </c>
      <c r="G4398">
        <v>-418.95850000000002</v>
      </c>
      <c r="H4398" s="1">
        <v>-1.3708399999999999E-6</v>
      </c>
      <c r="I4398">
        <v>42.397599999999997</v>
      </c>
      <c r="J4398">
        <v>-421.88690000000003</v>
      </c>
      <c r="K4398">
        <v>1.1175170000000001</v>
      </c>
      <c r="L4398">
        <v>50.803339999999999</v>
      </c>
      <c r="M4398">
        <v>9.2254390000000006E-2</v>
      </c>
      <c r="N4398">
        <v>-1.530695E-2</v>
      </c>
      <c r="O4398">
        <v>-0.99561789999999994</v>
      </c>
      <c r="P4398">
        <v>0.30383520000000003</v>
      </c>
      <c r="Q4398">
        <v>0.407221</v>
      </c>
      <c r="R4398">
        <v>-0.86131019999999903</v>
      </c>
      <c r="S4398">
        <v>1.111084</v>
      </c>
      <c r="T4398">
        <v>-0.41861199999999998</v>
      </c>
      <c r="U4398">
        <v>-3.2875670000000001</v>
      </c>
      <c r="V4398">
        <v>-0.22968150000000001</v>
      </c>
      <c r="W4398">
        <v>0.41715790000000003</v>
      </c>
      <c r="X4398">
        <v>0.87933249999999996</v>
      </c>
      <c r="Y4398">
        <v>-0.22937879999999999</v>
      </c>
      <c r="Z4398">
        <v>0.105561</v>
      </c>
      <c r="AA4398">
        <v>0.96759609999999996</v>
      </c>
      <c r="AB4398">
        <v>39</v>
      </c>
      <c r="AC4398">
        <v>2.9284000000000101</v>
      </c>
      <c r="AD4398">
        <v>-1.1175183708399901</v>
      </c>
      <c r="AE4398">
        <v>-8.4057399999999998</v>
      </c>
      <c r="AF4398">
        <v>-2.1071390804882801</v>
      </c>
      <c r="AG4398">
        <v>-1.1175183708399901</v>
      </c>
      <c r="AH4398">
        <v>8.5060036083779096</v>
      </c>
      <c r="AI4398">
        <v>97.267434065746698</v>
      </c>
      <c r="AJ4398">
        <v>103.913429900705</v>
      </c>
      <c r="AK4398">
        <v>8.8340805859706695</v>
      </c>
      <c r="AL4398">
        <v>65.344715929143007</v>
      </c>
      <c r="AM4398">
        <v>104.63858966770999</v>
      </c>
      <c r="AN4398">
        <v>0.99999997526545403</v>
      </c>
    </row>
    <row r="4399" spans="1:40" x14ac:dyDescent="0.25">
      <c r="A4399" t="str">
        <f>"20190304164733890"</f>
        <v>20190304164733890</v>
      </c>
      <c r="B4399" t="str">
        <f>"1551689253883867"</f>
        <v>1551689253883867</v>
      </c>
      <c r="C4399" t="s">
        <v>40</v>
      </c>
      <c r="D4399">
        <v>4.7151680000000002</v>
      </c>
      <c r="E4399">
        <v>0.43513489999999999</v>
      </c>
      <c r="F4399" t="s">
        <v>42</v>
      </c>
      <c r="G4399">
        <v>-417.428</v>
      </c>
      <c r="H4399" s="1">
        <v>-1.1708390000000001E-6</v>
      </c>
      <c r="I4399">
        <v>41.077689999999997</v>
      </c>
      <c r="J4399">
        <v>-421.84199999999998</v>
      </c>
      <c r="K4399">
        <v>1.1176889999999999</v>
      </c>
      <c r="L4399">
        <v>50.386809999999997</v>
      </c>
      <c r="M4399">
        <v>9.9666110000000002E-2</v>
      </c>
      <c r="N4399">
        <v>-1.5318E-2</v>
      </c>
      <c r="O4399">
        <v>-0.99490319999999999</v>
      </c>
      <c r="P4399">
        <v>0.31273339999999999</v>
      </c>
      <c r="Q4399">
        <v>0.40706170000000003</v>
      </c>
      <c r="R4399">
        <v>-0.85819539999999905</v>
      </c>
      <c r="S4399">
        <v>1.441986</v>
      </c>
      <c r="T4399">
        <v>-0.3614039</v>
      </c>
      <c r="U4399">
        <v>-3.1452640000000001</v>
      </c>
      <c r="V4399">
        <v>-0.23242119999999999</v>
      </c>
      <c r="W4399">
        <v>0.41685879999999997</v>
      </c>
      <c r="X4399">
        <v>0.87875429999999999</v>
      </c>
      <c r="Y4399">
        <v>-0.32209149999999998</v>
      </c>
      <c r="Z4399">
        <v>9.0170990000000006E-2</v>
      </c>
      <c r="AA4399">
        <v>0.94240449999999998</v>
      </c>
      <c r="AB4399">
        <v>39</v>
      </c>
      <c r="AC4399">
        <v>4.4139999999999198</v>
      </c>
      <c r="AD4399">
        <v>-1.1176901708389999</v>
      </c>
      <c r="AE4399">
        <v>-9.3091199999999894</v>
      </c>
      <c r="AF4399">
        <v>-3.4238088989537898</v>
      </c>
      <c r="AG4399">
        <v>-1.1176901708389999</v>
      </c>
      <c r="AH4399">
        <v>9.5898700106956092</v>
      </c>
      <c r="AI4399">
        <v>96.263896539919003</v>
      </c>
      <c r="AJ4399">
        <v>109.647758471324</v>
      </c>
      <c r="AK4399">
        <v>10.243891131624901</v>
      </c>
      <c r="AL4399">
        <v>65.363571278184395</v>
      </c>
      <c r="AM4399">
        <v>104.81488816887099</v>
      </c>
      <c r="AN4399">
        <v>0.99999999655768401</v>
      </c>
    </row>
    <row r="4400" spans="1:40" x14ac:dyDescent="0.25">
      <c r="A4400" t="str">
        <f>"20190304164733913"</f>
        <v>20190304164733913</v>
      </c>
      <c r="B4400" t="str">
        <f>"1551689253903386"</f>
        <v>1551689253903386</v>
      </c>
      <c r="C4400" t="s">
        <v>40</v>
      </c>
      <c r="D4400">
        <v>4.6854979999999999</v>
      </c>
      <c r="E4400">
        <v>0.42789929999999898</v>
      </c>
      <c r="F4400" t="s">
        <v>42</v>
      </c>
      <c r="G4400">
        <v>-416.04759999999999</v>
      </c>
      <c r="H4400" s="1">
        <v>-1.059501E-6</v>
      </c>
      <c r="I4400">
        <v>39.671199999999999</v>
      </c>
      <c r="J4400">
        <v>-421.79840000000002</v>
      </c>
      <c r="K4400">
        <v>1.1178330000000001</v>
      </c>
      <c r="L4400">
        <v>50.009250000000002</v>
      </c>
      <c r="M4400">
        <v>0.10649069999999999</v>
      </c>
      <c r="N4400">
        <v>-1.5327210000000001E-2</v>
      </c>
      <c r="O4400">
        <v>-0.99419550000000001</v>
      </c>
      <c r="P4400">
        <v>0.32091429999999999</v>
      </c>
      <c r="Q4400">
        <v>0.40648580000000001</v>
      </c>
      <c r="R4400">
        <v>-0.85544349999999902</v>
      </c>
      <c r="S4400">
        <v>1.647186</v>
      </c>
      <c r="T4400">
        <v>-0.31773069999999998</v>
      </c>
      <c r="U4400">
        <v>-3.046173</v>
      </c>
      <c r="V4400">
        <v>-0.23490320000000001</v>
      </c>
      <c r="W4400">
        <v>0.41616700000000001</v>
      </c>
      <c r="X4400">
        <v>0.87842219999999904</v>
      </c>
      <c r="Y4400">
        <v>-0.37753330000000002</v>
      </c>
      <c r="Z4400">
        <v>7.7895080000000005E-2</v>
      </c>
      <c r="AA4400">
        <v>0.92271389999999998</v>
      </c>
      <c r="AB4400">
        <v>39</v>
      </c>
      <c r="AC4400">
        <v>5.7508000000000203</v>
      </c>
      <c r="AD4400">
        <v>-1.1178340595009999</v>
      </c>
      <c r="AE4400">
        <v>-10.338050000000001</v>
      </c>
      <c r="AF4400">
        <v>-4.5761961679755299</v>
      </c>
      <c r="AG4400">
        <v>-1.1178340595009999</v>
      </c>
      <c r="AH4400">
        <v>10.7953405648285</v>
      </c>
      <c r="AI4400">
        <v>95.445880500049995</v>
      </c>
      <c r="AJ4400">
        <v>112.97231864299999</v>
      </c>
      <c r="AK4400">
        <v>11.778391327469301</v>
      </c>
      <c r="AL4400">
        <v>65.407171059662005</v>
      </c>
      <c r="AM4400">
        <v>104.971435074601</v>
      </c>
      <c r="AN4400">
        <v>1.00000002335603</v>
      </c>
    </row>
    <row r="4401" spans="1:40" x14ac:dyDescent="0.25">
      <c r="A4401" t="str">
        <f>"20190304164733936"</f>
        <v>20190304164733936</v>
      </c>
      <c r="B4401" t="str">
        <f>"1551689253933642"</f>
        <v>1551689253933642</v>
      </c>
      <c r="C4401" t="s">
        <v>40</v>
      </c>
      <c r="D4401">
        <v>4.6740640000000004</v>
      </c>
      <c r="E4401">
        <v>0.42215809999999998</v>
      </c>
      <c r="F4401" t="s">
        <v>53</v>
      </c>
      <c r="G4401">
        <v>-415.73750000000001</v>
      </c>
      <c r="H4401" s="1">
        <v>-1.233387E-6</v>
      </c>
      <c r="I4401">
        <v>39.439990000000002</v>
      </c>
      <c r="J4401">
        <v>-421.75060000000002</v>
      </c>
      <c r="K4401">
        <v>1.1179570000000001</v>
      </c>
      <c r="L4401">
        <v>49.619810000000001</v>
      </c>
      <c r="M4401">
        <v>0.11361540000000001</v>
      </c>
      <c r="N4401">
        <v>-1.533526E-2</v>
      </c>
      <c r="O4401">
        <v>-0.99340660000000003</v>
      </c>
      <c r="P4401">
        <v>0.32963730000000002</v>
      </c>
      <c r="Q4401">
        <v>0.40690739999999997</v>
      </c>
      <c r="R4401">
        <v>-0.85191919999999899</v>
      </c>
      <c r="S4401">
        <v>1.72640999999999</v>
      </c>
      <c r="T4401">
        <v>-0.31841170000000002</v>
      </c>
      <c r="U4401">
        <v>-3.0106199999999999</v>
      </c>
      <c r="V4401">
        <v>-0.23775250000000001</v>
      </c>
      <c r="W4401">
        <v>0.41646610000000001</v>
      </c>
      <c r="X4401">
        <v>0.87751329999999905</v>
      </c>
      <c r="Y4401">
        <v>-0.39384619999999998</v>
      </c>
      <c r="Z4401">
        <v>7.808698E-2</v>
      </c>
      <c r="AA4401">
        <v>0.91585340000000004</v>
      </c>
      <c r="AB4401">
        <v>39</v>
      </c>
      <c r="AC4401">
        <v>6.0130999999999997</v>
      </c>
      <c r="AD4401">
        <v>-1.117958233387</v>
      </c>
      <c r="AE4401">
        <v>-10.179819999999999</v>
      </c>
      <c r="AF4401">
        <v>-4.7747435830941498</v>
      </c>
      <c r="AG4401">
        <v>-1.117958233387</v>
      </c>
      <c r="AH4401">
        <v>10.7014671137528</v>
      </c>
      <c r="AI4401">
        <v>95.449661905790407</v>
      </c>
      <c r="AJ4401">
        <v>114.045307726733</v>
      </c>
      <c r="AK4401">
        <v>11.771550674513</v>
      </c>
      <c r="AL4401">
        <v>65.388320335794802</v>
      </c>
      <c r="AM4401">
        <v>105.159703795776</v>
      </c>
      <c r="AN4401">
        <v>0.99999992769117196</v>
      </c>
    </row>
    <row r="4402" spans="1:40" x14ac:dyDescent="0.25">
      <c r="A4402" t="str">
        <f>"20190304164733956"</f>
        <v>20190304164733956</v>
      </c>
      <c r="B4402" t="str">
        <f>"1551689253943402"</f>
        <v>1551689253943402</v>
      </c>
      <c r="C4402" t="s">
        <v>40</v>
      </c>
      <c r="D4402">
        <v>4.6975020000000001</v>
      </c>
      <c r="E4402">
        <v>0.421323</v>
      </c>
      <c r="F4402" t="s">
        <v>41</v>
      </c>
      <c r="G4402">
        <v>-421.15949999999998</v>
      </c>
      <c r="H4402">
        <v>1.018046</v>
      </c>
      <c r="I4402">
        <v>48.641199999999998</v>
      </c>
      <c r="J4402">
        <v>-421.70729999999998</v>
      </c>
      <c r="K4402">
        <v>1.11805</v>
      </c>
      <c r="L4402">
        <v>49.286439999999999</v>
      </c>
      <c r="M4402">
        <v>0.1197685</v>
      </c>
      <c r="N4402">
        <v>-1.534087E-2</v>
      </c>
      <c r="O4402">
        <v>-0.99268339999999999</v>
      </c>
      <c r="P4402">
        <v>0.33698</v>
      </c>
      <c r="Q4402">
        <v>0.40805130000000001</v>
      </c>
      <c r="R4402">
        <v>-0.84849219999999903</v>
      </c>
      <c r="S4402">
        <v>1.794556</v>
      </c>
      <c r="T4402">
        <v>-0.30341610000000002</v>
      </c>
      <c r="U4402">
        <v>-2.9720149999999999</v>
      </c>
      <c r="V4402">
        <v>-0.2400815</v>
      </c>
      <c r="W4402">
        <v>0.41750759999999998</v>
      </c>
      <c r="X4402">
        <v>0.87638369999999999</v>
      </c>
      <c r="Y4402">
        <v>-0.40893119999999999</v>
      </c>
      <c r="Z4402">
        <v>7.3884759999999994E-2</v>
      </c>
      <c r="AA4402">
        <v>0.90956930000000003</v>
      </c>
      <c r="AB4402">
        <v>39</v>
      </c>
      <c r="AC4402">
        <v>0.54779999999999496</v>
      </c>
      <c r="AD4402">
        <v>-0.100003999999999</v>
      </c>
      <c r="AE4402">
        <v>-0.64524000000000103</v>
      </c>
      <c r="AF4402">
        <v>-0.460144061218839</v>
      </c>
      <c r="AG4402">
        <v>-0.100003999999999</v>
      </c>
      <c r="AH4402">
        <v>0.69648868986481804</v>
      </c>
      <c r="AI4402">
        <v>96.831436597649599</v>
      </c>
      <c r="AJ4402">
        <v>123.45124980876101</v>
      </c>
      <c r="AK4402">
        <v>0.84073173616830799</v>
      </c>
      <c r="AL4402">
        <v>65.322669913294902</v>
      </c>
      <c r="AM4402">
        <v>105.320073465937</v>
      </c>
      <c r="AN4402">
        <v>1.0000000561628399</v>
      </c>
    </row>
    <row r="4403" spans="1:40" x14ac:dyDescent="0.25">
      <c r="A4403" t="str">
        <f>"20190304164733978"</f>
        <v>20190304164733978</v>
      </c>
      <c r="B4403" t="str">
        <f>"1551689253973658"</f>
        <v>1551689253973658</v>
      </c>
      <c r="C4403" t="s">
        <v>40</v>
      </c>
      <c r="D4403">
        <v>4.7038699999999896</v>
      </c>
      <c r="E4403">
        <v>0.41980869999999998</v>
      </c>
      <c r="F4403" t="s">
        <v>41</v>
      </c>
      <c r="G4403">
        <v>-421.10239999999999</v>
      </c>
      <c r="H4403">
        <v>1.019555</v>
      </c>
      <c r="I4403">
        <v>48.307560000000002</v>
      </c>
      <c r="J4403">
        <v>-421.65410000000003</v>
      </c>
      <c r="K4403">
        <v>1.1181270000000001</v>
      </c>
      <c r="L4403">
        <v>48.89743</v>
      </c>
      <c r="M4403">
        <v>0.1270029</v>
      </c>
      <c r="N4403">
        <v>-1.5346250000000001E-2</v>
      </c>
      <c r="O4403">
        <v>-0.99178379999999999</v>
      </c>
      <c r="P4403">
        <v>0.34435500000000002</v>
      </c>
      <c r="Q4403">
        <v>0.40872629999999999</v>
      </c>
      <c r="R4403">
        <v>-0.84519979999999995</v>
      </c>
      <c r="S4403">
        <v>1.825745</v>
      </c>
      <c r="T4403">
        <v>-0.29718319999999998</v>
      </c>
      <c r="U4403">
        <v>-2.9534910000000001</v>
      </c>
      <c r="V4403">
        <v>-0.2414721</v>
      </c>
      <c r="W4403">
        <v>0.41810449999999999</v>
      </c>
      <c r="X4403">
        <v>0.87571669999999902</v>
      </c>
      <c r="Y4403">
        <v>-0.41185189999999999</v>
      </c>
      <c r="Z4403">
        <v>7.2172269999999997E-2</v>
      </c>
      <c r="AA4403">
        <v>0.90838819999999998</v>
      </c>
      <c r="AB4403">
        <v>39</v>
      </c>
      <c r="AC4403">
        <v>0.55170000000003905</v>
      </c>
      <c r="AD4403">
        <v>-9.8572000000000104E-2</v>
      </c>
      <c r="AE4403">
        <v>-0.589870000000004</v>
      </c>
      <c r="AF4403">
        <v>-0.46537558904181597</v>
      </c>
      <c r="AG4403">
        <v>-9.8572000000000104E-2</v>
      </c>
      <c r="AH4403">
        <v>0.64555240661721802</v>
      </c>
      <c r="AI4403">
        <v>97.060912546518395</v>
      </c>
      <c r="AJ4403">
        <v>125.787650206911</v>
      </c>
      <c r="AK4403">
        <v>0.801890757989702</v>
      </c>
      <c r="AL4403">
        <v>65.285024136191595</v>
      </c>
      <c r="AM4403">
        <v>105.415781903211</v>
      </c>
      <c r="AN4403">
        <v>0.99999994332877296</v>
      </c>
    </row>
    <row r="4404" spans="1:40" x14ac:dyDescent="0.25">
      <c r="A4404" t="str">
        <f>"20190304164734000"</f>
        <v>20190304164734000</v>
      </c>
      <c r="B4404" t="str">
        <f>"1551689253993178"</f>
        <v>1551689253993178</v>
      </c>
      <c r="C4404" t="s">
        <v>40</v>
      </c>
      <c r="D4404">
        <v>4.6961180000000002</v>
      </c>
      <c r="E4404">
        <v>0.41917989999999999</v>
      </c>
      <c r="F4404" t="s">
        <v>41</v>
      </c>
      <c r="G4404">
        <v>-421.0625</v>
      </c>
      <c r="H4404">
        <v>1.0253909999999999</v>
      </c>
      <c r="I4404">
        <v>47.967880000000001</v>
      </c>
      <c r="J4404">
        <v>-421.59859999999998</v>
      </c>
      <c r="K4404">
        <v>1.1181939999999999</v>
      </c>
      <c r="L4404">
        <v>48.512999999999998</v>
      </c>
      <c r="M4404">
        <v>0.13420299999999999</v>
      </c>
      <c r="N4404">
        <v>-1.5350610000000001E-2</v>
      </c>
      <c r="O4404">
        <v>-0.99083489999999996</v>
      </c>
      <c r="P4404">
        <v>0.35020129999999999</v>
      </c>
      <c r="Q4404">
        <v>0.40957890000000002</v>
      </c>
      <c r="R4404">
        <v>-0.84237999999999902</v>
      </c>
      <c r="S4404">
        <v>1.8654790000000001</v>
      </c>
      <c r="T4404">
        <v>-0.29239120000000002</v>
      </c>
      <c r="U4404">
        <v>-2.9308169999999998</v>
      </c>
      <c r="V4404">
        <v>-0.24132139999999999</v>
      </c>
      <c r="W4404">
        <v>0.41891610000000001</v>
      </c>
      <c r="X4404">
        <v>0.87537039999999999</v>
      </c>
      <c r="Y4404">
        <v>-0.41723670000000002</v>
      </c>
      <c r="Z4404">
        <v>7.0858550000000006E-2</v>
      </c>
      <c r="AA4404">
        <v>0.90603120000000004</v>
      </c>
      <c r="AB4404">
        <v>39</v>
      </c>
      <c r="AC4404">
        <v>0.53609999999997604</v>
      </c>
      <c r="AD4404">
        <v>-9.2803000000000205E-2</v>
      </c>
      <c r="AE4404">
        <v>-0.54512000000000405</v>
      </c>
      <c r="AF4404">
        <v>-0.45143282337170898</v>
      </c>
      <c r="AG4404">
        <v>-9.2803000000000205E-2</v>
      </c>
      <c r="AH4404">
        <v>0.60325447160154599</v>
      </c>
      <c r="AI4404">
        <v>97.021670806809993</v>
      </c>
      <c r="AJ4404">
        <v>126.808574564924</v>
      </c>
      <c r="AK4404">
        <v>0.75915739365010004</v>
      </c>
      <c r="AL4404">
        <v>65.233825465077203</v>
      </c>
      <c r="AM4404">
        <v>105.41242349704299</v>
      </c>
      <c r="AN4404">
        <v>1.00000002706666</v>
      </c>
    </row>
    <row r="4405" spans="1:40" x14ac:dyDescent="0.25">
      <c r="A4405" t="str">
        <f>"20190304164734023"</f>
        <v>20190304164734023</v>
      </c>
      <c r="B4405" t="str">
        <f>"1551689254013243"</f>
        <v>1551689254013243</v>
      </c>
      <c r="C4405" t="s">
        <v>40</v>
      </c>
      <c r="D4405">
        <v>4.7030339999999997</v>
      </c>
      <c r="E4405">
        <v>0.41873670000000002</v>
      </c>
      <c r="F4405" t="s">
        <v>41</v>
      </c>
      <c r="G4405">
        <v>-421.02260000000001</v>
      </c>
      <c r="H4405">
        <v>1.0308930000000001</v>
      </c>
      <c r="I4405">
        <v>47.628059999999998</v>
      </c>
      <c r="J4405">
        <v>-421.54270000000002</v>
      </c>
      <c r="K4405">
        <v>1.1182609999999999</v>
      </c>
      <c r="L4405">
        <v>48.144500000000001</v>
      </c>
      <c r="M4405">
        <v>0.14115349999999999</v>
      </c>
      <c r="N4405">
        <v>-1.535454E-2</v>
      </c>
      <c r="O4405">
        <v>-0.98986859999999999</v>
      </c>
      <c r="P4405">
        <v>0.35571849999999999</v>
      </c>
      <c r="Q4405">
        <v>0.41067809999999999</v>
      </c>
      <c r="R4405">
        <v>-0.83952859999999996</v>
      </c>
      <c r="S4405">
        <v>1.8963620000000001</v>
      </c>
      <c r="T4405">
        <v>-0.28733740000000002</v>
      </c>
      <c r="U4405">
        <v>-2.9126590000000001</v>
      </c>
      <c r="V4405">
        <v>-0.24107819999999999</v>
      </c>
      <c r="W4405">
        <v>0.4199792</v>
      </c>
      <c r="X4405">
        <v>0.87492789999999998</v>
      </c>
      <c r="Y4405">
        <v>-0.42025069999999998</v>
      </c>
      <c r="Z4405">
        <v>6.9457190000000002E-2</v>
      </c>
      <c r="AA4405">
        <v>0.90474589999999999</v>
      </c>
      <c r="AB4405">
        <v>39</v>
      </c>
      <c r="AC4405">
        <v>0.520100000000013</v>
      </c>
      <c r="AD4405">
        <v>-8.7367999999999807E-2</v>
      </c>
      <c r="AE4405">
        <v>-0.51644000000000201</v>
      </c>
      <c r="AF4405">
        <v>-0.43579336975305399</v>
      </c>
      <c r="AG4405">
        <v>-8.7367999999999807E-2</v>
      </c>
      <c r="AH4405">
        <v>0.57649926744684998</v>
      </c>
      <c r="AI4405">
        <v>96.893282899944097</v>
      </c>
      <c r="AJ4405">
        <v>127.08674597780301</v>
      </c>
      <c r="AK4405">
        <v>0.72794260344581896</v>
      </c>
      <c r="AL4405">
        <v>65.166726451643896</v>
      </c>
      <c r="AM4405">
        <v>105.40504616417</v>
      </c>
      <c r="AN4405">
        <v>1.0000000285731401</v>
      </c>
    </row>
    <row r="4406" spans="1:40" x14ac:dyDescent="0.25">
      <c r="A4406" t="str">
        <f>"20190304164734044"</f>
        <v>20190304164734044</v>
      </c>
      <c r="B4406" t="str">
        <f>"1551689254033739"</f>
        <v>1551689254033739</v>
      </c>
      <c r="C4406" t="s">
        <v>40</v>
      </c>
      <c r="D4406">
        <v>4.7107970000000003</v>
      </c>
      <c r="E4406">
        <v>0.41845110000000002</v>
      </c>
      <c r="F4406" t="s">
        <v>41</v>
      </c>
      <c r="G4406">
        <v>-420.97629999999998</v>
      </c>
      <c r="H4406">
        <v>1.034845</v>
      </c>
      <c r="I4406">
        <v>47.290390000000002</v>
      </c>
      <c r="J4406">
        <v>-421.4846</v>
      </c>
      <c r="K4406">
        <v>1.118331</v>
      </c>
      <c r="L4406">
        <v>47.778559999999999</v>
      </c>
      <c r="M4406">
        <v>0.1481085</v>
      </c>
      <c r="N4406">
        <v>-1.535865E-2</v>
      </c>
      <c r="O4406">
        <v>-0.98885179999999995</v>
      </c>
      <c r="P4406">
        <v>0.361396</v>
      </c>
      <c r="Q4406">
        <v>0.41089700000000001</v>
      </c>
      <c r="R4406">
        <v>-0.83699269999999903</v>
      </c>
      <c r="S4406">
        <v>1.921265</v>
      </c>
      <c r="T4406">
        <v>-0.28301799999999999</v>
      </c>
      <c r="U4406">
        <v>-2.8977970000000002</v>
      </c>
      <c r="V4406">
        <v>-0.24093790000000001</v>
      </c>
      <c r="W4406">
        <v>0.4201666</v>
      </c>
      <c r="X4406">
        <v>0.8748766</v>
      </c>
      <c r="Y4406">
        <v>-0.42146529999999999</v>
      </c>
      <c r="Z4406">
        <v>6.8256919999999999E-2</v>
      </c>
      <c r="AA4406">
        <v>0.90427210000000002</v>
      </c>
      <c r="AB4406">
        <v>39</v>
      </c>
      <c r="AC4406">
        <v>0.50830000000001896</v>
      </c>
      <c r="AD4406">
        <v>-8.3485999999999894E-2</v>
      </c>
      <c r="AE4406">
        <v>-0.488169999999996</v>
      </c>
      <c r="AF4406">
        <v>-0.42442604330021499</v>
      </c>
      <c r="AG4406">
        <v>-8.3485999999999894E-2</v>
      </c>
      <c r="AH4406">
        <v>0.55035404954387301</v>
      </c>
      <c r="AI4406">
        <v>96.849748133553405</v>
      </c>
      <c r="AJ4406">
        <v>127.638952535699</v>
      </c>
      <c r="AK4406">
        <v>0.69999782733721105</v>
      </c>
      <c r="AL4406">
        <v>65.154895352018897</v>
      </c>
      <c r="AM4406">
        <v>105.397366382011</v>
      </c>
      <c r="AN4406">
        <v>1.00000005431976</v>
      </c>
    </row>
    <row r="4407" spans="1:40" x14ac:dyDescent="0.25">
      <c r="A4407" t="str">
        <f>"20190304164734067"</f>
        <v>20190304164734067</v>
      </c>
      <c r="B4407" t="str">
        <f>"1551689254063996"</f>
        <v>1551689254063996</v>
      </c>
      <c r="C4407" t="s">
        <v>40</v>
      </c>
      <c r="D4407">
        <v>4.740767</v>
      </c>
      <c r="E4407">
        <v>0.4178906</v>
      </c>
      <c r="F4407" t="s">
        <v>41</v>
      </c>
      <c r="G4407">
        <v>-420.928</v>
      </c>
      <c r="H4407">
        <v>1.0372170000000001</v>
      </c>
      <c r="I4407">
        <v>46.952289999999998</v>
      </c>
      <c r="J4407">
        <v>-421.42</v>
      </c>
      <c r="K4407">
        <v>1.1184019999999999</v>
      </c>
      <c r="L4407">
        <v>47.390689999999999</v>
      </c>
      <c r="M4407">
        <v>0.1555493</v>
      </c>
      <c r="N4407">
        <v>-1.536364E-2</v>
      </c>
      <c r="O4407">
        <v>-0.9877087</v>
      </c>
      <c r="P4407">
        <v>0.3669888</v>
      </c>
      <c r="Q4407">
        <v>0.41082079999999999</v>
      </c>
      <c r="R4407">
        <v>-0.83459319999999904</v>
      </c>
      <c r="S4407">
        <v>1.943695</v>
      </c>
      <c r="T4407">
        <v>-0.28312029999999999</v>
      </c>
      <c r="U4407">
        <v>-2.8840029999999999</v>
      </c>
      <c r="V4407">
        <v>-0.24026690000000001</v>
      </c>
      <c r="W4407">
        <v>0.42006919999999998</v>
      </c>
      <c r="X4407">
        <v>0.87510779999999999</v>
      </c>
      <c r="Y4407">
        <v>-0.42148160000000001</v>
      </c>
      <c r="Z4407">
        <v>6.8342360000000005E-2</v>
      </c>
      <c r="AA4407">
        <v>0.90425800000000001</v>
      </c>
      <c r="AB4407">
        <v>38</v>
      </c>
      <c r="AC4407">
        <v>0.49199999999996102</v>
      </c>
      <c r="AD4407">
        <v>-8.1184999999999993E-2</v>
      </c>
      <c r="AE4407">
        <v>-0.43839999999999402</v>
      </c>
      <c r="AF4407">
        <v>-0.41156262465182503</v>
      </c>
      <c r="AG4407">
        <v>-8.1184999999999993E-2</v>
      </c>
      <c r="AH4407">
        <v>0.50198297225961797</v>
      </c>
      <c r="AI4407">
        <v>97.128810640512498</v>
      </c>
      <c r="AJ4407">
        <v>129.34742453953601</v>
      </c>
      <c r="AK4407">
        <v>0.65418781911153001</v>
      </c>
      <c r="AL4407">
        <v>65.161043252315906</v>
      </c>
      <c r="AM4407">
        <v>105.352646707182</v>
      </c>
      <c r="AN4407">
        <v>0.99999998882254504</v>
      </c>
    </row>
    <row r="4408" spans="1:40" x14ac:dyDescent="0.25">
      <c r="A4408" t="str">
        <f>"20190304164734091"</f>
        <v>20190304164734091</v>
      </c>
      <c r="B4408" t="str">
        <f>"1551689254083515"</f>
        <v>1551689254083515</v>
      </c>
      <c r="C4408" t="s">
        <v>40</v>
      </c>
      <c r="D4408">
        <v>4.7388149999999998</v>
      </c>
      <c r="E4408">
        <v>0.41772169999999997</v>
      </c>
      <c r="F4408" t="s">
        <v>41</v>
      </c>
      <c r="G4408">
        <v>-420.84219999999999</v>
      </c>
      <c r="H4408">
        <v>1.0345719999999901</v>
      </c>
      <c r="I4408">
        <v>46.548409999999997</v>
      </c>
      <c r="J4408">
        <v>-421.35160000000002</v>
      </c>
      <c r="K4408">
        <v>1.118484</v>
      </c>
      <c r="L4408">
        <v>46.998139999999999</v>
      </c>
      <c r="M4408">
        <v>0.163165899999999</v>
      </c>
      <c r="N4408">
        <v>-1.5369549999999999E-2</v>
      </c>
      <c r="O4408">
        <v>-0.98647899999999999</v>
      </c>
      <c r="P4408">
        <v>0.37286979999999997</v>
      </c>
      <c r="Q4408">
        <v>0.4108446</v>
      </c>
      <c r="R4408">
        <v>-0.83197080000000001</v>
      </c>
      <c r="S4408">
        <v>1.968323</v>
      </c>
      <c r="T4408">
        <v>-0.28561399999999998</v>
      </c>
      <c r="U4408">
        <v>-2.869659</v>
      </c>
      <c r="V4408">
        <v>-0.2397696</v>
      </c>
      <c r="W4408">
        <v>0.4200644</v>
      </c>
      <c r="X4408">
        <v>0.87524650000000004</v>
      </c>
      <c r="Y4408">
        <v>-0.42184719999999998</v>
      </c>
      <c r="Z4408">
        <v>6.9101640000000006E-2</v>
      </c>
      <c r="AA4408">
        <v>0.90402979999999999</v>
      </c>
      <c r="AB4408">
        <v>38</v>
      </c>
      <c r="AC4408">
        <v>0.50940000000002705</v>
      </c>
      <c r="AD4408">
        <v>-8.3912000000000195E-2</v>
      </c>
      <c r="AE4408">
        <v>-0.44973000000000202</v>
      </c>
      <c r="AF4408">
        <v>-0.42273609958042802</v>
      </c>
      <c r="AG4408">
        <v>-8.3912000000000195E-2</v>
      </c>
      <c r="AH4408">
        <v>0.51891508622412896</v>
      </c>
      <c r="AI4408">
        <v>97.145917599881102</v>
      </c>
      <c r="AJ4408">
        <v>129.16810998654299</v>
      </c>
      <c r="AK4408">
        <v>0.67455162911631095</v>
      </c>
      <c r="AL4408">
        <v>65.161346563228193</v>
      </c>
      <c r="AM4408">
        <v>105.320050995934</v>
      </c>
      <c r="AN4408">
        <v>0.99999999849688503</v>
      </c>
    </row>
    <row r="4409" spans="1:40" x14ac:dyDescent="0.25">
      <c r="A4409" t="str">
        <f>"20190304164734113"</f>
        <v>20190304164734113</v>
      </c>
      <c r="B4409" t="str">
        <f>"1551689254104012"</f>
        <v>1551689254104012</v>
      </c>
      <c r="C4409" t="s">
        <v>40</v>
      </c>
      <c r="D4409">
        <v>4.7436870000000004</v>
      </c>
      <c r="E4409">
        <v>0.4175991</v>
      </c>
      <c r="F4409" t="s">
        <v>53</v>
      </c>
      <c r="G4409">
        <v>-413.5926</v>
      </c>
      <c r="H4409" s="1">
        <v>-3.905418E-6</v>
      </c>
      <c r="I4409">
        <v>35.864139999999999</v>
      </c>
      <c r="J4409">
        <v>-421.28410000000002</v>
      </c>
      <c r="K4409">
        <v>1.118574</v>
      </c>
      <c r="L4409">
        <v>46.627110000000002</v>
      </c>
      <c r="M4409">
        <v>0.1704667</v>
      </c>
      <c r="N4409">
        <v>-1.5376219999999999E-2</v>
      </c>
      <c r="O4409">
        <v>-0.9852436</v>
      </c>
      <c r="P4409">
        <v>0.37913730000000001</v>
      </c>
      <c r="Q4409">
        <v>0.41160970000000002</v>
      </c>
      <c r="R4409">
        <v>-0.82875350000000003</v>
      </c>
      <c r="S4409">
        <v>1.990051</v>
      </c>
      <c r="T4409">
        <v>-0.28687309999999999</v>
      </c>
      <c r="U4409">
        <v>-2.8556819999999998</v>
      </c>
      <c r="V4409">
        <v>-0.24005789999999999</v>
      </c>
      <c r="W4409">
        <v>0.4207766</v>
      </c>
      <c r="X4409">
        <v>0.87482530000000003</v>
      </c>
      <c r="Y4409">
        <v>-0.42182710000000001</v>
      </c>
      <c r="Z4409">
        <v>6.951678E-2</v>
      </c>
      <c r="AA4409">
        <v>0.90400740000000002</v>
      </c>
      <c r="AB4409">
        <v>38</v>
      </c>
      <c r="AC4409">
        <v>7.6915000000000102</v>
      </c>
      <c r="AD4409">
        <v>-1.1185779054180001</v>
      </c>
      <c r="AE4409">
        <v>-10.7629699999999</v>
      </c>
      <c r="AF4409">
        <v>-5.7031749882399598</v>
      </c>
      <c r="AG4409">
        <v>-1.1185779054180001</v>
      </c>
      <c r="AH4409">
        <v>11.832102165507299</v>
      </c>
      <c r="AI4409">
        <v>94.867617444698098</v>
      </c>
      <c r="AJ4409">
        <v>115.734466517084</v>
      </c>
      <c r="AK4409">
        <v>13.182414920338999</v>
      </c>
      <c r="AL4409">
        <v>65.116373434216698</v>
      </c>
      <c r="AM4409">
        <v>105.344641450758</v>
      </c>
      <c r="AN4409">
        <v>1.00000002399002</v>
      </c>
    </row>
    <row r="4410" spans="1:40" x14ac:dyDescent="0.25">
      <c r="A4410" t="str">
        <f>"20190304164734134"</f>
        <v>20190304164734134</v>
      </c>
      <c r="B4410" t="str">
        <f>"1551689254123734"</f>
        <v>1551689254123734</v>
      </c>
      <c r="C4410" t="s">
        <v>40</v>
      </c>
      <c r="D4410">
        <v>4.7719849999999999</v>
      </c>
      <c r="E4410">
        <v>0.41753859999999898</v>
      </c>
      <c r="F4410" t="s">
        <v>53</v>
      </c>
      <c r="G4410">
        <v>-413.3922</v>
      </c>
      <c r="H4410" s="1">
        <v>-4.1546400000000003E-6</v>
      </c>
      <c r="I4410">
        <v>35.489709999999903</v>
      </c>
      <c r="J4410">
        <v>-421.21749999999997</v>
      </c>
      <c r="K4410">
        <v>1.118668</v>
      </c>
      <c r="L4410">
        <v>46.276890000000002</v>
      </c>
      <c r="M4410">
        <v>0.17746979999999901</v>
      </c>
      <c r="N4410">
        <v>-1.538374E-2</v>
      </c>
      <c r="O4410">
        <v>-0.98400620000000005</v>
      </c>
      <c r="P4410">
        <v>0.38508829999999999</v>
      </c>
      <c r="Q4410">
        <v>0.41248439999999997</v>
      </c>
      <c r="R4410">
        <v>-0.825569</v>
      </c>
      <c r="S4410">
        <v>2.0129090000000001</v>
      </c>
      <c r="T4410">
        <v>-0.28530699999999998</v>
      </c>
      <c r="U4410">
        <v>-2.8407290000000001</v>
      </c>
      <c r="V4410">
        <v>-0.2403132</v>
      </c>
      <c r="W4410">
        <v>0.42159609999999897</v>
      </c>
      <c r="X4410">
        <v>0.87436049999999998</v>
      </c>
      <c r="Y4410">
        <v>-0.42248940000000001</v>
      </c>
      <c r="Z4410">
        <v>6.9107059999999998E-2</v>
      </c>
      <c r="AA4410">
        <v>0.90372940000000002</v>
      </c>
      <c r="AB4410">
        <v>38</v>
      </c>
      <c r="AC4410">
        <v>7.8252999999999702</v>
      </c>
      <c r="AD4410">
        <v>-1.11867215464</v>
      </c>
      <c r="AE4410">
        <v>-10.787179999999999</v>
      </c>
      <c r="AF4410">
        <v>-5.74594056300724</v>
      </c>
      <c r="AG4410">
        <v>-1.11867215464</v>
      </c>
      <c r="AH4410">
        <v>11.9208259967949</v>
      </c>
      <c r="AI4410">
        <v>94.831966265977002</v>
      </c>
      <c r="AJ4410">
        <v>115.734466225148</v>
      </c>
      <c r="AK4410">
        <v>13.2805629695823</v>
      </c>
      <c r="AL4410">
        <v>65.064602830410394</v>
      </c>
      <c r="AM4410">
        <v>105.367969391329</v>
      </c>
      <c r="AN4410">
        <v>0.99999999479484902</v>
      </c>
    </row>
    <row r="4411" spans="1:40" x14ac:dyDescent="0.25">
      <c r="A4411" t="str">
        <f>"20190304164734157"</f>
        <v>20190304164734157</v>
      </c>
      <c r="B4411" t="str">
        <f>"1551689254153990"</f>
        <v>1551689254153990</v>
      </c>
      <c r="C4411" t="s">
        <v>40</v>
      </c>
      <c r="D4411">
        <v>4.7435239999999999</v>
      </c>
      <c r="E4411">
        <v>0.41767969999999999</v>
      </c>
      <c r="F4411" t="s">
        <v>53</v>
      </c>
      <c r="G4411">
        <v>-413.19760000000002</v>
      </c>
      <c r="H4411" s="1">
        <v>-4.3894169999999997E-6</v>
      </c>
      <c r="I4411">
        <v>35.139360000000003</v>
      </c>
      <c r="J4411">
        <v>-421.14249999999998</v>
      </c>
      <c r="K4411">
        <v>1.1187720000000001</v>
      </c>
      <c r="L4411">
        <v>45.900149999999996</v>
      </c>
      <c r="M4411">
        <v>0.18516260000000001</v>
      </c>
      <c r="N4411">
        <v>-1.539395E-2</v>
      </c>
      <c r="O4411">
        <v>-0.9825874</v>
      </c>
      <c r="P4411">
        <v>0.39134029999999997</v>
      </c>
      <c r="Q4411">
        <v>0.41217939999999997</v>
      </c>
      <c r="R4411">
        <v>-0.82277630000000002</v>
      </c>
      <c r="S4411">
        <v>2.0352169999999998</v>
      </c>
      <c r="T4411">
        <v>-0.283887</v>
      </c>
      <c r="U4411">
        <v>-2.8263850000000001</v>
      </c>
      <c r="V4411">
        <v>-0.24018539999999999</v>
      </c>
      <c r="W4411">
        <v>0.42124250000000002</v>
      </c>
      <c r="X4411">
        <v>0.87456610000000001</v>
      </c>
      <c r="Y4411">
        <v>-0.42229470000000002</v>
      </c>
      <c r="Z4411">
        <v>6.8722549999999993E-2</v>
      </c>
      <c r="AA4411">
        <v>0.90384969999999998</v>
      </c>
      <c r="AB4411">
        <v>38</v>
      </c>
      <c r="AC4411">
        <v>7.9448999999999597</v>
      </c>
      <c r="AD4411">
        <v>-1.118776389417</v>
      </c>
      <c r="AE4411">
        <v>-10.76079</v>
      </c>
      <c r="AF4411">
        <v>-5.77435509792722</v>
      </c>
      <c r="AG4411">
        <v>-1.118776389417</v>
      </c>
      <c r="AH4411">
        <v>11.962255874602899</v>
      </c>
      <c r="AI4411">
        <v>94.814432767736605</v>
      </c>
      <c r="AJ4411">
        <v>115.76728030871</v>
      </c>
      <c r="AK4411">
        <v>13.330056377073101</v>
      </c>
      <c r="AL4411">
        <v>65.086945189633994</v>
      </c>
      <c r="AM4411">
        <v>105.356742196092</v>
      </c>
      <c r="AN4411">
        <v>1.0000000667243001</v>
      </c>
    </row>
    <row r="4412" spans="1:40" x14ac:dyDescent="0.25">
      <c r="A4412" t="str">
        <f>"20190304164734180"</f>
        <v>20190304164734180</v>
      </c>
      <c r="B4412" t="str">
        <f>"1551689254173513"</f>
        <v>1551689254173513</v>
      </c>
      <c r="C4412" t="s">
        <v>40</v>
      </c>
      <c r="D4412">
        <v>4.7863949999999997</v>
      </c>
      <c r="E4412">
        <v>0.41757379999999999</v>
      </c>
      <c r="F4412" t="s">
        <v>41</v>
      </c>
      <c r="G4412">
        <v>-420.47930000000002</v>
      </c>
      <c r="H4412">
        <v>1.0270790000000001</v>
      </c>
      <c r="I4412">
        <v>44.994860000000003</v>
      </c>
      <c r="J4412">
        <v>-421.06369999999998</v>
      </c>
      <c r="K4412">
        <v>1.118889</v>
      </c>
      <c r="L4412">
        <v>45.519590000000001</v>
      </c>
      <c r="M4412">
        <v>0.19310150000000001</v>
      </c>
      <c r="N4412">
        <v>-1.540646E-2</v>
      </c>
      <c r="O4412">
        <v>-0.98105779999999998</v>
      </c>
      <c r="P4412">
        <v>0.3981693</v>
      </c>
      <c r="Q4412">
        <v>0.4121937</v>
      </c>
      <c r="R4412">
        <v>-0.81948600000000005</v>
      </c>
      <c r="S4412">
        <v>2.058716</v>
      </c>
      <c r="T4412">
        <v>-0.2845645</v>
      </c>
      <c r="U4412">
        <v>-2.8095400000000001</v>
      </c>
      <c r="V4412">
        <v>-0.24051839999999999</v>
      </c>
      <c r="W4412">
        <v>0.42119010000000001</v>
      </c>
      <c r="X4412">
        <v>0.87449969999999999</v>
      </c>
      <c r="Y4412">
        <v>-0.4224618</v>
      </c>
      <c r="Z4412">
        <v>6.897557E-2</v>
      </c>
      <c r="AA4412">
        <v>0.90375240000000001</v>
      </c>
      <c r="AB4412">
        <v>38</v>
      </c>
      <c r="AC4412">
        <v>0.58439999999995895</v>
      </c>
      <c r="AD4412">
        <v>-9.1809999999999906E-2</v>
      </c>
      <c r="AE4412">
        <v>-0.52473000000000503</v>
      </c>
      <c r="AF4412">
        <v>-0.46569661107673699</v>
      </c>
      <c r="AG4412">
        <v>-9.1809999999999906E-2</v>
      </c>
      <c r="AH4412">
        <v>0.61925180003076596</v>
      </c>
      <c r="AI4412">
        <v>96.757584334018006</v>
      </c>
      <c r="AJ4412">
        <v>126.944304000542</v>
      </c>
      <c r="AK4412">
        <v>0.78024047671836505</v>
      </c>
      <c r="AL4412">
        <v>65.0902527217836</v>
      </c>
      <c r="AM4412">
        <v>105.378138434384</v>
      </c>
      <c r="AN4412">
        <v>0.99999996318832896</v>
      </c>
    </row>
    <row r="4413" spans="1:40" x14ac:dyDescent="0.25">
      <c r="A4413" t="str">
        <f>"20190304164734201"</f>
        <v>20190304164734201</v>
      </c>
      <c r="B4413" t="str">
        <f>"1551689254194006"</f>
        <v>1551689254194006</v>
      </c>
      <c r="C4413" t="s">
        <v>40</v>
      </c>
      <c r="D4413">
        <v>4.7863660000000001</v>
      </c>
      <c r="E4413">
        <v>0.41751050000000001</v>
      </c>
      <c r="F4413" t="s">
        <v>41</v>
      </c>
      <c r="G4413">
        <v>-420.4221</v>
      </c>
      <c r="H4413">
        <v>1.031056</v>
      </c>
      <c r="I4413">
        <v>44.661239999999999</v>
      </c>
      <c r="J4413">
        <v>-420.98649999999998</v>
      </c>
      <c r="K4413">
        <v>1.1190089999999999</v>
      </c>
      <c r="L4413">
        <v>45.161740000000002</v>
      </c>
      <c r="M4413">
        <v>0.20071149999999999</v>
      </c>
      <c r="N4413">
        <v>-1.5419499999999999E-2</v>
      </c>
      <c r="O4413">
        <v>-0.97952930000000005</v>
      </c>
      <c r="P4413">
        <v>0.40490969999999998</v>
      </c>
      <c r="Q4413">
        <v>0.4124236</v>
      </c>
      <c r="R4413">
        <v>-0.81606080000000003</v>
      </c>
      <c r="S4413">
        <v>2.0858460000000001</v>
      </c>
      <c r="T4413">
        <v>-0.28559590000000001</v>
      </c>
      <c r="U4413">
        <v>-2.7910159999999999</v>
      </c>
      <c r="V4413">
        <v>-0.24109</v>
      </c>
      <c r="W4413">
        <v>0.42134929999999898</v>
      </c>
      <c r="X4413">
        <v>0.87426569999999904</v>
      </c>
      <c r="Y4413">
        <v>-0.42392980000000002</v>
      </c>
      <c r="Z4413">
        <v>6.9313749999999993E-2</v>
      </c>
      <c r="AA4413">
        <v>0.90303889999999998</v>
      </c>
      <c r="AB4413">
        <v>38</v>
      </c>
      <c r="AC4413">
        <v>0.56439999999997703</v>
      </c>
      <c r="AD4413">
        <v>-8.7952999999999906E-2</v>
      </c>
      <c r="AE4413">
        <v>-0.50050000000000205</v>
      </c>
      <c r="AF4413">
        <v>-0.44637579554874302</v>
      </c>
      <c r="AG4413">
        <v>-8.7952999999999906E-2</v>
      </c>
      <c r="AH4413">
        <v>0.59551209773368996</v>
      </c>
      <c r="AI4413">
        <v>96.739899142568007</v>
      </c>
      <c r="AJ4413">
        <v>126.853990603974</v>
      </c>
      <c r="AK4413">
        <v>0.74941426434780001</v>
      </c>
      <c r="AL4413">
        <v>65.080198013156107</v>
      </c>
      <c r="AM4413">
        <v>105.416878311053</v>
      </c>
      <c r="AN4413">
        <v>1.0000000674534799</v>
      </c>
    </row>
    <row r="4414" spans="1:40" x14ac:dyDescent="0.25">
      <c r="A4414" t="str">
        <f>"20190304164734222"</f>
        <v>20190304164734222</v>
      </c>
      <c r="B4414" t="str">
        <f>"1551689254213151"</f>
        <v>1551689254213151</v>
      </c>
      <c r="C4414" t="s">
        <v>40</v>
      </c>
      <c r="D4414">
        <v>4.8393100000000002</v>
      </c>
      <c r="E4414">
        <v>0.41757379999999999</v>
      </c>
      <c r="F4414" t="s">
        <v>41</v>
      </c>
      <c r="G4414">
        <v>-420.35489999999999</v>
      </c>
      <c r="H4414">
        <v>1.0332790000000001</v>
      </c>
      <c r="I4414">
        <v>44.33184</v>
      </c>
      <c r="J4414">
        <v>-420.90710000000001</v>
      </c>
      <c r="K4414">
        <v>1.11914</v>
      </c>
      <c r="L4414">
        <v>44.807499999999997</v>
      </c>
      <c r="M4414">
        <v>0.2084039</v>
      </c>
      <c r="N4414">
        <v>-1.543249E-2</v>
      </c>
      <c r="O4414">
        <v>-0.97792120000000005</v>
      </c>
      <c r="P4414">
        <v>0.41168979999999999</v>
      </c>
      <c r="Q4414">
        <v>0.41265649999999998</v>
      </c>
      <c r="R4414">
        <v>-0.81254320000000002</v>
      </c>
      <c r="S4414">
        <v>2.1116640000000002</v>
      </c>
      <c r="T4414">
        <v>-0.28649059999999998</v>
      </c>
      <c r="U4414">
        <v>-2.7732239999999999</v>
      </c>
      <c r="V4414">
        <v>-0.2416558</v>
      </c>
      <c r="W4414">
        <v>0.42150929999999998</v>
      </c>
      <c r="X4414">
        <v>0.87403229999999998</v>
      </c>
      <c r="Y4414">
        <v>-0.4249193</v>
      </c>
      <c r="Z4414">
        <v>6.9602079999999997E-2</v>
      </c>
      <c r="AA4414">
        <v>0.90255149999999995</v>
      </c>
      <c r="AB4414">
        <v>38</v>
      </c>
      <c r="AC4414">
        <v>0.552200000000027</v>
      </c>
      <c r="AD4414">
        <v>-8.5860999999999896E-2</v>
      </c>
      <c r="AE4414">
        <v>-0.47565999999999697</v>
      </c>
      <c r="AF4414">
        <v>-0.43489531670536802</v>
      </c>
      <c r="AG4414">
        <v>-8.5860999999999896E-2</v>
      </c>
      <c r="AH4414">
        <v>0.57236394173488903</v>
      </c>
      <c r="AI4414">
        <v>96.811334624967103</v>
      </c>
      <c r="AJ4414">
        <v>127.228406957145</v>
      </c>
      <c r="AK4414">
        <v>0.72395202162267802</v>
      </c>
      <c r="AL4414">
        <v>65.070088393945497</v>
      </c>
      <c r="AM4414">
        <v>105.45526116716</v>
      </c>
      <c r="AN4414">
        <v>1.0000000385517001</v>
      </c>
    </row>
    <row r="4415" spans="1:40" x14ac:dyDescent="0.25">
      <c r="A4415" t="str">
        <f>"20190304164734246"</f>
        <v>20190304164734246</v>
      </c>
      <c r="B4415" t="str">
        <f>"1551689254233647"</f>
        <v>1551689254233647</v>
      </c>
      <c r="C4415" t="s">
        <v>40</v>
      </c>
      <c r="D4415">
        <v>4.8388589999999896</v>
      </c>
      <c r="E4415">
        <v>0.41772979999999998</v>
      </c>
      <c r="F4415" t="s">
        <v>41</v>
      </c>
      <c r="G4415">
        <v>-420.28429999999997</v>
      </c>
      <c r="H4415">
        <v>1.0354030000000001</v>
      </c>
      <c r="I4415">
        <v>44.003819999999997</v>
      </c>
      <c r="J4415">
        <v>-420.8211</v>
      </c>
      <c r="K4415">
        <v>1.1192770000000001</v>
      </c>
      <c r="L4415">
        <v>44.437959999999997</v>
      </c>
      <c r="M4415">
        <v>0.21662029999999999</v>
      </c>
      <c r="N4415">
        <v>-1.544686E-2</v>
      </c>
      <c r="O4415">
        <v>-0.97613380000000005</v>
      </c>
      <c r="P4415">
        <v>0.41899049999999999</v>
      </c>
      <c r="Q4415">
        <v>0.4129912</v>
      </c>
      <c r="R4415">
        <v>-0.80863169999999995</v>
      </c>
      <c r="S4415">
        <v>2.135834</v>
      </c>
      <c r="T4415">
        <v>-0.287141799999999</v>
      </c>
      <c r="U4415">
        <v>-2.7558289999999999</v>
      </c>
      <c r="V4415">
        <v>-0.24236830000000001</v>
      </c>
      <c r="W4415">
        <v>0.42175780000000002</v>
      </c>
      <c r="X4415">
        <v>0.87371499999999902</v>
      </c>
      <c r="Y4415">
        <v>-0.42500759999999999</v>
      </c>
      <c r="Z4415">
        <v>6.9817470000000006E-2</v>
      </c>
      <c r="AA4415">
        <v>0.90249330000000005</v>
      </c>
      <c r="AB4415">
        <v>38</v>
      </c>
      <c r="AC4415">
        <v>0.53680000000002703</v>
      </c>
      <c r="AD4415">
        <v>-8.3874000000000004E-2</v>
      </c>
      <c r="AE4415">
        <v>-0.43413999999999198</v>
      </c>
      <c r="AF4415">
        <v>-0.423742133182192</v>
      </c>
      <c r="AG4415">
        <v>-8.3874000000000004E-2</v>
      </c>
      <c r="AH4415">
        <v>0.53226888142529105</v>
      </c>
      <c r="AI4415">
        <v>97.028065158154206</v>
      </c>
      <c r="AJ4415">
        <v>128.52348618337999</v>
      </c>
      <c r="AK4415">
        <v>0.68549427819896902</v>
      </c>
      <c r="AL4415">
        <v>65.054384561318201</v>
      </c>
      <c r="AM4415">
        <v>105.503999799235</v>
      </c>
      <c r="AN4415">
        <v>0.99999996796536395</v>
      </c>
    </row>
    <row r="4416" spans="1:40" x14ac:dyDescent="0.25">
      <c r="A4416" t="str">
        <f>"20190304164734268"</f>
        <v>20190304164734268</v>
      </c>
      <c r="B4416" t="str">
        <f>"1551689254263904"</f>
        <v>1551689254263904</v>
      </c>
      <c r="C4416" t="s">
        <v>40</v>
      </c>
      <c r="D4416">
        <v>4.8658830000000002</v>
      </c>
      <c r="E4416">
        <v>0.42527860000000001</v>
      </c>
      <c r="F4416" t="s">
        <v>41</v>
      </c>
      <c r="G4416">
        <v>-420.2124</v>
      </c>
      <c r="H4416">
        <v>1.037696</v>
      </c>
      <c r="I4416">
        <v>43.666699999999999</v>
      </c>
      <c r="J4416">
        <v>-420.7319</v>
      </c>
      <c r="K4416">
        <v>1.119429</v>
      </c>
      <c r="L4416">
        <v>44.06982</v>
      </c>
      <c r="M4416">
        <v>0.225019</v>
      </c>
      <c r="N4416">
        <v>-1.546342E-2</v>
      </c>
      <c r="O4416">
        <v>-0.97423179999999998</v>
      </c>
      <c r="P4416">
        <v>0.42635610000000002</v>
      </c>
      <c r="Q4416">
        <v>0.41355619999999998</v>
      </c>
      <c r="R4416">
        <v>-0.804482699999999</v>
      </c>
      <c r="S4416">
        <v>2.161346</v>
      </c>
      <c r="T4416">
        <v>-0.2896147</v>
      </c>
      <c r="U4416">
        <v>-2.7379760000000002</v>
      </c>
      <c r="V4416">
        <v>-0.24306120000000001</v>
      </c>
      <c r="W4416">
        <v>0.42222779999999999</v>
      </c>
      <c r="X4416">
        <v>0.8732955</v>
      </c>
      <c r="Y4416">
        <v>-0.42522929999999998</v>
      </c>
      <c r="Z4416">
        <v>7.054204E-2</v>
      </c>
      <c r="AA4416">
        <v>0.90233249999999998</v>
      </c>
      <c r="AB4416">
        <v>38</v>
      </c>
      <c r="AC4416">
        <v>0.51949999999999297</v>
      </c>
      <c r="AD4416">
        <v>-8.1733E-2</v>
      </c>
      <c r="AE4416">
        <v>-0.40312000000000098</v>
      </c>
      <c r="AF4416">
        <v>-0.40913236009554099</v>
      </c>
      <c r="AG4416">
        <v>-8.1733E-2</v>
      </c>
      <c r="AH4416">
        <v>0.50193575270770396</v>
      </c>
      <c r="AI4416">
        <v>97.193699076381705</v>
      </c>
      <c r="AJ4416">
        <v>129.18378725767701</v>
      </c>
      <c r="AK4416">
        <v>0.65269370397805804</v>
      </c>
      <c r="AL4416">
        <v>65.024683315073005</v>
      </c>
      <c r="AM4416">
        <v>105.55328935112399</v>
      </c>
      <c r="AN4416">
        <v>1.00000004617926</v>
      </c>
    </row>
    <row r="4417" spans="1:40" x14ac:dyDescent="0.25">
      <c r="A4417" t="str">
        <f>"20190304164734292"</f>
        <v>20190304164734292</v>
      </c>
      <c r="B4417" t="str">
        <f>"1551689254283423"</f>
        <v>1551689254283423</v>
      </c>
      <c r="C4417" t="s">
        <v>40</v>
      </c>
      <c r="D4417">
        <v>4.8583790000000002</v>
      </c>
      <c r="E4417">
        <v>0.42462290000000003</v>
      </c>
      <c r="F4417" t="s">
        <v>53</v>
      </c>
      <c r="G4417">
        <v>-414.10570000000001</v>
      </c>
      <c r="H4417" s="1">
        <v>-3.9812369999999996E-6</v>
      </c>
      <c r="I4417">
        <v>35.517519999999998</v>
      </c>
      <c r="J4417">
        <v>-420.6354</v>
      </c>
      <c r="K4417">
        <v>1.1195999999999999</v>
      </c>
      <c r="L4417">
        <v>43.686770000000003</v>
      </c>
      <c r="M4417">
        <v>0.2339968</v>
      </c>
      <c r="N4417">
        <v>-1.548358E-2</v>
      </c>
      <c r="O4417">
        <v>-0.97211409999999998</v>
      </c>
      <c r="P4417">
        <v>0.43363600000000002</v>
      </c>
      <c r="Q4417">
        <v>0.4143579</v>
      </c>
      <c r="R4417">
        <v>-0.80016730000000003</v>
      </c>
      <c r="S4417">
        <v>2.1508180000000001</v>
      </c>
      <c r="T4417">
        <v>-0.36335800000000001</v>
      </c>
      <c r="U4417">
        <v>-2.7760009999999999</v>
      </c>
      <c r="V4417">
        <v>-0.24322589999999999</v>
      </c>
      <c r="W4417">
        <v>0.4229348</v>
      </c>
      <c r="X4417">
        <v>0.8729074</v>
      </c>
      <c r="Y4417">
        <v>-0.40756130000000002</v>
      </c>
      <c r="Z4417">
        <v>9.1009530000000005E-2</v>
      </c>
      <c r="AA4417">
        <v>0.90863139999999998</v>
      </c>
      <c r="AB4417">
        <v>38</v>
      </c>
      <c r="AC4417">
        <v>6.5296999999999903</v>
      </c>
      <c r="AD4417">
        <v>-1.119603981237</v>
      </c>
      <c r="AE4417">
        <v>-8.1692499999999892</v>
      </c>
      <c r="AF4417">
        <v>-4.3862961618955199</v>
      </c>
      <c r="AG4417">
        <v>-1.119603981237</v>
      </c>
      <c r="AH4417">
        <v>9.3631969491923197</v>
      </c>
      <c r="AI4417">
        <v>96.180036186276695</v>
      </c>
      <c r="AJ4417">
        <v>115.10127565444</v>
      </c>
      <c r="AK4417">
        <v>10.400123278309</v>
      </c>
      <c r="AL4417">
        <v>64.979987336422894</v>
      </c>
      <c r="AM4417">
        <v>105.569901681288</v>
      </c>
      <c r="AN4417">
        <v>1.0000000062283001</v>
      </c>
    </row>
    <row r="4418" spans="1:40" x14ac:dyDescent="0.25">
      <c r="A4418" t="str">
        <f>"20190304164734313"</f>
        <v>20190304164734313</v>
      </c>
      <c r="B4418" t="str">
        <f>"1551689254303919"</f>
        <v>1551689254303919</v>
      </c>
      <c r="C4418" t="s">
        <v>40</v>
      </c>
      <c r="D4418">
        <v>4.861612</v>
      </c>
      <c r="E4418">
        <v>0.42495690000000003</v>
      </c>
      <c r="F4418" t="s">
        <v>53</v>
      </c>
      <c r="G4418">
        <v>-413.93150000000003</v>
      </c>
      <c r="H4418" s="1">
        <v>-4.1788630000000004E-6</v>
      </c>
      <c r="I4418">
        <v>35.226799999999997</v>
      </c>
      <c r="J4418">
        <v>-420.54239999999999</v>
      </c>
      <c r="K4418">
        <v>1.1197919999999999</v>
      </c>
      <c r="L4418">
        <v>43.331240000000001</v>
      </c>
      <c r="M4418">
        <v>0.24257020000000001</v>
      </c>
      <c r="N4418">
        <v>-1.550496E-2</v>
      </c>
      <c r="O4418">
        <v>-0.97001009999999999</v>
      </c>
      <c r="P4418">
        <v>0.44004009999999999</v>
      </c>
      <c r="Q4418">
        <v>0.41528389999999998</v>
      </c>
      <c r="R4418">
        <v>-0.79618129999999998</v>
      </c>
      <c r="S4418">
        <v>2.1831049999999999</v>
      </c>
      <c r="T4418">
        <v>-0.3645931</v>
      </c>
      <c r="U4418">
        <v>-2.7549440000000001</v>
      </c>
      <c r="V4418">
        <v>-0.2428408</v>
      </c>
      <c r="W4418">
        <v>0.42377890000000001</v>
      </c>
      <c r="X4418">
        <v>0.87260519999999997</v>
      </c>
      <c r="Y4418">
        <v>-0.40941759999999999</v>
      </c>
      <c r="Z4418">
        <v>9.130945E-2</v>
      </c>
      <c r="AA4418">
        <v>0.90776639999999997</v>
      </c>
      <c r="AB4418">
        <v>38</v>
      </c>
      <c r="AC4418">
        <v>6.6108999999999503</v>
      </c>
      <c r="AD4418">
        <v>-1.119796178863</v>
      </c>
      <c r="AE4418">
        <v>-8.1044400000000003</v>
      </c>
      <c r="AF4418">
        <v>-4.3968745961663496</v>
      </c>
      <c r="AG4418">
        <v>-1.119796178863</v>
      </c>
      <c r="AH4418">
        <v>9.3588475356508294</v>
      </c>
      <c r="AI4418">
        <v>96.180759539252506</v>
      </c>
      <c r="AJ4418">
        <v>115.16457942986</v>
      </c>
      <c r="AK4418">
        <v>10.4006959811431</v>
      </c>
      <c r="AL4418">
        <v>64.926604394028402</v>
      </c>
      <c r="AM4418">
        <v>105.55156648894599</v>
      </c>
      <c r="AN4418">
        <v>1.00000002264844</v>
      </c>
    </row>
    <row r="4419" spans="1:40" x14ac:dyDescent="0.25">
      <c r="A4419" t="str">
        <f>"20190304164734336"</f>
        <v>20190304164734336</v>
      </c>
      <c r="B4419" t="str">
        <f>"1551689254323439"</f>
        <v>1551689254323439</v>
      </c>
      <c r="C4419" t="s">
        <v>40</v>
      </c>
      <c r="D4419">
        <v>4.8677849999999996</v>
      </c>
      <c r="E4419">
        <v>0.425396</v>
      </c>
      <c r="F4419" t="s">
        <v>53</v>
      </c>
      <c r="G4419">
        <v>-413.72640000000001</v>
      </c>
      <c r="H4419" s="1">
        <v>-4.4109840000000002E-6</v>
      </c>
      <c r="I4419">
        <v>34.885539999999999</v>
      </c>
      <c r="J4419">
        <v>-420.44709999999998</v>
      </c>
      <c r="K4419">
        <v>1.1199950000000001</v>
      </c>
      <c r="L4419">
        <v>42.981540000000003</v>
      </c>
      <c r="M4419">
        <v>0.2512547</v>
      </c>
      <c r="N4419">
        <v>-1.5528500000000001E-2</v>
      </c>
      <c r="O4419">
        <v>-0.96779649999999995</v>
      </c>
      <c r="P4419">
        <v>0.44524190000000002</v>
      </c>
      <c r="Q4419">
        <v>0.4177111</v>
      </c>
      <c r="R4419">
        <v>-0.7920083</v>
      </c>
      <c r="S4419">
        <v>2.2085270000000001</v>
      </c>
      <c r="T4419">
        <v>-0.36283989999999999</v>
      </c>
      <c r="U4419">
        <v>-2.7366030000000001</v>
      </c>
      <c r="V4419">
        <v>-0.24128959999999999</v>
      </c>
      <c r="W4419">
        <v>0.4261395</v>
      </c>
      <c r="X4419">
        <v>0.87188549999999998</v>
      </c>
      <c r="Y4419">
        <v>-0.4093637</v>
      </c>
      <c r="Z4419">
        <v>9.0766449999999999E-2</v>
      </c>
      <c r="AA4419">
        <v>0.90784509999999996</v>
      </c>
      <c r="AB4419">
        <v>38</v>
      </c>
      <c r="AC4419">
        <v>6.7206999999999599</v>
      </c>
      <c r="AD4419">
        <v>-1.1199994109839999</v>
      </c>
      <c r="AE4419">
        <v>-8.0960000000000001</v>
      </c>
      <c r="AF4419">
        <v>-4.4205648524191101</v>
      </c>
      <c r="AG4419">
        <v>-1.1199994109839999</v>
      </c>
      <c r="AH4419">
        <v>9.4183244839792</v>
      </c>
      <c r="AI4419">
        <v>96.144192476372297</v>
      </c>
      <c r="AJ4419">
        <v>115.14338313788301</v>
      </c>
      <c r="AK4419">
        <v>10.464254793370101</v>
      </c>
      <c r="AL4419">
        <v>64.777186857129493</v>
      </c>
      <c r="AM4419">
        <v>105.469139853725</v>
      </c>
      <c r="AN4419">
        <v>0.99999993481932703</v>
      </c>
    </row>
    <row r="4420" spans="1:40" x14ac:dyDescent="0.25">
      <c r="A4420" t="str">
        <f>"20190304164734358"</f>
        <v>20190304164734358</v>
      </c>
      <c r="B4420" t="str">
        <f>"1551689254353696"</f>
        <v>1551689254353696</v>
      </c>
      <c r="C4420" t="s">
        <v>40</v>
      </c>
      <c r="D4420">
        <v>4.8795010000000003</v>
      </c>
      <c r="E4420">
        <v>0.42606159999999998</v>
      </c>
      <c r="F4420" t="s">
        <v>41</v>
      </c>
      <c r="G4420">
        <v>-419.72430000000003</v>
      </c>
      <c r="H4420">
        <v>1.0053129999999999</v>
      </c>
      <c r="I4420">
        <v>42.101260000000003</v>
      </c>
      <c r="J4420">
        <v>-420.34339999999997</v>
      </c>
      <c r="K4420">
        <v>1.120215</v>
      </c>
      <c r="L4420">
        <v>42.615540000000003</v>
      </c>
      <c r="M4420">
        <v>0.26060680000000003</v>
      </c>
      <c r="N4420">
        <v>-1.5555630000000001E-2</v>
      </c>
      <c r="O4420">
        <v>-0.96531990000000001</v>
      </c>
      <c r="P4420">
        <v>0.45221810000000001</v>
      </c>
      <c r="Q4420">
        <v>0.41924400000000001</v>
      </c>
      <c r="R4420">
        <v>-0.78723140000000003</v>
      </c>
      <c r="S4420">
        <v>2.2323909999999998</v>
      </c>
      <c r="T4420">
        <v>-0.35431590000000002</v>
      </c>
      <c r="U4420">
        <v>-2.7197269999999998</v>
      </c>
      <c r="V4420">
        <v>-0.24101259999999999</v>
      </c>
      <c r="W4420">
        <v>0.42757460000000003</v>
      </c>
      <c r="X4420">
        <v>0.87125940000000002</v>
      </c>
      <c r="Y4420">
        <v>-0.40822310000000001</v>
      </c>
      <c r="Z4420">
        <v>8.8244320000000001E-2</v>
      </c>
      <c r="AA4420">
        <v>0.9086071</v>
      </c>
      <c r="AB4420">
        <v>38</v>
      </c>
      <c r="AC4420">
        <v>0.61909999999994603</v>
      </c>
      <c r="AD4420">
        <v>-0.114902</v>
      </c>
      <c r="AE4420">
        <v>-0.51428000000000595</v>
      </c>
      <c r="AF4420">
        <v>-0.45439937474156</v>
      </c>
      <c r="AG4420">
        <v>-0.114902</v>
      </c>
      <c r="AH4420">
        <v>0.64472541612342704</v>
      </c>
      <c r="AI4420">
        <v>98.288170193212295</v>
      </c>
      <c r="AJ4420">
        <v>125.175997306252</v>
      </c>
      <c r="AK4420">
        <v>0.79708978387948703</v>
      </c>
      <c r="AL4420">
        <v>64.686264378936301</v>
      </c>
      <c r="AM4420">
        <v>105.462803428185</v>
      </c>
      <c r="AN4420">
        <v>1.00000002700613</v>
      </c>
    </row>
    <row r="4421" spans="1:40" x14ac:dyDescent="0.25">
      <c r="A4421" t="str">
        <f>"20190304164734381"</f>
        <v>20190304164734381</v>
      </c>
      <c r="B4421" t="str">
        <f>"1551689254373216"</f>
        <v>1551689254373216</v>
      </c>
      <c r="C4421" t="s">
        <v>40</v>
      </c>
      <c r="D4421">
        <v>4.8943379999999896</v>
      </c>
      <c r="E4421">
        <v>0.42665029999999998</v>
      </c>
      <c r="F4421" t="s">
        <v>41</v>
      </c>
      <c r="G4421">
        <v>-419.64429999999999</v>
      </c>
      <c r="H4421">
        <v>1.0104820000000001</v>
      </c>
      <c r="I4421">
        <v>41.777450000000002</v>
      </c>
      <c r="J4421">
        <v>-420.23489999999998</v>
      </c>
      <c r="K4421">
        <v>1.1204229999999999</v>
      </c>
      <c r="L4421">
        <v>42.246400000000001</v>
      </c>
      <c r="M4421">
        <v>0.27027190000000001</v>
      </c>
      <c r="N4421">
        <v>-1.558373E-2</v>
      </c>
      <c r="O4421">
        <v>-0.96265800000000001</v>
      </c>
      <c r="P4421">
        <v>0.46074300000000001</v>
      </c>
      <c r="Q4421">
        <v>0.42133739999999997</v>
      </c>
      <c r="R4421">
        <v>-0.78114740000000005</v>
      </c>
      <c r="S4421">
        <v>2.2567140000000001</v>
      </c>
      <c r="T4421">
        <v>-0.35394309999999901</v>
      </c>
      <c r="U4421">
        <v>-2.7029719999999999</v>
      </c>
      <c r="V4421">
        <v>-0.24230969999999999</v>
      </c>
      <c r="W4421">
        <v>0.4295292</v>
      </c>
      <c r="X4421">
        <v>0.86993709999999902</v>
      </c>
      <c r="Y4421">
        <v>-0.40668470000000001</v>
      </c>
      <c r="Z4421">
        <v>8.802459E-2</v>
      </c>
      <c r="AA4421">
        <v>0.90931799999999996</v>
      </c>
      <c r="AB4421">
        <v>38</v>
      </c>
      <c r="AC4421">
        <v>0.59059999999999402</v>
      </c>
      <c r="AD4421">
        <v>-0.109941</v>
      </c>
      <c r="AE4421">
        <v>-0.46894999999999898</v>
      </c>
      <c r="AF4421">
        <v>-0.43266012520077901</v>
      </c>
      <c r="AG4421">
        <v>-0.109941</v>
      </c>
      <c r="AH4421">
        <v>0.59841708982328201</v>
      </c>
      <c r="AI4421">
        <v>98.468120092567901</v>
      </c>
      <c r="AJ4421">
        <v>125.867216539032</v>
      </c>
      <c r="AK4421">
        <v>0.74658209248033802</v>
      </c>
      <c r="AL4421">
        <v>64.562312691598294</v>
      </c>
      <c r="AM4421">
        <v>105.56448908389299</v>
      </c>
      <c r="AN4421">
        <v>0.99999994116156798</v>
      </c>
    </row>
    <row r="4422" spans="1:40" x14ac:dyDescent="0.25">
      <c r="A4422" t="str">
        <f>"20190304164734402"</f>
        <v>20190304164734402</v>
      </c>
      <c r="B4422" t="str">
        <f>"1551689254393711"</f>
        <v>1551689254393711</v>
      </c>
      <c r="C4422" t="s">
        <v>40</v>
      </c>
      <c r="D4422">
        <v>4.8818149999999996</v>
      </c>
      <c r="E4422">
        <v>0.42658620000000003</v>
      </c>
      <c r="F4422" t="s">
        <v>41</v>
      </c>
      <c r="G4422">
        <v>-419.56110000000001</v>
      </c>
      <c r="H4422">
        <v>1.0166759999999999</v>
      </c>
      <c r="I4422">
        <v>41.453780000000002</v>
      </c>
      <c r="J4422">
        <v>-420.13369999999998</v>
      </c>
      <c r="K4422">
        <v>1.120592</v>
      </c>
      <c r="L4422">
        <v>41.914369999999998</v>
      </c>
      <c r="M4422">
        <v>0.27915309999999999</v>
      </c>
      <c r="N4422">
        <v>-1.560755E-2</v>
      </c>
      <c r="O4422">
        <v>-0.96011979999999997</v>
      </c>
      <c r="P4422">
        <v>0.46911589999999997</v>
      </c>
      <c r="Q4422">
        <v>0.4222534</v>
      </c>
      <c r="R4422">
        <v>-0.77564979999999994</v>
      </c>
      <c r="S4422">
        <v>2.2817989999999999</v>
      </c>
      <c r="T4422">
        <v>-0.3513308</v>
      </c>
      <c r="U4422">
        <v>-2.6841430000000002</v>
      </c>
      <c r="V4422">
        <v>-0.24397659999999999</v>
      </c>
      <c r="W4422">
        <v>0.43031760000000002</v>
      </c>
      <c r="X4422">
        <v>0.86908129999999995</v>
      </c>
      <c r="Y4422">
        <v>-0.40638639999999998</v>
      </c>
      <c r="Z4422">
        <v>8.7205770000000002E-2</v>
      </c>
      <c r="AA4422">
        <v>0.90953019999999996</v>
      </c>
      <c r="AB4422">
        <v>38</v>
      </c>
      <c r="AC4422">
        <v>0.57259999999996503</v>
      </c>
      <c r="AD4422">
        <v>-0.10391599999999999</v>
      </c>
      <c r="AE4422">
        <v>-0.460589999999996</v>
      </c>
      <c r="AF4422">
        <v>-0.41298244789709099</v>
      </c>
      <c r="AG4422">
        <v>-0.10391599999999999</v>
      </c>
      <c r="AH4422">
        <v>0.59033320487665797</v>
      </c>
      <c r="AI4422">
        <v>98.207604629984402</v>
      </c>
      <c r="AJ4422">
        <v>124.97568044141801</v>
      </c>
      <c r="AK4422">
        <v>0.72790544036091698</v>
      </c>
      <c r="AL4422">
        <v>64.512284174416905</v>
      </c>
      <c r="AM4422">
        <v>105.680988003655</v>
      </c>
      <c r="AN4422">
        <v>1.0000000621134999</v>
      </c>
    </row>
    <row r="4423" spans="1:40" x14ac:dyDescent="0.25">
      <c r="A4423" t="str">
        <f>"20190304164734424"</f>
        <v>20190304164734424</v>
      </c>
      <c r="B4423" t="str">
        <f>"1551689254413634"</f>
        <v>1551689254413634</v>
      </c>
      <c r="C4423" t="s">
        <v>40</v>
      </c>
      <c r="D4423">
        <v>4.8551219999999997</v>
      </c>
      <c r="E4423">
        <v>0.40671449999999998</v>
      </c>
      <c r="F4423" t="s">
        <v>41</v>
      </c>
      <c r="G4423">
        <v>-419.4597</v>
      </c>
      <c r="H4423">
        <v>1.0182789999999999</v>
      </c>
      <c r="I4423">
        <v>41.136510000000001</v>
      </c>
      <c r="J4423">
        <v>-420.0247</v>
      </c>
      <c r="K4423">
        <v>1.120741</v>
      </c>
      <c r="L4423">
        <v>41.568820000000002</v>
      </c>
      <c r="M4423">
        <v>0.2885778</v>
      </c>
      <c r="N4423">
        <v>-1.5630640000000001E-2</v>
      </c>
      <c r="O4423">
        <v>-0.95732890000000004</v>
      </c>
      <c r="P4423">
        <v>0.47856870000000001</v>
      </c>
      <c r="Q4423">
        <v>0.42106250000000001</v>
      </c>
      <c r="R4423">
        <v>-0.77050540000000001</v>
      </c>
      <c r="S4423">
        <v>2.3081670000000001</v>
      </c>
      <c r="T4423">
        <v>-0.35021590000000002</v>
      </c>
      <c r="U4423">
        <v>-2.6624150000000002</v>
      </c>
      <c r="V4423">
        <v>-0.24603720000000001</v>
      </c>
      <c r="W4423">
        <v>0.42900389999999999</v>
      </c>
      <c r="X4423">
        <v>0.86914979999999997</v>
      </c>
      <c r="Y4423">
        <v>-0.40625109999999998</v>
      </c>
      <c r="Z4423">
        <v>8.6842559999999999E-2</v>
      </c>
      <c r="AA4423">
        <v>0.90962540000000003</v>
      </c>
      <c r="AB4423">
        <v>38</v>
      </c>
      <c r="AC4423">
        <v>0.56499999999999695</v>
      </c>
      <c r="AD4423">
        <v>-0.102461999999999</v>
      </c>
      <c r="AE4423">
        <v>-0.43231000000000802</v>
      </c>
      <c r="AF4423">
        <v>-0.40772900026995301</v>
      </c>
      <c r="AG4423">
        <v>-0.102461999999999</v>
      </c>
      <c r="AH4423">
        <v>0.56525461274612099</v>
      </c>
      <c r="AI4423">
        <v>98.363280676661901</v>
      </c>
      <c r="AJ4423">
        <v>125.803634907465</v>
      </c>
      <c r="AK4423">
        <v>0.70445310442633602</v>
      </c>
      <c r="AL4423">
        <v>64.5956386053617</v>
      </c>
      <c r="AM4423">
        <v>105.805651458108</v>
      </c>
      <c r="AN4423">
        <v>1.0000000124195401</v>
      </c>
    </row>
    <row r="4424" spans="1:40" x14ac:dyDescent="0.25">
      <c r="A4424" t="str">
        <f>"20190304164734446"</f>
        <v>20190304164734446</v>
      </c>
      <c r="B4424" t="str">
        <f>"1551689254443890"</f>
        <v>1551689254443890</v>
      </c>
      <c r="C4424" t="s">
        <v>40</v>
      </c>
      <c r="D4424">
        <v>4.901834</v>
      </c>
      <c r="E4424">
        <v>0.40411829999999999</v>
      </c>
      <c r="F4424" t="s">
        <v>41</v>
      </c>
      <c r="G4424">
        <v>-419.32530000000003</v>
      </c>
      <c r="H4424">
        <v>1.024375</v>
      </c>
      <c r="I4424">
        <v>40.84713</v>
      </c>
      <c r="J4424">
        <v>-419.9083</v>
      </c>
      <c r="K4424">
        <v>1.1208880000000001</v>
      </c>
      <c r="L4424">
        <v>41.212519999999998</v>
      </c>
      <c r="M4424">
        <v>0.29847000000000001</v>
      </c>
      <c r="N4424">
        <v>-1.5653090000000001E-2</v>
      </c>
      <c r="O4424">
        <v>-0.95429090000000005</v>
      </c>
      <c r="P4424">
        <v>0.4883092</v>
      </c>
      <c r="Q4424">
        <v>0.4191068</v>
      </c>
      <c r="R4424">
        <v>-0.76544369999999995</v>
      </c>
      <c r="S4424">
        <v>2.468048</v>
      </c>
      <c r="T4424">
        <v>-0.34002329999999997</v>
      </c>
      <c r="U4424">
        <v>-2.5464169999999999</v>
      </c>
      <c r="V4424">
        <v>-0.24788579999999999</v>
      </c>
      <c r="W4424">
        <v>0.42693959999999997</v>
      </c>
      <c r="X4424">
        <v>0.86964079999999999</v>
      </c>
      <c r="Y4424">
        <v>-0.44703670000000001</v>
      </c>
      <c r="Z4424">
        <v>8.4073999999999996E-2</v>
      </c>
      <c r="AA4424">
        <v>0.89055589999999996</v>
      </c>
      <c r="AB4424">
        <v>38</v>
      </c>
      <c r="AC4424">
        <v>0.58299999999996999</v>
      </c>
      <c r="AD4424">
        <v>-9.6512999999999793E-2</v>
      </c>
      <c r="AE4424">
        <v>-0.36538999999999699</v>
      </c>
      <c r="AF4424">
        <v>-0.43871601374336999</v>
      </c>
      <c r="AG4424">
        <v>-9.6512999999999793E-2</v>
      </c>
      <c r="AH4424">
        <v>0.51267275697363401</v>
      </c>
      <c r="AI4424">
        <v>98.1399452493486</v>
      </c>
      <c r="AJ4424">
        <v>130.55501925232701</v>
      </c>
      <c r="AK4424">
        <v>0.68163029248033002</v>
      </c>
      <c r="AL4424">
        <v>64.726503158303302</v>
      </c>
      <c r="AM4424">
        <v>105.90987791352801</v>
      </c>
      <c r="AN4424">
        <v>0.99999995645721895</v>
      </c>
    </row>
    <row r="4425" spans="1:40" x14ac:dyDescent="0.25">
      <c r="A4425" t="str">
        <f>"20190304164734470"</f>
        <v>20190304164734470</v>
      </c>
      <c r="B4425" t="str">
        <f>"1551689254463413"</f>
        <v>1551689254463413</v>
      </c>
      <c r="C4425" t="s">
        <v>40</v>
      </c>
      <c r="D4425">
        <v>4.8617589999999904</v>
      </c>
      <c r="E4425">
        <v>0.40385680000000002</v>
      </c>
      <c r="F4425" t="s">
        <v>41</v>
      </c>
      <c r="G4425">
        <v>-419.22669999999999</v>
      </c>
      <c r="H4425">
        <v>1.027901</v>
      </c>
      <c r="I4425">
        <v>40.532699999999998</v>
      </c>
      <c r="J4425">
        <v>-419.78250000000003</v>
      </c>
      <c r="K4425">
        <v>1.1210329999999999</v>
      </c>
      <c r="L4425">
        <v>40.840850000000003</v>
      </c>
      <c r="M4425">
        <v>0.30894959999999999</v>
      </c>
      <c r="N4425">
        <v>-1.5674850000000001E-2</v>
      </c>
      <c r="O4425">
        <v>-0.9509493</v>
      </c>
      <c r="P4425">
        <v>0.49883840000000002</v>
      </c>
      <c r="Q4425">
        <v>0.41833310000000001</v>
      </c>
      <c r="R4425">
        <v>-0.75905089999999997</v>
      </c>
      <c r="S4425">
        <v>2.5122680000000002</v>
      </c>
      <c r="T4425">
        <v>-0.34254990000000002</v>
      </c>
      <c r="U4425">
        <v>-2.5041500000000001</v>
      </c>
      <c r="V4425">
        <v>-0.25035639999999998</v>
      </c>
      <c r="W4425">
        <v>0.42603390000000002</v>
      </c>
      <c r="X4425">
        <v>0.86937730000000002</v>
      </c>
      <c r="Y4425">
        <v>-0.45250030000000002</v>
      </c>
      <c r="Z4425">
        <v>8.4871929999999998E-2</v>
      </c>
      <c r="AA4425">
        <v>0.88771630000000001</v>
      </c>
      <c r="AB4425">
        <v>37</v>
      </c>
      <c r="AC4425">
        <v>0.55580000000003305</v>
      </c>
      <c r="AD4425">
        <v>-9.3132000000000006E-2</v>
      </c>
      <c r="AE4425">
        <v>-0.30815000000000398</v>
      </c>
      <c r="AF4425">
        <v>-0.424276204709854</v>
      </c>
      <c r="AG4425">
        <v>-9.3132000000000006E-2</v>
      </c>
      <c r="AH4425">
        <v>0.45503391854467701</v>
      </c>
      <c r="AI4425">
        <v>98.513655439272895</v>
      </c>
      <c r="AJ4425">
        <v>132.99664655473899</v>
      </c>
      <c r="AK4425">
        <v>0.62907848026547797</v>
      </c>
      <c r="AL4425">
        <v>64.783877885474297</v>
      </c>
      <c r="AM4425">
        <v>106.064923994851</v>
      </c>
      <c r="AN4425">
        <v>1.00000005036272</v>
      </c>
    </row>
    <row r="4426" spans="1:40" x14ac:dyDescent="0.25">
      <c r="A4426" t="str">
        <f>"20190304164734492"</f>
        <v>20190304164734492</v>
      </c>
      <c r="B4426" t="str">
        <f>"1551689254483909"</f>
        <v>1551689254483909</v>
      </c>
      <c r="C4426" t="s">
        <v>40</v>
      </c>
      <c r="D4426">
        <v>4.8616140000000003</v>
      </c>
      <c r="E4426">
        <v>0.40364620000000001</v>
      </c>
      <c r="F4426" t="s">
        <v>41</v>
      </c>
      <c r="G4426">
        <v>-419.12900000000002</v>
      </c>
      <c r="H4426">
        <v>1.0319590000000001</v>
      </c>
      <c r="I4426">
        <v>40.206479999999999</v>
      </c>
      <c r="J4426">
        <v>-419.66210000000001</v>
      </c>
      <c r="K4426">
        <v>1.121151</v>
      </c>
      <c r="L4426">
        <v>40.497439999999997</v>
      </c>
      <c r="M4426">
        <v>0.3187564</v>
      </c>
      <c r="N4426">
        <v>-1.5693039999999998E-2</v>
      </c>
      <c r="O4426">
        <v>-0.94770679999999996</v>
      </c>
      <c r="P4426">
        <v>0.50878199999999996</v>
      </c>
      <c r="Q4426">
        <v>0.41790090000000002</v>
      </c>
      <c r="R4426">
        <v>-0.75266219999999995</v>
      </c>
      <c r="S4426">
        <v>2.5452880000000002</v>
      </c>
      <c r="T4426">
        <v>-0.34694039999999998</v>
      </c>
      <c r="U4426">
        <v>-2.4707949999999999</v>
      </c>
      <c r="V4426">
        <v>-0.25287120000000002</v>
      </c>
      <c r="W4426">
        <v>0.42547679999999999</v>
      </c>
      <c r="X4426">
        <v>0.86892209999999903</v>
      </c>
      <c r="Y4426">
        <v>-0.45495390000000002</v>
      </c>
      <c r="Z4426">
        <v>8.616074E-2</v>
      </c>
      <c r="AA4426">
        <v>0.88633700000000004</v>
      </c>
      <c r="AB4426">
        <v>37</v>
      </c>
      <c r="AC4426">
        <v>0.53309999999999003</v>
      </c>
      <c r="AD4426">
        <v>-8.9191999999999896E-2</v>
      </c>
      <c r="AE4426">
        <v>-0.29096000000000499</v>
      </c>
      <c r="AF4426">
        <v>-0.40381859073561199</v>
      </c>
      <c r="AG4426">
        <v>-8.9191999999999896E-2</v>
      </c>
      <c r="AH4426">
        <v>0.43631841488543899</v>
      </c>
      <c r="AI4426">
        <v>98.532213778445097</v>
      </c>
      <c r="AJ4426">
        <v>132.78467710344299</v>
      </c>
      <c r="AK4426">
        <v>0.60116422569530703</v>
      </c>
      <c r="AL4426">
        <v>64.819152527595506</v>
      </c>
      <c r="AM4426">
        <v>106.225899768513</v>
      </c>
      <c r="AN4426">
        <v>0.99999998349804398</v>
      </c>
    </row>
    <row r="4427" spans="1:40" x14ac:dyDescent="0.25">
      <c r="A4427" t="str">
        <f>"20190304164734514"</f>
        <v>20190304164734514</v>
      </c>
      <c r="B4427" t="str">
        <f>"1551689254503426"</f>
        <v>1551689254503426</v>
      </c>
      <c r="C4427" t="s">
        <v>40</v>
      </c>
      <c r="D4427">
        <v>4.9470260000000001</v>
      </c>
      <c r="E4427">
        <v>0.40414349999999999</v>
      </c>
      <c r="F4427" t="s">
        <v>41</v>
      </c>
      <c r="G4427">
        <v>-418.99009999999998</v>
      </c>
      <c r="H4427">
        <v>1.02905</v>
      </c>
      <c r="I4427">
        <v>39.861060000000002</v>
      </c>
      <c r="J4427">
        <v>-419.54149999999998</v>
      </c>
      <c r="K4427">
        <v>1.121237</v>
      </c>
      <c r="L4427">
        <v>40.164670000000001</v>
      </c>
      <c r="M4427">
        <v>0.32835490000000001</v>
      </c>
      <c r="N4427">
        <v>-1.5708489999999999E-2</v>
      </c>
      <c r="O4427">
        <v>-0.94442369999999998</v>
      </c>
      <c r="P4427">
        <v>0.51779419999999998</v>
      </c>
      <c r="Q4427">
        <v>0.41721279999999999</v>
      </c>
      <c r="R4427">
        <v>-0.74687510000000001</v>
      </c>
      <c r="S4427">
        <v>2.5773320000000002</v>
      </c>
      <c r="T4427">
        <v>-0.35311419999999999</v>
      </c>
      <c r="U4427">
        <v>-2.4396969999999998</v>
      </c>
      <c r="V4427">
        <v>-0.25447789999999998</v>
      </c>
      <c r="W4427">
        <v>0.42469950000000001</v>
      </c>
      <c r="X4427">
        <v>0.86883330000000003</v>
      </c>
      <c r="Y4427">
        <v>-0.4569532</v>
      </c>
      <c r="Z4427">
        <v>8.7901980000000005E-2</v>
      </c>
      <c r="AA4427">
        <v>0.8851367</v>
      </c>
      <c r="AB4427">
        <v>37</v>
      </c>
      <c r="AC4427">
        <v>0.551400000000001</v>
      </c>
      <c r="AD4427">
        <v>-9.2187000000000005E-2</v>
      </c>
      <c r="AE4427">
        <v>-0.30361000000000599</v>
      </c>
      <c r="AF4427">
        <v>-0.412272663003109</v>
      </c>
      <c r="AG4427">
        <v>-9.2187000000000005E-2</v>
      </c>
      <c r="AH4427">
        <v>0.45802507603881898</v>
      </c>
      <c r="AI4427">
        <v>98.508078635432497</v>
      </c>
      <c r="AJ4427">
        <v>131.99067445402599</v>
      </c>
      <c r="AK4427">
        <v>0.62310044287341104</v>
      </c>
      <c r="AL4427">
        <v>64.8683553710963</v>
      </c>
      <c r="AM4427">
        <v>106.325102877617</v>
      </c>
      <c r="AN4427">
        <v>0.99999998503877496</v>
      </c>
    </row>
    <row r="4428" spans="1:40" x14ac:dyDescent="0.25">
      <c r="A4428" t="str">
        <f>"20190304164734537"</f>
        <v>20190304164734537</v>
      </c>
      <c r="B4428" t="str">
        <f>"1551689254533682"</f>
        <v>1551689254533682</v>
      </c>
      <c r="C4428" t="s">
        <v>40</v>
      </c>
      <c r="D4428">
        <v>4.897742</v>
      </c>
      <c r="E4428">
        <v>0.40497840000000002</v>
      </c>
      <c r="F4428" t="s">
        <v>41</v>
      </c>
      <c r="G4428">
        <v>-418.8535</v>
      </c>
      <c r="H4428">
        <v>1.026367</v>
      </c>
      <c r="I4428">
        <v>39.527239999999999</v>
      </c>
      <c r="J4428">
        <v>-419.41039999999998</v>
      </c>
      <c r="K4428">
        <v>1.121313</v>
      </c>
      <c r="L4428">
        <v>39.815159999999999</v>
      </c>
      <c r="M4428">
        <v>0.33852159999999998</v>
      </c>
      <c r="N4428">
        <v>-1.5722239999999998E-2</v>
      </c>
      <c r="O4428">
        <v>-0.94082770000000004</v>
      </c>
      <c r="P4428">
        <v>0.52692030000000001</v>
      </c>
      <c r="Q4428">
        <v>0.41484739999999998</v>
      </c>
      <c r="R4428">
        <v>-0.74179340000000005</v>
      </c>
      <c r="S4428">
        <v>2.604034</v>
      </c>
      <c r="T4428">
        <v>-0.35897250000000003</v>
      </c>
      <c r="U4428">
        <v>-2.4119259999999998</v>
      </c>
      <c r="V4428">
        <v>-0.25536490000000001</v>
      </c>
      <c r="W4428">
        <v>0.42228260000000001</v>
      </c>
      <c r="X4428">
        <v>0.86975059999999904</v>
      </c>
      <c r="Y4428">
        <v>-0.45686130000000003</v>
      </c>
      <c r="Z4428">
        <v>8.9525770000000005E-2</v>
      </c>
      <c r="AA4428">
        <v>0.88502139999999996</v>
      </c>
      <c r="AB4428">
        <v>37</v>
      </c>
      <c r="AC4428">
        <v>0.55689999999998396</v>
      </c>
      <c r="AD4428">
        <v>-9.4945999999999905E-2</v>
      </c>
      <c r="AE4428">
        <v>-0.28791999999999901</v>
      </c>
      <c r="AF4428">
        <v>-0.41696867345831001</v>
      </c>
      <c r="AG4428">
        <v>-9.4945999999999905E-2</v>
      </c>
      <c r="AH4428">
        <v>0.44916035845541002</v>
      </c>
      <c r="AI4428">
        <v>98.806293221121393</v>
      </c>
      <c r="AJ4428">
        <v>132.871449854503</v>
      </c>
      <c r="AK4428">
        <v>0.62017952656418396</v>
      </c>
      <c r="AL4428">
        <v>65.021217434442903</v>
      </c>
      <c r="AM4428">
        <v>106.36261030236</v>
      </c>
      <c r="AN4428">
        <v>0.99999996630756405</v>
      </c>
    </row>
    <row r="4429" spans="1:40" x14ac:dyDescent="0.25">
      <c r="A4429" t="str">
        <f>"20190304164734560"</f>
        <v>20190304164734560</v>
      </c>
      <c r="B4429" t="str">
        <f>"1551689254553202"</f>
        <v>1551689254553202</v>
      </c>
      <c r="C4429" t="s">
        <v>40</v>
      </c>
      <c r="D4429">
        <v>4.9029249999999998</v>
      </c>
      <c r="E4429">
        <v>0.40540860000000001</v>
      </c>
      <c r="F4429" t="s">
        <v>41</v>
      </c>
      <c r="G4429">
        <v>-418.57369999999997</v>
      </c>
      <c r="H4429">
        <v>1.0032559999999999</v>
      </c>
      <c r="I4429">
        <v>39.055149999999998</v>
      </c>
      <c r="J4429">
        <v>-419.2749</v>
      </c>
      <c r="K4429">
        <v>1.1213740000000001</v>
      </c>
      <c r="L4429">
        <v>39.465420000000002</v>
      </c>
      <c r="M4429">
        <v>0.34875679999999998</v>
      </c>
      <c r="N4429">
        <v>-1.5733649999999998E-2</v>
      </c>
      <c r="O4429">
        <v>-0.93708119999999995</v>
      </c>
      <c r="P4429">
        <v>0.53580479999999997</v>
      </c>
      <c r="Q4429">
        <v>0.4135762</v>
      </c>
      <c r="R4429">
        <v>-0.73611680000000002</v>
      </c>
      <c r="S4429">
        <v>2.6264949999999998</v>
      </c>
      <c r="T4429">
        <v>-0.37060310000000002</v>
      </c>
      <c r="U4429">
        <v>-2.3858030000000001</v>
      </c>
      <c r="V4429">
        <v>-0.2561504</v>
      </c>
      <c r="W4429">
        <v>0.42096220000000001</v>
      </c>
      <c r="X4429">
        <v>0.87015969999999998</v>
      </c>
      <c r="Y4429">
        <v>-0.45552120000000001</v>
      </c>
      <c r="Z4429">
        <v>9.27925E-2</v>
      </c>
      <c r="AA4429">
        <v>0.88537559999999904</v>
      </c>
      <c r="AB4429">
        <v>37</v>
      </c>
      <c r="AC4429">
        <v>0.70120000000002802</v>
      </c>
      <c r="AD4429">
        <v>-0.118117999999999</v>
      </c>
      <c r="AE4429">
        <v>-0.41027000000000402</v>
      </c>
      <c r="AF4429">
        <v>-0.50341869510186699</v>
      </c>
      <c r="AG4429">
        <v>-0.118117999999999</v>
      </c>
      <c r="AH4429">
        <v>0.61605949387719905</v>
      </c>
      <c r="AI4429">
        <v>98.444808829661</v>
      </c>
      <c r="AJ4429">
        <v>129.25429292151901</v>
      </c>
      <c r="AK4429">
        <v>0.80430811539999902</v>
      </c>
      <c r="AL4429">
        <v>65.104651283741106</v>
      </c>
      <c r="AM4429">
        <v>106.402937239976</v>
      </c>
      <c r="AN4429">
        <v>1.00000005237654</v>
      </c>
    </row>
    <row r="4430" spans="1:40" x14ac:dyDescent="0.25">
      <c r="A4430" t="str">
        <f>"20190304164734581"</f>
        <v>20190304164734581</v>
      </c>
      <c r="B4430" t="str">
        <f>"1551689254573701"</f>
        <v>1551689254573701</v>
      </c>
      <c r="C4430" t="s">
        <v>40</v>
      </c>
      <c r="D4430">
        <v>4.905977</v>
      </c>
      <c r="E4430">
        <v>0.40585320000000003</v>
      </c>
      <c r="F4430" t="s">
        <v>41</v>
      </c>
      <c r="G4430">
        <v>-418.46550000000002</v>
      </c>
      <c r="H4430">
        <v>1.0064740000000001</v>
      </c>
      <c r="I4430">
        <v>38.74568</v>
      </c>
      <c r="J4430">
        <v>-419.14179999999999</v>
      </c>
      <c r="K4430">
        <v>1.12144</v>
      </c>
      <c r="L4430">
        <v>39.132289999999998</v>
      </c>
      <c r="M4430">
        <v>0.35855310000000001</v>
      </c>
      <c r="N4430">
        <v>-1.5742409999999998E-2</v>
      </c>
      <c r="O4430">
        <v>-0.9333766</v>
      </c>
      <c r="P4430">
        <v>0.54341969999999995</v>
      </c>
      <c r="Q4430">
        <v>0.41363499999999997</v>
      </c>
      <c r="R4430">
        <v>-0.73047989999999996</v>
      </c>
      <c r="S4430">
        <v>2.6515499999999999</v>
      </c>
      <c r="T4430">
        <v>-0.37625809999999998</v>
      </c>
      <c r="U4430">
        <v>-2.3568419999999999</v>
      </c>
      <c r="V4430">
        <v>-0.25614680000000001</v>
      </c>
      <c r="W4430">
        <v>0.42099239999999999</v>
      </c>
      <c r="X4430">
        <v>0.87014609999999903</v>
      </c>
      <c r="Y4430">
        <v>-0.45563959999999998</v>
      </c>
      <c r="Z4430">
        <v>9.4371969999999999E-2</v>
      </c>
      <c r="AA4430">
        <v>0.88514780000000004</v>
      </c>
      <c r="AB4430">
        <v>37</v>
      </c>
      <c r="AC4430">
        <v>0.67629999999996904</v>
      </c>
      <c r="AD4430">
        <v>-0.114966</v>
      </c>
      <c r="AE4430">
        <v>-0.38661000000000401</v>
      </c>
      <c r="AF4430">
        <v>-0.48218150572238899</v>
      </c>
      <c r="AG4430">
        <v>-0.114966</v>
      </c>
      <c r="AH4430">
        <v>0.59055466530084499</v>
      </c>
      <c r="AI4430">
        <v>98.575299873552694</v>
      </c>
      <c r="AJ4430">
        <v>129.231266715651</v>
      </c>
      <c r="AK4430">
        <v>0.77101945392143201</v>
      </c>
      <c r="AL4430">
        <v>65.1027425444275</v>
      </c>
      <c r="AM4430">
        <v>106.402961687464</v>
      </c>
      <c r="AN4430">
        <v>1.0000000096766</v>
      </c>
    </row>
    <row r="4431" spans="1:40" x14ac:dyDescent="0.25">
      <c r="A4431" t="str">
        <f>"20190304164734602"</f>
        <v>20190304164734602</v>
      </c>
      <c r="B4431" t="str">
        <f>"1551689254593218"</f>
        <v>1551689254593218</v>
      </c>
      <c r="C4431" t="s">
        <v>40</v>
      </c>
      <c r="D4431">
        <v>5.0112759999999996</v>
      </c>
      <c r="E4431">
        <v>0.40620509999999999</v>
      </c>
      <c r="F4431" t="s">
        <v>41</v>
      </c>
      <c r="G4431">
        <v>-418.3492</v>
      </c>
      <c r="H4431">
        <v>1.0098990000000001</v>
      </c>
      <c r="I4431">
        <v>38.440849999999998</v>
      </c>
      <c r="J4431">
        <v>-419.00569999999999</v>
      </c>
      <c r="K4431">
        <v>1.1214949999999999</v>
      </c>
      <c r="L4431">
        <v>38.801879999999997</v>
      </c>
      <c r="M4431">
        <v>0.368309</v>
      </c>
      <c r="N4431">
        <v>-1.5749559999999999E-2</v>
      </c>
      <c r="O4431">
        <v>-0.92957020000000001</v>
      </c>
      <c r="P4431">
        <v>0.55093190000000003</v>
      </c>
      <c r="Q4431">
        <v>0.41393600000000003</v>
      </c>
      <c r="R4431">
        <v>-0.72465959999999996</v>
      </c>
      <c r="S4431">
        <v>2.6727910000000001</v>
      </c>
      <c r="T4431">
        <v>-0.37611519999999998</v>
      </c>
      <c r="U4431">
        <v>-2.3314819999999998</v>
      </c>
      <c r="V4431">
        <v>-0.25613950000000002</v>
      </c>
      <c r="W4431">
        <v>0.42126710000000001</v>
      </c>
      <c r="X4431">
        <v>0.87001530000000005</v>
      </c>
      <c r="Y4431">
        <v>-0.45458559999999998</v>
      </c>
      <c r="Z4431">
        <v>9.4267829999999997E-2</v>
      </c>
      <c r="AA4431">
        <v>0.88570059999999995</v>
      </c>
      <c r="AB4431">
        <v>37</v>
      </c>
      <c r="AC4431">
        <v>0.65649999999999398</v>
      </c>
      <c r="AD4431">
        <v>-0.111596</v>
      </c>
      <c r="AE4431">
        <v>-0.36102999999999902</v>
      </c>
      <c r="AF4431">
        <v>-0.46699080022139899</v>
      </c>
      <c r="AG4431">
        <v>-0.111596</v>
      </c>
      <c r="AH4431">
        <v>0.56493556796220801</v>
      </c>
      <c r="AI4431">
        <v>98.657001722935107</v>
      </c>
      <c r="AJ4431">
        <v>129.578042927989</v>
      </c>
      <c r="AK4431">
        <v>0.74140830225740295</v>
      </c>
      <c r="AL4431">
        <v>65.085389786075496</v>
      </c>
      <c r="AM4431">
        <v>106.40485276116399</v>
      </c>
      <c r="AN4431">
        <v>1.0000000176183701</v>
      </c>
    </row>
    <row r="4432" spans="1:40" x14ac:dyDescent="0.25">
      <c r="A4432" t="str">
        <f>"20190304164734625"</f>
        <v>20190304164734625</v>
      </c>
      <c r="B4432" t="str">
        <f>"1551689254613714"</f>
        <v>1551689254613714</v>
      </c>
      <c r="C4432" t="s">
        <v>40</v>
      </c>
      <c r="D4432">
        <v>4.9129440000000004</v>
      </c>
      <c r="E4432">
        <v>0.41674549999999999</v>
      </c>
      <c r="F4432" t="s">
        <v>41</v>
      </c>
      <c r="G4432">
        <v>-418.2287</v>
      </c>
      <c r="H4432">
        <v>1.013671</v>
      </c>
      <c r="I4432">
        <v>38.138359999999999</v>
      </c>
      <c r="J4432">
        <v>-418.86079999999998</v>
      </c>
      <c r="K4432">
        <v>1.1215569999999999</v>
      </c>
      <c r="L4432">
        <v>38.460479999999997</v>
      </c>
      <c r="M4432">
        <v>0.37843919999999998</v>
      </c>
      <c r="N4432">
        <v>-1.5756139999999998E-2</v>
      </c>
      <c r="O4432">
        <v>-0.92549199999999998</v>
      </c>
      <c r="P4432">
        <v>0.55851090000000003</v>
      </c>
      <c r="Q4432">
        <v>0.41478409999999899</v>
      </c>
      <c r="R4432">
        <v>-0.71834500000000001</v>
      </c>
      <c r="S4432">
        <v>2.6978149999999999</v>
      </c>
      <c r="T4432">
        <v>-0.37424350000000001</v>
      </c>
      <c r="U4432">
        <v>-2.3026430000000002</v>
      </c>
      <c r="V4432">
        <v>-0.25602989999999998</v>
      </c>
      <c r="W4432">
        <v>0.42208810000000002</v>
      </c>
      <c r="X4432">
        <v>0.86964949999999996</v>
      </c>
      <c r="Y4432">
        <v>-0.4544492</v>
      </c>
      <c r="Z4432">
        <v>9.3657900000000002E-2</v>
      </c>
      <c r="AA4432">
        <v>0.88583519999999905</v>
      </c>
      <c r="AB4432">
        <v>37</v>
      </c>
      <c r="AC4432">
        <v>0.63209999999997901</v>
      </c>
      <c r="AD4432">
        <v>-0.107885999999999</v>
      </c>
      <c r="AE4432">
        <v>-0.32211999999999802</v>
      </c>
      <c r="AF4432">
        <v>-0.45268945103667302</v>
      </c>
      <c r="AG4432">
        <v>-0.107885999999999</v>
      </c>
      <c r="AH4432">
        <v>0.52525088554566501</v>
      </c>
      <c r="AI4432">
        <v>98.843618197218802</v>
      </c>
      <c r="AJ4432">
        <v>130.75653091193399</v>
      </c>
      <c r="AK4432">
        <v>0.70175182282797799</v>
      </c>
      <c r="AL4432">
        <v>65.033510695321596</v>
      </c>
      <c r="AM4432">
        <v>106.404737230761</v>
      </c>
      <c r="AN4432">
        <v>0.99999996335293395</v>
      </c>
    </row>
    <row r="4433" spans="1:40" x14ac:dyDescent="0.25">
      <c r="A4433" t="str">
        <f>"20190304164734648"</f>
        <v>20190304164734648</v>
      </c>
      <c r="B4433" t="str">
        <f>"1551689254643971"</f>
        <v>1551689254643971</v>
      </c>
      <c r="C4433" t="s">
        <v>40</v>
      </c>
      <c r="D4433">
        <v>4.9180820000000001</v>
      </c>
      <c r="E4433">
        <v>0.41531570000000001</v>
      </c>
      <c r="F4433" t="s">
        <v>41</v>
      </c>
      <c r="G4433">
        <v>-418.12920000000003</v>
      </c>
      <c r="H4433">
        <v>1.0169629999999901</v>
      </c>
      <c r="I4433">
        <v>37.820990000000002</v>
      </c>
      <c r="J4433">
        <v>-418.70859999999999</v>
      </c>
      <c r="K4433">
        <v>1.1216090000000001</v>
      </c>
      <c r="L4433">
        <v>38.112430000000003</v>
      </c>
      <c r="M4433">
        <v>0.38882699999999998</v>
      </c>
      <c r="N4433">
        <v>-1.576309E-2</v>
      </c>
      <c r="O4433">
        <v>-0.92117599999999999</v>
      </c>
      <c r="P4433">
        <v>0.56680830000000004</v>
      </c>
      <c r="Q4433">
        <v>0.41534870000000002</v>
      </c>
      <c r="R4433">
        <v>-0.71148710000000004</v>
      </c>
      <c r="S4433">
        <v>2.6615600000000001</v>
      </c>
      <c r="T4433">
        <v>-0.38052960000000002</v>
      </c>
      <c r="U4433">
        <v>-2.3265989999999999</v>
      </c>
      <c r="V4433">
        <v>-0.25653880000000001</v>
      </c>
      <c r="W4433">
        <v>0.42260599999999998</v>
      </c>
      <c r="X4433">
        <v>0.86924799999999902</v>
      </c>
      <c r="Y4433">
        <v>-0.43374279999999998</v>
      </c>
      <c r="Z4433">
        <v>9.5118010000000003E-2</v>
      </c>
      <c r="AA4433">
        <v>0.89600210000000002</v>
      </c>
      <c r="AB4433">
        <v>37</v>
      </c>
      <c r="AC4433">
        <v>0.57939999999996405</v>
      </c>
      <c r="AD4433">
        <v>-0.104646</v>
      </c>
      <c r="AE4433">
        <v>-0.29143999999999398</v>
      </c>
      <c r="AF4433">
        <v>-0.40979347622114098</v>
      </c>
      <c r="AG4433">
        <v>-0.104646</v>
      </c>
      <c r="AH4433">
        <v>0.481285655263409</v>
      </c>
      <c r="AI4433">
        <v>99.400035885161699</v>
      </c>
      <c r="AJ4433">
        <v>130.412927233565</v>
      </c>
      <c r="AK4433">
        <v>0.64071628700364402</v>
      </c>
      <c r="AL4433">
        <v>65.000776141705401</v>
      </c>
      <c r="AM4433">
        <v>106.442767896711</v>
      </c>
      <c r="AN4433">
        <v>1.00000003632271</v>
      </c>
    </row>
    <row r="4434" spans="1:40" x14ac:dyDescent="0.25">
      <c r="A4434" t="str">
        <f>"20190304164734671"</f>
        <v>20190304164734671</v>
      </c>
      <c r="B4434" t="str">
        <f>"1551689254663490"</f>
        <v>1551689254663490</v>
      </c>
      <c r="C4434" t="s">
        <v>40</v>
      </c>
      <c r="D4434">
        <v>4.9201680000000003</v>
      </c>
      <c r="E4434">
        <v>0.41588989999999998</v>
      </c>
      <c r="F4434" t="s">
        <v>41</v>
      </c>
      <c r="G4434">
        <v>-417.9778</v>
      </c>
      <c r="H4434">
        <v>1.0202279999999999</v>
      </c>
      <c r="I4434">
        <v>37.493929999999999</v>
      </c>
      <c r="J4434">
        <v>-418.5591</v>
      </c>
      <c r="K4434">
        <v>1.1216649999999999</v>
      </c>
      <c r="L4434">
        <v>37.780940000000001</v>
      </c>
      <c r="M4434">
        <v>0.3988004</v>
      </c>
      <c r="N4434">
        <v>-1.5771150000000001E-2</v>
      </c>
      <c r="O4434">
        <v>-0.9169022</v>
      </c>
      <c r="P4434">
        <v>0.57492209999999999</v>
      </c>
      <c r="Q4434">
        <v>0.41553970000000001</v>
      </c>
      <c r="R4434">
        <v>-0.70483459999999998</v>
      </c>
      <c r="S4434">
        <v>2.6995849999999999</v>
      </c>
      <c r="T4434">
        <v>-0.37448670000000001</v>
      </c>
      <c r="U4434">
        <v>-2.2845149999999999</v>
      </c>
      <c r="V4434">
        <v>-0.25718299999999999</v>
      </c>
      <c r="W4434">
        <v>0.42274600000000001</v>
      </c>
      <c r="X4434">
        <v>0.86898949999999997</v>
      </c>
      <c r="Y4434">
        <v>-0.43847039999999998</v>
      </c>
      <c r="Z4434">
        <v>9.3396080000000006E-2</v>
      </c>
      <c r="AA4434">
        <v>0.89387969999999894</v>
      </c>
      <c r="AB4434">
        <v>37</v>
      </c>
      <c r="AC4434">
        <v>0.58129999999999804</v>
      </c>
      <c r="AD4434">
        <v>-0.101436999999999</v>
      </c>
      <c r="AE4434">
        <v>-0.28701000000000199</v>
      </c>
      <c r="AF4434">
        <v>-0.40858455216939099</v>
      </c>
      <c r="AG4434">
        <v>-0.101436999999999</v>
      </c>
      <c r="AH4434">
        <v>0.483214189379776</v>
      </c>
      <c r="AI4434">
        <v>99.106945469051695</v>
      </c>
      <c r="AJ4434">
        <v>130.21638331808401</v>
      </c>
      <c r="AK4434">
        <v>0.64087967205897201</v>
      </c>
      <c r="AL4434">
        <v>64.991924624961101</v>
      </c>
      <c r="AM4434">
        <v>106.486456577878</v>
      </c>
      <c r="AN4434">
        <v>1.0000000135576199</v>
      </c>
    </row>
    <row r="4435" spans="1:40" x14ac:dyDescent="0.25">
      <c r="A4435" t="str">
        <f>"20190304164734693"</f>
        <v>20190304164734693</v>
      </c>
      <c r="B4435" t="str">
        <f>"1551689254683986"</f>
        <v>1551689254683986</v>
      </c>
      <c r="C4435" t="s">
        <v>40</v>
      </c>
      <c r="D4435">
        <v>4.9238289999999996</v>
      </c>
      <c r="E4435">
        <v>0.4166144</v>
      </c>
      <c r="F4435" t="s">
        <v>41</v>
      </c>
      <c r="G4435">
        <v>-417.80290000000002</v>
      </c>
      <c r="H4435">
        <v>1.018087</v>
      </c>
      <c r="I4435">
        <v>37.155160000000002</v>
      </c>
      <c r="J4435">
        <v>-418.40780000000001</v>
      </c>
      <c r="K4435">
        <v>1.1217299999999999</v>
      </c>
      <c r="L4435">
        <v>37.45505</v>
      </c>
      <c r="M4435">
        <v>0.40870469999999998</v>
      </c>
      <c r="N4435">
        <v>-1.5781400000000001E-2</v>
      </c>
      <c r="O4435">
        <v>-0.91253039999999996</v>
      </c>
      <c r="P4435">
        <v>0.58237839999999996</v>
      </c>
      <c r="Q4435">
        <v>0.41591499999999998</v>
      </c>
      <c r="R4435">
        <v>-0.69846299999999995</v>
      </c>
      <c r="S4435">
        <v>2.7240600000000001</v>
      </c>
      <c r="T4435">
        <v>-0.37315090000000001</v>
      </c>
      <c r="U4435">
        <v>-2.2543329999999999</v>
      </c>
      <c r="V4435">
        <v>-0.25718439999999998</v>
      </c>
      <c r="W4435">
        <v>0.42308259999999998</v>
      </c>
      <c r="X4435">
        <v>0.86882530000000002</v>
      </c>
      <c r="Y4435">
        <v>-0.43860460000000001</v>
      </c>
      <c r="Z4435">
        <v>9.2921909999999996E-2</v>
      </c>
      <c r="AA4435">
        <v>0.89386330000000003</v>
      </c>
      <c r="AB4435">
        <v>37</v>
      </c>
      <c r="AC4435">
        <v>0.604899999999986</v>
      </c>
      <c r="AD4435">
        <v>-0.103642999999999</v>
      </c>
      <c r="AE4435">
        <v>-0.29989000000000399</v>
      </c>
      <c r="AF4435">
        <v>-0.41958894512205802</v>
      </c>
      <c r="AG4435">
        <v>-0.103642999999999</v>
      </c>
      <c r="AH4435">
        <v>0.50895541985957404</v>
      </c>
      <c r="AI4435">
        <v>98.929690401030399</v>
      </c>
      <c r="AJ4435">
        <v>129.502578716876</v>
      </c>
      <c r="AK4435">
        <v>0.66770680221342404</v>
      </c>
      <c r="AL4435">
        <v>64.970642928717197</v>
      </c>
      <c r="AM4435">
        <v>106.48948805084299</v>
      </c>
      <c r="AN4435">
        <v>1.0000000519731</v>
      </c>
    </row>
    <row r="4436" spans="1:40" x14ac:dyDescent="0.25">
      <c r="A4436" t="str">
        <f>"20190304164734716"</f>
        <v>20190304164734716</v>
      </c>
      <c r="B4436" t="str">
        <f>"1551689254703506"</f>
        <v>1551689254703506</v>
      </c>
      <c r="C4436" t="s">
        <v>40</v>
      </c>
      <c r="D4436">
        <v>4.9392019999999999</v>
      </c>
      <c r="E4436">
        <v>0.4173269</v>
      </c>
      <c r="F4436" t="s">
        <v>53</v>
      </c>
      <c r="G4436">
        <v>-410.1404</v>
      </c>
      <c r="H4436" s="1">
        <v>-6.8227610000000001E-6</v>
      </c>
      <c r="I4436">
        <v>30.765309999999999</v>
      </c>
      <c r="J4436">
        <v>-418.25029999999998</v>
      </c>
      <c r="K4436">
        <v>1.1218239999999999</v>
      </c>
      <c r="L4436">
        <v>37.125819999999997</v>
      </c>
      <c r="M4436">
        <v>0.41884650000000001</v>
      </c>
      <c r="N4436">
        <v>-1.579492E-2</v>
      </c>
      <c r="O4436">
        <v>-0.90791980000000005</v>
      </c>
      <c r="P4436">
        <v>0.58944869999999905</v>
      </c>
      <c r="Q4436">
        <v>0.4160392</v>
      </c>
      <c r="R4436">
        <v>-0.69243199999999905</v>
      </c>
      <c r="S4436">
        <v>2.7494809999999998</v>
      </c>
      <c r="T4436">
        <v>-0.37305359999999999</v>
      </c>
      <c r="U4436">
        <v>-2.2247919999999999</v>
      </c>
      <c r="V4436">
        <v>-0.25646249999999998</v>
      </c>
      <c r="W4436">
        <v>0.42318319999999998</v>
      </c>
      <c r="X4436">
        <v>0.86898960000000003</v>
      </c>
      <c r="Y4436">
        <v>-0.43846099999999999</v>
      </c>
      <c r="Z4436">
        <v>9.272503E-2</v>
      </c>
      <c r="AA4436">
        <v>0.89395419999999903</v>
      </c>
      <c r="AB4436">
        <v>37</v>
      </c>
      <c r="AC4436">
        <v>8.1098999999999801</v>
      </c>
      <c r="AD4436">
        <v>-1.1218308227610001</v>
      </c>
      <c r="AE4436">
        <v>-6.3605099999999997</v>
      </c>
      <c r="AF4436">
        <v>-4.6446206609729996</v>
      </c>
      <c r="AG4436">
        <v>-1.1218308227610001</v>
      </c>
      <c r="AH4436">
        <v>9.0653786023326308</v>
      </c>
      <c r="AI4436">
        <v>96.284947224297795</v>
      </c>
      <c r="AJ4436">
        <v>117.128202140434</v>
      </c>
      <c r="AK4436">
        <v>10.2475409090602</v>
      </c>
      <c r="AL4436">
        <v>64.964279490543305</v>
      </c>
      <c r="AM4436">
        <v>106.442765524634</v>
      </c>
      <c r="AN4436">
        <v>0.999999979788324</v>
      </c>
    </row>
    <row r="4437" spans="1:40" x14ac:dyDescent="0.25">
      <c r="A4437" t="str">
        <f>"20190304164734738"</f>
        <v>20190304164734738</v>
      </c>
      <c r="B4437" t="str">
        <f>"1551689254733762"</f>
        <v>1551689254733762</v>
      </c>
      <c r="C4437" t="s">
        <v>40</v>
      </c>
      <c r="D4437">
        <v>4.8990450000000001</v>
      </c>
      <c r="E4437">
        <v>0.41788560000000002</v>
      </c>
      <c r="F4437" t="s">
        <v>41</v>
      </c>
      <c r="G4437">
        <v>-417.36130000000003</v>
      </c>
      <c r="H4437">
        <v>1.002335</v>
      </c>
      <c r="I4437">
        <v>36.421950000000002</v>
      </c>
      <c r="J4437">
        <v>-418.08789999999999</v>
      </c>
      <c r="K4437">
        <v>1.121937</v>
      </c>
      <c r="L4437">
        <v>36.796390000000002</v>
      </c>
      <c r="M4437">
        <v>0.42915569999999997</v>
      </c>
      <c r="N4437">
        <v>-1.58125E-2</v>
      </c>
      <c r="O4437">
        <v>-0.90309209999999995</v>
      </c>
      <c r="P4437">
        <v>0.59638119999999994</v>
      </c>
      <c r="Q4437">
        <v>0.41627330000000001</v>
      </c>
      <c r="R4437">
        <v>-0.68632789999999999</v>
      </c>
      <c r="S4437">
        <v>2.7734990000000002</v>
      </c>
      <c r="T4437">
        <v>-0.37272369999999999</v>
      </c>
      <c r="U4437">
        <v>-2.195465</v>
      </c>
      <c r="V4437">
        <v>-0.25548179999999998</v>
      </c>
      <c r="W4437">
        <v>0.42339490000000002</v>
      </c>
      <c r="X4437">
        <v>0.86917540000000004</v>
      </c>
      <c r="Y4437">
        <v>-0.43783650000000002</v>
      </c>
      <c r="Z4437">
        <v>9.2446769999999998E-2</v>
      </c>
      <c r="AA4437">
        <v>0.894288999999999</v>
      </c>
      <c r="AB4437">
        <v>37</v>
      </c>
      <c r="AC4437">
        <v>0.72659999999996205</v>
      </c>
      <c r="AD4437">
        <v>-0.119602</v>
      </c>
      <c r="AE4437">
        <v>-0.374439999999999</v>
      </c>
      <c r="AF4437">
        <v>-0.48516853416498001</v>
      </c>
      <c r="AG4437">
        <v>-0.119602</v>
      </c>
      <c r="AH4437">
        <v>0.63643405154840804</v>
      </c>
      <c r="AI4437">
        <v>98.500028359898806</v>
      </c>
      <c r="AJ4437">
        <v>127.31911951711599</v>
      </c>
      <c r="AK4437">
        <v>0.80916095241806996</v>
      </c>
      <c r="AL4437">
        <v>64.950892868555002</v>
      </c>
      <c r="AM4437">
        <v>106.379952367071</v>
      </c>
      <c r="AN4437">
        <v>1.0000000337212001</v>
      </c>
    </row>
    <row r="4438" spans="1:40" x14ac:dyDescent="0.25">
      <c r="A4438" t="str">
        <f>"20190304164734762"</f>
        <v>20190304164734762</v>
      </c>
      <c r="B4438" t="str">
        <f>"1551689254753282"</f>
        <v>1551689254753282</v>
      </c>
      <c r="C4438" t="s">
        <v>40</v>
      </c>
      <c r="D4438">
        <v>5.1194600000000001</v>
      </c>
      <c r="E4438">
        <v>0.4141881</v>
      </c>
      <c r="F4438" t="s">
        <v>41</v>
      </c>
      <c r="G4438">
        <v>-417.226</v>
      </c>
      <c r="H4438">
        <v>1.006931</v>
      </c>
      <c r="I4438">
        <v>36.128369999999997</v>
      </c>
      <c r="J4438">
        <v>-417.91849999999999</v>
      </c>
      <c r="K4438">
        <v>1.1220540000000001</v>
      </c>
      <c r="L4438">
        <v>36.462949999999999</v>
      </c>
      <c r="M4438">
        <v>0.43974580000000002</v>
      </c>
      <c r="N4438">
        <v>-1.5833549999999998E-2</v>
      </c>
      <c r="O4438">
        <v>-0.89798269999999902</v>
      </c>
      <c r="P4438">
        <v>0.60418090000000002</v>
      </c>
      <c r="Q4438">
        <v>0.41617080000000001</v>
      </c>
      <c r="R4438">
        <v>-0.67953520000000001</v>
      </c>
      <c r="S4438">
        <v>2.7966609999999998</v>
      </c>
      <c r="T4438">
        <v>-0.37311729999999999</v>
      </c>
      <c r="U4438">
        <v>-2.1672359999999999</v>
      </c>
      <c r="V4438">
        <v>-0.25527610000000001</v>
      </c>
      <c r="W4438">
        <v>0.42324850000000003</v>
      </c>
      <c r="X4438">
        <v>0.8693071</v>
      </c>
      <c r="Y4438">
        <v>-0.43650729999999999</v>
      </c>
      <c r="Z4438">
        <v>9.2316400000000007E-2</v>
      </c>
      <c r="AA4438">
        <v>0.89495199999999997</v>
      </c>
      <c r="AB4438">
        <v>37</v>
      </c>
      <c r="AC4438">
        <v>0.69249999999999501</v>
      </c>
      <c r="AD4438">
        <v>-0.115123</v>
      </c>
      <c r="AE4438">
        <v>-0.33457999999999499</v>
      </c>
      <c r="AF4438">
        <v>-0.46437742543166899</v>
      </c>
      <c r="AG4438">
        <v>-0.115123</v>
      </c>
      <c r="AH4438">
        <v>0.59178712820687096</v>
      </c>
      <c r="AI4438">
        <v>98.701099832577398</v>
      </c>
      <c r="AJ4438">
        <v>128.12140080692501</v>
      </c>
      <c r="AK4438">
        <v>0.76099389188802302</v>
      </c>
      <c r="AL4438">
        <v>64.960150755238303</v>
      </c>
      <c r="AM4438">
        <v>106.365123269066</v>
      </c>
      <c r="AN4438">
        <v>1.0000000070469299</v>
      </c>
    </row>
    <row r="4439" spans="1:40" x14ac:dyDescent="0.25">
      <c r="A4439" t="str">
        <f>"20190304164734782"</f>
        <v>20190304164734782</v>
      </c>
      <c r="B4439" t="str">
        <f>"1551689254773778"</f>
        <v>1551689254773778</v>
      </c>
      <c r="C4439" t="s">
        <v>40</v>
      </c>
      <c r="D4439">
        <v>4.9901749999999998</v>
      </c>
      <c r="E4439">
        <v>0.42041230000000002</v>
      </c>
      <c r="F4439" t="s">
        <v>41</v>
      </c>
      <c r="G4439">
        <v>-417.08109999999999</v>
      </c>
      <c r="H4439">
        <v>1.026877</v>
      </c>
      <c r="I4439">
        <v>35.841729999999998</v>
      </c>
      <c r="J4439">
        <v>-417.76170000000002</v>
      </c>
      <c r="K4439">
        <v>1.1221559999999999</v>
      </c>
      <c r="L4439">
        <v>36.162990000000001</v>
      </c>
      <c r="M4439">
        <v>0.44941730000000002</v>
      </c>
      <c r="N4439">
        <v>-1.585344E-2</v>
      </c>
      <c r="O4439">
        <v>-0.89318140000000001</v>
      </c>
      <c r="P4439">
        <v>0.61161709999999903</v>
      </c>
      <c r="Q4439">
        <v>0.41563030000000001</v>
      </c>
      <c r="R4439">
        <v>-0.67318389999999995</v>
      </c>
      <c r="S4439">
        <v>2.827728</v>
      </c>
      <c r="T4439">
        <v>-0.32138349999999999</v>
      </c>
      <c r="U4439">
        <v>-2.0974729999999999</v>
      </c>
      <c r="V4439">
        <v>-0.25539770000000001</v>
      </c>
      <c r="W4439">
        <v>0.42266130000000002</v>
      </c>
      <c r="X4439">
        <v>0.86955709999999997</v>
      </c>
      <c r="Y4439">
        <v>-0.44670260000000001</v>
      </c>
      <c r="Z4439">
        <v>7.8461630000000004E-2</v>
      </c>
      <c r="AA4439">
        <v>0.89123539999999901</v>
      </c>
      <c r="AB4439">
        <v>37</v>
      </c>
      <c r="AC4439">
        <v>0.68060000000002596</v>
      </c>
      <c r="AD4439">
        <v>-9.5278999999999794E-2</v>
      </c>
      <c r="AE4439">
        <v>-0.32126000000000199</v>
      </c>
      <c r="AF4439">
        <v>-0.456265095013345</v>
      </c>
      <c r="AG4439">
        <v>-9.5278999999999794E-2</v>
      </c>
      <c r="AH4439">
        <v>0.58353892306010502</v>
      </c>
      <c r="AI4439">
        <v>97.329527950224005</v>
      </c>
      <c r="AJ4439">
        <v>128.021608875872</v>
      </c>
      <c r="AK4439">
        <v>0.74684241945318297</v>
      </c>
      <c r="AL4439">
        <v>64.997280606100304</v>
      </c>
      <c r="AM4439">
        <v>106.368046201962</v>
      </c>
      <c r="AN4439">
        <v>1.0000000549216901</v>
      </c>
    </row>
    <row r="4440" spans="1:40" x14ac:dyDescent="0.25">
      <c r="A4440" t="str">
        <f>"20190304164734805"</f>
        <v>20190304164734805</v>
      </c>
      <c r="B4440" t="str">
        <f>"1551689254793299"</f>
        <v>1551689254793299</v>
      </c>
      <c r="C4440" t="s">
        <v>40</v>
      </c>
      <c r="D4440">
        <v>4.9033230000000003</v>
      </c>
      <c r="E4440">
        <v>0.42059459999999999</v>
      </c>
      <c r="F4440" t="s">
        <v>41</v>
      </c>
      <c r="G4440">
        <v>-416.94260000000003</v>
      </c>
      <c r="H4440">
        <v>1.018443</v>
      </c>
      <c r="I4440">
        <v>35.549849999999999</v>
      </c>
      <c r="J4440">
        <v>-417.59210000000002</v>
      </c>
      <c r="K4440">
        <v>1.1222700000000001</v>
      </c>
      <c r="L4440">
        <v>35.847200000000001</v>
      </c>
      <c r="M4440">
        <v>0.45977289999999998</v>
      </c>
      <c r="N4440">
        <v>-1.587539E-2</v>
      </c>
      <c r="O4440">
        <v>-0.88789459999999998</v>
      </c>
      <c r="P4440">
        <v>0.61889719999999904</v>
      </c>
      <c r="Q4440">
        <v>0.41595339999999997</v>
      </c>
      <c r="R4440">
        <v>-0.66629519999999998</v>
      </c>
      <c r="S4440">
        <v>2.8226930000000001</v>
      </c>
      <c r="T4440">
        <v>-0.35735090000000003</v>
      </c>
      <c r="U4440">
        <v>-2.112549</v>
      </c>
      <c r="V4440">
        <v>-0.25496010000000002</v>
      </c>
      <c r="W4440">
        <v>0.42294300000000001</v>
      </c>
      <c r="X4440">
        <v>0.8695484</v>
      </c>
      <c r="Y4440">
        <v>-0.43172290000000002</v>
      </c>
      <c r="Z4440">
        <v>8.7769689999999997E-2</v>
      </c>
      <c r="AA4440">
        <v>0.89772589999999997</v>
      </c>
      <c r="AB4440">
        <v>37</v>
      </c>
      <c r="AC4440">
        <v>0.64949999999998898</v>
      </c>
      <c r="AD4440">
        <v>-0.103827</v>
      </c>
      <c r="AE4440">
        <v>-0.297350000000001</v>
      </c>
      <c r="AF4440">
        <v>-0.43092567754115602</v>
      </c>
      <c r="AG4440">
        <v>-0.103827</v>
      </c>
      <c r="AH4440">
        <v>0.55106689063176495</v>
      </c>
      <c r="AI4440">
        <v>98.442180588255397</v>
      </c>
      <c r="AJ4440">
        <v>128.02485063268401</v>
      </c>
      <c r="AK4440">
        <v>0.70721404358501405</v>
      </c>
      <c r="AL4440">
        <v>64.979466734234805</v>
      </c>
      <c r="AM4440">
        <v>106.341653402086</v>
      </c>
      <c r="AN4440">
        <v>0.99999992689178197</v>
      </c>
    </row>
    <row r="4441" spans="1:40" x14ac:dyDescent="0.25">
      <c r="A4441" t="str">
        <f>"20190304164734828"</f>
        <v>20190304164734828</v>
      </c>
      <c r="B4441" t="str">
        <f>"1551689254823555"</f>
        <v>1551689254823555</v>
      </c>
      <c r="C4441" t="s">
        <v>40</v>
      </c>
      <c r="D4441">
        <v>4.9918579999999997</v>
      </c>
      <c r="E4441">
        <v>0.4209155</v>
      </c>
      <c r="F4441" t="s">
        <v>41</v>
      </c>
      <c r="G4441">
        <v>-416.7955</v>
      </c>
      <c r="H4441">
        <v>1.022411</v>
      </c>
      <c r="I4441">
        <v>35.264309999999902</v>
      </c>
      <c r="J4441">
        <v>-417.4085</v>
      </c>
      <c r="K4441">
        <v>1.122417</v>
      </c>
      <c r="L4441">
        <v>35.515349999999998</v>
      </c>
      <c r="M4441">
        <v>0.47085559999999999</v>
      </c>
      <c r="N4441">
        <v>-1.590097E-2</v>
      </c>
      <c r="O4441">
        <v>-0.88206709999999999</v>
      </c>
      <c r="P4441">
        <v>0.62586239999999904</v>
      </c>
      <c r="Q4441">
        <v>0.41674280000000002</v>
      </c>
      <c r="R4441">
        <v>-0.65925849999999997</v>
      </c>
      <c r="S4441">
        <v>2.8457029999999999</v>
      </c>
      <c r="T4441">
        <v>-0.35667559999999998</v>
      </c>
      <c r="U4441">
        <v>-2.0818789999999998</v>
      </c>
      <c r="V4441">
        <v>-0.25359219999999999</v>
      </c>
      <c r="W4441">
        <v>0.42371199999999998</v>
      </c>
      <c r="X4441">
        <v>0.86957410000000002</v>
      </c>
      <c r="Y4441">
        <v>-0.43022860000000002</v>
      </c>
      <c r="Z4441">
        <v>8.7308410000000003E-2</v>
      </c>
      <c r="AA4441">
        <v>0.89848799999999995</v>
      </c>
      <c r="AB4441">
        <v>37</v>
      </c>
      <c r="AC4441">
        <v>0.61299999999999899</v>
      </c>
      <c r="AD4441">
        <v>-0.100006</v>
      </c>
      <c r="AE4441">
        <v>-0.25104000000000298</v>
      </c>
      <c r="AF4441">
        <v>-0.41314034821066198</v>
      </c>
      <c r="AG4441">
        <v>-0.100006</v>
      </c>
      <c r="AH4441">
        <v>0.49876486458229902</v>
      </c>
      <c r="AI4441">
        <v>98.777914458860593</v>
      </c>
      <c r="AJ4441">
        <v>129.63586629324601</v>
      </c>
      <c r="AK4441">
        <v>0.65532628323410502</v>
      </c>
      <c r="AL4441">
        <v>64.930835297745304</v>
      </c>
      <c r="AM4441">
        <v>106.258165634606</v>
      </c>
      <c r="AN4441">
        <v>0.99999998911782395</v>
      </c>
    </row>
    <row r="4442" spans="1:40" x14ac:dyDescent="0.25">
      <c r="A4442" t="str">
        <f>"20190304164734850"</f>
        <v>20190304164734850</v>
      </c>
      <c r="B4442" t="str">
        <f>"1551689254844051"</f>
        <v>1551689254844051</v>
      </c>
      <c r="C4442" t="s">
        <v>40</v>
      </c>
      <c r="D4442">
        <v>4.9848559999999997</v>
      </c>
      <c r="E4442">
        <v>0.42172130000000002</v>
      </c>
      <c r="F4442" t="s">
        <v>41</v>
      </c>
      <c r="G4442">
        <v>-416.60899999999998</v>
      </c>
      <c r="H4442">
        <v>1.024286</v>
      </c>
      <c r="I4442">
        <v>34.945140000000002</v>
      </c>
      <c r="J4442">
        <v>-417.22989999999999</v>
      </c>
      <c r="K4442">
        <v>1.122565</v>
      </c>
      <c r="L4442">
        <v>35.201809999999902</v>
      </c>
      <c r="M4442">
        <v>0.48152620000000002</v>
      </c>
      <c r="N4442">
        <v>-1.59282E-2</v>
      </c>
      <c r="O4442">
        <v>-0.87628700000000004</v>
      </c>
      <c r="P4442">
        <v>0.63221260000000001</v>
      </c>
      <c r="Q4442">
        <v>0.41903649999999998</v>
      </c>
      <c r="R4442">
        <v>-0.65170269999999997</v>
      </c>
      <c r="S4442">
        <v>2.8709720000000001</v>
      </c>
      <c r="T4442">
        <v>-0.3523985</v>
      </c>
      <c r="U4442">
        <v>-2.0477599999999998</v>
      </c>
      <c r="V4442">
        <v>-0.25235249999999998</v>
      </c>
      <c r="W4442">
        <v>0.4259713</v>
      </c>
      <c r="X4442">
        <v>0.86883060000000001</v>
      </c>
      <c r="Y4442">
        <v>-0.4302067</v>
      </c>
      <c r="Z4442">
        <v>8.5884730000000006E-2</v>
      </c>
      <c r="AA4442">
        <v>0.89863559999999998</v>
      </c>
      <c r="AB4442">
        <v>37</v>
      </c>
      <c r="AC4442">
        <v>0.62089999999994905</v>
      </c>
      <c r="AD4442">
        <v>-9.8278999999999894E-2</v>
      </c>
      <c r="AE4442">
        <v>-0.25666999999999202</v>
      </c>
      <c r="AF4442">
        <v>-0.41173646022691102</v>
      </c>
      <c r="AG4442">
        <v>-9.8278999999999894E-2</v>
      </c>
      <c r="AH4442">
        <v>0.51298601861134896</v>
      </c>
      <c r="AI4442">
        <v>98.497641673447006</v>
      </c>
      <c r="AJ4442">
        <v>128.751470883135</v>
      </c>
      <c r="AK4442">
        <v>0.66508670849138896</v>
      </c>
      <c r="AL4442">
        <v>64.787840213634894</v>
      </c>
      <c r="AM4442">
        <v>106.195978771797</v>
      </c>
      <c r="AN4442">
        <v>0.99999997208814895</v>
      </c>
    </row>
    <row r="4443" spans="1:40" x14ac:dyDescent="0.25">
      <c r="A4443" t="str">
        <f>"20190304164734871"</f>
        <v>20190304164734871</v>
      </c>
      <c r="B4443" t="str">
        <f>"1551689254863573"</f>
        <v>1551689254863573</v>
      </c>
      <c r="C4443" t="s">
        <v>40</v>
      </c>
      <c r="D4443">
        <v>5.0009959999999998</v>
      </c>
      <c r="E4443">
        <v>0.42265009999999997</v>
      </c>
      <c r="F4443" t="s">
        <v>53</v>
      </c>
      <c r="G4443">
        <v>-407.80079999999998</v>
      </c>
      <c r="H4443" s="1">
        <v>-4.0055370000000004E-6</v>
      </c>
      <c r="I4443">
        <v>28.623439999999999</v>
      </c>
      <c r="J4443">
        <v>-417.0575</v>
      </c>
      <c r="K4443">
        <v>1.1227119999999999</v>
      </c>
      <c r="L4443">
        <v>34.907589999999999</v>
      </c>
      <c r="M4443">
        <v>0.49172399999999999</v>
      </c>
      <c r="N4443">
        <v>-1.595601E-2</v>
      </c>
      <c r="O4443">
        <v>-0.87060509999999902</v>
      </c>
      <c r="P4443">
        <v>0.6396598</v>
      </c>
      <c r="Q4443">
        <v>0.42062569999999999</v>
      </c>
      <c r="R4443">
        <v>-0.64335810000000004</v>
      </c>
      <c r="S4443">
        <v>2.8929749999999999</v>
      </c>
      <c r="T4443">
        <v>-0.34441519999999998</v>
      </c>
      <c r="U4443">
        <v>-2.0183110000000002</v>
      </c>
      <c r="V4443">
        <v>-0.2528897</v>
      </c>
      <c r="W4443">
        <v>0.42747590000000002</v>
      </c>
      <c r="X4443">
        <v>0.86793500000000001</v>
      </c>
      <c r="Y4443">
        <v>-0.42923020000000001</v>
      </c>
      <c r="Z4443">
        <v>8.3399329999999994E-2</v>
      </c>
      <c r="AA4443">
        <v>0.89933639999999904</v>
      </c>
      <c r="AB4443">
        <v>37</v>
      </c>
      <c r="AC4443">
        <v>9.2567000000000199</v>
      </c>
      <c r="AD4443">
        <v>-1.122716005537</v>
      </c>
      <c r="AE4443">
        <v>-6.2841499999999897</v>
      </c>
      <c r="AF4443">
        <v>-4.9199523971139696</v>
      </c>
      <c r="AG4443">
        <v>-1.122716005537</v>
      </c>
      <c r="AH4443">
        <v>9.9240967025745306</v>
      </c>
      <c r="AI4443">
        <v>95.787631666623199</v>
      </c>
      <c r="AJ4443">
        <v>116.370292050701</v>
      </c>
      <c r="AK4443">
        <v>11.1334683805635</v>
      </c>
      <c r="AL4443">
        <v>64.692519388838505</v>
      </c>
      <c r="AM4443">
        <v>106.244506636087</v>
      </c>
      <c r="AN4443">
        <v>1.0000000048359401</v>
      </c>
    </row>
    <row r="4444" spans="1:40" x14ac:dyDescent="0.25">
      <c r="A4444" t="str">
        <f>"20190304164734893"</f>
        <v>20190304164734893</v>
      </c>
      <c r="B4444" t="str">
        <f>"1551689254884066"</f>
        <v>1551689254884066</v>
      </c>
      <c r="C4444" t="s">
        <v>40</v>
      </c>
      <c r="D4444">
        <v>4.9954260000000001</v>
      </c>
      <c r="E4444">
        <v>0.423624</v>
      </c>
      <c r="F4444" t="s">
        <v>53</v>
      </c>
      <c r="G4444">
        <v>-407.49810000000002</v>
      </c>
      <c r="H4444" s="1">
        <v>-4.114227E-6</v>
      </c>
      <c r="I4444">
        <v>28.37847</v>
      </c>
      <c r="J4444">
        <v>-416.87740000000002</v>
      </c>
      <c r="K4444">
        <v>1.1228469999999999</v>
      </c>
      <c r="L4444">
        <v>34.608550000000001</v>
      </c>
      <c r="M4444">
        <v>0.50225819999999999</v>
      </c>
      <c r="N4444">
        <v>-1.598567E-2</v>
      </c>
      <c r="O4444">
        <v>-0.86457009999999901</v>
      </c>
      <c r="P4444">
        <v>0.64934219999999998</v>
      </c>
      <c r="Q4444">
        <v>0.42075790000000002</v>
      </c>
      <c r="R4444">
        <v>-0.63349659999999997</v>
      </c>
      <c r="S4444">
        <v>2.9135439999999999</v>
      </c>
      <c r="T4444">
        <v>-0.34218379999999998</v>
      </c>
      <c r="U4444">
        <v>-1.98996</v>
      </c>
      <c r="V4444">
        <v>-0.25572590000000001</v>
      </c>
      <c r="W4444">
        <v>0.42745650000000002</v>
      </c>
      <c r="X4444">
        <v>0.86711319999999903</v>
      </c>
      <c r="Y4444">
        <v>-0.42726429999999999</v>
      </c>
      <c r="Z4444">
        <v>8.2458710000000005E-2</v>
      </c>
      <c r="AA4444">
        <v>0.90035869999999996</v>
      </c>
      <c r="AB4444">
        <v>36</v>
      </c>
      <c r="AC4444">
        <v>9.3793000000000006</v>
      </c>
      <c r="AD4444">
        <v>-1.1228511142269999</v>
      </c>
      <c r="AE4444">
        <v>-6.2300800000000001</v>
      </c>
      <c r="AF4444">
        <v>-4.93154825627657</v>
      </c>
      <c r="AG4444">
        <v>-1.1228511142269999</v>
      </c>
      <c r="AH4444">
        <v>9.9990263804115003</v>
      </c>
      <c r="AI4444">
        <v>95.751035850785996</v>
      </c>
      <c r="AJ4444">
        <v>116.252646235169</v>
      </c>
      <c r="AK4444">
        <v>11.2054224099259</v>
      </c>
      <c r="AL4444">
        <v>64.693750105850498</v>
      </c>
      <c r="AM4444">
        <v>106.43165246645999</v>
      </c>
      <c r="AN4444">
        <v>1.00000004846864</v>
      </c>
    </row>
    <row r="4445" spans="1:40" x14ac:dyDescent="0.25">
      <c r="A4445" t="str">
        <f>"20190304164734918"</f>
        <v>20190304164734918</v>
      </c>
      <c r="B4445" t="str">
        <f>"1551689254913346"</f>
        <v>1551689254913346</v>
      </c>
      <c r="C4445" t="s">
        <v>40</v>
      </c>
      <c r="D4445">
        <v>5.0093809999999896</v>
      </c>
      <c r="E4445">
        <v>0.4249058</v>
      </c>
      <c r="F4445" t="s">
        <v>53</v>
      </c>
      <c r="G4445">
        <v>-407.4452</v>
      </c>
      <c r="H4445" s="1">
        <v>-4.1301940000000001E-6</v>
      </c>
      <c r="I4445">
        <v>28.318629999999999</v>
      </c>
      <c r="J4445">
        <v>-416.67770000000002</v>
      </c>
      <c r="K4445">
        <v>1.1229750000000001</v>
      </c>
      <c r="L4445">
        <v>34.287230000000001</v>
      </c>
      <c r="M4445">
        <v>0.51376829999999996</v>
      </c>
      <c r="N4445">
        <v>-1.601766E-2</v>
      </c>
      <c r="O4445">
        <v>-0.85777959999999998</v>
      </c>
      <c r="P4445">
        <v>0.66018469999999996</v>
      </c>
      <c r="Q4445">
        <v>0.4191262</v>
      </c>
      <c r="R4445">
        <v>-0.62328939999999999</v>
      </c>
      <c r="S4445">
        <v>2.9362180000000002</v>
      </c>
      <c r="T4445">
        <v>-0.3495413</v>
      </c>
      <c r="U4445">
        <v>-1.9580379999999999</v>
      </c>
      <c r="V4445">
        <v>-0.25866689999999998</v>
      </c>
      <c r="W4445">
        <v>0.42568309999999998</v>
      </c>
      <c r="X4445">
        <v>0.86711319999999903</v>
      </c>
      <c r="Y4445">
        <v>-0.42503360000000001</v>
      </c>
      <c r="Z4445">
        <v>8.4087449999999994E-2</v>
      </c>
      <c r="AA4445">
        <v>0.90126340000000005</v>
      </c>
      <c r="AB4445">
        <v>36</v>
      </c>
      <c r="AC4445">
        <v>9.2325000000000106</v>
      </c>
      <c r="AD4445">
        <v>-1.122979130194</v>
      </c>
      <c r="AE4445">
        <v>-5.9686000000000003</v>
      </c>
      <c r="AF4445">
        <v>-4.8034754234446302</v>
      </c>
      <c r="AG4445">
        <v>-1.122979130194</v>
      </c>
      <c r="AH4445">
        <v>9.7625116625322992</v>
      </c>
      <c r="AI4445">
        <v>95.892777577998601</v>
      </c>
      <c r="AJ4445">
        <v>116.198696605905</v>
      </c>
      <c r="AK4445">
        <v>10.938057059257201</v>
      </c>
      <c r="AL4445">
        <v>64.806090498129805</v>
      </c>
      <c r="AM4445">
        <v>106.61026879415</v>
      </c>
      <c r="AN4445">
        <v>0.99999998419772895</v>
      </c>
    </row>
    <row r="4446" spans="1:40" x14ac:dyDescent="0.25">
      <c r="A4446" t="str">
        <f>"20190304164734939"</f>
        <v>20190304164734939</v>
      </c>
      <c r="B4446" t="str">
        <f>"1551689254933842"</f>
        <v>1551689254933842</v>
      </c>
      <c r="C4446" t="s">
        <v>40</v>
      </c>
      <c r="D4446">
        <v>5.0222160000000002</v>
      </c>
      <c r="E4446">
        <v>0.42536249999999998</v>
      </c>
      <c r="F4446" t="s">
        <v>41</v>
      </c>
      <c r="G4446">
        <v>-415.75380000000001</v>
      </c>
      <c r="H4446">
        <v>1.0089790000000001</v>
      </c>
      <c r="I4446">
        <v>33.686779999999999</v>
      </c>
      <c r="J4446">
        <v>-416.48509999999999</v>
      </c>
      <c r="K4446">
        <v>1.1230659999999999</v>
      </c>
      <c r="L4446">
        <v>33.98639</v>
      </c>
      <c r="M4446">
        <v>0.52468239999999999</v>
      </c>
      <c r="N4446">
        <v>-1.6045070000000002E-2</v>
      </c>
      <c r="O4446">
        <v>-0.85114699999999999</v>
      </c>
      <c r="P4446">
        <v>0.67114980000000002</v>
      </c>
      <c r="Q4446">
        <v>0.41616710000000001</v>
      </c>
      <c r="R4446">
        <v>-0.61348480000000005</v>
      </c>
      <c r="S4446">
        <v>2.9605709999999998</v>
      </c>
      <c r="T4446">
        <v>-0.36515389999999998</v>
      </c>
      <c r="U4446">
        <v>-1.9229130000000001</v>
      </c>
      <c r="V4446">
        <v>-0.26199420000000001</v>
      </c>
      <c r="W4446">
        <v>0.4225874</v>
      </c>
      <c r="X4446">
        <v>0.86762830000000002</v>
      </c>
      <c r="Y4446">
        <v>-0.42404960000000003</v>
      </c>
      <c r="Z4446">
        <v>8.7973380000000004E-2</v>
      </c>
      <c r="AA4446">
        <v>0.90135600000000005</v>
      </c>
      <c r="AB4446">
        <v>36</v>
      </c>
      <c r="AC4446">
        <v>0.73129999999997597</v>
      </c>
      <c r="AD4446">
        <v>-0.11408699999999899</v>
      </c>
      <c r="AE4446">
        <v>-0.29961000000000099</v>
      </c>
      <c r="AF4446">
        <v>-0.45580465094704897</v>
      </c>
      <c r="AG4446">
        <v>-0.11408699999999899</v>
      </c>
      <c r="AH4446">
        <v>0.62575393125677603</v>
      </c>
      <c r="AI4446">
        <v>98.383252673837006</v>
      </c>
      <c r="AJ4446">
        <v>126.069923032555</v>
      </c>
      <c r="AK4446">
        <v>0.78252265518467301</v>
      </c>
      <c r="AL4446">
        <v>65.001950207366704</v>
      </c>
      <c r="AM4446">
        <v>106.802528037625</v>
      </c>
      <c r="AN4446">
        <v>0.99999996921664402</v>
      </c>
    </row>
    <row r="4447" spans="1:40" x14ac:dyDescent="0.25">
      <c r="A4447" t="str">
        <f>"20190304164734962"</f>
        <v>20190304164734962</v>
      </c>
      <c r="B4447" t="str">
        <f>"1551689254953362"</f>
        <v>1551689254953362</v>
      </c>
      <c r="C4447" t="s">
        <v>40</v>
      </c>
      <c r="D4447">
        <v>5.0205849999999996</v>
      </c>
      <c r="E4447">
        <v>0.43576559999999998</v>
      </c>
      <c r="F4447" t="s">
        <v>41</v>
      </c>
      <c r="G4447">
        <v>-415.5847</v>
      </c>
      <c r="H4447">
        <v>1.0084070000000001</v>
      </c>
      <c r="I4447">
        <v>33.419440000000002</v>
      </c>
      <c r="J4447">
        <v>-416.28590000000003</v>
      </c>
      <c r="K4447">
        <v>1.1231420000000001</v>
      </c>
      <c r="L4447">
        <v>33.683689999999999</v>
      </c>
      <c r="M4447">
        <v>0.53577540000000001</v>
      </c>
      <c r="N4447">
        <v>-1.606873E-2</v>
      </c>
      <c r="O4447">
        <v>-0.84420769999999901</v>
      </c>
      <c r="P4447">
        <v>0.68197600000000003</v>
      </c>
      <c r="Q4447">
        <v>0.41379929999999898</v>
      </c>
      <c r="R4447">
        <v>-0.60305830000000005</v>
      </c>
      <c r="S4447">
        <v>2.9869690000000002</v>
      </c>
      <c r="T4447">
        <v>-0.38031300000000001</v>
      </c>
      <c r="U4447">
        <v>-1.8804019999999999</v>
      </c>
      <c r="V4447">
        <v>-0.26528639999999998</v>
      </c>
      <c r="W4447">
        <v>0.42008570000000001</v>
      </c>
      <c r="X4447">
        <v>0.86784280000000003</v>
      </c>
      <c r="Y4447">
        <v>-0.42462810000000001</v>
      </c>
      <c r="Z4447">
        <v>9.1780219999999996E-2</v>
      </c>
      <c r="AA4447">
        <v>0.90070380000000005</v>
      </c>
      <c r="AB4447">
        <v>36</v>
      </c>
      <c r="AC4447">
        <v>0.70120000000002802</v>
      </c>
      <c r="AD4447">
        <v>-0.114735</v>
      </c>
      <c r="AE4447">
        <v>-0.26425000000000398</v>
      </c>
      <c r="AF4447">
        <v>-0.440119680582924</v>
      </c>
      <c r="AG4447">
        <v>-0.114735</v>
      </c>
      <c r="AH4447">
        <v>0.58512706102532297</v>
      </c>
      <c r="AI4447">
        <v>98.906078717456495</v>
      </c>
      <c r="AJ4447">
        <v>126.949678548479</v>
      </c>
      <c r="AK4447">
        <v>0.74110939206405102</v>
      </c>
      <c r="AL4447">
        <v>65.160001725952597</v>
      </c>
      <c r="AM4447">
        <v>106.997598722365</v>
      </c>
      <c r="AN4447">
        <v>0.99999999744064405</v>
      </c>
    </row>
    <row r="4448" spans="1:40" x14ac:dyDescent="0.25">
      <c r="A4448" t="str">
        <f>"20190304164734983"</f>
        <v>20190304164734983</v>
      </c>
      <c r="B4448" t="str">
        <f>"1551689254973862"</f>
        <v>1551689254973862</v>
      </c>
      <c r="C4448" t="s">
        <v>40</v>
      </c>
      <c r="D4448">
        <v>5.0282689999999999</v>
      </c>
      <c r="E4448">
        <v>0.43550149999999999</v>
      </c>
      <c r="F4448" t="s">
        <v>41</v>
      </c>
      <c r="G4448">
        <v>-415.4117</v>
      </c>
      <c r="H4448">
        <v>0.99345039999999996</v>
      </c>
      <c r="I4448">
        <v>33.122570000000003</v>
      </c>
      <c r="J4448">
        <v>-416.09960000000001</v>
      </c>
      <c r="K4448">
        <v>1.123205</v>
      </c>
      <c r="L4448">
        <v>33.408290000000001</v>
      </c>
      <c r="M4448">
        <v>0.54594889999999996</v>
      </c>
      <c r="N4448">
        <v>-1.608658E-2</v>
      </c>
      <c r="O4448">
        <v>-0.83766390000000002</v>
      </c>
      <c r="P4448">
        <v>0.69278660000000003</v>
      </c>
      <c r="Q4448">
        <v>0.4110798</v>
      </c>
      <c r="R4448">
        <v>-0.59250309999999995</v>
      </c>
      <c r="S4448">
        <v>2.9772949999999998</v>
      </c>
      <c r="T4448">
        <v>-0.44168829999999998</v>
      </c>
      <c r="U4448">
        <v>-1.9108579999999999</v>
      </c>
      <c r="V4448">
        <v>-0.26949889999999999</v>
      </c>
      <c r="W4448">
        <v>0.41721079999999999</v>
      </c>
      <c r="X4448">
        <v>0.86793180000000003</v>
      </c>
      <c r="Y4448">
        <v>-0.40421099999999999</v>
      </c>
      <c r="Z4448">
        <v>0.10672130000000001</v>
      </c>
      <c r="AA4448">
        <v>0.90841839999999996</v>
      </c>
      <c r="AB4448">
        <v>36</v>
      </c>
      <c r="AC4448">
        <v>0.68790000000001295</v>
      </c>
      <c r="AD4448">
        <v>-0.129754599999999</v>
      </c>
      <c r="AE4448">
        <v>-0.28571999999999698</v>
      </c>
      <c r="AF4448">
        <v>-0.40791698489253497</v>
      </c>
      <c r="AG4448">
        <v>-0.129754599999999</v>
      </c>
      <c r="AH4448">
        <v>0.59686385247079898</v>
      </c>
      <c r="AI4448">
        <v>100.175209764844</v>
      </c>
      <c r="AJ4448">
        <v>124.35002477506001</v>
      </c>
      <c r="AK4448">
        <v>0.73449232887162297</v>
      </c>
      <c r="AL4448">
        <v>65.341383105664207</v>
      </c>
      <c r="AM4448">
        <v>107.249934532075</v>
      </c>
      <c r="AN4448">
        <v>1.0000000590945399</v>
      </c>
    </row>
    <row r="4449" spans="1:40" x14ac:dyDescent="0.25">
      <c r="A4449" t="str">
        <f>"20190304164735007"</f>
        <v>20190304164735007</v>
      </c>
      <c r="B4449" t="str">
        <f>"1551689255004115"</f>
        <v>1551689255004115</v>
      </c>
      <c r="C4449" t="s">
        <v>40</v>
      </c>
      <c r="D4449">
        <v>5.0603220000000002</v>
      </c>
      <c r="E4449">
        <v>0.43666549999999998</v>
      </c>
      <c r="F4449" t="s">
        <v>41</v>
      </c>
      <c r="G4449">
        <v>-415.21969999999999</v>
      </c>
      <c r="H4449">
        <v>0.98740810000000001</v>
      </c>
      <c r="I4449">
        <v>32.862310000000001</v>
      </c>
      <c r="J4449">
        <v>-415.89690000000002</v>
      </c>
      <c r="K4449">
        <v>1.123256</v>
      </c>
      <c r="L4449">
        <v>33.116609999999902</v>
      </c>
      <c r="M4449">
        <v>0.55679279999999998</v>
      </c>
      <c r="N4449">
        <v>-1.6102089999999999E-2</v>
      </c>
      <c r="O4449">
        <v>-0.83049539999999999</v>
      </c>
      <c r="P4449">
        <v>0.70337280000000002</v>
      </c>
      <c r="Q4449">
        <v>0.40896100000000002</v>
      </c>
      <c r="R4449">
        <v>-0.58139269999999998</v>
      </c>
      <c r="S4449">
        <v>3.0087890000000002</v>
      </c>
      <c r="T4449">
        <v>-0.46439459999999999</v>
      </c>
      <c r="U4449">
        <v>-1.86734</v>
      </c>
      <c r="V4449">
        <v>-0.27308519999999997</v>
      </c>
      <c r="W4449">
        <v>0.41495599999999999</v>
      </c>
      <c r="X4449">
        <v>0.86789169999999904</v>
      </c>
      <c r="Y4449">
        <v>-0.40545809999999999</v>
      </c>
      <c r="Z4449">
        <v>0.1121839</v>
      </c>
      <c r="AA4449">
        <v>0.90720369999999995</v>
      </c>
      <c r="AB4449">
        <v>36</v>
      </c>
      <c r="AC4449">
        <v>0.677200000000027</v>
      </c>
      <c r="AD4449">
        <v>-0.13584789999999999</v>
      </c>
      <c r="AE4449">
        <v>-0.25429999999999298</v>
      </c>
      <c r="AF4449">
        <v>-0.40653589113393601</v>
      </c>
      <c r="AG4449">
        <v>-0.13584789999999999</v>
      </c>
      <c r="AH4449">
        <v>0.56828886935412903</v>
      </c>
      <c r="AI4449">
        <v>101.002254950067</v>
      </c>
      <c r="AJ4449">
        <v>125.57873234155799</v>
      </c>
      <c r="AK4449">
        <v>0.71181340374164703</v>
      </c>
      <c r="AL4449">
        <v>65.483454523187902</v>
      </c>
      <c r="AM4449">
        <v>107.466366976183</v>
      </c>
      <c r="AN4449">
        <v>1.00000000566196</v>
      </c>
    </row>
    <row r="4450" spans="1:40" x14ac:dyDescent="0.25">
      <c r="A4450" t="str">
        <f>"20190304164735029"</f>
        <v>20190304164735029</v>
      </c>
      <c r="B4450" t="str">
        <f>"1551689255023635"</f>
        <v>1551689255023635</v>
      </c>
      <c r="C4450" t="s">
        <v>40</v>
      </c>
      <c r="D4450">
        <v>4.9929209999999999</v>
      </c>
      <c r="E4450">
        <v>0.4369306</v>
      </c>
      <c r="F4450" t="s">
        <v>53</v>
      </c>
      <c r="G4450">
        <v>-408.78320000000002</v>
      </c>
      <c r="H4450" s="1">
        <v>-3.5458739999999999E-6</v>
      </c>
      <c r="I4450">
        <v>28.818480000000001</v>
      </c>
      <c r="J4450">
        <v>-415.67759999999998</v>
      </c>
      <c r="K4450">
        <v>1.123297</v>
      </c>
      <c r="L4450">
        <v>32.809750000000001</v>
      </c>
      <c r="M4450">
        <v>0.56826189999999999</v>
      </c>
      <c r="N4450">
        <v>-1.6115239999999999E-2</v>
      </c>
      <c r="O4450">
        <v>-0.82269009999999998</v>
      </c>
      <c r="P4450">
        <v>0.7132174</v>
      </c>
      <c r="Q4450">
        <v>0.40715469999999998</v>
      </c>
      <c r="R4450">
        <v>-0.57056629999999997</v>
      </c>
      <c r="S4450">
        <v>3.0300600000000002</v>
      </c>
      <c r="T4450">
        <v>-0.4784505</v>
      </c>
      <c r="U4450">
        <v>-1.8307800000000001</v>
      </c>
      <c r="V4450">
        <v>-0.27517940000000002</v>
      </c>
      <c r="W4450">
        <v>0.41306569999999998</v>
      </c>
      <c r="X4450">
        <v>0.86813189999999996</v>
      </c>
      <c r="Y4450">
        <v>-0.40323429999999999</v>
      </c>
      <c r="Z4450">
        <v>0.115245</v>
      </c>
      <c r="AA4450">
        <v>0.90781089999999998</v>
      </c>
      <c r="AB4450">
        <v>36</v>
      </c>
      <c r="AC4450">
        <v>6.8943999999999601</v>
      </c>
      <c r="AD4450">
        <v>-1.123300545874</v>
      </c>
      <c r="AE4450">
        <v>-3.9912700000000001</v>
      </c>
      <c r="AF4450">
        <v>-3.3379428256554302</v>
      </c>
      <c r="AG4450">
        <v>-1.123300545874</v>
      </c>
      <c r="AH4450">
        <v>7.0619284733485204</v>
      </c>
      <c r="AI4450">
        <v>98.183538063646907</v>
      </c>
      <c r="AJ4450">
        <v>115.298571076808</v>
      </c>
      <c r="AK4450">
        <v>7.8914194025153597</v>
      </c>
      <c r="AL4450">
        <v>65.602436285046906</v>
      </c>
      <c r="AM4450">
        <v>107.587510850795</v>
      </c>
      <c r="AN4450">
        <v>0.99999998524922895</v>
      </c>
    </row>
    <row r="4451" spans="1:40" x14ac:dyDescent="0.25">
      <c r="A4451" t="str">
        <f>"20190304164735051"</f>
        <v>20190304164735051</v>
      </c>
      <c r="B4451" t="str">
        <f>"1551689255043158"</f>
        <v>1551689255043158</v>
      </c>
      <c r="C4451" t="s">
        <v>40</v>
      </c>
      <c r="D4451">
        <v>5.0902409999999998</v>
      </c>
      <c r="E4451">
        <v>0.4378669</v>
      </c>
      <c r="F4451" t="s">
        <v>53</v>
      </c>
      <c r="G4451">
        <v>-408.63799999999998</v>
      </c>
      <c r="H4451" s="1">
        <v>-3.597338E-6</v>
      </c>
      <c r="I4451">
        <v>28.697310000000002</v>
      </c>
      <c r="J4451">
        <v>-415.46839999999997</v>
      </c>
      <c r="K4451">
        <v>1.1233329999999999</v>
      </c>
      <c r="L4451">
        <v>32.525089999999999</v>
      </c>
      <c r="M4451">
        <v>0.57894809999999997</v>
      </c>
      <c r="N4451">
        <v>-1.6125009999999999E-2</v>
      </c>
      <c r="O4451">
        <v>-0.81520509999999902</v>
      </c>
      <c r="P4451">
        <v>0.72197900000000004</v>
      </c>
      <c r="Q4451">
        <v>0.40527020000000002</v>
      </c>
      <c r="R4451">
        <v>-0.56080529999999995</v>
      </c>
      <c r="S4451">
        <v>3.056305</v>
      </c>
      <c r="T4451">
        <v>-0.48769279999999998</v>
      </c>
      <c r="U4451">
        <v>-1.785461</v>
      </c>
      <c r="V4451">
        <v>-0.27652209999999899</v>
      </c>
      <c r="W4451">
        <v>0.41112890000000002</v>
      </c>
      <c r="X4451">
        <v>0.86862459999999997</v>
      </c>
      <c r="Y4451">
        <v>-0.40447100000000002</v>
      </c>
      <c r="Z4451">
        <v>0.1171832</v>
      </c>
      <c r="AA4451">
        <v>0.90701229999999999</v>
      </c>
      <c r="AB4451">
        <v>36</v>
      </c>
      <c r="AC4451">
        <v>6.8303999999999396</v>
      </c>
      <c r="AD4451">
        <v>-1.1233365973379901</v>
      </c>
      <c r="AE4451">
        <v>-3.8277800000000002</v>
      </c>
      <c r="AF4451">
        <v>-3.2849120573647701</v>
      </c>
      <c r="AG4451">
        <v>-1.1233365973379901</v>
      </c>
      <c r="AH4451">
        <v>6.9330861026513704</v>
      </c>
      <c r="AI4451">
        <v>98.330160467394606</v>
      </c>
      <c r="AJ4451">
        <v>115.351701221569</v>
      </c>
      <c r="AK4451">
        <v>7.7537226699384201</v>
      </c>
      <c r="AL4451">
        <v>65.724231525114504</v>
      </c>
      <c r="AM4451">
        <v>107.658602038876</v>
      </c>
      <c r="AN4451">
        <v>1.0000000699643801</v>
      </c>
    </row>
    <row r="4452" spans="1:40" x14ac:dyDescent="0.25">
      <c r="A4452" t="str">
        <f>"20190304164735072"</f>
        <v>20190304164735072</v>
      </c>
      <c r="B4452" t="str">
        <f>"1551689255063651"</f>
        <v>1551689255063651</v>
      </c>
      <c r="C4452" t="s">
        <v>40</v>
      </c>
      <c r="D4452">
        <v>5.0726620000000002</v>
      </c>
      <c r="E4452">
        <v>0.43870009999999998</v>
      </c>
      <c r="F4452" t="s">
        <v>53</v>
      </c>
      <c r="G4452">
        <v>-408.49279999999999</v>
      </c>
      <c r="H4452" s="1">
        <v>-3.6466860000000002E-6</v>
      </c>
      <c r="I4452">
        <v>28.564029999999999</v>
      </c>
      <c r="J4452">
        <v>-415.2681</v>
      </c>
      <c r="K4452">
        <v>1.1233519999999999</v>
      </c>
      <c r="L4452">
        <v>32.259830000000001</v>
      </c>
      <c r="M4452">
        <v>0.5889413</v>
      </c>
      <c r="N4452">
        <v>-1.6132190000000001E-2</v>
      </c>
      <c r="O4452">
        <v>-0.80801499999999904</v>
      </c>
      <c r="P4452">
        <v>0.73004820000000004</v>
      </c>
      <c r="Q4452">
        <v>0.40388629999999998</v>
      </c>
      <c r="R4452">
        <v>-0.55127630000000005</v>
      </c>
      <c r="S4452">
        <v>3.0763850000000001</v>
      </c>
      <c r="T4452">
        <v>-0.49541800000000003</v>
      </c>
      <c r="U4452">
        <v>-1.746918</v>
      </c>
      <c r="V4452">
        <v>-0.27784890000000001</v>
      </c>
      <c r="W4452">
        <v>0.40969349999999999</v>
      </c>
      <c r="X4452">
        <v>0.86887930000000002</v>
      </c>
      <c r="Y4452">
        <v>-0.40413480000000002</v>
      </c>
      <c r="Z4452">
        <v>0.1186845</v>
      </c>
      <c r="AA4452">
        <v>0.90696699999999997</v>
      </c>
      <c r="AB4452">
        <v>36</v>
      </c>
      <c r="AC4452">
        <v>6.7753000000000103</v>
      </c>
      <c r="AD4452">
        <v>-1.123355646686</v>
      </c>
      <c r="AE4452">
        <v>-3.6958000000000002</v>
      </c>
      <c r="AF4452">
        <v>-3.22993336394171</v>
      </c>
      <c r="AG4452">
        <v>-1.123355646686</v>
      </c>
      <c r="AH4452">
        <v>6.83266431407153</v>
      </c>
      <c r="AI4452">
        <v>98.454465154556303</v>
      </c>
      <c r="AJ4452">
        <v>115.301012606569</v>
      </c>
      <c r="AK4452">
        <v>7.6406609055258903</v>
      </c>
      <c r="AL4452">
        <v>65.814417762439305</v>
      </c>
      <c r="AM4452">
        <v>107.733157565196</v>
      </c>
      <c r="AN4452">
        <v>1.00000000657097</v>
      </c>
    </row>
    <row r="4453" spans="1:40" x14ac:dyDescent="0.25">
      <c r="A4453" t="str">
        <f>"20190304164735085"</f>
        <v>20190304164735085</v>
      </c>
      <c r="B4453" t="str">
        <f>"1551689255073411"</f>
        <v>1551689255073411</v>
      </c>
      <c r="C4453" t="s">
        <v>40</v>
      </c>
      <c r="D4453">
        <v>5.1001669999999999</v>
      </c>
      <c r="E4453">
        <v>0.43917230000000002</v>
      </c>
      <c r="F4453" t="s">
        <v>53</v>
      </c>
      <c r="G4453">
        <v>-408.32859999999999</v>
      </c>
      <c r="H4453" s="1">
        <v>-3.7038929999999998E-6</v>
      </c>
      <c r="I4453">
        <v>28.421189999999999</v>
      </c>
      <c r="J4453">
        <v>-415.14940000000001</v>
      </c>
      <c r="K4453">
        <v>1.1233629999999999</v>
      </c>
      <c r="L4453">
        <v>32.106450000000002</v>
      </c>
      <c r="M4453">
        <v>0.59474189999999905</v>
      </c>
      <c r="N4453">
        <v>-1.6135549999999999E-2</v>
      </c>
      <c r="O4453">
        <v>-0.80375490000000005</v>
      </c>
      <c r="P4453">
        <v>0.73451880000000003</v>
      </c>
      <c r="Q4453">
        <v>0.4033331</v>
      </c>
      <c r="R4453">
        <v>-0.54571499999999995</v>
      </c>
      <c r="S4453">
        <v>3.0940249999999998</v>
      </c>
      <c r="T4453">
        <v>-0.50085749999999996</v>
      </c>
      <c r="U4453">
        <v>-1.711487</v>
      </c>
      <c r="V4453">
        <v>-0.27844079999999999</v>
      </c>
      <c r="W4453">
        <v>0.40911609999999998</v>
      </c>
      <c r="X4453">
        <v>0.86896189999999995</v>
      </c>
      <c r="Y4453">
        <v>-0.40750629999999999</v>
      </c>
      <c r="Z4453">
        <v>0.120005</v>
      </c>
      <c r="AA4453">
        <v>0.90528299999999995</v>
      </c>
      <c r="AB4453">
        <v>36</v>
      </c>
      <c r="AC4453">
        <v>6.82080000000001</v>
      </c>
      <c r="AD4453">
        <v>-1.123366703893</v>
      </c>
      <c r="AE4453">
        <v>-3.68526</v>
      </c>
      <c r="AF4453">
        <v>-3.22322611545383</v>
      </c>
      <c r="AG4453">
        <v>-1.123366703893</v>
      </c>
      <c r="AH4453">
        <v>6.8752222800509601</v>
      </c>
      <c r="AI4453">
        <v>98.415425672973697</v>
      </c>
      <c r="AJ4453">
        <v>115.118016459412</v>
      </c>
      <c r="AK4453">
        <v>7.6759247483849196</v>
      </c>
      <c r="AL4453">
        <v>65.850678918903597</v>
      </c>
      <c r="AM4453">
        <v>107.766977952818</v>
      </c>
      <c r="AN4453">
        <v>1.0000000230177299</v>
      </c>
    </row>
    <row r="4454" spans="1:40" x14ac:dyDescent="0.25">
      <c r="A4454" t="str">
        <f>"20190304164735106"</f>
        <v>20190304164735106</v>
      </c>
      <c r="B4454" t="str">
        <f>"1551689255103666"</f>
        <v>1551689255103666</v>
      </c>
      <c r="C4454" t="s">
        <v>40</v>
      </c>
      <c r="D4454">
        <v>5.0518000000000001</v>
      </c>
      <c r="E4454">
        <v>0.44043909999999997</v>
      </c>
      <c r="F4454" t="s">
        <v>53</v>
      </c>
      <c r="G4454">
        <v>-408.21249999999998</v>
      </c>
      <c r="H4454" s="1">
        <v>-3.7458140000000002E-6</v>
      </c>
      <c r="I4454">
        <v>28.328510000000001</v>
      </c>
      <c r="J4454">
        <v>-414.94189999999998</v>
      </c>
      <c r="K4454">
        <v>1.1233740000000001</v>
      </c>
      <c r="L4454">
        <v>31.84262</v>
      </c>
      <c r="M4454">
        <v>0.60472199999999998</v>
      </c>
      <c r="N4454">
        <v>-1.6140209999999999E-2</v>
      </c>
      <c r="O4454">
        <v>-0.79627320000000001</v>
      </c>
      <c r="P4454">
        <v>0.74197409999999997</v>
      </c>
      <c r="Q4454">
        <v>0.40188970000000002</v>
      </c>
      <c r="R4454">
        <v>-0.5366185</v>
      </c>
      <c r="S4454">
        <v>3.1042480000000001</v>
      </c>
      <c r="T4454">
        <v>-0.50270269999999995</v>
      </c>
      <c r="U4454">
        <v>-1.6906129999999999</v>
      </c>
      <c r="V4454">
        <v>-0.27891690000000002</v>
      </c>
      <c r="W4454">
        <v>0.40765449999999998</v>
      </c>
      <c r="X4454">
        <v>0.86949589999999999</v>
      </c>
      <c r="Y4454">
        <v>-0.40207959999999998</v>
      </c>
      <c r="Z4454">
        <v>0.1196267</v>
      </c>
      <c r="AA4454">
        <v>0.90775629999999996</v>
      </c>
      <c r="AB4454">
        <v>36</v>
      </c>
      <c r="AC4454">
        <v>6.7293999999999903</v>
      </c>
      <c r="AD4454">
        <v>-1.123377745814</v>
      </c>
      <c r="AE4454">
        <v>-3.5141100000000001</v>
      </c>
      <c r="AF4454">
        <v>-3.1645104812693301</v>
      </c>
      <c r="AG4454">
        <v>-1.123377745814</v>
      </c>
      <c r="AH4454">
        <v>6.7213283407414899</v>
      </c>
      <c r="AI4454">
        <v>98.598821242304595</v>
      </c>
      <c r="AJ4454">
        <v>115.211817532212</v>
      </c>
      <c r="AK4454">
        <v>7.5134784760394604</v>
      </c>
      <c r="AL4454">
        <v>65.942420265295198</v>
      </c>
      <c r="AM4454">
        <v>107.78520221882999</v>
      </c>
      <c r="AN4454">
        <v>0.99999997429633403</v>
      </c>
    </row>
    <row r="4455" spans="1:40" x14ac:dyDescent="0.25">
      <c r="A4455" t="str">
        <f>"20190304164735123"</f>
        <v>20190304164735123</v>
      </c>
      <c r="B4455" t="str">
        <f>"1551689255113427"</f>
        <v>1551689255113427</v>
      </c>
      <c r="C4455" t="s">
        <v>40</v>
      </c>
      <c r="D4455">
        <v>5.0181589999999998</v>
      </c>
      <c r="E4455">
        <v>0.44061509999999998</v>
      </c>
      <c r="F4455" t="s">
        <v>53</v>
      </c>
      <c r="G4455">
        <v>-408.08760000000001</v>
      </c>
      <c r="H4455" s="1">
        <v>-3.7853840000000002E-6</v>
      </c>
      <c r="I4455">
        <v>28.197620000000001</v>
      </c>
      <c r="J4455">
        <v>-414.77809999999999</v>
      </c>
      <c r="K4455">
        <v>1.123381</v>
      </c>
      <c r="L4455">
        <v>31.639189999999999</v>
      </c>
      <c r="M4455">
        <v>0.61243389999999998</v>
      </c>
      <c r="N4455">
        <v>-1.6142989999999999E-2</v>
      </c>
      <c r="O4455">
        <v>-0.79035710000000003</v>
      </c>
      <c r="P4455">
        <v>0.74737379999999998</v>
      </c>
      <c r="Q4455">
        <v>0.40104000000000001</v>
      </c>
      <c r="R4455">
        <v>-0.52971639999999998</v>
      </c>
      <c r="S4455">
        <v>3.120209</v>
      </c>
      <c r="T4455">
        <v>-0.51138260000000002</v>
      </c>
      <c r="U4455">
        <v>-1.6592709999999999</v>
      </c>
      <c r="V4455">
        <v>-0.27887299999999998</v>
      </c>
      <c r="W4455">
        <v>0.40680440000000001</v>
      </c>
      <c r="X4455">
        <v>0.86990800000000001</v>
      </c>
      <c r="Y4455">
        <v>-0.4019587</v>
      </c>
      <c r="Z4455">
        <v>0.1213788</v>
      </c>
      <c r="AA4455">
        <v>0.90757719999999997</v>
      </c>
      <c r="AB4455">
        <v>36</v>
      </c>
      <c r="AC4455">
        <v>6.6904999999999797</v>
      </c>
      <c r="AD4455">
        <v>-1.123384785384</v>
      </c>
      <c r="AE4455">
        <v>-3.44157</v>
      </c>
      <c r="AF4455">
        <v>-3.11120337267015</v>
      </c>
      <c r="AG4455">
        <v>-1.123384785384</v>
      </c>
      <c r="AH4455">
        <v>6.6697514533377804</v>
      </c>
      <c r="AI4455">
        <v>98.678642783065499</v>
      </c>
      <c r="AJ4455">
        <v>115.00738864153899</v>
      </c>
      <c r="AK4455">
        <v>7.44494219261962</v>
      </c>
      <c r="AL4455">
        <v>65.995749052938507</v>
      </c>
      <c r="AM4455">
        <v>107.774685458202</v>
      </c>
      <c r="AN4455">
        <v>0.99999994922617796</v>
      </c>
    </row>
    <row r="4456" spans="1:40" x14ac:dyDescent="0.25">
      <c r="A4456" t="str">
        <f>"20190304164735142"</f>
        <v>20190304164735142</v>
      </c>
      <c r="B4456" t="str">
        <f>"1551689255133922"</f>
        <v>1551689255133922</v>
      </c>
      <c r="C4456" t="s">
        <v>40</v>
      </c>
      <c r="D4456">
        <v>5.0809839999999999</v>
      </c>
      <c r="E4456">
        <v>0.44167040000000002</v>
      </c>
      <c r="F4456" t="s">
        <v>53</v>
      </c>
      <c r="G4456">
        <v>-407.91860000000003</v>
      </c>
      <c r="H4456" s="1">
        <v>-3.8489520000000003E-6</v>
      </c>
      <c r="I4456">
        <v>28.076989999999999</v>
      </c>
      <c r="J4456">
        <v>-414.58530000000002</v>
      </c>
      <c r="K4456">
        <v>1.1233900000000001</v>
      </c>
      <c r="L4456">
        <v>31.404720000000001</v>
      </c>
      <c r="M4456">
        <v>0.62134149999999999</v>
      </c>
      <c r="N4456">
        <v>-1.61456E-2</v>
      </c>
      <c r="O4456">
        <v>-0.78337349999999994</v>
      </c>
      <c r="P4456">
        <v>0.75318419999999997</v>
      </c>
      <c r="Q4456">
        <v>0.39949099999999999</v>
      </c>
      <c r="R4456">
        <v>-0.5226094</v>
      </c>
      <c r="S4456">
        <v>3.135529</v>
      </c>
      <c r="T4456">
        <v>-0.51350450000000003</v>
      </c>
      <c r="U4456">
        <v>-1.628296</v>
      </c>
      <c r="V4456">
        <v>-0.27787260000000003</v>
      </c>
      <c r="W4456">
        <v>0.40529369999999998</v>
      </c>
      <c r="X4456">
        <v>0.87093279999999995</v>
      </c>
      <c r="Y4456">
        <v>-0.40045700000000001</v>
      </c>
      <c r="Z4456">
        <v>0.12127549999999999</v>
      </c>
      <c r="AA4456">
        <v>0.90825460000000002</v>
      </c>
      <c r="AB4456">
        <v>36</v>
      </c>
      <c r="AC4456">
        <v>6.6666999999999899</v>
      </c>
      <c r="AD4456">
        <v>-1.1233938489519999</v>
      </c>
      <c r="AE4456">
        <v>-3.3277299999999901</v>
      </c>
      <c r="AF4456">
        <v>-3.0851412918755301</v>
      </c>
      <c r="AG4456">
        <v>-1.1233938489519999</v>
      </c>
      <c r="AH4456">
        <v>6.60000584081582</v>
      </c>
      <c r="AI4456">
        <v>98.765761302685803</v>
      </c>
      <c r="AJ4456">
        <v>115.05351383780101</v>
      </c>
      <c r="AK4456">
        <v>7.3715797241501502</v>
      </c>
      <c r="AL4456">
        <v>66.090468160422603</v>
      </c>
      <c r="AM4456">
        <v>107.695372001926</v>
      </c>
      <c r="AN4456">
        <v>1.0000000536031399</v>
      </c>
    </row>
    <row r="4457" spans="1:40" x14ac:dyDescent="0.25">
      <c r="A4457" t="str">
        <f>"20190304164735163"</f>
        <v>20190304164735163</v>
      </c>
      <c r="B4457" t="str">
        <f>"1551689255153442"</f>
        <v>1551689255153442</v>
      </c>
      <c r="C4457" t="s">
        <v>40</v>
      </c>
      <c r="D4457">
        <v>5.0998799999999997</v>
      </c>
      <c r="E4457">
        <v>0.44207170000000001</v>
      </c>
      <c r="F4457" t="s">
        <v>53</v>
      </c>
      <c r="G4457">
        <v>-407.79270000000002</v>
      </c>
      <c r="H4457" s="1">
        <v>-3.890198E-6</v>
      </c>
      <c r="I4457">
        <v>27.952719999999999</v>
      </c>
      <c r="J4457">
        <v>-414.37259999999998</v>
      </c>
      <c r="K4457">
        <v>1.1234120000000001</v>
      </c>
      <c r="L4457">
        <v>31.152280000000001</v>
      </c>
      <c r="M4457">
        <v>0.63096049999999904</v>
      </c>
      <c r="N4457">
        <v>-1.6148099999999999E-2</v>
      </c>
      <c r="O4457">
        <v>-0.77564709999999903</v>
      </c>
      <c r="P4457">
        <v>0.75930569999999997</v>
      </c>
      <c r="Q4457">
        <v>0.39903899999999998</v>
      </c>
      <c r="R4457">
        <v>-0.51402630000000005</v>
      </c>
      <c r="S4457">
        <v>3.1489259999999999</v>
      </c>
      <c r="T4457">
        <v>-0.52078329999999995</v>
      </c>
      <c r="U4457">
        <v>-1.6002809999999901</v>
      </c>
      <c r="V4457">
        <v>-0.27719369999999999</v>
      </c>
      <c r="W4457">
        <v>0.40485949999999998</v>
      </c>
      <c r="X4457">
        <v>0.87135090000000004</v>
      </c>
      <c r="Y4457">
        <v>-0.3969606</v>
      </c>
      <c r="Z4457">
        <v>0.1222724</v>
      </c>
      <c r="AA4457">
        <v>0.90965469999999904</v>
      </c>
      <c r="AB4457">
        <v>36</v>
      </c>
      <c r="AC4457">
        <v>6.5798999999999497</v>
      </c>
      <c r="AD4457">
        <v>-1.123415890198</v>
      </c>
      <c r="AE4457">
        <v>-3.1995599999999902</v>
      </c>
      <c r="AF4457">
        <v>-3.0142235677890299</v>
      </c>
      <c r="AG4457">
        <v>-1.123415890198</v>
      </c>
      <c r="AH4457">
        <v>6.4814454199201501</v>
      </c>
      <c r="AI4457">
        <v>98.931765293284499</v>
      </c>
      <c r="AJ4457">
        <v>114.940982052042</v>
      </c>
      <c r="AK4457">
        <v>7.2357958588097304</v>
      </c>
      <c r="AL4457">
        <v>66.117676414939396</v>
      </c>
      <c r="AM4457">
        <v>107.646881089595</v>
      </c>
      <c r="AN4457">
        <v>0.99999997649537398</v>
      </c>
    </row>
    <row r="4458" spans="1:40" x14ac:dyDescent="0.25">
      <c r="A4458" t="str">
        <f>"20190304164735184"</f>
        <v>20190304164735184</v>
      </c>
      <c r="B4458" t="str">
        <f>"1551689255173938"</f>
        <v>1551689255173938</v>
      </c>
      <c r="C4458" t="s">
        <v>40</v>
      </c>
      <c r="D4458">
        <v>5.1096349999999999</v>
      </c>
      <c r="E4458">
        <v>0.45353880000000002</v>
      </c>
      <c r="F4458" t="s">
        <v>53</v>
      </c>
      <c r="G4458">
        <v>-407.55079999999998</v>
      </c>
      <c r="H4458" s="1">
        <v>-3.9825649999999999E-6</v>
      </c>
      <c r="I4458">
        <v>27.787990000000001</v>
      </c>
      <c r="J4458">
        <v>-414.15179999999998</v>
      </c>
      <c r="K4458">
        <v>1.12344</v>
      </c>
      <c r="L4458">
        <v>30.89697</v>
      </c>
      <c r="M4458">
        <v>0.64072600000000002</v>
      </c>
      <c r="N4458">
        <v>-1.6151140000000001E-2</v>
      </c>
      <c r="O4458">
        <v>-0.76759980000000005</v>
      </c>
      <c r="P4458">
        <v>0.76540489999999906</v>
      </c>
      <c r="Q4458">
        <v>0.39895950000000002</v>
      </c>
      <c r="R4458">
        <v>-0.50496209999999997</v>
      </c>
      <c r="S4458">
        <v>3.1675719999999998</v>
      </c>
      <c r="T4458">
        <v>-0.521644</v>
      </c>
      <c r="U4458">
        <v>-1.5621640000000001</v>
      </c>
      <c r="V4458">
        <v>-0.27657150000000003</v>
      </c>
      <c r="W4458">
        <v>0.40479229999999999</v>
      </c>
      <c r="X4458">
        <v>0.87157980000000002</v>
      </c>
      <c r="Y4458">
        <v>-0.39631569999999999</v>
      </c>
      <c r="Z4458">
        <v>0.1217509</v>
      </c>
      <c r="AA4458">
        <v>0.91000590000000003</v>
      </c>
      <c r="AB4458">
        <v>36</v>
      </c>
      <c r="AC4458">
        <v>6.6009999999999902</v>
      </c>
      <c r="AD4458">
        <v>-1.123443982565</v>
      </c>
      <c r="AE4458">
        <v>-3.1089799999999901</v>
      </c>
      <c r="AF4458">
        <v>-3.0041051367285099</v>
      </c>
      <c r="AG4458">
        <v>-1.123443982565</v>
      </c>
      <c r="AH4458">
        <v>6.4635179769022599</v>
      </c>
      <c r="AI4458">
        <v>98.957286344608804</v>
      </c>
      <c r="AJ4458">
        <v>114.927998913713</v>
      </c>
      <c r="AK4458">
        <v>7.2155276101071602</v>
      </c>
      <c r="AL4458">
        <v>66.121887100439395</v>
      </c>
      <c r="AM4458">
        <v>107.605381383327</v>
      </c>
      <c r="AN4458">
        <v>0.99999997425978904</v>
      </c>
    </row>
    <row r="4459" spans="1:40" x14ac:dyDescent="0.25">
      <c r="A4459" t="str">
        <f>"20190304164735198"</f>
        <v>20190304164735198</v>
      </c>
      <c r="B4459" t="str">
        <f>"1551689255193459"</f>
        <v>1551689255193459</v>
      </c>
      <c r="C4459" t="s">
        <v>40</v>
      </c>
      <c r="D4459">
        <v>5.1108169999999999</v>
      </c>
      <c r="E4459">
        <v>0.45434140000000001</v>
      </c>
      <c r="F4459" t="s">
        <v>53</v>
      </c>
      <c r="G4459">
        <v>-407.53199999999998</v>
      </c>
      <c r="H4459" s="1">
        <v>-3.9457820000000003E-6</v>
      </c>
      <c r="I4459">
        <v>27.527979999999999</v>
      </c>
      <c r="J4459">
        <v>-414.012</v>
      </c>
      <c r="K4459">
        <v>1.1234550000000001</v>
      </c>
      <c r="L4459">
        <v>30.738340000000001</v>
      </c>
      <c r="M4459">
        <v>0.64681140000000004</v>
      </c>
      <c r="N4459">
        <v>-1.6153560000000001E-2</v>
      </c>
      <c r="O4459">
        <v>-0.76247909999999997</v>
      </c>
      <c r="P4459">
        <v>0.76911289999999999</v>
      </c>
      <c r="Q4459">
        <v>0.3993873</v>
      </c>
      <c r="R4459">
        <v>-0.49895459999999903</v>
      </c>
      <c r="S4459">
        <v>3.142395</v>
      </c>
      <c r="T4459">
        <v>-0.53329209999999905</v>
      </c>
      <c r="U4459">
        <v>-1.599243</v>
      </c>
      <c r="V4459">
        <v>-0.27632079999999998</v>
      </c>
      <c r="W4459">
        <v>0.40521829999999998</v>
      </c>
      <c r="X4459">
        <v>0.87146139999999905</v>
      </c>
      <c r="Y4459">
        <v>-0.37722329999999998</v>
      </c>
      <c r="Z4459">
        <v>0.1232366</v>
      </c>
      <c r="AA4459">
        <v>0.91788639999999999</v>
      </c>
      <c r="AB4459">
        <v>36</v>
      </c>
      <c r="AC4459">
        <v>6.4799999999999596</v>
      </c>
      <c r="AD4459">
        <v>-1.1234589457819999</v>
      </c>
      <c r="AE4459">
        <v>-3.2103600000000001</v>
      </c>
      <c r="AF4459">
        <v>-2.7972305710772298</v>
      </c>
      <c r="AG4459">
        <v>-1.1234589457819999</v>
      </c>
      <c r="AH4459">
        <v>6.4835578928360498</v>
      </c>
      <c r="AI4459">
        <v>99.040122651921905</v>
      </c>
      <c r="AJ4459">
        <v>113.337033959317</v>
      </c>
      <c r="AK4459">
        <v>7.1500476795881101</v>
      </c>
      <c r="AL4459">
        <v>66.0951926774231</v>
      </c>
      <c r="AM4459">
        <v>107.592649828132</v>
      </c>
      <c r="AN4459">
        <v>1.0000000134287399</v>
      </c>
    </row>
    <row r="4460" spans="1:40" x14ac:dyDescent="0.25">
      <c r="A4460" t="str">
        <f>"20190304164735218"</f>
        <v>20190304164735218</v>
      </c>
      <c r="B4460" t="str">
        <f>"1551689255213954"</f>
        <v>1551689255213954</v>
      </c>
      <c r="C4460" t="s">
        <v>40</v>
      </c>
      <c r="D4460">
        <v>5.0926879999999999</v>
      </c>
      <c r="E4460">
        <v>0.45533820000000003</v>
      </c>
      <c r="F4460" t="s">
        <v>53</v>
      </c>
      <c r="G4460">
        <v>-407.35329999999999</v>
      </c>
      <c r="H4460" s="1">
        <v>-4.013685E-6</v>
      </c>
      <c r="I4460">
        <v>27.404450000000001</v>
      </c>
      <c r="J4460">
        <v>-413.79390000000001</v>
      </c>
      <c r="K4460">
        <v>1.123491</v>
      </c>
      <c r="L4460">
        <v>30.49652</v>
      </c>
      <c r="M4460">
        <v>0.65614319999999904</v>
      </c>
      <c r="N4460">
        <v>-1.615871E-2</v>
      </c>
      <c r="O4460">
        <v>-0.75446369999999996</v>
      </c>
      <c r="P4460">
        <v>0.774117099999999</v>
      </c>
      <c r="Q4460">
        <v>0.40105740000000001</v>
      </c>
      <c r="R4460">
        <v>-0.48979220000000001</v>
      </c>
      <c r="S4460">
        <v>3.152771</v>
      </c>
      <c r="T4460">
        <v>-0.53194249999999998</v>
      </c>
      <c r="U4460">
        <v>-1.578552</v>
      </c>
      <c r="V4460">
        <v>-0.2753678</v>
      </c>
      <c r="W4460">
        <v>0.4068968</v>
      </c>
      <c r="X4460">
        <v>0.8709808</v>
      </c>
      <c r="Y4460">
        <v>-0.37200929999999999</v>
      </c>
      <c r="Z4460">
        <v>0.1218243</v>
      </c>
      <c r="AA4460">
        <v>0.92019989999999996</v>
      </c>
      <c r="AB4460">
        <v>36</v>
      </c>
      <c r="AC4460">
        <v>6.4406000000000097</v>
      </c>
      <c r="AD4460">
        <v>-1.1234950136849999</v>
      </c>
      <c r="AE4460">
        <v>-3.0920700000000001</v>
      </c>
      <c r="AF4460">
        <v>-2.76241439501361</v>
      </c>
      <c r="AG4460">
        <v>-1.1234950136849999</v>
      </c>
      <c r="AH4460">
        <v>6.4013637694689596</v>
      </c>
      <c r="AI4460">
        <v>99.154204457346196</v>
      </c>
      <c r="AJ4460">
        <v>113.34190248297899</v>
      </c>
      <c r="AK4460">
        <v>7.06191421957414</v>
      </c>
      <c r="AL4460">
        <v>65.989954689511606</v>
      </c>
      <c r="AM4460">
        <v>107.544781718224</v>
      </c>
      <c r="AN4460">
        <v>0.99999999254785998</v>
      </c>
    </row>
    <row r="4461" spans="1:40" x14ac:dyDescent="0.25">
      <c r="A4461" t="str">
        <f>"20190304164735232"</f>
        <v>20190304164735232</v>
      </c>
      <c r="B4461" t="str">
        <f>"1551689255223715"</f>
        <v>1551689255223715</v>
      </c>
      <c r="C4461" t="s">
        <v>40</v>
      </c>
      <c r="D4461">
        <v>5.0875529999999998</v>
      </c>
      <c r="E4461">
        <v>0.45574890000000001</v>
      </c>
      <c r="F4461" t="s">
        <v>53</v>
      </c>
      <c r="G4461">
        <v>-407.02449999999999</v>
      </c>
      <c r="H4461" s="1">
        <v>-4.1430739999999999E-6</v>
      </c>
      <c r="I4461">
        <v>27.201699999999999</v>
      </c>
      <c r="J4461">
        <v>-413.64890000000003</v>
      </c>
      <c r="K4461">
        <v>1.1235189999999999</v>
      </c>
      <c r="L4461">
        <v>30.338750000000001</v>
      </c>
      <c r="M4461">
        <v>0.66225330000000004</v>
      </c>
      <c r="N4461">
        <v>-1.6162949999999999E-2</v>
      </c>
      <c r="O4461">
        <v>-0.74910559999999904</v>
      </c>
      <c r="P4461">
        <v>0.77722849999999999</v>
      </c>
      <c r="Q4461">
        <v>0.4023813</v>
      </c>
      <c r="R4461">
        <v>-0.48374080000000003</v>
      </c>
      <c r="S4461">
        <v>3.1714169999999999</v>
      </c>
      <c r="T4461">
        <v>-0.5263523</v>
      </c>
      <c r="U4461">
        <v>-1.5436099999999999</v>
      </c>
      <c r="V4461">
        <v>-0.27462839999999999</v>
      </c>
      <c r="W4461">
        <v>0.40822750000000002</v>
      </c>
      <c r="X4461">
        <v>0.87059149999999996</v>
      </c>
      <c r="Y4461">
        <v>-0.37502020000000003</v>
      </c>
      <c r="Z4461">
        <v>0.1200867</v>
      </c>
      <c r="AA4461">
        <v>0.91920570000000001</v>
      </c>
      <c r="AB4461">
        <v>36</v>
      </c>
      <c r="AC4461">
        <v>6.6244000000000298</v>
      </c>
      <c r="AD4461">
        <v>-1.123523143074</v>
      </c>
      <c r="AE4461">
        <v>-3.1370499999999999</v>
      </c>
      <c r="AF4461">
        <v>-2.8189948271653802</v>
      </c>
      <c r="AG4461">
        <v>-1.123523143074</v>
      </c>
      <c r="AH4461">
        <v>6.5832125806176904</v>
      </c>
      <c r="AI4461">
        <v>98.916245045995794</v>
      </c>
      <c r="AJ4461">
        <v>113.181073897047</v>
      </c>
      <c r="AK4461">
        <v>7.2489808918365304</v>
      </c>
      <c r="AL4461">
        <v>65.906462466314395</v>
      </c>
      <c r="AM4461">
        <v>107.50789864046899</v>
      </c>
      <c r="AN4461">
        <v>1.0000000048575299</v>
      </c>
    </row>
    <row r="4462" spans="1:40" x14ac:dyDescent="0.25">
      <c r="A4462" t="str">
        <f>"20190304164735246"</f>
        <v>20190304164735246</v>
      </c>
      <c r="B4462" t="str">
        <f>"1551689255233475"</f>
        <v>1551689255233475</v>
      </c>
      <c r="C4462" t="s">
        <v>40</v>
      </c>
      <c r="D4462">
        <v>5.1045889999999998</v>
      </c>
      <c r="E4462">
        <v>0.45606940000000001</v>
      </c>
      <c r="F4462" t="s">
        <v>53</v>
      </c>
      <c r="G4462">
        <v>-406.80439999999999</v>
      </c>
      <c r="H4462" s="1">
        <v>-4.2304390000000002E-6</v>
      </c>
      <c r="I4462">
        <v>27.070399999999999</v>
      </c>
      <c r="J4462">
        <v>-413.50889999999998</v>
      </c>
      <c r="K4462">
        <v>1.1235489999999999</v>
      </c>
      <c r="L4462">
        <v>30.189540000000001</v>
      </c>
      <c r="M4462">
        <v>0.66807830000000001</v>
      </c>
      <c r="N4462">
        <v>-1.6168100000000001E-2</v>
      </c>
      <c r="O4462">
        <v>-0.7439154</v>
      </c>
      <c r="P4462">
        <v>0.78033730000000001</v>
      </c>
      <c r="Q4462">
        <v>0.4037809</v>
      </c>
      <c r="R4462">
        <v>-0.4775296</v>
      </c>
      <c r="S4462">
        <v>3.1840820000000001</v>
      </c>
      <c r="T4462">
        <v>-0.52266659999999998</v>
      </c>
      <c r="U4462">
        <v>-1.5204470000000001</v>
      </c>
      <c r="V4462">
        <v>-0.2743061</v>
      </c>
      <c r="W4462">
        <v>0.40961819999999999</v>
      </c>
      <c r="X4462">
        <v>0.87003969999999897</v>
      </c>
      <c r="Y4462">
        <v>-0.37483919999999998</v>
      </c>
      <c r="Z4462">
        <v>0.1186368</v>
      </c>
      <c r="AA4462">
        <v>0.9194677</v>
      </c>
      <c r="AB4462">
        <v>36</v>
      </c>
      <c r="AC4462">
        <v>6.7044999999999897</v>
      </c>
      <c r="AD4462">
        <v>-1.1235532304389999</v>
      </c>
      <c r="AE4462">
        <v>-3.1191399999999998</v>
      </c>
      <c r="AF4462">
        <v>-2.8385963126334701</v>
      </c>
      <c r="AG4462">
        <v>-1.1235532304389999</v>
      </c>
      <c r="AH4462">
        <v>6.6469390286624499</v>
      </c>
      <c r="AI4462">
        <v>98.835983996795605</v>
      </c>
      <c r="AJ4462">
        <v>113.125058229815</v>
      </c>
      <c r="AK4462">
        <v>7.3144924183761697</v>
      </c>
      <c r="AL4462">
        <v>65.819146837191994</v>
      </c>
      <c r="AM4462">
        <v>107.499019819491</v>
      </c>
      <c r="AN4462">
        <v>0.99999999292226904</v>
      </c>
    </row>
    <row r="4463" spans="1:40" x14ac:dyDescent="0.25">
      <c r="A4463" t="str">
        <f>"20190304164735263"</f>
        <v>20190304164735263</v>
      </c>
      <c r="B4463" t="str">
        <f>"1551689255253974"</f>
        <v>1551689255253974</v>
      </c>
      <c r="C4463" t="s">
        <v>40</v>
      </c>
      <c r="D4463">
        <v>5.11585</v>
      </c>
      <c r="E4463">
        <v>0.45575159999999998</v>
      </c>
      <c r="F4463" t="s">
        <v>53</v>
      </c>
      <c r="G4463">
        <v>-406.57490000000001</v>
      </c>
      <c r="H4463" s="1">
        <v>-4.3236609999999998E-6</v>
      </c>
      <c r="I4463">
        <v>26.945260000000001</v>
      </c>
      <c r="J4463">
        <v>-413.31799999999998</v>
      </c>
      <c r="K4463">
        <v>1.1236010000000001</v>
      </c>
      <c r="L4463">
        <v>29.989380000000001</v>
      </c>
      <c r="M4463">
        <v>0.67591749999999995</v>
      </c>
      <c r="N4463">
        <v>-1.6175749999999999E-2</v>
      </c>
      <c r="O4463">
        <v>-0.7367998</v>
      </c>
      <c r="P4463">
        <v>0.78367629999999999</v>
      </c>
      <c r="Q4463">
        <v>0.40750049999999999</v>
      </c>
      <c r="R4463">
        <v>-0.46882299999999899</v>
      </c>
      <c r="S4463">
        <v>3.1971129999999999</v>
      </c>
      <c r="T4463">
        <v>-0.51805020000000002</v>
      </c>
      <c r="U4463">
        <v>-1.4958800000000001</v>
      </c>
      <c r="V4463">
        <v>-0.273505</v>
      </c>
      <c r="W4463">
        <v>0.41332540000000001</v>
      </c>
      <c r="X4463">
        <v>0.86853740000000001</v>
      </c>
      <c r="Y4463">
        <v>-0.37250549999999999</v>
      </c>
      <c r="Z4463">
        <v>0.11665499999999999</v>
      </c>
      <c r="AA4463">
        <v>0.92066890000000001</v>
      </c>
      <c r="AB4463">
        <v>35</v>
      </c>
      <c r="AC4463">
        <v>6.7431000000000196</v>
      </c>
      <c r="AD4463">
        <v>-1.123605323661</v>
      </c>
      <c r="AE4463">
        <v>-3.0441199999999999</v>
      </c>
      <c r="AF4463">
        <v>-2.84549021807769</v>
      </c>
      <c r="AG4463">
        <v>-1.123605323661</v>
      </c>
      <c r="AH4463">
        <v>6.6482342470427298</v>
      </c>
      <c r="AI4463">
        <v>98.831695674719398</v>
      </c>
      <c r="AJ4463">
        <v>113.171259530111</v>
      </c>
      <c r="AK4463">
        <v>7.3183551504478803</v>
      </c>
      <c r="AL4463">
        <v>65.586097992635601</v>
      </c>
      <c r="AM4463">
        <v>107.47936920161</v>
      </c>
      <c r="AN4463">
        <v>1.00000004325445</v>
      </c>
    </row>
    <row r="4464" spans="1:40" x14ac:dyDescent="0.25">
      <c r="A4464" t="str">
        <f>"20190304164735278"</f>
        <v>20190304164735278</v>
      </c>
      <c r="B4464" t="str">
        <f>"1551689255273492"</f>
        <v>1551689255273492</v>
      </c>
      <c r="C4464" t="s">
        <v>40</v>
      </c>
      <c r="D4464">
        <v>5.0508319999999998</v>
      </c>
      <c r="E4464">
        <v>0.4139466</v>
      </c>
      <c r="F4464" t="s">
        <v>53</v>
      </c>
      <c r="G4464">
        <v>-406.08139999999997</v>
      </c>
      <c r="H4464" s="1">
        <v>-4.5320970000000003E-6</v>
      </c>
      <c r="I4464">
        <v>26.721039999999999</v>
      </c>
      <c r="J4464">
        <v>-413.16329999999999</v>
      </c>
      <c r="K4464">
        <v>1.123634</v>
      </c>
      <c r="L4464">
        <v>29.83005</v>
      </c>
      <c r="M4464">
        <v>0.68218819999999902</v>
      </c>
      <c r="N4464">
        <v>-1.618255E-2</v>
      </c>
      <c r="O4464">
        <v>-0.73099789999999998</v>
      </c>
      <c r="P4464">
        <v>0.78704969999999996</v>
      </c>
      <c r="Q4464">
        <v>0.40951029999999999</v>
      </c>
      <c r="R4464">
        <v>-0.46136169999999999</v>
      </c>
      <c r="S4464">
        <v>3.2183839999999999</v>
      </c>
      <c r="T4464">
        <v>-0.49970920000000002</v>
      </c>
      <c r="U4464">
        <v>-1.453552</v>
      </c>
      <c r="V4464">
        <v>-0.27366629999999997</v>
      </c>
      <c r="W4464">
        <v>0.41530210000000001</v>
      </c>
      <c r="X4464">
        <v>0.86754299999999995</v>
      </c>
      <c r="Y4464">
        <v>-0.37755719999999998</v>
      </c>
      <c r="Z4464">
        <v>0.1119542</v>
      </c>
      <c r="AA4464">
        <v>0.91919360000000006</v>
      </c>
      <c r="AB4464">
        <v>35</v>
      </c>
      <c r="AC4464">
        <v>7.0819000000000099</v>
      </c>
      <c r="AD4464">
        <v>-1.1236385320969999</v>
      </c>
      <c r="AE4464">
        <v>-3.1090099999999898</v>
      </c>
      <c r="AF4464">
        <v>-2.99314914419918</v>
      </c>
      <c r="AG4464">
        <v>-1.1236385320969999</v>
      </c>
      <c r="AH4464">
        <v>6.9579403687933299</v>
      </c>
      <c r="AI4464">
        <v>98.438085405846905</v>
      </c>
      <c r="AJ4464">
        <v>113.276285531849</v>
      </c>
      <c r="AK4464">
        <v>7.6573128136388204</v>
      </c>
      <c r="AL4464">
        <v>65.461656550346902</v>
      </c>
      <c r="AM4464">
        <v>107.507871635443</v>
      </c>
      <c r="AN4464">
        <v>0.999999967434549</v>
      </c>
    </row>
    <row r="4465" spans="1:40" x14ac:dyDescent="0.25">
      <c r="A4465" t="str">
        <f>"20190304164735297"</f>
        <v>20190304164735297</v>
      </c>
      <c r="B4465" t="str">
        <f>"1551689255293987"</f>
        <v>1551689255293987</v>
      </c>
      <c r="C4465" t="s">
        <v>40</v>
      </c>
      <c r="D4465">
        <v>5.0574779999999997</v>
      </c>
      <c r="E4465">
        <v>0.4142846</v>
      </c>
      <c r="F4465" t="s">
        <v>41</v>
      </c>
      <c r="G4465">
        <v>-412.11799999999999</v>
      </c>
      <c r="H4465">
        <v>1.036106</v>
      </c>
      <c r="I4465">
        <v>29.48527</v>
      </c>
      <c r="J4465">
        <v>-412.94940000000003</v>
      </c>
      <c r="K4465">
        <v>1.1236930000000001</v>
      </c>
      <c r="L4465">
        <v>29.614560000000001</v>
      </c>
      <c r="M4465">
        <v>0.69073499999999999</v>
      </c>
      <c r="N4465">
        <v>-1.6193099999999998E-2</v>
      </c>
      <c r="O4465">
        <v>-0.72292650000000003</v>
      </c>
      <c r="P4465">
        <v>0.79097550000000005</v>
      </c>
      <c r="Q4465">
        <v>0.4133484</v>
      </c>
      <c r="R4465">
        <v>-0.45111079999999998</v>
      </c>
      <c r="S4465">
        <v>3.3153990000000002</v>
      </c>
      <c r="T4465">
        <v>-0.27756700000000001</v>
      </c>
      <c r="U4465">
        <v>-1.0930789999999999</v>
      </c>
      <c r="V4465">
        <v>-0.27345190000000003</v>
      </c>
      <c r="W4465">
        <v>0.41910269999999999</v>
      </c>
      <c r="X4465">
        <v>0.86578109999999997</v>
      </c>
      <c r="Y4465">
        <v>-0.4677173</v>
      </c>
      <c r="Z4465">
        <v>6.2070010000000002E-2</v>
      </c>
      <c r="AA4465">
        <v>0.88169599999999904</v>
      </c>
      <c r="AB4465">
        <v>35</v>
      </c>
      <c r="AC4465">
        <v>0.83139999999997305</v>
      </c>
      <c r="AD4465">
        <v>-8.7586999999999998E-2</v>
      </c>
      <c r="AE4465">
        <v>-0.12928999999999699</v>
      </c>
      <c r="AF4465">
        <v>-0.506316519590019</v>
      </c>
      <c r="AG4465">
        <v>-8.7586999999999998E-2</v>
      </c>
      <c r="AH4465">
        <v>0.66067262518544601</v>
      </c>
      <c r="AI4465">
        <v>96.006881463996095</v>
      </c>
      <c r="AJ4465">
        <v>127.465300001676</v>
      </c>
      <c r="AK4465">
        <v>0.83696846908839895</v>
      </c>
      <c r="AL4465">
        <v>65.222048899781598</v>
      </c>
      <c r="AM4465">
        <v>107.528417239405</v>
      </c>
      <c r="AN4465">
        <v>0.99999996393905399</v>
      </c>
    </row>
    <row r="4466" spans="1:40" x14ac:dyDescent="0.25">
      <c r="A4466" t="str">
        <f>"20190304164735320"</f>
        <v>20190304164735320</v>
      </c>
      <c r="B4466" t="str">
        <f>"1551689255313507"</f>
        <v>1551689255313507</v>
      </c>
      <c r="C4466" t="s">
        <v>40</v>
      </c>
      <c r="D4466">
        <v>5.0417489999999896</v>
      </c>
      <c r="E4466">
        <v>0.41498259999999998</v>
      </c>
      <c r="F4466" t="s">
        <v>41</v>
      </c>
      <c r="G4466">
        <v>-411.89339999999999</v>
      </c>
      <c r="H4466">
        <v>1.0375080000000001</v>
      </c>
      <c r="I4466">
        <v>29.279969999999999</v>
      </c>
      <c r="J4466">
        <v>-412.6968</v>
      </c>
      <c r="K4466">
        <v>1.123742</v>
      </c>
      <c r="L4466">
        <v>29.366849999999999</v>
      </c>
      <c r="M4466">
        <v>0.70064469999999901</v>
      </c>
      <c r="N4466">
        <v>-1.6206470000000001E-2</v>
      </c>
      <c r="O4466">
        <v>-0.71332640000000003</v>
      </c>
      <c r="P4466">
        <v>0.79614259999999903</v>
      </c>
      <c r="Q4466">
        <v>0.41537220000000002</v>
      </c>
      <c r="R4466">
        <v>-0.44002669999999999</v>
      </c>
      <c r="S4466">
        <v>3.3328549999999999</v>
      </c>
      <c r="T4466">
        <v>-0.27196189999999998</v>
      </c>
      <c r="U4466">
        <v>-1.0556639999999999</v>
      </c>
      <c r="V4466">
        <v>-0.27295190000000003</v>
      </c>
      <c r="W4466">
        <v>0.42111179999999898</v>
      </c>
      <c r="X4466">
        <v>0.864963699999999</v>
      </c>
      <c r="Y4466">
        <v>-0.46600799999999998</v>
      </c>
      <c r="Z4466">
        <v>6.0107569999999999E-2</v>
      </c>
      <c r="AA4466">
        <v>0.88273639999999998</v>
      </c>
      <c r="AB4466">
        <v>35</v>
      </c>
      <c r="AC4466">
        <v>0.80340000000001</v>
      </c>
      <c r="AD4466">
        <v>-8.6233999999999894E-2</v>
      </c>
      <c r="AE4466">
        <v>-8.6879999999997098E-2</v>
      </c>
      <c r="AF4466">
        <v>-0.50651351604457995</v>
      </c>
      <c r="AG4466">
        <v>-8.6233999999999894E-2</v>
      </c>
      <c r="AH4466">
        <v>0.61791698107663495</v>
      </c>
      <c r="AI4466">
        <v>96.1600545066281</v>
      </c>
      <c r="AJ4466">
        <v>129.341859598768</v>
      </c>
      <c r="AK4466">
        <v>0.80362531082259103</v>
      </c>
      <c r="AL4466">
        <v>65.095201213437704</v>
      </c>
      <c r="AM4466">
        <v>107.513850208969</v>
      </c>
      <c r="AN4466">
        <v>1.00000004506526</v>
      </c>
    </row>
    <row r="4467" spans="1:40" x14ac:dyDescent="0.25">
      <c r="A4467" t="str">
        <f>"20190304164735343"</f>
        <v>20190304164735343</v>
      </c>
      <c r="B4467" t="str">
        <f>"1551689255334002"</f>
        <v>1551689255334002</v>
      </c>
      <c r="C4467" t="s">
        <v>40</v>
      </c>
      <c r="D4467">
        <v>5.1168779999999998</v>
      </c>
      <c r="E4467">
        <v>0.41621229999999998</v>
      </c>
      <c r="F4467" t="s">
        <v>41</v>
      </c>
      <c r="G4467">
        <v>-411.67899999999997</v>
      </c>
      <c r="H4467">
        <v>1.0409679999999999</v>
      </c>
      <c r="I4467">
        <v>29.05856</v>
      </c>
      <c r="J4467">
        <v>-412.43009999999998</v>
      </c>
      <c r="K4467">
        <v>1.1237870000000001</v>
      </c>
      <c r="L4467">
        <v>29.112549999999999</v>
      </c>
      <c r="M4467">
        <v>0.71090019999999998</v>
      </c>
      <c r="N4467">
        <v>-1.622009E-2</v>
      </c>
      <c r="O4467">
        <v>-0.70310589999999995</v>
      </c>
      <c r="P4467">
        <v>0.80122090000000001</v>
      </c>
      <c r="Q4467">
        <v>0.41623729999999998</v>
      </c>
      <c r="R4467">
        <v>-0.42987439999999999</v>
      </c>
      <c r="S4467">
        <v>3.3498839999999999</v>
      </c>
      <c r="T4467">
        <v>-0.27238329999999999</v>
      </c>
      <c r="U4467">
        <v>-1.014008</v>
      </c>
      <c r="V4467">
        <v>-0.27116390000000001</v>
      </c>
      <c r="W4467">
        <v>0.42201899999999998</v>
      </c>
      <c r="X4467">
        <v>0.86508390000000002</v>
      </c>
      <c r="Y4467">
        <v>-0.46453250000000001</v>
      </c>
      <c r="Z4467">
        <v>5.9681329999999998E-2</v>
      </c>
      <c r="AA4467">
        <v>0.88354270000000001</v>
      </c>
      <c r="AB4467">
        <v>35</v>
      </c>
      <c r="AC4467">
        <v>0.75109999999995103</v>
      </c>
      <c r="AD4467">
        <v>-8.2818999999999907E-2</v>
      </c>
      <c r="AE4467">
        <v>-5.3990000000002397E-2</v>
      </c>
      <c r="AF4467">
        <v>-0.48393231444819201</v>
      </c>
      <c r="AG4467">
        <v>-8.2818999999999907E-2</v>
      </c>
      <c r="AH4467">
        <v>0.56515715291605595</v>
      </c>
      <c r="AI4467">
        <v>96.351454817250698</v>
      </c>
      <c r="AJ4467">
        <v>130.57275643146301</v>
      </c>
      <c r="AK4467">
        <v>0.74863347455237805</v>
      </c>
      <c r="AL4467">
        <v>65.037879511905899</v>
      </c>
      <c r="AM4467">
        <v>107.40380171055899</v>
      </c>
      <c r="AN4467">
        <v>1.0000000255317001</v>
      </c>
    </row>
    <row r="4468" spans="1:40" x14ac:dyDescent="0.25">
      <c r="A4468" t="str">
        <f>"20190304164735364"</f>
        <v>20190304164735364</v>
      </c>
      <c r="B4468" t="str">
        <f>"1551689255353523"</f>
        <v>1551689255353523</v>
      </c>
      <c r="C4468" t="s">
        <v>40</v>
      </c>
      <c r="D4468">
        <v>5.0334979999999998</v>
      </c>
      <c r="E4468">
        <v>0.41644490000000001</v>
      </c>
      <c r="F4468" t="s">
        <v>41</v>
      </c>
      <c r="G4468">
        <v>-411.46679999999998</v>
      </c>
      <c r="H4468">
        <v>1.0460130000000001</v>
      </c>
      <c r="I4468">
        <v>28.832719999999998</v>
      </c>
      <c r="J4468">
        <v>-412.20179999999999</v>
      </c>
      <c r="K4468">
        <v>1.1238060000000001</v>
      </c>
      <c r="L4468">
        <v>28.900759999999998</v>
      </c>
      <c r="M4468">
        <v>0.71950369999999997</v>
      </c>
      <c r="N4468">
        <v>-1.6230939999999999E-2</v>
      </c>
      <c r="O4468">
        <v>-0.694299</v>
      </c>
      <c r="P4468">
        <v>0.80544950000000004</v>
      </c>
      <c r="Q4468">
        <v>0.41561290000000001</v>
      </c>
      <c r="R4468">
        <v>-0.42251300000000003</v>
      </c>
      <c r="S4468">
        <v>3.3613590000000002</v>
      </c>
      <c r="T4468">
        <v>-0.2713989</v>
      </c>
      <c r="U4468">
        <v>-0.97650150000000002</v>
      </c>
      <c r="V4468">
        <v>-0.26865810000000001</v>
      </c>
      <c r="W4468">
        <v>0.4214794</v>
      </c>
      <c r="X4468">
        <v>0.86612809999999996</v>
      </c>
      <c r="Y4468">
        <v>-0.4635706</v>
      </c>
      <c r="Z4468">
        <v>5.9045350000000003E-2</v>
      </c>
      <c r="AA4468">
        <v>0.8840905</v>
      </c>
      <c r="AB4468">
        <v>35</v>
      </c>
      <c r="AC4468">
        <v>0.73500000000001298</v>
      </c>
      <c r="AD4468">
        <v>-7.7793000000000001E-2</v>
      </c>
      <c r="AE4468">
        <v>-6.8039999999996298E-2</v>
      </c>
      <c r="AF4468">
        <v>-0.45634680026595598</v>
      </c>
      <c r="AG4468">
        <v>-7.7793000000000001E-2</v>
      </c>
      <c r="AH4468">
        <v>0.56982211653076897</v>
      </c>
      <c r="AI4468">
        <v>96.082530032732606</v>
      </c>
      <c r="AJ4468">
        <v>128.68978341713299</v>
      </c>
      <c r="AK4468">
        <v>0.73416714544412898</v>
      </c>
      <c r="AL4468">
        <v>65.071975788349405</v>
      </c>
      <c r="AM4468">
        <v>107.232994760094</v>
      </c>
      <c r="AN4468">
        <v>0.999999972464789</v>
      </c>
    </row>
    <row r="4469" spans="1:40" x14ac:dyDescent="0.25">
      <c r="A4469" t="str">
        <f>"20190304164735385"</f>
        <v>20190304164735385</v>
      </c>
      <c r="B4469" t="str">
        <f>"1551689255374019"</f>
        <v>1551689255374019</v>
      </c>
      <c r="C4469" t="s">
        <v>40</v>
      </c>
      <c r="D4469">
        <v>4.9995209999999997</v>
      </c>
      <c r="E4469">
        <v>0.41721059999999999</v>
      </c>
      <c r="F4469" t="s">
        <v>41</v>
      </c>
      <c r="G4469">
        <v>-411.23840000000001</v>
      </c>
      <c r="H4469">
        <v>1.0465439999999999</v>
      </c>
      <c r="I4469">
        <v>28.631530000000001</v>
      </c>
      <c r="J4469">
        <v>-411.9522</v>
      </c>
      <c r="K4469">
        <v>1.123831</v>
      </c>
      <c r="L4469">
        <v>28.67511</v>
      </c>
      <c r="M4469">
        <v>0.72873129999999997</v>
      </c>
      <c r="N4469">
        <v>-1.624192E-2</v>
      </c>
      <c r="O4469">
        <v>-0.68460739999999998</v>
      </c>
      <c r="P4469">
        <v>0.81056240000000002</v>
      </c>
      <c r="Q4469">
        <v>0.41473559999999998</v>
      </c>
      <c r="R4469">
        <v>-0.41350130000000002</v>
      </c>
      <c r="S4469">
        <v>3.3700559999999999</v>
      </c>
      <c r="T4469">
        <v>-0.27026820000000001</v>
      </c>
      <c r="U4469">
        <v>-0.94171139999999998</v>
      </c>
      <c r="V4469">
        <v>-0.26702700000000001</v>
      </c>
      <c r="W4469">
        <v>0.42065770000000002</v>
      </c>
      <c r="X4469">
        <v>0.86703159999999901</v>
      </c>
      <c r="Y4469">
        <v>-0.46081329999999998</v>
      </c>
      <c r="Z4469">
        <v>5.8292740000000003E-2</v>
      </c>
      <c r="AA4469">
        <v>0.88558060000000005</v>
      </c>
      <c r="AB4469">
        <v>35</v>
      </c>
      <c r="AC4469">
        <v>0.713799999999992</v>
      </c>
      <c r="AD4469">
        <v>-7.72869999999998E-2</v>
      </c>
      <c r="AE4469">
        <v>-4.3579999999998599E-2</v>
      </c>
      <c r="AF4469">
        <v>-0.451698981806266</v>
      </c>
      <c r="AG4469">
        <v>-7.72869999999998E-2</v>
      </c>
      <c r="AH4469">
        <v>0.54372531405588798</v>
      </c>
      <c r="AI4469">
        <v>96.239734498305495</v>
      </c>
      <c r="AJ4469">
        <v>129.71805615400501</v>
      </c>
      <c r="AK4469">
        <v>0.71108541517808699</v>
      </c>
      <c r="AL4469">
        <v>65.123883721989102</v>
      </c>
      <c r="AM4469">
        <v>107.117701673369</v>
      </c>
      <c r="AN4469">
        <v>1.00000005734842</v>
      </c>
    </row>
    <row r="4470" spans="1:40" x14ac:dyDescent="0.25">
      <c r="A4470" t="str">
        <f>"20190304164735409"</f>
        <v>20190304164735409</v>
      </c>
      <c r="B4470" t="str">
        <f>"1551689255403299"</f>
        <v>1551689255403299</v>
      </c>
      <c r="C4470" t="s">
        <v>40</v>
      </c>
      <c r="D4470">
        <v>4.9644570000000003</v>
      </c>
      <c r="E4470">
        <v>0.41843259999999999</v>
      </c>
      <c r="F4470" t="s">
        <v>41</v>
      </c>
      <c r="G4470">
        <v>-411.01429999999999</v>
      </c>
      <c r="H4470">
        <v>1.0476700000000001</v>
      </c>
      <c r="I4470">
        <v>28.422740000000001</v>
      </c>
      <c r="J4470">
        <v>-411.68040000000002</v>
      </c>
      <c r="K4470">
        <v>1.1238649999999999</v>
      </c>
      <c r="L4470">
        <v>28.436219999999999</v>
      </c>
      <c r="M4470">
        <v>0.73856869999999997</v>
      </c>
      <c r="N4470">
        <v>-1.6253050000000002E-2</v>
      </c>
      <c r="O4470">
        <v>-0.67398230000000003</v>
      </c>
      <c r="P4470">
        <v>0.8164614</v>
      </c>
      <c r="Q4470">
        <v>0.41363919999999998</v>
      </c>
      <c r="R4470">
        <v>-0.40285650000000001</v>
      </c>
      <c r="S4470">
        <v>3.3779300000000001</v>
      </c>
      <c r="T4470">
        <v>-0.274275299999999</v>
      </c>
      <c r="U4470">
        <v>-0.90863039999999995</v>
      </c>
      <c r="V4470">
        <v>-0.2661828</v>
      </c>
      <c r="W4470">
        <v>0.41959010000000002</v>
      </c>
      <c r="X4470">
        <v>0.86780800000000002</v>
      </c>
      <c r="Y4470">
        <v>-0.45651320000000001</v>
      </c>
      <c r="Z4470">
        <v>5.8682440000000002E-2</v>
      </c>
      <c r="AA4470">
        <v>0.88777929999999905</v>
      </c>
      <c r="AB4470">
        <v>35</v>
      </c>
      <c r="AC4470">
        <v>0.666100000000028</v>
      </c>
      <c r="AD4470">
        <v>-7.6194999999999694E-2</v>
      </c>
      <c r="AE4470">
        <v>-1.3480000000001199E-2</v>
      </c>
      <c r="AF4470">
        <v>-0.43337331783236699</v>
      </c>
      <c r="AG4470">
        <v>-7.6194999999999694E-2</v>
      </c>
      <c r="AH4470">
        <v>0.49464232692904397</v>
      </c>
      <c r="AI4470">
        <v>96.6089464797669</v>
      </c>
      <c r="AJ4470">
        <v>131.22272701228499</v>
      </c>
      <c r="AK4470">
        <v>0.66203409445723704</v>
      </c>
      <c r="AL4470">
        <v>65.191286647292003</v>
      </c>
      <c r="AM4470">
        <v>107.052350866438</v>
      </c>
      <c r="AN4470">
        <v>0.99999992994892195</v>
      </c>
    </row>
    <row r="4471" spans="1:40" x14ac:dyDescent="0.25">
      <c r="A4471" t="str">
        <f>"20190304164735432"</f>
        <v>20190304164735432</v>
      </c>
      <c r="B4471" t="str">
        <f>"1551689255423798"</f>
        <v>1551689255423798</v>
      </c>
      <c r="C4471" t="s">
        <v>40</v>
      </c>
      <c r="D4471">
        <v>5.0276569999999996</v>
      </c>
      <c r="E4471">
        <v>0.41990680000000002</v>
      </c>
      <c r="F4471" t="s">
        <v>41</v>
      </c>
      <c r="G4471">
        <v>-410.79259999999999</v>
      </c>
      <c r="H4471">
        <v>1.04942</v>
      </c>
      <c r="I4471">
        <v>28.206620000000001</v>
      </c>
      <c r="J4471">
        <v>-411.40940000000001</v>
      </c>
      <c r="K4471">
        <v>1.1238900000000001</v>
      </c>
      <c r="L4471">
        <v>28.204740000000001</v>
      </c>
      <c r="M4471">
        <v>0.74815880000000001</v>
      </c>
      <c r="N4471">
        <v>-1.6262990000000001E-2</v>
      </c>
      <c r="O4471">
        <v>-0.66332049999999998</v>
      </c>
      <c r="P4471">
        <v>0.82206229999999902</v>
      </c>
      <c r="Q4471">
        <v>0.41287689999999999</v>
      </c>
      <c r="R4471">
        <v>-0.39210529999999999</v>
      </c>
      <c r="S4471">
        <v>3.3862000000000001</v>
      </c>
      <c r="T4471">
        <v>-0.2839448</v>
      </c>
      <c r="U4471">
        <v>-0.87564089999999895</v>
      </c>
      <c r="V4471">
        <v>-0.26537830000000001</v>
      </c>
      <c r="W4471">
        <v>0.41885420000000001</v>
      </c>
      <c r="X4471">
        <v>0.86840980000000001</v>
      </c>
      <c r="Y4471">
        <v>-0.45222059999999997</v>
      </c>
      <c r="Z4471">
        <v>6.03806E-2</v>
      </c>
      <c r="AA4471">
        <v>0.88985990000000004</v>
      </c>
      <c r="AB4471">
        <v>35</v>
      </c>
      <c r="AC4471">
        <v>0.61680000000001201</v>
      </c>
      <c r="AD4471">
        <v>-7.4469999999999995E-2</v>
      </c>
      <c r="AE4471">
        <v>1.87999999999988E-3</v>
      </c>
      <c r="AF4471">
        <v>-0.404697590806542</v>
      </c>
      <c r="AG4471">
        <v>-7.4469999999999995E-2</v>
      </c>
      <c r="AH4471">
        <v>0.453665038155597</v>
      </c>
      <c r="AI4471">
        <v>96.983681454846803</v>
      </c>
      <c r="AJ4471">
        <v>131.734957535218</v>
      </c>
      <c r="AK4471">
        <v>0.61248501022419999</v>
      </c>
      <c r="AL4471">
        <v>65.237731379482298</v>
      </c>
      <c r="AM4471">
        <v>106.992685551976</v>
      </c>
      <c r="AN4471">
        <v>1.0000000318522799</v>
      </c>
    </row>
    <row r="4472" spans="1:40" x14ac:dyDescent="0.25">
      <c r="A4472" t="str">
        <f>"20190304164735453"</f>
        <v>20190304164735453</v>
      </c>
      <c r="B4472" t="str">
        <f>"1551689255443315"</f>
        <v>1551689255443315</v>
      </c>
      <c r="C4472" t="s">
        <v>40</v>
      </c>
      <c r="D4472">
        <v>5.0332330000000001</v>
      </c>
      <c r="E4472">
        <v>0.42074539999999999</v>
      </c>
      <c r="F4472" t="s">
        <v>41</v>
      </c>
      <c r="G4472">
        <v>-410.48779999999999</v>
      </c>
      <c r="H4472">
        <v>1.0442279999999999</v>
      </c>
      <c r="I4472">
        <v>27.97569</v>
      </c>
      <c r="J4472">
        <v>-411.1617</v>
      </c>
      <c r="K4472">
        <v>1.123909</v>
      </c>
      <c r="L4472">
        <v>27.999179999999999</v>
      </c>
      <c r="M4472">
        <v>0.7567315</v>
      </c>
      <c r="N4472">
        <v>-1.6271319999999999E-2</v>
      </c>
      <c r="O4472">
        <v>-0.65352330000000003</v>
      </c>
      <c r="P4472">
        <v>0.82709249999999901</v>
      </c>
      <c r="Q4472">
        <v>0.4120103</v>
      </c>
      <c r="R4472">
        <v>-0.38231579999999998</v>
      </c>
      <c r="S4472">
        <v>3.3942260000000002</v>
      </c>
      <c r="T4472">
        <v>-0.29340899999999998</v>
      </c>
      <c r="U4472">
        <v>-0.84387209999999901</v>
      </c>
      <c r="V4472">
        <v>-0.26465569999999999</v>
      </c>
      <c r="W4472">
        <v>0.41801359999999899</v>
      </c>
      <c r="X4472">
        <v>0.86903509999999995</v>
      </c>
      <c r="Y4472">
        <v>-0.44877990000000001</v>
      </c>
      <c r="Z4472">
        <v>6.2034880000000001E-2</v>
      </c>
      <c r="AA4472">
        <v>0.89148660000000002</v>
      </c>
      <c r="AB4472">
        <v>35</v>
      </c>
      <c r="AC4472">
        <v>0.67390000000000305</v>
      </c>
      <c r="AD4472">
        <v>-7.9680999999999794E-2</v>
      </c>
      <c r="AE4472">
        <v>-2.3489999999995299E-2</v>
      </c>
      <c r="AF4472">
        <v>-0.41686877566154001</v>
      </c>
      <c r="AG4472">
        <v>-7.9680999999999794E-2</v>
      </c>
      <c r="AH4472">
        <v>0.51814707113035297</v>
      </c>
      <c r="AI4472">
        <v>96.832428887093698</v>
      </c>
      <c r="AJ4472">
        <v>128.817983667237</v>
      </c>
      <c r="AK4472">
        <v>0.669779833380727</v>
      </c>
      <c r="AL4472">
        <v>65.290759057020495</v>
      </c>
      <c r="AM4472">
        <v>106.937574796471</v>
      </c>
      <c r="AN4472">
        <v>1.0000000071797299</v>
      </c>
    </row>
    <row r="4473" spans="1:40" x14ac:dyDescent="0.25">
      <c r="A4473" t="str">
        <f>"20190304164735476"</f>
        <v>20190304164735476</v>
      </c>
      <c r="B4473" t="str">
        <f>"1551689255473571"</f>
        <v>1551689255473571</v>
      </c>
      <c r="C4473" t="s">
        <v>40</v>
      </c>
      <c r="D4473">
        <v>5.0445529999999996</v>
      </c>
      <c r="E4473">
        <v>0.43569429999999998</v>
      </c>
      <c r="F4473" t="s">
        <v>42</v>
      </c>
      <c r="G4473">
        <v>-398.39569999999998</v>
      </c>
      <c r="H4473" s="1">
        <v>-2.161946E-6</v>
      </c>
      <c r="I4473">
        <v>24.96481</v>
      </c>
      <c r="J4473">
        <v>-410.89449999999999</v>
      </c>
      <c r="K4473">
        <v>1.1239300000000001</v>
      </c>
      <c r="L4473">
        <v>27.783629999999999</v>
      </c>
      <c r="M4473">
        <v>0.76577729999999999</v>
      </c>
      <c r="N4473">
        <v>-1.6279599999999901E-2</v>
      </c>
      <c r="O4473">
        <v>-0.64289980000000002</v>
      </c>
      <c r="P4473">
        <v>0.83185030000000004</v>
      </c>
      <c r="Q4473">
        <v>0.4119024</v>
      </c>
      <c r="R4473">
        <v>-0.37196990000000002</v>
      </c>
      <c r="S4473">
        <v>3.4025270000000001</v>
      </c>
      <c r="T4473">
        <v>-0.29955520000000002</v>
      </c>
      <c r="U4473">
        <v>-0.80874630000000003</v>
      </c>
      <c r="V4473">
        <v>-0.2634127</v>
      </c>
      <c r="W4473">
        <v>0.4179446</v>
      </c>
      <c r="X4473">
        <v>0.86944580000000005</v>
      </c>
      <c r="Y4473">
        <v>-0.4454149</v>
      </c>
      <c r="Z4473">
        <v>6.2820609999999999E-2</v>
      </c>
      <c r="AA4473">
        <v>0.89311770000000001</v>
      </c>
      <c r="AB4473">
        <v>35</v>
      </c>
      <c r="AC4473">
        <v>12.498799999999999</v>
      </c>
      <c r="AD4473">
        <v>-1.1239321619460001</v>
      </c>
      <c r="AE4473">
        <v>-2.8188199999999899</v>
      </c>
      <c r="AF4473">
        <v>-5.8327842765569899</v>
      </c>
      <c r="AG4473">
        <v>-1.1239321619460001</v>
      </c>
      <c r="AH4473">
        <v>11.2980880087402</v>
      </c>
      <c r="AI4473">
        <v>95.051532394159295</v>
      </c>
      <c r="AJ4473">
        <v>117.305630904848</v>
      </c>
      <c r="AK4473">
        <v>12.764458021190899</v>
      </c>
      <c r="AL4473">
        <v>65.295109840802297</v>
      </c>
      <c r="AM4473">
        <v>106.855035371442</v>
      </c>
      <c r="AN4473">
        <v>0.99999996916404399</v>
      </c>
    </row>
    <row r="4474" spans="1:40" x14ac:dyDescent="0.25">
      <c r="A4474" t="str">
        <f>"20190304164735497"</f>
        <v>20190304164735497</v>
      </c>
      <c r="B4474" t="str">
        <f>"1551689255494067"</f>
        <v>1551689255494067</v>
      </c>
      <c r="C4474" t="s">
        <v>40</v>
      </c>
      <c r="D4474">
        <v>5.0503309999999999</v>
      </c>
      <c r="E4474">
        <v>0.43583349999999998</v>
      </c>
      <c r="F4474" t="s">
        <v>41</v>
      </c>
      <c r="G4474">
        <v>-409.81819999999999</v>
      </c>
      <c r="H4474">
        <v>1.0114799999999999</v>
      </c>
      <c r="I4474">
        <v>27.50384</v>
      </c>
      <c r="J4474">
        <v>-410.6225</v>
      </c>
      <c r="K4474">
        <v>1.1239459999999999</v>
      </c>
      <c r="L4474">
        <v>27.57077</v>
      </c>
      <c r="M4474">
        <v>0.774765699999999</v>
      </c>
      <c r="N4474">
        <v>-1.628686E-2</v>
      </c>
      <c r="O4474">
        <v>-0.63203880000000001</v>
      </c>
      <c r="P4474">
        <v>0.83628150000000001</v>
      </c>
      <c r="Q4474">
        <v>0.41203600000000001</v>
      </c>
      <c r="R4474">
        <v>-0.3617456</v>
      </c>
      <c r="S4474">
        <v>3.3881839999999999</v>
      </c>
      <c r="T4474">
        <v>-0.35392269999999998</v>
      </c>
      <c r="U4474">
        <v>-0.88003539999999902</v>
      </c>
      <c r="V4474">
        <v>-0.26178279999999998</v>
      </c>
      <c r="W4474">
        <v>0.41813099999999997</v>
      </c>
      <c r="X4474">
        <v>0.86984839999999997</v>
      </c>
      <c r="Y4474">
        <v>-0.41290979999999999</v>
      </c>
      <c r="Z4474">
        <v>7.3053939999999998E-2</v>
      </c>
      <c r="AA4474">
        <v>0.90783729999999996</v>
      </c>
      <c r="AB4474">
        <v>35</v>
      </c>
      <c r="AC4474">
        <v>0.80430000000001201</v>
      </c>
      <c r="AD4474">
        <v>-0.112465999999999</v>
      </c>
      <c r="AE4474">
        <v>-6.6929999999995701E-2</v>
      </c>
      <c r="AF4474">
        <v>-0.44785765409834499</v>
      </c>
      <c r="AG4474">
        <v>-0.112465999999999</v>
      </c>
      <c r="AH4474">
        <v>0.65285729612235999</v>
      </c>
      <c r="AI4474">
        <v>98.085066885672205</v>
      </c>
      <c r="AJ4474">
        <v>124.449976212743</v>
      </c>
      <c r="AK4474">
        <v>0.79965475587322798</v>
      </c>
      <c r="AL4474">
        <v>65.283354261204096</v>
      </c>
      <c r="AM4474">
        <v>106.749284064082</v>
      </c>
      <c r="AN4474">
        <v>1.0000000032597001</v>
      </c>
    </row>
    <row r="4475" spans="1:40" x14ac:dyDescent="0.25">
      <c r="A4475" t="str">
        <f>"20190304164735522"</f>
        <v>20190304164735522</v>
      </c>
      <c r="B4475" t="str">
        <f>"1551689255513590"</f>
        <v>1551689255513590</v>
      </c>
      <c r="C4475" t="s">
        <v>40</v>
      </c>
      <c r="D4475">
        <v>5.0321509999999998</v>
      </c>
      <c r="E4475">
        <v>0.43663289999999999</v>
      </c>
      <c r="F4475" t="s">
        <v>41</v>
      </c>
      <c r="G4475">
        <v>-409.58089999999999</v>
      </c>
      <c r="H4475">
        <v>1.015274</v>
      </c>
      <c r="I4475">
        <v>27.314830000000001</v>
      </c>
      <c r="J4475">
        <v>-410.33550000000002</v>
      </c>
      <c r="K4475">
        <v>1.123964</v>
      </c>
      <c r="L4475">
        <v>27.352689999999999</v>
      </c>
      <c r="M4475">
        <v>0.78401739999999998</v>
      </c>
      <c r="N4475">
        <v>-1.6293269999999999E-2</v>
      </c>
      <c r="O4475">
        <v>-0.6205252</v>
      </c>
      <c r="P4475">
        <v>0.84076450000000003</v>
      </c>
      <c r="Q4475">
        <v>0.41203699999999999</v>
      </c>
      <c r="R4475">
        <v>-0.35119899999999998</v>
      </c>
      <c r="S4475">
        <v>3.4008479999999999</v>
      </c>
      <c r="T4475">
        <v>-0.35477140000000001</v>
      </c>
      <c r="U4475">
        <v>-0.83523559999999997</v>
      </c>
      <c r="V4475">
        <v>-0.25987710000000003</v>
      </c>
      <c r="W4475">
        <v>0.41819679999999998</v>
      </c>
      <c r="X4475">
        <v>0.87038799999999905</v>
      </c>
      <c r="Y4475">
        <v>-0.41155799999999998</v>
      </c>
      <c r="Z4475">
        <v>7.2403389999999998E-2</v>
      </c>
      <c r="AA4475">
        <v>0.90850310000000001</v>
      </c>
      <c r="AB4475">
        <v>35</v>
      </c>
      <c r="AC4475">
        <v>0.75460000000003902</v>
      </c>
      <c r="AD4475">
        <v>-0.108689999999999</v>
      </c>
      <c r="AE4475">
        <v>-3.7860000000001899E-2</v>
      </c>
      <c r="AF4475">
        <v>-0.42973054705366598</v>
      </c>
      <c r="AG4475">
        <v>-0.108689999999999</v>
      </c>
      <c r="AH4475">
        <v>0.60272121289475999</v>
      </c>
      <c r="AI4475">
        <v>98.353200713468794</v>
      </c>
      <c r="AJ4475">
        <v>125.488259359476</v>
      </c>
      <c r="AK4475">
        <v>0.74816757457428895</v>
      </c>
      <c r="AL4475">
        <v>65.279203046955999</v>
      </c>
      <c r="AM4475">
        <v>106.62437046953499</v>
      </c>
      <c r="AN4475">
        <v>0.99999997058932399</v>
      </c>
    </row>
    <row r="4476" spans="1:40" x14ac:dyDescent="0.25">
      <c r="A4476" t="str">
        <f>"20190304164735543"</f>
        <v>20190304164735543</v>
      </c>
      <c r="B4476" t="str">
        <f>"1551689255534083"</f>
        <v>1551689255534083</v>
      </c>
      <c r="C4476" t="s">
        <v>40</v>
      </c>
      <c r="D4476">
        <v>5.035018</v>
      </c>
      <c r="E4476">
        <v>0.43803449999999999</v>
      </c>
      <c r="F4476" t="s">
        <v>41</v>
      </c>
      <c r="G4476">
        <v>-409.34370000000001</v>
      </c>
      <c r="H4476">
        <v>1.02006</v>
      </c>
      <c r="I4476">
        <v>27.121939999999999</v>
      </c>
      <c r="J4476">
        <v>-410.06650000000002</v>
      </c>
      <c r="K4476">
        <v>1.123974</v>
      </c>
      <c r="L4476">
        <v>27.154209999999999</v>
      </c>
      <c r="M4476">
        <v>0.79247409999999996</v>
      </c>
      <c r="N4476">
        <v>-1.6298070000000001E-2</v>
      </c>
      <c r="O4476">
        <v>-0.60968800000000001</v>
      </c>
      <c r="P4476">
        <v>0.84515209999999996</v>
      </c>
      <c r="Q4476">
        <v>0.41139969999999998</v>
      </c>
      <c r="R4476">
        <v>-0.34127489999999999</v>
      </c>
      <c r="S4476">
        <v>3.4121090000000001</v>
      </c>
      <c r="T4476">
        <v>-0.35737780000000002</v>
      </c>
      <c r="U4476">
        <v>-0.79290769999999899</v>
      </c>
      <c r="V4476">
        <v>-0.25832840000000001</v>
      </c>
      <c r="W4476">
        <v>0.41761759999999898</v>
      </c>
      <c r="X4476">
        <v>0.87112679999999998</v>
      </c>
      <c r="Y4476">
        <v>-0.41037479999999998</v>
      </c>
      <c r="Z4476">
        <v>7.2186440000000004E-2</v>
      </c>
      <c r="AA4476">
        <v>0.90905539999999996</v>
      </c>
      <c r="AB4476">
        <v>35</v>
      </c>
      <c r="AC4476">
        <v>0.72280000000000599</v>
      </c>
      <c r="AD4476">
        <v>-0.10391400000000001</v>
      </c>
      <c r="AE4476">
        <v>-3.2269999999996898E-2</v>
      </c>
      <c r="AF4476">
        <v>-0.40677369835593802</v>
      </c>
      <c r="AG4476">
        <v>-0.10391400000000001</v>
      </c>
      <c r="AH4476">
        <v>0.58057765371432801</v>
      </c>
      <c r="AI4476">
        <v>98.339334847516795</v>
      </c>
      <c r="AJ4476">
        <v>125.01647552578299</v>
      </c>
      <c r="AK4476">
        <v>0.71647286973241497</v>
      </c>
      <c r="AL4476">
        <v>65.315731263422194</v>
      </c>
      <c r="AM4476">
        <v>106.517466362739</v>
      </c>
      <c r="AN4476">
        <v>0.99999996187727902</v>
      </c>
    </row>
    <row r="4477" spans="1:40" x14ac:dyDescent="0.25">
      <c r="A4477" t="str">
        <f>"20190304164735565"</f>
        <v>20190304164735565</v>
      </c>
      <c r="B4477" t="str">
        <f>"1551689255553603"</f>
        <v>1551689255553603</v>
      </c>
      <c r="C4477" t="s">
        <v>40</v>
      </c>
      <c r="D4477">
        <v>5.0286759999999999</v>
      </c>
      <c r="E4477">
        <v>0.44741510000000001</v>
      </c>
      <c r="F4477" t="s">
        <v>41</v>
      </c>
      <c r="G4477">
        <v>-409.041</v>
      </c>
      <c r="H4477">
        <v>1.015058</v>
      </c>
      <c r="I4477">
        <v>26.926880000000001</v>
      </c>
      <c r="J4477">
        <v>-409.79700000000003</v>
      </c>
      <c r="K4477">
        <v>1.1239859999999999</v>
      </c>
      <c r="L4477">
        <v>26.961120000000001</v>
      </c>
      <c r="M4477">
        <v>0.80073509999999903</v>
      </c>
      <c r="N4477">
        <v>-1.6301699999999999E-2</v>
      </c>
      <c r="O4477">
        <v>-0.59879680000000002</v>
      </c>
      <c r="P4477">
        <v>0.84946069999999996</v>
      </c>
      <c r="Q4477">
        <v>0.41075780000000001</v>
      </c>
      <c r="R4477">
        <v>-0.33120149999999998</v>
      </c>
      <c r="S4477">
        <v>3.4203800000000002</v>
      </c>
      <c r="T4477">
        <v>-0.36326730000000002</v>
      </c>
      <c r="U4477">
        <v>-0.75805659999999997</v>
      </c>
      <c r="V4477">
        <v>-0.25693939999999998</v>
      </c>
      <c r="W4477">
        <v>0.41702909999999999</v>
      </c>
      <c r="X4477">
        <v>0.87181929999999996</v>
      </c>
      <c r="Y4477">
        <v>-0.40711740000000002</v>
      </c>
      <c r="Z4477">
        <v>7.2563959999999997E-2</v>
      </c>
      <c r="AA4477">
        <v>0.91048879999999999</v>
      </c>
      <c r="AB4477">
        <v>35</v>
      </c>
      <c r="AC4477">
        <v>0.75599999999997103</v>
      </c>
      <c r="AD4477">
        <v>-0.108928</v>
      </c>
      <c r="AE4477">
        <v>-3.4240000000000402E-2</v>
      </c>
      <c r="AF4477">
        <v>-0.41669664284743502</v>
      </c>
      <c r="AG4477">
        <v>-0.108928</v>
      </c>
      <c r="AH4477">
        <v>0.61323672633133897</v>
      </c>
      <c r="AI4477">
        <v>98.358054210961399</v>
      </c>
      <c r="AJ4477">
        <v>124.196254139601</v>
      </c>
      <c r="AK4477">
        <v>0.74937352759882103</v>
      </c>
      <c r="AL4477">
        <v>65.3528365044331</v>
      </c>
      <c r="AM4477">
        <v>106.421107105628</v>
      </c>
      <c r="AN4477">
        <v>1.0000000086858301</v>
      </c>
    </row>
    <row r="4478" spans="1:40" x14ac:dyDescent="0.25">
      <c r="A4478" t="str">
        <f>"20190304164735588"</f>
        <v>20190304164735588</v>
      </c>
      <c r="B4478" t="str">
        <f>"1551689255583859"</f>
        <v>1551689255583859</v>
      </c>
      <c r="C4478" t="s">
        <v>40</v>
      </c>
      <c r="D4478">
        <v>5.0089180000000004</v>
      </c>
      <c r="E4478">
        <v>0.44942969999999999</v>
      </c>
      <c r="F4478" t="s">
        <v>53</v>
      </c>
      <c r="G4478">
        <v>-400.02370000000002</v>
      </c>
      <c r="H4478" s="1">
        <v>-6.7123860000000003E-6</v>
      </c>
      <c r="I4478">
        <v>24.707049999999999</v>
      </c>
      <c r="J4478">
        <v>-409.51369999999997</v>
      </c>
      <c r="K4478">
        <v>1.123993</v>
      </c>
      <c r="L4478">
        <v>26.763919999999999</v>
      </c>
      <c r="M4478">
        <v>0.80920259999999999</v>
      </c>
      <c r="N4478">
        <v>-1.6304220000000001E-2</v>
      </c>
      <c r="O4478">
        <v>-0.58730349999999998</v>
      </c>
      <c r="P4478">
        <v>0.85389099999999996</v>
      </c>
      <c r="Q4478">
        <v>0.40993210000000002</v>
      </c>
      <c r="R4478">
        <v>-0.32066460000000002</v>
      </c>
      <c r="S4478">
        <v>3.4144899999999998</v>
      </c>
      <c r="T4478">
        <v>-0.39268969999999997</v>
      </c>
      <c r="U4478">
        <v>-0.78750609999999999</v>
      </c>
      <c r="V4478">
        <v>-0.25548149999999997</v>
      </c>
      <c r="W4478">
        <v>0.41626059999999998</v>
      </c>
      <c r="X4478">
        <v>0.87261469999999897</v>
      </c>
      <c r="Y4478">
        <v>-0.3855983</v>
      </c>
      <c r="Z4478">
        <v>7.6812899999999906E-2</v>
      </c>
      <c r="AA4478">
        <v>0.91946380000000005</v>
      </c>
      <c r="AB4478">
        <v>35</v>
      </c>
      <c r="AC4478">
        <v>9.4899999999999505</v>
      </c>
      <c r="AD4478">
        <v>-1.1239997123859999</v>
      </c>
      <c r="AE4478">
        <v>-2.05687</v>
      </c>
      <c r="AF4478">
        <v>-3.85791411287151</v>
      </c>
      <c r="AG4478">
        <v>-1.1239997123859999</v>
      </c>
      <c r="AH4478">
        <v>8.7710006677014398</v>
      </c>
      <c r="AI4478">
        <v>96.690433792246694</v>
      </c>
      <c r="AJ4478">
        <v>113.742236080171</v>
      </c>
      <c r="AK4478">
        <v>9.6476592688877698</v>
      </c>
      <c r="AL4478">
        <v>65.401273708034907</v>
      </c>
      <c r="AM4478">
        <v>106.31881615519301</v>
      </c>
      <c r="AN4478">
        <v>1.00000004930534</v>
      </c>
    </row>
    <row r="4479" spans="1:40" x14ac:dyDescent="0.25">
      <c r="A4479" t="str">
        <f>"20190304164735611"</f>
        <v>20190304164735611</v>
      </c>
      <c r="B4479" t="str">
        <f>"1551689255603379"</f>
        <v>1551689255603379</v>
      </c>
      <c r="C4479" t="s">
        <v>40</v>
      </c>
      <c r="D4479">
        <v>5.0074360000000002</v>
      </c>
      <c r="E4479">
        <v>0.45073249999999998</v>
      </c>
      <c r="F4479" t="s">
        <v>42</v>
      </c>
      <c r="G4479">
        <v>-399.8503</v>
      </c>
      <c r="H4479" s="1">
        <v>-1.3849700000000001E-6</v>
      </c>
      <c r="I4479">
        <v>24.628969999999999</v>
      </c>
      <c r="J4479">
        <v>-409.21679999999998</v>
      </c>
      <c r="K4479">
        <v>1.123991</v>
      </c>
      <c r="L4479">
        <v>26.563600000000001</v>
      </c>
      <c r="M4479">
        <v>0.81783950000000005</v>
      </c>
      <c r="N4479">
        <v>-1.6306350000000001E-2</v>
      </c>
      <c r="O4479">
        <v>-0.57521529999999998</v>
      </c>
      <c r="P4479">
        <v>0.85812919999999904</v>
      </c>
      <c r="Q4479">
        <v>0.40960980000000002</v>
      </c>
      <c r="R4479">
        <v>-0.30957109999999999</v>
      </c>
      <c r="S4479">
        <v>3.4205320000000001</v>
      </c>
      <c r="T4479">
        <v>-0.39785989999999999</v>
      </c>
      <c r="U4479">
        <v>-0.75570680000000001</v>
      </c>
      <c r="V4479">
        <v>-0.25389699999999998</v>
      </c>
      <c r="W4479">
        <v>0.41599700000000001</v>
      </c>
      <c r="X4479">
        <v>0.8732027</v>
      </c>
      <c r="Y4479">
        <v>-0.38032909999999998</v>
      </c>
      <c r="Z4479">
        <v>7.6675119999999999E-2</v>
      </c>
      <c r="AA4479">
        <v>0.92166729999999997</v>
      </c>
      <c r="AB4479">
        <v>35</v>
      </c>
      <c r="AC4479">
        <v>9.3664999999999701</v>
      </c>
      <c r="AD4479">
        <v>-1.12399238497</v>
      </c>
      <c r="AE4479">
        <v>-1.9346299999999901</v>
      </c>
      <c r="AF4479">
        <v>-3.75419376807967</v>
      </c>
      <c r="AG4479">
        <v>-1.12399238497</v>
      </c>
      <c r="AH4479">
        <v>8.6547573320562403</v>
      </c>
      <c r="AI4479">
        <v>96.794406056097998</v>
      </c>
      <c r="AJ4479">
        <v>113.449862942756</v>
      </c>
      <c r="AK4479">
        <v>9.5006396735451393</v>
      </c>
      <c r="AL4479">
        <v>65.417883887175506</v>
      </c>
      <c r="AM4479">
        <v>106.21259488400401</v>
      </c>
      <c r="AN4479">
        <v>1.0000000729526399</v>
      </c>
    </row>
    <row r="4480" spans="1:40" x14ac:dyDescent="0.25">
      <c r="A4480" t="str">
        <f>"20190304164735632"</f>
        <v>20190304164735632</v>
      </c>
      <c r="B4480" t="str">
        <f>"1551689255623878"</f>
        <v>1551689255623878</v>
      </c>
      <c r="C4480" t="s">
        <v>40</v>
      </c>
      <c r="D4480">
        <v>5.0105240000000002</v>
      </c>
      <c r="E4480">
        <v>0.45835310000000001</v>
      </c>
      <c r="F4480" t="s">
        <v>42</v>
      </c>
      <c r="G4480">
        <v>-399.70429999999999</v>
      </c>
      <c r="H4480" s="1">
        <v>-1.4388089999999999E-6</v>
      </c>
      <c r="I4480">
        <v>24.571819999999999</v>
      </c>
      <c r="J4480">
        <v>-408.95440000000002</v>
      </c>
      <c r="K4480">
        <v>1.1239939999999999</v>
      </c>
      <c r="L4480">
        <v>26.392029999999998</v>
      </c>
      <c r="M4480">
        <v>0.82527629999999996</v>
      </c>
      <c r="N4480">
        <v>-1.6308139999999999E-2</v>
      </c>
      <c r="O4480">
        <v>-0.5644941</v>
      </c>
      <c r="P4480">
        <v>0.86133099999999996</v>
      </c>
      <c r="Q4480">
        <v>0.41022769999999997</v>
      </c>
      <c r="R4480">
        <v>-0.29970409999999997</v>
      </c>
      <c r="S4480">
        <v>3.4303279999999998</v>
      </c>
      <c r="T4480">
        <v>-0.40532550000000001</v>
      </c>
      <c r="U4480">
        <v>-0.718261699999999</v>
      </c>
      <c r="V4480">
        <v>-0.25237199999999999</v>
      </c>
      <c r="W4480">
        <v>0.41666419999999998</v>
      </c>
      <c r="X4480">
        <v>0.87332659999999995</v>
      </c>
      <c r="Y4480">
        <v>-0.37830910000000001</v>
      </c>
      <c r="Z4480">
        <v>7.7199909999999997E-2</v>
      </c>
      <c r="AA4480">
        <v>0.92245449999999996</v>
      </c>
      <c r="AB4480">
        <v>35</v>
      </c>
      <c r="AC4480">
        <v>9.25010000000003</v>
      </c>
      <c r="AD4480">
        <v>-1.1239954388089901</v>
      </c>
      <c r="AE4480">
        <v>-1.8202099999999899</v>
      </c>
      <c r="AF4480">
        <v>-3.6678077174836501</v>
      </c>
      <c r="AG4480">
        <v>-1.1239954388089901</v>
      </c>
      <c r="AH4480">
        <v>8.5411264650333099</v>
      </c>
      <c r="AI4480">
        <v>96.894737146213103</v>
      </c>
      <c r="AJ4480">
        <v>113.24009023009501</v>
      </c>
      <c r="AK4480">
        <v>9.3630668314707908</v>
      </c>
      <c r="AL4480">
        <v>65.375837538666005</v>
      </c>
      <c r="AM4480">
        <v>106.11811998053599</v>
      </c>
      <c r="AN4480">
        <v>1.0000000161065901</v>
      </c>
    </row>
    <row r="4481" spans="1:40" x14ac:dyDescent="0.25">
      <c r="A4481" t="str">
        <f>"20190304164735655"</f>
        <v>20190304164735655</v>
      </c>
      <c r="B4481" t="str">
        <f>"1551689255643395"</f>
        <v>1551689255643395</v>
      </c>
      <c r="C4481" t="s">
        <v>40</v>
      </c>
      <c r="D4481">
        <v>5.0014640000000004</v>
      </c>
      <c r="E4481">
        <v>0.45882650000000003</v>
      </c>
      <c r="F4481" t="s">
        <v>42</v>
      </c>
      <c r="G4481">
        <v>-399.95460000000003</v>
      </c>
      <c r="H4481" s="1">
        <v>-1.290515E-6</v>
      </c>
      <c r="I4481">
        <v>24.45917</v>
      </c>
      <c r="J4481">
        <v>-408.6737</v>
      </c>
      <c r="K4481">
        <v>1.12401</v>
      </c>
      <c r="L4481">
        <v>26.213809999999999</v>
      </c>
      <c r="M4481">
        <v>0.83303680000000002</v>
      </c>
      <c r="N4481">
        <v>-1.631055E-2</v>
      </c>
      <c r="O4481">
        <v>-0.5529771</v>
      </c>
      <c r="P4481">
        <v>0.86462899999999998</v>
      </c>
      <c r="Q4481">
        <v>0.41044799999999998</v>
      </c>
      <c r="R4481">
        <v>-0.2897401</v>
      </c>
      <c r="S4481">
        <v>3.4306339999999902</v>
      </c>
      <c r="T4481">
        <v>-0.42845509999999898</v>
      </c>
      <c r="U4481">
        <v>-0.73678589999999999</v>
      </c>
      <c r="V4481">
        <v>-0.25026799999999999</v>
      </c>
      <c r="W4481">
        <v>0.41695589999999999</v>
      </c>
      <c r="X4481">
        <v>0.87379269999999998</v>
      </c>
      <c r="Y4481">
        <v>-0.36021969999999998</v>
      </c>
      <c r="Z4481">
        <v>7.9675380000000004E-2</v>
      </c>
      <c r="AA4481">
        <v>0.92945880000000003</v>
      </c>
      <c r="AB4481">
        <v>35</v>
      </c>
      <c r="AC4481">
        <v>8.7190999999999601</v>
      </c>
      <c r="AD4481">
        <v>-1.1240112905149999</v>
      </c>
      <c r="AE4481">
        <v>-1.75464</v>
      </c>
      <c r="AF4481">
        <v>-3.3074043506539099</v>
      </c>
      <c r="AG4481">
        <v>-1.1240112905149999</v>
      </c>
      <c r="AH4481">
        <v>8.1052460112038798</v>
      </c>
      <c r="AI4481">
        <v>97.316662097225205</v>
      </c>
      <c r="AJ4481">
        <v>112.198271260276</v>
      </c>
      <c r="AK4481">
        <v>8.8259468513053001</v>
      </c>
      <c r="AL4481">
        <v>65.357450347869403</v>
      </c>
      <c r="AM4481">
        <v>105.98254719047701</v>
      </c>
      <c r="AN4481">
        <v>0.99999998847104898</v>
      </c>
    </row>
    <row r="4482" spans="1:40" x14ac:dyDescent="0.25">
      <c r="A4482" t="str">
        <f>"20190304164735678"</f>
        <v>20190304164735678</v>
      </c>
      <c r="B4482" t="str">
        <f>"1551689255673651"</f>
        <v>1551689255673651</v>
      </c>
      <c r="C4482" t="s">
        <v>40</v>
      </c>
      <c r="D4482">
        <v>4.9875249999999998</v>
      </c>
      <c r="E4482">
        <v>0.46011380000000002</v>
      </c>
      <c r="F4482" t="s">
        <v>42</v>
      </c>
      <c r="G4482">
        <v>-399.49029999999999</v>
      </c>
      <c r="H4482" s="1">
        <v>-1.4832769999999901E-6</v>
      </c>
      <c r="I4482">
        <v>24.358879999999999</v>
      </c>
      <c r="J4482">
        <v>-408.3596</v>
      </c>
      <c r="K4482">
        <v>1.124028</v>
      </c>
      <c r="L4482">
        <v>26.02148</v>
      </c>
      <c r="M4482">
        <v>0.84148279999999998</v>
      </c>
      <c r="N4482">
        <v>-1.6314519999999999E-2</v>
      </c>
      <c r="O4482">
        <v>-0.54003749999999995</v>
      </c>
      <c r="P4482">
        <v>0.86759889999999995</v>
      </c>
      <c r="Q4482">
        <v>0.41140599999999999</v>
      </c>
      <c r="R4482">
        <v>-0.27931620000000001</v>
      </c>
      <c r="S4482">
        <v>3.4367679999999998</v>
      </c>
      <c r="T4482">
        <v>-0.42064800000000002</v>
      </c>
      <c r="U4482">
        <v>-0.69418329999999995</v>
      </c>
      <c r="V4482">
        <v>-0.24705540000000001</v>
      </c>
      <c r="W4482">
        <v>0.41801969999999999</v>
      </c>
      <c r="X4482">
        <v>0.87419859999999905</v>
      </c>
      <c r="Y4482">
        <v>-0.35748439999999998</v>
      </c>
      <c r="Z4482">
        <v>7.6888199999999907E-2</v>
      </c>
      <c r="AA4482">
        <v>0.93074860000000004</v>
      </c>
      <c r="AB4482">
        <v>34</v>
      </c>
      <c r="AC4482">
        <v>8.8693000000000097</v>
      </c>
      <c r="AD4482">
        <v>-1.1240294832769999</v>
      </c>
      <c r="AE4482">
        <v>-1.6626000000000001</v>
      </c>
      <c r="AF4482">
        <v>-3.3393436614583698</v>
      </c>
      <c r="AG4482">
        <v>-1.1240294832769999</v>
      </c>
      <c r="AH4482">
        <v>8.2345757356349605</v>
      </c>
      <c r="AI4482">
        <v>97.209377548670602</v>
      </c>
      <c r="AJ4482">
        <v>112.073887945389</v>
      </c>
      <c r="AK4482">
        <v>8.9567235032966295</v>
      </c>
      <c r="AL4482">
        <v>65.290374565732904</v>
      </c>
      <c r="AM4482">
        <v>105.780709240767</v>
      </c>
      <c r="AN4482">
        <v>1.0000000162496001</v>
      </c>
    </row>
    <row r="4483" spans="1:40" x14ac:dyDescent="0.25">
      <c r="A4483" t="str">
        <f>"20190304164735700"</f>
        <v>20190304164735700</v>
      </c>
      <c r="B4483" t="str">
        <f>"1551689255694147"</f>
        <v>1551689255694147</v>
      </c>
      <c r="C4483" t="s">
        <v>40</v>
      </c>
      <c r="D4483">
        <v>4.9867819999999998</v>
      </c>
      <c r="E4483">
        <v>0.46167809999999998</v>
      </c>
      <c r="F4483" t="s">
        <v>42</v>
      </c>
      <c r="G4483">
        <v>-399.08769999999998</v>
      </c>
      <c r="H4483" s="1">
        <v>-1.6463229999999901E-6</v>
      </c>
      <c r="I4483">
        <v>24.256430000000002</v>
      </c>
      <c r="J4483">
        <v>-408.07440000000003</v>
      </c>
      <c r="K4483">
        <v>1.124044</v>
      </c>
      <c r="L4483">
        <v>25.852329999999998</v>
      </c>
      <c r="M4483">
        <v>0.84894419999999904</v>
      </c>
      <c r="N4483">
        <v>-1.6318719999999998E-2</v>
      </c>
      <c r="O4483">
        <v>-0.52823069999999905</v>
      </c>
      <c r="P4483">
        <v>0.87031510000000001</v>
      </c>
      <c r="Q4483">
        <v>0.4112673</v>
      </c>
      <c r="R4483">
        <v>-0.27094469999999998</v>
      </c>
      <c r="S4483">
        <v>3.4447329999999998</v>
      </c>
      <c r="T4483">
        <v>-0.41760520000000001</v>
      </c>
      <c r="U4483">
        <v>-0.655761699999999</v>
      </c>
      <c r="V4483">
        <v>-0.2432802</v>
      </c>
      <c r="W4483">
        <v>0.41801569999999999</v>
      </c>
      <c r="X4483">
        <v>0.875258599999999</v>
      </c>
      <c r="Y4483">
        <v>-0.35502119999999998</v>
      </c>
      <c r="Z4483">
        <v>7.5104009999999999E-2</v>
      </c>
      <c r="AA4483">
        <v>0.93183649999999996</v>
      </c>
      <c r="AB4483">
        <v>34</v>
      </c>
      <c r="AC4483">
        <v>8.9867000000000399</v>
      </c>
      <c r="AD4483">
        <v>-1.124045646323</v>
      </c>
      <c r="AE4483">
        <v>-1.5959000000000001</v>
      </c>
      <c r="AF4483">
        <v>-3.34198621753267</v>
      </c>
      <c r="AG4483">
        <v>-1.124045646323</v>
      </c>
      <c r="AH4483">
        <v>8.3467473336227798</v>
      </c>
      <c r="AI4483">
        <v>97.126131483874303</v>
      </c>
      <c r="AJ4483">
        <v>111.820859755716</v>
      </c>
      <c r="AK4483">
        <v>9.0609349155887298</v>
      </c>
      <c r="AL4483">
        <v>65.290626393753797</v>
      </c>
      <c r="AM4483">
        <v>105.533397264597</v>
      </c>
      <c r="AN4483">
        <v>0.99999999901624403</v>
      </c>
    </row>
    <row r="4484" spans="1:40" x14ac:dyDescent="0.25">
      <c r="A4484" t="str">
        <f>"20190304164735725"</f>
        <v>20190304164735725</v>
      </c>
      <c r="B4484" t="str">
        <f>"1551689255713667"</f>
        <v>1551689255713667</v>
      </c>
      <c r="C4484" t="s">
        <v>40</v>
      </c>
      <c r="D4484">
        <v>4.9975880000000004</v>
      </c>
      <c r="E4484">
        <v>0.46312809999999999</v>
      </c>
      <c r="F4484" t="s">
        <v>42</v>
      </c>
      <c r="G4484">
        <v>-398.83460000000002</v>
      </c>
      <c r="H4484" s="1">
        <v>-1.744187E-6</v>
      </c>
      <c r="I4484">
        <v>24.174420000000001</v>
      </c>
      <c r="J4484">
        <v>-407.76389999999998</v>
      </c>
      <c r="K4484">
        <v>1.1240600000000001</v>
      </c>
      <c r="L4484">
        <v>25.674379999999999</v>
      </c>
      <c r="M4484">
        <v>0.85684249999999995</v>
      </c>
      <c r="N4484">
        <v>-1.6323310000000001E-2</v>
      </c>
      <c r="O4484">
        <v>-0.51531990000000005</v>
      </c>
      <c r="P4484">
        <v>0.87322259999999996</v>
      </c>
      <c r="Q4484">
        <v>0.41107080000000001</v>
      </c>
      <c r="R4484">
        <v>-0.26173049999999998</v>
      </c>
      <c r="S4484">
        <v>3.4503170000000001</v>
      </c>
      <c r="T4484">
        <v>-0.41973650000000001</v>
      </c>
      <c r="U4484">
        <v>-0.62655640000000001</v>
      </c>
      <c r="V4484">
        <v>-0.23930609999999999</v>
      </c>
      <c r="W4484">
        <v>0.41796159999999999</v>
      </c>
      <c r="X4484">
        <v>0.87637929999999997</v>
      </c>
      <c r="Y4484">
        <v>-0.34882990000000003</v>
      </c>
      <c r="Z4484">
        <v>7.3982660000000006E-2</v>
      </c>
      <c r="AA4484">
        <v>0.93426129999999996</v>
      </c>
      <c r="AB4484">
        <v>34</v>
      </c>
      <c r="AC4484">
        <v>8.9292999999999498</v>
      </c>
      <c r="AD4484">
        <v>-1.124061744187</v>
      </c>
      <c r="AE4484">
        <v>-1.49995999999999</v>
      </c>
      <c r="AF4484">
        <v>-3.26631755767036</v>
      </c>
      <c r="AG4484">
        <v>-1.124061744187</v>
      </c>
      <c r="AH4484">
        <v>8.2972080097663898</v>
      </c>
      <c r="AI4484">
        <v>97.184728859517904</v>
      </c>
      <c r="AJ4484">
        <v>111.487806540157</v>
      </c>
      <c r="AK4484">
        <v>8.9875472710646704</v>
      </c>
      <c r="AL4484">
        <v>65.294038304605806</v>
      </c>
      <c r="AM4484">
        <v>105.272981022702</v>
      </c>
      <c r="AN4484">
        <v>0.99999999302012998</v>
      </c>
    </row>
    <row r="4485" spans="1:40" x14ac:dyDescent="0.25">
      <c r="A4485" t="str">
        <f>"20190304164735747"</f>
        <v>20190304164735747</v>
      </c>
      <c r="B4485" t="str">
        <f>"1551689255743923"</f>
        <v>1551689255743923</v>
      </c>
      <c r="C4485" t="s">
        <v>40</v>
      </c>
      <c r="D4485">
        <v>5.0018609999999999</v>
      </c>
      <c r="E4485">
        <v>0.47217310000000001</v>
      </c>
      <c r="F4485" t="s">
        <v>42</v>
      </c>
      <c r="G4485">
        <v>-398.55279999999999</v>
      </c>
      <c r="H4485" s="1">
        <v>-1.853471E-6</v>
      </c>
      <c r="I4485">
        <v>24.084540000000001</v>
      </c>
      <c r="J4485">
        <v>-407.4742</v>
      </c>
      <c r="K4485">
        <v>1.1240680000000001</v>
      </c>
      <c r="L4485">
        <v>25.513819999999999</v>
      </c>
      <c r="M4485">
        <v>0.86400659999999896</v>
      </c>
      <c r="N4485">
        <v>-1.632757E-2</v>
      </c>
      <c r="O4485">
        <v>-0.50321579999999999</v>
      </c>
      <c r="P4485">
        <v>0.875826199999999</v>
      </c>
      <c r="Q4485">
        <v>0.4111147</v>
      </c>
      <c r="R4485">
        <v>-0.2528107</v>
      </c>
      <c r="S4485">
        <v>3.4552610000000001</v>
      </c>
      <c r="T4485">
        <v>-0.42165540000000001</v>
      </c>
      <c r="U4485">
        <v>-0.59637450000000003</v>
      </c>
      <c r="V4485">
        <v>-0.23589280000000001</v>
      </c>
      <c r="W4485">
        <v>0.41812709999999997</v>
      </c>
      <c r="X4485">
        <v>0.87722529999999999</v>
      </c>
      <c r="Y4485">
        <v>-0.34384749999999997</v>
      </c>
      <c r="Z4485">
        <v>7.2955119999999998E-2</v>
      </c>
      <c r="AA4485">
        <v>0.9361872</v>
      </c>
      <c r="AB4485">
        <v>34</v>
      </c>
      <c r="AC4485">
        <v>8.9214000000000002</v>
      </c>
      <c r="AD4485">
        <v>-1.1240698534710001</v>
      </c>
      <c r="AE4485">
        <v>-1.4292800000000001</v>
      </c>
      <c r="AF4485">
        <v>-3.2053041143769199</v>
      </c>
      <c r="AG4485">
        <v>-1.1240698534710001</v>
      </c>
      <c r="AH4485">
        <v>8.3000398649580696</v>
      </c>
      <c r="AI4485">
        <v>97.200382746229707</v>
      </c>
      <c r="AJ4485">
        <v>111.115531894638</v>
      </c>
      <c r="AK4485">
        <v>8.9681753585117292</v>
      </c>
      <c r="AL4485">
        <v>65.283599001461397</v>
      </c>
      <c r="AM4485">
        <v>105.051237190786</v>
      </c>
      <c r="AN4485">
        <v>0.99999995590316904</v>
      </c>
    </row>
    <row r="4486" spans="1:40" x14ac:dyDescent="0.25">
      <c r="A4486" t="str">
        <f>"20190304164735769"</f>
        <v>20190304164735769</v>
      </c>
      <c r="B4486" t="str">
        <f>"1551689255763442"</f>
        <v>1551689255763442</v>
      </c>
      <c r="C4486" t="s">
        <v>40</v>
      </c>
      <c r="D4486">
        <v>5.0069599999999896</v>
      </c>
      <c r="E4486">
        <v>0.48126859999999999</v>
      </c>
      <c r="F4486" t="s">
        <v>42</v>
      </c>
      <c r="G4486">
        <v>-398.62979999999999</v>
      </c>
      <c r="H4486" s="1">
        <v>-1.767729E-6</v>
      </c>
      <c r="I4486">
        <v>23.899149999999999</v>
      </c>
      <c r="J4486">
        <v>-407.17840000000001</v>
      </c>
      <c r="K4486">
        <v>1.124074</v>
      </c>
      <c r="L4486">
        <v>25.35538</v>
      </c>
      <c r="M4486">
        <v>0.87111620000000001</v>
      </c>
      <c r="N4486">
        <v>-1.6331720000000001E-2</v>
      </c>
      <c r="O4486">
        <v>-0.49080550000000001</v>
      </c>
      <c r="P4486">
        <v>0.87902669999999905</v>
      </c>
      <c r="Q4486">
        <v>0.41064820000000002</v>
      </c>
      <c r="R4486">
        <v>-0.24224019999999999</v>
      </c>
      <c r="S4486">
        <v>3.449341</v>
      </c>
      <c r="T4486">
        <v>-0.43839129999999898</v>
      </c>
      <c r="U4486">
        <v>-0.62973020000000002</v>
      </c>
      <c r="V4486">
        <v>-0.2339995</v>
      </c>
      <c r="W4486">
        <v>0.41773199999999999</v>
      </c>
      <c r="X4486">
        <v>0.87792039999999905</v>
      </c>
      <c r="Y4486">
        <v>-0.3211002</v>
      </c>
      <c r="Z4486">
        <v>7.3360910000000001E-2</v>
      </c>
      <c r="AA4486">
        <v>0.94419960000000003</v>
      </c>
      <c r="AB4486">
        <v>34</v>
      </c>
      <c r="AC4486">
        <v>8.54860000000002</v>
      </c>
      <c r="AD4486">
        <v>-1.1240757677290001</v>
      </c>
      <c r="AE4486">
        <v>-1.4562299999999999</v>
      </c>
      <c r="AF4486">
        <v>-2.8791668422156902</v>
      </c>
      <c r="AG4486">
        <v>-1.1240757677290001</v>
      </c>
      <c r="AH4486">
        <v>8.0277499132165904</v>
      </c>
      <c r="AI4486">
        <v>97.508483736657396</v>
      </c>
      <c r="AJ4486">
        <v>109.730462621572</v>
      </c>
      <c r="AK4486">
        <v>8.6022041771896394</v>
      </c>
      <c r="AL4486">
        <v>65.308518488272099</v>
      </c>
      <c r="AM4486">
        <v>104.924555806599</v>
      </c>
      <c r="AN4486">
        <v>1.0000000092801999</v>
      </c>
    </row>
    <row r="4487" spans="1:40" x14ac:dyDescent="0.25">
      <c r="A4487" t="str">
        <f>"20190304164735790"</f>
        <v>20190304164735790</v>
      </c>
      <c r="B4487" t="str">
        <f>"1551689255783940"</f>
        <v>1551689255783940</v>
      </c>
      <c r="C4487" t="s">
        <v>40</v>
      </c>
      <c r="D4487">
        <v>5.0155880000000002</v>
      </c>
      <c r="E4487">
        <v>0.48515740000000002</v>
      </c>
      <c r="F4487" t="s">
        <v>42</v>
      </c>
      <c r="G4487">
        <v>-398.07240000000002</v>
      </c>
      <c r="H4487" s="1">
        <v>-1.9550330000000002E-6</v>
      </c>
      <c r="I4487">
        <v>23.6128</v>
      </c>
      <c r="J4487">
        <v>-406.89229999999998</v>
      </c>
      <c r="K4487">
        <v>1.1240730000000001</v>
      </c>
      <c r="L4487">
        <v>25.207339999999999</v>
      </c>
      <c r="M4487">
        <v>0.87779409999999902</v>
      </c>
      <c r="N4487">
        <v>-1.633517E-2</v>
      </c>
      <c r="O4487">
        <v>-0.47875970000000001</v>
      </c>
      <c r="P4487">
        <v>0.88170000000000004</v>
      </c>
      <c r="Q4487">
        <v>0.40974719999999998</v>
      </c>
      <c r="R4487">
        <v>-0.23390749999999999</v>
      </c>
      <c r="S4487">
        <v>3.4297789999999999</v>
      </c>
      <c r="T4487">
        <v>-0.42338439999999999</v>
      </c>
      <c r="U4487">
        <v>-0.65634159999999997</v>
      </c>
      <c r="V4487">
        <v>-0.23036400000000001</v>
      </c>
      <c r="W4487">
        <v>0.41697060000000002</v>
      </c>
      <c r="X4487">
        <v>0.87924279999999999</v>
      </c>
      <c r="Y4487">
        <v>-0.30050739999999998</v>
      </c>
      <c r="Z4487">
        <v>6.8539820000000001E-2</v>
      </c>
      <c r="AA4487">
        <v>0.95131359999999998</v>
      </c>
      <c r="AB4487">
        <v>34</v>
      </c>
      <c r="AC4487">
        <v>8.8198999999999597</v>
      </c>
      <c r="AD4487">
        <v>-1.12407495503299</v>
      </c>
      <c r="AE4487">
        <v>-1.5945399999999901</v>
      </c>
      <c r="AF4487">
        <v>-2.7795917078887298</v>
      </c>
      <c r="AG4487">
        <v>-1.12407495503299</v>
      </c>
      <c r="AH4487">
        <v>8.3748654081544895</v>
      </c>
      <c r="AI4487">
        <v>97.259644283613795</v>
      </c>
      <c r="AJ4487">
        <v>108.360844540274</v>
      </c>
      <c r="AK4487">
        <v>8.8953946046141699</v>
      </c>
      <c r="AL4487">
        <v>65.356523417407104</v>
      </c>
      <c r="AM4487">
        <v>104.68164500593799</v>
      </c>
      <c r="AN4487">
        <v>0.99999997755609904</v>
      </c>
    </row>
    <row r="4488" spans="1:40" x14ac:dyDescent="0.25">
      <c r="A4488" t="str">
        <f>"20190304164735815"</f>
        <v>20190304164735815</v>
      </c>
      <c r="B4488" t="str">
        <f>"1551689255803462"</f>
        <v>1551689255803462</v>
      </c>
      <c r="C4488" t="s">
        <v>40</v>
      </c>
      <c r="D4488">
        <v>5.0128789999999999</v>
      </c>
      <c r="E4488">
        <v>0.48762090000000002</v>
      </c>
      <c r="F4488" t="s">
        <v>42</v>
      </c>
      <c r="G4488">
        <v>-397.67430000000002</v>
      </c>
      <c r="H4488" s="1">
        <v>-2.1029860000000001E-6</v>
      </c>
      <c r="I4488">
        <v>23.461649999999999</v>
      </c>
      <c r="J4488">
        <v>-406.56110000000001</v>
      </c>
      <c r="K4488">
        <v>1.1240669999999999</v>
      </c>
      <c r="L4488">
        <v>25.042020000000001</v>
      </c>
      <c r="M4488">
        <v>0.88528479999999998</v>
      </c>
      <c r="N4488">
        <v>-1.6338040000000002E-2</v>
      </c>
      <c r="O4488">
        <v>-0.46476220000000001</v>
      </c>
      <c r="P4488">
        <v>0.88457909999999995</v>
      </c>
      <c r="Q4488">
        <v>0.40923739999999997</v>
      </c>
      <c r="R4488">
        <v>-0.22370660000000001</v>
      </c>
      <c r="S4488">
        <v>3.4245000000000001</v>
      </c>
      <c r="T4488">
        <v>-0.41759750000000001</v>
      </c>
      <c r="U4488">
        <v>-0.64852909999999997</v>
      </c>
      <c r="V4488">
        <v>-0.22662309999999999</v>
      </c>
      <c r="W4488">
        <v>0.416603</v>
      </c>
      <c r="X4488">
        <v>0.88038850000000002</v>
      </c>
      <c r="Y4488">
        <v>-0.28745189999999998</v>
      </c>
      <c r="Z4488">
        <v>6.5546489999999999E-2</v>
      </c>
      <c r="AA4488">
        <v>0.9555496</v>
      </c>
      <c r="AB4488">
        <v>34</v>
      </c>
      <c r="AC4488">
        <v>8.8867999999999903</v>
      </c>
      <c r="AD4488">
        <v>-1.1240691029859999</v>
      </c>
      <c r="AE4488">
        <v>-1.5803700000000001</v>
      </c>
      <c r="AF4488">
        <v>-2.68982032390893</v>
      </c>
      <c r="AG4488">
        <v>-1.1240691029859999</v>
      </c>
      <c r="AH4488">
        <v>8.4716103521501793</v>
      </c>
      <c r="AI4488">
        <v>97.207648415785698</v>
      </c>
      <c r="AJ4488">
        <v>107.615159616019</v>
      </c>
      <c r="AK4488">
        <v>8.9591766743300401</v>
      </c>
      <c r="AL4488">
        <v>65.379694337126793</v>
      </c>
      <c r="AM4488">
        <v>104.435269201892</v>
      </c>
      <c r="AN4488">
        <v>0.99999999999742994</v>
      </c>
    </row>
    <row r="4489" spans="1:40" x14ac:dyDescent="0.25">
      <c r="A4489" t="str">
        <f>"20190304164735835"</f>
        <v>20190304164735835</v>
      </c>
      <c r="B4489" t="str">
        <f>"1551689255823223"</f>
        <v>1551689255823223</v>
      </c>
      <c r="C4489" t="s">
        <v>40</v>
      </c>
      <c r="D4489">
        <v>5.0303420000000001</v>
      </c>
      <c r="E4489">
        <v>0.48970239999999998</v>
      </c>
      <c r="F4489" t="s">
        <v>42</v>
      </c>
      <c r="G4489">
        <v>-397.31079999999997</v>
      </c>
      <c r="H4489" s="1">
        <v>-2.2478669999999998E-6</v>
      </c>
      <c r="I4489">
        <v>23.36026</v>
      </c>
      <c r="J4489">
        <v>-406.2901</v>
      </c>
      <c r="K4489">
        <v>1.124058</v>
      </c>
      <c r="L4489">
        <v>24.911899999999999</v>
      </c>
      <c r="M4489">
        <v>0.89121689999999998</v>
      </c>
      <c r="N4489">
        <v>-1.6339340000000001E-2</v>
      </c>
      <c r="O4489">
        <v>-0.45328299999999999</v>
      </c>
      <c r="P4489">
        <v>0.886868199999999</v>
      </c>
      <c r="Q4489">
        <v>0.40859859999999998</v>
      </c>
      <c r="R4489">
        <v>-0.21566660000000001</v>
      </c>
      <c r="S4489">
        <v>3.4264830000000002</v>
      </c>
      <c r="T4489">
        <v>-0.41637560000000001</v>
      </c>
      <c r="U4489">
        <v>-0.62295529999999999</v>
      </c>
      <c r="V4489">
        <v>-0.22332009999999999</v>
      </c>
      <c r="W4489">
        <v>0.4160915</v>
      </c>
      <c r="X4489">
        <v>0.88147379999999997</v>
      </c>
      <c r="Y4489">
        <v>-0.28218910000000003</v>
      </c>
      <c r="Z4489">
        <v>6.3995440000000001E-2</v>
      </c>
      <c r="AA4489">
        <v>0.95722200000000002</v>
      </c>
      <c r="AB4489">
        <v>34</v>
      </c>
      <c r="AC4489">
        <v>8.9793000000000198</v>
      </c>
      <c r="AD4489">
        <v>-1.1240602478669901</v>
      </c>
      <c r="AE4489">
        <v>-1.5516399999999899</v>
      </c>
      <c r="AF4489">
        <v>-2.64739090393982</v>
      </c>
      <c r="AG4489">
        <v>-1.1240602478669901</v>
      </c>
      <c r="AH4489">
        <v>8.5764936969926993</v>
      </c>
      <c r="AI4489">
        <v>97.138124840790994</v>
      </c>
      <c r="AJ4489">
        <v>107.15440374646199</v>
      </c>
      <c r="AK4489">
        <v>9.0459070398525299</v>
      </c>
      <c r="AL4489">
        <v>65.411928571556601</v>
      </c>
      <c r="AM4489">
        <v>104.216672187048</v>
      </c>
      <c r="AN4489">
        <v>1.00000003176134</v>
      </c>
    </row>
    <row r="4490" spans="1:40" x14ac:dyDescent="0.25">
      <c r="A4490" t="str">
        <f>"20190304164735857"</f>
        <v>20190304164735857</v>
      </c>
      <c r="B4490" t="str">
        <f>"1551689255853479"</f>
        <v>1551689255853479</v>
      </c>
      <c r="C4490" t="s">
        <v>40</v>
      </c>
      <c r="D4490">
        <v>5.0286210000000002</v>
      </c>
      <c r="E4490">
        <v>0.49175659999999999</v>
      </c>
      <c r="F4490" t="s">
        <v>42</v>
      </c>
      <c r="G4490">
        <v>-397.09660000000002</v>
      </c>
      <c r="H4490" s="1">
        <v>-2.330364E-6</v>
      </c>
      <c r="I4490">
        <v>23.289840000000002</v>
      </c>
      <c r="J4490">
        <v>-405.99329999999998</v>
      </c>
      <c r="K4490">
        <v>1.124047</v>
      </c>
      <c r="L4490">
        <v>24.774439999999998</v>
      </c>
      <c r="M4490">
        <v>0.89751610000000004</v>
      </c>
      <c r="N4490">
        <v>-1.633969E-2</v>
      </c>
      <c r="O4490">
        <v>-0.44067899999999999</v>
      </c>
      <c r="P4490">
        <v>0.88924550000000002</v>
      </c>
      <c r="Q4490">
        <v>0.408196</v>
      </c>
      <c r="R4490">
        <v>-0.2064433</v>
      </c>
      <c r="S4490">
        <v>3.428741</v>
      </c>
      <c r="T4490">
        <v>-0.41921999999999998</v>
      </c>
      <c r="U4490">
        <v>-0.60494999999999999</v>
      </c>
      <c r="V4490">
        <v>-0.22008759999999999</v>
      </c>
      <c r="W4490">
        <v>0.41581400000000002</v>
      </c>
      <c r="X4490">
        <v>0.88241729999999996</v>
      </c>
      <c r="Y4490">
        <v>-0.27370929999999999</v>
      </c>
      <c r="Z4490">
        <v>6.2751699999999994E-2</v>
      </c>
      <c r="AA4490">
        <v>0.95976320000000004</v>
      </c>
      <c r="AB4490">
        <v>34</v>
      </c>
      <c r="AC4490">
        <v>8.8966999999999494</v>
      </c>
      <c r="AD4490">
        <v>-1.124049330364</v>
      </c>
      <c r="AE4490">
        <v>-1.4845999999999999</v>
      </c>
      <c r="AF4490">
        <v>-2.5488962931672901</v>
      </c>
      <c r="AG4490">
        <v>-1.124049330364</v>
      </c>
      <c r="AH4490">
        <v>8.5081804078653196</v>
      </c>
      <c r="AI4490">
        <v>97.212823628526905</v>
      </c>
      <c r="AJ4490">
        <v>106.677260852139</v>
      </c>
      <c r="AK4490">
        <v>8.9526249258637591</v>
      </c>
      <c r="AL4490">
        <v>65.429413241289097</v>
      </c>
      <c r="AM4490">
        <v>104.004661517149</v>
      </c>
      <c r="AN4490">
        <v>1.00000006280452</v>
      </c>
    </row>
    <row r="4491" spans="1:40" x14ac:dyDescent="0.25">
      <c r="A4491" t="str">
        <f>"20190304164735879"</f>
        <v>20190304164735879</v>
      </c>
      <c r="B4491" t="str">
        <f>"1551689255873976"</f>
        <v>1551689255873976</v>
      </c>
      <c r="C4491" t="s">
        <v>40</v>
      </c>
      <c r="D4491">
        <v>4.9438800000000001</v>
      </c>
      <c r="E4491">
        <v>0.49243389999999998</v>
      </c>
      <c r="F4491" t="s">
        <v>42</v>
      </c>
      <c r="G4491">
        <v>-396.73219999999998</v>
      </c>
      <c r="H4491" s="1">
        <v>-2.478673E-6</v>
      </c>
      <c r="I4491">
        <v>23.199940000000002</v>
      </c>
      <c r="J4491">
        <v>-405.69099999999997</v>
      </c>
      <c r="K4491">
        <v>1.1240429999999999</v>
      </c>
      <c r="L4491">
        <v>24.639679999999998</v>
      </c>
      <c r="M4491">
        <v>0.90371769999999996</v>
      </c>
      <c r="N4491">
        <v>-1.6339070000000001E-2</v>
      </c>
      <c r="O4491">
        <v>-0.42781720000000001</v>
      </c>
      <c r="P4491">
        <v>0.89135529999999996</v>
      </c>
      <c r="Q4491">
        <v>0.4082712</v>
      </c>
      <c r="R4491">
        <v>-0.19697880000000001</v>
      </c>
      <c r="S4491">
        <v>3.4293520000000002</v>
      </c>
      <c r="T4491">
        <v>-0.4162343</v>
      </c>
      <c r="U4491">
        <v>-0.58303830000000001</v>
      </c>
      <c r="V4491">
        <v>-0.2168149</v>
      </c>
      <c r="W4491">
        <v>0.41601260000000001</v>
      </c>
      <c r="X4491">
        <v>0.88313349999999902</v>
      </c>
      <c r="Y4491">
        <v>-0.26613389999999998</v>
      </c>
      <c r="Z4491">
        <v>6.0635880000000003E-2</v>
      </c>
      <c r="AA4491">
        <v>0.96202710000000002</v>
      </c>
      <c r="AB4491">
        <v>34</v>
      </c>
      <c r="AC4491">
        <v>8.9587999999999894</v>
      </c>
      <c r="AD4491">
        <v>-1.1240454786730001</v>
      </c>
      <c r="AE4491">
        <v>-1.43974</v>
      </c>
      <c r="AF4491">
        <v>-2.4936800293223702</v>
      </c>
      <c r="AG4491">
        <v>-1.1240454786730001</v>
      </c>
      <c r="AH4491">
        <v>8.5816404163485895</v>
      </c>
      <c r="AI4491">
        <v>97.169007163928299</v>
      </c>
      <c r="AJ4491">
        <v>106.202973810134</v>
      </c>
      <c r="AK4491">
        <v>9.0070234018944397</v>
      </c>
      <c r="AL4491">
        <v>65.416898588680894</v>
      </c>
      <c r="AM4491">
        <v>103.793667472875</v>
      </c>
      <c r="AN4491">
        <v>0.99999998152150904</v>
      </c>
    </row>
    <row r="4492" spans="1:40" x14ac:dyDescent="0.25">
      <c r="A4492" t="str">
        <f>"20190304164735893"</f>
        <v>20190304164735893</v>
      </c>
      <c r="B4492" t="str">
        <f>"1551689255883735"</f>
        <v>1551689255883735</v>
      </c>
      <c r="C4492" t="s">
        <v>40</v>
      </c>
      <c r="D4492">
        <v>4.9632100000000001</v>
      </c>
      <c r="E4492">
        <v>0.4926527</v>
      </c>
      <c r="F4492" t="s">
        <v>42</v>
      </c>
      <c r="G4492">
        <v>-396.26909999999998</v>
      </c>
      <c r="H4492" s="1">
        <v>-2.6794850000000001E-6</v>
      </c>
      <c r="I4492">
        <v>23.131789999999999</v>
      </c>
      <c r="J4492">
        <v>-405.49149999999997</v>
      </c>
      <c r="K4492">
        <v>1.1240330000000001</v>
      </c>
      <c r="L4492">
        <v>24.553100000000001</v>
      </c>
      <c r="M4492">
        <v>0.90769650000000002</v>
      </c>
      <c r="N4492">
        <v>-1.633824E-2</v>
      </c>
      <c r="O4492">
        <v>-0.4193096</v>
      </c>
      <c r="P4492">
        <v>0.89276119999999903</v>
      </c>
      <c r="Q4492">
        <v>0.4082788</v>
      </c>
      <c r="R4492">
        <v>-0.19048950000000001</v>
      </c>
      <c r="S4492">
        <v>3.4317929999999999</v>
      </c>
      <c r="T4492">
        <v>-0.40941630000000001</v>
      </c>
      <c r="U4492">
        <v>-0.54922490000000002</v>
      </c>
      <c r="V4492">
        <v>-0.214917</v>
      </c>
      <c r="W4492">
        <v>0.4160932</v>
      </c>
      <c r="X4492">
        <v>0.88355930000000005</v>
      </c>
      <c r="Y4492">
        <v>-0.26659860000000002</v>
      </c>
      <c r="Z4492">
        <v>5.8869270000000001E-2</v>
      </c>
      <c r="AA4492">
        <v>0.96200810000000003</v>
      </c>
      <c r="AB4492">
        <v>34</v>
      </c>
      <c r="AC4492">
        <v>9.2223999999999897</v>
      </c>
      <c r="AD4492">
        <v>-1.1240356794849999</v>
      </c>
      <c r="AE4492">
        <v>-1.4213100000000001</v>
      </c>
      <c r="AF4492">
        <v>-2.54040407444176</v>
      </c>
      <c r="AG4492">
        <v>-1.1240356794849999</v>
      </c>
      <c r="AH4492">
        <v>8.8400324118826905</v>
      </c>
      <c r="AI4492">
        <v>96.967385959966094</v>
      </c>
      <c r="AJ4492">
        <v>106.033326464103</v>
      </c>
      <c r="AK4492">
        <v>9.2662442291001703</v>
      </c>
      <c r="AL4492">
        <v>65.411819372317396</v>
      </c>
      <c r="AM4492">
        <v>103.671133884425</v>
      </c>
      <c r="AN4492">
        <v>0.99999995229586303</v>
      </c>
    </row>
    <row r="4493" spans="1:40" x14ac:dyDescent="0.25">
      <c r="A4493" t="str">
        <f>"20190304164735913"</f>
        <v>20190304164735913</v>
      </c>
      <c r="B4493" t="str">
        <f>"1551689255903255"</f>
        <v>1551689255903255</v>
      </c>
      <c r="C4493" t="s">
        <v>40</v>
      </c>
      <c r="D4493">
        <v>5.0504660000000001</v>
      </c>
      <c r="E4493">
        <v>0.49408229999999997</v>
      </c>
      <c r="F4493" t="s">
        <v>42</v>
      </c>
      <c r="G4493">
        <v>-395.95659999999998</v>
      </c>
      <c r="H4493" s="1">
        <v>-2.818009E-6</v>
      </c>
      <c r="I4493">
        <v>23.097270000000002</v>
      </c>
      <c r="J4493">
        <v>-405.22</v>
      </c>
      <c r="K4493">
        <v>1.124018</v>
      </c>
      <c r="L4493">
        <v>24.439360000000001</v>
      </c>
      <c r="M4493">
        <v>0.91295459999999995</v>
      </c>
      <c r="N4493">
        <v>-1.633604E-2</v>
      </c>
      <c r="O4493">
        <v>-0.40773429999999999</v>
      </c>
      <c r="P4493">
        <v>0.89426229999999995</v>
      </c>
      <c r="Q4493">
        <v>0.40834179999999998</v>
      </c>
      <c r="R4493">
        <v>-0.1831729</v>
      </c>
      <c r="S4493">
        <v>3.433624</v>
      </c>
      <c r="T4493">
        <v>-0.4047772</v>
      </c>
      <c r="U4493">
        <v>-0.52426149999999905</v>
      </c>
      <c r="V4493">
        <v>-0.21085570000000001</v>
      </c>
      <c r="W4493">
        <v>0.41630909999999899</v>
      </c>
      <c r="X4493">
        <v>0.88443579999999999</v>
      </c>
      <c r="Y4493">
        <v>-0.2614359</v>
      </c>
      <c r="Z4493">
        <v>5.6800320000000001E-2</v>
      </c>
      <c r="AA4493">
        <v>0.96354810000000002</v>
      </c>
      <c r="AB4493">
        <v>34</v>
      </c>
      <c r="AC4493">
        <v>9.2634000000000398</v>
      </c>
      <c r="AD4493">
        <v>-1.1240208180089999</v>
      </c>
      <c r="AE4493">
        <v>-1.34208999999999</v>
      </c>
      <c r="AF4493">
        <v>-2.5157993656025601</v>
      </c>
      <c r="AG4493">
        <v>-1.1240208180089999</v>
      </c>
      <c r="AH4493">
        <v>8.8774612958252703</v>
      </c>
      <c r="AI4493">
        <v>96.945431940909401</v>
      </c>
      <c r="AJ4493">
        <v>105.822292642197</v>
      </c>
      <c r="AK4493">
        <v>9.2952669841247495</v>
      </c>
      <c r="AL4493">
        <v>65.398217180571606</v>
      </c>
      <c r="AM4493">
        <v>103.409401783251</v>
      </c>
      <c r="AN4493">
        <v>1.00000003864346</v>
      </c>
    </row>
    <row r="4494" spans="1:40" x14ac:dyDescent="0.25">
      <c r="A4494" t="str">
        <f>"20190304164735936"</f>
        <v>20190304164735936</v>
      </c>
      <c r="B4494" t="str">
        <f>"1551689255923754"</f>
        <v>1551689255923754</v>
      </c>
      <c r="C4494" t="s">
        <v>40</v>
      </c>
      <c r="D4494">
        <v>5.0011890000000001</v>
      </c>
      <c r="E4494">
        <v>0.49499900000000002</v>
      </c>
      <c r="F4494" t="s">
        <v>42</v>
      </c>
      <c r="G4494">
        <v>-395.75439999999998</v>
      </c>
      <c r="H4494" s="1">
        <v>-2.9043700000000001E-6</v>
      </c>
      <c r="I4494">
        <v>23.062519999999999</v>
      </c>
      <c r="J4494">
        <v>-404.92649999999998</v>
      </c>
      <c r="K4494">
        <v>1.12399</v>
      </c>
      <c r="L4494">
        <v>24.320979999999999</v>
      </c>
      <c r="M4494">
        <v>0.91843629999999998</v>
      </c>
      <c r="N4494">
        <v>-1.6331579999999998E-2</v>
      </c>
      <c r="O4494">
        <v>-0.39523160000000002</v>
      </c>
      <c r="P4494">
        <v>0.8958971</v>
      </c>
      <c r="Q4494">
        <v>0.4083019</v>
      </c>
      <c r="R4494">
        <v>-0.17509479999999999</v>
      </c>
      <c r="S4494">
        <v>3.4387210000000001</v>
      </c>
      <c r="T4494">
        <v>-0.40833750000000002</v>
      </c>
      <c r="U4494">
        <v>-0.50018309999999999</v>
      </c>
      <c r="V4494">
        <v>-0.2067011</v>
      </c>
      <c r="W4494">
        <v>0.41643010000000003</v>
      </c>
      <c r="X4494">
        <v>0.88535900000000001</v>
      </c>
      <c r="Y4494">
        <v>-0.25511020000000001</v>
      </c>
      <c r="Z4494">
        <v>5.5742050000000001E-2</v>
      </c>
      <c r="AA4494">
        <v>0.96530389999999999</v>
      </c>
      <c r="AB4494">
        <v>34</v>
      </c>
      <c r="AC4494">
        <v>9.1721000000000004</v>
      </c>
      <c r="AD4494">
        <v>-1.1239929043700001</v>
      </c>
      <c r="AE4494">
        <v>-1.2584599999999899</v>
      </c>
      <c r="AF4494">
        <v>-2.43374504074702</v>
      </c>
      <c r="AG4494">
        <v>-1.1239929043700001</v>
      </c>
      <c r="AH4494">
        <v>8.7929569388457605</v>
      </c>
      <c r="AI4494">
        <v>97.023270417770604</v>
      </c>
      <c r="AJ4494">
        <v>105.471208168605</v>
      </c>
      <c r="AK4494">
        <v>9.1925277644851704</v>
      </c>
      <c r="AL4494">
        <v>65.390590080547199</v>
      </c>
      <c r="AM4494">
        <v>103.14122322983501</v>
      </c>
      <c r="AN4494">
        <v>0.999999965904109</v>
      </c>
    </row>
    <row r="4495" spans="1:40" x14ac:dyDescent="0.25">
      <c r="A4495" t="str">
        <f>"20190304164735957"</f>
        <v>20190304164735957</v>
      </c>
      <c r="B4495" t="str">
        <f>"1551689255954006"</f>
        <v>1551689255954006</v>
      </c>
      <c r="C4495" t="s">
        <v>40</v>
      </c>
      <c r="D4495">
        <v>5.0868840000000004</v>
      </c>
      <c r="E4495">
        <v>0.49688070000000001</v>
      </c>
      <c r="F4495" t="s">
        <v>42</v>
      </c>
      <c r="G4495">
        <v>-395.38470000000001</v>
      </c>
      <c r="H4495" s="1">
        <v>-3.0667249999999998E-6</v>
      </c>
      <c r="I4495">
        <v>23.01605</v>
      </c>
      <c r="J4495">
        <v>-404.61189999999999</v>
      </c>
      <c r="K4495">
        <v>1.1239349999999999</v>
      </c>
      <c r="L4495">
        <v>24.199400000000001</v>
      </c>
      <c r="M4495">
        <v>0.92407159999999999</v>
      </c>
      <c r="N4495">
        <v>-1.6322699999999999E-2</v>
      </c>
      <c r="O4495">
        <v>-0.38187090000000001</v>
      </c>
      <c r="P4495">
        <v>0.89761599999999997</v>
      </c>
      <c r="Q4495">
        <v>0.40847040000000001</v>
      </c>
      <c r="R4495">
        <v>-0.16564279999999901</v>
      </c>
      <c r="S4495">
        <v>3.441376</v>
      </c>
      <c r="T4495">
        <v>-0.405385</v>
      </c>
      <c r="U4495">
        <v>-0.47064210000000001</v>
      </c>
      <c r="V4495">
        <v>-0.20308470000000001</v>
      </c>
      <c r="W4495">
        <v>0.4167439</v>
      </c>
      <c r="X4495">
        <v>0.88604799999999995</v>
      </c>
      <c r="Y4495">
        <v>-0.24948010000000001</v>
      </c>
      <c r="Z4495">
        <v>5.3736619999999999E-2</v>
      </c>
      <c r="AA4495">
        <v>0.96688779999999996</v>
      </c>
      <c r="AB4495">
        <v>34</v>
      </c>
      <c r="AC4495">
        <v>9.2271999999999803</v>
      </c>
      <c r="AD4495">
        <v>-1.1239380667250001</v>
      </c>
      <c r="AE4495">
        <v>-1.1833499999999999</v>
      </c>
      <c r="AF4495">
        <v>-2.39545646526323</v>
      </c>
      <c r="AG4495">
        <v>-1.1239380667250001</v>
      </c>
      <c r="AH4495">
        <v>8.8504865669299502</v>
      </c>
      <c r="AI4495">
        <v>96.988516812132403</v>
      </c>
      <c r="AJ4495">
        <v>105.144717169901</v>
      </c>
      <c r="AK4495">
        <v>9.23756249917761</v>
      </c>
      <c r="AL4495">
        <v>65.370812830720993</v>
      </c>
      <c r="AM4495">
        <v>102.909376715378</v>
      </c>
      <c r="AN4495">
        <v>0.99999996593264895</v>
      </c>
    </row>
    <row r="4496" spans="1:40" x14ac:dyDescent="0.25">
      <c r="A4496" t="str">
        <f>"20190304164735982"</f>
        <v>20190304164735982</v>
      </c>
      <c r="B4496" t="str">
        <f>"1551689255973527"</f>
        <v>1551689255973527</v>
      </c>
      <c r="C4496" t="s">
        <v>40</v>
      </c>
      <c r="D4496">
        <v>5.0897899999999998</v>
      </c>
      <c r="E4496">
        <v>0.4980154</v>
      </c>
      <c r="F4496" t="s">
        <v>42</v>
      </c>
      <c r="G4496">
        <v>-395.16660000000002</v>
      </c>
      <c r="H4496" s="1">
        <v>-3.1589259999999998E-6</v>
      </c>
      <c r="I4496">
        <v>22.97504</v>
      </c>
      <c r="J4496">
        <v>-404.27780000000001</v>
      </c>
      <c r="K4496">
        <v>1.1238539999999999</v>
      </c>
      <c r="L4496">
        <v>24.07593</v>
      </c>
      <c r="M4496">
        <v>0.92978939999999999</v>
      </c>
      <c r="N4496">
        <v>-1.6308489999999998E-2</v>
      </c>
      <c r="O4496">
        <v>-0.36773050000000002</v>
      </c>
      <c r="P4496">
        <v>0.899398699999999</v>
      </c>
      <c r="Q4496">
        <v>0.40871439999999998</v>
      </c>
      <c r="R4496">
        <v>-0.15503120000000001</v>
      </c>
      <c r="S4496">
        <v>3.4464109999999999</v>
      </c>
      <c r="T4496">
        <v>-0.41010489999999999</v>
      </c>
      <c r="U4496">
        <v>-0.4467468</v>
      </c>
      <c r="V4496">
        <v>-0.19990089999999999</v>
      </c>
      <c r="W4496">
        <v>0.41711930000000003</v>
      </c>
      <c r="X4496">
        <v>0.88659519999999903</v>
      </c>
      <c r="Y4496">
        <v>-0.24152499999999999</v>
      </c>
      <c r="Z4496">
        <v>5.2527230000000001E-2</v>
      </c>
      <c r="AA4496">
        <v>0.9689719</v>
      </c>
      <c r="AB4496">
        <v>34</v>
      </c>
      <c r="AC4496">
        <v>9.1111999999999895</v>
      </c>
      <c r="AD4496">
        <v>-1.123857158926</v>
      </c>
      <c r="AE4496">
        <v>-1.1008899999999899</v>
      </c>
      <c r="AF4496">
        <v>-2.2927968948777799</v>
      </c>
      <c r="AG4496">
        <v>-1.123857158926</v>
      </c>
      <c r="AH4496">
        <v>8.74634803920436</v>
      </c>
      <c r="AI4496">
        <v>97.085223228958</v>
      </c>
      <c r="AJ4496">
        <v>104.68918449083699</v>
      </c>
      <c r="AK4496">
        <v>9.1114530420632907</v>
      </c>
      <c r="AL4496">
        <v>65.347149087735204</v>
      </c>
      <c r="AM4496">
        <v>102.70602957113501</v>
      </c>
      <c r="AN4496">
        <v>0.99999996445816897</v>
      </c>
    </row>
    <row r="4497" spans="1:40" x14ac:dyDescent="0.25">
      <c r="A4497" t="str">
        <f>"20190304164736003"</f>
        <v>20190304164736003</v>
      </c>
      <c r="B4497" t="str">
        <f>"1551689255994026"</f>
        <v>1551689255994026</v>
      </c>
      <c r="C4497" t="s">
        <v>40</v>
      </c>
      <c r="D4497">
        <v>5.0461850000000004</v>
      </c>
      <c r="E4497">
        <v>0.51448229999999995</v>
      </c>
      <c r="F4497" t="s">
        <v>42</v>
      </c>
      <c r="G4497">
        <v>-394.85469999999998</v>
      </c>
      <c r="H4497" s="1">
        <v>-3.2967180000000002E-6</v>
      </c>
      <c r="I4497">
        <v>22.938839999999999</v>
      </c>
      <c r="J4497">
        <v>-403.98070000000001</v>
      </c>
      <c r="K4497">
        <v>1.123777</v>
      </c>
      <c r="L4497">
        <v>23.970759999999999</v>
      </c>
      <c r="M4497">
        <v>0.93464009999999997</v>
      </c>
      <c r="N4497">
        <v>-1.629297E-2</v>
      </c>
      <c r="O4497">
        <v>-0.35522199999999998</v>
      </c>
      <c r="P4497">
        <v>0.90090130000000002</v>
      </c>
      <c r="Q4497">
        <v>0.40876810000000002</v>
      </c>
      <c r="R4497">
        <v>-0.145896</v>
      </c>
      <c r="S4497">
        <v>3.450806</v>
      </c>
      <c r="T4497">
        <v>-0.41156549999999997</v>
      </c>
      <c r="U4497">
        <v>-0.41641240000000002</v>
      </c>
      <c r="V4497">
        <v>-0.1968907</v>
      </c>
      <c r="W4497">
        <v>0.4173</v>
      </c>
      <c r="X4497">
        <v>0.88718359999999996</v>
      </c>
      <c r="Y4497">
        <v>-0.23712069999999999</v>
      </c>
      <c r="Z4497">
        <v>5.124136E-2</v>
      </c>
      <c r="AA4497">
        <v>0.97012790000000004</v>
      </c>
      <c r="AB4497">
        <v>34</v>
      </c>
      <c r="AC4497">
        <v>9.1260000000000296</v>
      </c>
      <c r="AD4497">
        <v>-1.1237802967179999</v>
      </c>
      <c r="AE4497">
        <v>-1.0319199999999999</v>
      </c>
      <c r="AF4497">
        <v>-2.2439868890592098</v>
      </c>
      <c r="AG4497">
        <v>-1.1237802967179999</v>
      </c>
      <c r="AH4497">
        <v>8.7660199664616592</v>
      </c>
      <c r="AI4497">
        <v>97.0794715453153</v>
      </c>
      <c r="AJ4497">
        <v>104.358635888771</v>
      </c>
      <c r="AK4497">
        <v>9.1181941943548104</v>
      </c>
      <c r="AL4497">
        <v>65.335757532111401</v>
      </c>
      <c r="AM4497">
        <v>102.512731119213</v>
      </c>
      <c r="AN4497">
        <v>0.99999998892772402</v>
      </c>
    </row>
    <row r="4498" spans="1:40" x14ac:dyDescent="0.25">
      <c r="A4498" t="str">
        <f>"20190304164736026"</f>
        <v>20190304164736026</v>
      </c>
      <c r="B4498" t="str">
        <f>"1551689256013545"</f>
        <v>1551689256013545</v>
      </c>
      <c r="C4498" t="s">
        <v>40</v>
      </c>
      <c r="D4498">
        <v>5.0804739999999997</v>
      </c>
      <c r="E4498">
        <v>0.51532920000000004</v>
      </c>
      <c r="F4498" t="s">
        <v>42</v>
      </c>
      <c r="G4498">
        <v>-395.31299999999999</v>
      </c>
      <c r="H4498" s="1">
        <v>-3.0122440000000001E-6</v>
      </c>
      <c r="I4498">
        <v>22.68384</v>
      </c>
      <c r="J4498">
        <v>-403.67290000000003</v>
      </c>
      <c r="K4498">
        <v>1.1236699999999999</v>
      </c>
      <c r="L4498">
        <v>23.86646</v>
      </c>
      <c r="M4498">
        <v>0.93942230000000004</v>
      </c>
      <c r="N4498">
        <v>-1.627292E-2</v>
      </c>
      <c r="O4498">
        <v>-0.3423755</v>
      </c>
      <c r="P4498">
        <v>0.90272220000000003</v>
      </c>
      <c r="Q4498">
        <v>0.4079642</v>
      </c>
      <c r="R4498">
        <v>-0.13659379999999999</v>
      </c>
      <c r="S4498">
        <v>3.4500120000000001</v>
      </c>
      <c r="T4498">
        <v>-0.44729970000000002</v>
      </c>
      <c r="U4498">
        <v>-0.51223750000000001</v>
      </c>
      <c r="V4498">
        <v>-0.1938463</v>
      </c>
      <c r="W4498">
        <v>0.41663729999999899</v>
      </c>
      <c r="X4498">
        <v>0.88816499999999998</v>
      </c>
      <c r="Y4498">
        <v>-0.19690489999999999</v>
      </c>
      <c r="Z4498">
        <v>5.1623559999999999E-2</v>
      </c>
      <c r="AA4498">
        <v>0.97906260000000001</v>
      </c>
      <c r="AB4498">
        <v>34</v>
      </c>
      <c r="AC4498">
        <v>8.3598999999999801</v>
      </c>
      <c r="AD4498">
        <v>-1.123673012244</v>
      </c>
      <c r="AE4498">
        <v>-1.18262</v>
      </c>
      <c r="AF4498">
        <v>-1.72099461707598</v>
      </c>
      <c r="AG4498">
        <v>-1.123673012244</v>
      </c>
      <c r="AH4498">
        <v>8.1157227560344207</v>
      </c>
      <c r="AI4498">
        <v>97.713455883996204</v>
      </c>
      <c r="AJ4498">
        <v>101.97260359852</v>
      </c>
      <c r="AK4498">
        <v>8.3719423889122009</v>
      </c>
      <c r="AL4498">
        <v>65.3775337903799</v>
      </c>
      <c r="AM4498">
        <v>102.312008870217</v>
      </c>
      <c r="AN4498">
        <v>1.0000000474999799</v>
      </c>
    </row>
    <row r="4499" spans="1:40" x14ac:dyDescent="0.25">
      <c r="A4499" t="str">
        <f>"20190304164736047"</f>
        <v>20190304164736047</v>
      </c>
      <c r="B4499" t="str">
        <f>"1551689256043799"</f>
        <v>1551689256043799</v>
      </c>
      <c r="C4499" t="s">
        <v>40</v>
      </c>
      <c r="D4499">
        <v>5.0691949999999997</v>
      </c>
      <c r="E4499">
        <v>0.51653130000000003</v>
      </c>
      <c r="F4499" t="s">
        <v>42</v>
      </c>
      <c r="G4499">
        <v>-395.09480000000002</v>
      </c>
      <c r="H4499" s="1">
        <v>-3.1097000000000001E-6</v>
      </c>
      <c r="I4499">
        <v>22.66244</v>
      </c>
      <c r="J4499">
        <v>-403.363</v>
      </c>
      <c r="K4499">
        <v>1.1235219999999999</v>
      </c>
      <c r="L4499">
        <v>23.765989999999999</v>
      </c>
      <c r="M4499">
        <v>0.94398170000000003</v>
      </c>
      <c r="N4499">
        <v>-1.624623E-2</v>
      </c>
      <c r="O4499">
        <v>-0.3295979</v>
      </c>
      <c r="P4499">
        <v>0.90451769999999998</v>
      </c>
      <c r="Q4499">
        <v>0.40694469999999999</v>
      </c>
      <c r="R4499">
        <v>-0.12745310000000001</v>
      </c>
      <c r="S4499">
        <v>3.454437</v>
      </c>
      <c r="T4499">
        <v>-0.45250770000000001</v>
      </c>
      <c r="U4499">
        <v>-0.4848633</v>
      </c>
      <c r="V4499">
        <v>-0.19073329999999999</v>
      </c>
      <c r="W4499">
        <v>0.41577009999999998</v>
      </c>
      <c r="X4499">
        <v>0.88924459999999905</v>
      </c>
      <c r="Y4499">
        <v>-0.19142039999999999</v>
      </c>
      <c r="Z4499">
        <v>5.0501659999999997E-2</v>
      </c>
      <c r="AA4499">
        <v>0.98020799999999997</v>
      </c>
      <c r="AB4499">
        <v>34</v>
      </c>
      <c r="AC4499">
        <v>8.2682000000000304</v>
      </c>
      <c r="AD4499">
        <v>-1.1235251097000001</v>
      </c>
      <c r="AE4499">
        <v>-1.10354999999999</v>
      </c>
      <c r="AF4499">
        <v>-1.65367218939519</v>
      </c>
      <c r="AG4499">
        <v>-1.1235251097000001</v>
      </c>
      <c r="AH4499">
        <v>8.0242620043173396</v>
      </c>
      <c r="AI4499">
        <v>97.808505458111298</v>
      </c>
      <c r="AJ4499">
        <v>101.64471849400201</v>
      </c>
      <c r="AK4499">
        <v>8.2695659557219994</v>
      </c>
      <c r="AL4499">
        <v>65.432176323474494</v>
      </c>
      <c r="AM4499">
        <v>102.105899759896</v>
      </c>
      <c r="AN4499">
        <v>0.99999996320602902</v>
      </c>
    </row>
    <row r="4500" spans="1:40" x14ac:dyDescent="0.25">
      <c r="A4500" t="str">
        <f>"20190304164736070"</f>
        <v>20190304164736070</v>
      </c>
      <c r="B4500" t="str">
        <f>"1551689256063318"</f>
        <v>1551689256063318</v>
      </c>
      <c r="C4500" t="s">
        <v>40</v>
      </c>
      <c r="D4500">
        <v>5.0004039999999996</v>
      </c>
      <c r="E4500">
        <v>0.51715730000000004</v>
      </c>
      <c r="F4500" t="s">
        <v>42</v>
      </c>
      <c r="G4500">
        <v>-394.97910000000002</v>
      </c>
      <c r="H4500" s="1">
        <v>-3.1617269999999998E-6</v>
      </c>
      <c r="I4500">
        <v>22.652460000000001</v>
      </c>
      <c r="J4500">
        <v>-403.05180000000001</v>
      </c>
      <c r="K4500">
        <v>1.1233340000000001</v>
      </c>
      <c r="L4500">
        <v>23.669589999999999</v>
      </c>
      <c r="M4500">
        <v>0.94829580000000002</v>
      </c>
      <c r="N4500">
        <v>-1.6211340000000001E-2</v>
      </c>
      <c r="O4500">
        <v>-0.31697360000000002</v>
      </c>
      <c r="P4500">
        <v>0.90572529999999996</v>
      </c>
      <c r="Q4500">
        <v>0.40704420000000002</v>
      </c>
      <c r="R4500">
        <v>-0.1182238</v>
      </c>
      <c r="S4500">
        <v>3.4605709999999998</v>
      </c>
      <c r="T4500">
        <v>-0.46375040000000001</v>
      </c>
      <c r="U4500">
        <v>-0.45962520000000001</v>
      </c>
      <c r="V4500">
        <v>-0.18771869999999999</v>
      </c>
      <c r="W4500">
        <v>0.41601690000000002</v>
      </c>
      <c r="X4500">
        <v>0.88977059999999997</v>
      </c>
      <c r="Y4500">
        <v>-0.18552569999999999</v>
      </c>
      <c r="Z4500">
        <v>4.9978130000000003E-2</v>
      </c>
      <c r="AA4500">
        <v>0.98136760000000001</v>
      </c>
      <c r="AB4500">
        <v>33</v>
      </c>
      <c r="AC4500">
        <v>8.0726999999999904</v>
      </c>
      <c r="AD4500">
        <v>-1.123337161727</v>
      </c>
      <c r="AE4500">
        <v>-1.0171299999999901</v>
      </c>
      <c r="AF4500">
        <v>-1.5646781157642899</v>
      </c>
      <c r="AG4500">
        <v>-1.123337161727</v>
      </c>
      <c r="AH4500">
        <v>7.8295220234771401</v>
      </c>
      <c r="AI4500">
        <v>98.008527404139798</v>
      </c>
      <c r="AJ4500">
        <v>101.301303484747</v>
      </c>
      <c r="AK4500">
        <v>8.0629721009676203</v>
      </c>
      <c r="AL4500">
        <v>65.416629349823097</v>
      </c>
      <c r="AM4500">
        <v>101.913232263509</v>
      </c>
      <c r="AN4500">
        <v>1.00000004601982</v>
      </c>
    </row>
    <row r="4501" spans="1:40" x14ac:dyDescent="0.25">
      <c r="A4501" t="str">
        <f>"20190304164736093"</f>
        <v>20190304164736093</v>
      </c>
      <c r="B4501" t="str">
        <f>"1551689256083815"</f>
        <v>1551689256083815</v>
      </c>
      <c r="C4501" t="s">
        <v>40</v>
      </c>
      <c r="D4501">
        <v>4.9585920000000003</v>
      </c>
      <c r="E4501">
        <v>0.51766480000000004</v>
      </c>
      <c r="F4501" t="s">
        <v>42</v>
      </c>
      <c r="G4501">
        <v>-394.73860000000002</v>
      </c>
      <c r="H4501" s="1">
        <v>-3.2696980000000002E-6</v>
      </c>
      <c r="I4501">
        <v>22.631</v>
      </c>
      <c r="J4501">
        <v>-402.72140000000002</v>
      </c>
      <c r="K4501">
        <v>1.1231070000000001</v>
      </c>
      <c r="L4501">
        <v>23.57178</v>
      </c>
      <c r="M4501">
        <v>0.95258690000000001</v>
      </c>
      <c r="N4501">
        <v>-1.6165949999999998E-2</v>
      </c>
      <c r="O4501">
        <v>-0.30383690000000002</v>
      </c>
      <c r="P4501">
        <v>0.90683420000000003</v>
      </c>
      <c r="Q4501">
        <v>0.40730559999999899</v>
      </c>
      <c r="R4501">
        <v>-0.10841389999999999</v>
      </c>
      <c r="S4501">
        <v>3.4662480000000002</v>
      </c>
      <c r="T4501">
        <v>-0.4683814</v>
      </c>
      <c r="U4501">
        <v>-0.4330444</v>
      </c>
      <c r="V4501">
        <v>-0.18476290000000001</v>
      </c>
      <c r="W4501">
        <v>0.41643350000000001</v>
      </c>
      <c r="X4501">
        <v>0.89019419999999905</v>
      </c>
      <c r="Y4501">
        <v>-0.1796257</v>
      </c>
      <c r="Z4501">
        <v>4.8573329999999998E-2</v>
      </c>
      <c r="AA4501">
        <v>0.98253509999999999</v>
      </c>
      <c r="AB4501">
        <v>33</v>
      </c>
      <c r="AC4501">
        <v>7.9827999999999903</v>
      </c>
      <c r="AD4501">
        <v>-1.123110269698</v>
      </c>
      <c r="AE4501">
        <v>-0.94077999999999995</v>
      </c>
      <c r="AF4501">
        <v>-1.5002060233596799</v>
      </c>
      <c r="AG4501">
        <v>-1.123110269698</v>
      </c>
      <c r="AH4501">
        <v>7.7400769572919801</v>
      </c>
      <c r="AI4501">
        <v>98.107359857298107</v>
      </c>
      <c r="AJ4501">
        <v>100.96923564934001</v>
      </c>
      <c r="AK4501">
        <v>7.9637168517739303</v>
      </c>
      <c r="AL4501">
        <v>65.390375432291805</v>
      </c>
      <c r="AM4501">
        <v>101.725458379005</v>
      </c>
      <c r="AN4501">
        <v>0.99999995142614795</v>
      </c>
    </row>
    <row r="4502" spans="1:40" x14ac:dyDescent="0.25">
      <c r="A4502" t="str">
        <f>"20190304164736115"</f>
        <v>20190304164736115</v>
      </c>
      <c r="B4502" t="str">
        <f>"1551689256103335"</f>
        <v>1551689256103335</v>
      </c>
      <c r="C4502" t="s">
        <v>40</v>
      </c>
      <c r="D4502">
        <v>5.0744189999999998</v>
      </c>
      <c r="E4502">
        <v>0.51851979999999998</v>
      </c>
      <c r="F4502" t="s">
        <v>42</v>
      </c>
      <c r="G4502">
        <v>-394.25049999999999</v>
      </c>
      <c r="H4502" s="1">
        <v>-3.4888500000000001E-6</v>
      </c>
      <c r="I4502">
        <v>22.587399999999999</v>
      </c>
      <c r="J4502">
        <v>-402.42450000000002</v>
      </c>
      <c r="K4502">
        <v>1.1228549999999999</v>
      </c>
      <c r="L4502">
        <v>23.488009999999999</v>
      </c>
      <c r="M4502">
        <v>0.95617940000000001</v>
      </c>
      <c r="N4502">
        <v>-1.611775E-2</v>
      </c>
      <c r="O4502">
        <v>-0.29233779999999998</v>
      </c>
      <c r="P4502">
        <v>0.90774080000000001</v>
      </c>
      <c r="Q4502">
        <v>0.4070183</v>
      </c>
      <c r="R4502">
        <v>-0.10170029999999999</v>
      </c>
      <c r="S4502">
        <v>3.4664920000000001</v>
      </c>
      <c r="T4502">
        <v>-0.45960240000000002</v>
      </c>
      <c r="U4502">
        <v>-0.40283200000000002</v>
      </c>
      <c r="V4502">
        <v>-0.18036759999999999</v>
      </c>
      <c r="W4502">
        <v>0.41635159999999999</v>
      </c>
      <c r="X4502">
        <v>0.89113349999999902</v>
      </c>
      <c r="Y4502">
        <v>-0.17646809999999999</v>
      </c>
      <c r="Z4502">
        <v>4.6162689999999999E-2</v>
      </c>
      <c r="AA4502">
        <v>0.98322330000000002</v>
      </c>
      <c r="AB4502">
        <v>33</v>
      </c>
      <c r="AC4502">
        <v>8.1740000000000297</v>
      </c>
      <c r="AD4502">
        <v>-1.1228584888499999</v>
      </c>
      <c r="AE4502">
        <v>-0.90061000000000002</v>
      </c>
      <c r="AF4502">
        <v>-1.5006447467753501</v>
      </c>
      <c r="AG4502">
        <v>-1.1228584888499999</v>
      </c>
      <c r="AH4502">
        <v>7.9322521497306999</v>
      </c>
      <c r="AI4502">
        <v>97.918408332214</v>
      </c>
      <c r="AJ4502">
        <v>100.71276314668501</v>
      </c>
      <c r="AK4502">
        <v>8.1506668444314592</v>
      </c>
      <c r="AL4502">
        <v>65.3955384849247</v>
      </c>
      <c r="AM4502">
        <v>101.44222689557201</v>
      </c>
      <c r="AN4502">
        <v>1.0000000203872801</v>
      </c>
    </row>
    <row r="4503" spans="1:40" x14ac:dyDescent="0.25">
      <c r="A4503" t="str">
        <f>"20190304164736136"</f>
        <v>20190304164736136</v>
      </c>
      <c r="B4503" t="str">
        <f>"1551689256133592"</f>
        <v>1551689256133592</v>
      </c>
      <c r="C4503" t="s">
        <v>40</v>
      </c>
      <c r="D4503">
        <v>5.0422409999999998</v>
      </c>
      <c r="E4503">
        <v>0.51935940000000003</v>
      </c>
      <c r="F4503" t="s">
        <v>42</v>
      </c>
      <c r="G4503">
        <v>-394.07459999999998</v>
      </c>
      <c r="H4503" s="1">
        <v>-3.5668509999999998E-6</v>
      </c>
      <c r="I4503">
        <v>22.568079999999998</v>
      </c>
      <c r="J4503">
        <v>-402.11380000000003</v>
      </c>
      <c r="K4503">
        <v>1.1225529999999999</v>
      </c>
      <c r="L4503">
        <v>23.404419999999998</v>
      </c>
      <c r="M4503">
        <v>0.95967290000000005</v>
      </c>
      <c r="N4503">
        <v>-1.606018E-2</v>
      </c>
      <c r="O4503">
        <v>-0.28066049999999998</v>
      </c>
      <c r="P4503">
        <v>0.9086997</v>
      </c>
      <c r="Q4503">
        <v>0.4064335</v>
      </c>
      <c r="R4503">
        <v>-9.5272960000000004E-2</v>
      </c>
      <c r="S4503">
        <v>3.4713750000000001</v>
      </c>
      <c r="T4503">
        <v>-0.46681430000000002</v>
      </c>
      <c r="U4503">
        <v>-0.38244630000000002</v>
      </c>
      <c r="V4503">
        <v>-0.17553079999999999</v>
      </c>
      <c r="W4503">
        <v>0.41599259999999899</v>
      </c>
      <c r="X4503">
        <v>0.89226629999999996</v>
      </c>
      <c r="Y4503">
        <v>-0.17035249999999999</v>
      </c>
      <c r="Z4503">
        <v>4.5140319999999998E-2</v>
      </c>
      <c r="AA4503">
        <v>0.98434869999999997</v>
      </c>
      <c r="AB4503">
        <v>33</v>
      </c>
      <c r="AC4503">
        <v>8.0392000000000507</v>
      </c>
      <c r="AD4503">
        <v>-1.122556566851</v>
      </c>
      <c r="AE4503">
        <v>-0.83634000000000297</v>
      </c>
      <c r="AF4503">
        <v>-1.4263471403905199</v>
      </c>
      <c r="AG4503">
        <v>-1.122556566851</v>
      </c>
      <c r="AH4503">
        <v>7.8002922036524902</v>
      </c>
      <c r="AI4503">
        <v>98.057525427828807</v>
      </c>
      <c r="AJ4503">
        <v>100.362515921336</v>
      </c>
      <c r="AK4503">
        <v>8.0086926444359392</v>
      </c>
      <c r="AL4503">
        <v>65.418159924775196</v>
      </c>
      <c r="AM4503">
        <v>101.129374956162</v>
      </c>
      <c r="AN4503">
        <v>1.00000002755954</v>
      </c>
    </row>
    <row r="4504" spans="1:40" x14ac:dyDescent="0.25">
      <c r="A4504" t="str">
        <f>"20190304164736160"</f>
        <v>20190304164736160</v>
      </c>
      <c r="B4504" t="str">
        <f>"1551689256154086"</f>
        <v>1551689256154086</v>
      </c>
      <c r="C4504" t="s">
        <v>40</v>
      </c>
      <c r="D4504">
        <v>5.0292089999999998</v>
      </c>
      <c r="E4504">
        <v>0.51908080000000001</v>
      </c>
      <c r="F4504" t="s">
        <v>42</v>
      </c>
      <c r="G4504">
        <v>-393.79809999999998</v>
      </c>
      <c r="H4504" s="1">
        <v>-3.6897060000000002E-6</v>
      </c>
      <c r="I4504">
        <v>22.53858</v>
      </c>
      <c r="J4504">
        <v>-401.77620000000002</v>
      </c>
      <c r="K4504">
        <v>1.1222379999999901</v>
      </c>
      <c r="L4504">
        <v>23.31793</v>
      </c>
      <c r="M4504">
        <v>0.96319429999999995</v>
      </c>
      <c r="N4504">
        <v>-1.5994479999999998E-2</v>
      </c>
      <c r="O4504">
        <v>-0.26833050000000003</v>
      </c>
      <c r="P4504">
        <v>0.9094932</v>
      </c>
      <c r="Q4504">
        <v>0.40612409999999999</v>
      </c>
      <c r="R4504">
        <v>-8.8802640000000002E-2</v>
      </c>
      <c r="S4504">
        <v>3.4732059999999998</v>
      </c>
      <c r="T4504">
        <v>-0.46885680000000002</v>
      </c>
      <c r="U4504">
        <v>-0.36163329999999999</v>
      </c>
      <c r="V4504">
        <v>-0.17009920000000001</v>
      </c>
      <c r="W4504">
        <v>0.41592109999999899</v>
      </c>
      <c r="X4504">
        <v>0.89335100000000001</v>
      </c>
      <c r="Y4504">
        <v>-0.163717</v>
      </c>
      <c r="Z4504">
        <v>4.3474029999999997E-2</v>
      </c>
      <c r="AA4504">
        <v>0.98554900000000001</v>
      </c>
      <c r="AB4504">
        <v>33</v>
      </c>
      <c r="AC4504">
        <v>7.9781000000000404</v>
      </c>
      <c r="AD4504">
        <v>-1.1222416897059999</v>
      </c>
      <c r="AE4504">
        <v>-0.77934999999999999</v>
      </c>
      <c r="AF4504">
        <v>-1.36355444786909</v>
      </c>
      <c r="AG4504">
        <v>-1.1222416897059999</v>
      </c>
      <c r="AH4504">
        <v>7.7428351835519198</v>
      </c>
      <c r="AI4504">
        <v>98.123683459676897</v>
      </c>
      <c r="AJ4504">
        <v>99.987682126397502</v>
      </c>
      <c r="AK4504">
        <v>7.9416751269532098</v>
      </c>
      <c r="AL4504">
        <v>65.422665482556297</v>
      </c>
      <c r="AM4504">
        <v>100.780405209297</v>
      </c>
      <c r="AN4504">
        <v>1.00000005423342</v>
      </c>
    </row>
    <row r="4505" spans="1:40" x14ac:dyDescent="0.25">
      <c r="A4505" t="str">
        <f>"20190304164736182"</f>
        <v>20190304164736182</v>
      </c>
      <c r="B4505" t="str">
        <f>"1551689256173607"</f>
        <v>1551689256173607</v>
      </c>
      <c r="C4505" t="s">
        <v>40</v>
      </c>
      <c r="D4505">
        <v>4.9759960000000003</v>
      </c>
      <c r="E4505">
        <v>0.51887459999999996</v>
      </c>
      <c r="F4505" t="s">
        <v>42</v>
      </c>
      <c r="G4505">
        <v>-393.36009999999999</v>
      </c>
      <c r="H4505" s="1">
        <v>-3.8898579999999999E-6</v>
      </c>
      <c r="I4505">
        <v>22.512709999999998</v>
      </c>
      <c r="J4505">
        <v>-401.45859999999999</v>
      </c>
      <c r="K4505">
        <v>1.121947</v>
      </c>
      <c r="L4505">
        <v>23.24033</v>
      </c>
      <c r="M4505">
        <v>0.96625919999999998</v>
      </c>
      <c r="N4505">
        <v>-1.5934399999999901E-2</v>
      </c>
      <c r="O4505">
        <v>-0.25707859999999999</v>
      </c>
      <c r="P4505">
        <v>0.90997280000000003</v>
      </c>
      <c r="Q4505">
        <v>0.40617779999999998</v>
      </c>
      <c r="R4505">
        <v>-8.3483360000000006E-2</v>
      </c>
      <c r="S4505">
        <v>3.4728699999999999</v>
      </c>
      <c r="T4505">
        <v>-0.46309080000000002</v>
      </c>
      <c r="U4505">
        <v>-0.3322754</v>
      </c>
      <c r="V4505">
        <v>-0.16455069999999999</v>
      </c>
      <c r="W4505">
        <v>0.41620210000000002</v>
      </c>
      <c r="X4505">
        <v>0.89425889999999997</v>
      </c>
      <c r="Y4505">
        <v>-0.1606369</v>
      </c>
      <c r="Z4505">
        <v>4.1465740000000001E-2</v>
      </c>
      <c r="AA4505">
        <v>0.98614219999999997</v>
      </c>
      <c r="AB4505">
        <v>33</v>
      </c>
      <c r="AC4505">
        <v>8.0984999999999996</v>
      </c>
      <c r="AD4505">
        <v>-1.121950889858</v>
      </c>
      <c r="AE4505">
        <v>-0.72761999999999805</v>
      </c>
      <c r="AF4505">
        <v>-1.3532910358815</v>
      </c>
      <c r="AG4505">
        <v>-1.121950889858</v>
      </c>
      <c r="AH4505">
        <v>7.8636062986372002</v>
      </c>
      <c r="AI4505">
        <v>98.003850727457007</v>
      </c>
      <c r="AJ4505">
        <v>99.764694134791199</v>
      </c>
      <c r="AK4505">
        <v>8.0576965968579994</v>
      </c>
      <c r="AL4505">
        <v>65.404960043889602</v>
      </c>
      <c r="AM4505">
        <v>100.426246200148</v>
      </c>
      <c r="AN4505">
        <v>1.0000000505720501</v>
      </c>
    </row>
    <row r="4506" spans="1:40" x14ac:dyDescent="0.25">
      <c r="A4506" t="str">
        <f>"20190304164736203"</f>
        <v>20190304164736203</v>
      </c>
      <c r="B4506" t="str">
        <f>"1551689256194103"</f>
        <v>1551689256194103</v>
      </c>
      <c r="C4506" t="s">
        <v>40</v>
      </c>
      <c r="D4506">
        <v>4.9711040000000004</v>
      </c>
      <c r="E4506">
        <v>0.51890829999999999</v>
      </c>
      <c r="F4506" t="s">
        <v>42</v>
      </c>
      <c r="G4506">
        <v>-392.93270000000001</v>
      </c>
      <c r="H4506" s="1">
        <v>-4.0842489999999997E-6</v>
      </c>
      <c r="I4506">
        <v>22.484079999999999</v>
      </c>
      <c r="J4506">
        <v>-401.15140000000002</v>
      </c>
      <c r="K4506">
        <v>1.1216660000000001</v>
      </c>
      <c r="L4506">
        <v>23.16873</v>
      </c>
      <c r="M4506">
        <v>0.96900070000000005</v>
      </c>
      <c r="N4506">
        <v>-1.5876350000000001E-2</v>
      </c>
      <c r="O4506">
        <v>-0.2465475</v>
      </c>
      <c r="P4506">
        <v>0.9101958</v>
      </c>
      <c r="Q4506">
        <v>0.40648279999999998</v>
      </c>
      <c r="R4506">
        <v>-7.9468150000000001E-2</v>
      </c>
      <c r="S4506">
        <v>3.472534</v>
      </c>
      <c r="T4506">
        <v>-0.45696389999999998</v>
      </c>
      <c r="U4506">
        <v>-0.30801390000000001</v>
      </c>
      <c r="V4506">
        <v>-0.15838629999999901</v>
      </c>
      <c r="W4506">
        <v>0.41674309999999998</v>
      </c>
      <c r="X4506">
        <v>0.89511949999999996</v>
      </c>
      <c r="Y4506">
        <v>-0.15690589999999999</v>
      </c>
      <c r="Z4506">
        <v>3.9481710000000003E-2</v>
      </c>
      <c r="AA4506">
        <v>0.98682409999999998</v>
      </c>
      <c r="AB4506">
        <v>33</v>
      </c>
      <c r="AC4506">
        <v>8.2187000000000108</v>
      </c>
      <c r="AD4506">
        <v>-1.1216700842489999</v>
      </c>
      <c r="AE4506">
        <v>-0.68465000000000098</v>
      </c>
      <c r="AF4506">
        <v>-1.3382898958510301</v>
      </c>
      <c r="AG4506">
        <v>-1.1216700842489999</v>
      </c>
      <c r="AH4506">
        <v>7.9860255216314</v>
      </c>
      <c r="AI4506">
        <v>97.886568122707502</v>
      </c>
      <c r="AJ4506">
        <v>99.513172821673706</v>
      </c>
      <c r="AK4506">
        <v>8.1747028848383394</v>
      </c>
      <c r="AL4506">
        <v>65.370863502154805</v>
      </c>
      <c r="AM4506">
        <v>100.03430004843101</v>
      </c>
      <c r="AN4506">
        <v>0.99999997535277396</v>
      </c>
    </row>
    <row r="4507" spans="1:40" x14ac:dyDescent="0.25">
      <c r="A4507" t="str">
        <f>"20190304164736226"</f>
        <v>20190304164736226</v>
      </c>
      <c r="B4507" t="str">
        <f>"1551689256213623"</f>
        <v>1551689256213623</v>
      </c>
      <c r="C4507" t="s">
        <v>40</v>
      </c>
      <c r="D4507">
        <v>4.9983279999999999</v>
      </c>
      <c r="E4507">
        <v>0.51917060000000004</v>
      </c>
      <c r="F4507" t="s">
        <v>42</v>
      </c>
      <c r="G4507">
        <v>-392.53120000000001</v>
      </c>
      <c r="H4507" s="1">
        <v>-4.241387E-6</v>
      </c>
      <c r="I4507">
        <v>22.44706</v>
      </c>
      <c r="J4507">
        <v>-400.84309999999999</v>
      </c>
      <c r="K4507">
        <v>1.1213660000000001</v>
      </c>
      <c r="L4507">
        <v>23.10013</v>
      </c>
      <c r="M4507">
        <v>0.97153829999999997</v>
      </c>
      <c r="N4507">
        <v>-1.5815429999999998E-2</v>
      </c>
      <c r="O4507">
        <v>-0.2363546</v>
      </c>
      <c r="P4507">
        <v>0.91061829999999999</v>
      </c>
      <c r="Q4507">
        <v>0.4062133</v>
      </c>
      <c r="R4507">
        <v>-7.5928930000000006E-2</v>
      </c>
      <c r="S4507">
        <v>3.4724729999999999</v>
      </c>
      <c r="T4507">
        <v>-0.45184180000000002</v>
      </c>
      <c r="U4507">
        <v>-0.29071039999999998</v>
      </c>
      <c r="V4507">
        <v>-0.15211229999999901</v>
      </c>
      <c r="W4507">
        <v>0.416711</v>
      </c>
      <c r="X4507">
        <v>0.89622190000000002</v>
      </c>
      <c r="Y4507">
        <v>-0.1515917</v>
      </c>
      <c r="Z4507">
        <v>3.7534150000000002E-2</v>
      </c>
      <c r="AA4507">
        <v>0.98773029999999995</v>
      </c>
      <c r="AB4507">
        <v>33</v>
      </c>
      <c r="AC4507">
        <v>8.3118999999999801</v>
      </c>
      <c r="AD4507">
        <v>-1.1213702413869999</v>
      </c>
      <c r="AE4507">
        <v>-0.65306999999999904</v>
      </c>
      <c r="AF4507">
        <v>-1.3066037586685399</v>
      </c>
      <c r="AG4507">
        <v>-1.1213702413869999</v>
      </c>
      <c r="AH4507">
        <v>8.0844701435228501</v>
      </c>
      <c r="AI4507">
        <v>97.797014963562503</v>
      </c>
      <c r="AJ4507">
        <v>99.180698915756693</v>
      </c>
      <c r="AK4507">
        <v>8.2657934949977694</v>
      </c>
      <c r="AL4507">
        <v>65.372886126438601</v>
      </c>
      <c r="AM4507">
        <v>99.632795352265603</v>
      </c>
      <c r="AN4507">
        <v>0.99999995168594802</v>
      </c>
    </row>
    <row r="4508" spans="1:40" x14ac:dyDescent="0.25">
      <c r="A4508" t="str">
        <f>"20190304164736247"</f>
        <v>20190304164736247</v>
      </c>
      <c r="B4508" t="str">
        <f>"1551689256243878"</f>
        <v>1551689256243878</v>
      </c>
      <c r="C4508" t="s">
        <v>40</v>
      </c>
      <c r="D4508">
        <v>4.9984460000000004</v>
      </c>
      <c r="E4508">
        <v>0.51968059999999905</v>
      </c>
      <c r="F4508" t="s">
        <v>42</v>
      </c>
      <c r="G4508">
        <v>-392.1884</v>
      </c>
      <c r="H4508" s="1">
        <v>-4.3655239999999998E-6</v>
      </c>
      <c r="I4508">
        <v>22.404820000000001</v>
      </c>
      <c r="J4508">
        <v>-400.52940000000001</v>
      </c>
      <c r="K4508">
        <v>1.1210249999999999</v>
      </c>
      <c r="L4508">
        <v>23.03351</v>
      </c>
      <c r="M4508">
        <v>0.97391059999999996</v>
      </c>
      <c r="N4508">
        <v>-1.575002E-2</v>
      </c>
      <c r="O4508">
        <v>-0.2263849</v>
      </c>
      <c r="P4508">
        <v>0.91071619999999998</v>
      </c>
      <c r="Q4508">
        <v>0.40673710000000002</v>
      </c>
      <c r="R4508">
        <v>-7.1841459999999996E-2</v>
      </c>
      <c r="S4508">
        <v>3.4718930000000001</v>
      </c>
      <c r="T4508">
        <v>-0.449849</v>
      </c>
      <c r="U4508">
        <v>-0.27893069999999998</v>
      </c>
      <c r="V4508">
        <v>-0.14651120000000001</v>
      </c>
      <c r="W4508">
        <v>0.41744429999999999</v>
      </c>
      <c r="X4508">
        <v>0.89681369999999905</v>
      </c>
      <c r="Y4508">
        <v>-0.14492140000000001</v>
      </c>
      <c r="Z4508">
        <v>3.5810330000000001E-2</v>
      </c>
      <c r="AA4508">
        <v>0.98879490000000003</v>
      </c>
      <c r="AB4508">
        <v>33</v>
      </c>
      <c r="AC4508">
        <v>8.3409999999999993</v>
      </c>
      <c r="AD4508">
        <v>-1.121029365524</v>
      </c>
      <c r="AE4508">
        <v>-0.62868999999999797</v>
      </c>
      <c r="AF4508">
        <v>-1.25363005311445</v>
      </c>
      <c r="AG4508">
        <v>-1.121029365524</v>
      </c>
      <c r="AH4508">
        <v>8.1208780491128394</v>
      </c>
      <c r="AI4508">
        <v>97.7687238840833</v>
      </c>
      <c r="AJ4508">
        <v>98.775549816618295</v>
      </c>
      <c r="AK4508">
        <v>8.2931872906019493</v>
      </c>
      <c r="AL4508">
        <v>65.3266608649067</v>
      </c>
      <c r="AM4508">
        <v>99.278366411185701</v>
      </c>
      <c r="AN4508">
        <v>1.0000000439178001</v>
      </c>
    </row>
    <row r="4509" spans="1:40" x14ac:dyDescent="0.25">
      <c r="A4509" t="str">
        <f>"20190304164736271"</f>
        <v>20190304164736271</v>
      </c>
      <c r="B4509" t="str">
        <f>"1551689256263399"</f>
        <v>1551689256263399</v>
      </c>
      <c r="C4509" t="s">
        <v>40</v>
      </c>
      <c r="D4509">
        <v>4.8993479999999998</v>
      </c>
      <c r="E4509">
        <v>0.51960890000000004</v>
      </c>
      <c r="F4509" t="s">
        <v>42</v>
      </c>
      <c r="G4509">
        <v>-391.79199999999997</v>
      </c>
      <c r="H4509" s="1">
        <v>-4.5087069999999997E-6</v>
      </c>
      <c r="I4509">
        <v>22.35371</v>
      </c>
      <c r="J4509">
        <v>-400.1968</v>
      </c>
      <c r="K4509">
        <v>1.1206389999999999</v>
      </c>
      <c r="L4509">
        <v>22.966090000000001</v>
      </c>
      <c r="M4509">
        <v>0.9762111</v>
      </c>
      <c r="N4509">
        <v>-1.5678339999999999E-2</v>
      </c>
      <c r="O4509">
        <v>-0.2162548</v>
      </c>
      <c r="P4509">
        <v>0.91017630000000005</v>
      </c>
      <c r="Q4509">
        <v>0.4082192</v>
      </c>
      <c r="R4509">
        <v>-7.0258619999999994E-2</v>
      </c>
      <c r="S4509">
        <v>3.4717410000000002</v>
      </c>
      <c r="T4509">
        <v>-0.44542939999999998</v>
      </c>
      <c r="U4509">
        <v>-0.27011109999999999</v>
      </c>
      <c r="V4509">
        <v>-0.13817579999999999</v>
      </c>
      <c r="W4509">
        <v>0.41919970000000001</v>
      </c>
      <c r="X4509">
        <v>0.8973177</v>
      </c>
      <c r="Y4509">
        <v>-0.13731699999999999</v>
      </c>
      <c r="Z4509">
        <v>3.3810149999999997E-2</v>
      </c>
      <c r="AA4509">
        <v>0.98994990000000005</v>
      </c>
      <c r="AB4509">
        <v>33</v>
      </c>
      <c r="AC4509">
        <v>8.4048000000000194</v>
      </c>
      <c r="AD4509">
        <v>-1.1206435087069999</v>
      </c>
      <c r="AE4509">
        <v>-0.61237999999999804</v>
      </c>
      <c r="AF4509">
        <v>-1.1987179552960701</v>
      </c>
      <c r="AG4509">
        <v>-1.1206435087069999</v>
      </c>
      <c r="AH4509">
        <v>8.19342125470728</v>
      </c>
      <c r="AI4509">
        <v>97.707178277470007</v>
      </c>
      <c r="AJ4509">
        <v>98.323464290263502</v>
      </c>
      <c r="AK4509">
        <v>8.3561305917897997</v>
      </c>
      <c r="AL4509">
        <v>65.215928418362097</v>
      </c>
      <c r="AM4509">
        <v>98.754079038544106</v>
      </c>
      <c r="AN4509">
        <v>0.99999999745950996</v>
      </c>
    </row>
    <row r="4510" spans="1:40" x14ac:dyDescent="0.25">
      <c r="A4510" t="str">
        <f>"20190304164736304"</f>
        <v>20190304164736304</v>
      </c>
      <c r="B4510" t="str">
        <f>"1551689256293658"</f>
        <v>1551689256293658</v>
      </c>
      <c r="C4510" t="s">
        <v>40</v>
      </c>
      <c r="D4510">
        <v>4.9831750000000001</v>
      </c>
      <c r="E4510">
        <v>0.52020540000000004</v>
      </c>
      <c r="F4510" t="s">
        <v>42</v>
      </c>
      <c r="G4510">
        <v>-391.17660000000001</v>
      </c>
      <c r="H4510" s="1">
        <v>-4.7302909999999998E-6</v>
      </c>
      <c r="I4510">
        <v>22.270679999999999</v>
      </c>
      <c r="J4510">
        <v>-399.71910000000003</v>
      </c>
      <c r="K4510">
        <v>1.1200289999999999</v>
      </c>
      <c r="L4510">
        <v>22.875150000000001</v>
      </c>
      <c r="M4510">
        <v>0.97913919999999999</v>
      </c>
      <c r="N4510">
        <v>-1.5573969999999999E-2</v>
      </c>
      <c r="O4510">
        <v>-0.20259289999999999</v>
      </c>
      <c r="P4510">
        <v>0.90989699999999996</v>
      </c>
      <c r="Q4510">
        <v>0.40973680000000001</v>
      </c>
      <c r="R4510">
        <v>-6.4832609999999999E-2</v>
      </c>
      <c r="S4510">
        <v>3.46875</v>
      </c>
      <c r="T4510">
        <v>-0.43094909999999997</v>
      </c>
      <c r="U4510">
        <v>-0.26742549999999998</v>
      </c>
      <c r="V4510">
        <v>-0.13019620000000001</v>
      </c>
      <c r="W4510">
        <v>0.42099760000000003</v>
      </c>
      <c r="X4510">
        <v>0.89766919999999994</v>
      </c>
      <c r="Y4510">
        <v>-0.124515</v>
      </c>
      <c r="Z4510">
        <v>3.0362690000000001E-2</v>
      </c>
      <c r="AA4510">
        <v>0.991753</v>
      </c>
      <c r="AB4510">
        <v>33</v>
      </c>
      <c r="AC4510">
        <v>8.5425000000000093</v>
      </c>
      <c r="AD4510">
        <v>-1.120033730291</v>
      </c>
      <c r="AE4510">
        <v>-0.60447000000000195</v>
      </c>
      <c r="AF4510">
        <v>-1.1197739682786501</v>
      </c>
      <c r="AG4510">
        <v>-1.120033730291</v>
      </c>
      <c r="AH4510">
        <v>8.3450453212529005</v>
      </c>
      <c r="AI4510">
        <v>97.577183112979498</v>
      </c>
      <c r="AJ4510">
        <v>97.642542517257496</v>
      </c>
      <c r="AK4510">
        <v>8.4940067524572296</v>
      </c>
      <c r="AL4510">
        <v>65.102414119416807</v>
      </c>
      <c r="AM4510">
        <v>98.252523034505998</v>
      </c>
      <c r="AN4510">
        <v>1.0000000111644101</v>
      </c>
    </row>
    <row r="4511" spans="1:40" x14ac:dyDescent="0.25">
      <c r="A4511" t="str">
        <f>"20190304164736325"</f>
        <v>20190304164736325</v>
      </c>
      <c r="B4511" t="str">
        <f>"1551689256314151"</f>
        <v>1551689256314151</v>
      </c>
      <c r="C4511" t="s">
        <v>40</v>
      </c>
      <c r="D4511">
        <v>4.9778890000000002</v>
      </c>
      <c r="E4511">
        <v>0.52048519999999998</v>
      </c>
      <c r="F4511" t="s">
        <v>42</v>
      </c>
      <c r="G4511">
        <v>-390.56060000000002</v>
      </c>
      <c r="H4511" s="1">
        <v>-4.9551350000000001E-6</v>
      </c>
      <c r="I4511">
        <v>22.204630000000002</v>
      </c>
      <c r="J4511">
        <v>-399.41239999999999</v>
      </c>
      <c r="K4511">
        <v>1.1196459999999999</v>
      </c>
      <c r="L4511">
        <v>22.819890000000001</v>
      </c>
      <c r="M4511">
        <v>0.98081870000000004</v>
      </c>
      <c r="N4511">
        <v>-1.5508589999999999E-2</v>
      </c>
      <c r="O4511">
        <v>-0.19430410000000001</v>
      </c>
      <c r="P4511">
        <v>0.90966199999999997</v>
      </c>
      <c r="Q4511">
        <v>0.4105241</v>
      </c>
      <c r="R4511">
        <v>-6.3127580000000003E-2</v>
      </c>
      <c r="S4511">
        <v>3.4701230000000001</v>
      </c>
      <c r="T4511">
        <v>-0.4243788</v>
      </c>
      <c r="U4511">
        <v>-0.25405879999999997</v>
      </c>
      <c r="V4511">
        <v>-0.12378599999999999</v>
      </c>
      <c r="W4511">
        <v>0.42198390000000002</v>
      </c>
      <c r="X4511">
        <v>0.89811280000000004</v>
      </c>
      <c r="Y4511">
        <v>-0.1201039</v>
      </c>
      <c r="Z4511">
        <v>2.8711070000000002E-2</v>
      </c>
      <c r="AA4511">
        <v>0.99234599999999995</v>
      </c>
      <c r="AB4511">
        <v>33</v>
      </c>
      <c r="AC4511">
        <v>8.8517999999999599</v>
      </c>
      <c r="AD4511">
        <v>-1.119650955135</v>
      </c>
      <c r="AE4511">
        <v>-0.61526000000000203</v>
      </c>
      <c r="AF4511">
        <v>-1.0991162645802599</v>
      </c>
      <c r="AG4511">
        <v>-1.119650955135</v>
      </c>
      <c r="AH4511">
        <v>8.6646552421204195</v>
      </c>
      <c r="AI4511">
        <v>97.305088205290403</v>
      </c>
      <c r="AJ4511">
        <v>97.229389835199598</v>
      </c>
      <c r="AK4511">
        <v>8.8055621790550305</v>
      </c>
      <c r="AL4511">
        <v>65.040096939936802</v>
      </c>
      <c r="AM4511">
        <v>97.847576905479997</v>
      </c>
      <c r="AN4511">
        <v>0.99999999358952496</v>
      </c>
    </row>
    <row r="4512" spans="1:40" x14ac:dyDescent="0.25">
      <c r="A4512" t="str">
        <f>"20190304164736349"</f>
        <v>20190304164736349</v>
      </c>
      <c r="B4512" t="str">
        <f>"1551689256343431"</f>
        <v>1551689256343431</v>
      </c>
      <c r="C4512" t="s">
        <v>40</v>
      </c>
      <c r="D4512">
        <v>5.0185449999999996</v>
      </c>
      <c r="E4512">
        <v>0.52101309999999901</v>
      </c>
      <c r="F4512" t="s">
        <v>42</v>
      </c>
      <c r="G4512">
        <v>-390.20190000000002</v>
      </c>
      <c r="H4512" s="1">
        <v>-5.0864320000000002E-6</v>
      </c>
      <c r="I4512">
        <v>22.168379999999999</v>
      </c>
      <c r="J4512">
        <v>-399.07389999999998</v>
      </c>
      <c r="K4512">
        <v>1.1192489999999999</v>
      </c>
      <c r="L4512">
        <v>22.76163</v>
      </c>
      <c r="M4512">
        <v>0.9825081</v>
      </c>
      <c r="N4512">
        <v>-1.544005E-2</v>
      </c>
      <c r="O4512">
        <v>-0.1855784</v>
      </c>
      <c r="P4512">
        <v>0.90937100000000004</v>
      </c>
      <c r="Q4512">
        <v>0.41142030000000002</v>
      </c>
      <c r="R4512">
        <v>-6.146049E-2</v>
      </c>
      <c r="S4512">
        <v>3.4713129999999999</v>
      </c>
      <c r="T4512">
        <v>-0.42198560000000002</v>
      </c>
      <c r="U4512">
        <v>-0.2455444</v>
      </c>
      <c r="V4512">
        <v>-0.11691459999999999</v>
      </c>
      <c r="W4512">
        <v>0.42308000000000001</v>
      </c>
      <c r="X4512">
        <v>0.89851780000000003</v>
      </c>
      <c r="Y4512">
        <v>-0.113847699999999</v>
      </c>
      <c r="Z4512">
        <v>2.721351E-2</v>
      </c>
      <c r="AA4512">
        <v>0.99312540000000005</v>
      </c>
      <c r="AB4512">
        <v>33</v>
      </c>
      <c r="AC4512">
        <v>8.8719999999999501</v>
      </c>
      <c r="AD4512">
        <v>-1.119254086432</v>
      </c>
      <c r="AE4512">
        <v>-0.59325000000000105</v>
      </c>
      <c r="AF4512">
        <v>-1.0471145446786201</v>
      </c>
      <c r="AG4512">
        <v>-1.119254086432</v>
      </c>
      <c r="AH4512">
        <v>8.6902666321469795</v>
      </c>
      <c r="AI4512">
        <v>97.286816905528596</v>
      </c>
      <c r="AJ4512">
        <v>96.8706062358862</v>
      </c>
      <c r="AK4512">
        <v>8.8243930509400705</v>
      </c>
      <c r="AL4512">
        <v>64.970805237778094</v>
      </c>
      <c r="AM4512">
        <v>97.413639634937894</v>
      </c>
      <c r="AN4512">
        <v>0.99999997350499903</v>
      </c>
    </row>
    <row r="4513" spans="1:40" x14ac:dyDescent="0.25">
      <c r="A4513" t="str">
        <f>"20190304164736372"</f>
        <v>20190304164736372</v>
      </c>
      <c r="B4513" t="str">
        <f>"1551689256363927"</f>
        <v>1551689256363927</v>
      </c>
      <c r="C4513" t="s">
        <v>40</v>
      </c>
      <c r="D4513">
        <v>4.9598240000000002</v>
      </c>
      <c r="E4513">
        <v>0.5213816</v>
      </c>
      <c r="F4513" t="s">
        <v>54</v>
      </c>
      <c r="G4513">
        <v>-389.80110000000002</v>
      </c>
      <c r="H4513" s="1">
        <v>-7.6294819999999997E-7</v>
      </c>
      <c r="I4513">
        <v>22.128679999999999</v>
      </c>
      <c r="J4513">
        <v>-398.7398</v>
      </c>
      <c r="K4513">
        <v>1.118854</v>
      </c>
      <c r="L4513">
        <v>22.70673</v>
      </c>
      <c r="M4513">
        <v>0.98401240000000001</v>
      </c>
      <c r="N4513">
        <v>-1.537469E-2</v>
      </c>
      <c r="O4513">
        <v>-0.17743529999999999</v>
      </c>
      <c r="P4513">
        <v>0.90995649999999995</v>
      </c>
      <c r="Q4513">
        <v>0.4103581</v>
      </c>
      <c r="R4513">
        <v>-5.987638E-2</v>
      </c>
      <c r="S4513">
        <v>3.4725649999999999</v>
      </c>
      <c r="T4513">
        <v>-0.41914400000000002</v>
      </c>
      <c r="U4513">
        <v>-0.23702999999999999</v>
      </c>
      <c r="V4513">
        <v>-0.1106312</v>
      </c>
      <c r="W4513">
        <v>0.42220659999999999</v>
      </c>
      <c r="X4513">
        <v>0.89972350000000001</v>
      </c>
      <c r="Y4513">
        <v>-0.1081845</v>
      </c>
      <c r="Z4513">
        <v>2.5799720000000002E-2</v>
      </c>
      <c r="AA4513">
        <v>0.99379600000000001</v>
      </c>
      <c r="AB4513">
        <v>33</v>
      </c>
      <c r="AC4513">
        <v>8.9386999999999794</v>
      </c>
      <c r="AD4513">
        <v>-1.1188547629482</v>
      </c>
      <c r="AE4513">
        <v>-0.57805000000000095</v>
      </c>
      <c r="AF4513">
        <v>-1.0017236525363999</v>
      </c>
      <c r="AG4513">
        <v>-1.1188547629482</v>
      </c>
      <c r="AH4513">
        <v>8.7626922748038591</v>
      </c>
      <c r="AI4513">
        <v>97.229792270944003</v>
      </c>
      <c r="AJ4513">
        <v>96.5215644599039</v>
      </c>
      <c r="AK4513">
        <v>8.8904478042183008</v>
      </c>
      <c r="AL4513">
        <v>65.026022740113703</v>
      </c>
      <c r="AM4513">
        <v>97.009977598904101</v>
      </c>
      <c r="AN4513">
        <v>1.00000002597462</v>
      </c>
    </row>
    <row r="4514" spans="1:40" x14ac:dyDescent="0.25">
      <c r="A4514" t="str">
        <f>"20190304164736395"</f>
        <v>20190304164736395</v>
      </c>
      <c r="B4514" t="str">
        <f>"1551689256383448"</f>
        <v>1551689256383448</v>
      </c>
      <c r="C4514" t="s">
        <v>40</v>
      </c>
      <c r="D4514">
        <v>5.052772</v>
      </c>
      <c r="E4514">
        <v>0.52182839999999997</v>
      </c>
      <c r="F4514" t="s">
        <v>54</v>
      </c>
      <c r="G4514">
        <v>-389.56630000000001</v>
      </c>
      <c r="H4514" s="1">
        <v>-8.662719E-7</v>
      </c>
      <c r="I4514">
        <v>22.09994</v>
      </c>
      <c r="J4514">
        <v>-398.42469999999997</v>
      </c>
      <c r="K4514">
        <v>1.1184499999999999</v>
      </c>
      <c r="L4514">
        <v>22.657229999999998</v>
      </c>
      <c r="M4514">
        <v>0.98528720000000003</v>
      </c>
      <c r="N4514">
        <v>-1.531185E-2</v>
      </c>
      <c r="O4514">
        <v>-0.17022000000000001</v>
      </c>
      <c r="P4514">
        <v>0.91030520000000004</v>
      </c>
      <c r="Q4514">
        <v>0.40993010000000002</v>
      </c>
      <c r="R4514">
        <v>-5.7464189999999998E-2</v>
      </c>
      <c r="S4514">
        <v>3.4727480000000002</v>
      </c>
      <c r="T4514">
        <v>-0.42355759999999998</v>
      </c>
      <c r="U4514">
        <v>-0.22970579999999999</v>
      </c>
      <c r="V4514">
        <v>-0.1059935</v>
      </c>
      <c r="W4514">
        <v>0.42191869999999998</v>
      </c>
      <c r="X4514">
        <v>0.90041659999999901</v>
      </c>
      <c r="Y4514">
        <v>-0.1030297</v>
      </c>
      <c r="Z4514">
        <v>2.4994570000000001E-2</v>
      </c>
      <c r="AA4514">
        <v>0.99436420000000003</v>
      </c>
      <c r="AB4514">
        <v>33</v>
      </c>
      <c r="AC4514">
        <v>8.8583999999999605</v>
      </c>
      <c r="AD4514">
        <v>-1.1184508662718999</v>
      </c>
      <c r="AE4514">
        <v>-0.55728999999999795</v>
      </c>
      <c r="AF4514">
        <v>-0.94391065132392304</v>
      </c>
      <c r="AG4514">
        <v>-1.1184508662718999</v>
      </c>
      <c r="AH4514">
        <v>8.68604295810559</v>
      </c>
      <c r="AI4514">
        <v>97.294788994932205</v>
      </c>
      <c r="AJ4514">
        <v>96.201984626790704</v>
      </c>
      <c r="AK4514">
        <v>8.8084755734464597</v>
      </c>
      <c r="AL4514">
        <v>65.044218437090294</v>
      </c>
      <c r="AM4514">
        <v>96.713736624880298</v>
      </c>
      <c r="AN4514">
        <v>1.0000000325037399</v>
      </c>
    </row>
    <row r="4515" spans="1:40" x14ac:dyDescent="0.25">
      <c r="A4515" t="str">
        <f>"20190304164736415"</f>
        <v>20190304164736415</v>
      </c>
      <c r="B4515" t="str">
        <f>"1551689256403946"</f>
        <v>1551689256403946</v>
      </c>
      <c r="C4515" t="s">
        <v>40</v>
      </c>
      <c r="D4515">
        <v>5.0175429999999999</v>
      </c>
      <c r="E4515">
        <v>0.5221943</v>
      </c>
      <c r="F4515" t="s">
        <v>54</v>
      </c>
      <c r="G4515">
        <v>-389.30610000000001</v>
      </c>
      <c r="H4515" s="1">
        <v>-9.8032430000000001E-7</v>
      </c>
      <c r="I4515">
        <v>22.06625</v>
      </c>
      <c r="J4515">
        <v>-398.12110000000001</v>
      </c>
      <c r="K4515">
        <v>1.1180429999999999</v>
      </c>
      <c r="L4515">
        <v>22.611509999999999</v>
      </c>
      <c r="M4515">
        <v>0.9863885</v>
      </c>
      <c r="N4515">
        <v>-1.525047E-2</v>
      </c>
      <c r="O4515">
        <v>-0.1637226</v>
      </c>
      <c r="P4515">
        <v>0.91020529999999999</v>
      </c>
      <c r="Q4515">
        <v>0.4106129</v>
      </c>
      <c r="R4515">
        <v>-5.4069079999999999E-2</v>
      </c>
      <c r="S4515">
        <v>3.4732059999999998</v>
      </c>
      <c r="T4515">
        <v>-0.42601080000000002</v>
      </c>
      <c r="U4515">
        <v>-0.22509770000000001</v>
      </c>
      <c r="V4515">
        <v>-0.1029268</v>
      </c>
      <c r="W4515">
        <v>0.4226992</v>
      </c>
      <c r="X4515">
        <v>0.90040619999999905</v>
      </c>
      <c r="Y4515">
        <v>-9.7852739999999994E-2</v>
      </c>
      <c r="Z4515">
        <v>2.411609E-2</v>
      </c>
      <c r="AA4515">
        <v>0.99490869999999998</v>
      </c>
      <c r="AB4515">
        <v>33</v>
      </c>
      <c r="AC4515">
        <v>8.8149999999999906</v>
      </c>
      <c r="AD4515">
        <v>-1.1180439803243001</v>
      </c>
      <c r="AE4515">
        <v>-0.54525999999999897</v>
      </c>
      <c r="AF4515">
        <v>-0.89119983295738403</v>
      </c>
      <c r="AG4515">
        <v>-1.1180439803243001</v>
      </c>
      <c r="AH4515">
        <v>8.6467386843749505</v>
      </c>
      <c r="AI4515">
        <v>97.329202215326106</v>
      </c>
      <c r="AJ4515">
        <v>95.884568152596799</v>
      </c>
      <c r="AK4515">
        <v>8.7641513770626407</v>
      </c>
      <c r="AL4515">
        <v>64.994881259867398</v>
      </c>
      <c r="AM4515">
        <v>96.521261158989901</v>
      </c>
      <c r="AN4515">
        <v>0.99999993241865703</v>
      </c>
    </row>
    <row r="4516" spans="1:40" x14ac:dyDescent="0.25">
      <c r="A4516" t="str">
        <f>"20190304164736439"</f>
        <v>20190304164736439</v>
      </c>
      <c r="B4516" t="str">
        <f>"1551689256434200"</f>
        <v>1551689256434200</v>
      </c>
      <c r="C4516" t="s">
        <v>40</v>
      </c>
      <c r="D4516">
        <v>4.9401219999999997</v>
      </c>
      <c r="E4516">
        <v>0.52273709999999995</v>
      </c>
      <c r="F4516" t="s">
        <v>54</v>
      </c>
      <c r="G4516">
        <v>-388.97109999999998</v>
      </c>
      <c r="H4516" s="1">
        <v>-1.1292539999999999E-6</v>
      </c>
      <c r="I4516">
        <v>22.030850000000001</v>
      </c>
      <c r="J4516">
        <v>-397.7971</v>
      </c>
      <c r="K4516">
        <v>1.117632</v>
      </c>
      <c r="L4516">
        <v>22.56467</v>
      </c>
      <c r="M4516">
        <v>0.98745360000000004</v>
      </c>
      <c r="N4516">
        <v>-1.5187350000000001E-2</v>
      </c>
      <c r="O4516">
        <v>-0.15717790000000001</v>
      </c>
      <c r="P4516">
        <v>0.90952710000000003</v>
      </c>
      <c r="Q4516">
        <v>0.41260530000000001</v>
      </c>
      <c r="R4516">
        <v>-5.018007E-2</v>
      </c>
      <c r="S4516">
        <v>3.4744570000000001</v>
      </c>
      <c r="T4516">
        <v>-0.42454609999999898</v>
      </c>
      <c r="U4516">
        <v>-0.2204895</v>
      </c>
      <c r="V4516">
        <v>-0.100235</v>
      </c>
      <c r="W4516">
        <v>0.42476819999999998</v>
      </c>
      <c r="X4516">
        <v>0.89973599999999998</v>
      </c>
      <c r="Y4516">
        <v>-9.2681739999999999E-2</v>
      </c>
      <c r="Z4516">
        <v>2.2987569999999999E-2</v>
      </c>
      <c r="AA4516">
        <v>0.99543040000000005</v>
      </c>
      <c r="AB4516">
        <v>33</v>
      </c>
      <c r="AC4516">
        <v>8.8260000000000201</v>
      </c>
      <c r="AD4516">
        <v>-1.117633129254</v>
      </c>
      <c r="AE4516">
        <v>-0.53381999999999796</v>
      </c>
      <c r="AF4516">
        <v>-0.84670138465558997</v>
      </c>
      <c r="AG4516">
        <v>-1.117633129254</v>
      </c>
      <c r="AH4516">
        <v>8.6617981934454296</v>
      </c>
      <c r="AI4516">
        <v>97.317762751063</v>
      </c>
      <c r="AJ4516">
        <v>95.582995321804702</v>
      </c>
      <c r="AK4516">
        <v>8.7745515549433204</v>
      </c>
      <c r="AL4516">
        <v>64.864007197628993</v>
      </c>
      <c r="AM4516">
        <v>96.356818850088601</v>
      </c>
      <c r="AN4516">
        <v>0.99999997432611898</v>
      </c>
    </row>
    <row r="4517" spans="1:40" x14ac:dyDescent="0.25">
      <c r="A4517" t="str">
        <f>"20190304164736461"</f>
        <v>20190304164736461</v>
      </c>
      <c r="B4517" t="str">
        <f>"1551689256453719"</f>
        <v>1551689256453719</v>
      </c>
      <c r="C4517" t="s">
        <v>40</v>
      </c>
      <c r="D4517">
        <v>4.9754339999999999</v>
      </c>
      <c r="E4517">
        <v>0.52306039999999998</v>
      </c>
      <c r="F4517" t="s">
        <v>54</v>
      </c>
      <c r="G4517">
        <v>-388.51069999999999</v>
      </c>
      <c r="H4517" s="1">
        <v>-1.3358570000000001E-6</v>
      </c>
      <c r="I4517">
        <v>21.989280000000001</v>
      </c>
      <c r="J4517">
        <v>-397.46179999999998</v>
      </c>
      <c r="K4517">
        <v>1.117216</v>
      </c>
      <c r="L4517">
        <v>22.51801</v>
      </c>
      <c r="M4517">
        <v>0.98844290000000001</v>
      </c>
      <c r="N4517">
        <v>-1.5127069999999999E-2</v>
      </c>
      <c r="O4517">
        <v>-0.1508372</v>
      </c>
      <c r="P4517">
        <v>0.90922099999999995</v>
      </c>
      <c r="Q4517">
        <v>0.41378280000000001</v>
      </c>
      <c r="R4517">
        <v>-4.5838749999999998E-2</v>
      </c>
      <c r="S4517">
        <v>3.4763489999999999</v>
      </c>
      <c r="T4517">
        <v>-0.41838350000000002</v>
      </c>
      <c r="U4517">
        <v>-0.2153931</v>
      </c>
      <c r="V4517">
        <v>-9.8237199999999997E-2</v>
      </c>
      <c r="W4517">
        <v>0.42601319999999998</v>
      </c>
      <c r="X4517">
        <v>0.89936769999999999</v>
      </c>
      <c r="Y4517">
        <v>-8.7902159999999993E-2</v>
      </c>
      <c r="Z4517">
        <v>2.1649959999999999E-2</v>
      </c>
      <c r="AA4517">
        <v>0.99589380000000005</v>
      </c>
      <c r="AB4517">
        <v>33</v>
      </c>
      <c r="AC4517">
        <v>8.9510999999999896</v>
      </c>
      <c r="AD4517">
        <v>-1.1172173358569999</v>
      </c>
      <c r="AE4517">
        <v>-0.52873000000000303</v>
      </c>
      <c r="AF4517">
        <v>-0.81498215773435601</v>
      </c>
      <c r="AG4517">
        <v>-1.1172173358569999</v>
      </c>
      <c r="AH4517">
        <v>8.7919367631388798</v>
      </c>
      <c r="AI4517">
        <v>97.211341900071005</v>
      </c>
      <c r="AJ4517">
        <v>95.295986527600405</v>
      </c>
      <c r="AK4517">
        <v>8.9000293561312294</v>
      </c>
      <c r="AL4517">
        <v>64.785188192267398</v>
      </c>
      <c r="AM4517">
        <v>96.233658340948693</v>
      </c>
      <c r="AN4517">
        <v>1.0000000269206799</v>
      </c>
    </row>
    <row r="4518" spans="1:40" x14ac:dyDescent="0.25">
      <c r="A4518" t="str">
        <f>"20190304164736483"</f>
        <v>20190304164736483</v>
      </c>
      <c r="B4518" t="str">
        <f>"1551689256473239"</f>
        <v>1551689256473239</v>
      </c>
      <c r="C4518" t="s">
        <v>40</v>
      </c>
      <c r="D4518">
        <v>4.9291970000000003</v>
      </c>
      <c r="E4518">
        <v>0.52341850000000001</v>
      </c>
      <c r="F4518" t="s">
        <v>54</v>
      </c>
      <c r="G4518">
        <v>-388.03289999999998</v>
      </c>
      <c r="H4518" s="1">
        <v>-1.5531020000000001E-6</v>
      </c>
      <c r="I4518">
        <v>21.957000000000001</v>
      </c>
      <c r="J4518">
        <v>-397.14620000000002</v>
      </c>
      <c r="K4518">
        <v>1.1168309999999999</v>
      </c>
      <c r="L4518">
        <v>22.475680000000001</v>
      </c>
      <c r="M4518">
        <v>0.98927229999999999</v>
      </c>
      <c r="N4518">
        <v>-1.507267E-2</v>
      </c>
      <c r="O4518">
        <v>-0.14530390000000001</v>
      </c>
      <c r="P4518">
        <v>0.90936419999999996</v>
      </c>
      <c r="Q4518">
        <v>0.41390500000000002</v>
      </c>
      <c r="R4518">
        <v>-4.1706310000000003E-2</v>
      </c>
      <c r="S4518">
        <v>3.4765320000000002</v>
      </c>
      <c r="T4518">
        <v>-0.41192960000000001</v>
      </c>
      <c r="U4518">
        <v>-0.20684810000000001</v>
      </c>
      <c r="V4518">
        <v>-9.6858920000000001E-2</v>
      </c>
      <c r="W4518">
        <v>0.42619689999999999</v>
      </c>
      <c r="X4518">
        <v>0.89943009999999901</v>
      </c>
      <c r="Y4518">
        <v>-8.4870979999999999E-2</v>
      </c>
      <c r="Z4518">
        <v>2.0536639999999998E-2</v>
      </c>
      <c r="AA4518">
        <v>0.99618030000000002</v>
      </c>
      <c r="AB4518">
        <v>33</v>
      </c>
      <c r="AC4518">
        <v>9.1133000000000308</v>
      </c>
      <c r="AD4518">
        <v>-1.11683255310199</v>
      </c>
      <c r="AE4518">
        <v>-0.51868000000000303</v>
      </c>
      <c r="AF4518">
        <v>-0.79921025130940704</v>
      </c>
      <c r="AG4518">
        <v>-1.11683255310199</v>
      </c>
      <c r="AH4518">
        <v>8.9578355691148701</v>
      </c>
      <c r="AI4518">
        <v>97.078940120437593</v>
      </c>
      <c r="AJ4518">
        <v>95.098380119286702</v>
      </c>
      <c r="AK4518">
        <v>9.0624980033523901</v>
      </c>
      <c r="AL4518">
        <v>64.773552539577395</v>
      </c>
      <c r="AM4518">
        <v>96.146450403699703</v>
      </c>
      <c r="AN4518">
        <v>0.99999997636959204</v>
      </c>
    </row>
    <row r="4519" spans="1:40" x14ac:dyDescent="0.25">
      <c r="A4519" t="str">
        <f>"20190304164736505"</f>
        <v>20190304164736505</v>
      </c>
      <c r="B4519" t="str">
        <f>"1551689256493738"</f>
        <v>1551689256493738</v>
      </c>
      <c r="C4519" t="s">
        <v>40</v>
      </c>
      <c r="D4519">
        <v>4.984858</v>
      </c>
      <c r="E4519">
        <v>0.52348329999999998</v>
      </c>
      <c r="F4519" t="s">
        <v>54</v>
      </c>
      <c r="G4519">
        <v>-387.73149999999998</v>
      </c>
      <c r="H4519" s="1">
        <v>-1.6917729999999999E-6</v>
      </c>
      <c r="I4519">
        <v>21.942730000000001</v>
      </c>
      <c r="J4519">
        <v>-396.834</v>
      </c>
      <c r="K4519">
        <v>1.1164240000000001</v>
      </c>
      <c r="L4519">
        <v>22.435179999999999</v>
      </c>
      <c r="M4519">
        <v>0.98999760000000003</v>
      </c>
      <c r="N4519">
        <v>-1.5019060000000001E-2</v>
      </c>
      <c r="O4519">
        <v>-0.14028309999999999</v>
      </c>
      <c r="P4519">
        <v>0.90999300000000005</v>
      </c>
      <c r="Q4519">
        <v>0.41292109999999899</v>
      </c>
      <c r="R4519">
        <v>-3.7539089999999997E-2</v>
      </c>
      <c r="S4519">
        <v>3.4777529999999999</v>
      </c>
      <c r="T4519">
        <v>-0.41255439999999999</v>
      </c>
      <c r="U4519">
        <v>-0.19686890000000001</v>
      </c>
      <c r="V4519">
        <v>-9.6030379999999999E-2</v>
      </c>
      <c r="W4519">
        <v>0.42527530000000002</v>
      </c>
      <c r="X4519">
        <v>0.89995499999999995</v>
      </c>
      <c r="Y4519">
        <v>-8.272438E-2</v>
      </c>
      <c r="Z4519">
        <v>1.991598E-2</v>
      </c>
      <c r="AA4519">
        <v>0.99637339999999996</v>
      </c>
      <c r="AB4519">
        <v>33</v>
      </c>
      <c r="AC4519">
        <v>9.1025000000000098</v>
      </c>
      <c r="AD4519">
        <v>-1.116425691773</v>
      </c>
      <c r="AE4519">
        <v>-0.492450000000001</v>
      </c>
      <c r="AF4519">
        <v>-0.77782480762797201</v>
      </c>
      <c r="AG4519">
        <v>-1.116425691773</v>
      </c>
      <c r="AH4519">
        <v>8.9473556757429495</v>
      </c>
      <c r="AI4519">
        <v>97.085992678203695</v>
      </c>
      <c r="AJ4519">
        <v>94.968430705291794</v>
      </c>
      <c r="AK4519">
        <v>9.0502260383297504</v>
      </c>
      <c r="AL4519">
        <v>64.831908631611796</v>
      </c>
      <c r="AM4519">
        <v>96.090742688823397</v>
      </c>
      <c r="AN4519">
        <v>0.999999958349016</v>
      </c>
    </row>
    <row r="4520" spans="1:40" x14ac:dyDescent="0.25">
      <c r="A4520" t="str">
        <f>"20190304164736527"</f>
        <v>20190304164736527</v>
      </c>
      <c r="B4520" t="str">
        <f>"1551689256523991"</f>
        <v>1551689256523991</v>
      </c>
      <c r="C4520" t="s">
        <v>40</v>
      </c>
      <c r="D4520">
        <v>4.8865559999999997</v>
      </c>
      <c r="E4520">
        <v>0.52333459999999998</v>
      </c>
      <c r="F4520" t="s">
        <v>54</v>
      </c>
      <c r="G4520">
        <v>-387.48570000000001</v>
      </c>
      <c r="H4520" s="1">
        <v>-1.806732E-6</v>
      </c>
      <c r="I4520">
        <v>21.938199999999998</v>
      </c>
      <c r="J4520">
        <v>-396.51310000000001</v>
      </c>
      <c r="K4520">
        <v>1.1159749999999999</v>
      </c>
      <c r="L4520">
        <v>22.394780000000001</v>
      </c>
      <c r="M4520">
        <v>0.99064949999999996</v>
      </c>
      <c r="N4520">
        <v>-1.496448E-2</v>
      </c>
      <c r="O4520">
        <v>-0.13560839999999999</v>
      </c>
      <c r="P4520">
        <v>0.91085959999999999</v>
      </c>
      <c r="Q4520">
        <v>0.4113792</v>
      </c>
      <c r="R4520">
        <v>-3.319896E-2</v>
      </c>
      <c r="S4520">
        <v>3.4775089999999902</v>
      </c>
      <c r="T4520">
        <v>-0.41530660000000003</v>
      </c>
      <c r="U4520">
        <v>-0.1848755</v>
      </c>
      <c r="V4520">
        <v>-9.5676040000000004E-2</v>
      </c>
      <c r="W4520">
        <v>0.42380010000000001</v>
      </c>
      <c r="X4520">
        <v>0.90068839999999994</v>
      </c>
      <c r="Y4520">
        <v>-8.1456700000000007E-2</v>
      </c>
      <c r="Z4520">
        <v>1.9502180000000001E-2</v>
      </c>
      <c r="AA4520">
        <v>0.99648610000000004</v>
      </c>
      <c r="AB4520">
        <v>33</v>
      </c>
      <c r="AC4520">
        <v>9.0274000000000001</v>
      </c>
      <c r="AD4520">
        <v>-1.1159768067319999</v>
      </c>
      <c r="AE4520">
        <v>-0.45657999999999799</v>
      </c>
      <c r="AF4520">
        <v>-0.76037640883597502</v>
      </c>
      <c r="AG4520">
        <v>-1.1159768067319999</v>
      </c>
      <c r="AH4520">
        <v>8.8706962077034799</v>
      </c>
      <c r="AI4520">
        <v>97.144491205982504</v>
      </c>
      <c r="AJ4520">
        <v>94.899291347923594</v>
      </c>
      <c r="AK4520">
        <v>8.9728940551888297</v>
      </c>
      <c r="AL4520">
        <v>64.925263048865901</v>
      </c>
      <c r="AM4520">
        <v>96.063532123842805</v>
      </c>
      <c r="AN4520">
        <v>1.00000001164232</v>
      </c>
    </row>
    <row r="4521" spans="1:40" x14ac:dyDescent="0.25">
      <c r="A4521" t="str">
        <f>"20190304164736551"</f>
        <v>20190304164736551</v>
      </c>
      <c r="B4521" t="str">
        <f>"1551689256543512"</f>
        <v>1551689256543512</v>
      </c>
      <c r="C4521" t="s">
        <v>40</v>
      </c>
      <c r="D4521">
        <v>4.8870610000000001</v>
      </c>
      <c r="E4521">
        <v>0.52332250000000002</v>
      </c>
      <c r="F4521" t="s">
        <v>54</v>
      </c>
      <c r="G4521">
        <v>-387.28680000000003</v>
      </c>
      <c r="H4521" s="1">
        <v>-1.900315E-6</v>
      </c>
      <c r="I4521">
        <v>21.93646</v>
      </c>
      <c r="J4521">
        <v>-396.1748</v>
      </c>
      <c r="K4521">
        <v>1.1154809999999999</v>
      </c>
      <c r="L4521">
        <v>22.353269999999998</v>
      </c>
      <c r="M4521">
        <v>0.99124230000000002</v>
      </c>
      <c r="N4521">
        <v>-1.4909270000000001E-2</v>
      </c>
      <c r="O4521">
        <v>-0.131211299999999</v>
      </c>
      <c r="P4521">
        <v>0.91148660000000004</v>
      </c>
      <c r="Q4521">
        <v>0.41030139999999998</v>
      </c>
      <c r="R4521">
        <v>-2.9068509999999999E-2</v>
      </c>
      <c r="S4521">
        <v>3.4772340000000002</v>
      </c>
      <c r="T4521">
        <v>-0.42059180000000002</v>
      </c>
      <c r="U4521">
        <v>-0.17272950000000001</v>
      </c>
      <c r="V4521">
        <v>-9.5295069999999996E-2</v>
      </c>
      <c r="W4521">
        <v>0.42279480000000003</v>
      </c>
      <c r="X4521">
        <v>0.90120109999999998</v>
      </c>
      <c r="Y4521">
        <v>-8.0495650000000002E-2</v>
      </c>
      <c r="Z4521">
        <v>1.9251979999999998E-2</v>
      </c>
      <c r="AA4521">
        <v>0.99656900000000004</v>
      </c>
      <c r="AB4521">
        <v>33</v>
      </c>
      <c r="AC4521">
        <v>8.8879999999999697</v>
      </c>
      <c r="AD4521">
        <v>-1.115482900315</v>
      </c>
      <c r="AE4521">
        <v>-0.41681000000000101</v>
      </c>
      <c r="AF4521">
        <v>-0.74147642072166098</v>
      </c>
      <c r="AG4521">
        <v>-1.115482900315</v>
      </c>
      <c r="AH4521">
        <v>8.7286509051320404</v>
      </c>
      <c r="AI4521">
        <v>97.256816069267998</v>
      </c>
      <c r="AJ4521">
        <v>94.855472205083501</v>
      </c>
      <c r="AK4521">
        <v>8.8308230650966895</v>
      </c>
      <c r="AL4521">
        <v>64.988839151524203</v>
      </c>
      <c r="AM4521">
        <v>96.036156123761998</v>
      </c>
      <c r="AN4521">
        <v>1.00000000795727</v>
      </c>
    </row>
    <row r="4522" spans="1:40" x14ac:dyDescent="0.25">
      <c r="A4522" t="str">
        <f>"20190304164736575"</f>
        <v>20190304164736575</v>
      </c>
      <c r="B4522" t="str">
        <f>"1551689256564007"</f>
        <v>1551689256564007</v>
      </c>
      <c r="C4522" t="s">
        <v>40</v>
      </c>
      <c r="D4522">
        <v>4.9293559999999896</v>
      </c>
      <c r="E4522">
        <v>0.52341309999999996</v>
      </c>
      <c r="F4522" t="s">
        <v>54</v>
      </c>
      <c r="G4522">
        <v>-387.06700000000001</v>
      </c>
      <c r="H4522" s="1">
        <v>-2.0010450000000002E-6</v>
      </c>
      <c r="I4522">
        <v>21.924499999999998</v>
      </c>
      <c r="J4522">
        <v>-395.84039999999999</v>
      </c>
      <c r="K4522">
        <v>1.114989</v>
      </c>
      <c r="L4522">
        <v>22.31317</v>
      </c>
      <c r="M4522">
        <v>0.99173960000000005</v>
      </c>
      <c r="N4522">
        <v>-1.485826E-2</v>
      </c>
      <c r="O4522">
        <v>-0.12740370000000001</v>
      </c>
      <c r="P4522">
        <v>0.91180260000000002</v>
      </c>
      <c r="Q4522">
        <v>0.40981129999999999</v>
      </c>
      <c r="R4522">
        <v>-2.5899809999999999E-2</v>
      </c>
      <c r="S4522">
        <v>3.4778440000000002</v>
      </c>
      <c r="T4522">
        <v>-0.42594860000000001</v>
      </c>
      <c r="U4522">
        <v>-0.16372679999999901</v>
      </c>
      <c r="V4522">
        <v>-9.4474589999999997E-2</v>
      </c>
      <c r="W4522">
        <v>0.42238120000000001</v>
      </c>
      <c r="X4522">
        <v>0.90148139999999999</v>
      </c>
      <c r="Y4522">
        <v>-7.9244999999999996E-2</v>
      </c>
      <c r="Z4522">
        <v>1.9026109999999999E-2</v>
      </c>
      <c r="AA4522">
        <v>0.99667360000000005</v>
      </c>
      <c r="AB4522">
        <v>33</v>
      </c>
      <c r="AC4522">
        <v>8.7734000000000307</v>
      </c>
      <c r="AD4522">
        <v>-1.1149910010449999</v>
      </c>
      <c r="AE4522">
        <v>-0.38867000000000101</v>
      </c>
      <c r="AF4522">
        <v>-0.72076657570023805</v>
      </c>
      <c r="AG4522">
        <v>-1.1149910010449999</v>
      </c>
      <c r="AH4522">
        <v>8.6125809749011797</v>
      </c>
      <c r="AI4522">
        <v>97.351110764369196</v>
      </c>
      <c r="AJ4522">
        <v>94.783801370888497</v>
      </c>
      <c r="AK4522">
        <v>8.7143135379838004</v>
      </c>
      <c r="AL4522">
        <v>65.014986413163996</v>
      </c>
      <c r="AM4522">
        <v>95.982716980025202</v>
      </c>
      <c r="AN4522">
        <v>1.0000000204075301</v>
      </c>
    </row>
    <row r="4523" spans="1:40" x14ac:dyDescent="0.25">
      <c r="A4523" t="str">
        <f>"20190304164736596"</f>
        <v>20190304164736596</v>
      </c>
      <c r="B4523" t="str">
        <f>"1551689256583527"</f>
        <v>1551689256583527</v>
      </c>
      <c r="C4523" t="s">
        <v>40</v>
      </c>
      <c r="D4523">
        <v>4.9168589999999996</v>
      </c>
      <c r="E4523">
        <v>0.52351369999999997</v>
      </c>
      <c r="F4523" t="s">
        <v>54</v>
      </c>
      <c r="G4523">
        <v>-386.80250000000001</v>
      </c>
      <c r="H4523" s="1">
        <v>-2.1220059999999999E-6</v>
      </c>
      <c r="I4523">
        <v>21.909279999999999</v>
      </c>
      <c r="J4523">
        <v>-395.53739999999999</v>
      </c>
      <c r="K4523">
        <v>1.1145689999999999</v>
      </c>
      <c r="L4523">
        <v>22.277529999999999</v>
      </c>
      <c r="M4523">
        <v>0.9921179</v>
      </c>
      <c r="N4523">
        <v>-1.481591E-2</v>
      </c>
      <c r="O4523">
        <v>-0.1244285</v>
      </c>
      <c r="P4523">
        <v>0.91255830000000004</v>
      </c>
      <c r="Q4523">
        <v>0.40826990000000002</v>
      </c>
      <c r="R4523">
        <v>-2.3516680000000002E-2</v>
      </c>
      <c r="S4523">
        <v>3.4786679999999999</v>
      </c>
      <c r="T4523">
        <v>-0.42916080000000001</v>
      </c>
      <c r="U4523">
        <v>-0.1554565</v>
      </c>
      <c r="V4523">
        <v>-9.3758510000000003E-2</v>
      </c>
      <c r="W4523">
        <v>0.42091240000000002</v>
      </c>
      <c r="X4523">
        <v>0.90224280000000001</v>
      </c>
      <c r="Y4523">
        <v>-7.8631300000000001E-2</v>
      </c>
      <c r="Z4523">
        <v>1.8818120000000001E-2</v>
      </c>
      <c r="AA4523">
        <v>0.99672620000000001</v>
      </c>
      <c r="AB4523">
        <v>32</v>
      </c>
      <c r="AC4523">
        <v>8.7348999999999801</v>
      </c>
      <c r="AD4523">
        <v>-1.1145711220059999</v>
      </c>
      <c r="AE4523">
        <v>-0.36824999999999902</v>
      </c>
      <c r="AF4523">
        <v>-0.71006183077537799</v>
      </c>
      <c r="AG4523">
        <v>-1.1145711220059999</v>
      </c>
      <c r="AH4523">
        <v>8.5734850168277799</v>
      </c>
      <c r="AI4523">
        <v>97.382036666248098</v>
      </c>
      <c r="AJ4523">
        <v>94.734469967022306</v>
      </c>
      <c r="AK4523">
        <v>8.6747393000195796</v>
      </c>
      <c r="AL4523">
        <v>65.107795170097404</v>
      </c>
      <c r="AM4523">
        <v>95.932720501939102</v>
      </c>
      <c r="AN4523">
        <v>0.99999998841151005</v>
      </c>
    </row>
    <row r="4524" spans="1:40" x14ac:dyDescent="0.25">
      <c r="A4524" t="str">
        <f>"20190304164736616"</f>
        <v>20190304164736616</v>
      </c>
      <c r="B4524" t="str">
        <f>"1551689256613783"</f>
        <v>1551689256613783</v>
      </c>
      <c r="C4524" t="s">
        <v>40</v>
      </c>
      <c r="D4524">
        <v>4.9541250000000003</v>
      </c>
      <c r="E4524">
        <v>0.52374960000000004</v>
      </c>
      <c r="F4524" t="s">
        <v>54</v>
      </c>
      <c r="G4524">
        <v>-386.637</v>
      </c>
      <c r="H4524" s="1">
        <v>-2.1976459999999999E-6</v>
      </c>
      <c r="I4524">
        <v>21.899519999999999</v>
      </c>
      <c r="J4524">
        <v>-395.24189999999999</v>
      </c>
      <c r="K4524">
        <v>1.1142179999999999</v>
      </c>
      <c r="L4524">
        <v>22.243320000000001</v>
      </c>
      <c r="M4524">
        <v>0.99243890000000001</v>
      </c>
      <c r="N4524">
        <v>-1.4777439999999999E-2</v>
      </c>
      <c r="O4524">
        <v>-0.1218482</v>
      </c>
      <c r="P4524">
        <v>0.91321459999999999</v>
      </c>
      <c r="Q4524">
        <v>0.40686800000000001</v>
      </c>
      <c r="R4524">
        <v>-2.231464E-2</v>
      </c>
      <c r="S4524">
        <v>3.4785159999999999</v>
      </c>
      <c r="T4524">
        <v>-0.43560589999999999</v>
      </c>
      <c r="U4524">
        <v>-0.14773559999999999</v>
      </c>
      <c r="V4524">
        <v>-9.2289640000000006E-2</v>
      </c>
      <c r="W4524">
        <v>0.41957709999999998</v>
      </c>
      <c r="X4524">
        <v>0.90301589999999998</v>
      </c>
      <c r="Y4524">
        <v>-7.8219750000000005E-2</v>
      </c>
      <c r="Z4524">
        <v>1.8813239999999998E-2</v>
      </c>
      <c r="AA4524">
        <v>0.99675860000000005</v>
      </c>
      <c r="AB4524">
        <v>32</v>
      </c>
      <c r="AC4524">
        <v>8.6049000000000397</v>
      </c>
      <c r="AD4524">
        <v>-1.114220197646</v>
      </c>
      <c r="AE4524">
        <v>-0.343799999999998</v>
      </c>
      <c r="AF4524">
        <v>-0.69572176396930596</v>
      </c>
      <c r="AG4524">
        <v>-1.114220197646</v>
      </c>
      <c r="AH4524">
        <v>8.4413556431733401</v>
      </c>
      <c r="AI4524">
        <v>97.494192030122207</v>
      </c>
      <c r="AJ4524">
        <v>94.711568966217001</v>
      </c>
      <c r="AK4524">
        <v>8.5429503402652003</v>
      </c>
      <c r="AL4524">
        <v>65.192109551316506</v>
      </c>
      <c r="AM4524">
        <v>95.835457303503404</v>
      </c>
      <c r="AN4524">
        <v>1.0000000180742701</v>
      </c>
    </row>
    <row r="4525" spans="1:40" x14ac:dyDescent="0.25">
      <c r="A4525" t="str">
        <f>"20190304164736639"</f>
        <v>20190304164736639</v>
      </c>
      <c r="B4525" t="str">
        <f>"1551689256633304"</f>
        <v>1551689256633304</v>
      </c>
      <c r="C4525" t="s">
        <v>40</v>
      </c>
      <c r="D4525">
        <v>5.0644369999999999</v>
      </c>
      <c r="E4525">
        <v>0.52397859999999996</v>
      </c>
      <c r="F4525" t="s">
        <v>41</v>
      </c>
      <c r="G4525">
        <v>-394.26190000000003</v>
      </c>
      <c r="H4525">
        <v>0.98946670000000003</v>
      </c>
      <c r="I4525">
        <v>22.202739999999999</v>
      </c>
      <c r="J4525">
        <v>-394.91609999999997</v>
      </c>
      <c r="K4525">
        <v>1.1138950000000001</v>
      </c>
      <c r="L4525">
        <v>22.20618</v>
      </c>
      <c r="M4525">
        <v>0.99274320000000005</v>
      </c>
      <c r="N4525">
        <v>-1.473842E-2</v>
      </c>
      <c r="O4525">
        <v>-0.11934889999999999</v>
      </c>
      <c r="P4525">
        <v>0.91348770000000001</v>
      </c>
      <c r="Q4525">
        <v>0.40634589999999998</v>
      </c>
      <c r="R4525">
        <v>-2.0583790000000001E-2</v>
      </c>
      <c r="S4525">
        <v>3.4789430000000001</v>
      </c>
      <c r="T4525">
        <v>-0.44292160000000003</v>
      </c>
      <c r="U4525">
        <v>-0.1437378</v>
      </c>
      <c r="V4525">
        <v>-9.1403509999999993E-2</v>
      </c>
      <c r="W4525">
        <v>0.41910310000000001</v>
      </c>
      <c r="X4525">
        <v>0.90332599999999996</v>
      </c>
      <c r="Y4525">
        <v>-7.6836059999999998E-2</v>
      </c>
      <c r="Z4525">
        <v>1.8773089999999999E-2</v>
      </c>
      <c r="AA4525">
        <v>0.99686699999999995</v>
      </c>
      <c r="AB4525">
        <v>32</v>
      </c>
      <c r="AC4525">
        <v>0.65419999999994605</v>
      </c>
      <c r="AD4525">
        <v>-0.12442830000000001</v>
      </c>
      <c r="AE4525">
        <v>-3.4400000000012199E-3</v>
      </c>
      <c r="AF4525">
        <v>-7.2064204920806493E-2</v>
      </c>
      <c r="AG4525">
        <v>-0.12442830000000001</v>
      </c>
      <c r="AH4525">
        <v>0.62724325855735796</v>
      </c>
      <c r="AI4525">
        <v>101.148800023307</v>
      </c>
      <c r="AJ4525">
        <v>96.5539965106165</v>
      </c>
      <c r="AK4525">
        <v>0.64351360271357905</v>
      </c>
      <c r="AL4525">
        <v>65.222022923298198</v>
      </c>
      <c r="AM4525">
        <v>95.777837913154698</v>
      </c>
      <c r="AN4525">
        <v>0.99999993617296301</v>
      </c>
    </row>
    <row r="4526" spans="1:40" x14ac:dyDescent="0.25">
      <c r="A4526" t="str">
        <f>"20190304164736662"</f>
        <v>20190304164736662</v>
      </c>
      <c r="B4526" t="str">
        <f>"1551689256653799"</f>
        <v>1551689256653799</v>
      </c>
      <c r="C4526" t="s">
        <v>40</v>
      </c>
      <c r="D4526">
        <v>4.9151660000000001</v>
      </c>
      <c r="E4526">
        <v>0.52408329999999903</v>
      </c>
      <c r="F4526" t="s">
        <v>41</v>
      </c>
      <c r="G4526">
        <v>-393.97289999999998</v>
      </c>
      <c r="H4526">
        <v>0.99298580000000003</v>
      </c>
      <c r="I4526">
        <v>22.168489999999998</v>
      </c>
      <c r="J4526">
        <v>-394.57870000000003</v>
      </c>
      <c r="K4526">
        <v>1.11361</v>
      </c>
      <c r="L4526">
        <v>22.168299999999999</v>
      </c>
      <c r="M4526">
        <v>0.99301209999999995</v>
      </c>
      <c r="N4526">
        <v>-1.470112E-2</v>
      </c>
      <c r="O4526">
        <v>-0.11709310000000001</v>
      </c>
      <c r="P4526">
        <v>0.91280689999999998</v>
      </c>
      <c r="Q4526">
        <v>0.40793950000000001</v>
      </c>
      <c r="R4526">
        <v>-1.9213259999999999E-2</v>
      </c>
      <c r="S4526">
        <v>3.4794619999999998</v>
      </c>
      <c r="T4526">
        <v>-0.4461794</v>
      </c>
      <c r="U4526">
        <v>-0.13809199999999999</v>
      </c>
      <c r="V4526">
        <v>-9.0314749999999999E-2</v>
      </c>
      <c r="W4526">
        <v>0.4207264</v>
      </c>
      <c r="X4526">
        <v>0.90268079999999995</v>
      </c>
      <c r="Y4526">
        <v>-7.6190010000000002E-2</v>
      </c>
      <c r="Z4526">
        <v>1.862101E-2</v>
      </c>
      <c r="AA4526">
        <v>0.99691949999999996</v>
      </c>
      <c r="AB4526">
        <v>32</v>
      </c>
      <c r="AC4526">
        <v>0.60580000000004397</v>
      </c>
      <c r="AD4526">
        <v>-0.120624199999999</v>
      </c>
      <c r="AE4526">
        <v>1.89999999999912E-4</v>
      </c>
      <c r="AF4526">
        <v>-6.8418762554482496E-2</v>
      </c>
      <c r="AG4526">
        <v>-0.120624199999999</v>
      </c>
      <c r="AH4526">
        <v>0.57866709907866798</v>
      </c>
      <c r="AI4526">
        <v>101.695595361096</v>
      </c>
      <c r="AJ4526">
        <v>96.743066873558604</v>
      </c>
      <c r="AK4526">
        <v>0.59505204499375297</v>
      </c>
      <c r="AL4526">
        <v>65.119544469800999</v>
      </c>
      <c r="AM4526">
        <v>95.713526073800793</v>
      </c>
      <c r="AN4526">
        <v>1.00000004220658</v>
      </c>
    </row>
    <row r="4527" spans="1:40" x14ac:dyDescent="0.25">
      <c r="A4527" t="str">
        <f>"20190304164736685"</f>
        <v>20190304164736685</v>
      </c>
      <c r="B4527" t="str">
        <f>"1551689256673319"</f>
        <v>1551689256673319</v>
      </c>
      <c r="C4527" t="s">
        <v>40</v>
      </c>
      <c r="D4527">
        <v>4.9411559999999897</v>
      </c>
      <c r="E4527">
        <v>0.52397749999999998</v>
      </c>
      <c r="F4527" t="s">
        <v>54</v>
      </c>
      <c r="G4527">
        <v>-385.77960000000002</v>
      </c>
      <c r="H4527" s="1">
        <v>-2.585496E-6</v>
      </c>
      <c r="I4527">
        <v>21.833870000000001</v>
      </c>
      <c r="J4527">
        <v>-394.26679999999999</v>
      </c>
      <c r="K4527">
        <v>1.1133599999999999</v>
      </c>
      <c r="L4527">
        <v>22.133700000000001</v>
      </c>
      <c r="M4527">
        <v>0.99322650000000001</v>
      </c>
      <c r="N4527">
        <v>-1.466923E-2</v>
      </c>
      <c r="O4527">
        <v>-0.1152657</v>
      </c>
      <c r="P4527">
        <v>0.91170479999999998</v>
      </c>
      <c r="Q4527">
        <v>0.41042800000000002</v>
      </c>
      <c r="R4527">
        <v>-1.8532679999999999E-2</v>
      </c>
      <c r="S4527">
        <v>3.4806520000000001</v>
      </c>
      <c r="T4527">
        <v>-0.44051069999999998</v>
      </c>
      <c r="U4527">
        <v>-0.13229369999999999</v>
      </c>
      <c r="V4527">
        <v>-8.893326E-2</v>
      </c>
      <c r="W4527">
        <v>0.42323509999999998</v>
      </c>
      <c r="X4527">
        <v>0.90164460000000002</v>
      </c>
      <c r="Y4527">
        <v>-7.6077770000000003E-2</v>
      </c>
      <c r="Z4527">
        <v>1.8158500000000001E-2</v>
      </c>
      <c r="AA4527">
        <v>0.9969365</v>
      </c>
      <c r="AB4527">
        <v>32</v>
      </c>
      <c r="AC4527">
        <v>8.4871999999999694</v>
      </c>
      <c r="AD4527">
        <v>-1.1133625854960001</v>
      </c>
      <c r="AE4527">
        <v>-0.29982999999999999</v>
      </c>
      <c r="AF4527">
        <v>-0.66905792226444605</v>
      </c>
      <c r="AG4527">
        <v>-1.1133625854960001</v>
      </c>
      <c r="AH4527">
        <v>8.3221482330963994</v>
      </c>
      <c r="AI4527">
        <v>97.595740242046404</v>
      </c>
      <c r="AJ4527">
        <v>94.596400357375501</v>
      </c>
      <c r="AK4527">
        <v>8.4229072156682694</v>
      </c>
      <c r="AL4527">
        <v>64.960998765747803</v>
      </c>
      <c r="AM4527">
        <v>95.633119680623295</v>
      </c>
      <c r="AN4527">
        <v>1.0000000296576901</v>
      </c>
    </row>
    <row r="4528" spans="1:40" x14ac:dyDescent="0.25">
      <c r="A4528" t="str">
        <f>"20190304164736707"</f>
        <v>20190304164736707</v>
      </c>
      <c r="B4528" t="str">
        <f>"1551689256703576"</f>
        <v>1551689256703576</v>
      </c>
      <c r="C4528" t="s">
        <v>40</v>
      </c>
      <c r="D4528">
        <v>4.8636150000000002</v>
      </c>
      <c r="E4528">
        <v>0.50809009999999999</v>
      </c>
      <c r="F4528" t="s">
        <v>54</v>
      </c>
      <c r="G4528">
        <v>-385.26280000000003</v>
      </c>
      <c r="H4528" s="1">
        <v>-2.8210030000000001E-6</v>
      </c>
      <c r="I4528">
        <v>21.80097</v>
      </c>
      <c r="J4528">
        <v>-393.95499999999998</v>
      </c>
      <c r="K4528">
        <v>1.1131089999999999</v>
      </c>
      <c r="L4528">
        <v>22.099460000000001</v>
      </c>
      <c r="M4528">
        <v>0.99341199999999996</v>
      </c>
      <c r="N4528">
        <v>-1.463978E-2</v>
      </c>
      <c r="O4528">
        <v>-0.11365989999999999</v>
      </c>
      <c r="P4528">
        <v>0.91101929999999998</v>
      </c>
      <c r="Q4528">
        <v>0.41198869999999999</v>
      </c>
      <c r="R4528">
        <v>-1.7596500000000001E-2</v>
      </c>
      <c r="S4528">
        <v>3.4817200000000001</v>
      </c>
      <c r="T4528">
        <v>-0.4305216</v>
      </c>
      <c r="U4528">
        <v>-0.1286621</v>
      </c>
      <c r="V4528">
        <v>-8.8061039999999993E-2</v>
      </c>
      <c r="W4528">
        <v>0.42481780000000002</v>
      </c>
      <c r="X4528">
        <v>0.9009857</v>
      </c>
      <c r="Y4528">
        <v>-7.559457E-2</v>
      </c>
      <c r="Z4528">
        <v>1.7514910000000002E-2</v>
      </c>
      <c r="AA4528">
        <v>0.9969848</v>
      </c>
      <c r="AB4528">
        <v>32</v>
      </c>
      <c r="AC4528">
        <v>8.69219999999995</v>
      </c>
      <c r="AD4528">
        <v>-1.113111821003</v>
      </c>
      <c r="AE4528">
        <v>-0.29849000000000098</v>
      </c>
      <c r="AF4528">
        <v>-0.68036092083676403</v>
      </c>
      <c r="AG4528">
        <v>-1.113111821003</v>
      </c>
      <c r="AH4528">
        <v>8.5300698459296793</v>
      </c>
      <c r="AI4528">
        <v>97.411396417879104</v>
      </c>
      <c r="AJ4528">
        <v>94.560274478426805</v>
      </c>
      <c r="AK4528">
        <v>8.6292526029255399</v>
      </c>
      <c r="AL4528">
        <v>64.860870610100704</v>
      </c>
      <c r="AM4528">
        <v>95.582276225936695</v>
      </c>
      <c r="AN4528">
        <v>1.0000000707836001</v>
      </c>
    </row>
    <row r="4529" spans="1:40" x14ac:dyDescent="0.25">
      <c r="A4529" t="str">
        <f>"20190304164736732"</f>
        <v>20190304164736732</v>
      </c>
      <c r="B4529" t="str">
        <f>"1551689256724072"</f>
        <v>1551689256724072</v>
      </c>
      <c r="C4529" t="s">
        <v>40</v>
      </c>
      <c r="D4529">
        <v>4.9361329999999999</v>
      </c>
      <c r="E4529">
        <v>0.50954820000000001</v>
      </c>
      <c r="F4529" t="s">
        <v>54</v>
      </c>
      <c r="G4529">
        <v>-380.80079999999998</v>
      </c>
      <c r="H4529" s="1">
        <v>-4.8555130000000001E-6</v>
      </c>
      <c r="I4529">
        <v>22.071670000000001</v>
      </c>
      <c r="J4529">
        <v>-393.57870000000003</v>
      </c>
      <c r="K4529">
        <v>1.1128150000000001</v>
      </c>
      <c r="L4529">
        <v>22.05847</v>
      </c>
      <c r="M4529">
        <v>0.9936024</v>
      </c>
      <c r="N4529">
        <v>-1.460764E-2</v>
      </c>
      <c r="O4529">
        <v>-0.111987</v>
      </c>
      <c r="P4529">
        <v>0.91137299999999999</v>
      </c>
      <c r="Q4529">
        <v>0.41120869999999998</v>
      </c>
      <c r="R4529">
        <v>-1.7517850000000001E-2</v>
      </c>
      <c r="S4529">
        <v>3.42395</v>
      </c>
      <c r="T4529">
        <v>-0.28973789999999999</v>
      </c>
      <c r="U4529">
        <v>-7.2326659999999996E-3</v>
      </c>
      <c r="V4529">
        <v>-8.6336869999999996E-2</v>
      </c>
      <c r="W4529">
        <v>0.42408560000000001</v>
      </c>
      <c r="X4529">
        <v>0.90149729999999995</v>
      </c>
      <c r="Y4529">
        <v>-0.1091694</v>
      </c>
      <c r="Z4529">
        <v>1.3217960000000001E-2</v>
      </c>
      <c r="AA4529">
        <v>0.99393529999999997</v>
      </c>
      <c r="AB4529">
        <v>32</v>
      </c>
      <c r="AC4529">
        <v>12.777900000000001</v>
      </c>
      <c r="AD4529">
        <v>-1.11281985551299</v>
      </c>
      <c r="AE4529">
        <v>1.32000000000012E-2</v>
      </c>
      <c r="AF4529">
        <v>-1.43335681089711</v>
      </c>
      <c r="AG4529">
        <v>-1.11281985551299</v>
      </c>
      <c r="AH4529">
        <v>12.600458324638501</v>
      </c>
      <c r="AI4529">
        <v>95.0148539677607</v>
      </c>
      <c r="AJ4529">
        <v>96.489746934773294</v>
      </c>
      <c r="AK4529">
        <v>12.730452850119701</v>
      </c>
      <c r="AL4529">
        <v>64.907201853424795</v>
      </c>
      <c r="AM4529">
        <v>95.470562294727401</v>
      </c>
      <c r="AN4529">
        <v>1.0000000165780201</v>
      </c>
    </row>
    <row r="4530" spans="1:40" x14ac:dyDescent="0.25">
      <c r="A4530" t="str">
        <f>"20190304164736753"</f>
        <v>20190304164736753</v>
      </c>
      <c r="B4530" t="str">
        <f>"1551689256743592"</f>
        <v>1551689256743592</v>
      </c>
      <c r="C4530" t="s">
        <v>40</v>
      </c>
      <c r="D4530">
        <v>4.9595060000000002</v>
      </c>
      <c r="E4530">
        <v>0.51037790000000005</v>
      </c>
      <c r="F4530" t="s">
        <v>55</v>
      </c>
      <c r="G4530">
        <v>-379.82339999999999</v>
      </c>
      <c r="H4530" s="1">
        <v>-6.9356119999999903E-7</v>
      </c>
      <c r="I4530">
        <v>21.98265</v>
      </c>
      <c r="J4530">
        <v>-393.29399999999998</v>
      </c>
      <c r="K4530">
        <v>1.1125929999999999</v>
      </c>
      <c r="L4530">
        <v>22.02768</v>
      </c>
      <c r="M4530">
        <v>0.99372070000000001</v>
      </c>
      <c r="N4530">
        <v>-1.458576E-2</v>
      </c>
      <c r="O4530">
        <v>-0.1109353</v>
      </c>
      <c r="P4530">
        <v>0.91183219999999998</v>
      </c>
      <c r="Q4530">
        <v>0.4101689</v>
      </c>
      <c r="R4530">
        <v>-1.7992879999999999E-2</v>
      </c>
      <c r="S4530">
        <v>3.416077</v>
      </c>
      <c r="T4530">
        <v>-0.27636480000000002</v>
      </c>
      <c r="U4530">
        <v>-1.8829350000000002E-2</v>
      </c>
      <c r="V4530">
        <v>-8.4724579999999994E-2</v>
      </c>
      <c r="W4530">
        <v>0.42308600000000002</v>
      </c>
      <c r="X4530">
        <v>0.90211969999999997</v>
      </c>
      <c r="Y4530">
        <v>-0.104821</v>
      </c>
      <c r="Z4530">
        <v>1.2326E-2</v>
      </c>
      <c r="AA4530">
        <v>0.99441469999999998</v>
      </c>
      <c r="AB4530">
        <v>32</v>
      </c>
      <c r="AC4530">
        <v>13.470599999999999</v>
      </c>
      <c r="AD4530">
        <v>-1.1125936935612</v>
      </c>
      <c r="AE4530">
        <v>-4.50300000000005E-2</v>
      </c>
      <c r="AF4530">
        <v>-1.4399489357423001</v>
      </c>
      <c r="AG4530">
        <v>-1.1125936935612</v>
      </c>
      <c r="AH4530">
        <v>13.3016921603962</v>
      </c>
      <c r="AI4530">
        <v>94.753618892816604</v>
      </c>
      <c r="AJ4530">
        <v>96.178384394976604</v>
      </c>
      <c r="AK4530">
        <v>13.4255849777373</v>
      </c>
      <c r="AL4530">
        <v>64.9704261542404</v>
      </c>
      <c r="AM4530">
        <v>95.365322777966497</v>
      </c>
      <c r="AN4530">
        <v>0.99999998549013303</v>
      </c>
    </row>
    <row r="4531" spans="1:40" x14ac:dyDescent="0.25">
      <c r="A4531" t="str">
        <f>"20190304164736777"</f>
        <v>20190304164736777</v>
      </c>
      <c r="B4531" t="str">
        <f>"1551689256773848"</f>
        <v>1551689256773848</v>
      </c>
      <c r="C4531" t="s">
        <v>40</v>
      </c>
      <c r="D4531">
        <v>4.9749889999999999</v>
      </c>
      <c r="E4531">
        <v>0.51092529999999903</v>
      </c>
      <c r="F4531" t="s">
        <v>55</v>
      </c>
      <c r="G4531">
        <v>-379.36500000000001</v>
      </c>
      <c r="H4531" s="1">
        <v>-8.9316609999999898E-7</v>
      </c>
      <c r="I4531">
        <v>21.918420000000001</v>
      </c>
      <c r="J4531">
        <v>-392.96850000000001</v>
      </c>
      <c r="K4531">
        <v>1.1123499999999999</v>
      </c>
      <c r="L4531">
        <v>21.99258</v>
      </c>
      <c r="M4531">
        <v>0.99382910000000002</v>
      </c>
      <c r="N4531">
        <v>-1.456297E-2</v>
      </c>
      <c r="O4531">
        <v>-0.109961</v>
      </c>
      <c r="P4531">
        <v>0.91207459999999996</v>
      </c>
      <c r="Q4531">
        <v>0.40964630000000002</v>
      </c>
      <c r="R4531">
        <v>-1.7599460000000001E-2</v>
      </c>
      <c r="S4531">
        <v>3.4121090000000001</v>
      </c>
      <c r="T4531">
        <v>-0.27254679999999998</v>
      </c>
      <c r="U4531">
        <v>-2.676392E-2</v>
      </c>
      <c r="V4531">
        <v>-8.3998429999999999E-2</v>
      </c>
      <c r="W4531">
        <v>0.42259859999999999</v>
      </c>
      <c r="X4531">
        <v>0.90241610000000005</v>
      </c>
      <c r="Y4531">
        <v>-0.10155790000000001</v>
      </c>
      <c r="Z4531">
        <v>1.19434E-2</v>
      </c>
      <c r="AA4531">
        <v>0.99475800000000003</v>
      </c>
      <c r="AB4531">
        <v>32</v>
      </c>
      <c r="AC4531">
        <v>13.603499999999899</v>
      </c>
      <c r="AD4531">
        <v>-1.1123508931660999</v>
      </c>
      <c r="AE4531">
        <v>-7.4159999999999102E-2</v>
      </c>
      <c r="AF4531">
        <v>-1.41285665666085</v>
      </c>
      <c r="AG4531">
        <v>-1.1123508931660999</v>
      </c>
      <c r="AH4531">
        <v>13.439289341941199</v>
      </c>
      <c r="AI4531">
        <v>94.705690423086807</v>
      </c>
      <c r="AJ4531">
        <v>96.001393319054301</v>
      </c>
      <c r="AK4531">
        <v>13.5590555149764</v>
      </c>
      <c r="AL4531">
        <v>65.001244730555996</v>
      </c>
      <c r="AM4531">
        <v>95.317865863170198</v>
      </c>
      <c r="AN4531">
        <v>1.00000006525181</v>
      </c>
    </row>
    <row r="4532" spans="1:40" x14ac:dyDescent="0.25">
      <c r="A4532" t="str">
        <f>"20190304164736797"</f>
        <v>20190304164736797</v>
      </c>
      <c r="B4532" t="str">
        <f>"1551689256793367"</f>
        <v>1551689256793367</v>
      </c>
      <c r="C4532" t="s">
        <v>40</v>
      </c>
      <c r="D4532">
        <v>4.9570400000000001</v>
      </c>
      <c r="E4532">
        <v>0.51116139999999999</v>
      </c>
      <c r="F4532" t="s">
        <v>55</v>
      </c>
      <c r="G4532">
        <v>-378.947</v>
      </c>
      <c r="H4532" s="1">
        <v>-1.0777010000000001E-6</v>
      </c>
      <c r="I4532">
        <v>21.86936</v>
      </c>
      <c r="J4532">
        <v>-392.6576</v>
      </c>
      <c r="K4532">
        <v>1.1121239999999999</v>
      </c>
      <c r="L4532">
        <v>21.959109999999999</v>
      </c>
      <c r="M4532">
        <v>0.99390670000000003</v>
      </c>
      <c r="N4532">
        <v>-1.45434E-2</v>
      </c>
      <c r="O4532">
        <v>-0.1092622</v>
      </c>
      <c r="P4532">
        <v>0.91212009999999999</v>
      </c>
      <c r="Q4532">
        <v>0.4095935</v>
      </c>
      <c r="R4532">
        <v>-1.6428870000000002E-2</v>
      </c>
      <c r="S4532">
        <v>3.4100950000000001</v>
      </c>
      <c r="T4532">
        <v>-0.27052880000000001</v>
      </c>
      <c r="U4532">
        <v>-2.996826E-2</v>
      </c>
      <c r="V4532">
        <v>-8.4298629999999999E-2</v>
      </c>
      <c r="W4532">
        <v>0.42257270000000002</v>
      </c>
      <c r="X4532">
        <v>0.90240019999999999</v>
      </c>
      <c r="Y4532">
        <v>-9.9935079999999996E-2</v>
      </c>
      <c r="Z4532">
        <v>1.173632E-2</v>
      </c>
      <c r="AA4532">
        <v>0.9949247</v>
      </c>
      <c r="AB4532">
        <v>32</v>
      </c>
      <c r="AC4532">
        <v>13.710599999999999</v>
      </c>
      <c r="AD4532">
        <v>-1.1121250777010001</v>
      </c>
      <c r="AE4532">
        <v>-8.9749999999998595E-2</v>
      </c>
      <c r="AF4532">
        <v>-1.39978648993543</v>
      </c>
      <c r="AG4532">
        <v>-1.1121250777010001</v>
      </c>
      <c r="AH4532">
        <v>13.5491608771817</v>
      </c>
      <c r="AI4532">
        <v>94.667627930167498</v>
      </c>
      <c r="AJ4532">
        <v>95.898397159806294</v>
      </c>
      <c r="AK4532">
        <v>13.666601072747</v>
      </c>
      <c r="AL4532">
        <v>65.002881221058701</v>
      </c>
      <c r="AM4532">
        <v>95.336855206429306</v>
      </c>
      <c r="AN4532">
        <v>1.0000000333826</v>
      </c>
    </row>
    <row r="4533" spans="1:40" x14ac:dyDescent="0.25">
      <c r="A4533" t="str">
        <f>"20190304164736821"</f>
        <v>20190304164736821</v>
      </c>
      <c r="B4533" t="str">
        <f>"1551689256813863"</f>
        <v>1551689256813863</v>
      </c>
      <c r="C4533" t="s">
        <v>40</v>
      </c>
      <c r="D4533">
        <v>4.9243750000000004</v>
      </c>
      <c r="E4533">
        <v>0.51435649999999999</v>
      </c>
      <c r="F4533" t="s">
        <v>55</v>
      </c>
      <c r="G4533">
        <v>-378.59699999999998</v>
      </c>
      <c r="H4533" s="1">
        <v>-1.2347039999999999E-6</v>
      </c>
      <c r="I4533">
        <v>21.83766</v>
      </c>
      <c r="J4533">
        <v>-392.32420000000002</v>
      </c>
      <c r="K4533">
        <v>1.11191</v>
      </c>
      <c r="L4533">
        <v>21.923249999999999</v>
      </c>
      <c r="M4533">
        <v>0.99396739999999995</v>
      </c>
      <c r="N4533">
        <v>-1.4524469999999999E-2</v>
      </c>
      <c r="O4533">
        <v>-0.1087103</v>
      </c>
      <c r="P4533">
        <v>0.91192969999999896</v>
      </c>
      <c r="Q4533">
        <v>0.41004780000000002</v>
      </c>
      <c r="R4533">
        <v>-1.565948E-2</v>
      </c>
      <c r="S4533">
        <v>3.4096069999999998</v>
      </c>
      <c r="T4533">
        <v>-0.26968370000000003</v>
      </c>
      <c r="U4533">
        <v>-2.944946E-2</v>
      </c>
      <c r="V4533">
        <v>-8.4323990000000001E-2</v>
      </c>
      <c r="W4533">
        <v>0.42304839999999999</v>
      </c>
      <c r="X4533">
        <v>0.9021749</v>
      </c>
      <c r="Y4533">
        <v>-9.9538989999999994E-2</v>
      </c>
      <c r="Z4533">
        <v>1.1646170000000001E-2</v>
      </c>
      <c r="AA4533">
        <v>0.99496549999999995</v>
      </c>
      <c r="AB4533">
        <v>32</v>
      </c>
      <c r="AC4533">
        <v>13.7272</v>
      </c>
      <c r="AD4533">
        <v>-1.1119112347040001</v>
      </c>
      <c r="AE4533">
        <v>-8.5589999999999805E-2</v>
      </c>
      <c r="AF4533">
        <v>-1.39818946241022</v>
      </c>
      <c r="AG4533">
        <v>-1.1119112347040001</v>
      </c>
      <c r="AH4533">
        <v>13.5661284751076</v>
      </c>
      <c r="AI4533">
        <v>94.661040281457701</v>
      </c>
      <c r="AJ4533">
        <v>95.884397777203105</v>
      </c>
      <c r="AK4533">
        <v>13.683242385113999</v>
      </c>
      <c r="AL4533">
        <v>64.972804580263997</v>
      </c>
      <c r="AM4533">
        <v>95.339776911563106</v>
      </c>
      <c r="AN4533">
        <v>1.0000000171110399</v>
      </c>
    </row>
    <row r="4534" spans="1:40" x14ac:dyDescent="0.25">
      <c r="A4534" t="str">
        <f>"20190304164736841"</f>
        <v>20190304164736841</v>
      </c>
      <c r="B4534" t="str">
        <f>"1551689256833384"</f>
        <v>1551689256833384</v>
      </c>
      <c r="C4534" t="s">
        <v>40</v>
      </c>
      <c r="D4534">
        <v>4.8891839999999904</v>
      </c>
      <c r="E4534">
        <v>0.51337540000000004</v>
      </c>
      <c r="F4534" t="s">
        <v>54</v>
      </c>
      <c r="G4534">
        <v>-381.68979999999999</v>
      </c>
      <c r="H4534" s="1">
        <v>-4.4628160000000003E-6</v>
      </c>
      <c r="I4534">
        <v>21.78229</v>
      </c>
      <c r="J4534">
        <v>-392.04199999999997</v>
      </c>
      <c r="K4534">
        <v>1.1117539999999999</v>
      </c>
      <c r="L4534">
        <v>21.892849999999999</v>
      </c>
      <c r="M4534">
        <v>0.99400219999999995</v>
      </c>
      <c r="N4534">
        <v>-1.4509799999999899E-2</v>
      </c>
      <c r="O4534">
        <v>-0.1083932</v>
      </c>
      <c r="P4534">
        <v>0.91205610000000004</v>
      </c>
      <c r="Q4534">
        <v>0.4097711</v>
      </c>
      <c r="R4534">
        <v>-1.5534890000000001E-2</v>
      </c>
      <c r="S4534">
        <v>3.4512019999999999</v>
      </c>
      <c r="T4534">
        <v>-0.36085010000000001</v>
      </c>
      <c r="U4534">
        <v>-4.5745849999999998E-2</v>
      </c>
      <c r="V4534">
        <v>-8.4008509999999995E-2</v>
      </c>
      <c r="W4534">
        <v>0.42279349999999999</v>
      </c>
      <c r="X4534">
        <v>0.90232380000000001</v>
      </c>
      <c r="Y4534">
        <v>-9.4198420000000005E-2</v>
      </c>
      <c r="Z4534">
        <v>1.5308159999999999E-2</v>
      </c>
      <c r="AA4534">
        <v>0.99543570000000003</v>
      </c>
      <c r="AB4534">
        <v>32</v>
      </c>
      <c r="AC4534">
        <v>10.3521999999999</v>
      </c>
      <c r="AD4534">
        <v>-1.111758462816</v>
      </c>
      <c r="AE4534">
        <v>-0.11055999999999901</v>
      </c>
      <c r="AF4534">
        <v>-1.0007767790097899</v>
      </c>
      <c r="AG4534">
        <v>-1.111758462816</v>
      </c>
      <c r="AH4534">
        <v>10.1857161416757</v>
      </c>
      <c r="AI4534">
        <v>96.199487816716996</v>
      </c>
      <c r="AJ4534">
        <v>95.611469243675302</v>
      </c>
      <c r="AK4534">
        <v>10.294968400138</v>
      </c>
      <c r="AL4534">
        <v>64.988921310471994</v>
      </c>
      <c r="AM4534">
        <v>95.319041276547196</v>
      </c>
      <c r="AN4534">
        <v>1.0000000067205499</v>
      </c>
    </row>
    <row r="4535" spans="1:40" x14ac:dyDescent="0.25">
      <c r="A4535" t="str">
        <f>"20190304164736864"</f>
        <v>20190304164736864</v>
      </c>
      <c r="B4535" t="str">
        <f>"1551689256853883"</f>
        <v>1551689256853883</v>
      </c>
      <c r="C4535" t="s">
        <v>40</v>
      </c>
      <c r="D4535">
        <v>4.9177419999999996</v>
      </c>
      <c r="E4535">
        <v>0.51341079999999994</v>
      </c>
      <c r="F4535" t="s">
        <v>55</v>
      </c>
      <c r="G4535">
        <v>-377.41050000000001</v>
      </c>
      <c r="H4535" s="1">
        <v>-1.7607419999999901E-6</v>
      </c>
      <c r="I4535">
        <v>21.706620000000001</v>
      </c>
      <c r="J4535">
        <v>-391.70909999999998</v>
      </c>
      <c r="K4535">
        <v>1.11161</v>
      </c>
      <c r="L4535">
        <v>21.8569</v>
      </c>
      <c r="M4535">
        <v>0.99402509999999999</v>
      </c>
      <c r="N4535">
        <v>-1.4494160000000001E-2</v>
      </c>
      <c r="O4535">
        <v>-0.10818700000000001</v>
      </c>
      <c r="P4535">
        <v>0.9115896</v>
      </c>
      <c r="Q4535">
        <v>0.41083829999999999</v>
      </c>
      <c r="R4535">
        <v>-1.471603E-2</v>
      </c>
      <c r="S4535">
        <v>3.4047239999999999</v>
      </c>
      <c r="T4535">
        <v>-0.25870310000000002</v>
      </c>
      <c r="U4535">
        <v>-4.3334959999999999E-2</v>
      </c>
      <c r="V4535">
        <v>-8.4413290000000002E-2</v>
      </c>
      <c r="W4535">
        <v>0.42387219999999998</v>
      </c>
      <c r="X4535">
        <v>0.90177980000000002</v>
      </c>
      <c r="Y4535">
        <v>-9.5008330000000002E-2</v>
      </c>
      <c r="Z4535">
        <v>1.091989E-2</v>
      </c>
      <c r="AA4535">
        <v>0.99541659999999998</v>
      </c>
      <c r="AB4535">
        <v>32</v>
      </c>
      <c r="AC4535">
        <v>14.298599999999899</v>
      </c>
      <c r="AD4535">
        <v>-1.111611760742</v>
      </c>
      <c r="AE4535">
        <v>-0.150279999999998</v>
      </c>
      <c r="AF4535">
        <v>-1.3892912350990401</v>
      </c>
      <c r="AG4535">
        <v>-1.111611760742</v>
      </c>
      <c r="AH4535">
        <v>14.1454331127867</v>
      </c>
      <c r="AI4535">
        <v>94.471897077370699</v>
      </c>
      <c r="AJ4535">
        <v>95.609305039514993</v>
      </c>
      <c r="AK4535">
        <v>14.256896183632101</v>
      </c>
      <c r="AL4535">
        <v>64.920702503787894</v>
      </c>
      <c r="AM4535">
        <v>95.347727476925797</v>
      </c>
      <c r="AN4535">
        <v>1.00000002657475</v>
      </c>
    </row>
    <row r="4536" spans="1:40" x14ac:dyDescent="0.25">
      <c r="A4536" t="str">
        <f>"20190304164736886"</f>
        <v>20190304164736886</v>
      </c>
      <c r="B4536" t="str">
        <f>"1551689256884136"</f>
        <v>1551689256884136</v>
      </c>
      <c r="C4536" t="s">
        <v>40</v>
      </c>
      <c r="D4536">
        <v>4.9113660000000001</v>
      </c>
      <c r="E4536">
        <v>0.51360729999999999</v>
      </c>
      <c r="F4536" t="s">
        <v>55</v>
      </c>
      <c r="G4536">
        <v>-376.90589999999997</v>
      </c>
      <c r="H4536" s="1">
        <v>-1.9917520000000001E-6</v>
      </c>
      <c r="I4536">
        <v>21.678349999999998</v>
      </c>
      <c r="J4536">
        <v>-391.39859999999999</v>
      </c>
      <c r="K4536">
        <v>1.1114839999999999</v>
      </c>
      <c r="L4536">
        <v>21.8233</v>
      </c>
      <c r="M4536">
        <v>0.99403200000000003</v>
      </c>
      <c r="N4536">
        <v>-1.448089E-2</v>
      </c>
      <c r="O4536">
        <v>-0.108125</v>
      </c>
      <c r="P4536">
        <v>0.91149100000000005</v>
      </c>
      <c r="Q4536">
        <v>0.41108420000000001</v>
      </c>
      <c r="R4536">
        <v>-1.3944130000000001E-2</v>
      </c>
      <c r="S4536">
        <v>3.405548</v>
      </c>
      <c r="T4536">
        <v>-0.25573129999999999</v>
      </c>
      <c r="U4536">
        <v>-4.1076660000000001E-2</v>
      </c>
      <c r="V4536">
        <v>-8.4972110000000003E-2</v>
      </c>
      <c r="W4536">
        <v>0.42413089999999998</v>
      </c>
      <c r="X4536">
        <v>0.90160569999999896</v>
      </c>
      <c r="Y4536">
        <v>-9.562002E-2</v>
      </c>
      <c r="Z4536">
        <v>1.0806420000000001E-2</v>
      </c>
      <c r="AA4536">
        <v>0.9953592</v>
      </c>
      <c r="AB4536">
        <v>32</v>
      </c>
      <c r="AC4536">
        <v>14.492699999999999</v>
      </c>
      <c r="AD4536">
        <v>-1.1114859917519999</v>
      </c>
      <c r="AE4536">
        <v>-0.14495000000000099</v>
      </c>
      <c r="AF4536">
        <v>-1.4147667050921899</v>
      </c>
      <c r="AG4536">
        <v>-1.1114859917519999</v>
      </c>
      <c r="AH4536">
        <v>14.3390593830483</v>
      </c>
      <c r="AI4536">
        <v>94.411061092723102</v>
      </c>
      <c r="AJ4536">
        <v>95.6348641283262</v>
      </c>
      <c r="AK4536">
        <v>14.4514909241325</v>
      </c>
      <c r="AL4536">
        <v>64.904336975035505</v>
      </c>
      <c r="AM4536">
        <v>95.383955747321394</v>
      </c>
      <c r="AN4536">
        <v>1.0000000590425699</v>
      </c>
    </row>
    <row r="4537" spans="1:40" x14ac:dyDescent="0.25">
      <c r="A4537" t="str">
        <f>"20190304164736930"</f>
        <v>20190304164736930</v>
      </c>
      <c r="B4537" t="str">
        <f>"1551689256924152"</f>
        <v>1551689256924152</v>
      </c>
      <c r="C4537" t="s">
        <v>40</v>
      </c>
      <c r="D4537">
        <v>4.9732419999999999</v>
      </c>
      <c r="E4537">
        <v>0.51387859999999996</v>
      </c>
      <c r="F4537" t="s">
        <v>55</v>
      </c>
      <c r="G4537">
        <v>-376.49349999999998</v>
      </c>
      <c r="H4537" s="1">
        <v>-2.1755959999999999E-6</v>
      </c>
      <c r="I4537">
        <v>21.636700000000001</v>
      </c>
      <c r="J4537">
        <v>-390.78039999999999</v>
      </c>
      <c r="K4537">
        <v>1.1112610000000001</v>
      </c>
      <c r="L4537">
        <v>21.7561</v>
      </c>
      <c r="M4537">
        <v>0.9940137</v>
      </c>
      <c r="N4537">
        <v>-1.4458199999999999E-2</v>
      </c>
      <c r="O4537">
        <v>-0.1082953</v>
      </c>
      <c r="P4537">
        <v>0.91122999999999998</v>
      </c>
      <c r="Q4537">
        <v>0.41164640000000002</v>
      </c>
      <c r="R4537">
        <v>-1.4402420000000001E-2</v>
      </c>
      <c r="S4537">
        <v>3.4052120000000001</v>
      </c>
      <c r="T4537">
        <v>-0.25392959999999998</v>
      </c>
      <c r="U4537">
        <v>-4.263306E-2</v>
      </c>
      <c r="V4537">
        <v>-8.4409970000000001E-2</v>
      </c>
      <c r="W4537">
        <v>0.42471589999999998</v>
      </c>
      <c r="X4537">
        <v>0.90138300000000005</v>
      </c>
      <c r="Y4537">
        <v>-9.5342529999999995E-2</v>
      </c>
      <c r="Z4537">
        <v>1.0724549999999999E-2</v>
      </c>
      <c r="AA4537">
        <v>0.99538680000000002</v>
      </c>
      <c r="AB4537">
        <v>32</v>
      </c>
      <c r="AC4537">
        <v>14.286899999999999</v>
      </c>
      <c r="AD4537">
        <v>-1.1112631755959901</v>
      </c>
      <c r="AE4537">
        <v>-0.11939999999999799</v>
      </c>
      <c r="AF4537">
        <v>-1.4200771966902199</v>
      </c>
      <c r="AG4537">
        <v>-1.1112631755959901</v>
      </c>
      <c r="AH4537">
        <v>14.1303067806468</v>
      </c>
      <c r="AI4537">
        <v>94.474265243080595</v>
      </c>
      <c r="AJ4537">
        <v>95.738881173381202</v>
      </c>
      <c r="AK4537">
        <v>14.244897149688001</v>
      </c>
      <c r="AL4537">
        <v>64.867317211472297</v>
      </c>
      <c r="AM4537">
        <v>95.349858756970406</v>
      </c>
      <c r="AN4537">
        <v>0.99999997571860499</v>
      </c>
    </row>
    <row r="4538" spans="1:40" x14ac:dyDescent="0.25">
      <c r="A4538" t="str">
        <f>"20190304164736952"</f>
        <v>20190304164736952</v>
      </c>
      <c r="B4538" t="str">
        <f>"1551689256943675"</f>
        <v>1551689256943675</v>
      </c>
      <c r="C4538" t="s">
        <v>40</v>
      </c>
      <c r="D4538">
        <v>4.9071870000000004</v>
      </c>
      <c r="E4538">
        <v>0.51417740000000001</v>
      </c>
      <c r="F4538" t="s">
        <v>55</v>
      </c>
      <c r="G4538">
        <v>-375.62200000000001</v>
      </c>
      <c r="H4538" s="1">
        <v>-2.5631890000000002E-6</v>
      </c>
      <c r="I4538">
        <v>21.545210000000001</v>
      </c>
      <c r="J4538">
        <v>-390.45319999999998</v>
      </c>
      <c r="K4538">
        <v>1.111173</v>
      </c>
      <c r="L4538">
        <v>21.72034</v>
      </c>
      <c r="M4538">
        <v>0.99399199999999999</v>
      </c>
      <c r="N4538">
        <v>-1.444787E-2</v>
      </c>
      <c r="O4538">
        <v>-0.1084958</v>
      </c>
      <c r="P4538">
        <v>0.91081299999999998</v>
      </c>
      <c r="Q4538">
        <v>0.41250789999999998</v>
      </c>
      <c r="R4538">
        <v>-1.6040019999999999E-2</v>
      </c>
      <c r="S4538">
        <v>3.4042970000000001</v>
      </c>
      <c r="T4538">
        <v>-0.2495706</v>
      </c>
      <c r="U4538">
        <v>-4.7363280000000001E-2</v>
      </c>
      <c r="V4538">
        <v>-8.2826540000000004E-2</v>
      </c>
      <c r="W4538">
        <v>0.42558299999999999</v>
      </c>
      <c r="X4538">
        <v>0.9011209</v>
      </c>
      <c r="Y4538">
        <v>-9.417818E-2</v>
      </c>
      <c r="Z4538">
        <v>1.048993E-2</v>
      </c>
      <c r="AA4538">
        <v>0.9955001</v>
      </c>
      <c r="AB4538">
        <v>32</v>
      </c>
      <c r="AC4538">
        <v>14.831200000000001</v>
      </c>
      <c r="AD4538">
        <v>-1.1111755631889999</v>
      </c>
      <c r="AE4538">
        <v>-0.17512999999999901</v>
      </c>
      <c r="AF4538">
        <v>-1.4271847653029801</v>
      </c>
      <c r="AG4538">
        <v>-1.1111755631889999</v>
      </c>
      <c r="AH4538">
        <v>14.680242508286099</v>
      </c>
      <c r="AI4538">
        <v>94.308338030870502</v>
      </c>
      <c r="AJ4538">
        <v>95.552735052341106</v>
      </c>
      <c r="AK4538">
        <v>14.7912503727248</v>
      </c>
      <c r="AL4538">
        <v>64.812429037237195</v>
      </c>
      <c r="AM4538">
        <v>95.251586424305003</v>
      </c>
      <c r="AN4538">
        <v>1.00000000101709</v>
      </c>
    </row>
    <row r="4539" spans="1:40" x14ac:dyDescent="0.25">
      <c r="A4539" t="str">
        <f>"20190304164736976"</f>
        <v>20190304164736976</v>
      </c>
      <c r="B4539" t="str">
        <f>"1551689256964168"</f>
        <v>1551689256964168</v>
      </c>
      <c r="C4539" t="s">
        <v>40</v>
      </c>
      <c r="D4539">
        <v>4.8970919999999998</v>
      </c>
      <c r="E4539">
        <v>0.5143489</v>
      </c>
      <c r="F4539" t="s">
        <v>55</v>
      </c>
      <c r="G4539">
        <v>-375.17360000000002</v>
      </c>
      <c r="H4539" s="1">
        <v>-2.7569039999999999E-6</v>
      </c>
      <c r="I4539">
        <v>21.47644</v>
      </c>
      <c r="J4539">
        <v>-390.12549999999999</v>
      </c>
      <c r="K4539">
        <v>1.11112099999999</v>
      </c>
      <c r="L4539">
        <v>21.684360000000002</v>
      </c>
      <c r="M4539">
        <v>0.99396499999999999</v>
      </c>
      <c r="N4539">
        <v>-1.443813E-2</v>
      </c>
      <c r="O4539">
        <v>-0.108743699999999</v>
      </c>
      <c r="P4539">
        <v>0.91044740000000002</v>
      </c>
      <c r="Q4539">
        <v>0.41322979999999998</v>
      </c>
      <c r="R4539">
        <v>-1.808775E-2</v>
      </c>
      <c r="S4539">
        <v>3.4049680000000002</v>
      </c>
      <c r="T4539">
        <v>-0.24761859999999999</v>
      </c>
      <c r="U4539">
        <v>-5.435181E-2</v>
      </c>
      <c r="V4539">
        <v>-8.0910880000000004E-2</v>
      </c>
      <c r="W4539">
        <v>0.42630560000000001</v>
      </c>
      <c r="X4539">
        <v>0.90095340000000002</v>
      </c>
      <c r="Y4539">
        <v>-9.2399679999999998E-2</v>
      </c>
      <c r="Z4539">
        <v>1.033599E-2</v>
      </c>
      <c r="AA4539">
        <v>0.99566840000000001</v>
      </c>
      <c r="AB4539">
        <v>32</v>
      </c>
      <c r="AC4539">
        <v>14.951899999999901</v>
      </c>
      <c r="AD4539">
        <v>-1.11112375690399</v>
      </c>
      <c r="AE4539">
        <v>-0.20792000000000099</v>
      </c>
      <c r="AF4539">
        <v>-1.41161356197423</v>
      </c>
      <c r="AG4539">
        <v>-1.11112375690399</v>
      </c>
      <c r="AH4539">
        <v>14.8040872737174</v>
      </c>
      <c r="AI4539">
        <v>94.272989268598707</v>
      </c>
      <c r="AJ4539">
        <v>95.446854146856694</v>
      </c>
      <c r="AK4539">
        <v>14.912687512965199</v>
      </c>
      <c r="AL4539">
        <v>64.766669211435897</v>
      </c>
      <c r="AM4539">
        <v>95.131729399341907</v>
      </c>
      <c r="AN4539">
        <v>1.0000000320326401</v>
      </c>
    </row>
    <row r="4540" spans="1:40" x14ac:dyDescent="0.25">
      <c r="A4540" t="str">
        <f>"20190304164736998"</f>
        <v>20190304164736998</v>
      </c>
      <c r="B4540" t="str">
        <f>"1551689256993448"</f>
        <v>1551689256993448</v>
      </c>
      <c r="C4540" t="s">
        <v>40</v>
      </c>
      <c r="D4540">
        <v>4.8740509999999997</v>
      </c>
      <c r="E4540">
        <v>0.51435509999999995</v>
      </c>
      <c r="F4540" t="s">
        <v>55</v>
      </c>
      <c r="G4540">
        <v>-374.78789999999998</v>
      </c>
      <c r="H4540" s="1">
        <v>-2.9210359999999998E-6</v>
      </c>
      <c r="I4540">
        <v>21.40812</v>
      </c>
      <c r="J4540">
        <v>-389.81909999999999</v>
      </c>
      <c r="K4540">
        <v>1.1110850000000001</v>
      </c>
      <c r="L4540">
        <v>21.650600000000001</v>
      </c>
      <c r="M4540">
        <v>0.99393699999999996</v>
      </c>
      <c r="N4540">
        <v>-1.4429610000000001E-2</v>
      </c>
      <c r="O4540">
        <v>-0.1089997</v>
      </c>
      <c r="P4540">
        <v>0.90997830000000002</v>
      </c>
      <c r="Q4540">
        <v>0.41414430000000002</v>
      </c>
      <c r="R4540">
        <v>-2.0587569999999999E-2</v>
      </c>
      <c r="S4540">
        <v>3.405853</v>
      </c>
      <c r="T4540">
        <v>-0.24673429999999999</v>
      </c>
      <c r="U4540">
        <v>-6.1340329999999998E-2</v>
      </c>
      <c r="V4540">
        <v>-7.8566699999999906E-2</v>
      </c>
      <c r="W4540">
        <v>0.42721680000000001</v>
      </c>
      <c r="X4540">
        <v>0.90072920000000001</v>
      </c>
      <c r="Y4540">
        <v>-9.0626600000000002E-2</v>
      </c>
      <c r="Z4540">
        <v>1.0230919999999999E-2</v>
      </c>
      <c r="AA4540">
        <v>0.99583239999999995</v>
      </c>
      <c r="AB4540">
        <v>32</v>
      </c>
      <c r="AC4540">
        <v>15.0312</v>
      </c>
      <c r="AD4540">
        <v>-1.1110879210359901</v>
      </c>
      <c r="AE4540">
        <v>-0.24248</v>
      </c>
      <c r="AF4540">
        <v>-1.389939378337</v>
      </c>
      <c r="AG4540">
        <v>-1.1110879210359901</v>
      </c>
      <c r="AH4540">
        <v>14.886735380944</v>
      </c>
      <c r="AI4540">
        <v>94.250003280542799</v>
      </c>
      <c r="AJ4540">
        <v>95.334107636550598</v>
      </c>
      <c r="AK4540">
        <v>14.9927094998193</v>
      </c>
      <c r="AL4540">
        <v>64.708939658287505</v>
      </c>
      <c r="AM4540">
        <v>94.9850451989428</v>
      </c>
      <c r="AN4540">
        <v>1.0000000061418799</v>
      </c>
    </row>
    <row r="4541" spans="1:40" x14ac:dyDescent="0.25">
      <c r="A4541" t="str">
        <f>"20190304164737020"</f>
        <v>20190304164737020</v>
      </c>
      <c r="B4541" t="str">
        <f>"1551689257013944"</f>
        <v>1551689257013944</v>
      </c>
      <c r="C4541" t="s">
        <v>40</v>
      </c>
      <c r="D4541">
        <v>4.8881540000000001</v>
      </c>
      <c r="E4541">
        <v>0.51447200000000004</v>
      </c>
      <c r="F4541" t="s">
        <v>55</v>
      </c>
      <c r="G4541">
        <v>-374.39850000000001</v>
      </c>
      <c r="H4541" s="1">
        <v>-3.0878880000000002E-6</v>
      </c>
      <c r="I4541">
        <v>21.343409999999999</v>
      </c>
      <c r="J4541">
        <v>-389.50799999999998</v>
      </c>
      <c r="K4541">
        <v>1.1110660000000001</v>
      </c>
      <c r="L4541">
        <v>21.616240000000001</v>
      </c>
      <c r="M4541">
        <v>0.9939076</v>
      </c>
      <c r="N4541">
        <v>-1.4421740000000001E-2</v>
      </c>
      <c r="O4541">
        <v>-0.1092701</v>
      </c>
      <c r="P4541">
        <v>0.91037480000000004</v>
      </c>
      <c r="Q4541">
        <v>0.41318300000000002</v>
      </c>
      <c r="R4541">
        <v>-2.23105E-2</v>
      </c>
      <c r="S4541">
        <v>3.4069519999999902</v>
      </c>
      <c r="T4541">
        <v>-0.2454779</v>
      </c>
      <c r="U4541">
        <v>-6.7871089999999995E-2</v>
      </c>
      <c r="V4541">
        <v>-7.7118549999999994E-2</v>
      </c>
      <c r="W4541">
        <v>0.42626039999999998</v>
      </c>
      <c r="X4541">
        <v>0.90130730000000003</v>
      </c>
      <c r="Y4541">
        <v>-8.9004840000000002E-2</v>
      </c>
      <c r="Z4541">
        <v>1.0116180000000001E-2</v>
      </c>
      <c r="AA4541">
        <v>0.99597979999999997</v>
      </c>
      <c r="AB4541">
        <v>32</v>
      </c>
      <c r="AC4541">
        <v>15.109500000000001</v>
      </c>
      <c r="AD4541">
        <v>-1.1110690878880001</v>
      </c>
      <c r="AE4541">
        <v>-0.27282999999999502</v>
      </c>
      <c r="AF4541">
        <v>-1.37257258644174</v>
      </c>
      <c r="AG4541">
        <v>-1.1110690878880001</v>
      </c>
      <c r="AH4541">
        <v>14.967912268047399</v>
      </c>
      <c r="AI4541">
        <v>94.227610279300706</v>
      </c>
      <c r="AJ4541">
        <v>95.239427065222898</v>
      </c>
      <c r="AK4541">
        <v>15.0717227843096</v>
      </c>
      <c r="AL4541">
        <v>64.769531920732803</v>
      </c>
      <c r="AM4541">
        <v>94.890487118370501</v>
      </c>
      <c r="AN4541">
        <v>1.00000002419777</v>
      </c>
    </row>
    <row r="4542" spans="1:40" x14ac:dyDescent="0.25">
      <c r="A4542" t="str">
        <f>"20190304164737042"</f>
        <v>20190304164737042</v>
      </c>
      <c r="B4542" t="str">
        <f>"1551689257033464"</f>
        <v>1551689257033464</v>
      </c>
      <c r="C4542" t="s">
        <v>40</v>
      </c>
      <c r="D4542">
        <v>4.8742570000000001</v>
      </c>
      <c r="E4542">
        <v>0.51448859999999996</v>
      </c>
      <c r="F4542" t="s">
        <v>55</v>
      </c>
      <c r="G4542">
        <v>-374.30939999999998</v>
      </c>
      <c r="H4542" s="1">
        <v>-3.111998E-6</v>
      </c>
      <c r="I4542">
        <v>21.27571</v>
      </c>
      <c r="J4542">
        <v>-389.19290000000001</v>
      </c>
      <c r="K4542">
        <v>1.1110500000000001</v>
      </c>
      <c r="L4542">
        <v>21.581330000000001</v>
      </c>
      <c r="M4542">
        <v>0.99387720000000002</v>
      </c>
      <c r="N4542">
        <v>-1.441426E-2</v>
      </c>
      <c r="O4542">
        <v>-0.109545</v>
      </c>
      <c r="P4542">
        <v>0.91068850000000001</v>
      </c>
      <c r="Q4542">
        <v>0.41246470000000002</v>
      </c>
      <c r="R4542">
        <v>-2.2795449999999998E-2</v>
      </c>
      <c r="S4542">
        <v>3.4065249999999998</v>
      </c>
      <c r="T4542">
        <v>-0.24902840000000001</v>
      </c>
      <c r="U4542">
        <v>-7.6324459999999997E-2</v>
      </c>
      <c r="V4542">
        <v>-7.6905710000000002E-2</v>
      </c>
      <c r="W4542">
        <v>0.42554330000000001</v>
      </c>
      <c r="X4542">
        <v>0.90166429999999997</v>
      </c>
      <c r="Y4542">
        <v>-8.6799689999999999E-2</v>
      </c>
      <c r="Z4542">
        <v>1.019657E-2</v>
      </c>
      <c r="AA4542">
        <v>0.99617359999999999</v>
      </c>
      <c r="AB4542">
        <v>32</v>
      </c>
      <c r="AC4542">
        <v>14.8835</v>
      </c>
      <c r="AD4542">
        <v>-1.1110531119980001</v>
      </c>
      <c r="AE4542">
        <v>-0.30561999999999701</v>
      </c>
      <c r="AF4542">
        <v>-1.3194525453263799</v>
      </c>
      <c r="AG4542">
        <v>-1.1110531119980001</v>
      </c>
      <c r="AH4542">
        <v>14.745257512666401</v>
      </c>
      <c r="AI4542">
        <v>94.2920014567012</v>
      </c>
      <c r="AJ4542">
        <v>95.113389577899696</v>
      </c>
      <c r="AK4542">
        <v>14.845807931934599</v>
      </c>
      <c r="AL4542">
        <v>64.814943949104105</v>
      </c>
      <c r="AM4542">
        <v>94.875133336073503</v>
      </c>
      <c r="AN4542">
        <v>1.0000000491499901</v>
      </c>
    </row>
    <row r="4543" spans="1:40" x14ac:dyDescent="0.25">
      <c r="A4543" t="str">
        <f>"20190304164737063"</f>
        <v>20190304164737063</v>
      </c>
      <c r="B4543" t="str">
        <f>"1551689257053960"</f>
        <v>1551689257053960</v>
      </c>
      <c r="C4543" t="s">
        <v>40</v>
      </c>
      <c r="D4543">
        <v>4.8470589999999998</v>
      </c>
      <c r="E4543">
        <v>0.51449609999999901</v>
      </c>
      <c r="F4543" t="s">
        <v>55</v>
      </c>
      <c r="G4543">
        <v>-374.21069999999997</v>
      </c>
      <c r="H4543" s="1">
        <v>-3.1446380000000001E-6</v>
      </c>
      <c r="I4543">
        <v>21.223099999999999</v>
      </c>
      <c r="J4543">
        <v>-388.8972</v>
      </c>
      <c r="K4543">
        <v>1.1110420000000001</v>
      </c>
      <c r="L4543">
        <v>21.548459999999999</v>
      </c>
      <c r="M4543">
        <v>0.99384950000000005</v>
      </c>
      <c r="N4543">
        <v>-1.440782E-2</v>
      </c>
      <c r="O4543">
        <v>-0.1097993</v>
      </c>
      <c r="P4543">
        <v>0.91063070000000002</v>
      </c>
      <c r="Q4543">
        <v>0.41255629999999999</v>
      </c>
      <c r="R4543">
        <v>-2.343524E-2</v>
      </c>
      <c r="S4543">
        <v>3.406555</v>
      </c>
      <c r="T4543">
        <v>-0.25262449999999997</v>
      </c>
      <c r="U4543">
        <v>-8.1451419999999997E-2</v>
      </c>
      <c r="V4543">
        <v>-7.6484750000000004E-2</v>
      </c>
      <c r="W4543">
        <v>0.42563050000000002</v>
      </c>
      <c r="X4543">
        <v>0.90165899999999999</v>
      </c>
      <c r="Y4543">
        <v>-8.5545720000000006E-2</v>
      </c>
      <c r="Z4543">
        <v>1.0316769999999999E-2</v>
      </c>
      <c r="AA4543">
        <v>0.99628079999999997</v>
      </c>
      <c r="AB4543">
        <v>32</v>
      </c>
      <c r="AC4543">
        <v>14.686500000000001</v>
      </c>
      <c r="AD4543">
        <v>-1.1110451446380001</v>
      </c>
      <c r="AE4543">
        <v>-0.32536000000000298</v>
      </c>
      <c r="AF4543">
        <v>-1.2820087950671799</v>
      </c>
      <c r="AG4543">
        <v>-1.1110451446380001</v>
      </c>
      <c r="AH4543">
        <v>14.550181281166701</v>
      </c>
      <c r="AI4543">
        <v>94.349818865491699</v>
      </c>
      <c r="AJ4543">
        <v>95.035297625594396</v>
      </c>
      <c r="AK4543">
        <v>14.6487454472684</v>
      </c>
      <c r="AL4543">
        <v>64.809424052195794</v>
      </c>
      <c r="AM4543">
        <v>94.848604168496294</v>
      </c>
      <c r="AN4543">
        <v>1.0000000958969</v>
      </c>
    </row>
    <row r="4544" spans="1:40" x14ac:dyDescent="0.25">
      <c r="A4544" t="str">
        <f>"20190304164737085"</f>
        <v>20190304164737085</v>
      </c>
      <c r="B4544" t="str">
        <f>"1551689257073480"</f>
        <v>1551689257073480</v>
      </c>
      <c r="C4544" t="s">
        <v>40</v>
      </c>
      <c r="D4544">
        <v>5.3006399999999996</v>
      </c>
      <c r="E4544">
        <v>0.53260850000000004</v>
      </c>
      <c r="F4544" t="s">
        <v>55</v>
      </c>
      <c r="G4544">
        <v>-373.95569999999998</v>
      </c>
      <c r="H4544" s="1">
        <v>-3.2517440000000001E-6</v>
      </c>
      <c r="I4544">
        <v>21.172650000000001</v>
      </c>
      <c r="J4544">
        <v>-388.5994</v>
      </c>
      <c r="K4544">
        <v>1.1110359999999999</v>
      </c>
      <c r="L4544">
        <v>21.51529</v>
      </c>
      <c r="M4544">
        <v>0.99382170000000003</v>
      </c>
      <c r="N4544">
        <v>-1.440177E-2</v>
      </c>
      <c r="O4544">
        <v>-0.11004940000000001</v>
      </c>
      <c r="P4544">
        <v>0.91019369999999999</v>
      </c>
      <c r="Q4544">
        <v>0.41343849999999999</v>
      </c>
      <c r="R4544">
        <v>-2.48186E-2</v>
      </c>
      <c r="S4544">
        <v>3.4069820000000002</v>
      </c>
      <c r="T4544">
        <v>-0.25334179999999901</v>
      </c>
      <c r="U4544">
        <v>-8.5693359999999996E-2</v>
      </c>
      <c r="V4544">
        <v>-7.5282310000000005E-2</v>
      </c>
      <c r="W4544">
        <v>0.42650359999999998</v>
      </c>
      <c r="X4544">
        <v>0.90134749999999997</v>
      </c>
      <c r="Y4544">
        <v>-8.4559850000000006E-2</v>
      </c>
      <c r="Z4544">
        <v>1.0318559999999999E-2</v>
      </c>
      <c r="AA4544">
        <v>0.99636499999999995</v>
      </c>
      <c r="AB4544">
        <v>32</v>
      </c>
      <c r="AC4544">
        <v>14.643700000000001</v>
      </c>
      <c r="AD4544">
        <v>-1.111039251744</v>
      </c>
      <c r="AE4544">
        <v>-0.342639999999999</v>
      </c>
      <c r="AF4544">
        <v>-1.26386780464316</v>
      </c>
      <c r="AG4544">
        <v>-1.111039251744</v>
      </c>
      <c r="AH4544">
        <v>14.5089736785025</v>
      </c>
      <c r="AI4544">
        <v>94.362480157370499</v>
      </c>
      <c r="AJ4544">
        <v>94.978433423472396</v>
      </c>
      <c r="AK4544">
        <v>14.606234533582199</v>
      </c>
      <c r="AL4544">
        <v>64.754127285880699</v>
      </c>
      <c r="AM4544">
        <v>94.774374510425801</v>
      </c>
      <c r="AN4544">
        <v>1.00000003138407</v>
      </c>
    </row>
    <row r="4545" spans="1:40" x14ac:dyDescent="0.25">
      <c r="A4545" t="str">
        <f>"20190304164737108"</f>
        <v>20190304164737108</v>
      </c>
      <c r="B4545" t="str">
        <f>"1551689257103736"</f>
        <v>1551689257103736</v>
      </c>
      <c r="C4545" t="s">
        <v>40</v>
      </c>
      <c r="D4545">
        <v>4.997598</v>
      </c>
      <c r="E4545">
        <v>0.55207669999999998</v>
      </c>
      <c r="F4545" t="s">
        <v>55</v>
      </c>
      <c r="G4545">
        <v>-375.60649999999998</v>
      </c>
      <c r="H4545" s="1">
        <v>-2.328775E-6</v>
      </c>
      <c r="I4545">
        <v>20.636559999999999</v>
      </c>
      <c r="J4545">
        <v>-388.2704</v>
      </c>
      <c r="K4545">
        <v>1.1110370000000001</v>
      </c>
      <c r="L4545">
        <v>21.478580000000001</v>
      </c>
      <c r="M4545">
        <v>0.99379189999999995</v>
      </c>
      <c r="N4545">
        <v>-1.4395669999999999E-2</v>
      </c>
      <c r="O4545">
        <v>-0.11032069999999999</v>
      </c>
      <c r="P4545">
        <v>0.90960510000000006</v>
      </c>
      <c r="Q4545">
        <v>0.41460540000000001</v>
      </c>
      <c r="R4545">
        <v>-2.685336E-2</v>
      </c>
      <c r="S4545">
        <v>3.4226070000000002</v>
      </c>
      <c r="T4545">
        <v>-0.29267189999999998</v>
      </c>
      <c r="U4545">
        <v>-0.23147580000000001</v>
      </c>
      <c r="V4545">
        <v>-7.3437390000000005E-2</v>
      </c>
      <c r="W4545">
        <v>0.42765950000000003</v>
      </c>
      <c r="X4545">
        <v>0.90095190000000003</v>
      </c>
      <c r="Y4545">
        <v>-4.2559600000000003E-2</v>
      </c>
      <c r="Z4545">
        <v>9.9163719999999997E-3</v>
      </c>
      <c r="AA4545">
        <v>0.99904470000000001</v>
      </c>
      <c r="AB4545">
        <v>32</v>
      </c>
      <c r="AC4545">
        <v>12.6639</v>
      </c>
      <c r="AD4545">
        <v>-1.111039328775</v>
      </c>
      <c r="AE4545">
        <v>-0.84201999999999699</v>
      </c>
      <c r="AF4545">
        <v>-0.55609421585587404</v>
      </c>
      <c r="AG4545">
        <v>-1.111039328775</v>
      </c>
      <c r="AH4545">
        <v>12.5830598247531</v>
      </c>
      <c r="AI4545">
        <v>95.041032098627298</v>
      </c>
      <c r="AJ4545">
        <v>92.530476146672996</v>
      </c>
      <c r="AK4545">
        <v>12.644249432857199</v>
      </c>
      <c r="AL4545">
        <v>64.680882751902601</v>
      </c>
      <c r="AM4545">
        <v>94.659927899634397</v>
      </c>
      <c r="AN4545">
        <v>1.0000000121519299</v>
      </c>
    </row>
    <row r="4546" spans="1:40" x14ac:dyDescent="0.25">
      <c r="A4546" t="str">
        <f>"20190304164737131"</f>
        <v>20190304164737131</v>
      </c>
      <c r="B4546" t="str">
        <f>"1551689257123256"</f>
        <v>1551689257123256</v>
      </c>
      <c r="C4546" t="s">
        <v>40</v>
      </c>
      <c r="D4546">
        <v>4.9204999999999997</v>
      </c>
      <c r="E4546">
        <v>0.55571800000000005</v>
      </c>
      <c r="F4546" t="s">
        <v>41</v>
      </c>
      <c r="G4546">
        <v>-387.46789999999999</v>
      </c>
      <c r="H4546">
        <v>1.028702</v>
      </c>
      <c r="I4546">
        <v>21.38814</v>
      </c>
      <c r="J4546">
        <v>-387.95310000000001</v>
      </c>
      <c r="K4546">
        <v>1.1110340000000001</v>
      </c>
      <c r="L4546">
        <v>21.443049999999999</v>
      </c>
      <c r="M4546">
        <v>0.99376319999999996</v>
      </c>
      <c r="N4546">
        <v>-1.439004E-2</v>
      </c>
      <c r="O4546">
        <v>-0.110579399999999</v>
      </c>
      <c r="P4546">
        <v>0.90931669999999998</v>
      </c>
      <c r="Q4546">
        <v>0.41515000000000002</v>
      </c>
      <c r="R4546">
        <v>-2.8170359999999998E-2</v>
      </c>
      <c r="S4546">
        <v>3.447937</v>
      </c>
      <c r="T4546">
        <v>-0.35375139999999999</v>
      </c>
      <c r="U4546">
        <v>-0.3876038</v>
      </c>
      <c r="V4546">
        <v>-7.2328790000000004E-2</v>
      </c>
      <c r="W4546">
        <v>0.42819649999999998</v>
      </c>
      <c r="X4546">
        <v>0.90078650000000005</v>
      </c>
      <c r="Y4546">
        <v>1.5397900000000001E-3</v>
      </c>
      <c r="Z4546">
        <v>9.5681159999999998E-3</v>
      </c>
      <c r="AA4546">
        <v>0.99995299999999998</v>
      </c>
      <c r="AB4546">
        <v>31</v>
      </c>
      <c r="AC4546">
        <v>0.48520000000002</v>
      </c>
      <c r="AD4546">
        <v>-8.2332000000000002E-2</v>
      </c>
      <c r="AE4546">
        <v>-5.4909999999999501E-2</v>
      </c>
      <c r="AF4546">
        <v>8.8922678911280896E-4</v>
      </c>
      <c r="AG4546">
        <v>-8.2332000000000002E-2</v>
      </c>
      <c r="AH4546">
        <v>0.47479807488846798</v>
      </c>
      <c r="AI4546">
        <v>99.837491232765998</v>
      </c>
      <c r="AJ4546">
        <v>89.892693578235097</v>
      </c>
      <c r="AK4546">
        <v>0.48188438537275502</v>
      </c>
      <c r="AL4546">
        <v>64.646840363467604</v>
      </c>
      <c r="AM4546">
        <v>94.590724354377798</v>
      </c>
      <c r="AN4546">
        <v>1.0000000075286799</v>
      </c>
    </row>
    <row r="4547" spans="1:40" x14ac:dyDescent="0.25">
      <c r="A4547" t="str">
        <f>"20190304164737153"</f>
        <v>20190304164737153</v>
      </c>
      <c r="B4547" t="str">
        <f>"1551689257143755"</f>
        <v>1551689257143755</v>
      </c>
      <c r="C4547" t="s">
        <v>40</v>
      </c>
      <c r="D4547">
        <v>4.894692</v>
      </c>
      <c r="E4547">
        <v>0.5574209</v>
      </c>
      <c r="F4547" t="s">
        <v>41</v>
      </c>
      <c r="G4547">
        <v>-387.1902</v>
      </c>
      <c r="H4547">
        <v>1.0272159999999999</v>
      </c>
      <c r="I4547">
        <v>21.350570000000001</v>
      </c>
      <c r="J4547">
        <v>-387.64440000000002</v>
      </c>
      <c r="K4547">
        <v>1.11103</v>
      </c>
      <c r="L4547">
        <v>21.40842</v>
      </c>
      <c r="M4547">
        <v>0.99373579999999995</v>
      </c>
      <c r="N4547">
        <v>-1.4384920000000001E-2</v>
      </c>
      <c r="O4547">
        <v>-0.1108261</v>
      </c>
      <c r="P4547">
        <v>0.90932080000000004</v>
      </c>
      <c r="Q4547">
        <v>0.4150316</v>
      </c>
      <c r="R4547">
        <v>-2.9748980000000001E-2</v>
      </c>
      <c r="S4547">
        <v>3.4597470000000001</v>
      </c>
      <c r="T4547">
        <v>-0.38008799999999998</v>
      </c>
      <c r="U4547">
        <v>-0.41882320000000001</v>
      </c>
      <c r="V4547">
        <v>-7.0986229999999997E-2</v>
      </c>
      <c r="W4547">
        <v>0.42807499999999998</v>
      </c>
      <c r="X4547">
        <v>0.90095099999999995</v>
      </c>
      <c r="Y4547">
        <v>9.8302560000000008E-3</v>
      </c>
      <c r="Z4547">
        <v>9.8591029999999993E-3</v>
      </c>
      <c r="AA4547">
        <v>0.99990310000000004</v>
      </c>
      <c r="AB4547">
        <v>31</v>
      </c>
      <c r="AC4547">
        <v>0.45420000000001398</v>
      </c>
      <c r="AD4547">
        <v>-8.3814E-2</v>
      </c>
      <c r="AE4547">
        <v>-5.7849999999998403E-2</v>
      </c>
      <c r="AF4547">
        <v>6.9192882546563498E-3</v>
      </c>
      <c r="AG4547">
        <v>-8.3814E-2</v>
      </c>
      <c r="AH4547">
        <v>0.44297031033586298</v>
      </c>
      <c r="AI4547">
        <v>100.71294608706199</v>
      </c>
      <c r="AJ4547">
        <v>89.105100801059805</v>
      </c>
      <c r="AK4547">
        <v>0.45088286614707601</v>
      </c>
      <c r="AL4547">
        <v>64.654542684992705</v>
      </c>
      <c r="AM4547">
        <v>94.505046655903001</v>
      </c>
      <c r="AN4547">
        <v>0.999999977437806</v>
      </c>
    </row>
    <row r="4548" spans="1:40" x14ac:dyDescent="0.25">
      <c r="A4548" t="str">
        <f>"20190304164737176"</f>
        <v>20190304164737176</v>
      </c>
      <c r="B4548" t="str">
        <f>"1551689257174008"</f>
        <v>1551689257174008</v>
      </c>
      <c r="C4548" t="s">
        <v>40</v>
      </c>
      <c r="D4548">
        <v>4.8753029999999997</v>
      </c>
      <c r="E4548">
        <v>0.55934830000000002</v>
      </c>
      <c r="F4548" t="s">
        <v>41</v>
      </c>
      <c r="G4548">
        <v>-386.91219999999998</v>
      </c>
      <c r="H4548">
        <v>1.026437</v>
      </c>
      <c r="I4548">
        <v>21.31636</v>
      </c>
      <c r="J4548">
        <v>-387.32560000000001</v>
      </c>
      <c r="K4548">
        <v>1.1110390000000001</v>
      </c>
      <c r="L4548">
        <v>21.372589999999999</v>
      </c>
      <c r="M4548">
        <v>0.99370990000000003</v>
      </c>
      <c r="N4548">
        <v>-1.437979E-2</v>
      </c>
      <c r="O4548">
        <v>-0.1110584</v>
      </c>
      <c r="P4548">
        <v>0.90938909999999995</v>
      </c>
      <c r="Q4548">
        <v>0.41474319999999998</v>
      </c>
      <c r="R4548">
        <v>-3.1614040000000003E-2</v>
      </c>
      <c r="S4548">
        <v>3.4677730000000002</v>
      </c>
      <c r="T4548">
        <v>-0.40063330000000003</v>
      </c>
      <c r="U4548">
        <v>-0.43585210000000002</v>
      </c>
      <c r="V4548">
        <v>-6.9362069999999998E-2</v>
      </c>
      <c r="W4548">
        <v>0.42778329999999998</v>
      </c>
      <c r="X4548">
        <v>0.90121609999999996</v>
      </c>
      <c r="Y4548">
        <v>1.4179270000000001E-2</v>
      </c>
      <c r="Z4548">
        <v>1.018924E-2</v>
      </c>
      <c r="AA4548">
        <v>0.9998475</v>
      </c>
      <c r="AB4548">
        <v>31</v>
      </c>
      <c r="AC4548">
        <v>0.41340000000002403</v>
      </c>
      <c r="AD4548">
        <v>-8.4601999999999802E-2</v>
      </c>
      <c r="AE4548">
        <v>-5.6229999999999301E-2</v>
      </c>
      <c r="AF4548">
        <v>9.5721816478696597E-3</v>
      </c>
      <c r="AG4548">
        <v>-8.4601999999999802E-2</v>
      </c>
      <c r="AH4548">
        <v>0.40061411714914102</v>
      </c>
      <c r="AI4548">
        <v>101.921254551545</v>
      </c>
      <c r="AJ4548">
        <v>88.631248251170803</v>
      </c>
      <c r="AK4548">
        <v>0.40956171198573399</v>
      </c>
      <c r="AL4548">
        <v>64.673036623389294</v>
      </c>
      <c r="AM4548">
        <v>94.4010915181359</v>
      </c>
      <c r="AN4548">
        <v>1.00000005370639</v>
      </c>
    </row>
    <row r="4549" spans="1:40" x14ac:dyDescent="0.25">
      <c r="A4549" t="str">
        <f>"20190304164737199"</f>
        <v>20190304164737199</v>
      </c>
      <c r="B4549" t="str">
        <f>"1551689257193528"</f>
        <v>1551689257193528</v>
      </c>
      <c r="C4549" t="s">
        <v>40</v>
      </c>
      <c r="D4549">
        <v>4.8652030000000002</v>
      </c>
      <c r="E4549">
        <v>0.56013570000000001</v>
      </c>
      <c r="F4549" t="s">
        <v>41</v>
      </c>
      <c r="G4549">
        <v>-386.37029999999999</v>
      </c>
      <c r="H4549">
        <v>0.99816479999999996</v>
      </c>
      <c r="I4549">
        <v>21.24654</v>
      </c>
      <c r="J4549">
        <v>-387.01490000000001</v>
      </c>
      <c r="K4549">
        <v>1.1110640000000001</v>
      </c>
      <c r="L4549">
        <v>21.337589999999999</v>
      </c>
      <c r="M4549">
        <v>0.99368939999999994</v>
      </c>
      <c r="N4549">
        <v>-1.437516E-2</v>
      </c>
      <c r="O4549">
        <v>-0.11124249999999999</v>
      </c>
      <c r="P4549">
        <v>0.9091593</v>
      </c>
      <c r="Q4549">
        <v>0.41507549999999999</v>
      </c>
      <c r="R4549">
        <v>-3.379327E-2</v>
      </c>
      <c r="S4549">
        <v>3.4700009999999999</v>
      </c>
      <c r="T4549">
        <v>-0.40999980000000003</v>
      </c>
      <c r="U4549">
        <v>-0.45706180000000002</v>
      </c>
      <c r="V4549">
        <v>-6.7365560000000005E-2</v>
      </c>
      <c r="W4549">
        <v>0.4281064</v>
      </c>
      <c r="X4549">
        <v>0.90121410000000002</v>
      </c>
      <c r="Y4549">
        <v>1.9907379999999999E-2</v>
      </c>
      <c r="Z4549">
        <v>1.009439E-2</v>
      </c>
      <c r="AA4549">
        <v>0.9997509</v>
      </c>
      <c r="AB4549">
        <v>31</v>
      </c>
      <c r="AC4549">
        <v>0.64460000000002504</v>
      </c>
      <c r="AD4549">
        <v>-0.11289919999999901</v>
      </c>
      <c r="AE4549">
        <v>-9.1049999999999201E-2</v>
      </c>
      <c r="AF4549">
        <v>1.8222384092416999E-2</v>
      </c>
      <c r="AG4549">
        <v>-0.11289919999999901</v>
      </c>
      <c r="AH4549">
        <v>0.63172808472445197</v>
      </c>
      <c r="AI4549">
        <v>100.128510279202</v>
      </c>
      <c r="AJ4549">
        <v>88.347744387408099</v>
      </c>
      <c r="AK4549">
        <v>0.64199583929514303</v>
      </c>
      <c r="AL4549">
        <v>64.652553421723496</v>
      </c>
      <c r="AM4549">
        <v>94.274896976485806</v>
      </c>
      <c r="AN4549">
        <v>1.0000000312169399</v>
      </c>
    </row>
    <row r="4550" spans="1:40" x14ac:dyDescent="0.25">
      <c r="A4550" t="str">
        <f>"20190304164737219"</f>
        <v>20190304164737219</v>
      </c>
      <c r="B4550" t="str">
        <f>"1551689257214024"</f>
        <v>1551689257214024</v>
      </c>
      <c r="C4550" t="s">
        <v>40</v>
      </c>
      <c r="D4550">
        <v>4.8593539999999997</v>
      </c>
      <c r="E4550">
        <v>0.56067529999999999</v>
      </c>
      <c r="F4550" t="s">
        <v>41</v>
      </c>
      <c r="G4550">
        <v>-386.09120000000001</v>
      </c>
      <c r="H4550">
        <v>1.001406</v>
      </c>
      <c r="I4550">
        <v>21.212299999999999</v>
      </c>
      <c r="J4550">
        <v>-386.71379999999999</v>
      </c>
      <c r="K4550">
        <v>1.111108</v>
      </c>
      <c r="L4550">
        <v>21.303709999999999</v>
      </c>
      <c r="M4550">
        <v>0.9936739</v>
      </c>
      <c r="N4550">
        <v>-1.437097E-2</v>
      </c>
      <c r="O4550">
        <v>-0.1113818</v>
      </c>
      <c r="P4550">
        <v>0.90845129999999996</v>
      </c>
      <c r="Q4550">
        <v>0.41636909999999999</v>
      </c>
      <c r="R4550">
        <v>-3.678497E-2</v>
      </c>
      <c r="S4550">
        <v>3.4704280000000001</v>
      </c>
      <c r="T4550">
        <v>-0.41204449999999998</v>
      </c>
      <c r="U4550">
        <v>-0.46951290000000001</v>
      </c>
      <c r="V4550">
        <v>-6.4474959999999998E-2</v>
      </c>
      <c r="W4550">
        <v>0.42938379999999998</v>
      </c>
      <c r="X4550">
        <v>0.9008178</v>
      </c>
      <c r="Y4550">
        <v>2.3254960000000002E-2</v>
      </c>
      <c r="Z4550">
        <v>9.9418030000000008E-3</v>
      </c>
      <c r="AA4550">
        <v>0.99968020000000002</v>
      </c>
      <c r="AB4550">
        <v>31</v>
      </c>
      <c r="AC4550">
        <v>0.62259999999997695</v>
      </c>
      <c r="AD4550">
        <v>-0.10970199999999899</v>
      </c>
      <c r="AE4550">
        <v>-9.14099999999997E-2</v>
      </c>
      <c r="AF4550">
        <v>2.0853863692454701E-2</v>
      </c>
      <c r="AG4550">
        <v>-0.10970199999999899</v>
      </c>
      <c r="AH4550">
        <v>0.61035809821630105</v>
      </c>
      <c r="AI4550">
        <v>100.18338371447101</v>
      </c>
      <c r="AJ4550">
        <v>88.043158973843006</v>
      </c>
      <c r="AK4550">
        <v>0.62048885605877202</v>
      </c>
      <c r="AL4550">
        <v>64.571541510275594</v>
      </c>
      <c r="AM4550">
        <v>94.093895879749496</v>
      </c>
      <c r="AN4550">
        <v>1.0000000884831299</v>
      </c>
    </row>
    <row r="4551" spans="1:40" x14ac:dyDescent="0.25">
      <c r="A4551" t="str">
        <f>"20190304164737243"</f>
        <v>20190304164737243</v>
      </c>
      <c r="B4551" t="str">
        <f>"1551689257233546"</f>
        <v>1551689257233546</v>
      </c>
      <c r="C4551" t="s">
        <v>40</v>
      </c>
      <c r="D4551">
        <v>4.8370839999999999</v>
      </c>
      <c r="E4551">
        <v>0.56124169999999995</v>
      </c>
      <c r="F4551" t="s">
        <v>41</v>
      </c>
      <c r="G4551">
        <v>-385.8125</v>
      </c>
      <c r="H4551">
        <v>1.0041960000000001</v>
      </c>
      <c r="I4551">
        <v>21.17886</v>
      </c>
      <c r="J4551">
        <v>-386.39580000000001</v>
      </c>
      <c r="K4551">
        <v>1.111156</v>
      </c>
      <c r="L4551">
        <v>21.267910000000001</v>
      </c>
      <c r="M4551">
        <v>0.99366310000000002</v>
      </c>
      <c r="N4551">
        <v>-1.4366540000000001E-2</v>
      </c>
      <c r="O4551">
        <v>-0.1114786</v>
      </c>
      <c r="P4551">
        <v>0.90746210000000005</v>
      </c>
      <c r="Q4551">
        <v>0.41824729999999999</v>
      </c>
      <c r="R4551">
        <v>-3.9776319999999997E-2</v>
      </c>
      <c r="S4551">
        <v>3.4716490000000002</v>
      </c>
      <c r="T4551">
        <v>-0.41178369999999997</v>
      </c>
      <c r="U4551">
        <v>-0.47979739999999999</v>
      </c>
      <c r="V4551">
        <v>-6.1523010000000003E-2</v>
      </c>
      <c r="W4551">
        <v>0.43124099999999999</v>
      </c>
      <c r="X4551">
        <v>0.90013670000000001</v>
      </c>
      <c r="Y4551">
        <v>2.5996089999999999E-2</v>
      </c>
      <c r="Z4551">
        <v>9.7571159999999997E-3</v>
      </c>
      <c r="AA4551">
        <v>0.99961440000000001</v>
      </c>
      <c r="AB4551">
        <v>31</v>
      </c>
      <c r="AC4551">
        <v>0.58330000000000803</v>
      </c>
      <c r="AD4551">
        <v>-0.10696</v>
      </c>
      <c r="AE4551">
        <v>-8.9050000000000296E-2</v>
      </c>
      <c r="AF4551">
        <v>2.27162205019504E-2</v>
      </c>
      <c r="AG4551">
        <v>-0.10696</v>
      </c>
      <c r="AH4551">
        <v>0.57083464021695296</v>
      </c>
      <c r="AI4551">
        <v>100.60451988111799</v>
      </c>
      <c r="AJ4551">
        <v>87.721131356266199</v>
      </c>
      <c r="AK4551">
        <v>0.581213088931685</v>
      </c>
      <c r="AL4551">
        <v>64.453656517084099</v>
      </c>
      <c r="AM4551">
        <v>93.910000670328799</v>
      </c>
      <c r="AN4551">
        <v>0.99999997976367405</v>
      </c>
    </row>
    <row r="4552" spans="1:40" x14ac:dyDescent="0.25">
      <c r="A4552" t="str">
        <f>"20190304164737263"</f>
        <v>20190304164737263</v>
      </c>
      <c r="B4552" t="str">
        <f>"1551689257254043"</f>
        <v>1551689257254043</v>
      </c>
      <c r="C4552" t="s">
        <v>40</v>
      </c>
      <c r="D4552">
        <v>5.0738810000000001</v>
      </c>
      <c r="E4552">
        <v>0.56163450000000004</v>
      </c>
      <c r="F4552" t="s">
        <v>41</v>
      </c>
      <c r="G4552">
        <v>-385.5326</v>
      </c>
      <c r="H4552">
        <v>1.0103879999999901</v>
      </c>
      <c r="I4552">
        <v>21.145240000000001</v>
      </c>
      <c r="J4552">
        <v>-386.1096</v>
      </c>
      <c r="K4552">
        <v>1.11121</v>
      </c>
      <c r="L4552">
        <v>21.235720000000001</v>
      </c>
      <c r="M4552">
        <v>0.99365939999999997</v>
      </c>
      <c r="N4552">
        <v>-1.4362730000000001E-2</v>
      </c>
      <c r="O4552">
        <v>-0.11151129999999999</v>
      </c>
      <c r="P4552">
        <v>0.90664339999999999</v>
      </c>
      <c r="Q4552">
        <v>0.4197359</v>
      </c>
      <c r="R4552">
        <v>-4.2658429999999997E-2</v>
      </c>
      <c r="S4552">
        <v>3.4710999999999999</v>
      </c>
      <c r="T4552">
        <v>-0.4051168</v>
      </c>
      <c r="U4552">
        <v>-0.4915466</v>
      </c>
      <c r="V4552">
        <v>-5.8640150000000002E-2</v>
      </c>
      <c r="W4552">
        <v>0.43271229999999999</v>
      </c>
      <c r="X4552">
        <v>0.899622899999999</v>
      </c>
      <c r="Y4552">
        <v>2.9263580000000001E-2</v>
      </c>
      <c r="Z4552">
        <v>9.3611649999999994E-3</v>
      </c>
      <c r="AA4552">
        <v>0.99952790000000002</v>
      </c>
      <c r="AB4552">
        <v>31</v>
      </c>
      <c r="AC4552">
        <v>0.57699999999999796</v>
      </c>
      <c r="AD4552">
        <v>-0.10082199999999999</v>
      </c>
      <c r="AE4552">
        <v>-9.0479999999999394E-2</v>
      </c>
      <c r="AF4552">
        <v>2.4827084113188298E-2</v>
      </c>
      <c r="AG4552">
        <v>-0.10082199999999999</v>
      </c>
      <c r="AH4552">
        <v>0.56660659120387002</v>
      </c>
      <c r="AI4552">
        <v>100.080136521819</v>
      </c>
      <c r="AJ4552">
        <v>87.491067272752801</v>
      </c>
      <c r="AK4552">
        <v>0.57604208959522496</v>
      </c>
      <c r="AL4552">
        <v>64.360186437340701</v>
      </c>
      <c r="AM4552">
        <v>93.729436798611303</v>
      </c>
      <c r="AN4552">
        <v>0.99999998198386097</v>
      </c>
    </row>
    <row r="4553" spans="1:40" x14ac:dyDescent="0.25">
      <c r="A4553" t="str">
        <f>"20190304164737277"</f>
        <v>20190304164737277</v>
      </c>
      <c r="B4553" t="str">
        <f>"1551689257273560"</f>
        <v>1551689257273560</v>
      </c>
      <c r="C4553" t="s">
        <v>40</v>
      </c>
      <c r="D4553">
        <v>5.1877409999999999</v>
      </c>
      <c r="E4553">
        <v>0.56201369999999995</v>
      </c>
      <c r="F4553" t="s">
        <v>41</v>
      </c>
      <c r="G4553">
        <v>-385.25490000000002</v>
      </c>
      <c r="H4553">
        <v>1.0127660000000001</v>
      </c>
      <c r="I4553">
        <v>21.111560000000001</v>
      </c>
      <c r="J4553">
        <v>-385.92290000000003</v>
      </c>
      <c r="K4553">
        <v>1.1112439999999999</v>
      </c>
      <c r="L4553">
        <v>21.214780000000001</v>
      </c>
      <c r="M4553">
        <v>0.99366080000000001</v>
      </c>
      <c r="N4553">
        <v>-1.4360380000000001E-2</v>
      </c>
      <c r="O4553">
        <v>-0.1115005</v>
      </c>
      <c r="P4553">
        <v>0.90609289999999998</v>
      </c>
      <c r="Q4553">
        <v>0.42080299999999998</v>
      </c>
      <c r="R4553">
        <v>-4.3828609999999997E-2</v>
      </c>
      <c r="S4553">
        <v>3.4703059999999999</v>
      </c>
      <c r="T4553">
        <v>-0.39978429999999998</v>
      </c>
      <c r="U4553">
        <v>-0.50375369999999997</v>
      </c>
      <c r="V4553">
        <v>-5.7437549999999997E-2</v>
      </c>
      <c r="W4553">
        <v>0.43376680000000001</v>
      </c>
      <c r="X4553">
        <v>0.89919259999999901</v>
      </c>
      <c r="Y4553">
        <v>3.2714489999999999E-2</v>
      </c>
      <c r="Z4553">
        <v>8.9915610000000003E-3</v>
      </c>
      <c r="AA4553">
        <v>0.99942430000000004</v>
      </c>
      <c r="AB4553">
        <v>31</v>
      </c>
      <c r="AC4553">
        <v>0.66800000000000603</v>
      </c>
      <c r="AD4553">
        <v>-9.8477999999999996E-2</v>
      </c>
      <c r="AE4553">
        <v>-0.103219999999996</v>
      </c>
      <c r="AF4553">
        <v>2.7502444831549198E-2</v>
      </c>
      <c r="AG4553">
        <v>-9.8477999999999996E-2</v>
      </c>
      <c r="AH4553">
        <v>0.66130679928539504</v>
      </c>
      <c r="AI4553">
        <v>98.462706266263098</v>
      </c>
      <c r="AJ4553">
        <v>87.618553913083701</v>
      </c>
      <c r="AK4553">
        <v>0.66916439216145296</v>
      </c>
      <c r="AL4553">
        <v>64.293151186229807</v>
      </c>
      <c r="AM4553">
        <v>93.654905737362498</v>
      </c>
      <c r="AN4553">
        <v>1.0000000204135</v>
      </c>
    </row>
    <row r="4554" spans="1:40" x14ac:dyDescent="0.25">
      <c r="A4554" t="str">
        <f>"20190304164737297"</f>
        <v>20190304164737297</v>
      </c>
      <c r="B4554" t="str">
        <f>"1551689257294056"</f>
        <v>1551689257294056</v>
      </c>
      <c r="C4554" t="s">
        <v>40</v>
      </c>
      <c r="D4554">
        <v>4.8216809999999999</v>
      </c>
      <c r="E4554">
        <v>0.56235360000000001</v>
      </c>
      <c r="F4554" t="s">
        <v>41</v>
      </c>
      <c r="G4554">
        <v>-384.98309999999998</v>
      </c>
      <c r="H4554">
        <v>1.0045249999999999</v>
      </c>
      <c r="I4554">
        <v>21.075880000000002</v>
      </c>
      <c r="J4554">
        <v>-385.64269999999999</v>
      </c>
      <c r="K4554">
        <v>1.111305</v>
      </c>
      <c r="L4554">
        <v>21.183350000000001</v>
      </c>
      <c r="M4554">
        <v>0.99367059999999996</v>
      </c>
      <c r="N4554">
        <v>-1.435677E-2</v>
      </c>
      <c r="O4554">
        <v>-0.1114127</v>
      </c>
      <c r="P4554">
        <v>0.9055782</v>
      </c>
      <c r="Q4554">
        <v>0.42170469999999999</v>
      </c>
      <c r="R4554">
        <v>-4.5754940000000001E-2</v>
      </c>
      <c r="S4554">
        <v>3.4691160000000001</v>
      </c>
      <c r="T4554">
        <v>-0.39393440000000002</v>
      </c>
      <c r="U4554">
        <v>-0.51184079999999998</v>
      </c>
      <c r="V4554">
        <v>-5.5445660000000001E-2</v>
      </c>
      <c r="W4554">
        <v>0.43465300000000001</v>
      </c>
      <c r="X4554">
        <v>0.89888959999999996</v>
      </c>
      <c r="Y4554">
        <v>3.5103629999999997E-2</v>
      </c>
      <c r="Z4554">
        <v>8.6758040000000005E-3</v>
      </c>
      <c r="AA4554">
        <v>0.99934599999999996</v>
      </c>
      <c r="AB4554">
        <v>31</v>
      </c>
      <c r="AC4554">
        <v>0.65960000000001096</v>
      </c>
      <c r="AD4554">
        <v>-0.10678</v>
      </c>
      <c r="AE4554">
        <v>-0.10747000000000199</v>
      </c>
      <c r="AF4554">
        <v>3.24762935757976E-2</v>
      </c>
      <c r="AG4554">
        <v>-0.10678</v>
      </c>
      <c r="AH4554">
        <v>0.65085156872212502</v>
      </c>
      <c r="AI4554">
        <v>99.305682644057498</v>
      </c>
      <c r="AJ4554">
        <v>87.143415442107795</v>
      </c>
      <c r="AK4554">
        <v>0.66035175668159796</v>
      </c>
      <c r="AL4554">
        <v>64.2367837235293</v>
      </c>
      <c r="AM4554">
        <v>93.529668757759595</v>
      </c>
      <c r="AN4554">
        <v>0.99999998230499698</v>
      </c>
    </row>
    <row r="4555" spans="1:40" x14ac:dyDescent="0.25">
      <c r="A4555" t="str">
        <f>"20190304164737321"</f>
        <v>20190304164737321</v>
      </c>
      <c r="B4555" t="str">
        <f>"1551689257313576"</f>
        <v>1551689257313576</v>
      </c>
      <c r="C4555" t="s">
        <v>40</v>
      </c>
      <c r="D4555">
        <v>4.8351689999999996</v>
      </c>
      <c r="E4555">
        <v>0.56253949999999997</v>
      </c>
      <c r="F4555" t="s">
        <v>41</v>
      </c>
      <c r="G4555">
        <v>-384.70650000000001</v>
      </c>
      <c r="H4555">
        <v>1.006478</v>
      </c>
      <c r="I4555">
        <v>21.041399999999999</v>
      </c>
      <c r="J4555">
        <v>-385.3107</v>
      </c>
      <c r="K4555">
        <v>1.111386</v>
      </c>
      <c r="L4555">
        <v>21.1463</v>
      </c>
      <c r="M4555">
        <v>0.99369410000000002</v>
      </c>
      <c r="N4555">
        <v>-1.4352790000000001E-2</v>
      </c>
      <c r="O4555">
        <v>-0.1112021</v>
      </c>
      <c r="P4555">
        <v>0.90473749999999997</v>
      </c>
      <c r="Q4555">
        <v>0.42313000000000001</v>
      </c>
      <c r="R4555">
        <v>-4.9107079999999997E-2</v>
      </c>
      <c r="S4555">
        <v>3.4670100000000001</v>
      </c>
      <c r="T4555">
        <v>-0.38818419999999998</v>
      </c>
      <c r="U4555">
        <v>-0.52514649999999996</v>
      </c>
      <c r="V4555">
        <v>-5.1913620000000001E-2</v>
      </c>
      <c r="W4555">
        <v>0.4360581</v>
      </c>
      <c r="X4555">
        <v>0.89841990000000005</v>
      </c>
      <c r="Y4555">
        <v>3.91151E-2</v>
      </c>
      <c r="Z4555">
        <v>8.2546830000000005E-3</v>
      </c>
      <c r="AA4555">
        <v>0.99920059999999999</v>
      </c>
      <c r="AB4555">
        <v>31</v>
      </c>
      <c r="AC4555">
        <v>0.60419999999999097</v>
      </c>
      <c r="AD4555">
        <v>-0.104907999999999</v>
      </c>
      <c r="AE4555">
        <v>-0.10489999999999999</v>
      </c>
      <c r="AF4555">
        <v>3.6000445005502903E-2</v>
      </c>
      <c r="AG4555">
        <v>-0.104907999999999</v>
      </c>
      <c r="AH4555">
        <v>0.59471348970412696</v>
      </c>
      <c r="AI4555">
        <v>99.986197065117196</v>
      </c>
      <c r="AJ4555">
        <v>86.535878790799899</v>
      </c>
      <c r="AK4555">
        <v>0.60496764817687199</v>
      </c>
      <c r="AL4555">
        <v>64.147358548485897</v>
      </c>
      <c r="AM4555">
        <v>93.307058864990594</v>
      </c>
      <c r="AN4555">
        <v>1.0000000036165599</v>
      </c>
    </row>
    <row r="4556" spans="1:40" x14ac:dyDescent="0.25">
      <c r="A4556" t="str">
        <f>"20190304164737343"</f>
        <v>20190304164737343</v>
      </c>
      <c r="B4556" t="str">
        <f>"1551689257333728"</f>
        <v>1551689257333728</v>
      </c>
      <c r="C4556" t="s">
        <v>40</v>
      </c>
      <c r="D4556">
        <v>4.8312980000000003</v>
      </c>
      <c r="E4556">
        <v>0.56301619999999997</v>
      </c>
      <c r="F4556" t="s">
        <v>41</v>
      </c>
      <c r="G4556">
        <v>-384.4273</v>
      </c>
      <c r="H4556">
        <v>1.0139199999999999</v>
      </c>
      <c r="I4556">
        <v>21.007449999999999</v>
      </c>
      <c r="J4556">
        <v>-385.01249999999999</v>
      </c>
      <c r="K4556">
        <v>1.1114550000000001</v>
      </c>
      <c r="L4556">
        <v>21.113189999999999</v>
      </c>
      <c r="M4556">
        <v>0.99372519999999998</v>
      </c>
      <c r="N4556">
        <v>-1.434935E-2</v>
      </c>
      <c r="O4556">
        <v>-0.110927</v>
      </c>
      <c r="P4556">
        <v>0.90425390000000005</v>
      </c>
      <c r="Q4556">
        <v>0.42383569999999998</v>
      </c>
      <c r="R4556">
        <v>-5.1852950000000002E-2</v>
      </c>
      <c r="S4556">
        <v>3.4651179999999999</v>
      </c>
      <c r="T4556">
        <v>-0.38231619999999999</v>
      </c>
      <c r="U4556">
        <v>-0.5435181</v>
      </c>
      <c r="V4556">
        <v>-4.8960099999999999E-2</v>
      </c>
      <c r="W4556">
        <v>0.43675009999999997</v>
      </c>
      <c r="X4556">
        <v>0.89824959999999898</v>
      </c>
      <c r="Y4556">
        <v>4.4598829999999999E-2</v>
      </c>
      <c r="Z4556">
        <v>7.7384000000000003E-3</v>
      </c>
      <c r="AA4556">
        <v>0.99897499999999995</v>
      </c>
      <c r="AB4556">
        <v>31</v>
      </c>
      <c r="AC4556">
        <v>0.58519999999998595</v>
      </c>
      <c r="AD4556">
        <v>-9.7534999999999705E-2</v>
      </c>
      <c r="AE4556">
        <v>-0.10574</v>
      </c>
      <c r="AF4556">
        <v>3.9113964668725798E-2</v>
      </c>
      <c r="AG4556">
        <v>-9.7534999999999705E-2</v>
      </c>
      <c r="AH4556">
        <v>0.57777591858955302</v>
      </c>
      <c r="AI4556">
        <v>99.560350869299199</v>
      </c>
      <c r="AJ4556">
        <v>86.127130179329001</v>
      </c>
      <c r="AK4556">
        <v>0.58725462157322195</v>
      </c>
      <c r="AL4556">
        <v>64.103293339619896</v>
      </c>
      <c r="AM4556">
        <v>93.119883408202696</v>
      </c>
      <c r="AN4556">
        <v>1.00000004257108</v>
      </c>
    </row>
    <row r="4557" spans="1:40" x14ac:dyDescent="0.25">
      <c r="A4557" t="str">
        <f>"20190304164737364"</f>
        <v>20190304164737364</v>
      </c>
      <c r="B4557" t="str">
        <f>"1551689257354221"</f>
        <v>1551689257354221</v>
      </c>
      <c r="C4557" t="s">
        <v>40</v>
      </c>
      <c r="D4557">
        <v>4.9417879999999998</v>
      </c>
      <c r="E4557">
        <v>0.5630771</v>
      </c>
      <c r="F4557" t="s">
        <v>41</v>
      </c>
      <c r="G4557">
        <v>-384.15010000000001</v>
      </c>
      <c r="H4557">
        <v>1.018492</v>
      </c>
      <c r="I4557">
        <v>20.973120000000002</v>
      </c>
      <c r="J4557">
        <v>-384.71749999999997</v>
      </c>
      <c r="K4557">
        <v>1.111521</v>
      </c>
      <c r="L4557">
        <v>21.0806</v>
      </c>
      <c r="M4557">
        <v>0.99376419999999999</v>
      </c>
      <c r="N4557">
        <v>-1.434622E-2</v>
      </c>
      <c r="O4557">
        <v>-0.11057549999999999</v>
      </c>
      <c r="P4557">
        <v>0.90436689999999997</v>
      </c>
      <c r="Q4557">
        <v>0.42328909999999997</v>
      </c>
      <c r="R4557">
        <v>-5.4285600000000003E-2</v>
      </c>
      <c r="S4557">
        <v>3.4602970000000002</v>
      </c>
      <c r="T4557">
        <v>-0.37298249999999999</v>
      </c>
      <c r="U4557">
        <v>-0.56112669999999998</v>
      </c>
      <c r="V4557">
        <v>-4.6309500000000003E-2</v>
      </c>
      <c r="W4557">
        <v>0.43619970000000002</v>
      </c>
      <c r="X4557">
        <v>0.8986575</v>
      </c>
      <c r="Y4557">
        <v>5.0072310000000002E-2</v>
      </c>
      <c r="Z4557">
        <v>7.1492040000000001E-3</v>
      </c>
      <c r="AA4557">
        <v>0.99872000000000005</v>
      </c>
      <c r="AB4557">
        <v>31</v>
      </c>
      <c r="AC4557">
        <v>0.56739999999996305</v>
      </c>
      <c r="AD4557">
        <v>-9.3029000000000001E-2</v>
      </c>
      <c r="AE4557">
        <v>-0.10747999999999799</v>
      </c>
      <c r="AF4557">
        <v>4.2958960651481602E-2</v>
      </c>
      <c r="AG4557">
        <v>-9.3029000000000001E-2</v>
      </c>
      <c r="AH4557">
        <v>0.56124115125822305</v>
      </c>
      <c r="AI4557">
        <v>99.384578207957503</v>
      </c>
      <c r="AJ4557">
        <v>85.622956237210005</v>
      </c>
      <c r="AK4557">
        <v>0.57051862108691198</v>
      </c>
      <c r="AL4557">
        <v>64.138343451697693</v>
      </c>
      <c r="AM4557">
        <v>92.949949185010794</v>
      </c>
      <c r="AN4557">
        <v>1.0000000251882899</v>
      </c>
    </row>
    <row r="4558" spans="1:40" x14ac:dyDescent="0.25">
      <c r="A4558" t="str">
        <f>"20190304164737389"</f>
        <v>20190304164737389</v>
      </c>
      <c r="B4558" t="str">
        <f>"1551689257383501"</f>
        <v>1551689257383501</v>
      </c>
      <c r="C4558" t="s">
        <v>40</v>
      </c>
      <c r="D4558">
        <v>4.8474620000000002</v>
      </c>
      <c r="E4558">
        <v>0.56298649999999995</v>
      </c>
      <c r="F4558" t="s">
        <v>41</v>
      </c>
      <c r="G4558">
        <v>-383.87450000000001</v>
      </c>
      <c r="H4558">
        <v>1.019749</v>
      </c>
      <c r="I4558">
        <v>20.94079</v>
      </c>
      <c r="J4558">
        <v>-384.3922</v>
      </c>
      <c r="K4558">
        <v>1.1115870000000001</v>
      </c>
      <c r="L4558">
        <v>21.04486</v>
      </c>
      <c r="M4558">
        <v>0.99381629999999999</v>
      </c>
      <c r="N4558">
        <v>-1.4342840000000001E-2</v>
      </c>
      <c r="O4558">
        <v>-0.1101063</v>
      </c>
      <c r="P4558">
        <v>0.90495009999999998</v>
      </c>
      <c r="Q4558">
        <v>0.42186689999999999</v>
      </c>
      <c r="R4558">
        <v>-5.5622459999999999E-2</v>
      </c>
      <c r="S4558">
        <v>3.459076</v>
      </c>
      <c r="T4558">
        <v>-0.37652809999999998</v>
      </c>
      <c r="U4558">
        <v>-0.57272339999999999</v>
      </c>
      <c r="V4558">
        <v>-4.4689470000000002E-2</v>
      </c>
      <c r="W4558">
        <v>0.43477929999999998</v>
      </c>
      <c r="X4558">
        <v>0.89942749999999905</v>
      </c>
      <c r="Y4558">
        <v>5.3837900000000001E-2</v>
      </c>
      <c r="Z4558">
        <v>6.9624439999999999E-3</v>
      </c>
      <c r="AA4558">
        <v>0.99852540000000001</v>
      </c>
      <c r="AB4558">
        <v>31</v>
      </c>
      <c r="AC4558">
        <v>0.51769999999998995</v>
      </c>
      <c r="AD4558">
        <v>-9.1838000000000003E-2</v>
      </c>
      <c r="AE4558">
        <v>-0.10407</v>
      </c>
      <c r="AF4558">
        <v>4.5066089265434602E-2</v>
      </c>
      <c r="AG4558">
        <v>-9.1838000000000003E-2</v>
      </c>
      <c r="AH4558">
        <v>0.51056836820116103</v>
      </c>
      <c r="AI4558">
        <v>100.15831593568799</v>
      </c>
      <c r="AJ4558">
        <v>84.955774070988696</v>
      </c>
      <c r="AK4558">
        <v>0.52071607354994998</v>
      </c>
      <c r="AL4558">
        <v>64.228748996105395</v>
      </c>
      <c r="AM4558">
        <v>92.844491676830401</v>
      </c>
      <c r="AN4558">
        <v>1.0000000080968099</v>
      </c>
    </row>
    <row r="4559" spans="1:40" x14ac:dyDescent="0.25">
      <c r="A4559" t="str">
        <f>"20190304164737408"</f>
        <v>20190304164737408</v>
      </c>
      <c r="B4559" t="str">
        <f>"1551689257403997"</f>
        <v>1551689257403997</v>
      </c>
      <c r="C4559" t="s">
        <v>40</v>
      </c>
      <c r="D4559">
        <v>4.785501</v>
      </c>
      <c r="E4559">
        <v>0.56269999999999998</v>
      </c>
      <c r="F4559" t="s">
        <v>41</v>
      </c>
      <c r="G4559">
        <v>-383.59780000000001</v>
      </c>
      <c r="H4559">
        <v>1.0232139999999901</v>
      </c>
      <c r="I4559">
        <v>20.911539999999999</v>
      </c>
      <c r="J4559">
        <v>-384.10329999999999</v>
      </c>
      <c r="K4559">
        <v>1.1116280000000001</v>
      </c>
      <c r="L4559">
        <v>21.013339999999999</v>
      </c>
      <c r="M4559">
        <v>0.99386890000000006</v>
      </c>
      <c r="N4559">
        <v>-1.43398E-2</v>
      </c>
      <c r="O4559">
        <v>-0.10963150000000001</v>
      </c>
      <c r="P4559">
        <v>0.9054354</v>
      </c>
      <c r="Q4559">
        <v>0.42078660000000001</v>
      </c>
      <c r="R4559">
        <v>-5.5906820000000003E-2</v>
      </c>
      <c r="S4559">
        <v>3.4588619999999999</v>
      </c>
      <c r="T4559">
        <v>-0.38485770000000002</v>
      </c>
      <c r="U4559">
        <v>-0.57962040000000004</v>
      </c>
      <c r="V4559">
        <v>-4.4077610000000003E-2</v>
      </c>
      <c r="W4559">
        <v>0.433699</v>
      </c>
      <c r="X4559">
        <v>0.89997909999999903</v>
      </c>
      <c r="Y4559">
        <v>5.6253310000000001E-2</v>
      </c>
      <c r="Z4559">
        <v>6.9625499999999996E-3</v>
      </c>
      <c r="AA4559">
        <v>0.99839219999999895</v>
      </c>
      <c r="AB4559">
        <v>31</v>
      </c>
      <c r="AC4559">
        <v>0.50549999999998296</v>
      </c>
      <c r="AD4559">
        <v>-8.8414000000000201E-2</v>
      </c>
      <c r="AE4559">
        <v>-0.1018</v>
      </c>
      <c r="AF4559">
        <v>4.4454899002647097E-2</v>
      </c>
      <c r="AG4559">
        <v>-8.8414000000000201E-2</v>
      </c>
      <c r="AH4559">
        <v>0.49894544498764298</v>
      </c>
      <c r="AI4559">
        <v>100.009755684963</v>
      </c>
      <c r="AJ4559">
        <v>84.9085213062924</v>
      </c>
      <c r="AK4559">
        <v>0.50866475257801402</v>
      </c>
      <c r="AL4559">
        <v>64.297462450329107</v>
      </c>
      <c r="AM4559">
        <v>92.803892526620899</v>
      </c>
      <c r="AN4559">
        <v>1.00000001937056</v>
      </c>
    </row>
    <row r="4560" spans="1:40" x14ac:dyDescent="0.25">
      <c r="A4560" t="str">
        <f>"20190304164737432"</f>
        <v>20190304164737432</v>
      </c>
      <c r="B4560" t="str">
        <f>"1551689257423521"</f>
        <v>1551689257423521</v>
      </c>
      <c r="C4560" t="s">
        <v>40</v>
      </c>
      <c r="D4560">
        <v>4.7370099999999997</v>
      </c>
      <c r="E4560">
        <v>0.52858809999999901</v>
      </c>
      <c r="F4560" t="s">
        <v>41</v>
      </c>
      <c r="G4560">
        <v>-383.3229</v>
      </c>
      <c r="H4560">
        <v>1.0240180000000001</v>
      </c>
      <c r="I4560">
        <v>20.882370000000002</v>
      </c>
      <c r="J4560">
        <v>-383.78620000000001</v>
      </c>
      <c r="K4560">
        <v>1.111667</v>
      </c>
      <c r="L4560">
        <v>20.978909999999999</v>
      </c>
      <c r="M4560">
        <v>0.9939308</v>
      </c>
      <c r="N4560">
        <v>-1.433656E-2</v>
      </c>
      <c r="O4560">
        <v>-0.10906920000000001</v>
      </c>
      <c r="P4560">
        <v>0.90610679999999999</v>
      </c>
      <c r="Q4560">
        <v>0.41962270000000002</v>
      </c>
      <c r="R4560">
        <v>-5.3734850000000001E-2</v>
      </c>
      <c r="S4560">
        <v>3.4579770000000001</v>
      </c>
      <c r="T4560">
        <v>-0.38819910000000002</v>
      </c>
      <c r="U4560">
        <v>-0.57913210000000004</v>
      </c>
      <c r="V4560">
        <v>-4.583802E-2</v>
      </c>
      <c r="W4560">
        <v>0.432533</v>
      </c>
      <c r="X4560">
        <v>0.90045209999999998</v>
      </c>
      <c r="Y4560">
        <v>5.6720649999999997E-2</v>
      </c>
      <c r="Z4560">
        <v>6.9592940000000004E-3</v>
      </c>
      <c r="AA4560">
        <v>0.99836579999999997</v>
      </c>
      <c r="AB4560">
        <v>31</v>
      </c>
      <c r="AC4560">
        <v>0.46330000000000299</v>
      </c>
      <c r="AD4560">
        <v>-8.7648999999999797E-2</v>
      </c>
      <c r="AE4560">
        <v>-9.6539999999997406E-2</v>
      </c>
      <c r="AF4560">
        <v>4.3920458948406398E-2</v>
      </c>
      <c r="AG4560">
        <v>-8.7648999999999797E-2</v>
      </c>
      <c r="AH4560">
        <v>0.45544377984661399</v>
      </c>
      <c r="AI4560">
        <v>100.844143991377</v>
      </c>
      <c r="AJ4560">
        <v>84.491747165366206</v>
      </c>
      <c r="AK4560">
        <v>0.46587593897539897</v>
      </c>
      <c r="AL4560">
        <v>64.3715802719246</v>
      </c>
      <c r="AM4560">
        <v>92.914158353569704</v>
      </c>
      <c r="AN4560">
        <v>0.99999995228046401</v>
      </c>
    </row>
    <row r="4561" spans="1:40" x14ac:dyDescent="0.25">
      <c r="A4561" t="str">
        <f>"20190304164737454"</f>
        <v>20190304164737454</v>
      </c>
      <c r="B4561" t="str">
        <f>"1551689257443799"</f>
        <v>1551689257443799</v>
      </c>
      <c r="C4561" t="s">
        <v>40</v>
      </c>
      <c r="D4561">
        <v>4.676107</v>
      </c>
      <c r="E4561">
        <v>0.52726079999999997</v>
      </c>
      <c r="F4561" t="s">
        <v>41</v>
      </c>
      <c r="G4561">
        <v>-383.04349999999999</v>
      </c>
      <c r="H4561">
        <v>1.01814</v>
      </c>
      <c r="I4561">
        <v>20.91554</v>
      </c>
      <c r="J4561">
        <v>-383.49020000000002</v>
      </c>
      <c r="K4561">
        <v>1.111693</v>
      </c>
      <c r="L4561">
        <v>20.947019999999998</v>
      </c>
      <c r="M4561">
        <v>0.99399090000000001</v>
      </c>
      <c r="N4561">
        <v>-1.433337E-2</v>
      </c>
      <c r="O4561">
        <v>-0.108521699999999</v>
      </c>
      <c r="P4561">
        <v>0.90648300000000004</v>
      </c>
      <c r="Q4561">
        <v>0.41910140000000001</v>
      </c>
      <c r="R4561">
        <v>-5.1408040000000002E-2</v>
      </c>
      <c r="S4561">
        <v>3.4971009999999998</v>
      </c>
      <c r="T4561">
        <v>-0.44034020000000001</v>
      </c>
      <c r="U4561">
        <v>-0.29794310000000002</v>
      </c>
      <c r="V4561">
        <v>-4.7717320000000001E-2</v>
      </c>
      <c r="W4561">
        <v>0.43200630000000001</v>
      </c>
      <c r="X4561">
        <v>0.9006073</v>
      </c>
      <c r="Y4561">
        <v>-2.2889570000000001E-2</v>
      </c>
      <c r="Z4561">
        <v>1.35972E-2</v>
      </c>
      <c r="AA4561">
        <v>0.99964549999999996</v>
      </c>
      <c r="AB4561">
        <v>31</v>
      </c>
      <c r="AC4561">
        <v>0.44670000000002102</v>
      </c>
      <c r="AD4561">
        <v>-9.3552999999999997E-2</v>
      </c>
      <c r="AE4561">
        <v>-3.1480000000001902E-2</v>
      </c>
      <c r="AF4561">
        <v>-1.64687963040955E-2</v>
      </c>
      <c r="AG4561">
        <v>-9.3552999999999997E-2</v>
      </c>
      <c r="AH4561">
        <v>0.42876457369688697</v>
      </c>
      <c r="AI4561">
        <v>102.299779377512</v>
      </c>
      <c r="AJ4561">
        <v>92.199642780102593</v>
      </c>
      <c r="AK4561">
        <v>0.43916106921968801</v>
      </c>
      <c r="AL4561">
        <v>64.405046038446599</v>
      </c>
      <c r="AM4561">
        <v>93.032894586016596</v>
      </c>
      <c r="AN4561">
        <v>0.99999994734047903</v>
      </c>
    </row>
    <row r="4562" spans="1:40" x14ac:dyDescent="0.25">
      <c r="A4562" t="str">
        <f>"20190304164737476"</f>
        <v>20190304164737476</v>
      </c>
      <c r="B4562" t="str">
        <f>"1551689257474053"</f>
        <v>1551689257474053</v>
      </c>
      <c r="C4562" t="s">
        <v>40</v>
      </c>
      <c r="D4562">
        <v>4.6855320000000003</v>
      </c>
      <c r="E4562">
        <v>0.52624700000000002</v>
      </c>
      <c r="F4562" t="s">
        <v>41</v>
      </c>
      <c r="G4562">
        <v>-382.76740000000001</v>
      </c>
      <c r="H4562">
        <v>1.0209980000000001</v>
      </c>
      <c r="I4562">
        <v>20.88898</v>
      </c>
      <c r="J4562">
        <v>-383.19279999999998</v>
      </c>
      <c r="K4562">
        <v>1.111704</v>
      </c>
      <c r="L4562">
        <v>20.91516</v>
      </c>
      <c r="M4562">
        <v>0.99405189999999999</v>
      </c>
      <c r="N4562">
        <v>-1.433009E-2</v>
      </c>
      <c r="O4562">
        <v>-0.1079614</v>
      </c>
      <c r="P4562">
        <v>0.90699019999999997</v>
      </c>
      <c r="Q4562">
        <v>0.41834779999999999</v>
      </c>
      <c r="R4562">
        <v>-4.8519939999999998E-2</v>
      </c>
      <c r="S4562">
        <v>3.4964599999999999</v>
      </c>
      <c r="T4562">
        <v>-0.43871520000000003</v>
      </c>
      <c r="U4562">
        <v>-0.2796631</v>
      </c>
      <c r="V4562">
        <v>-5.0147339999999999E-2</v>
      </c>
      <c r="W4562">
        <v>0.43124839999999998</v>
      </c>
      <c r="X4562">
        <v>0.90083860000000004</v>
      </c>
      <c r="Y4562">
        <v>-2.747084E-2</v>
      </c>
      <c r="Z4562">
        <v>1.380663E-2</v>
      </c>
      <c r="AA4562">
        <v>0.99952730000000001</v>
      </c>
      <c r="AB4562">
        <v>31</v>
      </c>
      <c r="AC4562">
        <v>0.42539999999996703</v>
      </c>
      <c r="AD4562">
        <v>-9.0706000000000106E-2</v>
      </c>
      <c r="AE4562">
        <v>-2.6179999999999998E-2</v>
      </c>
      <c r="AF4562">
        <v>-1.9042062187703799E-2</v>
      </c>
      <c r="AG4562">
        <v>-9.0706000000000106E-2</v>
      </c>
      <c r="AH4562">
        <v>0.40729212023370098</v>
      </c>
      <c r="AI4562">
        <v>102.54189996198799</v>
      </c>
      <c r="AJ4562">
        <v>92.676791052254003</v>
      </c>
      <c r="AK4562">
        <v>0.41770450054173902</v>
      </c>
      <c r="AL4562">
        <v>64.453188802820904</v>
      </c>
      <c r="AM4562">
        <v>93.186218407277195</v>
      </c>
      <c r="AN4562">
        <v>1.00000006073079</v>
      </c>
    </row>
    <row r="4563" spans="1:40" x14ac:dyDescent="0.25">
      <c r="A4563" t="str">
        <f>"20190304164737499"</f>
        <v>20190304164737499</v>
      </c>
      <c r="B4563" t="str">
        <f>"1551689257493573"</f>
        <v>1551689257493573</v>
      </c>
      <c r="C4563" t="s">
        <v>40</v>
      </c>
      <c r="D4563">
        <v>4.6744690000000002</v>
      </c>
      <c r="E4563">
        <v>0.52617749999999996</v>
      </c>
      <c r="F4563" t="s">
        <v>41</v>
      </c>
      <c r="G4563">
        <v>-382.23200000000003</v>
      </c>
      <c r="H4563">
        <v>0.99520339999999996</v>
      </c>
      <c r="I4563">
        <v>20.84299</v>
      </c>
      <c r="J4563">
        <v>-382.87380000000002</v>
      </c>
      <c r="K4563">
        <v>1.111718</v>
      </c>
      <c r="L4563">
        <v>20.881160000000001</v>
      </c>
      <c r="M4563">
        <v>0.99411760000000005</v>
      </c>
      <c r="N4563">
        <v>-1.432663E-2</v>
      </c>
      <c r="O4563">
        <v>-0.1073553</v>
      </c>
      <c r="P4563">
        <v>0.90752840000000001</v>
      </c>
      <c r="Q4563">
        <v>0.41755189999999998</v>
      </c>
      <c r="R4563">
        <v>-4.5197359999999999E-2</v>
      </c>
      <c r="S4563">
        <v>3.4887999999999999</v>
      </c>
      <c r="T4563">
        <v>-0.42305959999999998</v>
      </c>
      <c r="U4563">
        <v>-0.261322</v>
      </c>
      <c r="V4563">
        <v>-5.2965449999999997E-2</v>
      </c>
      <c r="W4563">
        <v>0.43044880000000002</v>
      </c>
      <c r="X4563">
        <v>0.90105959999999996</v>
      </c>
      <c r="Y4563">
        <v>-3.193998E-2</v>
      </c>
      <c r="Z4563">
        <v>1.354299E-2</v>
      </c>
      <c r="AA4563">
        <v>0.99939809999999996</v>
      </c>
      <c r="AB4563">
        <v>31</v>
      </c>
      <c r="AC4563">
        <v>0.641800000000046</v>
      </c>
      <c r="AD4563">
        <v>-0.1165146</v>
      </c>
      <c r="AE4563">
        <v>-3.8170000000000898E-2</v>
      </c>
      <c r="AF4563">
        <v>-2.9973936649333E-2</v>
      </c>
      <c r="AG4563">
        <v>-0.1165146</v>
      </c>
      <c r="AH4563">
        <v>0.62176823682420601</v>
      </c>
      <c r="AI4563">
        <v>100.601663509099</v>
      </c>
      <c r="AJ4563">
        <v>92.759953686710404</v>
      </c>
      <c r="AK4563">
        <v>0.63330074152404103</v>
      </c>
      <c r="AL4563">
        <v>64.503953298234194</v>
      </c>
      <c r="AM4563">
        <v>93.364049138088504</v>
      </c>
      <c r="AN4563">
        <v>0.99999995553364995</v>
      </c>
    </row>
    <row r="4564" spans="1:40" x14ac:dyDescent="0.25">
      <c r="A4564" t="str">
        <f>"20190304164737520"</f>
        <v>20190304164737520</v>
      </c>
      <c r="B4564" t="str">
        <f>"1551689257514069"</f>
        <v>1551689257514069</v>
      </c>
      <c r="C4564" t="s">
        <v>40</v>
      </c>
      <c r="D4564">
        <v>4.6217300000000003</v>
      </c>
      <c r="E4564">
        <v>0.52545299999999995</v>
      </c>
      <c r="F4564" t="s">
        <v>41</v>
      </c>
      <c r="G4564">
        <v>-381.95519999999999</v>
      </c>
      <c r="H4564">
        <v>1.003037</v>
      </c>
      <c r="I4564">
        <v>20.81522</v>
      </c>
      <c r="J4564">
        <v>-382.57339999999999</v>
      </c>
      <c r="K4564">
        <v>1.1117319999999999</v>
      </c>
      <c r="L4564">
        <v>20.84937</v>
      </c>
      <c r="M4564">
        <v>0.99417949999999999</v>
      </c>
      <c r="N4564">
        <v>-1.432335E-2</v>
      </c>
      <c r="O4564">
        <v>-0.10678120000000001</v>
      </c>
      <c r="P4564">
        <v>0.90815190000000001</v>
      </c>
      <c r="Q4564">
        <v>0.41659020000000002</v>
      </c>
      <c r="R4564">
        <v>-4.13865E-2</v>
      </c>
      <c r="S4564">
        <v>3.4828190000000001</v>
      </c>
      <c r="T4564">
        <v>-0.41209220000000002</v>
      </c>
      <c r="U4564">
        <v>-0.24948119999999999</v>
      </c>
      <c r="V4564">
        <v>-5.6305170000000002E-2</v>
      </c>
      <c r="W4564">
        <v>0.42948229999999998</v>
      </c>
      <c r="X4564">
        <v>0.90131830000000002</v>
      </c>
      <c r="Y4564">
        <v>-3.4640600000000001E-2</v>
      </c>
      <c r="Z4564">
        <v>1.3307060000000001E-2</v>
      </c>
      <c r="AA4564">
        <v>0.99931119999999996</v>
      </c>
      <c r="AB4564">
        <v>31</v>
      </c>
      <c r="AC4564">
        <v>0.61820000000000097</v>
      </c>
      <c r="AD4564">
        <v>-0.108694999999999</v>
      </c>
      <c r="AE4564">
        <v>-3.4150000000000298E-2</v>
      </c>
      <c r="AF4564">
        <v>-3.1105509648703199E-2</v>
      </c>
      <c r="AG4564">
        <v>-0.108694999999999</v>
      </c>
      <c r="AH4564">
        <v>0.59982486796521395</v>
      </c>
      <c r="AI4564">
        <v>100.257689630455</v>
      </c>
      <c r="AJ4564">
        <v>92.9685654993458</v>
      </c>
      <c r="AK4564">
        <v>0.61038678555895398</v>
      </c>
      <c r="AL4564">
        <v>64.565289857906293</v>
      </c>
      <c r="AM4564">
        <v>93.574610522708099</v>
      </c>
      <c r="AN4564">
        <v>0.99999999804845396</v>
      </c>
    </row>
    <row r="4565" spans="1:40" x14ac:dyDescent="0.25">
      <c r="A4565" t="str">
        <f>"20190304164737543"</f>
        <v>20190304164737543</v>
      </c>
      <c r="B4565" t="str">
        <f>"1551689257533592"</f>
        <v>1551689257533592</v>
      </c>
      <c r="C4565" t="s">
        <v>40</v>
      </c>
      <c r="D4565">
        <v>4.7306809999999997</v>
      </c>
      <c r="E4565">
        <v>0.52593429999999997</v>
      </c>
      <c r="F4565" t="s">
        <v>41</v>
      </c>
      <c r="G4565">
        <v>-381.67959999999999</v>
      </c>
      <c r="H4565">
        <v>1.008324</v>
      </c>
      <c r="I4565">
        <v>20.789580000000001</v>
      </c>
      <c r="J4565">
        <v>-382.26609999999999</v>
      </c>
      <c r="K4565">
        <v>1.1117490000000001</v>
      </c>
      <c r="L4565">
        <v>20.816990000000001</v>
      </c>
      <c r="M4565">
        <v>0.99424429999999997</v>
      </c>
      <c r="N4565">
        <v>-1.4319999999999999E-2</v>
      </c>
      <c r="O4565">
        <v>-0.1061762</v>
      </c>
      <c r="P4565">
        <v>0.90833399999999997</v>
      </c>
      <c r="Q4565">
        <v>0.41650609999999999</v>
      </c>
      <c r="R4565">
        <v>-3.8108669999999997E-2</v>
      </c>
      <c r="S4565">
        <v>3.477417</v>
      </c>
      <c r="T4565">
        <v>-0.40229769999999998</v>
      </c>
      <c r="U4565">
        <v>-0.23138429999999999</v>
      </c>
      <c r="V4565">
        <v>-5.9047679999999998E-2</v>
      </c>
      <c r="W4565">
        <v>0.42938850000000001</v>
      </c>
      <c r="X4565">
        <v>0.90118750000000003</v>
      </c>
      <c r="Y4565">
        <v>-3.9106170000000003E-2</v>
      </c>
      <c r="Z4565">
        <v>1.321657E-2</v>
      </c>
      <c r="AA4565">
        <v>0.99914769999999997</v>
      </c>
      <c r="AB4565">
        <v>31</v>
      </c>
      <c r="AC4565">
        <v>0.58650000000000002</v>
      </c>
      <c r="AD4565">
        <v>-0.103424999999999</v>
      </c>
      <c r="AE4565">
        <v>-2.7410000000003199E-2</v>
      </c>
      <c r="AF4565">
        <v>-3.3969649588923401E-2</v>
      </c>
      <c r="AG4565">
        <v>-0.103424999999999</v>
      </c>
      <c r="AH4565">
        <v>0.56845600614115999</v>
      </c>
      <c r="AI4565">
        <v>100.293644538436</v>
      </c>
      <c r="AJ4565">
        <v>93.419799816032906</v>
      </c>
      <c r="AK4565">
        <v>0.57878571046299399</v>
      </c>
      <c r="AL4565">
        <v>64.571241230484006</v>
      </c>
      <c r="AM4565">
        <v>93.748780127425803</v>
      </c>
      <c r="AN4565">
        <v>1.00000001130094</v>
      </c>
    </row>
    <row r="4566" spans="1:40" x14ac:dyDescent="0.25">
      <c r="A4566" t="str">
        <f>"20190304164737565"</f>
        <v>20190304164737565</v>
      </c>
      <c r="B4566" t="str">
        <f>"1551689257554084"</f>
        <v>1551689257554084</v>
      </c>
      <c r="C4566" t="s">
        <v>40</v>
      </c>
      <c r="D4566">
        <v>4.6735220000000002</v>
      </c>
      <c r="E4566">
        <v>0.52634820000000004</v>
      </c>
      <c r="F4566" t="s">
        <v>41</v>
      </c>
      <c r="G4566">
        <v>-381.40550000000002</v>
      </c>
      <c r="H4566">
        <v>1.0111460000000001</v>
      </c>
      <c r="I4566">
        <v>20.761469999999999</v>
      </c>
      <c r="J4566">
        <v>-381.97539999999998</v>
      </c>
      <c r="K4566">
        <v>1.111782</v>
      </c>
      <c r="L4566">
        <v>20.78659</v>
      </c>
      <c r="M4566">
        <v>0.99430969999999996</v>
      </c>
      <c r="N4566">
        <v>-1.431703E-2</v>
      </c>
      <c r="O4566">
        <v>-0.1055618</v>
      </c>
      <c r="P4566">
        <v>0.90775170000000005</v>
      </c>
      <c r="Q4566">
        <v>0.41794130000000002</v>
      </c>
      <c r="R4566">
        <v>-3.6223680000000001E-2</v>
      </c>
      <c r="S4566">
        <v>3.4799190000000002</v>
      </c>
      <c r="T4566">
        <v>-0.406829</v>
      </c>
      <c r="U4566">
        <v>-0.2231445</v>
      </c>
      <c r="V4566">
        <v>-6.0331650000000001E-2</v>
      </c>
      <c r="W4566">
        <v>0.43080429999999997</v>
      </c>
      <c r="X4566">
        <v>0.90042639999999996</v>
      </c>
      <c r="Y4566">
        <v>-4.0862809999999999E-2</v>
      </c>
      <c r="Z4566">
        <v>1.342225E-2</v>
      </c>
      <c r="AA4566">
        <v>0.99907460000000003</v>
      </c>
      <c r="AB4566">
        <v>31</v>
      </c>
      <c r="AC4566">
        <v>0.56989999999996099</v>
      </c>
      <c r="AD4566">
        <v>-0.100636</v>
      </c>
      <c r="AE4566">
        <v>-2.5119999999997498E-2</v>
      </c>
      <c r="AF4566">
        <v>-3.4124204674423703E-2</v>
      </c>
      <c r="AG4566">
        <v>-0.100636</v>
      </c>
      <c r="AH4566">
        <v>0.55218217990283303</v>
      </c>
      <c r="AI4566">
        <v>100.309629402154</v>
      </c>
      <c r="AJ4566">
        <v>93.536314046261097</v>
      </c>
      <c r="AK4566">
        <v>0.562314169875619</v>
      </c>
      <c r="AL4566">
        <v>64.481385508086206</v>
      </c>
      <c r="AM4566">
        <v>93.8332836852165</v>
      </c>
      <c r="AN4566">
        <v>0.99999997735358603</v>
      </c>
    </row>
    <row r="4567" spans="1:40" x14ac:dyDescent="0.25">
      <c r="A4567" t="str">
        <f>"20190304164737590"</f>
        <v>20190304164737590</v>
      </c>
      <c r="B4567" t="str">
        <f>"1551689257583364"</f>
        <v>1551689257583364</v>
      </c>
      <c r="C4567" t="s">
        <v>40</v>
      </c>
      <c r="D4567">
        <v>4.80044</v>
      </c>
      <c r="E4567">
        <v>0.52681449999999996</v>
      </c>
      <c r="F4567" t="s">
        <v>41</v>
      </c>
      <c r="G4567">
        <v>-381.13130000000001</v>
      </c>
      <c r="H4567">
        <v>1.0136579999999999</v>
      </c>
      <c r="I4567">
        <v>20.733419999999999</v>
      </c>
      <c r="J4567">
        <v>-381.6454</v>
      </c>
      <c r="K4567">
        <v>1.111842</v>
      </c>
      <c r="L4567">
        <v>20.752410000000001</v>
      </c>
      <c r="M4567">
        <v>0.99439259999999996</v>
      </c>
      <c r="N4567">
        <v>-1.4313960000000001E-2</v>
      </c>
      <c r="O4567">
        <v>-0.104778</v>
      </c>
      <c r="P4567">
        <v>0.90698389999999995</v>
      </c>
      <c r="Q4567">
        <v>0.41966720000000002</v>
      </c>
      <c r="R4567">
        <v>-3.5491920000000003E-2</v>
      </c>
      <c r="S4567">
        <v>3.4826350000000001</v>
      </c>
      <c r="T4567">
        <v>-0.40498230000000002</v>
      </c>
      <c r="U4567">
        <v>-0.2176208</v>
      </c>
      <c r="V4567">
        <v>-6.0329059999999997E-2</v>
      </c>
      <c r="W4567">
        <v>0.43250759999999999</v>
      </c>
      <c r="X4567">
        <v>0.89960969999999996</v>
      </c>
      <c r="Y4567">
        <v>-4.171035E-2</v>
      </c>
      <c r="Z4567">
        <v>1.3322280000000001E-2</v>
      </c>
      <c r="AA4567">
        <v>0.99904090000000001</v>
      </c>
      <c r="AB4567">
        <v>31</v>
      </c>
      <c r="AC4567">
        <v>0.51409999999998401</v>
      </c>
      <c r="AD4567">
        <v>-9.8183999999999994E-2</v>
      </c>
      <c r="AE4567">
        <v>-1.8989999999998699E-2</v>
      </c>
      <c r="AF4567">
        <v>-3.3756861232262299E-2</v>
      </c>
      <c r="AG4567">
        <v>-9.8183999999999994E-2</v>
      </c>
      <c r="AH4567">
        <v>0.495221353415775</v>
      </c>
      <c r="AI4567">
        <v>101.18889056648899</v>
      </c>
      <c r="AJ4567">
        <v>93.899545837979701</v>
      </c>
      <c r="AK4567">
        <v>0.50598795678870301</v>
      </c>
      <c r="AL4567">
        <v>64.373196122879705</v>
      </c>
      <c r="AM4567">
        <v>93.836589079588805</v>
      </c>
      <c r="AN4567">
        <v>1.0000000159361599</v>
      </c>
    </row>
    <row r="4568" spans="1:40" x14ac:dyDescent="0.25">
      <c r="A4568" t="str">
        <f>"20190304164737611"</f>
        <v>20190304164737611</v>
      </c>
      <c r="B4568" t="str">
        <f>"1551689257603860"</f>
        <v>1551689257603860</v>
      </c>
      <c r="C4568" t="s">
        <v>40</v>
      </c>
      <c r="D4568">
        <v>4.7201490000000002</v>
      </c>
      <c r="E4568">
        <v>0.52720119999999904</v>
      </c>
      <c r="F4568" t="s">
        <v>41</v>
      </c>
      <c r="G4568">
        <v>-380.85410000000002</v>
      </c>
      <c r="H4568">
        <v>1.021452</v>
      </c>
      <c r="I4568">
        <v>20.702970000000001</v>
      </c>
      <c r="J4568">
        <v>-381.34870000000001</v>
      </c>
      <c r="K4568">
        <v>1.111928</v>
      </c>
      <c r="L4568">
        <v>20.721979999999999</v>
      </c>
      <c r="M4568">
        <v>0.99447920000000001</v>
      </c>
      <c r="N4568">
        <v>-1.431167E-2</v>
      </c>
      <c r="O4568">
        <v>-0.10395450000000001</v>
      </c>
      <c r="P4568">
        <v>0.90655560000000002</v>
      </c>
      <c r="Q4568">
        <v>0.42059950000000002</v>
      </c>
      <c r="R4568">
        <v>-3.5409870000000003E-2</v>
      </c>
      <c r="S4568">
        <v>3.483215</v>
      </c>
      <c r="T4568">
        <v>-0.3978468</v>
      </c>
      <c r="U4568">
        <v>-0.2176208</v>
      </c>
      <c r="V4568">
        <v>-5.9705880000000003E-2</v>
      </c>
      <c r="W4568">
        <v>0.43342049999999999</v>
      </c>
      <c r="X4568">
        <v>0.89921180000000001</v>
      </c>
      <c r="Y4568">
        <v>-4.0934999999999999E-2</v>
      </c>
      <c r="Z4568">
        <v>1.293478E-2</v>
      </c>
      <c r="AA4568">
        <v>0.99907809999999997</v>
      </c>
      <c r="AB4568">
        <v>31</v>
      </c>
      <c r="AC4568">
        <v>0.49459999999999099</v>
      </c>
      <c r="AD4568">
        <v>-9.0476000000000001E-2</v>
      </c>
      <c r="AE4568">
        <v>-1.90099999999979E-2</v>
      </c>
      <c r="AF4568">
        <v>-3.1462897563906002E-2</v>
      </c>
      <c r="AG4568">
        <v>-9.0476000000000001E-2</v>
      </c>
      <c r="AH4568">
        <v>0.47792706089638598</v>
      </c>
      <c r="AI4568">
        <v>100.69714374784201</v>
      </c>
      <c r="AJ4568">
        <v>93.766461328708701</v>
      </c>
      <c r="AK4568">
        <v>0.48743214505834098</v>
      </c>
      <c r="AL4568">
        <v>64.315169414109604</v>
      </c>
      <c r="AM4568">
        <v>93.798750153413494</v>
      </c>
      <c r="AN4568">
        <v>0.99999999159303199</v>
      </c>
    </row>
    <row r="4569" spans="1:40" x14ac:dyDescent="0.25">
      <c r="A4569" t="str">
        <f>"20190304164737634"</f>
        <v>20190304164737634</v>
      </c>
      <c r="B4569" t="str">
        <f>"1551689257623391"</f>
        <v>1551689257623391</v>
      </c>
      <c r="C4569" t="s">
        <v>40</v>
      </c>
      <c r="D4569">
        <v>4.7208079999999999</v>
      </c>
      <c r="E4569">
        <v>0.52748969999999995</v>
      </c>
      <c r="F4569" t="s">
        <v>41</v>
      </c>
      <c r="G4569">
        <v>-380.58049999999997</v>
      </c>
      <c r="H4569">
        <v>1.024429</v>
      </c>
      <c r="I4569">
        <v>20.67304</v>
      </c>
      <c r="J4569">
        <v>-381.0385</v>
      </c>
      <c r="K4569">
        <v>1.1120589999999999</v>
      </c>
      <c r="L4569">
        <v>20.690580000000001</v>
      </c>
      <c r="M4569">
        <v>0.99458539999999995</v>
      </c>
      <c r="N4569">
        <v>-1.431002E-2</v>
      </c>
      <c r="O4569">
        <v>-0.1029337</v>
      </c>
      <c r="P4569">
        <v>0.90621759999999996</v>
      </c>
      <c r="Q4569">
        <v>0.42128749999999998</v>
      </c>
      <c r="R4569">
        <v>-3.58705E-2</v>
      </c>
      <c r="S4569">
        <v>3.4848940000000002</v>
      </c>
      <c r="T4569">
        <v>-0.3971345</v>
      </c>
      <c r="U4569">
        <v>-0.22021479999999999</v>
      </c>
      <c r="V4569">
        <v>-5.840977E-2</v>
      </c>
      <c r="W4569">
        <v>0.43408910000000001</v>
      </c>
      <c r="X4569">
        <v>0.89897439999999995</v>
      </c>
      <c r="Y4569">
        <v>-3.9219900000000002E-2</v>
      </c>
      <c r="Z4569">
        <v>1.2692419999999999E-2</v>
      </c>
      <c r="AA4569">
        <v>0.99914999999999998</v>
      </c>
      <c r="AB4569">
        <v>31</v>
      </c>
      <c r="AC4569">
        <v>0.458000000000026</v>
      </c>
      <c r="AD4569">
        <v>-8.7629999999999805E-2</v>
      </c>
      <c r="AE4569">
        <v>-1.7539999999996701E-2</v>
      </c>
      <c r="AF4569">
        <v>-2.86542104733379E-2</v>
      </c>
      <c r="AG4569">
        <v>-8.7629999999999805E-2</v>
      </c>
      <c r="AH4569">
        <v>0.441243028186107</v>
      </c>
      <c r="AI4569">
        <v>101.209662805953</v>
      </c>
      <c r="AJ4569">
        <v>93.715556223074998</v>
      </c>
      <c r="AK4569">
        <v>0.45077210494960301</v>
      </c>
      <c r="AL4569">
        <v>64.272654221559193</v>
      </c>
      <c r="AM4569">
        <v>93.717498320010904</v>
      </c>
      <c r="AN4569">
        <v>1.0000000099128099</v>
      </c>
    </row>
    <row r="4570" spans="1:40" x14ac:dyDescent="0.25">
      <c r="A4570" t="str">
        <f>"20190304164737655"</f>
        <v>20190304164737655</v>
      </c>
      <c r="B4570" t="str">
        <f>"1551689257643880"</f>
        <v>1551689257643880</v>
      </c>
      <c r="C4570" t="s">
        <v>40</v>
      </c>
      <c r="D4570">
        <v>4.720701</v>
      </c>
      <c r="E4570">
        <v>0.52782989999999996</v>
      </c>
      <c r="F4570" t="s">
        <v>55</v>
      </c>
      <c r="G4570">
        <v>-371.28899999999999</v>
      </c>
      <c r="H4570" s="1">
        <v>-4.218028E-6</v>
      </c>
      <c r="I4570">
        <v>20.066680000000002</v>
      </c>
      <c r="J4570">
        <v>-380.75630000000001</v>
      </c>
      <c r="K4570">
        <v>1.1122050000000001</v>
      </c>
      <c r="L4570">
        <v>20.66254</v>
      </c>
      <c r="M4570">
        <v>0.99470040000000004</v>
      </c>
      <c r="N4570">
        <v>-1.430936E-2</v>
      </c>
      <c r="O4570">
        <v>-0.1018157</v>
      </c>
      <c r="P4570">
        <v>0.90597570000000005</v>
      </c>
      <c r="Q4570">
        <v>0.42174</v>
      </c>
      <c r="R4570">
        <v>-3.6654359999999997E-2</v>
      </c>
      <c r="S4570">
        <v>3.4865110000000001</v>
      </c>
      <c r="T4570">
        <v>-0.39768409999999998</v>
      </c>
      <c r="U4570">
        <v>-0.22311400000000001</v>
      </c>
      <c r="V4570">
        <v>-5.67328E-2</v>
      </c>
      <c r="W4570">
        <v>0.43452459999999998</v>
      </c>
      <c r="X4570">
        <v>0.89887139999999999</v>
      </c>
      <c r="Y4570">
        <v>-3.7316189999999999E-2</v>
      </c>
      <c r="Z4570">
        <v>1.247269E-2</v>
      </c>
      <c r="AA4570">
        <v>0.99922569999999999</v>
      </c>
      <c r="AB4570">
        <v>31</v>
      </c>
      <c r="AC4570">
        <v>9.4673000000000194</v>
      </c>
      <c r="AD4570">
        <v>-1.1122092180280001</v>
      </c>
      <c r="AE4570">
        <v>-0.59586000000000106</v>
      </c>
      <c r="AF4570">
        <v>-0.36622119788297602</v>
      </c>
      <c r="AG4570">
        <v>-1.1122092180280001</v>
      </c>
      <c r="AH4570">
        <v>9.35022874204906</v>
      </c>
      <c r="AI4570">
        <v>96.778307783621202</v>
      </c>
      <c r="AJ4570">
        <v>92.242962151677602</v>
      </c>
      <c r="AK4570">
        <v>9.4232640225712494</v>
      </c>
      <c r="AL4570">
        <v>64.244953148931003</v>
      </c>
      <c r="AM4570">
        <v>93.611466572636004</v>
      </c>
      <c r="AN4570">
        <v>1.00000001616947</v>
      </c>
    </row>
    <row r="4571" spans="1:40" x14ac:dyDescent="0.25">
      <c r="A4571" t="str">
        <f>"20190304164737677"</f>
        <v>20190304164737677</v>
      </c>
      <c r="B4571" t="str">
        <f>"1551689257674133"</f>
        <v>1551689257674133</v>
      </c>
      <c r="C4571" t="s">
        <v>40</v>
      </c>
      <c r="D4571">
        <v>4.7631519999999998</v>
      </c>
      <c r="E4571">
        <v>0.52812559999999997</v>
      </c>
      <c r="F4571" t="s">
        <v>41</v>
      </c>
      <c r="G4571">
        <v>-379.78379999999999</v>
      </c>
      <c r="H4571">
        <v>1.0009619999999999</v>
      </c>
      <c r="I4571">
        <v>20.599260000000001</v>
      </c>
      <c r="J4571">
        <v>-380.46030000000002</v>
      </c>
      <c r="K4571">
        <v>1.1123609999999999</v>
      </c>
      <c r="L4571">
        <v>20.633669999999999</v>
      </c>
      <c r="M4571">
        <v>0.99484079999999997</v>
      </c>
      <c r="N4571">
        <v>-1.4309219999999999E-2</v>
      </c>
      <c r="O4571">
        <v>-0.1004364</v>
      </c>
      <c r="P4571">
        <v>0.90628059999999999</v>
      </c>
      <c r="Q4571">
        <v>0.4210604</v>
      </c>
      <c r="R4571">
        <v>-3.6931869999999999E-2</v>
      </c>
      <c r="S4571">
        <v>3.4879150000000001</v>
      </c>
      <c r="T4571">
        <v>-0.39898149999999999</v>
      </c>
      <c r="U4571">
        <v>-0.22698969999999999</v>
      </c>
      <c r="V4571">
        <v>-5.5397950000000001E-2</v>
      </c>
      <c r="W4571">
        <v>0.43383260000000001</v>
      </c>
      <c r="X4571">
        <v>0.8992888</v>
      </c>
      <c r="Y4571">
        <v>-3.4870390000000001E-2</v>
      </c>
      <c r="Z4571">
        <v>1.22176E-2</v>
      </c>
      <c r="AA4571">
        <v>0.99931720000000002</v>
      </c>
      <c r="AB4571">
        <v>30</v>
      </c>
      <c r="AC4571">
        <v>0.67650000000003196</v>
      </c>
      <c r="AD4571">
        <v>-0.111399</v>
      </c>
      <c r="AE4571">
        <v>-3.4410000000001099E-2</v>
      </c>
      <c r="AF4571">
        <v>-3.28283188261781E-2</v>
      </c>
      <c r="AG4571">
        <v>-0.111399</v>
      </c>
      <c r="AH4571">
        <v>0.65871914273255405</v>
      </c>
      <c r="AI4571">
        <v>99.587054293048695</v>
      </c>
      <c r="AJ4571">
        <v>92.853066054098704</v>
      </c>
      <c r="AK4571">
        <v>0.66887842297405897</v>
      </c>
      <c r="AL4571">
        <v>64.288966405814605</v>
      </c>
      <c r="AM4571">
        <v>93.525077660375999</v>
      </c>
      <c r="AN4571">
        <v>1.0000000017462001</v>
      </c>
    </row>
    <row r="4572" spans="1:40" x14ac:dyDescent="0.25">
      <c r="A4572" t="str">
        <f>"20190304164737700"</f>
        <v>20190304164737700</v>
      </c>
      <c r="B4572" t="str">
        <f>"1551689257693653"</f>
        <v>1551689257693653</v>
      </c>
      <c r="C4572" t="s">
        <v>40</v>
      </c>
      <c r="D4572">
        <v>4.8498780000000004</v>
      </c>
      <c r="E4572">
        <v>0.52836229999999995</v>
      </c>
      <c r="F4572" t="s">
        <v>41</v>
      </c>
      <c r="G4572">
        <v>-379.5129</v>
      </c>
      <c r="H4572">
        <v>1.0040100000000001</v>
      </c>
      <c r="I4572">
        <v>20.570720000000001</v>
      </c>
      <c r="J4572">
        <v>-380.13679999999999</v>
      </c>
      <c r="K4572">
        <v>1.112522</v>
      </c>
      <c r="L4572">
        <v>20.602869999999999</v>
      </c>
      <c r="M4572">
        <v>0.99501209999999995</v>
      </c>
      <c r="N4572">
        <v>-1.430966E-2</v>
      </c>
      <c r="O4572">
        <v>-9.8722909999999997E-2</v>
      </c>
      <c r="P4572">
        <v>0.90641320000000003</v>
      </c>
      <c r="Q4572">
        <v>0.42085420000000001</v>
      </c>
      <c r="R4572">
        <v>-3.6013009999999998E-2</v>
      </c>
      <c r="S4572">
        <v>3.486145</v>
      </c>
      <c r="T4572">
        <v>-0.39885739999999997</v>
      </c>
      <c r="U4572">
        <v>-0.2307129</v>
      </c>
      <c r="V4572">
        <v>-5.4936249999999999E-2</v>
      </c>
      <c r="W4572">
        <v>0.43360880000000002</v>
      </c>
      <c r="X4572">
        <v>0.89942509999999998</v>
      </c>
      <c r="Y4572">
        <v>-3.2082090000000001E-2</v>
      </c>
      <c r="Z4572">
        <v>1.1871140000000001E-2</v>
      </c>
      <c r="AA4572">
        <v>0.99941469999999999</v>
      </c>
      <c r="AB4572">
        <v>30</v>
      </c>
      <c r="AC4572">
        <v>0.62389999999999102</v>
      </c>
      <c r="AD4572">
        <v>-0.108511999999999</v>
      </c>
      <c r="AE4572">
        <v>-3.21500000000014E-2</v>
      </c>
      <c r="AF4572">
        <v>-2.8739545835607699E-2</v>
      </c>
      <c r="AG4572">
        <v>-0.108511999999999</v>
      </c>
      <c r="AH4572">
        <v>0.60575043580082999</v>
      </c>
      <c r="AI4572">
        <v>100.14486896271499</v>
      </c>
      <c r="AJ4572">
        <v>92.716334515633406</v>
      </c>
      <c r="AK4572">
        <v>0.61606363803728303</v>
      </c>
      <c r="AL4572">
        <v>64.303198636135207</v>
      </c>
      <c r="AM4572">
        <v>93.495243525105195</v>
      </c>
      <c r="AN4572">
        <v>1.0000000467557499</v>
      </c>
    </row>
    <row r="4573" spans="1:40" x14ac:dyDescent="0.25">
      <c r="A4573" t="str">
        <f>"20190304164737723"</f>
        <v>20190304164737723</v>
      </c>
      <c r="B4573" t="str">
        <f>"1551689257714149"</f>
        <v>1551689257714149</v>
      </c>
      <c r="C4573" t="s">
        <v>40</v>
      </c>
      <c r="D4573">
        <v>4.7887659999999999</v>
      </c>
      <c r="E4573">
        <v>0.52856359999999902</v>
      </c>
      <c r="F4573" t="s">
        <v>41</v>
      </c>
      <c r="G4573">
        <v>-379.24099999999999</v>
      </c>
      <c r="H4573">
        <v>1.009558</v>
      </c>
      <c r="I4573">
        <v>20.543430000000001</v>
      </c>
      <c r="J4573">
        <v>-379.8229</v>
      </c>
      <c r="K4573">
        <v>1.1126590000000001</v>
      </c>
      <c r="L4573">
        <v>20.573699999999999</v>
      </c>
      <c r="M4573">
        <v>0.99519519999999995</v>
      </c>
      <c r="N4573">
        <v>-1.4309830000000001E-2</v>
      </c>
      <c r="O4573">
        <v>-9.6860269999999998E-2</v>
      </c>
      <c r="P4573">
        <v>0.90670110000000004</v>
      </c>
      <c r="Q4573">
        <v>0.42027439999999999</v>
      </c>
      <c r="R4573">
        <v>-3.5533410000000001E-2</v>
      </c>
      <c r="S4573">
        <v>3.4866640000000002</v>
      </c>
      <c r="T4573">
        <v>-0.40082669999999998</v>
      </c>
      <c r="U4573">
        <v>-0.23107910000000001</v>
      </c>
      <c r="V4573">
        <v>-5.3894249999999998E-2</v>
      </c>
      <c r="W4573">
        <v>0.43301919999999999</v>
      </c>
      <c r="X4573">
        <v>0.89977209999999996</v>
      </c>
      <c r="Y4573">
        <v>-3.013267E-2</v>
      </c>
      <c r="Z4573">
        <v>1.1622240000000001E-2</v>
      </c>
      <c r="AA4573">
        <v>0.99947830000000004</v>
      </c>
      <c r="AB4573">
        <v>30</v>
      </c>
      <c r="AC4573">
        <v>0.58190000000001796</v>
      </c>
      <c r="AD4573">
        <v>-0.103101</v>
      </c>
      <c r="AE4573">
        <v>-3.0270000000001501E-2</v>
      </c>
      <c r="AF4573">
        <v>-2.5444500433672398E-2</v>
      </c>
      <c r="AG4573">
        <v>-0.103101</v>
      </c>
      <c r="AH4573">
        <v>0.56442459007802204</v>
      </c>
      <c r="AI4573">
        <v>100.34156750827999</v>
      </c>
      <c r="AJ4573">
        <v>92.581170517640601</v>
      </c>
      <c r="AK4573">
        <v>0.57432774326865199</v>
      </c>
      <c r="AL4573">
        <v>64.340681364412603</v>
      </c>
      <c r="AM4573">
        <v>93.427788133708404</v>
      </c>
      <c r="AN4573">
        <v>1.00000002484505</v>
      </c>
    </row>
    <row r="4574" spans="1:40" x14ac:dyDescent="0.25">
      <c r="A4574" t="str">
        <f>"20190304164737745"</f>
        <v>20190304164737745</v>
      </c>
      <c r="B4574" t="str">
        <f>"1551689257733669"</f>
        <v>1551689257733669</v>
      </c>
      <c r="C4574" t="s">
        <v>40</v>
      </c>
      <c r="D4574">
        <v>4.7719079999999998</v>
      </c>
      <c r="E4574">
        <v>0.52876610000000002</v>
      </c>
      <c r="F4574" t="s">
        <v>41</v>
      </c>
      <c r="G4574">
        <v>-378.97030000000001</v>
      </c>
      <c r="H4574">
        <v>1.0135160000000001</v>
      </c>
      <c r="I4574">
        <v>20.51585</v>
      </c>
      <c r="J4574">
        <v>-379.54300000000001</v>
      </c>
      <c r="K4574">
        <v>1.11277</v>
      </c>
      <c r="L4574">
        <v>20.54834</v>
      </c>
      <c r="M4574">
        <v>0.99537120000000001</v>
      </c>
      <c r="N4574">
        <v>-1.4309860000000001E-2</v>
      </c>
      <c r="O4574">
        <v>-9.5035069999999999E-2</v>
      </c>
      <c r="P4574">
        <v>0.90693860000000004</v>
      </c>
      <c r="Q4574">
        <v>0.41982409999999998</v>
      </c>
      <c r="R4574">
        <v>-3.4792719999999999E-2</v>
      </c>
      <c r="S4574">
        <v>3.4877009999999999</v>
      </c>
      <c r="T4574">
        <v>-0.4058967</v>
      </c>
      <c r="U4574">
        <v>-0.2342834</v>
      </c>
      <c r="V4574">
        <v>-5.3116049999999998E-2</v>
      </c>
      <c r="W4574">
        <v>0.43256050000000001</v>
      </c>
      <c r="X4574">
        <v>0.90003899999999903</v>
      </c>
      <c r="Y4574">
        <v>-2.741592E-2</v>
      </c>
      <c r="Z4574">
        <v>1.141759E-2</v>
      </c>
      <c r="AA4574">
        <v>0.99955890000000003</v>
      </c>
      <c r="AB4574">
        <v>30</v>
      </c>
      <c r="AC4574">
        <v>0.57269999999999699</v>
      </c>
      <c r="AD4574">
        <v>-9.9253999999999898E-2</v>
      </c>
      <c r="AE4574">
        <v>-3.24899999999992E-2</v>
      </c>
      <c r="AF4574">
        <v>-2.1447114854524201E-2</v>
      </c>
      <c r="AG4574">
        <v>-9.9253999999999898E-2</v>
      </c>
      <c r="AH4574">
        <v>0.55653300843778497</v>
      </c>
      <c r="AI4574">
        <v>100.104665213678</v>
      </c>
      <c r="AJ4574">
        <v>92.206915627759699</v>
      </c>
      <c r="AK4574">
        <v>0.56572106619109996</v>
      </c>
      <c r="AL4574">
        <v>64.369835416426199</v>
      </c>
      <c r="AM4574">
        <v>93.377408927054702</v>
      </c>
      <c r="AN4574">
        <v>1.00000005122442</v>
      </c>
    </row>
    <row r="4575" spans="1:40" x14ac:dyDescent="0.25">
      <c r="A4575" t="str">
        <f>"20190304164737765"</f>
        <v>20190304164737765</v>
      </c>
      <c r="B4575" t="str">
        <f>"1551689257754165"</f>
        <v>1551689257754165</v>
      </c>
      <c r="C4575" t="s">
        <v>40</v>
      </c>
      <c r="D4575">
        <v>4.8361879999999999</v>
      </c>
      <c r="E4575">
        <v>0.52901960000000003</v>
      </c>
      <c r="F4575" t="s">
        <v>41</v>
      </c>
      <c r="G4575">
        <v>-378.70139999999998</v>
      </c>
      <c r="H4575">
        <v>1.0137160000000001</v>
      </c>
      <c r="I4575">
        <v>20.491479999999999</v>
      </c>
      <c r="J4575">
        <v>-379.26280000000003</v>
      </c>
      <c r="K4575">
        <v>1.112878</v>
      </c>
      <c r="L4575">
        <v>20.52365</v>
      </c>
      <c r="M4575">
        <v>0.99555669999999996</v>
      </c>
      <c r="N4575">
        <v>-1.4310069999999999E-2</v>
      </c>
      <c r="O4575">
        <v>-9.3072669999999996E-2</v>
      </c>
      <c r="P4575">
        <v>0.90703339999999999</v>
      </c>
      <c r="Q4575">
        <v>0.41959429999999998</v>
      </c>
      <c r="R4575">
        <v>-3.5092470000000001E-2</v>
      </c>
      <c r="S4575">
        <v>3.4889830000000002</v>
      </c>
      <c r="T4575">
        <v>-0.41078880000000001</v>
      </c>
      <c r="U4575">
        <v>-0.2347717</v>
      </c>
      <c r="V4575">
        <v>-5.1156239999999999E-2</v>
      </c>
      <c r="W4575">
        <v>0.43232739999999997</v>
      </c>
      <c r="X4575">
        <v>0.90026439999999996</v>
      </c>
      <c r="Y4575">
        <v>-2.5339230000000001E-2</v>
      </c>
      <c r="Z4575">
        <v>1.1226160000000001E-2</v>
      </c>
      <c r="AA4575">
        <v>0.99961580000000005</v>
      </c>
      <c r="AB4575">
        <v>30</v>
      </c>
      <c r="AC4575">
        <v>0.56140000000004797</v>
      </c>
      <c r="AD4575">
        <v>-9.9161999999999903E-2</v>
      </c>
      <c r="AE4575">
        <v>-3.2170000000000698E-2</v>
      </c>
      <c r="AF4575">
        <v>-1.9616000743760499E-2</v>
      </c>
      <c r="AG4575">
        <v>-9.9161999999999903E-2</v>
      </c>
      <c r="AH4575">
        <v>0.54500881972832305</v>
      </c>
      <c r="AI4575">
        <v>100.30538794971601</v>
      </c>
      <c r="AJ4575">
        <v>92.0613044642554</v>
      </c>
      <c r="AK4575">
        <v>0.55430362014949797</v>
      </c>
      <c r="AL4575">
        <v>64.384645341789707</v>
      </c>
      <c r="AM4575">
        <v>93.252253507590197</v>
      </c>
      <c r="AN4575">
        <v>0.99999996579452799</v>
      </c>
    </row>
    <row r="4576" spans="1:40" x14ac:dyDescent="0.25">
      <c r="A4576" t="str">
        <f>"20190304164737793"</f>
        <v>20190304164737793</v>
      </c>
      <c r="B4576" t="str">
        <f>"1551689257783445"</f>
        <v>1551689257783445</v>
      </c>
      <c r="C4576" t="s">
        <v>40</v>
      </c>
      <c r="D4576">
        <v>5.0090719999999997</v>
      </c>
      <c r="E4576">
        <v>0.5293909</v>
      </c>
      <c r="F4576" t="s">
        <v>41</v>
      </c>
      <c r="G4576">
        <v>-378.43279999999999</v>
      </c>
      <c r="H4576">
        <v>1.0142340000000001</v>
      </c>
      <c r="I4576">
        <v>20.466539999999998</v>
      </c>
      <c r="J4576">
        <v>-378.90550000000002</v>
      </c>
      <c r="K4576">
        <v>1.112997</v>
      </c>
      <c r="L4576">
        <v>20.493040000000001</v>
      </c>
      <c r="M4576">
        <v>0.99579980000000001</v>
      </c>
      <c r="N4576">
        <v>-1.431025E-2</v>
      </c>
      <c r="O4576">
        <v>-9.0432129999999999E-2</v>
      </c>
      <c r="P4576">
        <v>0.90693570000000001</v>
      </c>
      <c r="Q4576">
        <v>0.41984630000000001</v>
      </c>
      <c r="R4576">
        <v>-3.459404E-2</v>
      </c>
      <c r="S4576">
        <v>3.4902039999999999</v>
      </c>
      <c r="T4576">
        <v>-0.41493459999999899</v>
      </c>
      <c r="U4576">
        <v>-0.23934939999999999</v>
      </c>
      <c r="V4576">
        <v>-4.9370339999999999E-2</v>
      </c>
      <c r="W4576">
        <v>0.43257210000000001</v>
      </c>
      <c r="X4576">
        <v>0.90024660000000001</v>
      </c>
      <c r="Y4576">
        <v>-2.1436650000000002E-2</v>
      </c>
      <c r="Z4576">
        <v>1.0813120000000001E-2</v>
      </c>
      <c r="AA4576">
        <v>0.99971180000000004</v>
      </c>
      <c r="AB4576">
        <v>30</v>
      </c>
      <c r="AC4576">
        <v>0.47270000000003098</v>
      </c>
      <c r="AD4576">
        <v>-9.8762999999999906E-2</v>
      </c>
      <c r="AE4576">
        <v>-2.6500000000002098E-2</v>
      </c>
      <c r="AF4576">
        <v>-1.5677995957121001E-2</v>
      </c>
      <c r="AG4576">
        <v>-9.8762999999999906E-2</v>
      </c>
      <c r="AH4576">
        <v>0.45342784739467201</v>
      </c>
      <c r="AI4576">
        <v>102.280789544123</v>
      </c>
      <c r="AJ4576">
        <v>91.9803046571583</v>
      </c>
      <c r="AK4576">
        <v>0.46432396289573202</v>
      </c>
      <c r="AL4576">
        <v>64.369096745196501</v>
      </c>
      <c r="AM4576">
        <v>93.139008149411097</v>
      </c>
      <c r="AN4576">
        <v>0.99999999649084204</v>
      </c>
    </row>
    <row r="4577" spans="1:40" x14ac:dyDescent="0.25">
      <c r="A4577" t="str">
        <f>"20190304164737814"</f>
        <v>20190304164737814</v>
      </c>
      <c r="B4577" t="str">
        <f>"1551689257803941"</f>
        <v>1551689257803941</v>
      </c>
      <c r="C4577" t="s">
        <v>40</v>
      </c>
      <c r="D4577">
        <v>4.7831260000000002</v>
      </c>
      <c r="E4577">
        <v>0.55982790000000004</v>
      </c>
      <c r="F4577" t="s">
        <v>41</v>
      </c>
      <c r="G4577">
        <v>-378.15960000000001</v>
      </c>
      <c r="H4577">
        <v>1.024235</v>
      </c>
      <c r="I4577">
        <v>20.441490000000002</v>
      </c>
      <c r="J4577">
        <v>-378.61520000000002</v>
      </c>
      <c r="K4577">
        <v>1.1130370000000001</v>
      </c>
      <c r="L4577">
        <v>20.469059999999999</v>
      </c>
      <c r="M4577">
        <v>0.99596640000000003</v>
      </c>
      <c r="N4577">
        <v>-1.4135959999999999E-2</v>
      </c>
      <c r="O4577">
        <v>-8.860817E-2</v>
      </c>
      <c r="P4577">
        <v>0.90684569999999998</v>
      </c>
      <c r="Q4577">
        <v>0.42010720000000001</v>
      </c>
      <c r="R4577">
        <v>-3.3779429999999999E-2</v>
      </c>
      <c r="S4577">
        <v>3.4909059999999998</v>
      </c>
      <c r="T4577">
        <v>-0.4153694</v>
      </c>
      <c r="U4577">
        <v>-0.24142459999999999</v>
      </c>
      <c r="V4577">
        <v>-4.8609769999999997E-2</v>
      </c>
      <c r="W4577">
        <v>0.43266759999999899</v>
      </c>
      <c r="X4577">
        <v>0.90024210000000005</v>
      </c>
      <c r="Y4577">
        <v>-1.9053489999999999E-2</v>
      </c>
      <c r="Z4577">
        <v>1.0489460000000001E-2</v>
      </c>
      <c r="AA4577">
        <v>0.99976339999999997</v>
      </c>
      <c r="AB4577">
        <v>30</v>
      </c>
      <c r="AC4577">
        <v>0.455600000000003</v>
      </c>
      <c r="AD4577">
        <v>-8.8802000000000006E-2</v>
      </c>
      <c r="AE4577">
        <v>-2.7570000000000702E-2</v>
      </c>
      <c r="AF4577">
        <v>-1.24414414340016E-2</v>
      </c>
      <c r="AG4577">
        <v>-8.8802000000000006E-2</v>
      </c>
      <c r="AH4577">
        <v>0.43961053085774299</v>
      </c>
      <c r="AI4577">
        <v>101.41570770323899</v>
      </c>
      <c r="AJ4577">
        <v>91.621098244322496</v>
      </c>
      <c r="AK4577">
        <v>0.44866246055356801</v>
      </c>
      <c r="AL4577">
        <v>64.363027759473397</v>
      </c>
      <c r="AM4577">
        <v>93.090760370369395</v>
      </c>
      <c r="AN4577">
        <v>1.00000000022081</v>
      </c>
    </row>
    <row r="4578" spans="1:40" x14ac:dyDescent="0.25">
      <c r="A4578" t="str">
        <f>"20190304164737834"</f>
        <v>20190304164737834</v>
      </c>
      <c r="B4578" t="str">
        <f>"1551689257823461"</f>
        <v>1551689257823461</v>
      </c>
      <c r="C4578" t="s">
        <v>40</v>
      </c>
      <c r="D4578">
        <v>4.9795559999999996</v>
      </c>
      <c r="E4578">
        <v>0.55842669999999905</v>
      </c>
      <c r="F4578" t="s">
        <v>41</v>
      </c>
      <c r="G4578">
        <v>-377.89460000000003</v>
      </c>
      <c r="H4578">
        <v>1.0282610000000001</v>
      </c>
      <c r="I4578">
        <v>20.36862</v>
      </c>
      <c r="J4578">
        <v>-378.34910000000002</v>
      </c>
      <c r="K4578">
        <v>1.112946</v>
      </c>
      <c r="L4578">
        <v>20.447659999999999</v>
      </c>
      <c r="M4578">
        <v>0.99615089999999995</v>
      </c>
      <c r="N4578">
        <v>-1.4154379999999999E-2</v>
      </c>
      <c r="O4578">
        <v>-8.6505470000000001E-2</v>
      </c>
      <c r="P4578">
        <v>0.90682470000000004</v>
      </c>
      <c r="Q4578">
        <v>0.42035620000000001</v>
      </c>
      <c r="R4578">
        <v>-3.113896E-2</v>
      </c>
      <c r="S4578">
        <v>3.4799500000000001</v>
      </c>
      <c r="T4578">
        <v>-0.4096591</v>
      </c>
      <c r="U4578">
        <v>-0.48300169999999998</v>
      </c>
      <c r="V4578">
        <v>-4.9261659999999999E-2</v>
      </c>
      <c r="W4578">
        <v>0.43293540000000003</v>
      </c>
      <c r="X4578">
        <v>0.90007789999999999</v>
      </c>
      <c r="Y4578">
        <v>5.133095E-2</v>
      </c>
      <c r="Z4578">
        <v>5.4948189999999997E-3</v>
      </c>
      <c r="AA4578">
        <v>0.99866659999999996</v>
      </c>
      <c r="AB4578">
        <v>30</v>
      </c>
      <c r="AC4578">
        <v>0.45449999999999502</v>
      </c>
      <c r="AD4578">
        <v>-8.4684999999999899E-2</v>
      </c>
      <c r="AE4578">
        <v>-7.9039999999999097E-2</v>
      </c>
      <c r="AF4578">
        <v>3.81378053902676E-2</v>
      </c>
      <c r="AG4578">
        <v>-8.4684999999999899E-2</v>
      </c>
      <c r="AH4578">
        <v>0.44465011821997202</v>
      </c>
      <c r="AI4578">
        <v>100.74449646839101</v>
      </c>
      <c r="AJ4578">
        <v>85.097717575564701</v>
      </c>
      <c r="AK4578">
        <v>0.454246374843015</v>
      </c>
      <c r="AL4578">
        <v>64.346007209506396</v>
      </c>
      <c r="AM4578">
        <v>93.132697832821805</v>
      </c>
      <c r="AN4578">
        <v>0.99999999889376201</v>
      </c>
    </row>
    <row r="4579" spans="1:40" x14ac:dyDescent="0.25">
      <c r="A4579" t="str">
        <f>"20190304164737856"</f>
        <v>20190304164737856</v>
      </c>
      <c r="B4579" t="str">
        <f>"1551689257843957"</f>
        <v>1551689257843957</v>
      </c>
      <c r="C4579" t="s">
        <v>40</v>
      </c>
      <c r="D4579">
        <v>5.1256550000000001</v>
      </c>
      <c r="E4579">
        <v>0.55727349999999998</v>
      </c>
      <c r="F4579" t="s">
        <v>41</v>
      </c>
      <c r="G4579">
        <v>-377.63040000000001</v>
      </c>
      <c r="H4579">
        <v>1.0196459999999901</v>
      </c>
      <c r="I4579">
        <v>20.352959999999999</v>
      </c>
      <c r="J4579">
        <v>-378.06049999999999</v>
      </c>
      <c r="K4579">
        <v>1.112784</v>
      </c>
      <c r="L4579">
        <v>20.42502</v>
      </c>
      <c r="M4579">
        <v>0.99637450000000005</v>
      </c>
      <c r="N4579">
        <v>-1.4236840000000001E-2</v>
      </c>
      <c r="O4579">
        <v>-8.3876919999999994E-2</v>
      </c>
      <c r="P4579">
        <v>0.90691489999999997</v>
      </c>
      <c r="Q4579">
        <v>0.42034759999999999</v>
      </c>
      <c r="R4579">
        <v>-2.85195E-2</v>
      </c>
      <c r="S4579">
        <v>3.5032960000000002</v>
      </c>
      <c r="T4579">
        <v>-0.45495279999999999</v>
      </c>
      <c r="U4579">
        <v>-0.46063229999999999</v>
      </c>
      <c r="V4579">
        <v>-4.9340200000000001E-2</v>
      </c>
      <c r="W4579">
        <v>0.43301699999999999</v>
      </c>
      <c r="X4579">
        <v>0.90003429999999995</v>
      </c>
      <c r="Y4579">
        <v>4.6851139999999999E-2</v>
      </c>
      <c r="Z4579">
        <v>6.2363770000000004E-3</v>
      </c>
      <c r="AA4579">
        <v>0.99888239999999995</v>
      </c>
      <c r="AB4579">
        <v>30</v>
      </c>
      <c r="AC4579">
        <v>0.430099999999981</v>
      </c>
      <c r="AD4579">
        <v>-9.3138000000000096E-2</v>
      </c>
      <c r="AE4579">
        <v>-7.2060000000000402E-2</v>
      </c>
      <c r="AF4579">
        <v>3.4168367066890797E-2</v>
      </c>
      <c r="AG4579">
        <v>-9.3138000000000096E-2</v>
      </c>
      <c r="AH4579">
        <v>0.41566880551736501</v>
      </c>
      <c r="AI4579">
        <v>102.588437996244</v>
      </c>
      <c r="AJ4579">
        <v>85.300798150377105</v>
      </c>
      <c r="AK4579">
        <v>0.42734379629550101</v>
      </c>
      <c r="AL4579">
        <v>64.340819404212397</v>
      </c>
      <c r="AM4579">
        <v>93.137834150666393</v>
      </c>
      <c r="AN4579">
        <v>0.99999995940076403</v>
      </c>
    </row>
    <row r="4580" spans="1:40" x14ac:dyDescent="0.25">
      <c r="A4580" t="str">
        <f>"20190304164737879"</f>
        <v>20190304164737879</v>
      </c>
      <c r="B4580" t="str">
        <f>"1551689257874213"</f>
        <v>1551689257874213</v>
      </c>
      <c r="C4580" t="s">
        <v>40</v>
      </c>
      <c r="D4580">
        <v>4.9706140000000003</v>
      </c>
      <c r="E4580">
        <v>0.55724600000000002</v>
      </c>
      <c r="F4580" t="s">
        <v>41</v>
      </c>
      <c r="G4580">
        <v>-377.11450000000002</v>
      </c>
      <c r="H4580">
        <v>0.98376640000000004</v>
      </c>
      <c r="I4580">
        <v>20.306609999999999</v>
      </c>
      <c r="J4580">
        <v>-377.75009999999997</v>
      </c>
      <c r="K4580">
        <v>1.112665</v>
      </c>
      <c r="L4580">
        <v>20.40137</v>
      </c>
      <c r="M4580">
        <v>0.99659249999999999</v>
      </c>
      <c r="N4580">
        <v>-1.425157E-2</v>
      </c>
      <c r="O4580">
        <v>-8.1241880000000002E-2</v>
      </c>
      <c r="P4580">
        <v>0.90744360000000002</v>
      </c>
      <c r="Q4580">
        <v>0.4193364</v>
      </c>
      <c r="R4580">
        <v>-2.6518099999999999E-2</v>
      </c>
      <c r="S4580">
        <v>3.5163570000000002</v>
      </c>
      <c r="T4580">
        <v>-0.47951440000000001</v>
      </c>
      <c r="U4580">
        <v>-0.44003300000000001</v>
      </c>
      <c r="V4580">
        <v>-4.8905659999999997E-2</v>
      </c>
      <c r="W4580">
        <v>0.43203550000000002</v>
      </c>
      <c r="X4580">
        <v>0.90052960000000004</v>
      </c>
      <c r="Y4580">
        <v>4.3293520000000002E-2</v>
      </c>
      <c r="Z4580">
        <v>6.5730519999999898E-3</v>
      </c>
      <c r="AA4580">
        <v>0.99904079999999995</v>
      </c>
      <c r="AB4580">
        <v>30</v>
      </c>
      <c r="AC4580">
        <v>0.63559999999995398</v>
      </c>
      <c r="AD4580">
        <v>-0.128898599999999</v>
      </c>
      <c r="AE4580">
        <v>-9.4760000000000802E-2</v>
      </c>
      <c r="AF4580">
        <v>4.1148587677452102E-2</v>
      </c>
      <c r="AG4580">
        <v>-0.128898599999999</v>
      </c>
      <c r="AH4580">
        <v>0.61639831865195704</v>
      </c>
      <c r="AI4580">
        <v>101.78575101150599</v>
      </c>
      <c r="AJ4580">
        <v>86.180801518385906</v>
      </c>
      <c r="AK4580">
        <v>0.63107443506037297</v>
      </c>
      <c r="AL4580">
        <v>64.403192358397902</v>
      </c>
      <c r="AM4580">
        <v>93.108546374500406</v>
      </c>
      <c r="AN4580">
        <v>0.99999999865822198</v>
      </c>
    </row>
    <row r="4581" spans="1:40" x14ac:dyDescent="0.25">
      <c r="A4581" t="str">
        <f>"20190304164737902"</f>
        <v>20190304164737902</v>
      </c>
      <c r="B4581" t="str">
        <f>"1551689257893733"</f>
        <v>1551689257893733</v>
      </c>
      <c r="C4581" t="s">
        <v>40</v>
      </c>
      <c r="D4581">
        <v>5.0352290000000002</v>
      </c>
      <c r="E4581">
        <v>0.55746200000000001</v>
      </c>
      <c r="F4581" t="s">
        <v>41</v>
      </c>
      <c r="G4581">
        <v>-376.84660000000002</v>
      </c>
      <c r="H4581">
        <v>0.98506340000000003</v>
      </c>
      <c r="I4581">
        <v>20.29064</v>
      </c>
      <c r="J4581">
        <v>-377.44139999999999</v>
      </c>
      <c r="K4581">
        <v>1.1126149999999999</v>
      </c>
      <c r="L4581">
        <v>20.37848</v>
      </c>
      <c r="M4581">
        <v>0.99676989999999999</v>
      </c>
      <c r="N4581">
        <v>-1.4220460000000001E-2</v>
      </c>
      <c r="O4581">
        <v>-7.9041730000000004E-2</v>
      </c>
      <c r="P4581">
        <v>0.90817740000000002</v>
      </c>
      <c r="Q4581">
        <v>0.41785</v>
      </c>
      <c r="R4581">
        <v>-2.4802299999999999E-2</v>
      </c>
      <c r="S4581">
        <v>3.5234990000000002</v>
      </c>
      <c r="T4581">
        <v>-0.49789830000000002</v>
      </c>
      <c r="U4581">
        <v>-0.43011470000000002</v>
      </c>
      <c r="V4581">
        <v>-4.866442E-2</v>
      </c>
      <c r="W4581">
        <v>0.43053239999999998</v>
      </c>
      <c r="X4581">
        <v>0.90126229999999996</v>
      </c>
      <c r="Y4581">
        <v>4.2489579999999999E-2</v>
      </c>
      <c r="Z4581">
        <v>6.653178E-3</v>
      </c>
      <c r="AA4581">
        <v>0.99907480000000004</v>
      </c>
      <c r="AB4581">
        <v>30</v>
      </c>
      <c r="AC4581">
        <v>0.59479999999996302</v>
      </c>
      <c r="AD4581">
        <v>-0.12755159999999899</v>
      </c>
      <c r="AE4581">
        <v>-8.7839999999999904E-2</v>
      </c>
      <c r="AF4581">
        <v>3.8800148168781801E-2</v>
      </c>
      <c r="AG4581">
        <v>-0.12755159999999899</v>
      </c>
      <c r="AH4581">
        <v>0.57404744331996205</v>
      </c>
      <c r="AI4581">
        <v>102.499808029417</v>
      </c>
      <c r="AJ4581">
        <v>86.133231423225794</v>
      </c>
      <c r="AK4581">
        <v>0.58932616549977102</v>
      </c>
      <c r="AL4581">
        <v>64.498649130718107</v>
      </c>
      <c r="AM4581">
        <v>93.090732666237002</v>
      </c>
      <c r="AN4581">
        <v>1.00000005331249</v>
      </c>
    </row>
    <row r="4582" spans="1:40" x14ac:dyDescent="0.25">
      <c r="A4582" t="str">
        <f>"20190304164737923"</f>
        <v>20190304164737923</v>
      </c>
      <c r="B4582" t="str">
        <f>"1551689257914230"</f>
        <v>1551689257914230</v>
      </c>
      <c r="C4582" t="s">
        <v>40</v>
      </c>
      <c r="D4582">
        <v>5.0091559999999999</v>
      </c>
      <c r="E4582">
        <v>0.55743669999999901</v>
      </c>
      <c r="F4582" t="s">
        <v>41</v>
      </c>
      <c r="G4582">
        <v>-376.57749999999999</v>
      </c>
      <c r="H4582">
        <v>0.98929889999999998</v>
      </c>
      <c r="I4582">
        <v>20.27392</v>
      </c>
      <c r="J4582">
        <v>-377.15710000000001</v>
      </c>
      <c r="K4582">
        <v>1.112552</v>
      </c>
      <c r="L4582">
        <v>20.35791</v>
      </c>
      <c r="M4582">
        <v>0.99690489999999998</v>
      </c>
      <c r="N4582">
        <v>-1.419087E-2</v>
      </c>
      <c r="O4582">
        <v>-7.7327419999999994E-2</v>
      </c>
      <c r="P4582">
        <v>0.90903310000000004</v>
      </c>
      <c r="Q4582">
        <v>0.41608800000000001</v>
      </c>
      <c r="R4582">
        <v>-2.301711E-2</v>
      </c>
      <c r="S4582">
        <v>3.5231020000000002</v>
      </c>
      <c r="T4582">
        <v>-0.50295329999999905</v>
      </c>
      <c r="U4582">
        <v>-0.42584230000000001</v>
      </c>
      <c r="V4582">
        <v>-4.8915140000000003E-2</v>
      </c>
      <c r="W4582">
        <v>0.42875750000000001</v>
      </c>
      <c r="X4582">
        <v>0.90209439999999996</v>
      </c>
      <c r="Y4582">
        <v>4.3013570000000001E-2</v>
      </c>
      <c r="Z4582">
        <v>6.4808740000000002E-3</v>
      </c>
      <c r="AA4582">
        <v>0.99905350000000004</v>
      </c>
      <c r="AB4582">
        <v>30</v>
      </c>
      <c r="AC4582">
        <v>0.57960000000002698</v>
      </c>
      <c r="AD4582">
        <v>-0.12325309999999901</v>
      </c>
      <c r="AE4582">
        <v>-8.3989999999999995E-2</v>
      </c>
      <c r="AF4582">
        <v>3.7264507556464002E-2</v>
      </c>
      <c r="AG4582">
        <v>-0.12325309999999901</v>
      </c>
      <c r="AH4582">
        <v>0.55957551402538097</v>
      </c>
      <c r="AI4582">
        <v>102.395121159857</v>
      </c>
      <c r="AJ4582">
        <v>86.190056415596302</v>
      </c>
      <c r="AK4582">
        <v>0.57419920417900705</v>
      </c>
      <c r="AL4582">
        <v>64.611266095471294</v>
      </c>
      <c r="AM4582">
        <v>93.103765093980797</v>
      </c>
      <c r="AN4582">
        <v>0.99999999561941399</v>
      </c>
    </row>
    <row r="4583" spans="1:40" x14ac:dyDescent="0.25">
      <c r="A4583" t="str">
        <f>"20190304164737937"</f>
        <v>20190304164737937</v>
      </c>
      <c r="B4583" t="str">
        <f>"1551689257923990"</f>
        <v>1551689257923990</v>
      </c>
      <c r="C4583" t="s">
        <v>40</v>
      </c>
      <c r="D4583">
        <v>5.0156720000000004</v>
      </c>
      <c r="E4583">
        <v>0.5574055</v>
      </c>
      <c r="F4583" t="s">
        <v>41</v>
      </c>
      <c r="G4583">
        <v>-376.31079999999997</v>
      </c>
      <c r="H4583">
        <v>0.98916550000000003</v>
      </c>
      <c r="I4583">
        <v>20.2561</v>
      </c>
      <c r="J4583">
        <v>-376.97890000000001</v>
      </c>
      <c r="K4583">
        <v>1.1124879999999999</v>
      </c>
      <c r="L4583">
        <v>20.345210000000002</v>
      </c>
      <c r="M4583">
        <v>0.99698019999999998</v>
      </c>
      <c r="N4583">
        <v>-1.417619E-2</v>
      </c>
      <c r="O4583">
        <v>-7.6351080000000002E-2</v>
      </c>
      <c r="P4583">
        <v>0.90942590000000001</v>
      </c>
      <c r="Q4583">
        <v>0.41527429999999899</v>
      </c>
      <c r="R4583">
        <v>-2.2183439999999999E-2</v>
      </c>
      <c r="S4583">
        <v>3.524689</v>
      </c>
      <c r="T4583">
        <v>-0.5139108</v>
      </c>
      <c r="U4583">
        <v>-0.4230042</v>
      </c>
      <c r="V4583">
        <v>-4.883407E-2</v>
      </c>
      <c r="W4583">
        <v>0.42794179999999998</v>
      </c>
      <c r="X4583">
        <v>0.90248600000000001</v>
      </c>
      <c r="Y4583">
        <v>4.3146410000000003E-2</v>
      </c>
      <c r="Z4583">
        <v>6.5120300000000002E-3</v>
      </c>
      <c r="AA4583">
        <v>0.99904749999999998</v>
      </c>
      <c r="AB4583">
        <v>30</v>
      </c>
      <c r="AC4583">
        <v>0.668100000000038</v>
      </c>
      <c r="AD4583">
        <v>-0.123322499999999</v>
      </c>
      <c r="AE4583">
        <v>-8.9110000000001494E-2</v>
      </c>
      <c r="AF4583">
        <v>3.6609000223889902E-2</v>
      </c>
      <c r="AG4583">
        <v>-0.123322499999999</v>
      </c>
      <c r="AH4583">
        <v>0.65115517369874298</v>
      </c>
      <c r="AI4583">
        <v>100.7077318259</v>
      </c>
      <c r="AJ4583">
        <v>86.782125900794298</v>
      </c>
      <c r="AK4583">
        <v>0.66374070098064797</v>
      </c>
      <c r="AL4583">
        <v>64.662986716606895</v>
      </c>
      <c r="AM4583">
        <v>93.097289153767704</v>
      </c>
      <c r="AN4583">
        <v>0.99999996538800096</v>
      </c>
    </row>
    <row r="4584" spans="1:40" x14ac:dyDescent="0.25">
      <c r="A4584" t="str">
        <f>"20190304164737956"</f>
        <v>20190304164737956</v>
      </c>
      <c r="B4584" t="str">
        <f>"1551689257943510"</f>
        <v>1551689257943510</v>
      </c>
      <c r="C4584" t="s">
        <v>40</v>
      </c>
      <c r="D4584">
        <v>5.0191889999999999</v>
      </c>
      <c r="E4584">
        <v>0.55792509999999995</v>
      </c>
      <c r="F4584" t="s">
        <v>41</v>
      </c>
      <c r="G4584">
        <v>-376.05130000000003</v>
      </c>
      <c r="H4584">
        <v>0.97580549999999999</v>
      </c>
      <c r="I4584">
        <v>20.23434</v>
      </c>
      <c r="J4584">
        <v>-376.71660000000003</v>
      </c>
      <c r="K4584">
        <v>1.1123320000000001</v>
      </c>
      <c r="L4584">
        <v>20.326750000000001</v>
      </c>
      <c r="M4584">
        <v>0.99707880000000004</v>
      </c>
      <c r="N4584">
        <v>-1.416093E-2</v>
      </c>
      <c r="O4584">
        <v>-7.5055860000000002E-2</v>
      </c>
      <c r="P4584">
        <v>0.90986679999999998</v>
      </c>
      <c r="Q4584">
        <v>0.41436840000000003</v>
      </c>
      <c r="R4584">
        <v>-2.1015120000000002E-2</v>
      </c>
      <c r="S4584">
        <v>3.5256959999999999</v>
      </c>
      <c r="T4584">
        <v>-0.51943279999999903</v>
      </c>
      <c r="U4584">
        <v>-0.42141719999999999</v>
      </c>
      <c r="V4584">
        <v>-4.8702870000000002E-2</v>
      </c>
      <c r="W4584">
        <v>0.4270448</v>
      </c>
      <c r="X4584">
        <v>0.90291790000000005</v>
      </c>
      <c r="Y4584">
        <v>4.3951980000000002E-2</v>
      </c>
      <c r="Z4584">
        <v>6.3609490000000003E-3</v>
      </c>
      <c r="AA4584">
        <v>0.99901340000000005</v>
      </c>
      <c r="AB4584">
        <v>30</v>
      </c>
      <c r="AC4584">
        <v>0.665300000000002</v>
      </c>
      <c r="AD4584">
        <v>-0.136526499999999</v>
      </c>
      <c r="AE4584">
        <v>-9.2410000000001005E-2</v>
      </c>
      <c r="AF4584">
        <v>4.0534949044512998E-2</v>
      </c>
      <c r="AG4584">
        <v>-0.136526499999999</v>
      </c>
      <c r="AH4584">
        <v>0.64376305803976197</v>
      </c>
      <c r="AI4584">
        <v>101.950652599251</v>
      </c>
      <c r="AJ4584">
        <v>86.397091347572797</v>
      </c>
      <c r="AK4584">
        <v>0.65932802321226802</v>
      </c>
      <c r="AL4584">
        <v>64.719838137536101</v>
      </c>
      <c r="AM4584">
        <v>93.087509242949295</v>
      </c>
      <c r="AN4584">
        <v>0.99999998244684296</v>
      </c>
    </row>
    <row r="4585" spans="1:40" x14ac:dyDescent="0.25">
      <c r="A4585" t="str">
        <f>"20190304164737979"</f>
        <v>20190304164737979</v>
      </c>
      <c r="B4585" t="str">
        <f>"1551689257973765"</f>
        <v>1551689257973765</v>
      </c>
      <c r="C4585" t="s">
        <v>40</v>
      </c>
      <c r="D4585">
        <v>5.0568939999999998</v>
      </c>
      <c r="E4585">
        <v>0.55786659999999999</v>
      </c>
      <c r="F4585" t="s">
        <v>41</v>
      </c>
      <c r="G4585">
        <v>-375.78489999999999</v>
      </c>
      <c r="H4585">
        <v>0.97626610000000003</v>
      </c>
      <c r="I4585">
        <v>20.214569999999998</v>
      </c>
      <c r="J4585">
        <v>-376.4083</v>
      </c>
      <c r="K4585">
        <v>1.112093</v>
      </c>
      <c r="L4585">
        <v>20.30518</v>
      </c>
      <c r="M4585">
        <v>0.99717579999999995</v>
      </c>
      <c r="N4585">
        <v>-1.4150619999999999E-2</v>
      </c>
      <c r="O4585">
        <v>-7.3758699999999996E-2</v>
      </c>
      <c r="P4585">
        <v>0.91023909999999997</v>
      </c>
      <c r="Q4585">
        <v>0.41356680000000001</v>
      </c>
      <c r="R4585">
        <v>-2.0669420000000001E-2</v>
      </c>
      <c r="S4585">
        <v>3.5216370000000001</v>
      </c>
      <c r="T4585">
        <v>-0.51429799999999903</v>
      </c>
      <c r="U4585">
        <v>-0.42276000000000002</v>
      </c>
      <c r="V4585">
        <v>-4.7643999999999999E-2</v>
      </c>
      <c r="W4585">
        <v>0.42626979999999998</v>
      </c>
      <c r="X4585">
        <v>0.90334049999999999</v>
      </c>
      <c r="Y4585">
        <v>4.5727610000000002E-2</v>
      </c>
      <c r="Z4585">
        <v>5.98484E-3</v>
      </c>
      <c r="AA4585">
        <v>0.99893600000000005</v>
      </c>
      <c r="AB4585">
        <v>30</v>
      </c>
      <c r="AC4585">
        <v>0.62340000000000295</v>
      </c>
      <c r="AD4585">
        <v>-0.135826899999999</v>
      </c>
      <c r="AE4585">
        <v>-9.0609999999997998E-2</v>
      </c>
      <c r="AF4585">
        <v>4.2405918412318798E-2</v>
      </c>
      <c r="AG4585">
        <v>-0.135826899999999</v>
      </c>
      <c r="AH4585">
        <v>0.60046975639908196</v>
      </c>
      <c r="AI4585">
        <v>102.715231776557</v>
      </c>
      <c r="AJ4585">
        <v>85.960407763605502</v>
      </c>
      <c r="AK4585">
        <v>0.61709896858605695</v>
      </c>
      <c r="AL4585">
        <v>64.768935239705002</v>
      </c>
      <c r="AM4585">
        <v>93.019097621749395</v>
      </c>
      <c r="AN4585">
        <v>0.99999997603414403</v>
      </c>
    </row>
    <row r="4586" spans="1:40" x14ac:dyDescent="0.25">
      <c r="A4586" t="str">
        <f>"20190304164738003"</f>
        <v>20190304164738003</v>
      </c>
      <c r="B4586" t="str">
        <f>"1551689257994261"</f>
        <v>1551689257994261</v>
      </c>
      <c r="C4586" t="s">
        <v>40</v>
      </c>
      <c r="D4586">
        <v>5.0802370000000003</v>
      </c>
      <c r="E4586">
        <v>0.55801049999999996</v>
      </c>
      <c r="F4586" t="s">
        <v>41</v>
      </c>
      <c r="G4586">
        <v>-375.51679999999999</v>
      </c>
      <c r="H4586">
        <v>0.97977380000000003</v>
      </c>
      <c r="I4586">
        <v>20.199010000000001</v>
      </c>
      <c r="J4586">
        <v>-376.09300000000002</v>
      </c>
      <c r="K4586">
        <v>1.1118440000000001</v>
      </c>
      <c r="L4586">
        <v>20.283080000000002</v>
      </c>
      <c r="M4586">
        <v>0.99725220000000003</v>
      </c>
      <c r="N4586">
        <v>-1.414728E-2</v>
      </c>
      <c r="O4586">
        <v>-7.2719850000000003E-2</v>
      </c>
      <c r="P4586">
        <v>0.91044780000000003</v>
      </c>
      <c r="Q4586">
        <v>0.4130896</v>
      </c>
      <c r="R4586">
        <v>-2.102741E-2</v>
      </c>
      <c r="S4586">
        <v>3.5239560000000001</v>
      </c>
      <c r="T4586">
        <v>-0.52308009999999905</v>
      </c>
      <c r="U4586">
        <v>-0.41967769999999999</v>
      </c>
      <c r="V4586">
        <v>-4.6081919999999998E-2</v>
      </c>
      <c r="W4586">
        <v>0.42582629999999999</v>
      </c>
      <c r="X4586">
        <v>0.90363070000000001</v>
      </c>
      <c r="Y4586">
        <v>4.582522E-2</v>
      </c>
      <c r="Z4586">
        <v>5.9595990000000003E-3</v>
      </c>
      <c r="AA4586">
        <v>0.99893169999999998</v>
      </c>
      <c r="AB4586">
        <v>30</v>
      </c>
      <c r="AC4586">
        <v>0.57620000000002802</v>
      </c>
      <c r="AD4586">
        <v>-0.132070199999999</v>
      </c>
      <c r="AE4586">
        <v>-8.4069999999996897E-2</v>
      </c>
      <c r="AF4586">
        <v>3.9889999121773601E-2</v>
      </c>
      <c r="AG4586">
        <v>-0.132070199999999</v>
      </c>
      <c r="AH4586">
        <v>0.55237332323940402</v>
      </c>
      <c r="AI4586">
        <v>103.41308087688699</v>
      </c>
      <c r="AJ4586">
        <v>85.869518317664998</v>
      </c>
      <c r="AK4586">
        <v>0.56934175851110602</v>
      </c>
      <c r="AL4586">
        <v>64.797023590337801</v>
      </c>
      <c r="AM4586">
        <v>92.919349990435407</v>
      </c>
      <c r="AN4586">
        <v>1.00000001155253</v>
      </c>
    </row>
    <row r="4587" spans="1:40" x14ac:dyDescent="0.25">
      <c r="A4587" t="str">
        <f>"20190304164738025"</f>
        <v>20190304164738025</v>
      </c>
      <c r="B4587" t="str">
        <f>"1551689258013781"</f>
        <v>1551689258013781</v>
      </c>
      <c r="C4587" t="s">
        <v>40</v>
      </c>
      <c r="D4587">
        <v>5.068257</v>
      </c>
      <c r="E4587">
        <v>0.55822939999999999</v>
      </c>
      <c r="F4587" t="s">
        <v>41</v>
      </c>
      <c r="G4587">
        <v>-375.24790000000002</v>
      </c>
      <c r="H4587">
        <v>0.98581249999999998</v>
      </c>
      <c r="I4587">
        <v>20.182359999999999</v>
      </c>
      <c r="J4587">
        <v>-375.79969999999997</v>
      </c>
      <c r="K4587">
        <v>1.1116280000000001</v>
      </c>
      <c r="L4587">
        <v>20.262450000000001</v>
      </c>
      <c r="M4587">
        <v>0.99729939999999995</v>
      </c>
      <c r="N4587">
        <v>-1.4148559999999999E-2</v>
      </c>
      <c r="O4587">
        <v>-7.2069910000000001E-2</v>
      </c>
      <c r="P4587">
        <v>0.91060129999999995</v>
      </c>
      <c r="Q4587">
        <v>0.41269869999999997</v>
      </c>
      <c r="R4587">
        <v>-2.203488E-2</v>
      </c>
      <c r="S4587">
        <v>3.5238649999999998</v>
      </c>
      <c r="T4587">
        <v>-0.52555160000000001</v>
      </c>
      <c r="U4587">
        <v>-0.41867070000000001</v>
      </c>
      <c r="V4587">
        <v>-4.4251020000000002E-2</v>
      </c>
      <c r="W4587">
        <v>0.42546859999999997</v>
      </c>
      <c r="X4587">
        <v>0.90389070000000005</v>
      </c>
      <c r="Y4587">
        <v>4.6189470000000003E-2</v>
      </c>
      <c r="Z4587">
        <v>5.8779590000000003E-3</v>
      </c>
      <c r="AA4587">
        <v>0.99891540000000001</v>
      </c>
      <c r="AB4587">
        <v>30</v>
      </c>
      <c r="AC4587">
        <v>0.55179999999995699</v>
      </c>
      <c r="AD4587">
        <v>-0.1258155</v>
      </c>
      <c r="AE4587">
        <v>-8.0090000000001896E-2</v>
      </c>
      <c r="AF4587">
        <v>3.8166281365259798E-2</v>
      </c>
      <c r="AG4587">
        <v>-0.1258155</v>
      </c>
      <c r="AH4587">
        <v>0.52919326636119102</v>
      </c>
      <c r="AI4587">
        <v>103.340349693687</v>
      </c>
      <c r="AJ4587">
        <v>85.874877366982005</v>
      </c>
      <c r="AK4587">
        <v>0.54528132027012299</v>
      </c>
      <c r="AL4587">
        <v>64.819673208883898</v>
      </c>
      <c r="AM4587">
        <v>92.802743804735002</v>
      </c>
      <c r="AN4587">
        <v>1.0000000399517399</v>
      </c>
    </row>
    <row r="4588" spans="1:40" x14ac:dyDescent="0.25">
      <c r="A4588" t="str">
        <f>"20190304164738045"</f>
        <v>20190304164738045</v>
      </c>
      <c r="B4588" t="str">
        <f>"1551689258034278"</f>
        <v>1551689258034278</v>
      </c>
      <c r="C4588" t="s">
        <v>40</v>
      </c>
      <c r="D4588">
        <v>5.0799669999999999</v>
      </c>
      <c r="E4588">
        <v>0.55849550000000003</v>
      </c>
      <c r="F4588" t="s">
        <v>41</v>
      </c>
      <c r="G4588">
        <v>-374.98059999999998</v>
      </c>
      <c r="H4588">
        <v>0.98927880000000001</v>
      </c>
      <c r="I4588">
        <v>20.16441</v>
      </c>
      <c r="J4588">
        <v>-375.53100000000001</v>
      </c>
      <c r="K4588">
        <v>1.11145</v>
      </c>
      <c r="L4588">
        <v>20.243469999999999</v>
      </c>
      <c r="M4588">
        <v>0.99732129999999997</v>
      </c>
      <c r="N4588">
        <v>-1.41517E-2</v>
      </c>
      <c r="O4588">
        <v>-7.1764960000000003E-2</v>
      </c>
      <c r="P4588">
        <v>0.91076789999999996</v>
      </c>
      <c r="Q4588">
        <v>0.41225279999999997</v>
      </c>
      <c r="R4588">
        <v>-2.3449390000000001E-2</v>
      </c>
      <c r="S4588">
        <v>3.5228579999999998</v>
      </c>
      <c r="T4588">
        <v>-0.52618229999999999</v>
      </c>
      <c r="U4588">
        <v>-0.4207458</v>
      </c>
      <c r="V4588">
        <v>-4.2363650000000003E-2</v>
      </c>
      <c r="W4588">
        <v>0.4250526</v>
      </c>
      <c r="X4588">
        <v>0.9041768</v>
      </c>
      <c r="Y4588">
        <v>4.709547E-2</v>
      </c>
      <c r="Z4588">
        <v>5.7738030000000001E-3</v>
      </c>
      <c r="AA4588">
        <v>0.99887369999999998</v>
      </c>
      <c r="AB4588">
        <v>30</v>
      </c>
      <c r="AC4588">
        <v>0.55040000000002398</v>
      </c>
      <c r="AD4588">
        <v>-0.12217119999999999</v>
      </c>
      <c r="AE4588">
        <v>-7.9060000000001907E-2</v>
      </c>
      <c r="AF4588">
        <v>3.7540501717281703E-2</v>
      </c>
      <c r="AG4588">
        <v>-0.12217119999999999</v>
      </c>
      <c r="AH4588">
        <v>0.52911258734779398</v>
      </c>
      <c r="AI4588">
        <v>102.970140432522</v>
      </c>
      <c r="AJ4588">
        <v>85.9416689974788</v>
      </c>
      <c r="AK4588">
        <v>0.54433006665854999</v>
      </c>
      <c r="AL4588">
        <v>64.846008173441504</v>
      </c>
      <c r="AM4588">
        <v>92.682533499445796</v>
      </c>
      <c r="AN4588">
        <v>1.00000003863316</v>
      </c>
    </row>
    <row r="4589" spans="1:40" x14ac:dyDescent="0.25">
      <c r="A4589" t="str">
        <f>"20190304164738059"</f>
        <v>20190304164738059</v>
      </c>
      <c r="B4589" t="str">
        <f>"1551689258053798"</f>
        <v>1551689258053798</v>
      </c>
      <c r="C4589" t="s">
        <v>40</v>
      </c>
      <c r="D4589">
        <v>5.1252630000000003</v>
      </c>
      <c r="E4589">
        <v>0.55848019999999998</v>
      </c>
      <c r="F4589" t="s">
        <v>41</v>
      </c>
      <c r="G4589">
        <v>-374.7149</v>
      </c>
      <c r="H4589">
        <v>0.99017860000000002</v>
      </c>
      <c r="I4589">
        <v>20.144729999999999</v>
      </c>
      <c r="J4589">
        <v>-375.34820000000002</v>
      </c>
      <c r="K4589">
        <v>1.111329</v>
      </c>
      <c r="L4589">
        <v>20.23047</v>
      </c>
      <c r="M4589">
        <v>0.99732549999999998</v>
      </c>
      <c r="N4589">
        <v>-1.4154440000000001E-2</v>
      </c>
      <c r="O4589">
        <v>-7.1705630000000006E-2</v>
      </c>
      <c r="P4589">
        <v>0.91083740000000002</v>
      </c>
      <c r="Q4589">
        <v>0.41205760000000002</v>
      </c>
      <c r="R4589">
        <v>-2.4162070000000001E-2</v>
      </c>
      <c r="S4589">
        <v>3.519714</v>
      </c>
      <c r="T4589">
        <v>-0.52300379999999902</v>
      </c>
      <c r="U4589">
        <v>-0.42437740000000002</v>
      </c>
      <c r="V4589">
        <v>-4.1465469999999997E-2</v>
      </c>
      <c r="W4589">
        <v>0.42487609999999998</v>
      </c>
      <c r="X4589">
        <v>0.90430129999999997</v>
      </c>
      <c r="Y4589">
        <v>4.8259789999999997E-2</v>
      </c>
      <c r="Z4589">
        <v>5.6347680000000001E-3</v>
      </c>
      <c r="AA4589">
        <v>0.99881889999999995</v>
      </c>
      <c r="AB4589">
        <v>30</v>
      </c>
      <c r="AC4589">
        <v>0.63330000000001896</v>
      </c>
      <c r="AD4589">
        <v>-0.12115040000000001</v>
      </c>
      <c r="AE4589">
        <v>-8.5740000000001204E-2</v>
      </c>
      <c r="AF4589">
        <v>3.8712319786708603E-2</v>
      </c>
      <c r="AG4589">
        <v>-0.12115040000000001</v>
      </c>
      <c r="AH4589">
        <v>0.61569195851913905</v>
      </c>
      <c r="AI4589">
        <v>101.110543981823</v>
      </c>
      <c r="AJ4589">
        <v>86.402200048283603</v>
      </c>
      <c r="AK4589">
        <v>0.62869122063900496</v>
      </c>
      <c r="AL4589">
        <v>64.857177815307196</v>
      </c>
      <c r="AM4589">
        <v>92.625378781301194</v>
      </c>
      <c r="AN4589">
        <v>0.99999996336760899</v>
      </c>
    </row>
    <row r="4590" spans="1:40" x14ac:dyDescent="0.25">
      <c r="A4590" t="str">
        <f>"20190304164738081"</f>
        <v>20190304164738081</v>
      </c>
      <c r="B4590" t="str">
        <f>"1551689258073317"</f>
        <v>1551689258073317</v>
      </c>
      <c r="C4590" t="s">
        <v>40</v>
      </c>
      <c r="D4590">
        <v>5.2131379999999998</v>
      </c>
      <c r="E4590">
        <v>0.55863850000000004</v>
      </c>
      <c r="F4590" t="s">
        <v>41</v>
      </c>
      <c r="G4590">
        <v>-374.45609999999999</v>
      </c>
      <c r="H4590">
        <v>0.97795030000000005</v>
      </c>
      <c r="I4590">
        <v>20.122599999999998</v>
      </c>
      <c r="J4590">
        <v>-375.0659</v>
      </c>
      <c r="K4590">
        <v>1.1111420000000001</v>
      </c>
      <c r="L4590">
        <v>20.210170000000002</v>
      </c>
      <c r="M4590">
        <v>0.99731429999999999</v>
      </c>
      <c r="N4590">
        <v>-1.4159430000000001E-2</v>
      </c>
      <c r="O4590">
        <v>-7.1858679999999994E-2</v>
      </c>
      <c r="P4590">
        <v>0.91079399999999999</v>
      </c>
      <c r="Q4590">
        <v>0.41205940000000002</v>
      </c>
      <c r="R4590">
        <v>-2.5722829999999999E-2</v>
      </c>
      <c r="S4590">
        <v>3.520508</v>
      </c>
      <c r="T4590">
        <v>-0.52644679999999999</v>
      </c>
      <c r="U4590">
        <v>-0.42630000000000001</v>
      </c>
      <c r="V4590">
        <v>-3.983445E-2</v>
      </c>
      <c r="W4590">
        <v>0.4249037</v>
      </c>
      <c r="X4590">
        <v>0.90436170000000005</v>
      </c>
      <c r="Y4590">
        <v>4.8616319999999998E-2</v>
      </c>
      <c r="Z4590">
        <v>5.6694830000000003E-3</v>
      </c>
      <c r="AA4590">
        <v>0.99880139999999995</v>
      </c>
      <c r="AB4590">
        <v>30</v>
      </c>
      <c r="AC4590">
        <v>0.609800000000007</v>
      </c>
      <c r="AD4590">
        <v>-0.1331917</v>
      </c>
      <c r="AE4590">
        <v>-8.7570000000003007E-2</v>
      </c>
      <c r="AF4590">
        <v>4.1576359381750201E-2</v>
      </c>
      <c r="AG4590">
        <v>-0.1331917</v>
      </c>
      <c r="AH4590">
        <v>0.58707502484542395</v>
      </c>
      <c r="AI4590">
        <v>102.75161827256299</v>
      </c>
      <c r="AJ4590">
        <v>85.949104830736601</v>
      </c>
      <c r="AK4590">
        <v>0.60342829516487295</v>
      </c>
      <c r="AL4590">
        <v>64.855432207665402</v>
      </c>
      <c r="AM4590">
        <v>92.522078893530704</v>
      </c>
      <c r="AN4590">
        <v>1.00000001105369</v>
      </c>
    </row>
    <row r="4591" spans="1:40" x14ac:dyDescent="0.25">
      <c r="A4591" t="str">
        <f>"20190304164738103"</f>
        <v>20190304164738103</v>
      </c>
      <c r="B4591" t="str">
        <f>"1551689258093816"</f>
        <v>1551689258093816</v>
      </c>
      <c r="C4591" t="s">
        <v>40</v>
      </c>
      <c r="D4591">
        <v>5.5206569999999999</v>
      </c>
      <c r="E4591">
        <v>0.55854559999999998</v>
      </c>
      <c r="F4591" t="s">
        <v>41</v>
      </c>
      <c r="G4591">
        <v>-374.1902</v>
      </c>
      <c r="H4591">
        <v>0.98013620000000001</v>
      </c>
      <c r="I4591">
        <v>20.102319999999999</v>
      </c>
      <c r="J4591">
        <v>-374.76949999999999</v>
      </c>
      <c r="K4591">
        <v>1.110957</v>
      </c>
      <c r="L4591">
        <v>20.18854</v>
      </c>
      <c r="M4591">
        <v>0.99728399999999995</v>
      </c>
      <c r="N4591">
        <v>-1.4165240000000001E-2</v>
      </c>
      <c r="O4591">
        <v>-7.2279209999999997E-2</v>
      </c>
      <c r="P4591">
        <v>0.91065010000000002</v>
      </c>
      <c r="Q4591">
        <v>0.4122555</v>
      </c>
      <c r="R4591">
        <v>-2.760628E-2</v>
      </c>
      <c r="S4591">
        <v>3.5198059999999902</v>
      </c>
      <c r="T4591">
        <v>-0.52657339999999997</v>
      </c>
      <c r="U4591">
        <v>-0.43267820000000001</v>
      </c>
      <c r="V4591">
        <v>-3.8113699999999903E-2</v>
      </c>
      <c r="W4591">
        <v>0.42512470000000002</v>
      </c>
      <c r="X4591">
        <v>0.90433200000000002</v>
      </c>
      <c r="Y4591">
        <v>4.9989529999999997E-2</v>
      </c>
      <c r="Z4591">
        <v>5.615653E-3</v>
      </c>
      <c r="AA4591">
        <v>0.99873389999999995</v>
      </c>
      <c r="AB4591">
        <v>30</v>
      </c>
      <c r="AC4591">
        <v>0.57929999999998905</v>
      </c>
      <c r="AD4591">
        <v>-0.13082079999999999</v>
      </c>
      <c r="AE4591">
        <v>-8.6219999999997299E-2</v>
      </c>
      <c r="AF4591">
        <v>4.2022320954425901E-2</v>
      </c>
      <c r="AG4591">
        <v>-0.13082079999999999</v>
      </c>
      <c r="AH4591">
        <v>0.55626390468650799</v>
      </c>
      <c r="AI4591">
        <v>103.197908771835</v>
      </c>
      <c r="AJ4591">
        <v>85.679861510147106</v>
      </c>
      <c r="AK4591">
        <v>0.57298297429166001</v>
      </c>
      <c r="AL4591">
        <v>64.841443645649306</v>
      </c>
      <c r="AM4591">
        <v>92.413342175757606</v>
      </c>
      <c r="AN4591">
        <v>1.0000000154508899</v>
      </c>
    </row>
    <row r="4592" spans="1:40" x14ac:dyDescent="0.25">
      <c r="A4592" t="str">
        <f>"20190304164738123"</f>
        <v>20190304164738123</v>
      </c>
      <c r="B4592" t="str">
        <f>"1551689258113333"</f>
        <v>1551689258113333</v>
      </c>
      <c r="C4592" t="s">
        <v>40</v>
      </c>
      <c r="D4592">
        <v>5.0686669999999996</v>
      </c>
      <c r="E4592">
        <v>0.51876049999999996</v>
      </c>
      <c r="F4592" t="s">
        <v>41</v>
      </c>
      <c r="G4592">
        <v>-373.92309999999998</v>
      </c>
      <c r="H4592">
        <v>0.98526950000000002</v>
      </c>
      <c r="I4592">
        <v>20.083030000000001</v>
      </c>
      <c r="J4592">
        <v>-374.5027</v>
      </c>
      <c r="K4592">
        <v>1.110806</v>
      </c>
      <c r="L4592">
        <v>20.168759999999999</v>
      </c>
      <c r="M4592">
        <v>0.99724219999999997</v>
      </c>
      <c r="N4592">
        <v>-1.4170469999999999E-2</v>
      </c>
      <c r="O4592">
        <v>-7.2849940000000002E-2</v>
      </c>
      <c r="P4592">
        <v>0.91018869999999996</v>
      </c>
      <c r="Q4592">
        <v>0.4131185</v>
      </c>
      <c r="R4592">
        <v>-2.9830430000000002E-2</v>
      </c>
      <c r="S4592">
        <v>3.5175169999999998</v>
      </c>
      <c r="T4592">
        <v>-0.52222590000000002</v>
      </c>
      <c r="U4592">
        <v>-0.43704219999999999</v>
      </c>
      <c r="V4592">
        <v>-3.6199729999999999E-2</v>
      </c>
      <c r="W4592">
        <v>0.4260024</v>
      </c>
      <c r="X4592">
        <v>0.90399750000000001</v>
      </c>
      <c r="Y4592">
        <v>5.0711310000000002E-2</v>
      </c>
      <c r="Z4592">
        <v>5.579133E-3</v>
      </c>
      <c r="AA4592">
        <v>0.99869779999999997</v>
      </c>
      <c r="AB4592">
        <v>30</v>
      </c>
      <c r="AC4592">
        <v>0.57960000000002698</v>
      </c>
      <c r="AD4592">
        <v>-0.125536499999999</v>
      </c>
      <c r="AE4592">
        <v>-8.5730000000001597E-2</v>
      </c>
      <c r="AF4592">
        <v>4.13746844929452E-2</v>
      </c>
      <c r="AG4592">
        <v>-0.125536499999999</v>
      </c>
      <c r="AH4592">
        <v>0.55865902318203697</v>
      </c>
      <c r="AI4592">
        <v>102.631110910972</v>
      </c>
      <c r="AJ4592">
        <v>85.764366668266007</v>
      </c>
      <c r="AK4592">
        <v>0.57408290475492196</v>
      </c>
      <c r="AL4592">
        <v>64.785870690350606</v>
      </c>
      <c r="AM4592">
        <v>92.293130449359595</v>
      </c>
      <c r="AN4592">
        <v>0.99999997263204099</v>
      </c>
    </row>
    <row r="4593" spans="1:40" x14ac:dyDescent="0.25">
      <c r="A4593" t="str">
        <f>"20190304164738146"</f>
        <v>20190304164738146</v>
      </c>
      <c r="B4593" t="str">
        <f>"1551689258133833"</f>
        <v>1551689258133833</v>
      </c>
      <c r="C4593" t="s">
        <v>40</v>
      </c>
      <c r="D4593">
        <v>5.07843</v>
      </c>
      <c r="E4593">
        <v>0.50981369999999904</v>
      </c>
      <c r="F4593" t="s">
        <v>56</v>
      </c>
      <c r="G4593">
        <v>-361.8623</v>
      </c>
      <c r="H4593" s="1">
        <v>-3.8566859999999999E-6</v>
      </c>
      <c r="I4593">
        <v>19.652049999999999</v>
      </c>
      <c r="J4593">
        <v>-374.19569999999999</v>
      </c>
      <c r="K4593">
        <v>1.1106309999999999</v>
      </c>
      <c r="L4593">
        <v>20.145569999999999</v>
      </c>
      <c r="M4593">
        <v>0.99717929999999999</v>
      </c>
      <c r="N4593">
        <v>-1.417595E-2</v>
      </c>
      <c r="O4593">
        <v>-7.3706980000000005E-2</v>
      </c>
      <c r="P4593">
        <v>0.90996489999999997</v>
      </c>
      <c r="Q4593">
        <v>0.41341600000000001</v>
      </c>
      <c r="R4593">
        <v>-3.2423680000000003E-2</v>
      </c>
      <c r="S4593">
        <v>3.4281619999999999</v>
      </c>
      <c r="T4593">
        <v>-0.30125940000000001</v>
      </c>
      <c r="U4593">
        <v>-0.1401367</v>
      </c>
      <c r="V4593">
        <v>-3.4183560000000002E-2</v>
      </c>
      <c r="W4593">
        <v>0.42631809999999998</v>
      </c>
      <c r="X4593">
        <v>0.90392720000000004</v>
      </c>
      <c r="Y4593">
        <v>-3.2575600000000003E-2</v>
      </c>
      <c r="Z4593">
        <v>7.0708380000000003E-3</v>
      </c>
      <c r="AA4593">
        <v>0.9994442</v>
      </c>
      <c r="AB4593">
        <v>30</v>
      </c>
      <c r="AC4593">
        <v>12.3333999999999</v>
      </c>
      <c r="AD4593">
        <v>-1.11063485668599</v>
      </c>
      <c r="AE4593">
        <v>-0.49352000000000301</v>
      </c>
      <c r="AF4593">
        <v>-0.41362280939766599</v>
      </c>
      <c r="AG4593">
        <v>-1.11063485668599</v>
      </c>
      <c r="AH4593">
        <v>12.237150577723799</v>
      </c>
      <c r="AI4593">
        <v>95.182971324950501</v>
      </c>
      <c r="AJ4593">
        <v>91.9358936685868</v>
      </c>
      <c r="AK4593">
        <v>12.294407178682</v>
      </c>
      <c r="AL4593">
        <v>64.765876881968097</v>
      </c>
      <c r="AM4593">
        <v>92.165706333699106</v>
      </c>
      <c r="AN4593">
        <v>1.00000001053086</v>
      </c>
    </row>
    <row r="4594" spans="1:40" x14ac:dyDescent="0.25">
      <c r="A4594" t="str">
        <f>"20190304164738168"</f>
        <v>20190304164738168</v>
      </c>
      <c r="B4594" t="str">
        <f>"1551689258164085"</f>
        <v>1551689258164085</v>
      </c>
      <c r="C4594" t="s">
        <v>40</v>
      </c>
      <c r="D4594">
        <v>5.005744</v>
      </c>
      <c r="E4594">
        <v>0.50615650000000001</v>
      </c>
      <c r="F4594" t="s">
        <v>56</v>
      </c>
      <c r="G4594">
        <v>-362.91969999999998</v>
      </c>
      <c r="H4594" s="1">
        <v>-3.4229470000000001E-6</v>
      </c>
      <c r="I4594">
        <v>19.900490000000001</v>
      </c>
      <c r="J4594">
        <v>-373.89819999999997</v>
      </c>
      <c r="K4594">
        <v>1.1104799999999999</v>
      </c>
      <c r="L4594">
        <v>20.122620000000001</v>
      </c>
      <c r="M4594">
        <v>0.99710379999999998</v>
      </c>
      <c r="N4594">
        <v>-1.4180689999999999E-2</v>
      </c>
      <c r="O4594">
        <v>-7.4721060000000006E-2</v>
      </c>
      <c r="P4594">
        <v>0.90981290000000004</v>
      </c>
      <c r="Q4594">
        <v>0.41354360000000001</v>
      </c>
      <c r="R4594">
        <v>-3.4967430000000001E-2</v>
      </c>
      <c r="S4594">
        <v>3.4485169999999998</v>
      </c>
      <c r="T4594">
        <v>-0.3396631</v>
      </c>
      <c r="U4594">
        <v>-7.4951169999999998E-2</v>
      </c>
      <c r="V4594">
        <v>-3.2387579999999999E-2</v>
      </c>
      <c r="W4594">
        <v>0.42646089999999998</v>
      </c>
      <c r="X4594">
        <v>0.90392600000000001</v>
      </c>
      <c r="Y4594">
        <v>-5.2487859999999997E-2</v>
      </c>
      <c r="Z4594">
        <v>9.2277430000000001E-3</v>
      </c>
      <c r="AA4594">
        <v>0.99857890000000005</v>
      </c>
      <c r="AB4594">
        <v>30</v>
      </c>
      <c r="AC4594">
        <v>10.978499999999899</v>
      </c>
      <c r="AD4594">
        <v>-1.110483422947</v>
      </c>
      <c r="AE4594">
        <v>-0.22213000000000299</v>
      </c>
      <c r="AF4594">
        <v>-0.59283551688322</v>
      </c>
      <c r="AG4594">
        <v>-1.110483422947</v>
      </c>
      <c r="AH4594">
        <v>10.853401761290399</v>
      </c>
      <c r="AI4594">
        <v>95.833345813800094</v>
      </c>
      <c r="AJ4594">
        <v>93.126508459936503</v>
      </c>
      <c r="AK4594">
        <v>10.9261593057533</v>
      </c>
      <c r="AL4594">
        <v>64.756832211408906</v>
      </c>
      <c r="AM4594">
        <v>92.052024348458801</v>
      </c>
      <c r="AN4594">
        <v>1.00000003402153</v>
      </c>
    </row>
    <row r="4595" spans="1:40" x14ac:dyDescent="0.25">
      <c r="A4595" t="str">
        <f>"20190304164738193"</f>
        <v>20190304164738193</v>
      </c>
      <c r="B4595" t="str">
        <f>"1551689258183466"</f>
        <v>1551689258183466</v>
      </c>
      <c r="C4595" t="s">
        <v>40</v>
      </c>
      <c r="D4595">
        <v>4.9771749999999999</v>
      </c>
      <c r="E4595">
        <v>0.50537540000000003</v>
      </c>
      <c r="F4595" t="s">
        <v>56</v>
      </c>
      <c r="G4595">
        <v>-363.05110000000002</v>
      </c>
      <c r="H4595" s="1">
        <v>-3.3746179999999999E-6</v>
      </c>
      <c r="I4595">
        <v>19.952220000000001</v>
      </c>
      <c r="J4595">
        <v>-373.5865</v>
      </c>
      <c r="K4595">
        <v>1.1103350000000001</v>
      </c>
      <c r="L4595">
        <v>20.098020000000002</v>
      </c>
      <c r="M4595">
        <v>0.99700940000000005</v>
      </c>
      <c r="N4595">
        <v>-1.418521E-2</v>
      </c>
      <c r="O4595">
        <v>-7.5968560000000004E-2</v>
      </c>
      <c r="P4595">
        <v>0.90941450000000001</v>
      </c>
      <c r="Q4595">
        <v>0.41425810000000002</v>
      </c>
      <c r="R4595">
        <v>-3.6824080000000002E-2</v>
      </c>
      <c r="S4595">
        <v>3.4560849999999999</v>
      </c>
      <c r="T4595">
        <v>-0.35381889999999999</v>
      </c>
      <c r="U4595">
        <v>-5.4290770000000002E-2</v>
      </c>
      <c r="V4595">
        <v>-3.1478680000000002E-2</v>
      </c>
      <c r="W4595">
        <v>0.42718620000000002</v>
      </c>
      <c r="X4595">
        <v>0.90361550000000002</v>
      </c>
      <c r="Y4595">
        <v>-5.9656529999999999E-2</v>
      </c>
      <c r="Z4595">
        <v>1.0143630000000001E-2</v>
      </c>
      <c r="AA4595">
        <v>0.99816740000000004</v>
      </c>
      <c r="AB4595">
        <v>30</v>
      </c>
      <c r="AC4595">
        <v>10.5353999999999</v>
      </c>
      <c r="AD4595">
        <v>-1.110338374618</v>
      </c>
      <c r="AE4595">
        <v>-0.14580000000000101</v>
      </c>
      <c r="AF4595">
        <v>-0.64786637408774095</v>
      </c>
      <c r="AG4595">
        <v>-1.110338374618</v>
      </c>
      <c r="AH4595">
        <v>10.400526458295101</v>
      </c>
      <c r="AI4595">
        <v>96.081996829860799</v>
      </c>
      <c r="AJ4595">
        <v>93.564445400504397</v>
      </c>
      <c r="AK4595">
        <v>10.4796723591207</v>
      </c>
      <c r="AL4595">
        <v>64.710877626876794</v>
      </c>
      <c r="AM4595">
        <v>91.995169894208402</v>
      </c>
      <c r="AN4595">
        <v>0.99999996430261495</v>
      </c>
    </row>
    <row r="4596" spans="1:40" x14ac:dyDescent="0.25">
      <c r="A4596" t="str">
        <f>"20190304164738215"</f>
        <v>20190304164738215</v>
      </c>
      <c r="B4596" t="str">
        <f>"1551689258203962"</f>
        <v>1551689258203962</v>
      </c>
      <c r="C4596" t="s">
        <v>40</v>
      </c>
      <c r="D4596">
        <v>4.9300569999999997</v>
      </c>
      <c r="E4596">
        <v>0.50470300000000001</v>
      </c>
      <c r="F4596" t="s">
        <v>56</v>
      </c>
      <c r="G4596">
        <v>-362.84390000000002</v>
      </c>
      <c r="H4596" s="1">
        <v>-3.4655859999999999E-6</v>
      </c>
      <c r="I4596">
        <v>19.926020000000001</v>
      </c>
      <c r="J4596">
        <v>-373.28890000000001</v>
      </c>
      <c r="K4596">
        <v>1.110212</v>
      </c>
      <c r="L4596">
        <v>20.073969999999999</v>
      </c>
      <c r="M4596">
        <v>0.99690369999999995</v>
      </c>
      <c r="N4596">
        <v>-1.418906E-2</v>
      </c>
      <c r="O4596">
        <v>-7.7340539999999999E-2</v>
      </c>
      <c r="P4596">
        <v>0.90933129999999995</v>
      </c>
      <c r="Q4596">
        <v>0.4142805</v>
      </c>
      <c r="R4596">
        <v>-3.8580139999999999E-2</v>
      </c>
      <c r="S4596">
        <v>3.4594420000000001</v>
      </c>
      <c r="T4596">
        <v>-0.35756329999999997</v>
      </c>
      <c r="U4596">
        <v>-5.5389399999999998E-2</v>
      </c>
      <c r="V4596">
        <v>-3.0830929999999999E-2</v>
      </c>
      <c r="W4596">
        <v>0.42722159999999898</v>
      </c>
      <c r="X4596">
        <v>0.90362109999999995</v>
      </c>
      <c r="Y4596">
        <v>-6.0703750000000001E-2</v>
      </c>
      <c r="Z4596">
        <v>1.0429600000000001E-2</v>
      </c>
      <c r="AA4596">
        <v>0.99810140000000003</v>
      </c>
      <c r="AB4596">
        <v>30</v>
      </c>
      <c r="AC4596">
        <v>10.444999999999901</v>
      </c>
      <c r="AD4596">
        <v>-1.1102154655859999</v>
      </c>
      <c r="AE4596">
        <v>-0.147950000000001</v>
      </c>
      <c r="AF4596">
        <v>-0.65302028420240499</v>
      </c>
      <c r="AG4596">
        <v>-1.1102154655859999</v>
      </c>
      <c r="AH4596">
        <v>10.3087084498456</v>
      </c>
      <c r="AI4596">
        <v>96.134680955611401</v>
      </c>
      <c r="AJ4596">
        <v>93.624642228423895</v>
      </c>
      <c r="AK4596">
        <v>10.388863449652399</v>
      </c>
      <c r="AL4596">
        <v>64.708634424625103</v>
      </c>
      <c r="AM4596">
        <v>91.954134510286593</v>
      </c>
      <c r="AN4596">
        <v>0.99999996705821603</v>
      </c>
    </row>
    <row r="4597" spans="1:40" x14ac:dyDescent="0.25">
      <c r="A4597" t="str">
        <f>"20190304164738236"</f>
        <v>20190304164738236</v>
      </c>
      <c r="B4597" t="str">
        <f>"1551689258223482"</f>
        <v>1551689258223482</v>
      </c>
      <c r="C4597" t="s">
        <v>40</v>
      </c>
      <c r="D4597">
        <v>4.9707169999999996</v>
      </c>
      <c r="E4597">
        <v>0.50425359999999997</v>
      </c>
      <c r="F4597" t="s">
        <v>56</v>
      </c>
      <c r="G4597">
        <v>-362.69650000000001</v>
      </c>
      <c r="H4597" s="1">
        <v>-3.5298800000000002E-6</v>
      </c>
      <c r="I4597">
        <v>19.905819999999999</v>
      </c>
      <c r="J4597">
        <v>-373.01960000000003</v>
      </c>
      <c r="K4597">
        <v>1.110104</v>
      </c>
      <c r="L4597">
        <v>20.051670000000001</v>
      </c>
      <c r="M4597">
        <v>0.99679499999999999</v>
      </c>
      <c r="N4597">
        <v>-1.419257E-2</v>
      </c>
      <c r="O4597">
        <v>-7.8729579999999993E-2</v>
      </c>
      <c r="P4597">
        <v>0.90917499999999996</v>
      </c>
      <c r="Q4597">
        <v>0.41461870000000001</v>
      </c>
      <c r="R4597">
        <v>-3.8630860000000003E-2</v>
      </c>
      <c r="S4597">
        <v>3.462097</v>
      </c>
      <c r="T4597">
        <v>-0.36286950000000001</v>
      </c>
      <c r="U4597">
        <v>-5.4962160000000003E-2</v>
      </c>
      <c r="V4597">
        <v>-3.1910870000000001E-2</v>
      </c>
      <c r="W4597">
        <v>0.42757200000000001</v>
      </c>
      <c r="X4597">
        <v>0.9034179</v>
      </c>
      <c r="Y4597">
        <v>-6.2195189999999997E-2</v>
      </c>
      <c r="Z4597">
        <v>1.079837E-2</v>
      </c>
      <c r="AA4597">
        <v>0.99800560000000005</v>
      </c>
      <c r="AB4597">
        <v>29</v>
      </c>
      <c r="AC4597">
        <v>10.3231</v>
      </c>
      <c r="AD4597">
        <v>-1.1101075298799901</v>
      </c>
      <c r="AE4597">
        <v>-0.14584999999999901</v>
      </c>
      <c r="AF4597">
        <v>-0.65978966700570696</v>
      </c>
      <c r="AG4597">
        <v>-1.1101075298799901</v>
      </c>
      <c r="AH4597">
        <v>10.1847808210878</v>
      </c>
      <c r="AI4597">
        <v>96.207584740567896</v>
      </c>
      <c r="AJ4597">
        <v>93.706551363246206</v>
      </c>
      <c r="AK4597">
        <v>10.2663246347552</v>
      </c>
      <c r="AL4597">
        <v>64.686428721827298</v>
      </c>
      <c r="AM4597">
        <v>92.0229822146906</v>
      </c>
      <c r="AN4597">
        <v>1.0000000104242801</v>
      </c>
    </row>
    <row r="4598" spans="1:40" x14ac:dyDescent="0.25">
      <c r="A4598" t="str">
        <f>"20190304164738258"</f>
        <v>20190304164738258</v>
      </c>
      <c r="B4598" t="str">
        <f>"1551689258253739"</f>
        <v>1551689258253739</v>
      </c>
      <c r="C4598" t="s">
        <v>40</v>
      </c>
      <c r="D4598">
        <v>4.9813090000000004</v>
      </c>
      <c r="E4598">
        <v>0.50382079999999996</v>
      </c>
      <c r="F4598" t="s">
        <v>56</v>
      </c>
      <c r="G4598">
        <v>-362.50310000000002</v>
      </c>
      <c r="H4598" s="1">
        <v>-3.6192680000000002E-6</v>
      </c>
      <c r="I4598">
        <v>19.898250000000001</v>
      </c>
      <c r="J4598">
        <v>-372.72309999999999</v>
      </c>
      <c r="K4598">
        <v>1.1100030000000001</v>
      </c>
      <c r="L4598">
        <v>20.026489999999999</v>
      </c>
      <c r="M4598">
        <v>0.99666270000000001</v>
      </c>
      <c r="N4598">
        <v>-1.419628E-2</v>
      </c>
      <c r="O4598">
        <v>-8.0386940000000004E-2</v>
      </c>
      <c r="P4598">
        <v>0.90918030000000005</v>
      </c>
      <c r="Q4598">
        <v>0.41466380000000003</v>
      </c>
      <c r="R4598">
        <v>-3.8018570000000002E-2</v>
      </c>
      <c r="S4598">
        <v>3.4643549999999999</v>
      </c>
      <c r="T4598">
        <v>-0.36569430000000003</v>
      </c>
      <c r="U4598">
        <v>-5.0537110000000003E-2</v>
      </c>
      <c r="V4598">
        <v>-3.3912829999999998E-2</v>
      </c>
      <c r="W4598">
        <v>0.42763449999999997</v>
      </c>
      <c r="X4598">
        <v>0.90331539999999999</v>
      </c>
      <c r="Y4598">
        <v>-6.5103519999999998E-2</v>
      </c>
      <c r="Z4598">
        <v>1.120401E-2</v>
      </c>
      <c r="AA4598">
        <v>0.99781560000000002</v>
      </c>
      <c r="AB4598">
        <v>29</v>
      </c>
      <c r="AC4598">
        <v>10.219999999999899</v>
      </c>
      <c r="AD4598">
        <v>-1.110006619268</v>
      </c>
      <c r="AE4598">
        <v>-0.12823999999999799</v>
      </c>
      <c r="AF4598">
        <v>-0.68572456821016103</v>
      </c>
      <c r="AG4598">
        <v>-1.110006619268</v>
      </c>
      <c r="AH4598">
        <v>10.0783589419247</v>
      </c>
      <c r="AI4598">
        <v>96.270708010901998</v>
      </c>
      <c r="AJ4598">
        <v>93.892366214585394</v>
      </c>
      <c r="AK4598">
        <v>10.1624628826156</v>
      </c>
      <c r="AL4598">
        <v>64.682467804001703</v>
      </c>
      <c r="AM4598">
        <v>92.150024143899699</v>
      </c>
      <c r="AN4598">
        <v>1.000000028753</v>
      </c>
    </row>
    <row r="4599" spans="1:40" x14ac:dyDescent="0.25">
      <c r="A4599" t="str">
        <f>"20190304164738281"</f>
        <v>20190304164738281</v>
      </c>
      <c r="B4599" t="str">
        <f>"1551689258274234"</f>
        <v>1551689258274234</v>
      </c>
      <c r="C4599" t="s">
        <v>40</v>
      </c>
      <c r="D4599">
        <v>4.9982739999999897</v>
      </c>
      <c r="E4599">
        <v>0.50370769999999998</v>
      </c>
      <c r="F4599" t="s">
        <v>56</v>
      </c>
      <c r="G4599">
        <v>-362.37240000000003</v>
      </c>
      <c r="H4599" s="1">
        <v>-3.678537E-6</v>
      </c>
      <c r="I4599">
        <v>19.888739999999999</v>
      </c>
      <c r="J4599">
        <v>-372.4212</v>
      </c>
      <c r="K4599">
        <v>1.1099019999999999</v>
      </c>
      <c r="L4599">
        <v>20.000209999999999</v>
      </c>
      <c r="M4599">
        <v>0.99651420000000002</v>
      </c>
      <c r="N4599">
        <v>-1.419955E-2</v>
      </c>
      <c r="O4599">
        <v>-8.2207370000000002E-2</v>
      </c>
      <c r="P4599">
        <v>0.90922219999999998</v>
      </c>
      <c r="Q4599">
        <v>0.41460530000000001</v>
      </c>
      <c r="R4599">
        <v>-3.7652199999999997E-2</v>
      </c>
      <c r="S4599">
        <v>3.467346</v>
      </c>
      <c r="T4599">
        <v>-0.37183820000000001</v>
      </c>
      <c r="U4599">
        <v>-4.6142580000000002E-2</v>
      </c>
      <c r="V4599">
        <v>-3.5829859999999998E-2</v>
      </c>
      <c r="W4599">
        <v>0.42759360000000002</v>
      </c>
      <c r="X4599">
        <v>0.90326070000000003</v>
      </c>
      <c r="Y4599">
        <v>-6.8150509999999997E-2</v>
      </c>
      <c r="Z4599">
        <v>1.1745179999999999E-2</v>
      </c>
      <c r="AA4599">
        <v>0.99760590000000005</v>
      </c>
      <c r="AB4599">
        <v>29</v>
      </c>
      <c r="AC4599">
        <v>10.0487999999999</v>
      </c>
      <c r="AD4599">
        <v>-1.1099056785369901</v>
      </c>
      <c r="AE4599">
        <v>-0.11147</v>
      </c>
      <c r="AF4599">
        <v>-0.70645857770369003</v>
      </c>
      <c r="AG4599">
        <v>-1.1099056785369901</v>
      </c>
      <c r="AH4599">
        <v>9.9031459578132104</v>
      </c>
      <c r="AI4599">
        <v>96.378724015220499</v>
      </c>
      <c r="AJ4599">
        <v>94.080384372290595</v>
      </c>
      <c r="AK4599">
        <v>9.9901588675562092</v>
      </c>
      <c r="AL4599">
        <v>64.6850588171217</v>
      </c>
      <c r="AM4599">
        <v>92.271574568507802</v>
      </c>
      <c r="AN4599">
        <v>0.99999997889653403</v>
      </c>
    </row>
    <row r="4600" spans="1:40" x14ac:dyDescent="0.25">
      <c r="A4600" t="str">
        <f>"20190304164738304"</f>
        <v>20190304164738304</v>
      </c>
      <c r="B4600" t="str">
        <f>"1551689258293770"</f>
        <v>1551689258293770</v>
      </c>
      <c r="C4600" t="s">
        <v>40</v>
      </c>
      <c r="D4600">
        <v>4.9012070000000003</v>
      </c>
      <c r="E4600">
        <v>0.50276940000000003</v>
      </c>
      <c r="F4600" t="s">
        <v>56</v>
      </c>
      <c r="G4600">
        <v>-362.16699999999997</v>
      </c>
      <c r="H4600" s="1">
        <v>-3.7718890000000002E-6</v>
      </c>
      <c r="I4600">
        <v>19.874639999999999</v>
      </c>
      <c r="J4600">
        <v>-372.1241</v>
      </c>
      <c r="K4600">
        <v>1.1098129999999999</v>
      </c>
      <c r="L4600">
        <v>19.97363</v>
      </c>
      <c r="M4600">
        <v>0.9963533</v>
      </c>
      <c r="N4600">
        <v>-1.4202609999999999E-2</v>
      </c>
      <c r="O4600">
        <v>-8.413284E-2</v>
      </c>
      <c r="P4600">
        <v>0.90894140000000001</v>
      </c>
      <c r="Q4600">
        <v>0.41514020000000001</v>
      </c>
      <c r="R4600">
        <v>-3.8522899999999999E-2</v>
      </c>
      <c r="S4600">
        <v>3.4689939999999999</v>
      </c>
      <c r="T4600">
        <v>-0.37547900000000001</v>
      </c>
      <c r="U4600">
        <v>-4.2480469999999999E-2</v>
      </c>
      <c r="V4600">
        <v>-3.6587330000000001E-2</v>
      </c>
      <c r="W4600">
        <v>0.42813970000000001</v>
      </c>
      <c r="X4600">
        <v>0.90297169999999904</v>
      </c>
      <c r="Y4600">
        <v>-7.1093980000000001E-2</v>
      </c>
      <c r="Z4600">
        <v>1.221998E-2</v>
      </c>
      <c r="AA4600">
        <v>0.99739469999999997</v>
      </c>
      <c r="AB4600">
        <v>29</v>
      </c>
      <c r="AC4600">
        <v>9.95710000000002</v>
      </c>
      <c r="AD4600">
        <v>-1.109816771889</v>
      </c>
      <c r="AE4600">
        <v>-9.8990000000000494E-2</v>
      </c>
      <c r="AF4600">
        <v>-0.73009536679904796</v>
      </c>
      <c r="AG4600">
        <v>-1.109816771889</v>
      </c>
      <c r="AH4600">
        <v>9.8082804596993807</v>
      </c>
      <c r="AI4600">
        <v>96.437956649305306</v>
      </c>
      <c r="AJ4600">
        <v>94.257053947645602</v>
      </c>
      <c r="AK4600">
        <v>9.8978329995968402</v>
      </c>
      <c r="AL4600">
        <v>64.650443073992605</v>
      </c>
      <c r="AM4600">
        <v>92.320287009284399</v>
      </c>
      <c r="AN4600">
        <v>1.0000000632167501</v>
      </c>
    </row>
    <row r="4601" spans="1:40" x14ac:dyDescent="0.25">
      <c r="A4601" t="str">
        <f>"20190304164738324"</f>
        <v>20190304164738324</v>
      </c>
      <c r="B4601" t="str">
        <f>"1551689258314250"</f>
        <v>1551689258314250</v>
      </c>
      <c r="C4601" t="s">
        <v>40</v>
      </c>
      <c r="D4601">
        <v>5.0142110000000004</v>
      </c>
      <c r="E4601">
        <v>0.50263899999999995</v>
      </c>
      <c r="F4601" t="s">
        <v>56</v>
      </c>
      <c r="G4601">
        <v>-361.6207</v>
      </c>
      <c r="H4601" s="1">
        <v>-4.0284740000000002E-6</v>
      </c>
      <c r="I4601">
        <v>19.868490000000001</v>
      </c>
      <c r="J4601">
        <v>-371.85140000000001</v>
      </c>
      <c r="K4601">
        <v>1.109723</v>
      </c>
      <c r="L4601">
        <v>19.948609999999999</v>
      </c>
      <c r="M4601">
        <v>0.996193</v>
      </c>
      <c r="N4601">
        <v>-1.420544E-2</v>
      </c>
      <c r="O4601">
        <v>-8.6010539999999996E-2</v>
      </c>
      <c r="P4601">
        <v>0.90830639999999996</v>
      </c>
      <c r="Q4601">
        <v>0.41644900000000001</v>
      </c>
      <c r="R4601">
        <v>-3.9368239999999999E-2</v>
      </c>
      <c r="S4601">
        <v>3.4663699999999902</v>
      </c>
      <c r="T4601">
        <v>-0.36626839999999999</v>
      </c>
      <c r="U4601">
        <v>-3.4698489999999999E-2</v>
      </c>
      <c r="V4601">
        <v>-3.7303459999999997E-2</v>
      </c>
      <c r="W4601">
        <v>0.42945260000000002</v>
      </c>
      <c r="X4601">
        <v>0.90231859999999997</v>
      </c>
      <c r="Y4601">
        <v>-7.5209730000000002E-2</v>
      </c>
      <c r="Z4601">
        <v>1.2331379999999999E-2</v>
      </c>
      <c r="AA4601">
        <v>0.99709150000000002</v>
      </c>
      <c r="AB4601">
        <v>29</v>
      </c>
      <c r="AC4601">
        <v>10.230700000000001</v>
      </c>
      <c r="AD4601">
        <v>-1.109727028474</v>
      </c>
      <c r="AE4601">
        <v>-8.0120000000004396E-2</v>
      </c>
      <c r="AF4601">
        <v>-0.79090864572189701</v>
      </c>
      <c r="AG4601">
        <v>-1.109727028474</v>
      </c>
      <c r="AH4601">
        <v>10.0810669574706</v>
      </c>
      <c r="AI4601">
        <v>96.262754204565994</v>
      </c>
      <c r="AJ4601">
        <v>94.485943222756802</v>
      </c>
      <c r="AK4601">
        <v>10.1727548660434</v>
      </c>
      <c r="AL4601">
        <v>64.567173396655406</v>
      </c>
      <c r="AM4601">
        <v>92.367361593100199</v>
      </c>
      <c r="AN4601">
        <v>0.999999969840345</v>
      </c>
    </row>
    <row r="4602" spans="1:40" x14ac:dyDescent="0.25">
      <c r="A4602" t="str">
        <f>"20190304164738339"</f>
        <v>20190304164738339</v>
      </c>
      <c r="B4602" t="str">
        <f>"1551689258334277"</f>
        <v>1551689258334277</v>
      </c>
      <c r="C4602" t="s">
        <v>40</v>
      </c>
      <c r="D4602">
        <v>4.992597</v>
      </c>
      <c r="E4602">
        <v>0.5024516</v>
      </c>
      <c r="F4602" t="s">
        <v>56</v>
      </c>
      <c r="G4602">
        <v>-361.28559999999999</v>
      </c>
      <c r="H4602" s="1">
        <v>-4.1813909999999999E-6</v>
      </c>
      <c r="I4602">
        <v>19.847840000000001</v>
      </c>
      <c r="J4602">
        <v>-371.67110000000002</v>
      </c>
      <c r="K4602">
        <v>1.1096729999999999</v>
      </c>
      <c r="L4602">
        <v>19.931760000000001</v>
      </c>
      <c r="M4602">
        <v>0.99608050000000004</v>
      </c>
      <c r="N4602">
        <v>-1.420721E-2</v>
      </c>
      <c r="O4602">
        <v>-8.7303539999999999E-2</v>
      </c>
      <c r="P4602">
        <v>0.90793610000000002</v>
      </c>
      <c r="Q4602">
        <v>0.41720679999999999</v>
      </c>
      <c r="R4602">
        <v>-3.9884120000000002E-2</v>
      </c>
      <c r="S4602">
        <v>3.4684750000000002</v>
      </c>
      <c r="T4602">
        <v>-0.36429319999999998</v>
      </c>
      <c r="U4602">
        <v>-3.3081050000000001E-2</v>
      </c>
      <c r="V4602">
        <v>-3.787252E-2</v>
      </c>
      <c r="W4602">
        <v>0.43021470000000001</v>
      </c>
      <c r="X4602">
        <v>0.90193179999999995</v>
      </c>
      <c r="Y4602">
        <v>-7.696886E-2</v>
      </c>
      <c r="Z4602">
        <v>1.247498E-2</v>
      </c>
      <c r="AA4602">
        <v>0.99695549999999999</v>
      </c>
      <c r="AB4602">
        <v>29</v>
      </c>
      <c r="AC4602">
        <v>10.3855</v>
      </c>
      <c r="AD4602">
        <v>-1.10967718139099</v>
      </c>
      <c r="AE4602">
        <v>-8.3920000000002604E-2</v>
      </c>
      <c r="AF4602">
        <v>-0.81389156908329097</v>
      </c>
      <c r="AG4602">
        <v>-1.10967718139099</v>
      </c>
      <c r="AH4602">
        <v>10.2363082022864</v>
      </c>
      <c r="AI4602">
        <v>96.167730690800099</v>
      </c>
      <c r="AJ4602">
        <v>94.546038820039897</v>
      </c>
      <c r="AK4602">
        <v>10.328398159701299</v>
      </c>
      <c r="AL4602">
        <v>64.518813518959305</v>
      </c>
      <c r="AM4602">
        <v>92.404462910886096</v>
      </c>
      <c r="AN4602">
        <v>0.99999999385923999</v>
      </c>
    </row>
    <row r="4603" spans="1:40" x14ac:dyDescent="0.25">
      <c r="A4603" t="str">
        <f>"20190304164738351"</f>
        <v>20190304164738351</v>
      </c>
      <c r="B4603" t="str">
        <f>"1551689258344037"</f>
        <v>1551689258344037</v>
      </c>
      <c r="C4603" t="s">
        <v>40</v>
      </c>
      <c r="D4603">
        <v>5.0100290000000003</v>
      </c>
      <c r="E4603">
        <v>0.50242129999999996</v>
      </c>
      <c r="F4603" t="s">
        <v>56</v>
      </c>
      <c r="G4603">
        <v>-361.0951</v>
      </c>
      <c r="H4603" s="1">
        <v>-4.2673069999999998E-6</v>
      </c>
      <c r="I4603">
        <v>19.832329999999999</v>
      </c>
      <c r="J4603">
        <v>-371.49180000000001</v>
      </c>
      <c r="K4603">
        <v>1.1096330000000001</v>
      </c>
      <c r="L4603">
        <v>19.9147</v>
      </c>
      <c r="M4603">
        <v>0.99596370000000001</v>
      </c>
      <c r="N4603">
        <v>-1.420888E-2</v>
      </c>
      <c r="O4603">
        <v>-8.8626380000000005E-2</v>
      </c>
      <c r="P4603">
        <v>0.90739630000000004</v>
      </c>
      <c r="Q4603">
        <v>0.41828939999999998</v>
      </c>
      <c r="R4603">
        <v>-4.0818790000000001E-2</v>
      </c>
      <c r="S4603">
        <v>3.4700929999999999</v>
      </c>
      <c r="T4603">
        <v>-0.36409799999999998</v>
      </c>
      <c r="U4603">
        <v>-3.2623289999999999E-2</v>
      </c>
      <c r="V4603">
        <v>-3.803782E-2</v>
      </c>
      <c r="W4603">
        <v>0.43129699999999999</v>
      </c>
      <c r="X4603">
        <v>0.90140779999999998</v>
      </c>
      <c r="Y4603">
        <v>-7.8416139999999995E-2</v>
      </c>
      <c r="Z4603">
        <v>1.2666999999999999E-2</v>
      </c>
      <c r="AA4603">
        <v>0.99684019999999995</v>
      </c>
      <c r="AB4603">
        <v>29</v>
      </c>
      <c r="AC4603">
        <v>10.396699999999999</v>
      </c>
      <c r="AD4603">
        <v>-1.1096372673070001</v>
      </c>
      <c r="AE4603">
        <v>-8.2370000000000901E-2</v>
      </c>
      <c r="AF4603">
        <v>-0.83001470422317303</v>
      </c>
      <c r="AG4603">
        <v>-1.1096372673070001</v>
      </c>
      <c r="AH4603">
        <v>10.246369445776301</v>
      </c>
      <c r="AI4603">
        <v>96.160771980980499</v>
      </c>
      <c r="AJ4603">
        <v>94.631174673645504</v>
      </c>
      <c r="AK4603">
        <v>10.339647290578201</v>
      </c>
      <c r="AL4603">
        <v>64.450100784201496</v>
      </c>
      <c r="AM4603">
        <v>92.416347308675498</v>
      </c>
      <c r="AN4603">
        <v>0.99999999993009603</v>
      </c>
    </row>
    <row r="4604" spans="1:40" x14ac:dyDescent="0.25">
      <c r="A4604" t="str">
        <f>"20190304164738382"</f>
        <v>20190304164738382</v>
      </c>
      <c r="B4604" t="str">
        <f>"1551689258374293"</f>
        <v>1551689258374293</v>
      </c>
      <c r="C4604" t="s">
        <v>40</v>
      </c>
      <c r="D4604">
        <v>4.9862789999999997</v>
      </c>
      <c r="E4604">
        <v>0.50231210000000004</v>
      </c>
      <c r="F4604" t="s">
        <v>56</v>
      </c>
      <c r="G4604">
        <v>-360.8288</v>
      </c>
      <c r="H4604" s="1">
        <v>-4.3872500000000002E-6</v>
      </c>
      <c r="I4604">
        <v>19.809989999999999</v>
      </c>
      <c r="J4604">
        <v>-371.11059999999998</v>
      </c>
      <c r="K4604">
        <v>1.1095630000000001</v>
      </c>
      <c r="L4604">
        <v>19.877469999999999</v>
      </c>
      <c r="M4604">
        <v>0.99569969999999997</v>
      </c>
      <c r="N4604">
        <v>-1.421156E-2</v>
      </c>
      <c r="O4604">
        <v>-9.1542970000000001E-2</v>
      </c>
      <c r="P4604">
        <v>0.90644119999999995</v>
      </c>
      <c r="Q4604">
        <v>0.41990070000000002</v>
      </c>
      <c r="R4604">
        <v>-4.5253679999999998E-2</v>
      </c>
      <c r="S4604">
        <v>3.47113</v>
      </c>
      <c r="T4604">
        <v>-0.36122130000000002</v>
      </c>
      <c r="U4604">
        <v>-3.4088130000000001E-2</v>
      </c>
      <c r="V4604">
        <v>-3.6090789999999998E-2</v>
      </c>
      <c r="W4604">
        <v>0.4329018</v>
      </c>
      <c r="X4604">
        <v>0.90071829999999997</v>
      </c>
      <c r="Y4604">
        <v>-8.0905080000000004E-2</v>
      </c>
      <c r="Z4604">
        <v>1.296484E-2</v>
      </c>
      <c r="AA4604">
        <v>0.99663749999999995</v>
      </c>
      <c r="AB4604">
        <v>29</v>
      </c>
      <c r="AC4604">
        <v>10.281799999999899</v>
      </c>
      <c r="AD4604">
        <v>-1.10956738724999</v>
      </c>
      <c r="AE4604">
        <v>-6.7480000000003301E-2</v>
      </c>
      <c r="AF4604">
        <v>-0.86406271873649998</v>
      </c>
      <c r="AG4604">
        <v>-1.10956738724999</v>
      </c>
      <c r="AH4604">
        <v>10.126866915942999</v>
      </c>
      <c r="AI4604">
        <v>96.230309193113399</v>
      </c>
      <c r="AJ4604">
        <v>94.876881435974994</v>
      </c>
      <c r="AK4604">
        <v>10.2240489876555</v>
      </c>
      <c r="AL4604">
        <v>64.348142462603604</v>
      </c>
      <c r="AM4604">
        <v>92.294551310114798</v>
      </c>
      <c r="AN4604">
        <v>0.99999998476047702</v>
      </c>
    </row>
    <row r="4605" spans="1:40" x14ac:dyDescent="0.25">
      <c r="A4605" t="str">
        <f>"20190304164738405"</f>
        <v>20190304164738405</v>
      </c>
      <c r="B4605" t="str">
        <f>"1551689258393813"</f>
        <v>1551689258393813</v>
      </c>
      <c r="C4605" t="s">
        <v>40</v>
      </c>
      <c r="D4605">
        <v>4.9895659999999999</v>
      </c>
      <c r="E4605">
        <v>0.50227080000000002</v>
      </c>
      <c r="F4605" t="s">
        <v>56</v>
      </c>
      <c r="G4605">
        <v>-360.35270000000003</v>
      </c>
      <c r="H4605" s="1">
        <v>-4.5924380000000001E-6</v>
      </c>
      <c r="I4605">
        <v>19.735220000000002</v>
      </c>
      <c r="J4605">
        <v>-370.81310000000002</v>
      </c>
      <c r="K4605">
        <v>1.1095219999999999</v>
      </c>
      <c r="L4605">
        <v>19.847529999999999</v>
      </c>
      <c r="M4605">
        <v>0.99548230000000004</v>
      </c>
      <c r="N4605">
        <v>-1.421269E-2</v>
      </c>
      <c r="O4605">
        <v>-9.3879679999999993E-2</v>
      </c>
      <c r="P4605">
        <v>0.90627860000000005</v>
      </c>
      <c r="Q4605">
        <v>0.41987239999999998</v>
      </c>
      <c r="R4605">
        <v>-4.8645910000000001E-2</v>
      </c>
      <c r="S4605">
        <v>3.473328</v>
      </c>
      <c r="T4605">
        <v>-0.35823579999999999</v>
      </c>
      <c r="U4605">
        <v>-4.5928959999999998E-2</v>
      </c>
      <c r="V4605">
        <v>-3.4779150000000002E-2</v>
      </c>
      <c r="W4605">
        <v>0.43287389999999998</v>
      </c>
      <c r="X4605">
        <v>0.90078329999999995</v>
      </c>
      <c r="Y4605">
        <v>-7.986625E-2</v>
      </c>
      <c r="Z4605">
        <v>1.2988400000000001E-2</v>
      </c>
      <c r="AA4605">
        <v>0.99672099999999997</v>
      </c>
      <c r="AB4605">
        <v>29</v>
      </c>
      <c r="AC4605">
        <v>10.4603999999999</v>
      </c>
      <c r="AD4605">
        <v>-1.109526592438</v>
      </c>
      <c r="AE4605">
        <v>-0.112309999999997</v>
      </c>
      <c r="AF4605">
        <v>-0.86062264136496003</v>
      </c>
      <c r="AG4605">
        <v>-1.109526592438</v>
      </c>
      <c r="AH4605">
        <v>10.3087701974403</v>
      </c>
      <c r="AI4605">
        <v>96.121927454485601</v>
      </c>
      <c r="AJ4605">
        <v>94.772243701811902</v>
      </c>
      <c r="AK4605">
        <v>10.403963839508</v>
      </c>
      <c r="AL4605">
        <v>64.349915595008696</v>
      </c>
      <c r="AM4605">
        <v>92.211085848133294</v>
      </c>
      <c r="AN4605">
        <v>0.99999997806741003</v>
      </c>
    </row>
    <row r="4606" spans="1:40" x14ac:dyDescent="0.25">
      <c r="A4606" t="str">
        <f>"20190304164738426"</f>
        <v>20190304164738426</v>
      </c>
      <c r="B4606" t="str">
        <f>"1551689258413333"</f>
        <v>1551689258413333</v>
      </c>
      <c r="C4606" t="s">
        <v>40</v>
      </c>
      <c r="D4606">
        <v>4.978764</v>
      </c>
      <c r="E4606">
        <v>0.50255559999999999</v>
      </c>
      <c r="F4606" t="s">
        <v>56</v>
      </c>
      <c r="G4606">
        <v>-360.13420000000002</v>
      </c>
      <c r="H4606" s="1">
        <v>-4.6791660000000004E-6</v>
      </c>
      <c r="I4606">
        <v>19.672979999999999</v>
      </c>
      <c r="J4606">
        <v>-370.53379999999999</v>
      </c>
      <c r="K4606">
        <v>1.109504</v>
      </c>
      <c r="L4606">
        <v>19.81879</v>
      </c>
      <c r="M4606">
        <v>0.9952704</v>
      </c>
      <c r="N4606">
        <v>-1.421276E-2</v>
      </c>
      <c r="O4606">
        <v>-9.6098310000000006E-2</v>
      </c>
      <c r="P4606">
        <v>0.90584989999999999</v>
      </c>
      <c r="Q4606">
        <v>0.42051939999999999</v>
      </c>
      <c r="R4606">
        <v>-5.0985820000000001E-2</v>
      </c>
      <c r="S4606">
        <v>3.4744869999999999</v>
      </c>
      <c r="T4606">
        <v>-0.36099350000000002</v>
      </c>
      <c r="U4606">
        <v>-5.6793209999999997E-2</v>
      </c>
      <c r="V4606">
        <v>-3.440526E-2</v>
      </c>
      <c r="W4606">
        <v>0.43351689999999998</v>
      </c>
      <c r="X4606">
        <v>0.90048839999999997</v>
      </c>
      <c r="Y4606">
        <v>-7.8960219999999998E-2</v>
      </c>
      <c r="Z4606">
        <v>1.3232519999999999E-2</v>
      </c>
      <c r="AA4606">
        <v>0.99678990000000001</v>
      </c>
      <c r="AB4606">
        <v>29</v>
      </c>
      <c r="AC4606">
        <v>10.3995999999999</v>
      </c>
      <c r="AD4606">
        <v>-1.109508679166</v>
      </c>
      <c r="AE4606">
        <v>-0.14581</v>
      </c>
      <c r="AF4606">
        <v>-0.84473676251713004</v>
      </c>
      <c r="AG4606">
        <v>-1.109508679166</v>
      </c>
      <c r="AH4606">
        <v>10.248840884536699</v>
      </c>
      <c r="AI4606">
        <v>96.157886652548598</v>
      </c>
      <c r="AJ4606">
        <v>94.711820100982493</v>
      </c>
      <c r="AK4606">
        <v>10.3432745870756</v>
      </c>
      <c r="AL4606">
        <v>64.309040355757205</v>
      </c>
      <c r="AM4606">
        <v>92.188054623646806</v>
      </c>
      <c r="AN4606">
        <v>0.99999999151791796</v>
      </c>
    </row>
    <row r="4607" spans="1:40" x14ac:dyDescent="0.25">
      <c r="A4607" t="str">
        <f>"20190304164738448"</f>
        <v>20190304164738448</v>
      </c>
      <c r="B4607" t="str">
        <f>"1551689258443599"</f>
        <v>1551689258443599</v>
      </c>
      <c r="C4607" t="s">
        <v>40</v>
      </c>
      <c r="D4607">
        <v>4.848535</v>
      </c>
      <c r="E4607">
        <v>0.50274169999999996</v>
      </c>
      <c r="F4607" t="s">
        <v>42</v>
      </c>
      <c r="G4607">
        <v>-359.77879999999999</v>
      </c>
      <c r="H4607" s="1">
        <v>-7.919377E-8</v>
      </c>
      <c r="I4607">
        <v>19.60492</v>
      </c>
      <c r="J4607">
        <v>-370.2534</v>
      </c>
      <c r="K4607">
        <v>1.10951</v>
      </c>
      <c r="L4607">
        <v>19.78931</v>
      </c>
      <c r="M4607">
        <v>0.99505290000000002</v>
      </c>
      <c r="N4607">
        <v>-1.421209E-2</v>
      </c>
      <c r="O4607">
        <v>-9.8324850000000005E-2</v>
      </c>
      <c r="P4607">
        <v>0.90502740000000004</v>
      </c>
      <c r="Q4607">
        <v>0.42211130000000002</v>
      </c>
      <c r="R4607">
        <v>-5.241854E-2</v>
      </c>
      <c r="S4607">
        <v>3.4742739999999999</v>
      </c>
      <c r="T4607">
        <v>-0.35841200000000001</v>
      </c>
      <c r="U4607">
        <v>-6.9061280000000003E-2</v>
      </c>
      <c r="V4607">
        <v>-3.4916679999999999E-2</v>
      </c>
      <c r="W4607">
        <v>0.43509999999999999</v>
      </c>
      <c r="X4607">
        <v>0.89970479999999997</v>
      </c>
      <c r="Y4607">
        <v>-7.7682570000000006E-2</v>
      </c>
      <c r="Z4607">
        <v>1.325426E-2</v>
      </c>
      <c r="AA4607">
        <v>0.99689000000000005</v>
      </c>
      <c r="AB4607">
        <v>29</v>
      </c>
      <c r="AC4607">
        <v>10.474600000000001</v>
      </c>
      <c r="AD4607">
        <v>-1.10951007919377</v>
      </c>
      <c r="AE4607">
        <v>-0.18439</v>
      </c>
      <c r="AF4607">
        <v>-0.83713155849614496</v>
      </c>
      <c r="AG4607">
        <v>-1.10951007919377</v>
      </c>
      <c r="AH4607">
        <v>10.3261436165759</v>
      </c>
      <c r="AI4607">
        <v>96.112812618992393</v>
      </c>
      <c r="AJ4607">
        <v>94.634783588791194</v>
      </c>
      <c r="AK4607">
        <v>10.419263114645601</v>
      </c>
      <c r="AL4607">
        <v>64.208341574007306</v>
      </c>
      <c r="AM4607">
        <v>92.222478884721298</v>
      </c>
      <c r="AN4607">
        <v>0.99999995584263002</v>
      </c>
    </row>
    <row r="4608" spans="1:40" x14ac:dyDescent="0.25">
      <c r="A4608" t="str">
        <f>"20190304164738482"</f>
        <v>20190304164738482</v>
      </c>
      <c r="B4608" t="str">
        <f>"1551689258473849"</f>
        <v>1551689258473849</v>
      </c>
      <c r="C4608" t="s">
        <v>40</v>
      </c>
      <c r="D4608">
        <v>4.9095649999999997</v>
      </c>
      <c r="E4608">
        <v>0.50294799999999995</v>
      </c>
      <c r="F4608" t="s">
        <v>42</v>
      </c>
      <c r="G4608">
        <v>-359.2473</v>
      </c>
      <c r="H4608" s="1">
        <v>-3.1815410000000002E-7</v>
      </c>
      <c r="I4608">
        <v>19.543330000000001</v>
      </c>
      <c r="J4608">
        <v>-369.80189999999999</v>
      </c>
      <c r="K4608">
        <v>1.109553</v>
      </c>
      <c r="L4608">
        <v>19.740539999999999</v>
      </c>
      <c r="M4608">
        <v>0.99469920000000001</v>
      </c>
      <c r="N4608">
        <v>-1.4209629999999999E-2</v>
      </c>
      <c r="O4608">
        <v>-0.10184120000000001</v>
      </c>
      <c r="P4608">
        <v>0.9040532</v>
      </c>
      <c r="Q4608">
        <v>0.42406430000000001</v>
      </c>
      <c r="R4608">
        <v>-5.3454920000000003E-2</v>
      </c>
      <c r="S4608">
        <v>3.473633</v>
      </c>
      <c r="T4608">
        <v>-0.35017169999999997</v>
      </c>
      <c r="U4608">
        <v>-7.76062E-2</v>
      </c>
      <c r="V4608">
        <v>-3.7012610000000001E-2</v>
      </c>
      <c r="W4608">
        <v>0.43704270000000001</v>
      </c>
      <c r="X4608">
        <v>0.89867889999999995</v>
      </c>
      <c r="Y4608">
        <v>-7.8771980000000005E-2</v>
      </c>
      <c r="Z4608">
        <v>1.329807E-2</v>
      </c>
      <c r="AA4608">
        <v>0.99680389999999996</v>
      </c>
      <c r="AB4608">
        <v>29</v>
      </c>
      <c r="AC4608">
        <v>10.554599999999899</v>
      </c>
      <c r="AD4608">
        <v>-1.1095533181541</v>
      </c>
      <c r="AE4608">
        <v>-0.197210000000001</v>
      </c>
      <c r="AF4608">
        <v>-0.86921462241791403</v>
      </c>
      <c r="AG4608">
        <v>-1.1095533181541</v>
      </c>
      <c r="AH4608">
        <v>10.404851305484399</v>
      </c>
      <c r="AI4608">
        <v>96.065937018227103</v>
      </c>
      <c r="AJ4608">
        <v>94.775364558026098</v>
      </c>
      <c r="AK4608">
        <v>10.4998844429304</v>
      </c>
      <c r="AL4608">
        <v>64.084654833094106</v>
      </c>
      <c r="AM4608">
        <v>92.358426907805907</v>
      </c>
      <c r="AN4608">
        <v>1.0000000101137501</v>
      </c>
    </row>
    <row r="4609" spans="1:40" x14ac:dyDescent="0.25">
      <c r="A4609" t="str">
        <f>"20190304164738503"</f>
        <v>20190304164738503</v>
      </c>
      <c r="B4609" t="str">
        <f>"1551689258493380"</f>
        <v>1551689258493380</v>
      </c>
      <c r="C4609" t="s">
        <v>40</v>
      </c>
      <c r="D4609">
        <v>4.9796379999999996</v>
      </c>
      <c r="E4609">
        <v>0.50305869999999997</v>
      </c>
      <c r="F4609" t="s">
        <v>42</v>
      </c>
      <c r="G4609">
        <v>-358.58100000000002</v>
      </c>
      <c r="H4609" s="1">
        <v>-6.1782189999999997E-7</v>
      </c>
      <c r="I4609">
        <v>19.46529</v>
      </c>
      <c r="J4609">
        <v>-369.5351</v>
      </c>
      <c r="K4609">
        <v>1.1095900000000001</v>
      </c>
      <c r="L4609">
        <v>19.710999999999999</v>
      </c>
      <c r="M4609">
        <v>0.99449069999999995</v>
      </c>
      <c r="N4609">
        <v>-1.420745E-2</v>
      </c>
      <c r="O4609">
        <v>-0.10385800000000001</v>
      </c>
      <c r="P4609">
        <v>0.90369060000000001</v>
      </c>
      <c r="Q4609">
        <v>0.42482710000000001</v>
      </c>
      <c r="R4609">
        <v>-5.3529889999999997E-2</v>
      </c>
      <c r="S4609">
        <v>3.4745180000000002</v>
      </c>
      <c r="T4609">
        <v>-0.34356940000000002</v>
      </c>
      <c r="U4609">
        <v>-8.5205080000000002E-2</v>
      </c>
      <c r="V4609">
        <v>-3.8768560000000001E-2</v>
      </c>
      <c r="W4609">
        <v>0.43780160000000001</v>
      </c>
      <c r="X4609">
        <v>0.89823539999999902</v>
      </c>
      <c r="Y4609">
        <v>-7.864662E-2</v>
      </c>
      <c r="Z4609">
        <v>1.3189970000000001E-2</v>
      </c>
      <c r="AA4609">
        <v>0.99681529999999996</v>
      </c>
      <c r="AB4609">
        <v>29</v>
      </c>
      <c r="AC4609">
        <v>10.9541</v>
      </c>
      <c r="AD4609">
        <v>-1.1095906178218999</v>
      </c>
      <c r="AE4609">
        <v>-0.24570999999999801</v>
      </c>
      <c r="AF4609">
        <v>-0.88433550363048696</v>
      </c>
      <c r="AG4609">
        <v>-1.1095906178218999</v>
      </c>
      <c r="AH4609">
        <v>10.8095150691244</v>
      </c>
      <c r="AI4609">
        <v>95.841471558365299</v>
      </c>
      <c r="AJ4609">
        <v>94.676999978726002</v>
      </c>
      <c r="AK4609">
        <v>10.902240900464699</v>
      </c>
      <c r="AL4609">
        <v>64.036302578401404</v>
      </c>
      <c r="AM4609">
        <v>92.471397922227695</v>
      </c>
      <c r="AN4609">
        <v>1.00000003801009</v>
      </c>
    </row>
    <row r="4610" spans="1:40" x14ac:dyDescent="0.25">
      <c r="A4610" t="str">
        <f>"20190304164738525"</f>
        <v>20190304164738525</v>
      </c>
      <c r="B4610" t="str">
        <f>"1551689258513864"</f>
        <v>1551689258513864</v>
      </c>
      <c r="C4610" t="s">
        <v>40</v>
      </c>
      <c r="D4610">
        <v>4.8974830000000003</v>
      </c>
      <c r="E4610">
        <v>0.50309250000000005</v>
      </c>
      <c r="F4610" t="s">
        <v>42</v>
      </c>
      <c r="G4610">
        <v>-358.22030000000001</v>
      </c>
      <c r="H4610" s="1">
        <v>-7.7960359999999995E-7</v>
      </c>
      <c r="I4610">
        <v>19.425609999999999</v>
      </c>
      <c r="J4610">
        <v>-369.2518</v>
      </c>
      <c r="K4610">
        <v>1.10964</v>
      </c>
      <c r="L4610">
        <v>19.679110000000001</v>
      </c>
      <c r="M4610">
        <v>0.99427160000000003</v>
      </c>
      <c r="N4610">
        <v>-1.4204720000000001E-2</v>
      </c>
      <c r="O4610">
        <v>-0.10593470000000001</v>
      </c>
      <c r="P4610">
        <v>0.90341090000000002</v>
      </c>
      <c r="Q4610">
        <v>0.4253151</v>
      </c>
      <c r="R4610">
        <v>-5.437007E-2</v>
      </c>
      <c r="S4610">
        <v>3.474701</v>
      </c>
      <c r="T4610">
        <v>-0.34074880000000002</v>
      </c>
      <c r="U4610">
        <v>-8.7615970000000001E-2</v>
      </c>
      <c r="V4610">
        <v>-3.9839640000000003E-2</v>
      </c>
      <c r="W4610">
        <v>0.43828260000000002</v>
      </c>
      <c r="X4610">
        <v>0.89795389999999997</v>
      </c>
      <c r="Y4610">
        <v>-8.0037419999999998E-2</v>
      </c>
      <c r="Z4610">
        <v>1.332438E-2</v>
      </c>
      <c r="AA4610">
        <v>0.9967028</v>
      </c>
      <c r="AB4610">
        <v>29</v>
      </c>
      <c r="AC4610">
        <v>11.0314999999999</v>
      </c>
      <c r="AD4610">
        <v>-1.1096407796036001</v>
      </c>
      <c r="AE4610">
        <v>-0.253500000000002</v>
      </c>
      <c r="AF4610">
        <v>-0.90748617951809896</v>
      </c>
      <c r="AG4610">
        <v>-1.1096407796036001</v>
      </c>
      <c r="AH4610">
        <v>10.886182799449401</v>
      </c>
      <c r="AI4610">
        <v>95.800141328149607</v>
      </c>
      <c r="AJ4610">
        <v>94.765232116042299</v>
      </c>
      <c r="AK4610">
        <v>10.9801552707056</v>
      </c>
      <c r="AL4610">
        <v>64.0056450629626</v>
      </c>
      <c r="AM4610">
        <v>92.5403834708505</v>
      </c>
      <c r="AN4610">
        <v>1.0000000204516399</v>
      </c>
    </row>
    <row r="4611" spans="1:40" x14ac:dyDescent="0.25">
      <c r="A4611" t="str">
        <f>"20190304164738548"</f>
        <v>20190304164738548</v>
      </c>
      <c r="B4611" t="str">
        <f>"1551689258544118"</f>
        <v>1551689258544118</v>
      </c>
      <c r="C4611" t="s">
        <v>40</v>
      </c>
      <c r="D4611">
        <v>4.8773569999999999</v>
      </c>
      <c r="E4611">
        <v>0.50319720000000001</v>
      </c>
      <c r="F4611" t="s">
        <v>42</v>
      </c>
      <c r="G4611">
        <v>-357.90390000000002</v>
      </c>
      <c r="H4611" s="1">
        <v>-9.2143849999999998E-7</v>
      </c>
      <c r="I4611">
        <v>19.39134</v>
      </c>
      <c r="J4611">
        <v>-368.9579</v>
      </c>
      <c r="K4611">
        <v>1.1097079999999999</v>
      </c>
      <c r="L4611">
        <v>19.645479999999999</v>
      </c>
      <c r="M4611">
        <v>0.99405089999999996</v>
      </c>
      <c r="N4611">
        <v>-1.4201470000000001E-2</v>
      </c>
      <c r="O4611">
        <v>-0.1079875</v>
      </c>
      <c r="P4611">
        <v>0.9034179</v>
      </c>
      <c r="Q4611">
        <v>0.42509350000000001</v>
      </c>
      <c r="R4611">
        <v>-5.5961009999999999E-2</v>
      </c>
      <c r="S4611">
        <v>3.475403</v>
      </c>
      <c r="T4611">
        <v>-0.33983720000000001</v>
      </c>
      <c r="U4611">
        <v>-8.8104249999999995E-2</v>
      </c>
      <c r="V4611">
        <v>-4.019615E-2</v>
      </c>
      <c r="W4611">
        <v>0.4380541</v>
      </c>
      <c r="X4611">
        <v>0.89804949999999995</v>
      </c>
      <c r="Y4611">
        <v>-8.1947889999999995E-2</v>
      </c>
      <c r="Z4611">
        <v>1.356046E-2</v>
      </c>
      <c r="AA4611">
        <v>0.9965444</v>
      </c>
      <c r="AB4611">
        <v>29</v>
      </c>
      <c r="AC4611">
        <v>11.053999999999901</v>
      </c>
      <c r="AD4611">
        <v>-1.1097089214385001</v>
      </c>
      <c r="AE4611">
        <v>-0.25413999999999898</v>
      </c>
      <c r="AF4611">
        <v>-0.93177498690521798</v>
      </c>
      <c r="AG4611">
        <v>-1.1097089214385001</v>
      </c>
      <c r="AH4611">
        <v>10.906929434877499</v>
      </c>
      <c r="AI4611">
        <v>95.788540111003996</v>
      </c>
      <c r="AJ4611">
        <v>94.882901655525799</v>
      </c>
      <c r="AK4611">
        <v>11.0027618448251</v>
      </c>
      <c r="AL4611">
        <v>64.020209580306997</v>
      </c>
      <c r="AM4611">
        <v>92.562813743921495</v>
      </c>
      <c r="AN4611">
        <v>1.00000001472594</v>
      </c>
    </row>
    <row r="4612" spans="1:40" x14ac:dyDescent="0.25">
      <c r="A4612" t="str">
        <f>"20190304164738572"</f>
        <v>20190304164738572</v>
      </c>
      <c r="B4612" t="str">
        <f>"1551689258563637"</f>
        <v>1551689258563637</v>
      </c>
      <c r="C4612" t="s">
        <v>40</v>
      </c>
      <c r="D4612">
        <v>4.8271629999999996</v>
      </c>
      <c r="E4612">
        <v>0.50325940000000002</v>
      </c>
      <c r="F4612" t="s">
        <v>42</v>
      </c>
      <c r="G4612">
        <v>-357.67430000000002</v>
      </c>
      <c r="H4612" s="1">
        <v>-1.0275619999999999E-6</v>
      </c>
      <c r="I4612">
        <v>19.348289999999999</v>
      </c>
      <c r="J4612">
        <v>-368.65649999999999</v>
      </c>
      <c r="K4612">
        <v>1.109802</v>
      </c>
      <c r="L4612">
        <v>19.610499999999998</v>
      </c>
      <c r="M4612">
        <v>0.99383520000000003</v>
      </c>
      <c r="N4612">
        <v>-1.4197380000000001E-2</v>
      </c>
      <c r="O4612">
        <v>-0.1099562</v>
      </c>
      <c r="P4612">
        <v>0.90360220000000002</v>
      </c>
      <c r="Q4612">
        <v>0.42466559999999998</v>
      </c>
      <c r="R4612">
        <v>-5.6233569999999997E-2</v>
      </c>
      <c r="S4612">
        <v>3.4759220000000002</v>
      </c>
      <c r="T4612">
        <v>-0.34184589999999998</v>
      </c>
      <c r="U4612">
        <v>-9.1522220000000001E-2</v>
      </c>
      <c r="V4612">
        <v>-4.1836980000000003E-2</v>
      </c>
      <c r="W4612">
        <v>0.4376216</v>
      </c>
      <c r="X4612">
        <v>0.89818539999999902</v>
      </c>
      <c r="Y4612">
        <v>-8.2924109999999995E-2</v>
      </c>
      <c r="Z4612">
        <v>1.3862559999999999E-2</v>
      </c>
      <c r="AA4612">
        <v>0.9964594</v>
      </c>
      <c r="AB4612">
        <v>29</v>
      </c>
      <c r="AC4612">
        <v>10.982199999999899</v>
      </c>
      <c r="AD4612">
        <v>-1.1098030275620001</v>
      </c>
      <c r="AE4612">
        <v>-0.262209999999999</v>
      </c>
      <c r="AF4612">
        <v>-0.93749445528803999</v>
      </c>
      <c r="AG4612">
        <v>-1.1098030275620001</v>
      </c>
      <c r="AH4612">
        <v>10.8338568730384</v>
      </c>
      <c r="AI4612">
        <v>95.827260427645001</v>
      </c>
      <c r="AJ4612">
        <v>94.945699615978597</v>
      </c>
      <c r="AK4612">
        <v>10.9308285760579</v>
      </c>
      <c r="AL4612">
        <v>64.047772093412803</v>
      </c>
      <c r="AM4612">
        <v>92.666878162306901</v>
      </c>
      <c r="AN4612">
        <v>1.0000000052276199</v>
      </c>
    </row>
    <row r="4613" spans="1:40" x14ac:dyDescent="0.25">
      <c r="A4613" t="str">
        <f>"20190304164738592"</f>
        <v>20190304164738592</v>
      </c>
      <c r="B4613" t="str">
        <f>"1551689258584133"</f>
        <v>1551689258584133</v>
      </c>
      <c r="C4613" t="s">
        <v>40</v>
      </c>
      <c r="D4613">
        <v>4.7962879999999997</v>
      </c>
      <c r="E4613">
        <v>0.50332589999999999</v>
      </c>
      <c r="F4613" t="s">
        <v>42</v>
      </c>
      <c r="G4613">
        <v>-357.45949999999999</v>
      </c>
      <c r="H4613" s="1">
        <v>-1.1269529999999999E-6</v>
      </c>
      <c r="I4613">
        <v>19.307359999999999</v>
      </c>
      <c r="J4613">
        <v>-368.37819999999999</v>
      </c>
      <c r="K4613">
        <v>1.109904</v>
      </c>
      <c r="L4613">
        <v>19.57779</v>
      </c>
      <c r="M4613">
        <v>0.99365000000000003</v>
      </c>
      <c r="N4613">
        <v>-1.4192919999999999E-2</v>
      </c>
      <c r="O4613">
        <v>-0.11161649999999999</v>
      </c>
      <c r="P4613">
        <v>0.90390040000000005</v>
      </c>
      <c r="Q4613">
        <v>0.42407040000000001</v>
      </c>
      <c r="R4613">
        <v>-5.5933360000000001E-2</v>
      </c>
      <c r="S4613">
        <v>3.4761350000000002</v>
      </c>
      <c r="T4613">
        <v>-0.34454299999999999</v>
      </c>
      <c r="U4613">
        <v>-9.408569E-2</v>
      </c>
      <c r="V4613">
        <v>-4.380241E-2</v>
      </c>
      <c r="W4613">
        <v>0.43701990000000002</v>
      </c>
      <c r="X4613">
        <v>0.89838459999999998</v>
      </c>
      <c r="Y4613">
        <v>-8.3831550000000005E-2</v>
      </c>
      <c r="Z4613">
        <v>1.416916E-2</v>
      </c>
      <c r="AA4613">
        <v>0.99637920000000002</v>
      </c>
      <c r="AB4613">
        <v>29</v>
      </c>
      <c r="AC4613">
        <v>10.918699999999999</v>
      </c>
      <c r="AD4613">
        <v>-1.109905126953</v>
      </c>
      <c r="AE4613">
        <v>-0.270430000000001</v>
      </c>
      <c r="AF4613">
        <v>-0.940378949210392</v>
      </c>
      <c r="AG4613">
        <v>-1.109905126953</v>
      </c>
      <c r="AH4613">
        <v>10.7694334192058</v>
      </c>
      <c r="AI4613">
        <v>95.862018472763594</v>
      </c>
      <c r="AJ4613">
        <v>94.990367440140403</v>
      </c>
      <c r="AK4613">
        <v>10.8672396738851</v>
      </c>
      <c r="AL4613">
        <v>64.086106014397402</v>
      </c>
      <c r="AM4613">
        <v>92.791351666405404</v>
      </c>
      <c r="AN4613">
        <v>0.99999996681748804</v>
      </c>
    </row>
    <row r="4614" spans="1:40" x14ac:dyDescent="0.25">
      <c r="A4614" t="str">
        <f>"20190304164738617"</f>
        <v>20190304164738617</v>
      </c>
      <c r="B4614" t="str">
        <f>"1551689258613413"</f>
        <v>1551689258613413</v>
      </c>
      <c r="C4614" t="s">
        <v>40</v>
      </c>
      <c r="D4614">
        <v>4.798578</v>
      </c>
      <c r="E4614">
        <v>0.50344390000000006</v>
      </c>
      <c r="F4614" t="s">
        <v>42</v>
      </c>
      <c r="G4614">
        <v>-357.2867</v>
      </c>
      <c r="H4614" s="1">
        <v>-1.2077520000000001E-6</v>
      </c>
      <c r="I4614">
        <v>19.26981</v>
      </c>
      <c r="J4614">
        <v>-368.08510000000001</v>
      </c>
      <c r="K4614">
        <v>1.110047</v>
      </c>
      <c r="L4614">
        <v>19.543060000000001</v>
      </c>
      <c r="M4614">
        <v>0.99347629999999998</v>
      </c>
      <c r="N4614">
        <v>-1.4187730000000001E-2</v>
      </c>
      <c r="O4614">
        <v>-0.1131532</v>
      </c>
      <c r="P4614">
        <v>0.90413019999999999</v>
      </c>
      <c r="Q4614">
        <v>0.42342730000000001</v>
      </c>
      <c r="R4614">
        <v>-5.7081449999999999E-2</v>
      </c>
      <c r="S4614">
        <v>3.4761959999999998</v>
      </c>
      <c r="T4614">
        <v>-0.34785569999999999</v>
      </c>
      <c r="U4614">
        <v>-9.6496579999999998E-2</v>
      </c>
      <c r="V4614">
        <v>-4.4250820000000003E-2</v>
      </c>
      <c r="W4614">
        <v>0.43636059999999999</v>
      </c>
      <c r="X4614">
        <v>0.89868309999999996</v>
      </c>
      <c r="Y4614">
        <v>-8.4654869999999993E-2</v>
      </c>
      <c r="Z4614">
        <v>1.449168E-2</v>
      </c>
      <c r="AA4614">
        <v>0.99630490000000005</v>
      </c>
      <c r="AB4614">
        <v>29</v>
      </c>
      <c r="AC4614">
        <v>10.798400000000001</v>
      </c>
      <c r="AD4614">
        <v>-1.110048207752</v>
      </c>
      <c r="AE4614">
        <v>-0.27324999999999999</v>
      </c>
      <c r="AF4614">
        <v>-0.94056880741959503</v>
      </c>
      <c r="AG4614">
        <v>-1.110048207752</v>
      </c>
      <c r="AH4614">
        <v>10.647512397286199</v>
      </c>
      <c r="AI4614">
        <v>95.928903686835298</v>
      </c>
      <c r="AJ4614">
        <v>95.048230673353999</v>
      </c>
      <c r="AK4614">
        <v>10.746459740555901</v>
      </c>
      <c r="AL4614">
        <v>64.128097700132201</v>
      </c>
      <c r="AM4614">
        <v>92.818946025952201</v>
      </c>
      <c r="AN4614">
        <v>1.0000000112643199</v>
      </c>
    </row>
    <row r="4615" spans="1:40" x14ac:dyDescent="0.25">
      <c r="A4615" t="str">
        <f>"20190304164738638"</f>
        <v>20190304164738638</v>
      </c>
      <c r="B4615" t="str">
        <f>"1551689258633909"</f>
        <v>1551689258633909</v>
      </c>
      <c r="C4615" t="s">
        <v>40</v>
      </c>
      <c r="D4615">
        <v>4.763719</v>
      </c>
      <c r="E4615">
        <v>0.50353049999999999</v>
      </c>
      <c r="F4615" t="s">
        <v>42</v>
      </c>
      <c r="G4615">
        <v>-357.10050000000001</v>
      </c>
      <c r="H4615" s="1">
        <v>-1.2958590000000001E-6</v>
      </c>
      <c r="I4615">
        <v>19.223590000000002</v>
      </c>
      <c r="J4615">
        <v>-367.80970000000002</v>
      </c>
      <c r="K4615">
        <v>1.1102110000000001</v>
      </c>
      <c r="L4615">
        <v>19.510190000000001</v>
      </c>
      <c r="M4615">
        <v>0.99333559999999999</v>
      </c>
      <c r="N4615">
        <v>-1.4182709999999999E-2</v>
      </c>
      <c r="O4615">
        <v>-0.11438130000000001</v>
      </c>
      <c r="P4615">
        <v>0.90443549999999995</v>
      </c>
      <c r="Q4615">
        <v>0.42251</v>
      </c>
      <c r="R4615">
        <v>-5.9005799999999997E-2</v>
      </c>
      <c r="S4615">
        <v>3.4762569999999999</v>
      </c>
      <c r="T4615">
        <v>-0.35129120000000003</v>
      </c>
      <c r="U4615">
        <v>-0.1010742</v>
      </c>
      <c r="V4615">
        <v>-4.36707E-2</v>
      </c>
      <c r="W4615">
        <v>0.43542550000000002</v>
      </c>
      <c r="X4615">
        <v>0.89916489999999905</v>
      </c>
      <c r="Y4615">
        <v>-8.4553740000000002E-2</v>
      </c>
      <c r="Z4615">
        <v>1.474339E-2</v>
      </c>
      <c r="AA4615">
        <v>0.99630980000000002</v>
      </c>
      <c r="AB4615">
        <v>29</v>
      </c>
      <c r="AC4615">
        <v>10.709199999999999</v>
      </c>
      <c r="AD4615">
        <v>-1.1102122958589999</v>
      </c>
      <c r="AE4615">
        <v>-0.28660000000000002</v>
      </c>
      <c r="AF4615">
        <v>-0.93034537312271703</v>
      </c>
      <c r="AG4615">
        <v>-1.1102122958589999</v>
      </c>
      <c r="AH4615">
        <v>10.558293885059101</v>
      </c>
      <c r="AI4615">
        <v>95.979634717796202</v>
      </c>
      <c r="AJ4615">
        <v>95.035618937828602</v>
      </c>
      <c r="AK4615">
        <v>10.6571892926064</v>
      </c>
      <c r="AL4615">
        <v>64.187627994500701</v>
      </c>
      <c r="AM4615">
        <v>92.780560246532403</v>
      </c>
      <c r="AN4615">
        <v>1.00000000674037</v>
      </c>
    </row>
    <row r="4616" spans="1:40" x14ac:dyDescent="0.25">
      <c r="A4616" t="str">
        <f>"20190304164738661"</f>
        <v>20190304164738661</v>
      </c>
      <c r="B4616" t="str">
        <f>"1551689258653429"</f>
        <v>1551689258653429</v>
      </c>
      <c r="C4616" t="s">
        <v>40</v>
      </c>
      <c r="D4616">
        <v>4.7498930000000001</v>
      </c>
      <c r="E4616">
        <v>0.50358549999999902</v>
      </c>
      <c r="F4616" t="s">
        <v>42</v>
      </c>
      <c r="G4616">
        <v>-356.95690000000002</v>
      </c>
      <c r="H4616" s="1">
        <v>-1.3657089999999999E-6</v>
      </c>
      <c r="I4616">
        <v>19.176919999999999</v>
      </c>
      <c r="J4616">
        <v>-367.51929999999999</v>
      </c>
      <c r="K4616">
        <v>1.1103809999999901</v>
      </c>
      <c r="L4616">
        <v>19.475429999999999</v>
      </c>
      <c r="M4616">
        <v>0.99320960000000003</v>
      </c>
      <c r="N4616">
        <v>-1.417762E-2</v>
      </c>
      <c r="O4616">
        <v>-0.1154728</v>
      </c>
      <c r="P4616">
        <v>0.90483729999999996</v>
      </c>
      <c r="Q4616">
        <v>0.4214137</v>
      </c>
      <c r="R4616">
        <v>-6.0662649999999999E-2</v>
      </c>
      <c r="S4616">
        <v>3.4761350000000002</v>
      </c>
      <c r="T4616">
        <v>-0.35559930000000001</v>
      </c>
      <c r="U4616">
        <v>-0.10672</v>
      </c>
      <c r="V4616">
        <v>-4.3249290000000003E-2</v>
      </c>
      <c r="W4616">
        <v>0.4343129</v>
      </c>
      <c r="X4616">
        <v>0.89972319999999995</v>
      </c>
      <c r="Y4616">
        <v>-8.4006410000000004E-2</v>
      </c>
      <c r="Z4616">
        <v>1.4999490000000001E-2</v>
      </c>
      <c r="AA4616">
        <v>0.99635229999999997</v>
      </c>
      <c r="AB4616">
        <v>29</v>
      </c>
      <c r="AC4616">
        <v>10.562399999999901</v>
      </c>
      <c r="AD4616">
        <v>-1.11038236570899</v>
      </c>
      <c r="AE4616">
        <v>-0.298509999999996</v>
      </c>
      <c r="AF4616">
        <v>-0.91319547693963898</v>
      </c>
      <c r="AG4616">
        <v>-1.11038236570899</v>
      </c>
      <c r="AH4616">
        <v>10.4112357514419</v>
      </c>
      <c r="AI4616">
        <v>96.064605202710993</v>
      </c>
      <c r="AJ4616">
        <v>95.012727005808003</v>
      </c>
      <c r="AK4616">
        <v>10.5100287749027</v>
      </c>
      <c r="AL4616">
        <v>64.258419756823002</v>
      </c>
      <c r="AM4616">
        <v>92.7520639695054</v>
      </c>
      <c r="AN4616">
        <v>1.00000001640507</v>
      </c>
    </row>
    <row r="4617" spans="1:40" x14ac:dyDescent="0.25">
      <c r="A4617" t="str">
        <f>"20190304164738683"</f>
        <v>20190304164738683</v>
      </c>
      <c r="B4617" t="str">
        <f>"1551689258673929"</f>
        <v>1551689258673929</v>
      </c>
      <c r="C4617" t="s">
        <v>40</v>
      </c>
      <c r="D4617">
        <v>4.6606740000000002</v>
      </c>
      <c r="E4617">
        <v>0.50358959999999997</v>
      </c>
      <c r="F4617" t="s">
        <v>42</v>
      </c>
      <c r="G4617">
        <v>-356.80450000000002</v>
      </c>
      <c r="H4617" s="1">
        <v>-1.4397799999999901E-6</v>
      </c>
      <c r="I4617">
        <v>19.12791</v>
      </c>
      <c r="J4617">
        <v>-367.22680000000003</v>
      </c>
      <c r="K4617">
        <v>1.1105579999999999</v>
      </c>
      <c r="L4617">
        <v>19.44031</v>
      </c>
      <c r="M4617">
        <v>0.99310860000000001</v>
      </c>
      <c r="N4617">
        <v>-1.41726E-2</v>
      </c>
      <c r="O4617">
        <v>-0.11633780000000001</v>
      </c>
      <c r="P4617">
        <v>0.90510369999999996</v>
      </c>
      <c r="Q4617">
        <v>0.42061310000000002</v>
      </c>
      <c r="R4617">
        <v>-6.2225809999999999E-2</v>
      </c>
      <c r="S4617">
        <v>3.4756770000000001</v>
      </c>
      <c r="T4617">
        <v>-0.36018729999999999</v>
      </c>
      <c r="U4617">
        <v>-0.11270139999999999</v>
      </c>
      <c r="V4617">
        <v>-4.2698670000000001E-2</v>
      </c>
      <c r="W4617">
        <v>0.43349409999999999</v>
      </c>
      <c r="X4617">
        <v>0.90014430000000001</v>
      </c>
      <c r="Y4617">
        <v>-8.3133369999999998E-2</v>
      </c>
      <c r="Z4617">
        <v>1.523248E-2</v>
      </c>
      <c r="AA4617">
        <v>0.99642200000000003</v>
      </c>
      <c r="AB4617">
        <v>29</v>
      </c>
      <c r="AC4617">
        <v>10.4223</v>
      </c>
      <c r="AD4617">
        <v>-1.1105594397799901</v>
      </c>
      <c r="AE4617">
        <v>-0.31240000000000001</v>
      </c>
      <c r="AF4617">
        <v>-0.89222948127236701</v>
      </c>
      <c r="AG4617">
        <v>-1.1105594397799901</v>
      </c>
      <c r="AH4617">
        <v>10.271344615725701</v>
      </c>
      <c r="AI4617">
        <v>96.147994486224505</v>
      </c>
      <c r="AJ4617">
        <v>94.964586785291004</v>
      </c>
      <c r="AK4617">
        <v>10.369664214984599</v>
      </c>
      <c r="AL4617">
        <v>64.310491220738697</v>
      </c>
      <c r="AM4617">
        <v>92.715810256637894</v>
      </c>
      <c r="AN4617">
        <v>1.0000000359885299</v>
      </c>
    </row>
    <row r="4618" spans="1:40" x14ac:dyDescent="0.25">
      <c r="A4618" t="str">
        <f>"20190304164738706"</f>
        <v>20190304164738706</v>
      </c>
      <c r="B4618" t="str">
        <f>"1551689258693445"</f>
        <v>1551689258693445</v>
      </c>
      <c r="C4618" t="s">
        <v>40</v>
      </c>
      <c r="D4618">
        <v>4.6891400000000001</v>
      </c>
      <c r="E4618">
        <v>0.50354889999999997</v>
      </c>
      <c r="F4618" t="s">
        <v>42</v>
      </c>
      <c r="G4618">
        <v>-356.60559999999998</v>
      </c>
      <c r="H4618" s="1">
        <v>-1.533843E-6</v>
      </c>
      <c r="I4618">
        <v>19.078810000000001</v>
      </c>
      <c r="J4618">
        <v>-366.94529999999997</v>
      </c>
      <c r="K4618">
        <v>1.1107320000000001</v>
      </c>
      <c r="L4618">
        <v>19.406490000000002</v>
      </c>
      <c r="M4618">
        <v>0.99304049999999999</v>
      </c>
      <c r="N4618">
        <v>-1.416775E-2</v>
      </c>
      <c r="O4618">
        <v>-0.11691849999999999</v>
      </c>
      <c r="P4618">
        <v>0.9050435</v>
      </c>
      <c r="Q4618">
        <v>0.42056979999999999</v>
      </c>
      <c r="R4618">
        <v>-6.3384259999999998E-2</v>
      </c>
      <c r="S4618">
        <v>3.4752809999999998</v>
      </c>
      <c r="T4618">
        <v>-0.36337730000000001</v>
      </c>
      <c r="U4618">
        <v>-0.1182556</v>
      </c>
      <c r="V4618">
        <v>-4.2255479999999998E-2</v>
      </c>
      <c r="W4618">
        <v>0.43342789999999998</v>
      </c>
      <c r="X4618">
        <v>0.90019699999999903</v>
      </c>
      <c r="Y4618">
        <v>-8.2107490000000005E-2</v>
      </c>
      <c r="Z4618">
        <v>1.5368740000000001E-2</v>
      </c>
      <c r="AA4618">
        <v>0.99650499999999997</v>
      </c>
      <c r="AB4618">
        <v>29</v>
      </c>
      <c r="AC4618">
        <v>10.339699999999899</v>
      </c>
      <c r="AD4618">
        <v>-1.110733533843</v>
      </c>
      <c r="AE4618">
        <v>-0.32767999999999697</v>
      </c>
      <c r="AF4618">
        <v>-0.87352107060846496</v>
      </c>
      <c r="AG4618">
        <v>-1.110733533843</v>
      </c>
      <c r="AH4618">
        <v>10.1896170367399</v>
      </c>
      <c r="AI4618">
        <v>96.198487448578504</v>
      </c>
      <c r="AJ4618">
        <v>94.899792008328106</v>
      </c>
      <c r="AK4618">
        <v>10.287130960545801</v>
      </c>
      <c r="AL4618">
        <v>64.314697913994095</v>
      </c>
      <c r="AM4618">
        <v>92.687505994621503</v>
      </c>
      <c r="AN4618">
        <v>0.99999995444871903</v>
      </c>
    </row>
    <row r="4619" spans="1:40" x14ac:dyDescent="0.25">
      <c r="A4619" t="str">
        <f>"20190304164738727"</f>
        <v>20190304164738727</v>
      </c>
      <c r="B4619" t="str">
        <f>"1551689258723702"</f>
        <v>1551689258723702</v>
      </c>
      <c r="C4619" t="s">
        <v>40</v>
      </c>
      <c r="D4619">
        <v>4.7198949999999904</v>
      </c>
      <c r="E4619">
        <v>0.52523500000000001</v>
      </c>
      <c r="F4619" t="s">
        <v>42</v>
      </c>
      <c r="G4619">
        <v>-356.33440000000002</v>
      </c>
      <c r="H4619" s="1">
        <v>-1.658434E-6</v>
      </c>
      <c r="I4619">
        <v>19.032109999999999</v>
      </c>
      <c r="J4619">
        <v>-366.673</v>
      </c>
      <c r="K4619">
        <v>1.110908</v>
      </c>
      <c r="L4619">
        <v>19.373930000000001</v>
      </c>
      <c r="M4619">
        <v>0.99300259999999996</v>
      </c>
      <c r="N4619">
        <v>-1.4163210000000001E-2</v>
      </c>
      <c r="O4619">
        <v>-0.1172402</v>
      </c>
      <c r="P4619">
        <v>0.90506209999999998</v>
      </c>
      <c r="Q4619">
        <v>0.42031780000000002</v>
      </c>
      <c r="R4619">
        <v>-6.4773159999999996E-2</v>
      </c>
      <c r="S4619">
        <v>3.4752200000000002</v>
      </c>
      <c r="T4619">
        <v>-0.36378349999999998</v>
      </c>
      <c r="U4619">
        <v>-0.12258910000000001</v>
      </c>
      <c r="V4619">
        <v>-4.1363919999999998E-2</v>
      </c>
      <c r="W4619">
        <v>0.43315500000000001</v>
      </c>
      <c r="X4619">
        <v>0.9003698</v>
      </c>
      <c r="Y4619">
        <v>-8.1190739999999997E-2</v>
      </c>
      <c r="Z4619">
        <v>1.536155E-2</v>
      </c>
      <c r="AA4619">
        <v>0.99658020000000003</v>
      </c>
      <c r="AB4619">
        <v>29</v>
      </c>
      <c r="AC4619">
        <v>10.3385999999999</v>
      </c>
      <c r="AD4619">
        <v>-1.1109096584339999</v>
      </c>
      <c r="AE4619">
        <v>-0.34181999999999801</v>
      </c>
      <c r="AF4619">
        <v>-0.86280775580795299</v>
      </c>
      <c r="AG4619">
        <v>-1.1109096584339999</v>
      </c>
      <c r="AH4619">
        <v>10.189841353871801</v>
      </c>
      <c r="AI4619">
        <v>96.199875281282402</v>
      </c>
      <c r="AJ4619">
        <v>94.839879609541399</v>
      </c>
      <c r="AK4619">
        <v>10.2864680191872</v>
      </c>
      <c r="AL4619">
        <v>64.332048416525694</v>
      </c>
      <c r="AM4619">
        <v>92.630377881056205</v>
      </c>
      <c r="AN4619">
        <v>1.0000000023274001</v>
      </c>
    </row>
    <row r="4620" spans="1:40" x14ac:dyDescent="0.25">
      <c r="A4620" t="str">
        <f>"20190304164738751"</f>
        <v>20190304164738751</v>
      </c>
      <c r="B4620" t="str">
        <f>"1551689258744197"</f>
        <v>1551689258744197</v>
      </c>
      <c r="C4620" t="s">
        <v>40</v>
      </c>
      <c r="D4620">
        <v>4.755808</v>
      </c>
      <c r="E4620">
        <v>0.53866349999999996</v>
      </c>
      <c r="F4620" t="s">
        <v>41</v>
      </c>
      <c r="G4620">
        <v>-365.85379999999998</v>
      </c>
      <c r="H4620">
        <v>1.027693</v>
      </c>
      <c r="I4620">
        <v>19.302340000000001</v>
      </c>
      <c r="J4620">
        <v>-366.37560000000002</v>
      </c>
      <c r="K4620">
        <v>1.1111219999999999</v>
      </c>
      <c r="L4620">
        <v>19.3385</v>
      </c>
      <c r="M4620">
        <v>0.99299159999999997</v>
      </c>
      <c r="N4620">
        <v>-1.415899E-2</v>
      </c>
      <c r="O4620">
        <v>-0.1173337</v>
      </c>
      <c r="P4620">
        <v>0.90515350000000006</v>
      </c>
      <c r="Q4620">
        <v>0.419958</v>
      </c>
      <c r="R4620">
        <v>-6.5822119999999998E-2</v>
      </c>
      <c r="S4620">
        <v>3.456207</v>
      </c>
      <c r="T4620">
        <v>-0.35103119999999999</v>
      </c>
      <c r="U4620">
        <v>-0.30142210000000003</v>
      </c>
      <c r="V4620">
        <v>-4.0639740000000001E-2</v>
      </c>
      <c r="W4620">
        <v>0.43277290000000002</v>
      </c>
      <c r="X4620">
        <v>0.90058649999999996</v>
      </c>
      <c r="Y4620">
        <v>-3.0005460000000001E-2</v>
      </c>
      <c r="Z4620">
        <v>1.189927E-2</v>
      </c>
      <c r="AA4620">
        <v>0.99947889999999995</v>
      </c>
      <c r="AB4620">
        <v>29</v>
      </c>
      <c r="AC4620">
        <v>0.52180000000004101</v>
      </c>
      <c r="AD4620">
        <v>-8.3428999999999906E-2</v>
      </c>
      <c r="AE4620">
        <v>-3.6159999999998797E-2</v>
      </c>
      <c r="AF4620">
        <v>-2.46924695242259E-2</v>
      </c>
      <c r="AG4620">
        <v>-8.3428999999999906E-2</v>
      </c>
      <c r="AH4620">
        <v>0.50947625893845605</v>
      </c>
      <c r="AI4620">
        <v>99.289184076864402</v>
      </c>
      <c r="AJ4620">
        <v>92.774747713644103</v>
      </c>
      <c r="AK4620">
        <v>0.51685217859087096</v>
      </c>
      <c r="AL4620">
        <v>64.356335723109794</v>
      </c>
      <c r="AM4620">
        <v>92.583768442979604</v>
      </c>
      <c r="AN4620">
        <v>1.00000000771196</v>
      </c>
    </row>
    <row r="4621" spans="1:40" x14ac:dyDescent="0.25">
      <c r="A4621" t="str">
        <f>"20190304164738772"</f>
        <v>20190304164738772</v>
      </c>
      <c r="B4621" t="str">
        <f>"1551689258763721"</f>
        <v>1551689258763721</v>
      </c>
      <c r="C4621" t="s">
        <v>40</v>
      </c>
      <c r="D4621">
        <v>4.7566550000000003</v>
      </c>
      <c r="E4621">
        <v>0.54471910000000001</v>
      </c>
      <c r="F4621" t="s">
        <v>41</v>
      </c>
      <c r="G4621">
        <v>-365.61399999999998</v>
      </c>
      <c r="H4621">
        <v>1.021622</v>
      </c>
      <c r="I4621">
        <v>19.24869</v>
      </c>
      <c r="J4621">
        <v>-366.10489999999999</v>
      </c>
      <c r="K4621">
        <v>1.111318</v>
      </c>
      <c r="L4621">
        <v>19.306519999999999</v>
      </c>
      <c r="M4621">
        <v>0.99301099999999998</v>
      </c>
      <c r="N4621">
        <v>-1.4155650000000001E-2</v>
      </c>
      <c r="O4621">
        <v>-0.1171714</v>
      </c>
      <c r="P4621">
        <v>0.90508999999999995</v>
      </c>
      <c r="Q4621">
        <v>0.41994429999999999</v>
      </c>
      <c r="R4621">
        <v>-6.6780030000000004E-2</v>
      </c>
      <c r="S4621">
        <v>3.4739689999999999</v>
      </c>
      <c r="T4621">
        <v>-0.40823890000000002</v>
      </c>
      <c r="U4621">
        <v>-0.40936280000000003</v>
      </c>
      <c r="V4621">
        <v>-3.9740820000000003E-2</v>
      </c>
      <c r="W4621">
        <v>0.43273679999999898</v>
      </c>
      <c r="X4621">
        <v>0.90064390000000005</v>
      </c>
      <c r="Y4621">
        <v>4.4963460000000001E-4</v>
      </c>
      <c r="Z4621">
        <v>1.19449E-2</v>
      </c>
      <c r="AA4621">
        <v>0.9999285</v>
      </c>
      <c r="AB4621">
        <v>29</v>
      </c>
      <c r="AC4621">
        <v>0.49089999999995299</v>
      </c>
      <c r="AD4621">
        <v>-8.9695999999999998E-2</v>
      </c>
      <c r="AE4621">
        <v>-5.7830000000002699E-2</v>
      </c>
      <c r="AF4621" s="1">
        <v>-9.0638874044937604E-5</v>
      </c>
      <c r="AG4621">
        <v>-8.9695999999999998E-2</v>
      </c>
      <c r="AH4621">
        <v>0.47853696189584699</v>
      </c>
      <c r="AI4621">
        <v>100.616222078915</v>
      </c>
      <c r="AJ4621">
        <v>90.010852296257099</v>
      </c>
      <c r="AK4621">
        <v>0.48687062401824199</v>
      </c>
      <c r="AL4621">
        <v>64.358628554686703</v>
      </c>
      <c r="AM4621">
        <v>92.526531538685902</v>
      </c>
      <c r="AN4621">
        <v>0.99999995272786002</v>
      </c>
    </row>
    <row r="4622" spans="1:40" x14ac:dyDescent="0.25">
      <c r="A4622" t="str">
        <f>"20190304164738793"</f>
        <v>20190304164738793</v>
      </c>
      <c r="B4622" t="str">
        <f>"1551689258784213"</f>
        <v>1551689258784213</v>
      </c>
      <c r="C4622" t="s">
        <v>40</v>
      </c>
      <c r="D4622">
        <v>4.7329910000000002</v>
      </c>
      <c r="E4622">
        <v>0.54772699999999996</v>
      </c>
      <c r="F4622" t="s">
        <v>41</v>
      </c>
      <c r="G4622">
        <v>-365.36419999999998</v>
      </c>
      <c r="H4622">
        <v>1.018297</v>
      </c>
      <c r="I4622">
        <v>19.208390000000001</v>
      </c>
      <c r="J4622">
        <v>-365.82819999999998</v>
      </c>
      <c r="K4622">
        <v>1.1115159999999999</v>
      </c>
      <c r="L4622">
        <v>19.27411</v>
      </c>
      <c r="M4622">
        <v>0.99305880000000002</v>
      </c>
      <c r="N4622">
        <v>-1.4152669999999999E-2</v>
      </c>
      <c r="O4622">
        <v>-0.1167656</v>
      </c>
      <c r="P4622">
        <v>0.90543779999999996</v>
      </c>
      <c r="Q4622">
        <v>0.41918270000000002</v>
      </c>
      <c r="R4622">
        <v>-6.6849469999999994E-2</v>
      </c>
      <c r="S4622">
        <v>3.4836119999999999</v>
      </c>
      <c r="T4622">
        <v>-0.43754920000000003</v>
      </c>
      <c r="U4622">
        <v>-0.46017459999999999</v>
      </c>
      <c r="V4622">
        <v>-3.9552339999999998E-2</v>
      </c>
      <c r="W4622">
        <v>0.43195850000000002</v>
      </c>
      <c r="X4622">
        <v>0.90102579999999999</v>
      </c>
      <c r="Y4622">
        <v>1.486763E-2</v>
      </c>
      <c r="Z4622">
        <v>1.181536E-2</v>
      </c>
      <c r="AA4622">
        <v>0.99981960000000003</v>
      </c>
      <c r="AB4622">
        <v>29</v>
      </c>
      <c r="AC4622">
        <v>0.46399999999999803</v>
      </c>
      <c r="AD4622">
        <v>-9.3218999999999899E-2</v>
      </c>
      <c r="AE4622">
        <v>-6.5720000000002401E-2</v>
      </c>
      <c r="AF4622">
        <v>1.06637489480892E-2</v>
      </c>
      <c r="AG4622">
        <v>-9.3218999999999899E-2</v>
      </c>
      <c r="AH4622">
        <v>0.45066784431551499</v>
      </c>
      <c r="AI4622">
        <v>101.68343068591101</v>
      </c>
      <c r="AJ4622">
        <v>88.644514302912299</v>
      </c>
      <c r="AK4622">
        <v>0.460331406057224</v>
      </c>
      <c r="AL4622">
        <v>64.408084527115193</v>
      </c>
      <c r="AM4622">
        <v>92.513499866157005</v>
      </c>
      <c r="AN4622">
        <v>1.0000000127936799</v>
      </c>
    </row>
    <row r="4623" spans="1:40" x14ac:dyDescent="0.25">
      <c r="A4623" t="str">
        <f>"20190304164738818"</f>
        <v>20190304164738818</v>
      </c>
      <c r="B4623" t="str">
        <f>"1551689258813494"</f>
        <v>1551689258813494</v>
      </c>
      <c r="C4623" t="s">
        <v>40</v>
      </c>
      <c r="D4623">
        <v>4.6988529999999997</v>
      </c>
      <c r="E4623">
        <v>0.55002180000000001</v>
      </c>
      <c r="F4623" t="s">
        <v>41</v>
      </c>
      <c r="G4623">
        <v>-365.1123</v>
      </c>
      <c r="H4623">
        <v>1.0181750000000001</v>
      </c>
      <c r="I4623">
        <v>19.174240000000001</v>
      </c>
      <c r="J4623">
        <v>-365.529</v>
      </c>
      <c r="K4623">
        <v>1.1117170000000001</v>
      </c>
      <c r="L4623">
        <v>19.239560000000001</v>
      </c>
      <c r="M4623">
        <v>0.99314369999999996</v>
      </c>
      <c r="N4623">
        <v>-1.415012E-2</v>
      </c>
      <c r="O4623">
        <v>-0.1160407</v>
      </c>
      <c r="P4623">
        <v>0.90619959999999999</v>
      </c>
      <c r="Q4623">
        <v>0.41760069999999999</v>
      </c>
      <c r="R4623">
        <v>-6.6421980000000005E-2</v>
      </c>
      <c r="S4623">
        <v>3.4880070000000001</v>
      </c>
      <c r="T4623">
        <v>-0.45488210000000001</v>
      </c>
      <c r="U4623">
        <v>-0.48571779999999998</v>
      </c>
      <c r="V4623">
        <v>-3.9614969999999999E-2</v>
      </c>
      <c r="W4623">
        <v>0.43036530000000001</v>
      </c>
      <c r="X4623">
        <v>0.90178510000000001</v>
      </c>
      <c r="Y4623">
        <v>2.2599000000000001E-2</v>
      </c>
      <c r="Z4623">
        <v>1.1686500000000001E-2</v>
      </c>
      <c r="AA4623">
        <v>0.99967629999999996</v>
      </c>
      <c r="AB4623">
        <v>28</v>
      </c>
      <c r="AC4623">
        <v>0.41669999999999102</v>
      </c>
      <c r="AD4623">
        <v>-9.3542E-2</v>
      </c>
      <c r="AE4623">
        <v>-6.5319999999999795E-2</v>
      </c>
      <c r="AF4623">
        <v>1.5745227063801499E-2</v>
      </c>
      <c r="AG4623">
        <v>-9.3542E-2</v>
      </c>
      <c r="AH4623">
        <v>0.40170736920054101</v>
      </c>
      <c r="AI4623">
        <v>103.098646273471</v>
      </c>
      <c r="AJ4623">
        <v>87.755397169643999</v>
      </c>
      <c r="AK4623">
        <v>0.412755167634895</v>
      </c>
      <c r="AL4623">
        <v>64.5092548238283</v>
      </c>
      <c r="AM4623">
        <v>92.515357823272396</v>
      </c>
      <c r="AN4623">
        <v>1.0000000019371</v>
      </c>
    </row>
    <row r="4624" spans="1:40" x14ac:dyDescent="0.25">
      <c r="A4624" t="str">
        <f>"20190304164738839"</f>
        <v>20190304164738839</v>
      </c>
      <c r="B4624" t="str">
        <f>"1551689258833991"</f>
        <v>1551689258833991</v>
      </c>
      <c r="C4624" t="s">
        <v>40</v>
      </c>
      <c r="D4624">
        <v>4.7091089999999998</v>
      </c>
      <c r="E4624">
        <v>0.55085550000000005</v>
      </c>
      <c r="F4624" t="s">
        <v>41</v>
      </c>
      <c r="G4624">
        <v>-364.62369999999999</v>
      </c>
      <c r="H4624">
        <v>0.98922779999999999</v>
      </c>
      <c r="I4624">
        <v>19.109120000000001</v>
      </c>
      <c r="J4624">
        <v>-365.25959999999998</v>
      </c>
      <c r="K4624">
        <v>1.1118760000000001</v>
      </c>
      <c r="L4624">
        <v>19.20889</v>
      </c>
      <c r="M4624">
        <v>0.99324210000000002</v>
      </c>
      <c r="N4624">
        <v>-1.414791E-2</v>
      </c>
      <c r="O4624">
        <v>-0.115195699999999</v>
      </c>
      <c r="P4624">
        <v>0.90738490000000005</v>
      </c>
      <c r="Q4624">
        <v>0.41514380000000001</v>
      </c>
      <c r="R4624">
        <v>-6.5637929999999997E-2</v>
      </c>
      <c r="S4624">
        <v>3.4913940000000001</v>
      </c>
      <c r="T4624">
        <v>-0.47248200000000001</v>
      </c>
      <c r="U4624">
        <v>-0.50256350000000005</v>
      </c>
      <c r="V4624">
        <v>-3.9928449999999997E-2</v>
      </c>
      <c r="W4624">
        <v>0.42790650000000002</v>
      </c>
      <c r="X4624">
        <v>0.90294059999999998</v>
      </c>
      <c r="Y4624">
        <v>2.8035640000000001E-2</v>
      </c>
      <c r="Z4624">
        <v>1.16822E-2</v>
      </c>
      <c r="AA4624">
        <v>0.9995387</v>
      </c>
      <c r="AB4624">
        <v>28</v>
      </c>
      <c r="AC4624">
        <v>0.63589999999999203</v>
      </c>
      <c r="AD4624">
        <v>-0.1226482</v>
      </c>
      <c r="AE4624">
        <v>-9.9769999999999401E-2</v>
      </c>
      <c r="AF4624">
        <v>2.4939924954245799E-2</v>
      </c>
      <c r="AG4624">
        <v>-0.1226482</v>
      </c>
      <c r="AH4624">
        <v>0.62062731424711903</v>
      </c>
      <c r="AI4624">
        <v>101.169950162351</v>
      </c>
      <c r="AJ4624">
        <v>87.698805743663698</v>
      </c>
      <c r="AK4624">
        <v>0.63312150809268497</v>
      </c>
      <c r="AL4624">
        <v>64.665225180711303</v>
      </c>
      <c r="AM4624">
        <v>92.531996272609703</v>
      </c>
      <c r="AN4624">
        <v>0.99999999049500599</v>
      </c>
    </row>
    <row r="4625" spans="1:40" x14ac:dyDescent="0.25">
      <c r="A4625" t="str">
        <f>"20190304164738862"</f>
        <v>20190304164738862</v>
      </c>
      <c r="B4625" t="str">
        <f>"1551689258853513"</f>
        <v>1551689258853513</v>
      </c>
      <c r="C4625" t="s">
        <v>40</v>
      </c>
      <c r="D4625">
        <v>4.7099129999999896</v>
      </c>
      <c r="E4625">
        <v>0.55152919999999905</v>
      </c>
      <c r="F4625" t="s">
        <v>41</v>
      </c>
      <c r="G4625">
        <v>-364.37270000000001</v>
      </c>
      <c r="H4625">
        <v>0.9882398</v>
      </c>
      <c r="I4625">
        <v>19.08005</v>
      </c>
      <c r="J4625">
        <v>-364.976</v>
      </c>
      <c r="K4625">
        <v>1.112007</v>
      </c>
      <c r="L4625">
        <v>19.177060000000001</v>
      </c>
      <c r="M4625">
        <v>0.99336210000000003</v>
      </c>
      <c r="N4625">
        <v>-1.414544E-2</v>
      </c>
      <c r="O4625">
        <v>-0.1141571</v>
      </c>
      <c r="P4625">
        <v>0.90866119999999995</v>
      </c>
      <c r="Q4625">
        <v>0.41245749999999998</v>
      </c>
      <c r="R4625">
        <v>-6.4914109999999997E-2</v>
      </c>
      <c r="S4625">
        <v>3.4923709999999999</v>
      </c>
      <c r="T4625">
        <v>-0.48696590000000001</v>
      </c>
      <c r="U4625">
        <v>-0.50613399999999997</v>
      </c>
      <c r="V4625">
        <v>-3.9988700000000002E-2</v>
      </c>
      <c r="W4625">
        <v>0.42522189999999999</v>
      </c>
      <c r="X4625">
        <v>0.90420529999999999</v>
      </c>
      <c r="Y4625">
        <v>3.0053549999999998E-2</v>
      </c>
      <c r="Z4625">
        <v>1.180693E-2</v>
      </c>
      <c r="AA4625">
        <v>0.99947859999999999</v>
      </c>
      <c r="AB4625">
        <v>28</v>
      </c>
      <c r="AC4625">
        <v>0.60329999999998996</v>
      </c>
      <c r="AD4625">
        <v>-0.12376719999999899</v>
      </c>
      <c r="AE4625">
        <v>-9.7010000000000901E-2</v>
      </c>
      <c r="AF4625">
        <v>2.6414162968492E-2</v>
      </c>
      <c r="AG4625">
        <v>-0.12376719999999899</v>
      </c>
      <c r="AH4625">
        <v>0.58637422793176397</v>
      </c>
      <c r="AI4625">
        <v>101.906865603697</v>
      </c>
      <c r="AJ4625">
        <v>87.420763814733903</v>
      </c>
      <c r="AK4625">
        <v>0.59987562292840202</v>
      </c>
      <c r="AL4625">
        <v>64.835290031395203</v>
      </c>
      <c r="AM4625">
        <v>92.532269756136301</v>
      </c>
      <c r="AN4625">
        <v>0.999999992457694</v>
      </c>
    </row>
    <row r="4626" spans="1:40" x14ac:dyDescent="0.25">
      <c r="A4626" t="str">
        <f>"20190304164738883"</f>
        <v>20190304164738883</v>
      </c>
      <c r="B4626" t="str">
        <f>"1551689258874009"</f>
        <v>1551689258874009</v>
      </c>
      <c r="C4626" t="s">
        <v>40</v>
      </c>
      <c r="D4626">
        <v>4.7099669999999998</v>
      </c>
      <c r="E4626">
        <v>0.55209830000000004</v>
      </c>
      <c r="F4626" t="s">
        <v>41</v>
      </c>
      <c r="G4626">
        <v>-364.12079999999997</v>
      </c>
      <c r="H4626">
        <v>0.98952689999999999</v>
      </c>
      <c r="I4626">
        <v>19.052810000000001</v>
      </c>
      <c r="J4626">
        <v>-364.70400000000001</v>
      </c>
      <c r="K4626">
        <v>1.1121099999999999</v>
      </c>
      <c r="L4626">
        <v>19.14697</v>
      </c>
      <c r="M4626">
        <v>0.99349050000000005</v>
      </c>
      <c r="N4626">
        <v>-1.414283E-2</v>
      </c>
      <c r="O4626">
        <v>-0.1130337</v>
      </c>
      <c r="P4626">
        <v>0.90995380000000003</v>
      </c>
      <c r="Q4626">
        <v>0.40981509999999999</v>
      </c>
      <c r="R4626">
        <v>-6.3526680000000002E-2</v>
      </c>
      <c r="S4626">
        <v>3.4924010000000001</v>
      </c>
      <c r="T4626">
        <v>-0.50021329999999997</v>
      </c>
      <c r="U4626">
        <v>-0.50726320000000003</v>
      </c>
      <c r="V4626">
        <v>-4.0591580000000002E-2</v>
      </c>
      <c r="W4626">
        <v>0.42258210000000002</v>
      </c>
      <c r="X4626">
        <v>0.90541519999999998</v>
      </c>
      <c r="Y4626">
        <v>3.1510829999999997E-2</v>
      </c>
      <c r="Z4626">
        <v>1.191853E-2</v>
      </c>
      <c r="AA4626">
        <v>0.99943230000000005</v>
      </c>
      <c r="AB4626">
        <v>28</v>
      </c>
      <c r="AC4626">
        <v>0.58320000000003303</v>
      </c>
      <c r="AD4626">
        <v>-0.122583099999999</v>
      </c>
      <c r="AE4626">
        <v>-9.4159999999998606E-2</v>
      </c>
      <c r="AF4626">
        <v>2.6488061215945002E-2</v>
      </c>
      <c r="AG4626">
        <v>-0.122583099999999</v>
      </c>
      <c r="AH4626">
        <v>0.56574622856284895</v>
      </c>
      <c r="AI4626">
        <v>102.21260618762599</v>
      </c>
      <c r="AJ4626">
        <v>87.319387114664295</v>
      </c>
      <c r="AK4626">
        <v>0.57947996421418801</v>
      </c>
      <c r="AL4626">
        <v>65.002285977248306</v>
      </c>
      <c r="AM4626">
        <v>92.566965882920798</v>
      </c>
      <c r="AN4626">
        <v>0.999999995999173</v>
      </c>
    </row>
    <row r="4627" spans="1:40" x14ac:dyDescent="0.25">
      <c r="A4627" t="str">
        <f>"20190304164738905"</f>
        <v>20190304164738905</v>
      </c>
      <c r="B4627" t="str">
        <f>"1551689258893526"</f>
        <v>1551689258893526</v>
      </c>
      <c r="C4627" t="s">
        <v>40</v>
      </c>
      <c r="D4627">
        <v>4.7035169999999997</v>
      </c>
      <c r="E4627">
        <v>0.55259049999999998</v>
      </c>
      <c r="F4627" t="s">
        <v>41</v>
      </c>
      <c r="G4627">
        <v>-363.86950000000002</v>
      </c>
      <c r="H4627">
        <v>0.98999950000000003</v>
      </c>
      <c r="I4627">
        <v>19.025919999999999</v>
      </c>
      <c r="J4627">
        <v>-364.43209999999999</v>
      </c>
      <c r="K4627">
        <v>1.112179</v>
      </c>
      <c r="L4627">
        <v>19.11731</v>
      </c>
      <c r="M4627">
        <v>0.99363020000000002</v>
      </c>
      <c r="N4627">
        <v>-1.414028E-2</v>
      </c>
      <c r="O4627">
        <v>-0.1118001</v>
      </c>
      <c r="P4627">
        <v>0.91101500000000002</v>
      </c>
      <c r="Q4627">
        <v>0.40769090000000002</v>
      </c>
      <c r="R4627">
        <v>-6.1968580000000002E-2</v>
      </c>
      <c r="S4627">
        <v>3.4918819999999999</v>
      </c>
      <c r="T4627">
        <v>-0.51117679999999999</v>
      </c>
      <c r="U4627">
        <v>-0.50482179999999999</v>
      </c>
      <c r="V4627">
        <v>-4.1210610000000002E-2</v>
      </c>
      <c r="W4627">
        <v>0.42045949999999999</v>
      </c>
      <c r="X4627">
        <v>0.90637489999999998</v>
      </c>
      <c r="Y4627">
        <v>3.2101869999999998E-2</v>
      </c>
      <c r="Z4627">
        <v>1.201312E-2</v>
      </c>
      <c r="AA4627">
        <v>0.99941239999999998</v>
      </c>
      <c r="AB4627">
        <v>28</v>
      </c>
      <c r="AC4627">
        <v>0.56259999999997401</v>
      </c>
      <c r="AD4627">
        <v>-0.1221795</v>
      </c>
      <c r="AE4627">
        <v>-9.1389999999996904E-2</v>
      </c>
      <c r="AF4627">
        <v>2.6685706486680501E-2</v>
      </c>
      <c r="AG4627">
        <v>-0.1221795</v>
      </c>
      <c r="AH4627">
        <v>0.54428089761270104</v>
      </c>
      <c r="AI4627">
        <v>102.637262757766</v>
      </c>
      <c r="AJ4627">
        <v>87.193076277360603</v>
      </c>
      <c r="AK4627">
        <v>0.55846365383705199</v>
      </c>
      <c r="AL4627">
        <v>65.1363984926207</v>
      </c>
      <c r="AM4627">
        <v>92.603303494982796</v>
      </c>
      <c r="AN4627">
        <v>0.99999998243341504</v>
      </c>
    </row>
    <row r="4628" spans="1:40" x14ac:dyDescent="0.25">
      <c r="A4628" t="str">
        <f>"20190304164738928"</f>
        <v>20190304164738928</v>
      </c>
      <c r="B4628" t="str">
        <f>"1551689258923782"</f>
        <v>1551689258923782</v>
      </c>
      <c r="C4628" t="s">
        <v>40</v>
      </c>
      <c r="D4628">
        <v>4.6995230000000001</v>
      </c>
      <c r="E4628">
        <v>0.55325649999999904</v>
      </c>
      <c r="F4628" t="s">
        <v>41</v>
      </c>
      <c r="G4628">
        <v>-363.61829999999998</v>
      </c>
      <c r="H4628">
        <v>0.99088120000000002</v>
      </c>
      <c r="I4628">
        <v>19.0001</v>
      </c>
      <c r="J4628">
        <v>-364.13959999999997</v>
      </c>
      <c r="K4628">
        <v>1.11225</v>
      </c>
      <c r="L4628">
        <v>19.085909999999998</v>
      </c>
      <c r="M4628">
        <v>0.9937897</v>
      </c>
      <c r="N4628">
        <v>-1.413765E-2</v>
      </c>
      <c r="O4628">
        <v>-0.1103727</v>
      </c>
      <c r="P4628">
        <v>0.91121160000000001</v>
      </c>
      <c r="Q4628">
        <v>0.4073927</v>
      </c>
      <c r="R4628">
        <v>-6.103169E-2</v>
      </c>
      <c r="S4628">
        <v>3.49173</v>
      </c>
      <c r="T4628">
        <v>-0.52042390000000005</v>
      </c>
      <c r="U4628">
        <v>-0.50286869999999995</v>
      </c>
      <c r="V4628">
        <v>-4.0931299999999997E-2</v>
      </c>
      <c r="W4628">
        <v>0.42015409999999997</v>
      </c>
      <c r="X4628">
        <v>0.90652920000000003</v>
      </c>
      <c r="Y4628">
        <v>3.2998670000000001E-2</v>
      </c>
      <c r="Z4628">
        <v>1.2001070000000001E-2</v>
      </c>
      <c r="AA4628">
        <v>0.99938329999999997</v>
      </c>
      <c r="AB4628">
        <v>28</v>
      </c>
      <c r="AC4628">
        <v>0.52129999999999599</v>
      </c>
      <c r="AD4628">
        <v>-0.121368799999999</v>
      </c>
      <c r="AE4628">
        <v>-8.5810000000002107E-2</v>
      </c>
      <c r="AF4628">
        <v>2.63518607522495E-2</v>
      </c>
      <c r="AG4628">
        <v>-0.121368799999999</v>
      </c>
      <c r="AH4628">
        <v>0.50113881533458604</v>
      </c>
      <c r="AI4628">
        <v>103.596015623692</v>
      </c>
      <c r="AJ4628">
        <v>86.989933634570903</v>
      </c>
      <c r="AK4628">
        <v>0.51629925277255495</v>
      </c>
      <c r="AL4628">
        <v>65.155683544163395</v>
      </c>
      <c r="AM4628">
        <v>92.5852438007974</v>
      </c>
      <c r="AN4628">
        <v>1.00000001475957</v>
      </c>
    </row>
    <row r="4629" spans="1:40" x14ac:dyDescent="0.25">
      <c r="A4629" t="str">
        <f>"20190304164738950"</f>
        <v>20190304164738950</v>
      </c>
      <c r="B4629" t="str">
        <f>"1551689258943867"</f>
        <v>1551689258943867</v>
      </c>
      <c r="C4629" t="s">
        <v>40</v>
      </c>
      <c r="D4629">
        <v>4.6992989999999999</v>
      </c>
      <c r="E4629">
        <v>0.55366119999999996</v>
      </c>
      <c r="F4629" t="s">
        <v>41</v>
      </c>
      <c r="G4629">
        <v>-363.36500000000001</v>
      </c>
      <c r="H4629">
        <v>0.99671160000000003</v>
      </c>
      <c r="I4629">
        <v>18.973549999999999</v>
      </c>
      <c r="J4629">
        <v>-363.85840000000002</v>
      </c>
      <c r="K4629">
        <v>1.112317</v>
      </c>
      <c r="L4629">
        <v>19.056180000000001</v>
      </c>
      <c r="M4629">
        <v>0.99394979999999999</v>
      </c>
      <c r="N4629">
        <v>-1.413525E-2</v>
      </c>
      <c r="O4629">
        <v>-0.10892300000000001</v>
      </c>
      <c r="P4629">
        <v>0.91158130000000004</v>
      </c>
      <c r="Q4629">
        <v>0.40652640000000001</v>
      </c>
      <c r="R4629">
        <v>-6.1284419999999999E-2</v>
      </c>
      <c r="S4629">
        <v>3.4913940000000001</v>
      </c>
      <c r="T4629">
        <v>-0.52090199999999998</v>
      </c>
      <c r="U4629">
        <v>-0.50469969999999997</v>
      </c>
      <c r="V4629">
        <v>-3.9452979999999999E-2</v>
      </c>
      <c r="W4629">
        <v>0.41928929999999998</v>
      </c>
      <c r="X4629">
        <v>0.906995</v>
      </c>
      <c r="Y4629">
        <v>3.494912E-2</v>
      </c>
      <c r="Z4629">
        <v>1.1665E-2</v>
      </c>
      <c r="AA4629">
        <v>0.99932100000000001</v>
      </c>
      <c r="AB4629">
        <v>28</v>
      </c>
      <c r="AC4629">
        <v>0.493400000000008</v>
      </c>
      <c r="AD4629">
        <v>-0.115605399999999</v>
      </c>
      <c r="AE4629">
        <v>-8.2629999999998205E-2</v>
      </c>
      <c r="AF4629">
        <v>2.69510952550099E-2</v>
      </c>
      <c r="AG4629">
        <v>-0.115605399999999</v>
      </c>
      <c r="AH4629">
        <v>0.474145386323367</v>
      </c>
      <c r="AI4629">
        <v>103.68116776411</v>
      </c>
      <c r="AJ4629">
        <v>86.7467274517508</v>
      </c>
      <c r="AK4629">
        <v>0.48877890443056099</v>
      </c>
      <c r="AL4629">
        <v>65.210273638521301</v>
      </c>
      <c r="AM4629">
        <v>92.490714006306703</v>
      </c>
      <c r="AN4629">
        <v>0.999999992375185</v>
      </c>
    </row>
    <row r="4630" spans="1:40" x14ac:dyDescent="0.25">
      <c r="A4630" t="str">
        <f>"20190304164738964"</f>
        <v>20190304164738964</v>
      </c>
      <c r="B4630" t="str">
        <f>"1551689258953626"</f>
        <v>1551689258953626</v>
      </c>
      <c r="C4630" t="s">
        <v>40</v>
      </c>
      <c r="D4630">
        <v>4.7152900000000004</v>
      </c>
      <c r="E4630">
        <v>0.55380369999999901</v>
      </c>
      <c r="F4630" t="s">
        <v>41</v>
      </c>
      <c r="G4630">
        <v>-363.113</v>
      </c>
      <c r="H4630">
        <v>1.0005710000000001</v>
      </c>
      <c r="I4630">
        <v>18.94753</v>
      </c>
      <c r="J4630">
        <v>-363.6909</v>
      </c>
      <c r="K4630">
        <v>1.112358</v>
      </c>
      <c r="L4630">
        <v>19.038789999999999</v>
      </c>
      <c r="M4630">
        <v>0.99404729999999997</v>
      </c>
      <c r="N4630">
        <v>-1.4133919999999999E-2</v>
      </c>
      <c r="O4630">
        <v>-0.10802879999999999</v>
      </c>
      <c r="P4630">
        <v>0.91188089999999999</v>
      </c>
      <c r="Q4630">
        <v>0.40579870000000001</v>
      </c>
      <c r="R4630">
        <v>-6.1651449999999997E-2</v>
      </c>
      <c r="S4630">
        <v>3.490265</v>
      </c>
      <c r="T4630">
        <v>-0.52336910000000003</v>
      </c>
      <c r="U4630">
        <v>-0.50796509999999995</v>
      </c>
      <c r="V4630">
        <v>-3.8332619999999998E-2</v>
      </c>
      <c r="W4630">
        <v>0.41856579999999899</v>
      </c>
      <c r="X4630">
        <v>0.90737719999999999</v>
      </c>
      <c r="Y4630">
        <v>3.6786270000000003E-2</v>
      </c>
      <c r="Z4630">
        <v>1.146314E-2</v>
      </c>
      <c r="AA4630">
        <v>0.99925739999999996</v>
      </c>
      <c r="AB4630">
        <v>28</v>
      </c>
      <c r="AC4630">
        <v>0.57789999999994202</v>
      </c>
      <c r="AD4630">
        <v>-0.111787</v>
      </c>
      <c r="AE4630">
        <v>-9.1259999999998301E-2</v>
      </c>
      <c r="AF4630">
        <v>2.7293332569194199E-2</v>
      </c>
      <c r="AG4630">
        <v>-0.111787</v>
      </c>
      <c r="AH4630">
        <v>0.56379439512020602</v>
      </c>
      <c r="AI4630">
        <v>101.202146010558</v>
      </c>
      <c r="AJ4630">
        <v>87.2284703574595</v>
      </c>
      <c r="AK4630">
        <v>0.57541756954466705</v>
      </c>
      <c r="AL4630">
        <v>65.255927827780695</v>
      </c>
      <c r="AM4630">
        <v>92.419051498700796</v>
      </c>
      <c r="AN4630">
        <v>1.00000005088277</v>
      </c>
    </row>
    <row r="4631" spans="1:40" x14ac:dyDescent="0.25">
      <c r="A4631" t="str">
        <f>"20190304164738977"</f>
        <v>20190304164738977</v>
      </c>
      <c r="B4631" t="str">
        <f>"1551689258974123"</f>
        <v>1551689258974123</v>
      </c>
      <c r="C4631" t="s">
        <v>40</v>
      </c>
      <c r="D4631">
        <v>4.6911250000000004</v>
      </c>
      <c r="E4631">
        <v>0.5541644</v>
      </c>
      <c r="F4631" t="s">
        <v>41</v>
      </c>
      <c r="G4631">
        <v>-362.86950000000002</v>
      </c>
      <c r="H4631">
        <v>0.98842470000000004</v>
      </c>
      <c r="I4631">
        <v>18.918800000000001</v>
      </c>
      <c r="J4631">
        <v>-363.53309999999999</v>
      </c>
      <c r="K4631">
        <v>1.1123890000000001</v>
      </c>
      <c r="L4631">
        <v>19.022490000000001</v>
      </c>
      <c r="M4631">
        <v>0.99413980000000002</v>
      </c>
      <c r="N4631">
        <v>-1.413267E-2</v>
      </c>
      <c r="O4631">
        <v>-0.1071744</v>
      </c>
      <c r="P4631">
        <v>0.91191330000000004</v>
      </c>
      <c r="Q4631">
        <v>0.40561180000000002</v>
      </c>
      <c r="R4631">
        <v>-6.239749E-2</v>
      </c>
      <c r="S4631">
        <v>3.4898380000000002</v>
      </c>
      <c r="T4631">
        <v>-0.52660269999999898</v>
      </c>
      <c r="U4631">
        <v>-0.50894170000000005</v>
      </c>
      <c r="V4631">
        <v>-3.6839410000000003E-2</v>
      </c>
      <c r="W4631">
        <v>0.41838140000000001</v>
      </c>
      <c r="X4631">
        <v>0.907524</v>
      </c>
      <c r="Y4631">
        <v>3.792309E-2</v>
      </c>
      <c r="Z4631">
        <v>1.133819E-2</v>
      </c>
      <c r="AA4631">
        <v>0.99921629999999995</v>
      </c>
      <c r="AB4631">
        <v>28</v>
      </c>
      <c r="AC4631">
        <v>0.66359999999997399</v>
      </c>
      <c r="AD4631">
        <v>-0.123964299999999</v>
      </c>
      <c r="AE4631">
        <v>-0.10368999999999599</v>
      </c>
      <c r="AF4631">
        <v>3.0911621063003498E-2</v>
      </c>
      <c r="AG4631">
        <v>-0.123964299999999</v>
      </c>
      <c r="AH4631">
        <v>0.64879023836655203</v>
      </c>
      <c r="AI4631">
        <v>100.80515343534</v>
      </c>
      <c r="AJ4631">
        <v>87.272204515328696</v>
      </c>
      <c r="AK4631">
        <v>0.66124991447331105</v>
      </c>
      <c r="AL4631">
        <v>65.267558711079005</v>
      </c>
      <c r="AM4631">
        <v>92.324549526825706</v>
      </c>
      <c r="AN4631">
        <v>0.99999997428555298</v>
      </c>
    </row>
    <row r="4632" spans="1:40" x14ac:dyDescent="0.25">
      <c r="A4632" t="str">
        <f>"20190304164738993"</f>
        <v>20190304164738993</v>
      </c>
      <c r="B4632" t="str">
        <f>"1551689258983886"</f>
        <v>1551689258983886</v>
      </c>
      <c r="C4632" t="s">
        <v>40</v>
      </c>
      <c r="D4632">
        <v>4.6898790000000004</v>
      </c>
      <c r="E4632">
        <v>0.55432669999999995</v>
      </c>
      <c r="F4632" t="s">
        <v>41</v>
      </c>
      <c r="G4632">
        <v>-362.6268</v>
      </c>
      <c r="H4632">
        <v>0.97575619999999996</v>
      </c>
      <c r="I4632">
        <v>18.8889</v>
      </c>
      <c r="J4632">
        <v>-363.31700000000001</v>
      </c>
      <c r="K4632">
        <v>1.1124210000000001</v>
      </c>
      <c r="L4632">
        <v>19.000430000000001</v>
      </c>
      <c r="M4632">
        <v>0.99426789999999998</v>
      </c>
      <c r="N4632">
        <v>-1.4131039999999999E-2</v>
      </c>
      <c r="O4632">
        <v>-0.10598100000000001</v>
      </c>
      <c r="P4632">
        <v>0.9123597</v>
      </c>
      <c r="Q4632">
        <v>0.40433730000000001</v>
      </c>
      <c r="R4632">
        <v>-6.4121449999999997E-2</v>
      </c>
      <c r="S4632">
        <v>3.4885860000000002</v>
      </c>
      <c r="T4632">
        <v>-0.52597749999999999</v>
      </c>
      <c r="U4632">
        <v>-0.5137024</v>
      </c>
      <c r="V4632">
        <v>-3.4107480000000003E-2</v>
      </c>
      <c r="W4632">
        <v>0.41711969999999998</v>
      </c>
      <c r="X4632">
        <v>0.9082114</v>
      </c>
      <c r="Y4632">
        <v>4.0466130000000003E-2</v>
      </c>
      <c r="Z4632">
        <v>1.0958620000000001E-2</v>
      </c>
      <c r="AA4632">
        <v>0.99912080000000003</v>
      </c>
      <c r="AB4632">
        <v>28</v>
      </c>
      <c r="AC4632">
        <v>0.69019999999994697</v>
      </c>
      <c r="AD4632">
        <v>-0.136664799999999</v>
      </c>
      <c r="AE4632">
        <v>-0.11152999999999801</v>
      </c>
      <c r="AF4632">
        <v>3.63571935155989E-2</v>
      </c>
      <c r="AG4632">
        <v>-0.136664799999999</v>
      </c>
      <c r="AH4632">
        <v>0.67243991875559606</v>
      </c>
      <c r="AI4632">
        <v>101.471854123206</v>
      </c>
      <c r="AJ4632">
        <v>86.905169694449597</v>
      </c>
      <c r="AK4632">
        <v>0.68714958881993304</v>
      </c>
      <c r="AL4632">
        <v>65.347126270384905</v>
      </c>
      <c r="AM4632">
        <v>92.150707120419995</v>
      </c>
      <c r="AN4632">
        <v>1.00000005570499</v>
      </c>
    </row>
    <row r="4633" spans="1:40" x14ac:dyDescent="0.25">
      <c r="A4633" t="str">
        <f>"20190304164739007"</f>
        <v>20190304164739007</v>
      </c>
      <c r="B4633" t="str">
        <f>"1551689259003402"</f>
        <v>1551689259003402</v>
      </c>
      <c r="C4633" t="s">
        <v>40</v>
      </c>
      <c r="D4633">
        <v>4.7121729999999999</v>
      </c>
      <c r="E4633">
        <v>0.55463030000000002</v>
      </c>
      <c r="F4633" t="s">
        <v>41</v>
      </c>
      <c r="G4633">
        <v>-362.61149999999998</v>
      </c>
      <c r="H4633">
        <v>1.0051000000000001</v>
      </c>
      <c r="I4633">
        <v>18.894950000000001</v>
      </c>
      <c r="J4633">
        <v>-363.1558</v>
      </c>
      <c r="K4633">
        <v>1.11243799999999</v>
      </c>
      <c r="L4633">
        <v>18.984220000000001</v>
      </c>
      <c r="M4633">
        <v>0.99436420000000003</v>
      </c>
      <c r="N4633">
        <v>-1.4129559999999999E-2</v>
      </c>
      <c r="O4633">
        <v>-0.105073</v>
      </c>
      <c r="P4633">
        <v>0.91269800000000001</v>
      </c>
      <c r="Q4633">
        <v>0.40352369999999999</v>
      </c>
      <c r="R4633">
        <v>-6.4430249999999994E-2</v>
      </c>
      <c r="S4633">
        <v>3.4866329999999999</v>
      </c>
      <c r="T4633">
        <v>-0.53040269999999901</v>
      </c>
      <c r="U4633">
        <v>-0.52056880000000005</v>
      </c>
      <c r="V4633">
        <v>-3.3017449999999997E-2</v>
      </c>
      <c r="W4633">
        <v>0.41631170000000001</v>
      </c>
      <c r="X4633">
        <v>0.90862229999999999</v>
      </c>
      <c r="Y4633">
        <v>4.3351019999999997E-2</v>
      </c>
      <c r="Z4633">
        <v>1.070951E-2</v>
      </c>
      <c r="AA4633">
        <v>0.99900250000000002</v>
      </c>
      <c r="AB4633">
        <v>28</v>
      </c>
      <c r="AC4633">
        <v>0.54430000000002099</v>
      </c>
      <c r="AD4633">
        <v>-0.107337999999999</v>
      </c>
      <c r="AE4633">
        <v>-8.9269999999999003E-2</v>
      </c>
      <c r="AF4633">
        <v>3.04265360256901E-2</v>
      </c>
      <c r="AG4633">
        <v>-0.107337999999999</v>
      </c>
      <c r="AH4633">
        <v>0.53057405427353199</v>
      </c>
      <c r="AI4633">
        <v>101.41861936402999</v>
      </c>
      <c r="AJ4633">
        <v>86.717885429808604</v>
      </c>
      <c r="AK4633">
        <v>0.54217713655850097</v>
      </c>
      <c r="AL4633">
        <v>65.398053211555094</v>
      </c>
      <c r="AM4633">
        <v>92.081094134692194</v>
      </c>
      <c r="AN4633">
        <v>1.00000003380934</v>
      </c>
    </row>
    <row r="4634" spans="1:40" x14ac:dyDescent="0.25">
      <c r="A4634" t="str">
        <f>"20190304164739022"</f>
        <v>20190304164739022</v>
      </c>
      <c r="B4634" t="str">
        <f>"1551689259014138"</f>
        <v>1551689259014138</v>
      </c>
      <c r="C4634" t="s">
        <v>40</v>
      </c>
      <c r="D4634">
        <v>4.7128399999999999</v>
      </c>
      <c r="E4634">
        <v>0.55477489999999996</v>
      </c>
      <c r="F4634" t="s">
        <v>41</v>
      </c>
      <c r="G4634">
        <v>-362.36900000000003</v>
      </c>
      <c r="H4634">
        <v>0.99238490000000001</v>
      </c>
      <c r="I4634">
        <v>18.865680000000001</v>
      </c>
      <c r="J4634">
        <v>-362.9665</v>
      </c>
      <c r="K4634">
        <v>1.1124529999999999</v>
      </c>
      <c r="L4634">
        <v>18.96536</v>
      </c>
      <c r="M4634">
        <v>0.99447700000000006</v>
      </c>
      <c r="N4634">
        <v>-1.4127799999999999E-2</v>
      </c>
      <c r="O4634">
        <v>-0.10399949999999999</v>
      </c>
      <c r="P4634">
        <v>0.91285590000000005</v>
      </c>
      <c r="Q4634">
        <v>0.40307209999999899</v>
      </c>
      <c r="R4634">
        <v>-6.5015149999999994E-2</v>
      </c>
      <c r="S4634">
        <v>3.484985</v>
      </c>
      <c r="T4634">
        <v>-0.53174940000000004</v>
      </c>
      <c r="U4634">
        <v>-0.52474980000000004</v>
      </c>
      <c r="V4634">
        <v>-3.1479880000000002E-2</v>
      </c>
      <c r="W4634">
        <v>0.4158655</v>
      </c>
      <c r="X4634">
        <v>0.9088811</v>
      </c>
      <c r="Y4634">
        <v>4.5635799999999997E-2</v>
      </c>
      <c r="Z4634">
        <v>1.0411439999999999E-2</v>
      </c>
      <c r="AA4634">
        <v>0.99890389999999996</v>
      </c>
      <c r="AB4634">
        <v>28</v>
      </c>
      <c r="AC4634">
        <v>0.59749999999996795</v>
      </c>
      <c r="AD4634">
        <v>-0.1200681</v>
      </c>
      <c r="AE4634">
        <v>-9.9680000000002794E-2</v>
      </c>
      <c r="AF4634">
        <v>3.5595009519297602E-2</v>
      </c>
      <c r="AG4634">
        <v>-0.1200681</v>
      </c>
      <c r="AH4634">
        <v>0.58177055195100102</v>
      </c>
      <c r="AI4634">
        <v>101.640030460441</v>
      </c>
      <c r="AJ4634">
        <v>86.498783509807495</v>
      </c>
      <c r="AK4634">
        <v>0.59509690677877103</v>
      </c>
      <c r="AL4634">
        <v>65.4261663849732</v>
      </c>
      <c r="AM4634">
        <v>91.983695701522507</v>
      </c>
      <c r="AN4634">
        <v>0.99999997543613595</v>
      </c>
    </row>
    <row r="4635" spans="1:40" x14ac:dyDescent="0.25">
      <c r="A4635" t="str">
        <f>"20190304164739042"</f>
        <v>20190304164739042</v>
      </c>
      <c r="B4635" t="str">
        <f>"1551689259033658"</f>
        <v>1551689259033658</v>
      </c>
      <c r="C4635" t="s">
        <v>40</v>
      </c>
      <c r="D4635">
        <v>4.714639</v>
      </c>
      <c r="E4635">
        <v>0.55500669999999996</v>
      </c>
      <c r="F4635" t="s">
        <v>41</v>
      </c>
      <c r="G4635">
        <v>-362.12470000000002</v>
      </c>
      <c r="H4635">
        <v>0.98380489999999998</v>
      </c>
      <c r="I4635">
        <v>18.837260000000001</v>
      </c>
      <c r="J4635">
        <v>-362.72469999999998</v>
      </c>
      <c r="K4635">
        <v>1.1124609999999999</v>
      </c>
      <c r="L4635">
        <v>18.941559999999999</v>
      </c>
      <c r="M4635">
        <v>0.99462070000000002</v>
      </c>
      <c r="N4635">
        <v>-1.4125550000000001E-2</v>
      </c>
      <c r="O4635">
        <v>-0.1026165</v>
      </c>
      <c r="P4635">
        <v>0.91271349999999996</v>
      </c>
      <c r="Q4635">
        <v>0.4031537</v>
      </c>
      <c r="R4635">
        <v>-6.6494360000000002E-2</v>
      </c>
      <c r="S4635">
        <v>3.4837340000000001</v>
      </c>
      <c r="T4635">
        <v>-0.5324854</v>
      </c>
      <c r="U4635">
        <v>-0.52969359999999999</v>
      </c>
      <c r="V4635">
        <v>-2.8735130000000001E-2</v>
      </c>
      <c r="W4635">
        <v>0.41595270000000001</v>
      </c>
      <c r="X4635">
        <v>0.90893210000000002</v>
      </c>
      <c r="Y4635">
        <v>4.8417929999999998E-2</v>
      </c>
      <c r="Z4635">
        <v>1.0013319999999999E-2</v>
      </c>
      <c r="AA4635">
        <v>0.99877700000000003</v>
      </c>
      <c r="AB4635">
        <v>28</v>
      </c>
      <c r="AC4635">
        <v>0.59999999999996501</v>
      </c>
      <c r="AD4635">
        <v>-0.1286561</v>
      </c>
      <c r="AE4635">
        <v>-0.10429999999999801</v>
      </c>
      <c r="AF4635">
        <v>4.0371458891658697E-2</v>
      </c>
      <c r="AG4635">
        <v>-0.1286561</v>
      </c>
      <c r="AH4635">
        <v>0.58157988712078001</v>
      </c>
      <c r="AI4635">
        <v>102.444969169263</v>
      </c>
      <c r="AJ4635">
        <v>86.029076038499497</v>
      </c>
      <c r="AK4635">
        <v>0.59700704507038305</v>
      </c>
      <c r="AL4635">
        <v>65.4206720579826</v>
      </c>
      <c r="AM4635">
        <v>91.810755170520295</v>
      </c>
      <c r="AN4635">
        <v>0.999999959371907</v>
      </c>
    </row>
    <row r="4636" spans="1:40" x14ac:dyDescent="0.25">
      <c r="A4636" t="str">
        <f>"20190304164739063"</f>
        <v>20190304164739063</v>
      </c>
      <c r="B4636" t="str">
        <f>"1551689259053791"</f>
        <v>1551689259053791</v>
      </c>
      <c r="C4636" t="s">
        <v>40</v>
      </c>
      <c r="D4636">
        <v>4.627929</v>
      </c>
      <c r="E4636">
        <v>0.55499469999999995</v>
      </c>
      <c r="F4636" t="s">
        <v>41</v>
      </c>
      <c r="G4636">
        <v>-361.8766</v>
      </c>
      <c r="H4636">
        <v>0.9833018</v>
      </c>
      <c r="I4636">
        <v>18.809449999999998</v>
      </c>
      <c r="J4636">
        <v>-362.45740000000001</v>
      </c>
      <c r="K4636">
        <v>1.112463</v>
      </c>
      <c r="L4636">
        <v>18.915679999999998</v>
      </c>
      <c r="M4636">
        <v>0.9947783</v>
      </c>
      <c r="N4636">
        <v>-1.41229999999999E-2</v>
      </c>
      <c r="O4636">
        <v>-0.10107869999999999</v>
      </c>
      <c r="P4636">
        <v>0.91238920000000001</v>
      </c>
      <c r="Q4636">
        <v>0.40354420000000002</v>
      </c>
      <c r="R4636">
        <v>-6.8544820000000006E-2</v>
      </c>
      <c r="S4636">
        <v>3.4817499999999999</v>
      </c>
      <c r="T4636">
        <v>-0.53033799999999998</v>
      </c>
      <c r="U4636">
        <v>-0.54159550000000001</v>
      </c>
      <c r="V4636">
        <v>-2.5254349999999998E-2</v>
      </c>
      <c r="W4636">
        <v>0.41634989999999999</v>
      </c>
      <c r="X4636">
        <v>0.90885369999999999</v>
      </c>
      <c r="Y4636">
        <v>5.3303780000000002E-2</v>
      </c>
      <c r="Z4636">
        <v>9.3588869999999998E-3</v>
      </c>
      <c r="AA4636">
        <v>0.99853449999999999</v>
      </c>
      <c r="AB4636">
        <v>28</v>
      </c>
      <c r="AC4636">
        <v>0.58080000000000997</v>
      </c>
      <c r="AD4636">
        <v>-0.129161199999999</v>
      </c>
      <c r="AE4636">
        <v>-0.10623</v>
      </c>
      <c r="AF4636">
        <v>4.4828249624399998E-2</v>
      </c>
      <c r="AG4636">
        <v>-0.129161199999999</v>
      </c>
      <c r="AH4636">
        <v>0.56168450096523403</v>
      </c>
      <c r="AI4636">
        <v>102.910551775909</v>
      </c>
      <c r="AJ4636">
        <v>85.436874627256302</v>
      </c>
      <c r="AK4636">
        <v>0.57808448013624403</v>
      </c>
      <c r="AL4636">
        <v>65.395645990583503</v>
      </c>
      <c r="AM4636">
        <v>91.591670288853095</v>
      </c>
      <c r="AN4636">
        <v>1.00000003471381</v>
      </c>
    </row>
    <row r="4637" spans="1:40" x14ac:dyDescent="0.25">
      <c r="A4637" t="str">
        <f>"20190304164739084"</f>
        <v>20190304164739084</v>
      </c>
      <c r="B4637" t="str">
        <f>"1551689259073307"</f>
        <v>1551689259073307</v>
      </c>
      <c r="C4637" t="s">
        <v>40</v>
      </c>
      <c r="D4637">
        <v>4.7994690000000002</v>
      </c>
      <c r="E4637">
        <v>0.53936919999999899</v>
      </c>
      <c r="F4637" t="s">
        <v>41</v>
      </c>
      <c r="G4637">
        <v>-361.62670000000003</v>
      </c>
      <c r="H4637">
        <v>0.9864889</v>
      </c>
      <c r="I4637">
        <v>18.783999999999999</v>
      </c>
      <c r="J4637">
        <v>-362.20310000000001</v>
      </c>
      <c r="K4637">
        <v>1.11246</v>
      </c>
      <c r="L4637">
        <v>18.891480000000001</v>
      </c>
      <c r="M4637">
        <v>0.99492590000000003</v>
      </c>
      <c r="N4637">
        <v>-1.4120529999999999E-2</v>
      </c>
      <c r="O4637">
        <v>-9.9614519999999998E-2</v>
      </c>
      <c r="P4637">
        <v>0.91229389999999999</v>
      </c>
      <c r="Q4637">
        <v>0.4033755</v>
      </c>
      <c r="R4637">
        <v>-7.0769559999999995E-2</v>
      </c>
      <c r="S4637">
        <v>3.4801030000000002</v>
      </c>
      <c r="T4637">
        <v>-0.52776109999999998</v>
      </c>
      <c r="U4637">
        <v>-0.5515137</v>
      </c>
      <c r="V4637">
        <v>-2.1683580000000001E-2</v>
      </c>
      <c r="W4637">
        <v>0.41619119999999998</v>
      </c>
      <c r="X4637">
        <v>0.90901849999999995</v>
      </c>
      <c r="Y4637">
        <v>5.75535E-2</v>
      </c>
      <c r="Z4637">
        <v>8.7619589999999997E-3</v>
      </c>
      <c r="AA4637">
        <v>0.99830390000000002</v>
      </c>
      <c r="AB4637">
        <v>28</v>
      </c>
      <c r="AC4637">
        <v>0.57639999999997804</v>
      </c>
      <c r="AD4637">
        <v>-0.125971099999999</v>
      </c>
      <c r="AE4637">
        <v>-0.107479999999995</v>
      </c>
      <c r="AF4637">
        <v>4.7336777919029897E-2</v>
      </c>
      <c r="AG4637">
        <v>-0.125971099999999</v>
      </c>
      <c r="AH4637">
        <v>0.55846242287445202</v>
      </c>
      <c r="AI4637">
        <v>102.667389814841</v>
      </c>
      <c r="AJ4637">
        <v>85.155036609335895</v>
      </c>
      <c r="AK4637">
        <v>0.574447357328563</v>
      </c>
      <c r="AL4637">
        <v>65.405644584074096</v>
      </c>
      <c r="AM4637">
        <v>91.366465104082195</v>
      </c>
      <c r="AN4637">
        <v>0.99999996297065197</v>
      </c>
    </row>
    <row r="4638" spans="1:40" x14ac:dyDescent="0.25">
      <c r="A4638" t="str">
        <f>"20190304164739098"</f>
        <v>20190304164739098</v>
      </c>
      <c r="B4638" t="str">
        <f>"1551689259093804"</f>
        <v>1551689259093804</v>
      </c>
      <c r="C4638" t="s">
        <v>40</v>
      </c>
      <c r="D4638">
        <v>4.6147879999999999</v>
      </c>
      <c r="E4638">
        <v>0.53871210000000003</v>
      </c>
      <c r="F4638" t="s">
        <v>41</v>
      </c>
      <c r="G4638">
        <v>-361.37240000000003</v>
      </c>
      <c r="H4638">
        <v>0.99250349999999998</v>
      </c>
      <c r="I4638">
        <v>18.78688</v>
      </c>
      <c r="J4638">
        <v>-362.02699999999999</v>
      </c>
      <c r="K4638">
        <v>1.112455</v>
      </c>
      <c r="L4638">
        <v>18.87491</v>
      </c>
      <c r="M4638">
        <v>0.99502679999999999</v>
      </c>
      <c r="N4638">
        <v>-1.4118800000000001E-2</v>
      </c>
      <c r="O4638">
        <v>-9.8602380000000003E-2</v>
      </c>
      <c r="P4638">
        <v>0.91225990000000001</v>
      </c>
      <c r="Q4638">
        <v>0.40333619999999998</v>
      </c>
      <c r="R4638">
        <v>-7.1430300000000002E-2</v>
      </c>
      <c r="S4638">
        <v>3.4765630000000001</v>
      </c>
      <c r="T4638">
        <v>-0.50212939999999995</v>
      </c>
      <c r="U4638">
        <v>-0.436554</v>
      </c>
      <c r="V4638">
        <v>-2.0090090000000001E-2</v>
      </c>
      <c r="W4638">
        <v>0.41615609999999997</v>
      </c>
      <c r="X4638">
        <v>0.90907119999999997</v>
      </c>
      <c r="Y4638">
        <v>2.6656820000000001E-2</v>
      </c>
      <c r="Z4638">
        <v>1.059247E-2</v>
      </c>
      <c r="AA4638">
        <v>0.99958849999999999</v>
      </c>
      <c r="AB4638">
        <v>28</v>
      </c>
      <c r="AC4638">
        <v>0.65459999999995899</v>
      </c>
      <c r="AD4638">
        <v>-0.1199515</v>
      </c>
      <c r="AE4638">
        <v>-8.8029999999999803E-2</v>
      </c>
      <c r="AF4638">
        <v>2.2313447928582399E-2</v>
      </c>
      <c r="AG4638">
        <v>-0.1199515</v>
      </c>
      <c r="AH4638">
        <v>0.63901437233623004</v>
      </c>
      <c r="AI4638">
        <v>100.625133160376</v>
      </c>
      <c r="AJ4638">
        <v>88.000127673767096</v>
      </c>
      <c r="AK4638">
        <v>0.650557930059251</v>
      </c>
      <c r="AL4638">
        <v>65.407856721353994</v>
      </c>
      <c r="AM4638">
        <v>91.266006479859499</v>
      </c>
      <c r="AN4638">
        <v>0.99999997897642801</v>
      </c>
    </row>
    <row r="4639" spans="1:40" x14ac:dyDescent="0.25">
      <c r="A4639" t="str">
        <f>"20190304164739118"</f>
        <v>20190304164739118</v>
      </c>
      <c r="B4639" t="str">
        <f>"1551689259114300"</f>
        <v>1551689259114300</v>
      </c>
      <c r="C4639" t="s">
        <v>40</v>
      </c>
      <c r="D4639">
        <v>4.702966</v>
      </c>
      <c r="E4639">
        <v>0.53745659999999995</v>
      </c>
      <c r="F4639" t="s">
        <v>41</v>
      </c>
      <c r="G4639">
        <v>-361.12880000000001</v>
      </c>
      <c r="H4639">
        <v>0.98390290000000002</v>
      </c>
      <c r="I4639">
        <v>18.762969999999999</v>
      </c>
      <c r="J4639">
        <v>-361.77890000000002</v>
      </c>
      <c r="K4639">
        <v>1.112455</v>
      </c>
      <c r="L4639">
        <v>18.851870000000002</v>
      </c>
      <c r="M4639">
        <v>0.99516680000000002</v>
      </c>
      <c r="N4639">
        <v>-1.411638E-2</v>
      </c>
      <c r="O4639">
        <v>-9.7180199999999994E-2</v>
      </c>
      <c r="P4639">
        <v>0.91261490000000001</v>
      </c>
      <c r="Q4639">
        <v>0.40217979999999998</v>
      </c>
      <c r="R4639">
        <v>-7.3387369999999993E-2</v>
      </c>
      <c r="S4639">
        <v>3.4744259999999998</v>
      </c>
      <c r="T4639">
        <v>-0.49724049999999997</v>
      </c>
      <c r="U4639">
        <v>-0.43316650000000001</v>
      </c>
      <c r="V4639">
        <v>-1.6861549999999999E-2</v>
      </c>
      <c r="W4639">
        <v>0.41501500000000002</v>
      </c>
      <c r="X4639">
        <v>0.90965830000000003</v>
      </c>
      <c r="Y4639">
        <v>2.717379E-2</v>
      </c>
      <c r="Z4639">
        <v>1.0262769999999999E-2</v>
      </c>
      <c r="AA4639">
        <v>0.99957810000000002</v>
      </c>
      <c r="AB4639">
        <v>28</v>
      </c>
      <c r="AC4639">
        <v>0.650100000000009</v>
      </c>
      <c r="AD4639">
        <v>-0.128552099999999</v>
      </c>
      <c r="AE4639">
        <v>-8.8899999999998799E-2</v>
      </c>
      <c r="AF4639">
        <v>2.43609253096536E-2</v>
      </c>
      <c r="AG4639">
        <v>-0.128552099999999</v>
      </c>
      <c r="AH4639">
        <v>0.63142578570147201</v>
      </c>
      <c r="AI4639">
        <v>101.499259803043</v>
      </c>
      <c r="AJ4639">
        <v>87.790577569846505</v>
      </c>
      <c r="AK4639">
        <v>0.64483922022863505</v>
      </c>
      <c r="AL4639">
        <v>65.479738693810404</v>
      </c>
      <c r="AM4639">
        <v>91.0619207535985</v>
      </c>
      <c r="AN4639">
        <v>0.99999999242614601</v>
      </c>
    </row>
    <row r="4640" spans="1:40" x14ac:dyDescent="0.25">
      <c r="A4640" t="str">
        <f>"20190304164739131"</f>
        <v>20190304164739131</v>
      </c>
      <c r="B4640" t="str">
        <f>"1551689259124059"</f>
        <v>1551689259124059</v>
      </c>
      <c r="C4640" t="s">
        <v>40</v>
      </c>
      <c r="D4640">
        <v>4.8395799999999998</v>
      </c>
      <c r="E4640">
        <v>0.53736499999999998</v>
      </c>
      <c r="F4640" t="s">
        <v>41</v>
      </c>
      <c r="G4640">
        <v>-360.87630000000001</v>
      </c>
      <c r="H4640">
        <v>0.99396569999999995</v>
      </c>
      <c r="I4640">
        <v>18.738849999999999</v>
      </c>
      <c r="J4640">
        <v>-361.6</v>
      </c>
      <c r="K4640">
        <v>1.112452</v>
      </c>
      <c r="L4640">
        <v>18.83548</v>
      </c>
      <c r="M4640">
        <v>0.99526599999999998</v>
      </c>
      <c r="N4640">
        <v>-1.4114700000000001E-2</v>
      </c>
      <c r="O4640">
        <v>-9.6158060000000004E-2</v>
      </c>
      <c r="P4640">
        <v>0.91284010000000004</v>
      </c>
      <c r="Q4640">
        <v>0.40159790000000001</v>
      </c>
      <c r="R4640">
        <v>-7.3771859999999995E-2</v>
      </c>
      <c r="S4640">
        <v>3.4523009999999998</v>
      </c>
      <c r="T4640">
        <v>-0.45329809999999998</v>
      </c>
      <c r="U4640">
        <v>-0.4312744</v>
      </c>
      <c r="V4640">
        <v>-1.555606E-2</v>
      </c>
      <c r="W4640">
        <v>0.41443930000000001</v>
      </c>
      <c r="X4640">
        <v>0.90994399999999998</v>
      </c>
      <c r="Y4640">
        <v>2.8337830000000001E-2</v>
      </c>
      <c r="Z4640">
        <v>9.0929849999999996E-3</v>
      </c>
      <c r="AA4640">
        <v>0.99955700000000003</v>
      </c>
      <c r="AB4640">
        <v>28</v>
      </c>
      <c r="AC4640">
        <v>0.723700000000007</v>
      </c>
      <c r="AD4640">
        <v>-0.1184863</v>
      </c>
      <c r="AE4640">
        <v>-9.6630000000001104E-2</v>
      </c>
      <c r="AF4640">
        <v>2.5903429217864201E-2</v>
      </c>
      <c r="AG4640">
        <v>-0.1184863</v>
      </c>
      <c r="AH4640">
        <v>0.71091597808847695</v>
      </c>
      <c r="AI4640">
        <v>99.456184372464406</v>
      </c>
      <c r="AJ4640">
        <v>87.913254263120095</v>
      </c>
      <c r="AK4640">
        <v>0.72118757534668598</v>
      </c>
      <c r="AL4640">
        <v>65.515988600067999</v>
      </c>
      <c r="AM4640">
        <v>90.979411665839393</v>
      </c>
      <c r="AN4640">
        <v>1.0000000037615999</v>
      </c>
    </row>
    <row r="4641" spans="1:40" x14ac:dyDescent="0.25">
      <c r="A4641" t="str">
        <f>"20190304164739145"</f>
        <v>20190304164739145</v>
      </c>
      <c r="B4641" t="str">
        <f>"1551689259133821"</f>
        <v>1551689259133821</v>
      </c>
      <c r="C4641" t="s">
        <v>40</v>
      </c>
      <c r="D4641">
        <v>4.8278059999999998</v>
      </c>
      <c r="E4641">
        <v>0.53717079999999995</v>
      </c>
      <c r="F4641" t="s">
        <v>41</v>
      </c>
      <c r="G4641">
        <v>-360.8648</v>
      </c>
      <c r="H4641">
        <v>1.016246</v>
      </c>
      <c r="I4641">
        <v>18.743310000000001</v>
      </c>
      <c r="J4641">
        <v>-361.45049999999998</v>
      </c>
      <c r="K4641">
        <v>1.1124480000000001</v>
      </c>
      <c r="L4641">
        <v>18.821960000000001</v>
      </c>
      <c r="M4641">
        <v>0.99534800000000001</v>
      </c>
      <c r="N4641">
        <v>-1.4113209999999999E-2</v>
      </c>
      <c r="O4641">
        <v>-9.5306489999999994E-2</v>
      </c>
      <c r="P4641">
        <v>0.91309079999999998</v>
      </c>
      <c r="Q4641">
        <v>0.40093620000000002</v>
      </c>
      <c r="R4641">
        <v>-7.4266609999999997E-2</v>
      </c>
      <c r="S4641">
        <v>3.4502559999999902</v>
      </c>
      <c r="T4641">
        <v>-0.45166050000000002</v>
      </c>
      <c r="U4641">
        <v>-0.43130489999999999</v>
      </c>
      <c r="V4641">
        <v>-1.429939E-2</v>
      </c>
      <c r="W4641">
        <v>0.41378470000000001</v>
      </c>
      <c r="X4641">
        <v>0.91026249999999997</v>
      </c>
      <c r="Y4641">
        <v>2.9257680000000001E-2</v>
      </c>
      <c r="Z4641">
        <v>8.8970260000000006E-3</v>
      </c>
      <c r="AA4641">
        <v>0.99953230000000004</v>
      </c>
      <c r="AB4641">
        <v>28</v>
      </c>
      <c r="AC4641">
        <v>0.58569999999997402</v>
      </c>
      <c r="AD4641">
        <v>-9.6201999999999899E-2</v>
      </c>
      <c r="AE4641">
        <v>-7.8649999999999595E-2</v>
      </c>
      <c r="AF4641">
        <v>2.18853686270521E-2</v>
      </c>
      <c r="AG4641">
        <v>-9.6201999999999899E-2</v>
      </c>
      <c r="AH4641">
        <v>0.57528454377703897</v>
      </c>
      <c r="AI4641">
        <v>99.486711563722494</v>
      </c>
      <c r="AJ4641">
        <v>87.821365315230196</v>
      </c>
      <c r="AK4641">
        <v>0.58368321928311195</v>
      </c>
      <c r="AL4641">
        <v>65.557194360683695</v>
      </c>
      <c r="AM4641">
        <v>90.899990181607507</v>
      </c>
      <c r="AN4641">
        <v>1.0000000347073501</v>
      </c>
    </row>
    <row r="4642" spans="1:40" x14ac:dyDescent="0.25">
      <c r="A4642" t="str">
        <f>"20190304164739163"</f>
        <v>20190304164739163</v>
      </c>
      <c r="B4642" t="str">
        <f>"1551689259153847"</f>
        <v>1551689259153847</v>
      </c>
      <c r="C4642" t="s">
        <v>40</v>
      </c>
      <c r="D4642">
        <v>4.5922919999999996</v>
      </c>
      <c r="E4642">
        <v>0.53731209999999996</v>
      </c>
      <c r="F4642" t="s">
        <v>41</v>
      </c>
      <c r="G4642">
        <v>-360.62349999999998</v>
      </c>
      <c r="H4642">
        <v>1.004502</v>
      </c>
      <c r="I4642">
        <v>18.718509999999998</v>
      </c>
      <c r="J4642">
        <v>-361.2097</v>
      </c>
      <c r="K4642">
        <v>1.112444</v>
      </c>
      <c r="L4642">
        <v>18.800419999999999</v>
      </c>
      <c r="M4642">
        <v>0.99547830000000004</v>
      </c>
      <c r="N4642">
        <v>-1.411077E-2</v>
      </c>
      <c r="O4642">
        <v>-9.3936409999999998E-2</v>
      </c>
      <c r="P4642">
        <v>0.91358430000000002</v>
      </c>
      <c r="Q4642">
        <v>0.39969070000000001</v>
      </c>
      <c r="R4642">
        <v>-7.4910340000000006E-2</v>
      </c>
      <c r="S4642">
        <v>3.4481199999999999</v>
      </c>
      <c r="T4642">
        <v>-0.45010519999999998</v>
      </c>
      <c r="U4642">
        <v>-0.43099979999999899</v>
      </c>
      <c r="V4642">
        <v>-1.24367E-2</v>
      </c>
      <c r="W4642">
        <v>0.41255019999999998</v>
      </c>
      <c r="X4642">
        <v>0.91085000000000005</v>
      </c>
      <c r="Y4642">
        <v>3.0598710000000001E-2</v>
      </c>
      <c r="Z4642">
        <v>8.6146639999999993E-3</v>
      </c>
      <c r="AA4642">
        <v>0.99949460000000001</v>
      </c>
      <c r="AB4642">
        <v>28</v>
      </c>
      <c r="AC4642">
        <v>0.58620000000001904</v>
      </c>
      <c r="AD4642">
        <v>-0.107941999999999</v>
      </c>
      <c r="AE4642">
        <v>-8.1910000000000593E-2</v>
      </c>
      <c r="AF4642">
        <v>2.56245257652255E-2</v>
      </c>
      <c r="AG4642">
        <v>-0.107941999999999</v>
      </c>
      <c r="AH4642">
        <v>0.57227015859376296</v>
      </c>
      <c r="AI4642">
        <v>100.67122697171899</v>
      </c>
      <c r="AJ4642">
        <v>87.436180946398395</v>
      </c>
      <c r="AK4642">
        <v>0.58292471735346996</v>
      </c>
      <c r="AL4642">
        <v>65.634865429203899</v>
      </c>
      <c r="AM4642">
        <v>90.782265075963096</v>
      </c>
      <c r="AN4642">
        <v>1.00000003076346</v>
      </c>
    </row>
    <row r="4643" spans="1:40" x14ac:dyDescent="0.25">
      <c r="A4643" t="str">
        <f>"20190304164739184"</f>
        <v>20190304164739184</v>
      </c>
      <c r="B4643" t="str">
        <f>"1551689259173367"</f>
        <v>1551689259173367</v>
      </c>
      <c r="C4643" t="s">
        <v>40</v>
      </c>
      <c r="D4643">
        <v>4.6251730000000002</v>
      </c>
      <c r="E4643">
        <v>0.53758079999999997</v>
      </c>
      <c r="F4643" t="s">
        <v>41</v>
      </c>
      <c r="G4643">
        <v>-360.3766</v>
      </c>
      <c r="H4643">
        <v>1.0042530000000001</v>
      </c>
      <c r="I4643">
        <v>18.69511</v>
      </c>
      <c r="J4643">
        <v>-360.96170000000001</v>
      </c>
      <c r="K4643">
        <v>1.112436</v>
      </c>
      <c r="L4643">
        <v>18.778559999999999</v>
      </c>
      <c r="M4643">
        <v>0.9956102</v>
      </c>
      <c r="N4643">
        <v>-1.4108280000000001E-2</v>
      </c>
      <c r="O4643">
        <v>-9.2527810000000002E-2</v>
      </c>
      <c r="P4643">
        <v>0.91389980000000004</v>
      </c>
      <c r="Q4643">
        <v>0.3988814</v>
      </c>
      <c r="R4643">
        <v>-7.5372460000000002E-2</v>
      </c>
      <c r="S4643">
        <v>3.4438780000000002</v>
      </c>
      <c r="T4643">
        <v>-0.4473703</v>
      </c>
      <c r="U4643">
        <v>-0.4346313</v>
      </c>
      <c r="V4643">
        <v>-1.070276E-2</v>
      </c>
      <c r="W4643">
        <v>0.41174949999999999</v>
      </c>
      <c r="X4643">
        <v>0.91123419999999999</v>
      </c>
      <c r="Y4643">
        <v>3.3165159999999999E-2</v>
      </c>
      <c r="Z4643">
        <v>8.2210519999999995E-3</v>
      </c>
      <c r="AA4643">
        <v>0.99941610000000003</v>
      </c>
      <c r="AB4643">
        <v>28</v>
      </c>
      <c r="AC4643">
        <v>0.58510000000001094</v>
      </c>
      <c r="AD4643">
        <v>-0.108182999999999</v>
      </c>
      <c r="AE4643">
        <v>-8.3449999999999094E-2</v>
      </c>
      <c r="AF4643">
        <v>2.8010047133029799E-2</v>
      </c>
      <c r="AG4643">
        <v>-0.108182999999999</v>
      </c>
      <c r="AH4643">
        <v>0.57117438604570803</v>
      </c>
      <c r="AI4643">
        <v>100.71245793788</v>
      </c>
      <c r="AJ4643">
        <v>87.192498666198503</v>
      </c>
      <c r="AK4643">
        <v>0.58200369715671496</v>
      </c>
      <c r="AL4643">
        <v>65.685216442288507</v>
      </c>
      <c r="AM4643">
        <v>90.672927750955097</v>
      </c>
      <c r="AN4643">
        <v>0.99999998353575303</v>
      </c>
    </row>
    <row r="4644" spans="1:40" x14ac:dyDescent="0.25">
      <c r="A4644" t="str">
        <f>"20190304164739196"</f>
        <v>20190304164739196</v>
      </c>
      <c r="B4644" t="str">
        <f>"1551689259184104"</f>
        <v>1551689259184104</v>
      </c>
      <c r="C4644" t="s">
        <v>40</v>
      </c>
      <c r="D4644">
        <v>4.608174</v>
      </c>
      <c r="E4644">
        <v>0.53767069999999995</v>
      </c>
      <c r="F4644" t="s">
        <v>41</v>
      </c>
      <c r="G4644">
        <v>-360.12939999999998</v>
      </c>
      <c r="H4644">
        <v>1.005188</v>
      </c>
      <c r="I4644">
        <v>18.672190000000001</v>
      </c>
      <c r="J4644">
        <v>-360.80970000000002</v>
      </c>
      <c r="K4644">
        <v>1.112433</v>
      </c>
      <c r="L4644">
        <v>18.765350000000002</v>
      </c>
      <c r="M4644">
        <v>0.99568999999999996</v>
      </c>
      <c r="N4644">
        <v>-1.4106789999999999E-2</v>
      </c>
      <c r="O4644">
        <v>-9.1665159999999996E-2</v>
      </c>
      <c r="P4644">
        <v>0.91396310000000003</v>
      </c>
      <c r="Q4644">
        <v>0.39877079999999998</v>
      </c>
      <c r="R4644">
        <v>-7.5187770000000001E-2</v>
      </c>
      <c r="S4644">
        <v>3.4399410000000001</v>
      </c>
      <c r="T4644">
        <v>-0.44329809999999997</v>
      </c>
      <c r="U4644">
        <v>-0.43865969999999999</v>
      </c>
      <c r="V4644">
        <v>-1.009499E-2</v>
      </c>
      <c r="W4644">
        <v>0.41164000000000001</v>
      </c>
      <c r="X4644">
        <v>0.91129059999999995</v>
      </c>
      <c r="Y4644">
        <v>3.5294029999999997E-2</v>
      </c>
      <c r="Z4644">
        <v>7.8944949999999996E-3</v>
      </c>
      <c r="AA4644">
        <v>0.99934579999999995</v>
      </c>
      <c r="AB4644">
        <v>28</v>
      </c>
      <c r="AC4644">
        <v>0.68030000000004498</v>
      </c>
      <c r="AD4644">
        <v>-0.10724499999999999</v>
      </c>
      <c r="AE4644">
        <v>-9.3160000000001006E-2</v>
      </c>
      <c r="AF4644">
        <v>2.96777348602069E-2</v>
      </c>
      <c r="AG4644">
        <v>-0.10724499999999999</v>
      </c>
      <c r="AH4644">
        <v>0.66964040105011102</v>
      </c>
      <c r="AI4644">
        <v>99.090057279082501</v>
      </c>
      <c r="AJ4644">
        <v>87.462373887057893</v>
      </c>
      <c r="AK4644">
        <v>0.67882289640964999</v>
      </c>
      <c r="AL4644">
        <v>65.692100682558802</v>
      </c>
      <c r="AM4644">
        <v>90.634678623354802</v>
      </c>
      <c r="AN4644">
        <v>0.99999997803572904</v>
      </c>
    </row>
    <row r="4645" spans="1:40" x14ac:dyDescent="0.25">
      <c r="A4645" t="str">
        <f>"20190304164739208"</f>
        <v>20190304164739208</v>
      </c>
      <c r="B4645" t="str">
        <f>"1551689259203623"</f>
        <v>1551689259203623</v>
      </c>
      <c r="C4645" t="s">
        <v>40</v>
      </c>
      <c r="D4645">
        <v>4.6929449999999999</v>
      </c>
      <c r="E4645">
        <v>0.53797200000000001</v>
      </c>
      <c r="F4645" t="s">
        <v>41</v>
      </c>
      <c r="G4645">
        <v>-359.88850000000002</v>
      </c>
      <c r="H4645">
        <v>0.99433170000000004</v>
      </c>
      <c r="I4645">
        <v>18.647649999999999</v>
      </c>
      <c r="J4645">
        <v>-360.65730000000002</v>
      </c>
      <c r="K4645">
        <v>1.1124309999999999</v>
      </c>
      <c r="L4645">
        <v>18.752230000000001</v>
      </c>
      <c r="M4645">
        <v>0.99576929999999997</v>
      </c>
      <c r="N4645">
        <v>-1.41052E-2</v>
      </c>
      <c r="O4645">
        <v>-9.0800839999999994E-2</v>
      </c>
      <c r="P4645">
        <v>0.91393420000000003</v>
      </c>
      <c r="Q4645">
        <v>0.39873720000000001</v>
      </c>
      <c r="R4645">
        <v>-7.5718659999999993E-2</v>
      </c>
      <c r="S4645">
        <v>3.4387210000000001</v>
      </c>
      <c r="T4645">
        <v>-0.44092320000000002</v>
      </c>
      <c r="U4645">
        <v>-0.43869019999999997</v>
      </c>
      <c r="V4645">
        <v>-8.7654310000000006E-3</v>
      </c>
      <c r="W4645">
        <v>0.4116088</v>
      </c>
      <c r="X4645">
        <v>0.91131850000000003</v>
      </c>
      <c r="Y4645">
        <v>3.6197710000000001E-2</v>
      </c>
      <c r="Z4645">
        <v>7.6867769999999997E-3</v>
      </c>
      <c r="AA4645">
        <v>0.99931510000000001</v>
      </c>
      <c r="AB4645">
        <v>28</v>
      </c>
      <c r="AC4645">
        <v>0.76879999999999804</v>
      </c>
      <c r="AD4645">
        <v>-0.1180993</v>
      </c>
      <c r="AE4645">
        <v>-0.10457999999999799</v>
      </c>
      <c r="AF4645">
        <v>3.3555827927873101E-2</v>
      </c>
      <c r="AG4645">
        <v>-0.1180993</v>
      </c>
      <c r="AH4645">
        <v>0.75756839270376397</v>
      </c>
      <c r="AI4645">
        <v>98.852126215921402</v>
      </c>
      <c r="AJ4645">
        <v>87.463791455192194</v>
      </c>
      <c r="AK4645">
        <v>0.76745247922733295</v>
      </c>
      <c r="AL4645">
        <v>65.694063348248505</v>
      </c>
      <c r="AM4645">
        <v>90.551077055157094</v>
      </c>
      <c r="AN4645">
        <v>1.00000002273015</v>
      </c>
    </row>
    <row r="4646" spans="1:40" x14ac:dyDescent="0.25">
      <c r="A4646" t="str">
        <f>"20190304164739230"</f>
        <v>20190304164739230</v>
      </c>
      <c r="B4646" t="str">
        <f>"1551689259224120"</f>
        <v>1551689259224120</v>
      </c>
      <c r="C4646" t="s">
        <v>40</v>
      </c>
      <c r="D4646">
        <v>4.6352060000000002</v>
      </c>
      <c r="E4646">
        <v>0.53802069999999902</v>
      </c>
      <c r="F4646" t="s">
        <v>41</v>
      </c>
      <c r="G4646">
        <v>-359.87900000000002</v>
      </c>
      <c r="H4646">
        <v>1.012591</v>
      </c>
      <c r="I4646">
        <v>18.65211</v>
      </c>
      <c r="J4646">
        <v>-360.3809</v>
      </c>
      <c r="K4646">
        <v>1.112425</v>
      </c>
      <c r="L4646">
        <v>18.72879</v>
      </c>
      <c r="M4646">
        <v>0.99591110000000005</v>
      </c>
      <c r="N4646">
        <v>-1.41022E-2</v>
      </c>
      <c r="O4646">
        <v>-8.92318E-2</v>
      </c>
      <c r="P4646">
        <v>0.91391619999999996</v>
      </c>
      <c r="Q4646">
        <v>0.39870280000000002</v>
      </c>
      <c r="R4646">
        <v>-7.6114059999999997E-2</v>
      </c>
      <c r="S4646">
        <v>3.4384160000000001</v>
      </c>
      <c r="T4646">
        <v>-0.44114779999999998</v>
      </c>
      <c r="U4646">
        <v>-0.44146730000000001</v>
      </c>
      <c r="V4646">
        <v>-6.9208519999999999E-3</v>
      </c>
      <c r="W4646">
        <v>0.41157779999999999</v>
      </c>
      <c r="X4646">
        <v>0.9113483</v>
      </c>
      <c r="Y4646">
        <v>3.8546909999999997E-2</v>
      </c>
      <c r="Z4646">
        <v>7.3494500000000004E-3</v>
      </c>
      <c r="AA4646">
        <v>0.99922979999999995</v>
      </c>
      <c r="AB4646">
        <v>28</v>
      </c>
      <c r="AC4646">
        <v>0.50189999999997703</v>
      </c>
      <c r="AD4646">
        <v>-9.9833999999999895E-2</v>
      </c>
      <c r="AE4646">
        <v>-7.6679999999999596E-2</v>
      </c>
      <c r="AF4646">
        <v>3.0408462146861801E-2</v>
      </c>
      <c r="AG4646">
        <v>-9.9833999999999895E-2</v>
      </c>
      <c r="AH4646">
        <v>0.48787735958265899</v>
      </c>
      <c r="AI4646">
        <v>101.542945142379</v>
      </c>
      <c r="AJ4646">
        <v>86.433477335723396</v>
      </c>
      <c r="AK4646">
        <v>0.49891464211775099</v>
      </c>
      <c r="AL4646">
        <v>65.696010469355699</v>
      </c>
      <c r="AM4646">
        <v>90.435100375734706</v>
      </c>
      <c r="AN4646">
        <v>0.99999995377906603</v>
      </c>
    </row>
    <row r="4647" spans="1:40" x14ac:dyDescent="0.25">
      <c r="A4647" t="str">
        <f>"20190304164739254"</f>
        <v>20190304164739254</v>
      </c>
      <c r="B4647" t="str">
        <f>"1551689259243640"</f>
        <v>1551689259243640</v>
      </c>
      <c r="C4647" t="s">
        <v>40</v>
      </c>
      <c r="D4647">
        <v>4.8992529999999999</v>
      </c>
      <c r="E4647">
        <v>0.53778780000000004</v>
      </c>
      <c r="F4647" t="s">
        <v>41</v>
      </c>
      <c r="G4647">
        <v>-359.6311</v>
      </c>
      <c r="H4647">
        <v>1.015428</v>
      </c>
      <c r="I4647">
        <v>18.632429999999999</v>
      </c>
      <c r="J4647">
        <v>-360.09820000000002</v>
      </c>
      <c r="K4647">
        <v>1.11242</v>
      </c>
      <c r="L4647">
        <v>18.705259999999999</v>
      </c>
      <c r="M4647">
        <v>0.99605359999999998</v>
      </c>
      <c r="N4647">
        <v>-1.409909E-2</v>
      </c>
      <c r="O4647">
        <v>-8.7626990000000002E-2</v>
      </c>
      <c r="P4647">
        <v>0.91399070000000004</v>
      </c>
      <c r="Q4647">
        <v>0.39854729999999999</v>
      </c>
      <c r="R4647">
        <v>-7.6032370000000002E-2</v>
      </c>
      <c r="S4647">
        <v>3.4400330000000001</v>
      </c>
      <c r="T4647">
        <v>-0.44517109999999899</v>
      </c>
      <c r="U4647">
        <v>-0.44158940000000002</v>
      </c>
      <c r="V4647">
        <v>-5.5267479999999997E-3</v>
      </c>
      <c r="W4647">
        <v>0.41142440000000002</v>
      </c>
      <c r="X4647">
        <v>0.91142710000000005</v>
      </c>
      <c r="Y4647">
        <v>4.0113360000000001E-2</v>
      </c>
      <c r="Z4647">
        <v>7.1321010000000001E-3</v>
      </c>
      <c r="AA4647">
        <v>0.99916970000000005</v>
      </c>
      <c r="AB4647">
        <v>28</v>
      </c>
      <c r="AC4647">
        <v>0.467100000000016</v>
      </c>
      <c r="AD4647">
        <v>-9.6991999999999898E-2</v>
      </c>
      <c r="AE4647">
        <v>-7.2829999999999701E-2</v>
      </c>
      <c r="AF4647">
        <v>3.0338105816587399E-2</v>
      </c>
      <c r="AG4647">
        <v>-9.6991999999999898E-2</v>
      </c>
      <c r="AH4647">
        <v>0.45263227541726297</v>
      </c>
      <c r="AI4647">
        <v>102.068399058889</v>
      </c>
      <c r="AJ4647">
        <v>86.1654316305344</v>
      </c>
      <c r="AK4647">
        <v>0.46390066337304098</v>
      </c>
      <c r="AL4647">
        <v>65.705654392647801</v>
      </c>
      <c r="AM4647">
        <v>90.347428174687593</v>
      </c>
      <c r="AN4647">
        <v>0.99999997023661202</v>
      </c>
    </row>
    <row r="4648" spans="1:40" x14ac:dyDescent="0.25">
      <c r="A4648" t="str">
        <f>"20190304164739275"</f>
        <v>20190304164739275</v>
      </c>
      <c r="B4648" t="str">
        <f>"1551689259264135"</f>
        <v>1551689259264135</v>
      </c>
      <c r="C4648" t="s">
        <v>40</v>
      </c>
      <c r="D4648">
        <v>4.751379</v>
      </c>
      <c r="E4648">
        <v>0.53779759999999999</v>
      </c>
      <c r="F4648" t="s">
        <v>41</v>
      </c>
      <c r="G4648">
        <v>-359.3827</v>
      </c>
      <c r="H4648">
        <v>1.019701</v>
      </c>
      <c r="I4648">
        <v>18.613890000000001</v>
      </c>
      <c r="J4648">
        <v>-359.84320000000002</v>
      </c>
      <c r="K4648">
        <v>1.1124179999999999</v>
      </c>
      <c r="L4648">
        <v>18.684419999999999</v>
      </c>
      <c r="M4648">
        <v>0.99617990000000001</v>
      </c>
      <c r="N4648">
        <v>-1.4096289999999999E-2</v>
      </c>
      <c r="O4648">
        <v>-8.617822E-2</v>
      </c>
      <c r="P4648">
        <v>0.91419680000000003</v>
      </c>
      <c r="Q4648">
        <v>0.39809220000000001</v>
      </c>
      <c r="R4648">
        <v>-7.5937690000000002E-2</v>
      </c>
      <c r="S4648">
        <v>3.440369</v>
      </c>
      <c r="T4648">
        <v>-0.44602130000000001</v>
      </c>
      <c r="U4648">
        <v>-0.43792720000000002</v>
      </c>
      <c r="V4648">
        <v>-4.2999479999999996E-3</v>
      </c>
      <c r="W4648">
        <v>0.41097329999999999</v>
      </c>
      <c r="X4648">
        <v>0.91163720000000004</v>
      </c>
      <c r="Y4648">
        <v>4.0496079999999997E-2</v>
      </c>
      <c r="Z4648">
        <v>6.9564129999999998E-3</v>
      </c>
      <c r="AA4648">
        <v>0.99915549999999997</v>
      </c>
      <c r="AB4648">
        <v>28</v>
      </c>
      <c r="AC4648">
        <v>0.460500000000024</v>
      </c>
      <c r="AD4648">
        <v>-9.2717000000000105E-2</v>
      </c>
      <c r="AE4648">
        <v>-7.0530000000005005E-2</v>
      </c>
      <c r="AF4648">
        <v>2.94135115035025E-2</v>
      </c>
      <c r="AG4648">
        <v>-9.2717000000000105E-2</v>
      </c>
      <c r="AH4648">
        <v>0.44715408412420998</v>
      </c>
      <c r="AI4648">
        <v>101.68966662683999</v>
      </c>
      <c r="AJ4648">
        <v>86.236541850814803</v>
      </c>
      <c r="AK4648">
        <v>0.45761159480167002</v>
      </c>
      <c r="AL4648">
        <v>65.734008399672305</v>
      </c>
      <c r="AM4648">
        <v>90.270246810370296</v>
      </c>
      <c r="AN4648">
        <v>0.99999996364476496</v>
      </c>
    </row>
    <row r="4649" spans="1:40" x14ac:dyDescent="0.25">
      <c r="A4649" t="str">
        <f>"20190304164739296"</f>
        <v>20190304164739296</v>
      </c>
      <c r="B4649" t="str">
        <f>"1551689259293415"</f>
        <v>1551689259293415</v>
      </c>
      <c r="C4649" t="s">
        <v>40</v>
      </c>
      <c r="D4649">
        <v>4.817196</v>
      </c>
      <c r="E4649">
        <v>0.53804430000000003</v>
      </c>
      <c r="F4649" t="s">
        <v>41</v>
      </c>
      <c r="G4649">
        <v>-358.90730000000002</v>
      </c>
      <c r="H4649">
        <v>0.98919800000000002</v>
      </c>
      <c r="I4649">
        <v>18.565650000000002</v>
      </c>
      <c r="J4649">
        <v>-359.58019999999999</v>
      </c>
      <c r="K4649">
        <v>1.112411</v>
      </c>
      <c r="L4649">
        <v>18.663360000000001</v>
      </c>
      <c r="M4649">
        <v>0.99630790000000002</v>
      </c>
      <c r="N4649">
        <v>-1.4093390000000001E-2</v>
      </c>
      <c r="O4649">
        <v>-8.4687269999999995E-2</v>
      </c>
      <c r="P4649">
        <v>0.91446110000000003</v>
      </c>
      <c r="Q4649">
        <v>0.39764050000000001</v>
      </c>
      <c r="R4649">
        <v>-7.5119839999999993E-2</v>
      </c>
      <c r="S4649">
        <v>3.442841</v>
      </c>
      <c r="T4649">
        <v>-0.45343230000000001</v>
      </c>
      <c r="U4649">
        <v>-0.43539430000000001</v>
      </c>
      <c r="V4649">
        <v>-3.758712E-3</v>
      </c>
      <c r="W4649">
        <v>0.41052329999999998</v>
      </c>
      <c r="X4649">
        <v>0.91184240000000005</v>
      </c>
      <c r="Y4649">
        <v>4.1170749999999999E-2</v>
      </c>
      <c r="Z4649">
        <v>6.8688940000000004E-3</v>
      </c>
      <c r="AA4649">
        <v>0.99912849999999997</v>
      </c>
      <c r="AB4649">
        <v>28</v>
      </c>
      <c r="AC4649">
        <v>0.67289999999996997</v>
      </c>
      <c r="AD4649">
        <v>-0.123213</v>
      </c>
      <c r="AE4649">
        <v>-9.7709999999999297E-2</v>
      </c>
      <c r="AF4649">
        <v>3.9083834117721199E-2</v>
      </c>
      <c r="AG4649">
        <v>-0.123213</v>
      </c>
      <c r="AH4649">
        <v>0.65717868572275395</v>
      </c>
      <c r="AI4649">
        <v>100.600676389611</v>
      </c>
      <c r="AJ4649">
        <v>86.596505264562197</v>
      </c>
      <c r="AK4649">
        <v>0.66977071780320996</v>
      </c>
      <c r="AL4649">
        <v>65.762288978098198</v>
      </c>
      <c r="AM4649">
        <v>90.236177999887602</v>
      </c>
      <c r="AN4649">
        <v>1.0000000350982701</v>
      </c>
    </row>
    <row r="4650" spans="1:40" x14ac:dyDescent="0.25">
      <c r="A4650" t="str">
        <f>"20190304164739308"</f>
        <v>20190304164739308</v>
      </c>
      <c r="B4650" t="str">
        <f>"1551689259304151"</f>
        <v>1551689259304151</v>
      </c>
      <c r="C4650" t="s">
        <v>40</v>
      </c>
      <c r="D4650">
        <v>4.7854449999999904</v>
      </c>
      <c r="E4650">
        <v>0.53808549999999999</v>
      </c>
      <c r="F4650" t="s">
        <v>41</v>
      </c>
      <c r="G4650">
        <v>-358.66180000000003</v>
      </c>
      <c r="H4650">
        <v>0.98922969999999999</v>
      </c>
      <c r="I4650">
        <v>18.548169999999999</v>
      </c>
      <c r="J4650">
        <v>-359.43540000000002</v>
      </c>
      <c r="K4650">
        <v>1.1124069999999999</v>
      </c>
      <c r="L4650">
        <v>18.65192</v>
      </c>
      <c r="M4650">
        <v>0.99637730000000002</v>
      </c>
      <c r="N4650">
        <v>-1.409177E-2</v>
      </c>
      <c r="O4650">
        <v>-8.3866699999999905E-2</v>
      </c>
      <c r="P4650">
        <v>0.91447719999999999</v>
      </c>
      <c r="Q4650">
        <v>0.3976229</v>
      </c>
      <c r="R4650">
        <v>-7.5015769999999996E-2</v>
      </c>
      <c r="S4650">
        <v>3.4461360000000001</v>
      </c>
      <c r="T4650">
        <v>-0.46231870000000003</v>
      </c>
      <c r="U4650">
        <v>-0.43179319999999999</v>
      </c>
      <c r="V4650">
        <v>-3.1052319999999999E-3</v>
      </c>
      <c r="W4650">
        <v>0.41050629999999999</v>
      </c>
      <c r="X4650">
        <v>0.91185249999999995</v>
      </c>
      <c r="Y4650">
        <v>4.0854509999999997E-2</v>
      </c>
      <c r="Z4650">
        <v>6.9502369999999997E-3</v>
      </c>
      <c r="AA4650">
        <v>0.9991409</v>
      </c>
      <c r="AB4650">
        <v>28</v>
      </c>
      <c r="AC4650">
        <v>0.77359999999998696</v>
      </c>
      <c r="AD4650">
        <v>-0.1231773</v>
      </c>
      <c r="AE4650">
        <v>-0.103749999999998</v>
      </c>
      <c r="AF4650">
        <v>3.7563179048276198E-2</v>
      </c>
      <c r="AG4650">
        <v>-0.1231773</v>
      </c>
      <c r="AH4650">
        <v>0.76063253530599895</v>
      </c>
      <c r="AI4650">
        <v>99.187652324643196</v>
      </c>
      <c r="AJ4650">
        <v>87.172794376901507</v>
      </c>
      <c r="AK4650">
        <v>0.77145673464007902</v>
      </c>
      <c r="AL4650">
        <v>65.763356857750097</v>
      </c>
      <c r="AM4650">
        <v>90.195114890026403</v>
      </c>
      <c r="AN4650">
        <v>1.0000000232808499</v>
      </c>
    </row>
    <row r="4651" spans="1:40" x14ac:dyDescent="0.25">
      <c r="A4651" t="str">
        <f>"20190304164739320"</f>
        <v>20190304164739320</v>
      </c>
      <c r="B4651" t="str">
        <f>"1551689259313912"</f>
        <v>1551689259313912</v>
      </c>
      <c r="C4651" t="s">
        <v>40</v>
      </c>
      <c r="D4651">
        <v>4.7337339999999903</v>
      </c>
      <c r="E4651">
        <v>0.53809019999999996</v>
      </c>
      <c r="F4651" t="s">
        <v>41</v>
      </c>
      <c r="G4651">
        <v>-358.65249999999997</v>
      </c>
      <c r="H4651">
        <v>1.006831</v>
      </c>
      <c r="I4651">
        <v>18.55406</v>
      </c>
      <c r="J4651">
        <v>-359.27890000000002</v>
      </c>
      <c r="K4651">
        <v>1.1123959999999999</v>
      </c>
      <c r="L4651">
        <v>18.639710000000001</v>
      </c>
      <c r="M4651">
        <v>0.99645159999999999</v>
      </c>
      <c r="N4651">
        <v>-1.409002E-2</v>
      </c>
      <c r="O4651">
        <v>-8.2982009999999995E-2</v>
      </c>
      <c r="P4651">
        <v>0.91450830000000005</v>
      </c>
      <c r="Q4651">
        <v>0.39761580000000002</v>
      </c>
      <c r="R4651">
        <v>-7.4676069999999997E-2</v>
      </c>
      <c r="S4651">
        <v>3.4473880000000001</v>
      </c>
      <c r="T4651">
        <v>-0.46496729999999997</v>
      </c>
      <c r="U4651">
        <v>-0.43038939999999998</v>
      </c>
      <c r="V4651">
        <v>-2.6282609999999998E-3</v>
      </c>
      <c r="W4651">
        <v>0.4104989</v>
      </c>
      <c r="X4651">
        <v>0.91185729999999998</v>
      </c>
      <c r="Y4651">
        <v>4.1288829999999999E-2</v>
      </c>
      <c r="Z4651">
        <v>6.8580519999999999E-3</v>
      </c>
      <c r="AA4651">
        <v>0.99912369999999995</v>
      </c>
      <c r="AB4651">
        <v>28</v>
      </c>
      <c r="AC4651">
        <v>0.62640000000004603</v>
      </c>
      <c r="AD4651">
        <v>-0.10556499999999901</v>
      </c>
      <c r="AE4651">
        <v>-8.56500000000011E-2</v>
      </c>
      <c r="AF4651">
        <v>3.2464351455542002E-2</v>
      </c>
      <c r="AG4651">
        <v>-0.10556499999999901</v>
      </c>
      <c r="AH4651">
        <v>0.61422276846678703</v>
      </c>
      <c r="AI4651">
        <v>99.7386811607889</v>
      </c>
      <c r="AJ4651">
        <v>86.974483479439002</v>
      </c>
      <c r="AK4651">
        <v>0.62407332313073005</v>
      </c>
      <c r="AL4651">
        <v>65.763821102758797</v>
      </c>
      <c r="AM4651">
        <v>90.165144091892998</v>
      </c>
      <c r="AN4651">
        <v>0.999999995110192</v>
      </c>
    </row>
    <row r="4652" spans="1:40" x14ac:dyDescent="0.25">
      <c r="A4652" t="str">
        <f>"20190304164739333"</f>
        <v>20190304164739333</v>
      </c>
      <c r="B4652" t="str">
        <f>"1551689259323672"</f>
        <v>1551689259323672</v>
      </c>
      <c r="C4652" t="s">
        <v>40</v>
      </c>
      <c r="D4652">
        <v>4.7847410000000004</v>
      </c>
      <c r="E4652">
        <v>0.53817399999999904</v>
      </c>
      <c r="F4652" t="s">
        <v>41</v>
      </c>
      <c r="G4652">
        <v>-358.4135</v>
      </c>
      <c r="H4652">
        <v>0.99535680000000004</v>
      </c>
      <c r="I4652">
        <v>18.532309999999999</v>
      </c>
      <c r="J4652">
        <v>-359.11649999999997</v>
      </c>
      <c r="K4652">
        <v>1.1123879999999999</v>
      </c>
      <c r="L4652">
        <v>18.627140000000001</v>
      </c>
      <c r="M4652">
        <v>0.99652739999999995</v>
      </c>
      <c r="N4652">
        <v>-1.408819E-2</v>
      </c>
      <c r="O4652">
        <v>-8.2065979999999997E-2</v>
      </c>
      <c r="P4652">
        <v>0.91451570000000004</v>
      </c>
      <c r="Q4652">
        <v>0.39770169999999999</v>
      </c>
      <c r="R4652">
        <v>-7.4123530000000007E-2</v>
      </c>
      <c r="S4652">
        <v>3.448334</v>
      </c>
      <c r="T4652">
        <v>-0.46641120000000003</v>
      </c>
      <c r="U4652">
        <v>-0.42785640000000003</v>
      </c>
      <c r="V4652">
        <v>-2.331184E-3</v>
      </c>
      <c r="W4652">
        <v>0.41058329999999998</v>
      </c>
      <c r="X4652">
        <v>0.91182010000000002</v>
      </c>
      <c r="Y4652">
        <v>4.1444439999999999E-2</v>
      </c>
      <c r="Z4652">
        <v>6.7611109999999898E-3</v>
      </c>
      <c r="AA4652">
        <v>0.9991179</v>
      </c>
      <c r="AB4652">
        <v>28</v>
      </c>
      <c r="AC4652">
        <v>0.70299999999997398</v>
      </c>
      <c r="AD4652">
        <v>-0.117031199999999</v>
      </c>
      <c r="AE4652">
        <v>-9.4830000000001705E-2</v>
      </c>
      <c r="AF4652">
        <v>3.5836549392146498E-2</v>
      </c>
      <c r="AG4652">
        <v>-0.117031199999999</v>
      </c>
      <c r="AH4652">
        <v>0.68964047736666101</v>
      </c>
      <c r="AI4652">
        <v>99.618540208247495</v>
      </c>
      <c r="AJ4652">
        <v>87.025351686699196</v>
      </c>
      <c r="AK4652">
        <v>0.70041740988377199</v>
      </c>
      <c r="AL4652">
        <v>65.758517621024495</v>
      </c>
      <c r="AM4652">
        <v>90.146483624846994</v>
      </c>
      <c r="AN4652">
        <v>0.99999998771086995</v>
      </c>
    </row>
    <row r="4653" spans="1:40" x14ac:dyDescent="0.25">
      <c r="A4653" t="str">
        <f>"20190304164739352"</f>
        <v>20190304164739352</v>
      </c>
      <c r="B4653" t="str">
        <f>"1551689259344167"</f>
        <v>1551689259344167</v>
      </c>
      <c r="C4653" t="s">
        <v>40</v>
      </c>
      <c r="D4653">
        <v>4.8159939999999999</v>
      </c>
      <c r="E4653">
        <v>0.53846559999999999</v>
      </c>
      <c r="F4653" t="s">
        <v>41</v>
      </c>
      <c r="G4653">
        <v>-358.40280000000001</v>
      </c>
      <c r="H4653">
        <v>1.015601</v>
      </c>
      <c r="I4653">
        <v>18.539079999999998</v>
      </c>
      <c r="J4653">
        <v>-358.88670000000002</v>
      </c>
      <c r="K4653">
        <v>1.112371</v>
      </c>
      <c r="L4653">
        <v>18.609649999999998</v>
      </c>
      <c r="M4653">
        <v>0.99663219999999997</v>
      </c>
      <c r="N4653">
        <v>-1.4085469999999999E-2</v>
      </c>
      <c r="O4653">
        <v>-8.078552E-2</v>
      </c>
      <c r="P4653">
        <v>0.91450770000000003</v>
      </c>
      <c r="Q4653">
        <v>0.39784779999999997</v>
      </c>
      <c r="R4653">
        <v>-7.3437680000000005E-2</v>
      </c>
      <c r="S4653">
        <v>3.4494319999999998</v>
      </c>
      <c r="T4653">
        <v>-0.46789069999999999</v>
      </c>
      <c r="U4653">
        <v>-0.42547610000000002</v>
      </c>
      <c r="V4653">
        <v>-1.824092E-3</v>
      </c>
      <c r="W4653">
        <v>0.41072760000000003</v>
      </c>
      <c r="X4653">
        <v>0.91175629999999996</v>
      </c>
      <c r="Y4653">
        <v>4.1997130000000001E-2</v>
      </c>
      <c r="Z4653">
        <v>6.5905169999999997E-3</v>
      </c>
      <c r="AA4653">
        <v>0.99909599999999998</v>
      </c>
      <c r="AB4653">
        <v>28</v>
      </c>
      <c r="AC4653">
        <v>0.48390000000000499</v>
      </c>
      <c r="AD4653">
        <v>-9.6769999999999995E-2</v>
      </c>
      <c r="AE4653">
        <v>-7.0569999999999994E-2</v>
      </c>
      <c r="AF4653">
        <v>3.0065963787161899E-2</v>
      </c>
      <c r="AG4653">
        <v>-9.6769999999999995E-2</v>
      </c>
      <c r="AH4653">
        <v>0.46962948835433399</v>
      </c>
      <c r="AI4653">
        <v>101.62004146470601</v>
      </c>
      <c r="AJ4653">
        <v>86.336888684665595</v>
      </c>
      <c r="AK4653">
        <v>0.48043756244740499</v>
      </c>
      <c r="AL4653">
        <v>65.749450813997697</v>
      </c>
      <c r="AM4653">
        <v>90.114627816232201</v>
      </c>
      <c r="AN4653">
        <v>1.00000001965153</v>
      </c>
    </row>
    <row r="4654" spans="1:40" x14ac:dyDescent="0.25">
      <c r="A4654" t="str">
        <f>"20190304164739366"</f>
        <v>20190304164739366</v>
      </c>
      <c r="B4654" t="str">
        <f>"1551689259363688"</f>
        <v>1551689259363688</v>
      </c>
      <c r="C4654" t="s">
        <v>40</v>
      </c>
      <c r="D4654">
        <v>4.807531</v>
      </c>
      <c r="E4654">
        <v>0.53866819999999904</v>
      </c>
      <c r="F4654" t="s">
        <v>41</v>
      </c>
      <c r="G4654">
        <v>-358.1592</v>
      </c>
      <c r="H4654">
        <v>1.0134350000000001</v>
      </c>
      <c r="I4654">
        <v>18.519909999999999</v>
      </c>
      <c r="J4654">
        <v>-358.7242</v>
      </c>
      <c r="K4654">
        <v>1.112344</v>
      </c>
      <c r="L4654">
        <v>18.597470000000001</v>
      </c>
      <c r="M4654">
        <v>0.9966853</v>
      </c>
      <c r="N4654">
        <v>-1.3977669999999999E-2</v>
      </c>
      <c r="O4654">
        <v>-8.0144389999999996E-2</v>
      </c>
      <c r="P4654">
        <v>0.91458589999999995</v>
      </c>
      <c r="Q4654">
        <v>0.39771620000000002</v>
      </c>
      <c r="R4654">
        <v>-7.3175610000000002E-2</v>
      </c>
      <c r="S4654">
        <v>3.4504700000000001</v>
      </c>
      <c r="T4654">
        <v>-0.46926119999999999</v>
      </c>
      <c r="U4654">
        <v>-0.42501830000000002</v>
      </c>
      <c r="V4654">
        <v>-1.499062E-3</v>
      </c>
      <c r="W4654">
        <v>0.41049930000000001</v>
      </c>
      <c r="X4654">
        <v>0.91185970000000005</v>
      </c>
      <c r="Y4654">
        <v>4.2466230000000001E-2</v>
      </c>
      <c r="Z4654">
        <v>6.5104079999999996E-3</v>
      </c>
      <c r="AA4654">
        <v>0.99907670000000004</v>
      </c>
      <c r="AB4654">
        <v>28</v>
      </c>
      <c r="AC4654">
        <v>0.56499999999999695</v>
      </c>
      <c r="AD4654">
        <v>-9.89089999999999E-2</v>
      </c>
      <c r="AE4654">
        <v>-7.7560000000001794E-2</v>
      </c>
      <c r="AF4654">
        <v>3.1089315553190999E-2</v>
      </c>
      <c r="AG4654">
        <v>-9.89089999999999E-2</v>
      </c>
      <c r="AH4654">
        <v>0.55277183546731501</v>
      </c>
      <c r="AI4654">
        <v>100.129058989086</v>
      </c>
      <c r="AJ4654">
        <v>86.780928755007693</v>
      </c>
      <c r="AK4654">
        <v>0.56241109333695605</v>
      </c>
      <c r="AL4654">
        <v>65.763796546338597</v>
      </c>
      <c r="AM4654">
        <v>90.094191955684494</v>
      </c>
      <c r="AN4654">
        <v>1.00000001748572</v>
      </c>
    </row>
    <row r="4655" spans="1:40" x14ac:dyDescent="0.25">
      <c r="A4655" t="str">
        <f>"20190304164739386"</f>
        <v>20190304164739386</v>
      </c>
      <c r="B4655" t="str">
        <f>"1551689259373448"</f>
        <v>1551689259373448</v>
      </c>
      <c r="C4655" t="s">
        <v>40</v>
      </c>
      <c r="D4655">
        <v>4.8719939999999999</v>
      </c>
      <c r="E4655">
        <v>0.53866819999999904</v>
      </c>
      <c r="F4655" t="s">
        <v>41</v>
      </c>
      <c r="G4655">
        <v>-357.91969999999998</v>
      </c>
      <c r="H4655">
        <v>1.002338</v>
      </c>
      <c r="I4655">
        <v>18.49804</v>
      </c>
      <c r="J4655">
        <v>-358.4871</v>
      </c>
      <c r="K4655">
        <v>1.1122350000000001</v>
      </c>
      <c r="L4655">
        <v>18.579930000000001</v>
      </c>
      <c r="M4655">
        <v>0.99677550000000004</v>
      </c>
      <c r="N4655">
        <v>-1.390947E-2</v>
      </c>
      <c r="O4655">
        <v>-7.9026269999999996E-2</v>
      </c>
      <c r="P4655">
        <v>0.91439150000000002</v>
      </c>
      <c r="Q4655">
        <v>0.39823419999999998</v>
      </c>
      <c r="R4655">
        <v>-7.2784829999999995E-2</v>
      </c>
      <c r="S4655">
        <v>3.451416</v>
      </c>
      <c r="T4655">
        <v>-0.47210410000000003</v>
      </c>
      <c r="U4655">
        <v>-0.42507929999999999</v>
      </c>
      <c r="V4655">
        <v>-7.7362920000000003E-4</v>
      </c>
      <c r="W4655">
        <v>0.41095409999999999</v>
      </c>
      <c r="X4655">
        <v>0.91165569999999896</v>
      </c>
      <c r="Y4655">
        <v>4.3555730000000001E-2</v>
      </c>
      <c r="Z4655">
        <v>6.3457870000000003E-3</v>
      </c>
      <c r="AA4655">
        <v>0.9990308</v>
      </c>
      <c r="AB4655">
        <v>28</v>
      </c>
      <c r="AC4655">
        <v>0.56740000000002</v>
      </c>
      <c r="AD4655">
        <v>-0.10989699999999999</v>
      </c>
      <c r="AE4655">
        <v>-8.1889999999997798E-2</v>
      </c>
      <c r="AF4655">
        <v>3.54859433272771E-2</v>
      </c>
      <c r="AG4655">
        <v>-0.10989699999999999</v>
      </c>
      <c r="AH4655">
        <v>0.55181870491468699</v>
      </c>
      <c r="AI4655">
        <v>101.240701181661</v>
      </c>
      <c r="AJ4655">
        <v>86.320532461202006</v>
      </c>
      <c r="AK4655">
        <v>0.56377343488013798</v>
      </c>
      <c r="AL4655">
        <v>65.735215847627302</v>
      </c>
      <c r="AM4655">
        <v>90.048621071999094</v>
      </c>
      <c r="AN4655">
        <v>0.99999999307571896</v>
      </c>
    </row>
    <row r="4656" spans="1:40" x14ac:dyDescent="0.25">
      <c r="A4656" t="str">
        <f>"20190304164739398"</f>
        <v>20190304164739398</v>
      </c>
      <c r="B4656" t="str">
        <f>"1551689259393944"</f>
        <v>1551689259393944</v>
      </c>
      <c r="C4656" t="s">
        <v>40</v>
      </c>
      <c r="D4656">
        <v>4.7114609999999999</v>
      </c>
      <c r="E4656">
        <v>0.52102190000000004</v>
      </c>
      <c r="F4656" t="s">
        <v>41</v>
      </c>
      <c r="G4656">
        <v>-357.67559999999997</v>
      </c>
      <c r="H4656">
        <v>1.001741</v>
      </c>
      <c r="I4656">
        <v>18.480260000000001</v>
      </c>
      <c r="J4656">
        <v>-358.32619999999997</v>
      </c>
      <c r="K4656">
        <v>1.11212</v>
      </c>
      <c r="L4656">
        <v>18.568180000000002</v>
      </c>
      <c r="M4656">
        <v>0.99684980000000001</v>
      </c>
      <c r="N4656">
        <v>-1.3932770000000001E-2</v>
      </c>
      <c r="O4656">
        <v>-7.808097E-2</v>
      </c>
      <c r="P4656">
        <v>0.91443969999999997</v>
      </c>
      <c r="Q4656">
        <v>0.39821800000000002</v>
      </c>
      <c r="R4656">
        <v>-7.2269109999999998E-2</v>
      </c>
      <c r="S4656">
        <v>3.451965</v>
      </c>
      <c r="T4656">
        <v>-0.47017009999999998</v>
      </c>
      <c r="U4656">
        <v>-0.42364499999999999</v>
      </c>
      <c r="V4656">
        <v>-3.2674149999999998E-4</v>
      </c>
      <c r="W4656">
        <v>0.4109602</v>
      </c>
      <c r="X4656">
        <v>0.91165320000000005</v>
      </c>
      <c r="Y4656">
        <v>4.4060769999999999E-2</v>
      </c>
      <c r="Z4656">
        <v>6.1593759999999899E-3</v>
      </c>
      <c r="AA4656">
        <v>0.99900979999999995</v>
      </c>
      <c r="AB4656">
        <v>28</v>
      </c>
      <c r="AC4656">
        <v>0.65059999999999696</v>
      </c>
      <c r="AD4656">
        <v>-0.11037899999999901</v>
      </c>
      <c r="AE4656">
        <v>-8.7919999999996806E-2</v>
      </c>
      <c r="AF4656">
        <v>3.5834188728195299E-2</v>
      </c>
      <c r="AG4656">
        <v>-0.11037899999999901</v>
      </c>
      <c r="AH4656">
        <v>0.63745958956294901</v>
      </c>
      <c r="AI4656">
        <v>99.808432710214404</v>
      </c>
      <c r="AJ4656">
        <v>86.782558081355603</v>
      </c>
      <c r="AK4656">
        <v>0.64793698848620396</v>
      </c>
      <c r="AL4656">
        <v>65.7348320048456</v>
      </c>
      <c r="AM4656">
        <v>90.020535120306903</v>
      </c>
      <c r="AN4656">
        <v>0.99999997490714299</v>
      </c>
    </row>
    <row r="4657" spans="1:40" x14ac:dyDescent="0.25">
      <c r="A4657" t="str">
        <f>"20190304164739412"</f>
        <v>20190304164739412</v>
      </c>
      <c r="B4657" t="str">
        <f>"1551689259403704"</f>
        <v>1551689259403704</v>
      </c>
      <c r="C4657" t="s">
        <v>40</v>
      </c>
      <c r="D4657">
        <v>4.6886570000000001</v>
      </c>
      <c r="E4657">
        <v>0.50309269999999995</v>
      </c>
      <c r="F4657" t="s">
        <v>41</v>
      </c>
      <c r="G4657">
        <v>-357.4273</v>
      </c>
      <c r="H4657">
        <v>1.0052909999999999</v>
      </c>
      <c r="I4657">
        <v>18.49335</v>
      </c>
      <c r="J4657">
        <v>-358.15109999999999</v>
      </c>
      <c r="K4657">
        <v>1.1119760000000001</v>
      </c>
      <c r="L4657">
        <v>18.555420000000002</v>
      </c>
      <c r="M4657">
        <v>0.99694159999999998</v>
      </c>
      <c r="N4657">
        <v>-1.3996389999999999E-2</v>
      </c>
      <c r="O4657">
        <v>-7.6889869999999999E-2</v>
      </c>
      <c r="P4657">
        <v>0.91446649999999996</v>
      </c>
      <c r="Q4657">
        <v>0.3983119</v>
      </c>
      <c r="R4657">
        <v>-7.1408979999999997E-2</v>
      </c>
      <c r="S4657">
        <v>3.436188</v>
      </c>
      <c r="T4657">
        <v>-0.40863539999999998</v>
      </c>
      <c r="U4657">
        <v>-0.28433229999999998</v>
      </c>
      <c r="V4657" s="1">
        <v>3.661402E-5</v>
      </c>
      <c r="W4657">
        <v>0.41111189999999997</v>
      </c>
      <c r="X4657">
        <v>0.91158490000000003</v>
      </c>
      <c r="Y4657">
        <v>5.9556019999999999E-3</v>
      </c>
      <c r="Z4657">
        <v>7.6154600000000001E-3</v>
      </c>
      <c r="AA4657">
        <v>0.99995330000000004</v>
      </c>
      <c r="AB4657">
        <v>27</v>
      </c>
      <c r="AC4657">
        <v>0.72379999999998201</v>
      </c>
      <c r="AD4657">
        <v>-0.106685</v>
      </c>
      <c r="AE4657">
        <v>-6.2070000000001999E-2</v>
      </c>
      <c r="AF4657">
        <v>6.0964052092595403E-3</v>
      </c>
      <c r="AG4657">
        <v>-0.106685</v>
      </c>
      <c r="AH4657">
        <v>0.71109377977197596</v>
      </c>
      <c r="AI4657">
        <v>98.532106210810994</v>
      </c>
      <c r="AJ4657">
        <v>89.508799343956596</v>
      </c>
      <c r="AK4657">
        <v>0.71907803402125403</v>
      </c>
      <c r="AL4657">
        <v>65.7252985518099</v>
      </c>
      <c r="AM4657">
        <v>89.997698701661307</v>
      </c>
      <c r="AN4657">
        <v>1.0000000127851001</v>
      </c>
    </row>
    <row r="4658" spans="1:40" x14ac:dyDescent="0.25">
      <c r="A4658" t="str">
        <f>"20190304164739433"</f>
        <v>20190304164739433</v>
      </c>
      <c r="B4658" t="str">
        <f>"1551689259424199"</f>
        <v>1551689259424199</v>
      </c>
      <c r="C4658" t="s">
        <v>40</v>
      </c>
      <c r="D4658">
        <v>4.7041919999999999</v>
      </c>
      <c r="E4658">
        <v>0.50290420000000002</v>
      </c>
      <c r="F4658" t="s">
        <v>42</v>
      </c>
      <c r="G4658">
        <v>-343.40469999999999</v>
      </c>
      <c r="H4658" s="1">
        <v>-3.1143220000000002E-6</v>
      </c>
      <c r="I4658">
        <v>17.910129999999999</v>
      </c>
      <c r="J4658">
        <v>-357.90219999999999</v>
      </c>
      <c r="K4658">
        <v>1.1118520000000001</v>
      </c>
      <c r="L4658">
        <v>18.53754</v>
      </c>
      <c r="M4658">
        <v>0.99706609999999996</v>
      </c>
      <c r="N4658">
        <v>-1.403007E-2</v>
      </c>
      <c r="O4658">
        <v>-7.5249709999999997E-2</v>
      </c>
      <c r="P4658">
        <v>0.91451199999999999</v>
      </c>
      <c r="Q4658">
        <v>0.39835910000000002</v>
      </c>
      <c r="R4658">
        <v>-7.0554350000000002E-2</v>
      </c>
      <c r="S4658">
        <v>3.3800659999999998</v>
      </c>
      <c r="T4658">
        <v>-0.25487860000000001</v>
      </c>
      <c r="U4658">
        <v>-0.1478882</v>
      </c>
      <c r="V4658">
        <v>7.8151559999999998E-4</v>
      </c>
      <c r="W4658">
        <v>0.41119099999999997</v>
      </c>
      <c r="X4658">
        <v>0.9115489</v>
      </c>
      <c r="Y4658">
        <v>-3.1351780000000003E-2</v>
      </c>
      <c r="Z4658">
        <v>6.0021889999999998E-3</v>
      </c>
      <c r="AA4658">
        <v>0.9994904</v>
      </c>
      <c r="AB4658">
        <v>27</v>
      </c>
      <c r="AC4658">
        <v>14.4975</v>
      </c>
      <c r="AD4658">
        <v>-1.1118551143219999</v>
      </c>
      <c r="AE4658">
        <v>-0.62741000000000102</v>
      </c>
      <c r="AF4658">
        <v>-0.46269281945201202</v>
      </c>
      <c r="AG4658">
        <v>-1.1118551143219999</v>
      </c>
      <c r="AH4658">
        <v>14.4189536713727</v>
      </c>
      <c r="AI4658">
        <v>94.407130493583097</v>
      </c>
      <c r="AJ4658">
        <v>91.837945568018995</v>
      </c>
      <c r="AK4658">
        <v>14.469157937406299</v>
      </c>
      <c r="AL4658">
        <v>65.720327056359395</v>
      </c>
      <c r="AM4658">
        <v>89.950877528860502</v>
      </c>
      <c r="AN4658">
        <v>1.0000000231694199</v>
      </c>
    </row>
    <row r="4659" spans="1:40" x14ac:dyDescent="0.25">
      <c r="A4659" t="str">
        <f>"20190304164739456"</f>
        <v>20190304164739456</v>
      </c>
      <c r="B4659" t="str">
        <f>"1551689259443719"</f>
        <v>1551689259443719</v>
      </c>
      <c r="C4659" t="s">
        <v>40</v>
      </c>
      <c r="D4659">
        <v>4.793971</v>
      </c>
      <c r="E4659">
        <v>0.50488109999999997</v>
      </c>
      <c r="F4659" t="s">
        <v>42</v>
      </c>
      <c r="G4659">
        <v>-343.34550000000002</v>
      </c>
      <c r="H4659" s="1">
        <v>-3.1375379999999998E-6</v>
      </c>
      <c r="I4659">
        <v>17.922439999999899</v>
      </c>
      <c r="J4659">
        <v>-357.63810000000001</v>
      </c>
      <c r="K4659">
        <v>1.1118189999999999</v>
      </c>
      <c r="L4659">
        <v>18.518920000000001</v>
      </c>
      <c r="M4659">
        <v>0.99716950000000004</v>
      </c>
      <c r="N4659">
        <v>-1.399952E-2</v>
      </c>
      <c r="O4659">
        <v>-7.3871759999999995E-2</v>
      </c>
      <c r="P4659">
        <v>0.91449029999999998</v>
      </c>
      <c r="Q4659">
        <v>0.39860580000000001</v>
      </c>
      <c r="R4659">
        <v>-6.9433030000000007E-2</v>
      </c>
      <c r="S4659">
        <v>3.3819270000000001</v>
      </c>
      <c r="T4659">
        <v>-0.25831399999999999</v>
      </c>
      <c r="U4659">
        <v>-0.14288329999999999</v>
      </c>
      <c r="V4659">
        <v>9.2201309999999999E-4</v>
      </c>
      <c r="W4659">
        <v>0.4114083</v>
      </c>
      <c r="X4659">
        <v>0.91145069999999995</v>
      </c>
      <c r="Y4659">
        <v>-3.1466050000000002E-2</v>
      </c>
      <c r="Z4659">
        <v>6.0121419999999998E-3</v>
      </c>
      <c r="AA4659">
        <v>0.99948669999999995</v>
      </c>
      <c r="AB4659">
        <v>27</v>
      </c>
      <c r="AC4659">
        <v>14.292599999999901</v>
      </c>
      <c r="AD4659">
        <v>-1.111822137538</v>
      </c>
      <c r="AE4659">
        <v>-0.59648000000000301</v>
      </c>
      <c r="AF4659">
        <v>-0.458304516898004</v>
      </c>
      <c r="AG4659">
        <v>-1.111822137538</v>
      </c>
      <c r="AH4659">
        <v>14.211758722280701</v>
      </c>
      <c r="AI4659">
        <v>94.470969081374193</v>
      </c>
      <c r="AJ4659">
        <v>91.847049199356405</v>
      </c>
      <c r="AK4659">
        <v>14.262548070946201</v>
      </c>
      <c r="AL4659">
        <v>65.706667479158099</v>
      </c>
      <c r="AM4659">
        <v>89.942040264749195</v>
      </c>
      <c r="AN4659">
        <v>1.00000000897376</v>
      </c>
    </row>
    <row r="4660" spans="1:40" x14ac:dyDescent="0.25">
      <c r="A4660" t="str">
        <f>"20190304164739474"</f>
        <v>20190304164739474</v>
      </c>
      <c r="B4660" t="str">
        <f>"1551689259464216"</f>
        <v>1551689259464216</v>
      </c>
      <c r="C4660" t="s">
        <v>40</v>
      </c>
      <c r="D4660">
        <v>4.7998900000000004</v>
      </c>
      <c r="E4660">
        <v>0.50634979999999996</v>
      </c>
      <c r="F4660" t="s">
        <v>42</v>
      </c>
      <c r="G4660">
        <v>-343.10239999999999</v>
      </c>
      <c r="H4660" s="1">
        <v>-3.253559E-6</v>
      </c>
      <c r="I4660">
        <v>17.85624</v>
      </c>
      <c r="J4660">
        <v>-357.39960000000002</v>
      </c>
      <c r="K4660">
        <v>1.111818</v>
      </c>
      <c r="L4660">
        <v>18.50244</v>
      </c>
      <c r="M4660">
        <v>0.99724049999999997</v>
      </c>
      <c r="N4660">
        <v>-1.396375E-2</v>
      </c>
      <c r="O4660">
        <v>-7.2912290000000005E-2</v>
      </c>
      <c r="P4660">
        <v>0.91438299999999995</v>
      </c>
      <c r="Q4660">
        <v>0.39894940000000001</v>
      </c>
      <c r="R4660">
        <v>-6.8870189999999998E-2</v>
      </c>
      <c r="S4660">
        <v>3.381561</v>
      </c>
      <c r="T4660">
        <v>-0.2586521</v>
      </c>
      <c r="U4660">
        <v>-0.15414430000000001</v>
      </c>
      <c r="V4660">
        <v>1.2147799999999999E-3</v>
      </c>
      <c r="W4660">
        <v>0.41171819999999998</v>
      </c>
      <c r="X4660">
        <v>0.91131039999999996</v>
      </c>
      <c r="Y4660">
        <v>-2.719324E-2</v>
      </c>
      <c r="Z4660">
        <v>5.7706469999999899E-3</v>
      </c>
      <c r="AA4660">
        <v>0.99961350000000004</v>
      </c>
      <c r="AB4660">
        <v>27</v>
      </c>
      <c r="AC4660">
        <v>14.2972</v>
      </c>
      <c r="AD4660">
        <v>-1.111821253559</v>
      </c>
      <c r="AE4660">
        <v>-0.6462</v>
      </c>
      <c r="AF4660">
        <v>-0.39567570396991097</v>
      </c>
      <c r="AG4660">
        <v>-1.111821253559</v>
      </c>
      <c r="AH4660">
        <v>14.220437824974301</v>
      </c>
      <c r="AI4660">
        <v>94.468838667418197</v>
      </c>
      <c r="AJ4660">
        <v>91.593811694145103</v>
      </c>
      <c r="AK4660">
        <v>14.269322257785699</v>
      </c>
      <c r="AL4660">
        <v>65.687184733051097</v>
      </c>
      <c r="AM4660">
        <v>89.923624567642506</v>
      </c>
      <c r="AN4660">
        <v>0.99999999852492405</v>
      </c>
    </row>
    <row r="4661" spans="1:40" x14ac:dyDescent="0.25">
      <c r="A4661" t="str">
        <f>"20190304164739498"</f>
        <v>20190304164739498</v>
      </c>
      <c r="B4661" t="str">
        <f>"1551689259493496"</f>
        <v>1551689259493496</v>
      </c>
      <c r="C4661" t="s">
        <v>40</v>
      </c>
      <c r="D4661">
        <v>4.7814410000000001</v>
      </c>
      <c r="E4661">
        <v>0.50764500000000001</v>
      </c>
      <c r="F4661" t="s">
        <v>42</v>
      </c>
      <c r="G4661">
        <v>-343.09300000000002</v>
      </c>
      <c r="H4661" s="1">
        <v>-3.2647280000000002E-6</v>
      </c>
      <c r="I4661">
        <v>17.81598</v>
      </c>
      <c r="J4661">
        <v>-357.1216</v>
      </c>
      <c r="K4661">
        <v>1.1118059999999901</v>
      </c>
      <c r="L4661">
        <v>18.48358</v>
      </c>
      <c r="M4661">
        <v>0.99731340000000002</v>
      </c>
      <c r="N4661">
        <v>-1.393932E-2</v>
      </c>
      <c r="O4661">
        <v>-7.1914950000000005E-2</v>
      </c>
      <c r="P4661">
        <v>0.91438189999999997</v>
      </c>
      <c r="Q4661">
        <v>0.39914889999999997</v>
      </c>
      <c r="R4661">
        <v>-6.7720230000000006E-2</v>
      </c>
      <c r="S4661">
        <v>3.3833920000000002</v>
      </c>
      <c r="T4661">
        <v>-0.26293620000000001</v>
      </c>
      <c r="U4661">
        <v>-0.162323</v>
      </c>
      <c r="V4661">
        <v>9.7979420000000005E-4</v>
      </c>
      <c r="W4661">
        <v>0.41189360000000003</v>
      </c>
      <c r="X4661">
        <v>0.91123140000000002</v>
      </c>
      <c r="Y4661">
        <v>-2.3812440000000001E-2</v>
      </c>
      <c r="Z4661">
        <v>5.6591130000000003E-3</v>
      </c>
      <c r="AA4661">
        <v>0.99970040000000004</v>
      </c>
      <c r="AB4661">
        <v>27</v>
      </c>
      <c r="AC4661">
        <v>14.0285999999999</v>
      </c>
      <c r="AD4661">
        <v>-1.11180926472799</v>
      </c>
      <c r="AE4661">
        <v>-0.66759999999999997</v>
      </c>
      <c r="AF4661">
        <v>-0.34095623891586202</v>
      </c>
      <c r="AG4661">
        <v>-1.11180926472799</v>
      </c>
      <c r="AH4661">
        <v>13.952844295956</v>
      </c>
      <c r="AI4661">
        <v>94.554539111775398</v>
      </c>
      <c r="AJ4661">
        <v>91.3998197112345</v>
      </c>
      <c r="AK4661">
        <v>14.001222623227701</v>
      </c>
      <c r="AL4661">
        <v>65.676156086057205</v>
      </c>
      <c r="AM4661">
        <v>89.938393199776897</v>
      </c>
      <c r="AN4661">
        <v>0.99999998103179699</v>
      </c>
    </row>
    <row r="4662" spans="1:40" x14ac:dyDescent="0.25">
      <c r="A4662" t="str">
        <f>"20190304164739510"</f>
        <v>20190304164739510</v>
      </c>
      <c r="B4662" t="str">
        <f>"1551689259504232"</f>
        <v>1551689259504232</v>
      </c>
      <c r="C4662" t="s">
        <v>40</v>
      </c>
      <c r="D4662">
        <v>4.7286210000000004</v>
      </c>
      <c r="E4662">
        <v>0.50800069999999997</v>
      </c>
      <c r="F4662" t="s">
        <v>42</v>
      </c>
      <c r="G4662">
        <v>-342.9896</v>
      </c>
      <c r="H4662" s="1">
        <v>-3.314692E-6</v>
      </c>
      <c r="I4662">
        <v>17.784479999999999</v>
      </c>
      <c r="J4662">
        <v>-356.96210000000002</v>
      </c>
      <c r="K4662">
        <v>1.111782</v>
      </c>
      <c r="L4662">
        <v>18.47287</v>
      </c>
      <c r="M4662">
        <v>0.99735549999999995</v>
      </c>
      <c r="N4662">
        <v>-1.393114E-2</v>
      </c>
      <c r="O4662">
        <v>-7.1332179999999995E-2</v>
      </c>
      <c r="P4662">
        <v>0.91457690000000003</v>
      </c>
      <c r="Q4662">
        <v>0.39883109999999999</v>
      </c>
      <c r="R4662">
        <v>-6.6953780000000004E-2</v>
      </c>
      <c r="S4662">
        <v>3.384735</v>
      </c>
      <c r="T4662">
        <v>-0.26628590000000002</v>
      </c>
      <c r="U4662">
        <v>-0.1674194</v>
      </c>
      <c r="V4662">
        <v>7.5878950000000001E-4</v>
      </c>
      <c r="W4662">
        <v>0.41156999999999999</v>
      </c>
      <c r="X4662">
        <v>0.91137780000000002</v>
      </c>
      <c r="Y4662">
        <v>-2.1747849999999999E-2</v>
      </c>
      <c r="Z4662">
        <v>5.6062940000000004E-3</v>
      </c>
      <c r="AA4662">
        <v>0.99974779999999996</v>
      </c>
      <c r="AB4662">
        <v>27</v>
      </c>
      <c r="AC4662">
        <v>13.9725</v>
      </c>
      <c r="AD4662">
        <v>-1.111785314692</v>
      </c>
      <c r="AE4662">
        <v>-0.68839000000000095</v>
      </c>
      <c r="AF4662">
        <v>-0.30820277339778901</v>
      </c>
      <c r="AG4662">
        <v>-1.111785314692</v>
      </c>
      <c r="AH4662">
        <v>13.8982279498904</v>
      </c>
      <c r="AI4662">
        <v>94.572503168879194</v>
      </c>
      <c r="AJ4662">
        <v>91.270365146078404</v>
      </c>
      <c r="AK4662">
        <v>13.9460315388504</v>
      </c>
      <c r="AL4662">
        <v>65.696501189324906</v>
      </c>
      <c r="AM4662">
        <v>89.952297032203901</v>
      </c>
      <c r="AN4662">
        <v>0.99999996749717202</v>
      </c>
    </row>
    <row r="4663" spans="1:40" x14ac:dyDescent="0.25">
      <c r="A4663" t="str">
        <f>"20190304164739522"</f>
        <v>20190304164739522</v>
      </c>
      <c r="B4663" t="str">
        <f>"1551689259513992"</f>
        <v>1551689259513992</v>
      </c>
      <c r="C4663" t="s">
        <v>40</v>
      </c>
      <c r="D4663">
        <v>4.7345790000000001</v>
      </c>
      <c r="E4663">
        <v>0.50800069999999997</v>
      </c>
      <c r="F4663" t="s">
        <v>42</v>
      </c>
      <c r="G4663">
        <v>-342.9615</v>
      </c>
      <c r="H4663" s="1">
        <v>-3.3268960000000002E-6</v>
      </c>
      <c r="I4663">
        <v>17.783639999999998</v>
      </c>
      <c r="J4663">
        <v>-356.81360000000001</v>
      </c>
      <c r="K4663">
        <v>1.1117509999999999</v>
      </c>
      <c r="L4663">
        <v>18.46292</v>
      </c>
      <c r="M4663">
        <v>0.99739549999999999</v>
      </c>
      <c r="N4663">
        <v>-1.3925949999999999E-2</v>
      </c>
      <c r="O4663">
        <v>-7.0768890000000001E-2</v>
      </c>
      <c r="P4663">
        <v>0.91470499999999999</v>
      </c>
      <c r="Q4663">
        <v>0.3986576</v>
      </c>
      <c r="R4663">
        <v>-6.6234249999999995E-2</v>
      </c>
      <c r="S4663">
        <v>3.3851619999999998</v>
      </c>
      <c r="T4663">
        <v>-0.26881470000000002</v>
      </c>
      <c r="U4663">
        <v>-0.166626</v>
      </c>
      <c r="V4663">
        <v>5.8147869999999999E-4</v>
      </c>
      <c r="W4663">
        <v>0.41139219999999999</v>
      </c>
      <c r="X4663">
        <v>0.91145830000000005</v>
      </c>
      <c r="Y4663">
        <v>-2.1420809999999998E-2</v>
      </c>
      <c r="Z4663">
        <v>5.6150030000000004E-3</v>
      </c>
      <c r="AA4663">
        <v>0.99975480000000005</v>
      </c>
      <c r="AB4663">
        <v>27</v>
      </c>
      <c r="AC4663">
        <v>13.8521</v>
      </c>
      <c r="AD4663">
        <v>-1.111754326896</v>
      </c>
      <c r="AE4663">
        <v>-0.67928000000000199</v>
      </c>
      <c r="AF4663">
        <v>-0.30088281312958398</v>
      </c>
      <c r="AG4663">
        <v>-1.111754326896</v>
      </c>
      <c r="AH4663">
        <v>13.7769080373757</v>
      </c>
      <c r="AI4663">
        <v>94.612501727295395</v>
      </c>
      <c r="AJ4663">
        <v>91.251120728819501</v>
      </c>
      <c r="AK4663">
        <v>13.824967385889799</v>
      </c>
      <c r="AL4663">
        <v>65.707680784502102</v>
      </c>
      <c r="AM4663">
        <v>89.963447290055001</v>
      </c>
      <c r="AN4663">
        <v>1.0000000564886</v>
      </c>
    </row>
    <row r="4664" spans="1:40" x14ac:dyDescent="0.25">
      <c r="A4664" t="str">
        <f>"20190304164739536"</f>
        <v>20190304164739536</v>
      </c>
      <c r="B4664" t="str">
        <f>"1551689259523752"</f>
        <v>1551689259523752</v>
      </c>
      <c r="C4664" t="s">
        <v>40</v>
      </c>
      <c r="D4664">
        <v>4.7388180000000002</v>
      </c>
      <c r="E4664">
        <v>0.51311640000000003</v>
      </c>
      <c r="F4664" t="s">
        <v>42</v>
      </c>
      <c r="G4664">
        <v>-342.84390000000002</v>
      </c>
      <c r="H4664" s="1">
        <v>-3.3765589999999999E-6</v>
      </c>
      <c r="I4664">
        <v>17.787960000000002</v>
      </c>
      <c r="J4664">
        <v>-356.65710000000001</v>
      </c>
      <c r="K4664">
        <v>1.111713</v>
      </c>
      <c r="L4664">
        <v>18.45251</v>
      </c>
      <c r="M4664">
        <v>0.99743820000000005</v>
      </c>
      <c r="N4664">
        <v>-1.3921879999999999E-2</v>
      </c>
      <c r="O4664">
        <v>-7.016791E-2</v>
      </c>
      <c r="P4664">
        <v>0.9146782</v>
      </c>
      <c r="Q4664">
        <v>0.39882679999999998</v>
      </c>
      <c r="R4664">
        <v>-6.5587889999999996E-2</v>
      </c>
      <c r="S4664">
        <v>3.3852839999999902</v>
      </c>
      <c r="T4664">
        <v>-0.2694124</v>
      </c>
      <c r="U4664">
        <v>-0.16354369999999999</v>
      </c>
      <c r="V4664">
        <v>5.2862799999999995E-4</v>
      </c>
      <c r="W4664">
        <v>0.41155649999999999</v>
      </c>
      <c r="X4664">
        <v>0.91138410000000003</v>
      </c>
      <c r="Y4664">
        <v>-2.172729E-2</v>
      </c>
      <c r="Z4664">
        <v>5.6045790000000002E-3</v>
      </c>
      <c r="AA4664">
        <v>0.99974819999999998</v>
      </c>
      <c r="AB4664">
        <v>27</v>
      </c>
      <c r="AC4664">
        <v>13.813199999999901</v>
      </c>
      <c r="AD4664">
        <v>-1.1117163765589999</v>
      </c>
      <c r="AE4664">
        <v>-0.66454999999999798</v>
      </c>
      <c r="AF4664">
        <v>-0.30445793105296298</v>
      </c>
      <c r="AG4664">
        <v>-1.1117163765589999</v>
      </c>
      <c r="AH4664">
        <v>13.737006802197101</v>
      </c>
      <c r="AI4664">
        <v>94.625651378240903</v>
      </c>
      <c r="AJ4664">
        <v>91.269657889292304</v>
      </c>
      <c r="AK4664">
        <v>13.785280694178899</v>
      </c>
      <c r="AL4664">
        <v>65.697350862198107</v>
      </c>
      <c r="AM4664">
        <v>89.966766865983502</v>
      </c>
      <c r="AN4664">
        <v>1.00000000493631</v>
      </c>
    </row>
    <row r="4665" spans="1:40" x14ac:dyDescent="0.25">
      <c r="A4665" t="str">
        <f>"20190304164739553"</f>
        <v>20190304164739553</v>
      </c>
      <c r="B4665" t="str">
        <f>"1551689259544247"</f>
        <v>1551689259544247</v>
      </c>
      <c r="C4665" t="s">
        <v>40</v>
      </c>
      <c r="D4665">
        <v>4.7107749999999999</v>
      </c>
      <c r="E4665">
        <v>0.51302029999999998</v>
      </c>
      <c r="F4665" t="s">
        <v>41</v>
      </c>
      <c r="G4665">
        <v>-355.7251</v>
      </c>
      <c r="H4665">
        <v>1.0060910000000001</v>
      </c>
      <c r="I4665">
        <v>18.399999999999999</v>
      </c>
      <c r="J4665">
        <v>-356.44279999999998</v>
      </c>
      <c r="K4665">
        <v>1.1116710000000001</v>
      </c>
      <c r="L4665">
        <v>18.43835</v>
      </c>
      <c r="M4665">
        <v>0.99749580000000004</v>
      </c>
      <c r="N4665">
        <v>-1.391971E-2</v>
      </c>
      <c r="O4665">
        <v>-6.9344279999999994E-2</v>
      </c>
      <c r="P4665">
        <v>0.9148925</v>
      </c>
      <c r="Q4665">
        <v>0.39846189999999998</v>
      </c>
      <c r="R4665">
        <v>-6.4810149999999997E-2</v>
      </c>
      <c r="S4665">
        <v>3.435791</v>
      </c>
      <c r="T4665">
        <v>-0.38940170000000002</v>
      </c>
      <c r="U4665">
        <v>-0.19296260000000001</v>
      </c>
      <c r="V4665">
        <v>5.4927169999999996E-4</v>
      </c>
      <c r="W4665">
        <v>0.4111918</v>
      </c>
      <c r="X4665">
        <v>0.91154869999999999</v>
      </c>
      <c r="Y4665">
        <v>-1.2870960000000001E-2</v>
      </c>
      <c r="Z4665">
        <v>7.6731129999999996E-3</v>
      </c>
      <c r="AA4665">
        <v>0.99988770000000005</v>
      </c>
      <c r="AB4665">
        <v>27</v>
      </c>
      <c r="AC4665">
        <v>0.71769999999997902</v>
      </c>
      <c r="AD4665">
        <v>-0.10557999999999899</v>
      </c>
      <c r="AE4665">
        <v>-3.8350000000001203E-2</v>
      </c>
      <c r="AF4665">
        <v>-1.12722908445E-2</v>
      </c>
      <c r="AG4665">
        <v>-0.10557999999999899</v>
      </c>
      <c r="AH4665">
        <v>0.703451563904682</v>
      </c>
      <c r="AI4665">
        <v>98.534645894179803</v>
      </c>
      <c r="AJ4665">
        <v>90.918043902800093</v>
      </c>
      <c r="AK4665">
        <v>0.71141992079279404</v>
      </c>
      <c r="AL4665">
        <v>65.720276568111601</v>
      </c>
      <c r="AM4665">
        <v>89.965475298898397</v>
      </c>
      <c r="AN4665">
        <v>1.0000000152791599</v>
      </c>
    </row>
    <row r="4666" spans="1:40" x14ac:dyDescent="0.25">
      <c r="A4666" t="str">
        <f>"20190304164739565"</f>
        <v>20190304164739565</v>
      </c>
      <c r="B4666" t="str">
        <f>"1551689259554008"</f>
        <v>1551689259554008</v>
      </c>
      <c r="C4666" t="s">
        <v>40</v>
      </c>
      <c r="D4666">
        <v>4.7046640000000002</v>
      </c>
      <c r="E4666">
        <v>0.51300380000000001</v>
      </c>
      <c r="F4666" t="s">
        <v>41</v>
      </c>
      <c r="G4666">
        <v>-355.71300000000002</v>
      </c>
      <c r="H4666">
        <v>1.0291840000000001</v>
      </c>
      <c r="I4666">
        <v>18.39845</v>
      </c>
      <c r="J4666">
        <v>-356.29700000000003</v>
      </c>
      <c r="K4666">
        <v>1.1116539999999999</v>
      </c>
      <c r="L4666">
        <v>18.42877</v>
      </c>
      <c r="M4666">
        <v>0.9975328</v>
      </c>
      <c r="N4666">
        <v>-1.3920780000000001E-2</v>
      </c>
      <c r="O4666">
        <v>-6.8809110000000007E-2</v>
      </c>
      <c r="P4666">
        <v>0.914968</v>
      </c>
      <c r="Q4666">
        <v>0.39837800000000001</v>
      </c>
      <c r="R4666">
        <v>-6.4255999999999994E-2</v>
      </c>
      <c r="S4666">
        <v>3.4349059999999998</v>
      </c>
      <c r="T4666">
        <v>-0.3882369</v>
      </c>
      <c r="U4666">
        <v>-0.18698119999999999</v>
      </c>
      <c r="V4666">
        <v>5.1090680000000005E-4</v>
      </c>
      <c r="W4666">
        <v>0.41110930000000001</v>
      </c>
      <c r="X4666">
        <v>0.91158589999999995</v>
      </c>
      <c r="Y4666">
        <v>-1.405264E-2</v>
      </c>
      <c r="Z4666">
        <v>7.6724280000000002E-3</v>
      </c>
      <c r="AA4666">
        <v>0.99987190000000004</v>
      </c>
      <c r="AB4666">
        <v>27</v>
      </c>
      <c r="AC4666">
        <v>0.58399999999994601</v>
      </c>
      <c r="AD4666">
        <v>-8.2470000000000002E-2</v>
      </c>
      <c r="AE4666">
        <v>-3.0319999999999601E-2</v>
      </c>
      <c r="AF4666">
        <v>-9.7464480099089899E-3</v>
      </c>
      <c r="AG4666">
        <v>-8.2470000000000002E-2</v>
      </c>
      <c r="AH4666">
        <v>0.57330010145843502</v>
      </c>
      <c r="AI4666">
        <v>98.184753126886605</v>
      </c>
      <c r="AJ4666">
        <v>90.973969034437502</v>
      </c>
      <c r="AK4666">
        <v>0.57928343708504404</v>
      </c>
      <c r="AL4666">
        <v>65.725461259777205</v>
      </c>
      <c r="AM4666">
        <v>89.967888050594496</v>
      </c>
      <c r="AN4666">
        <v>0.99999998532552803</v>
      </c>
    </row>
    <row r="4667" spans="1:40" x14ac:dyDescent="0.25">
      <c r="A4667" t="str">
        <f>"20190304164739579"</f>
        <v>20190304164739579</v>
      </c>
      <c r="B4667" t="str">
        <f>"1551689259573528"</f>
        <v>1551689259573528</v>
      </c>
      <c r="C4667" t="s">
        <v>40</v>
      </c>
      <c r="D4667">
        <v>4.708005</v>
      </c>
      <c r="E4667">
        <v>0.51324809999999998</v>
      </c>
      <c r="F4667" t="s">
        <v>41</v>
      </c>
      <c r="G4667">
        <v>-355.47680000000003</v>
      </c>
      <c r="H4667">
        <v>1.0193719999999999</v>
      </c>
      <c r="I4667">
        <v>18.384720000000002</v>
      </c>
      <c r="J4667">
        <v>-356.13400000000001</v>
      </c>
      <c r="K4667">
        <v>1.11164</v>
      </c>
      <c r="L4667">
        <v>18.418150000000001</v>
      </c>
      <c r="M4667">
        <v>0.99757280000000004</v>
      </c>
      <c r="N4667">
        <v>-1.3922779999999999E-2</v>
      </c>
      <c r="O4667">
        <v>-6.8227300000000005E-2</v>
      </c>
      <c r="P4667">
        <v>0.91501180000000004</v>
      </c>
      <c r="Q4667">
        <v>0.3983756</v>
      </c>
      <c r="R4667">
        <v>-6.3644569999999998E-2</v>
      </c>
      <c r="S4667">
        <v>3.4341430000000002</v>
      </c>
      <c r="T4667">
        <v>-0.38642749999999998</v>
      </c>
      <c r="U4667">
        <v>-0.1837463</v>
      </c>
      <c r="V4667">
        <v>4.5730549999999998E-4</v>
      </c>
      <c r="W4667">
        <v>0.41110839999999998</v>
      </c>
      <c r="X4667">
        <v>0.91158629999999996</v>
      </c>
      <c r="Y4667">
        <v>-1.440104E-2</v>
      </c>
      <c r="Z4667">
        <v>7.5999169999999899E-3</v>
      </c>
      <c r="AA4667">
        <v>0.99986739999999996</v>
      </c>
      <c r="AB4667">
        <v>27</v>
      </c>
      <c r="AC4667">
        <v>0.65719999999998802</v>
      </c>
      <c r="AD4667">
        <v>-9.2268000000000003E-2</v>
      </c>
      <c r="AE4667">
        <v>-3.3429999999999099E-2</v>
      </c>
      <c r="AF4667">
        <v>-1.1269672509940499E-2</v>
      </c>
      <c r="AG4667">
        <v>-9.2268000000000003E-2</v>
      </c>
      <c r="AH4667">
        <v>0.64526343948111797</v>
      </c>
      <c r="AI4667">
        <v>98.136492841161697</v>
      </c>
      <c r="AJ4667">
        <v>91.000582072111897</v>
      </c>
      <c r="AK4667">
        <v>0.65192430210376795</v>
      </c>
      <c r="AL4667">
        <v>65.725517018241007</v>
      </c>
      <c r="AM4667">
        <v>89.971257057175904</v>
      </c>
      <c r="AN4667">
        <v>0.99999995401328401</v>
      </c>
    </row>
    <row r="4668" spans="1:40" x14ac:dyDescent="0.25">
      <c r="A4668" t="str">
        <f>"20190304164739598"</f>
        <v>20190304164739598</v>
      </c>
      <c r="B4668" t="str">
        <f>"1551689259594024"</f>
        <v>1551689259594024</v>
      </c>
      <c r="C4668" t="s">
        <v>40</v>
      </c>
      <c r="D4668">
        <v>4.7033659999999999</v>
      </c>
      <c r="E4668">
        <v>0.51363749999999997</v>
      </c>
      <c r="F4668" t="s">
        <v>41</v>
      </c>
      <c r="G4668">
        <v>-355.23899999999998</v>
      </c>
      <c r="H4668">
        <v>1.0113289999999999</v>
      </c>
      <c r="I4668">
        <v>18.370360000000002</v>
      </c>
      <c r="J4668">
        <v>-355.90199999999999</v>
      </c>
      <c r="K4668">
        <v>1.1116410000000001</v>
      </c>
      <c r="L4668">
        <v>18.40314</v>
      </c>
      <c r="M4668">
        <v>0.99762589999999995</v>
      </c>
      <c r="N4668">
        <v>-1.3927439999999999E-2</v>
      </c>
      <c r="O4668">
        <v>-6.7443719999999999E-2</v>
      </c>
      <c r="P4668">
        <v>0.91506940000000003</v>
      </c>
      <c r="Q4668">
        <v>0.3984219</v>
      </c>
      <c r="R4668">
        <v>-6.2516470000000005E-2</v>
      </c>
      <c r="S4668">
        <v>3.4335330000000002</v>
      </c>
      <c r="T4668">
        <v>-0.38490259999999998</v>
      </c>
      <c r="U4668">
        <v>-0.18261720000000001</v>
      </c>
      <c r="V4668" s="1">
        <v>6.7081299999999998E-5</v>
      </c>
      <c r="W4668">
        <v>0.41115800000000002</v>
      </c>
      <c r="X4668">
        <v>0.91156409999999999</v>
      </c>
      <c r="Y4668">
        <v>-1.394456E-2</v>
      </c>
      <c r="Z4668">
        <v>7.4630059999999899E-3</v>
      </c>
      <c r="AA4668">
        <v>0.99987490000000001</v>
      </c>
      <c r="AB4668">
        <v>27</v>
      </c>
      <c r="AC4668">
        <v>0.66299999999995396</v>
      </c>
      <c r="AD4668">
        <v>-0.100311999999999</v>
      </c>
      <c r="AE4668">
        <v>-3.27799999999989E-2</v>
      </c>
      <c r="AF4668">
        <v>-1.1745944861703101E-2</v>
      </c>
      <c r="AG4668">
        <v>-0.100311999999999</v>
      </c>
      <c r="AH4668">
        <v>0.64888328616755098</v>
      </c>
      <c r="AI4668">
        <v>98.786472153563196</v>
      </c>
      <c r="AJ4668">
        <v>91.037042543999405</v>
      </c>
      <c r="AK4668">
        <v>0.65669626436602602</v>
      </c>
      <c r="AL4668">
        <v>65.722400847667004</v>
      </c>
      <c r="AM4668">
        <v>89.995783647724394</v>
      </c>
      <c r="AN4668">
        <v>1.0000000069363499</v>
      </c>
    </row>
    <row r="4669" spans="1:40" x14ac:dyDescent="0.25">
      <c r="A4669" t="str">
        <f>"20190304164739611"</f>
        <v>20190304164739611</v>
      </c>
      <c r="B4669" t="str">
        <f>"1551689259603783"</f>
        <v>1551689259603783</v>
      </c>
      <c r="C4669" t="s">
        <v>40</v>
      </c>
      <c r="D4669">
        <v>4.6821809999999999</v>
      </c>
      <c r="E4669">
        <v>0.51378389999999996</v>
      </c>
      <c r="F4669" t="s">
        <v>41</v>
      </c>
      <c r="G4669">
        <v>-354.99799999999999</v>
      </c>
      <c r="H4669">
        <v>1.0106550000000001</v>
      </c>
      <c r="I4669">
        <v>18.35493</v>
      </c>
      <c r="J4669">
        <v>-355.74009999999998</v>
      </c>
      <c r="K4669">
        <v>1.1116490000000001</v>
      </c>
      <c r="L4669">
        <v>18.392759999999999</v>
      </c>
      <c r="M4669">
        <v>0.99766109999999997</v>
      </c>
      <c r="N4669">
        <v>-1.3931239999999999E-2</v>
      </c>
      <c r="O4669">
        <v>-6.6920499999999994E-2</v>
      </c>
      <c r="P4669">
        <v>0.91515619999999998</v>
      </c>
      <c r="Q4669">
        <v>0.3983217</v>
      </c>
      <c r="R4669">
        <v>-6.1878139999999998E-2</v>
      </c>
      <c r="S4669">
        <v>3.433014</v>
      </c>
      <c r="T4669">
        <v>-0.38358759999999997</v>
      </c>
      <c r="U4669">
        <v>-0.18194579999999999</v>
      </c>
      <c r="V4669" s="1">
        <v>-8.9883799999999995E-5</v>
      </c>
      <c r="W4669">
        <v>0.41106189999999998</v>
      </c>
      <c r="X4669">
        <v>0.91160739999999996</v>
      </c>
      <c r="Y4669">
        <v>-1.3614930000000001E-2</v>
      </c>
      <c r="Z4669">
        <v>7.3644030000000003E-3</v>
      </c>
      <c r="AA4669">
        <v>0.9998802</v>
      </c>
      <c r="AB4669">
        <v>27</v>
      </c>
      <c r="AC4669">
        <v>0.74209999999993603</v>
      </c>
      <c r="AD4669">
        <v>-0.100994</v>
      </c>
      <c r="AE4669">
        <v>-3.7829999999999503E-2</v>
      </c>
      <c r="AF4669">
        <v>-1.1705110548990601E-2</v>
      </c>
      <c r="AG4669">
        <v>-0.100994</v>
      </c>
      <c r="AH4669">
        <v>0.72949200760463695</v>
      </c>
      <c r="AI4669">
        <v>97.881167677872</v>
      </c>
      <c r="AJ4669">
        <v>90.919264199725205</v>
      </c>
      <c r="AK4669">
        <v>0.73654286148737302</v>
      </c>
      <c r="AL4669">
        <v>65.7284401242661</v>
      </c>
      <c r="AM4669">
        <v>90.005649320496801</v>
      </c>
      <c r="AN4669">
        <v>0.999999972722733</v>
      </c>
    </row>
    <row r="4670" spans="1:40" x14ac:dyDescent="0.25">
      <c r="A4670" t="str">
        <f>"20190304164739633"</f>
        <v>20190304164739633</v>
      </c>
      <c r="B4670" t="str">
        <f>"1551689259624279"</f>
        <v>1551689259624279</v>
      </c>
      <c r="C4670" t="s">
        <v>40</v>
      </c>
      <c r="D4670">
        <v>4.6887990000000004</v>
      </c>
      <c r="E4670">
        <v>0.51498169999999999</v>
      </c>
      <c r="F4670" t="s">
        <v>41</v>
      </c>
      <c r="G4670">
        <v>-354.98930000000001</v>
      </c>
      <c r="H4670">
        <v>1.0279049999999901</v>
      </c>
      <c r="I4670">
        <v>18.35284</v>
      </c>
      <c r="J4670">
        <v>-355.48259999999999</v>
      </c>
      <c r="K4670">
        <v>1.1116729999999999</v>
      </c>
      <c r="L4670">
        <v>18.376370000000001</v>
      </c>
      <c r="M4670">
        <v>0.99771489999999996</v>
      </c>
      <c r="N4670">
        <v>-1.393752E-2</v>
      </c>
      <c r="O4670">
        <v>-6.6110530000000001E-2</v>
      </c>
      <c r="P4670">
        <v>0.91526620000000003</v>
      </c>
      <c r="Q4670">
        <v>0.39813880000000001</v>
      </c>
      <c r="R4670">
        <v>-6.1427540000000003E-2</v>
      </c>
      <c r="S4670">
        <v>3.4325869999999998</v>
      </c>
      <c r="T4670">
        <v>-0.38303389999999998</v>
      </c>
      <c r="U4670">
        <v>-0.18118290000000001</v>
      </c>
      <c r="V4670">
        <v>1.963992E-4</v>
      </c>
      <c r="W4670">
        <v>0.41088580000000002</v>
      </c>
      <c r="X4670">
        <v>0.91168680000000002</v>
      </c>
      <c r="Y4670">
        <v>-1.302732E-2</v>
      </c>
      <c r="Z4670">
        <v>7.2380179999999997E-3</v>
      </c>
      <c r="AA4670">
        <v>0.99988900000000003</v>
      </c>
      <c r="AB4670">
        <v>27</v>
      </c>
      <c r="AC4670">
        <v>0.49329999999997598</v>
      </c>
      <c r="AD4670">
        <v>-8.3767999999999995E-2</v>
      </c>
      <c r="AE4670">
        <v>-2.3530000000000901E-2</v>
      </c>
      <c r="AF4670">
        <v>-8.8814571360657409E-3</v>
      </c>
      <c r="AG4670">
        <v>-8.3767999999999995E-2</v>
      </c>
      <c r="AH4670">
        <v>0.47996743990714802</v>
      </c>
      <c r="AI4670">
        <v>99.898370531274097</v>
      </c>
      <c r="AJ4670">
        <v>91.060096787671</v>
      </c>
      <c r="AK4670">
        <v>0.48730350037310599</v>
      </c>
      <c r="AL4670">
        <v>65.739508480525899</v>
      </c>
      <c r="AM4670">
        <v>89.987657115266202</v>
      </c>
      <c r="AN4670">
        <v>1.0000000002542599</v>
      </c>
    </row>
    <row r="4671" spans="1:40" x14ac:dyDescent="0.25">
      <c r="A4671" t="str">
        <f>"20190304164739655"</f>
        <v>20190304164739655</v>
      </c>
      <c r="B4671" t="str">
        <f>"1551689259643801"</f>
        <v>1551689259643801</v>
      </c>
      <c r="C4671" t="s">
        <v>40</v>
      </c>
      <c r="D4671">
        <v>4.7169949999999998</v>
      </c>
      <c r="E4671">
        <v>0.51526740000000004</v>
      </c>
      <c r="F4671" t="s">
        <v>42</v>
      </c>
      <c r="G4671">
        <v>-342.66849999999999</v>
      </c>
      <c r="H4671" s="1">
        <v>-3.478446E-6</v>
      </c>
      <c r="I4671">
        <v>17.637789999999999</v>
      </c>
      <c r="J4671">
        <v>-355.22199999999998</v>
      </c>
      <c r="K4671">
        <v>1.1116950000000001</v>
      </c>
      <c r="L4671">
        <v>18.36008</v>
      </c>
      <c r="M4671">
        <v>0.9977684</v>
      </c>
      <c r="N4671">
        <v>-1.3943830000000001E-2</v>
      </c>
      <c r="O4671">
        <v>-6.5297629999999995E-2</v>
      </c>
      <c r="P4671">
        <v>0.91525630000000002</v>
      </c>
      <c r="Q4671">
        <v>0.39819339999999998</v>
      </c>
      <c r="R4671">
        <v>-6.1218979999999999E-2</v>
      </c>
      <c r="S4671">
        <v>3.3926699999999999</v>
      </c>
      <c r="T4671">
        <v>-0.29432829999999999</v>
      </c>
      <c r="U4671">
        <v>-0.19552610000000001</v>
      </c>
      <c r="V4671">
        <v>7.3074740000000004E-4</v>
      </c>
      <c r="W4671">
        <v>0.4109467</v>
      </c>
      <c r="X4671">
        <v>0.91165909999999994</v>
      </c>
      <c r="Y4671">
        <v>-7.577533E-3</v>
      </c>
      <c r="Z4671">
        <v>5.1154140000000004E-3</v>
      </c>
      <c r="AA4671">
        <v>0.99995820000000002</v>
      </c>
      <c r="AB4671">
        <v>27</v>
      </c>
      <c r="AC4671">
        <v>12.5534999999999</v>
      </c>
      <c r="AD4671">
        <v>-1.111698478446</v>
      </c>
      <c r="AE4671">
        <v>-0.72229000000000099</v>
      </c>
      <c r="AF4671">
        <v>-9.8277113014187401E-2</v>
      </c>
      <c r="AG4671">
        <v>-1.111698478446</v>
      </c>
      <c r="AH4671">
        <v>12.4763512685252</v>
      </c>
      <c r="AI4671">
        <v>95.091704691165305</v>
      </c>
      <c r="AJ4671">
        <v>90.451313626862998</v>
      </c>
      <c r="AK4671">
        <v>12.5261675253668</v>
      </c>
      <c r="AL4671">
        <v>65.735681602617305</v>
      </c>
      <c r="AM4671">
        <v>89.954074134790801</v>
      </c>
      <c r="AN4671">
        <v>1.0000000194227301</v>
      </c>
    </row>
    <row r="4672" spans="1:40" x14ac:dyDescent="0.25">
      <c r="A4672" t="str">
        <f>"20190304164739676"</f>
        <v>20190304164739676</v>
      </c>
      <c r="B4672" t="str">
        <f>"1551689259664297"</f>
        <v>1551689259664297</v>
      </c>
      <c r="C4672" t="s">
        <v>40</v>
      </c>
      <c r="D4672">
        <v>4.808891</v>
      </c>
      <c r="E4672">
        <v>0.50123709999999999</v>
      </c>
      <c r="F4672" t="s">
        <v>41</v>
      </c>
      <c r="G4672">
        <v>-354.2679</v>
      </c>
      <c r="H4672">
        <v>1.0278259999999999</v>
      </c>
      <c r="I4672">
        <v>18.304960000000001</v>
      </c>
      <c r="J4672">
        <v>-354.97239999999999</v>
      </c>
      <c r="K4672">
        <v>1.111713</v>
      </c>
      <c r="L4672">
        <v>18.344639999999998</v>
      </c>
      <c r="M4672">
        <v>0.99781940000000002</v>
      </c>
      <c r="N4672">
        <v>-1.394982E-2</v>
      </c>
      <c r="O4672">
        <v>-6.4511689999999997E-2</v>
      </c>
      <c r="P4672">
        <v>0.91541240000000001</v>
      </c>
      <c r="Q4672">
        <v>0.3979298</v>
      </c>
      <c r="R4672">
        <v>-6.0596629999999999E-2</v>
      </c>
      <c r="S4672">
        <v>3.3945620000000001</v>
      </c>
      <c r="T4672">
        <v>-0.29845670000000002</v>
      </c>
      <c r="U4672">
        <v>-0.19583130000000001</v>
      </c>
      <c r="V4672">
        <v>8.1750750000000004E-4</v>
      </c>
      <c r="W4672">
        <v>0.41069060000000002</v>
      </c>
      <c r="X4672">
        <v>0.91177439999999998</v>
      </c>
      <c r="Y4672">
        <v>-6.7318319999999897E-3</v>
      </c>
      <c r="Z4672">
        <v>5.094393E-3</v>
      </c>
      <c r="AA4672">
        <v>0.99996439999999998</v>
      </c>
      <c r="AB4672">
        <v>27</v>
      </c>
      <c r="AC4672">
        <v>0.70449999999999502</v>
      </c>
      <c r="AD4672">
        <v>-8.3886999999999795E-2</v>
      </c>
      <c r="AE4672">
        <v>-3.9679999999997002E-2</v>
      </c>
      <c r="AF4672">
        <v>-5.7739749816887098E-3</v>
      </c>
      <c r="AG4672">
        <v>-8.3886999999999795E-2</v>
      </c>
      <c r="AH4672">
        <v>0.69575872678815798</v>
      </c>
      <c r="AI4672">
        <v>96.874680651892902</v>
      </c>
      <c r="AJ4672">
        <v>90.475476325879001</v>
      </c>
      <c r="AK4672">
        <v>0.70082135630841602</v>
      </c>
      <c r="AL4672">
        <v>65.751775321315804</v>
      </c>
      <c r="AM4672">
        <v>89.948627953451407</v>
      </c>
      <c r="AN4672">
        <v>0.99999999687111596</v>
      </c>
    </row>
    <row r="4673" spans="1:40" x14ac:dyDescent="0.25">
      <c r="A4673" t="str">
        <f>"20190304164739700"</f>
        <v>20190304164739700</v>
      </c>
      <c r="B4673" t="str">
        <f>"1551689259693576"</f>
        <v>1551689259693576</v>
      </c>
      <c r="C4673" t="s">
        <v>40</v>
      </c>
      <c r="D4673">
        <v>4.639697</v>
      </c>
      <c r="E4673">
        <v>0.42652469999999998</v>
      </c>
      <c r="F4673" t="s">
        <v>41</v>
      </c>
      <c r="G4673">
        <v>-354.0283</v>
      </c>
      <c r="H4673">
        <v>1.016132</v>
      </c>
      <c r="I4673">
        <v>18.32273</v>
      </c>
      <c r="J4673">
        <v>-354.68329999999997</v>
      </c>
      <c r="K4673">
        <v>1.1117379999999999</v>
      </c>
      <c r="L4673">
        <v>18.327059999999999</v>
      </c>
      <c r="M4673">
        <v>0.99787859999999995</v>
      </c>
      <c r="N4673">
        <v>-1.3956059999999999E-2</v>
      </c>
      <c r="O4673">
        <v>-6.3589129999999994E-2</v>
      </c>
      <c r="P4673">
        <v>0.91543090000000005</v>
      </c>
      <c r="Q4673">
        <v>0.3980572</v>
      </c>
      <c r="R4673">
        <v>-5.9471540000000003E-2</v>
      </c>
      <c r="S4673">
        <v>3.4226990000000002</v>
      </c>
      <c r="T4673">
        <v>-0.3465915</v>
      </c>
      <c r="U4673">
        <v>-7.8277589999999994E-2</v>
      </c>
      <c r="V4673">
        <v>5.3697450000000002E-4</v>
      </c>
      <c r="W4673">
        <v>0.41082239999999998</v>
      </c>
      <c r="X4673">
        <v>0.91171530000000001</v>
      </c>
      <c r="Y4673">
        <v>-4.0285340000000003E-2</v>
      </c>
      <c r="Z4673">
        <v>7.8476940000000005E-3</v>
      </c>
      <c r="AA4673">
        <v>0.99915739999999997</v>
      </c>
      <c r="AB4673">
        <v>27</v>
      </c>
      <c r="AC4673">
        <v>0.65499999999997205</v>
      </c>
      <c r="AD4673">
        <v>-9.5605999999999802E-2</v>
      </c>
      <c r="AE4673">
        <v>-4.3299999999995E-3</v>
      </c>
      <c r="AF4673">
        <v>-3.6554921232561897E-2</v>
      </c>
      <c r="AG4673">
        <v>-9.5605999999999802E-2</v>
      </c>
      <c r="AH4673">
        <v>0.64030813418153998</v>
      </c>
      <c r="AI4673">
        <v>98.478632469016603</v>
      </c>
      <c r="AJ4673">
        <v>93.267445184935895</v>
      </c>
      <c r="AK4673">
        <v>0.64843756538418096</v>
      </c>
      <c r="AL4673">
        <v>65.743494402800806</v>
      </c>
      <c r="AM4673">
        <v>89.9662544118776</v>
      </c>
      <c r="AN4673">
        <v>1.00000006046873</v>
      </c>
    </row>
    <row r="4674" spans="1:40" x14ac:dyDescent="0.25">
      <c r="A4674" t="str">
        <f>"20190304164739722"</f>
        <v>20190304164739722</v>
      </c>
      <c r="B4674" t="str">
        <f>"1551689259714072"</f>
        <v>1551689259714072</v>
      </c>
      <c r="C4674" t="s">
        <v>40</v>
      </c>
      <c r="D4674">
        <v>4.6048200000000001</v>
      </c>
      <c r="E4674">
        <v>0.42249120000000001</v>
      </c>
      <c r="F4674" t="s">
        <v>42</v>
      </c>
      <c r="G4674">
        <v>-334.53719999999998</v>
      </c>
      <c r="H4674" s="1">
        <v>-2.787822E-6</v>
      </c>
      <c r="I4674">
        <v>21.352609999999999</v>
      </c>
      <c r="J4674">
        <v>-354.41039999999998</v>
      </c>
      <c r="K4674">
        <v>1.111764</v>
      </c>
      <c r="L4674">
        <v>18.310700000000001</v>
      </c>
      <c r="M4674">
        <v>0.99793430000000005</v>
      </c>
      <c r="N4674">
        <v>-1.396126E-2</v>
      </c>
      <c r="O4674">
        <v>-6.2709379999999995E-2</v>
      </c>
      <c r="P4674">
        <v>0.9152401</v>
      </c>
      <c r="Q4674">
        <v>0.39865210000000001</v>
      </c>
      <c r="R4674">
        <v>-5.8414609999999999E-2</v>
      </c>
      <c r="S4674">
        <v>3.391632</v>
      </c>
      <c r="T4674">
        <v>-0.18716289999999999</v>
      </c>
      <c r="U4674">
        <v>0.50936890000000001</v>
      </c>
      <c r="V4674">
        <v>2.9823559999999998E-4</v>
      </c>
      <c r="W4674">
        <v>0.4114179</v>
      </c>
      <c r="X4674">
        <v>0.9114468</v>
      </c>
      <c r="Y4674">
        <v>-0.2098005</v>
      </c>
      <c r="Z4674">
        <v>9.797778E-3</v>
      </c>
      <c r="AA4674">
        <v>0.97769510000000004</v>
      </c>
      <c r="AB4674">
        <v>27</v>
      </c>
      <c r="AC4674">
        <v>19.873200000000001</v>
      </c>
      <c r="AD4674">
        <v>-1.1117667878219999</v>
      </c>
      <c r="AE4674">
        <v>3.0419100000000001</v>
      </c>
      <c r="AF4674">
        <v>-4.2692240235504801</v>
      </c>
      <c r="AG4674">
        <v>-1.1117667878219999</v>
      </c>
      <c r="AH4674">
        <v>19.583418069691799</v>
      </c>
      <c r="AI4674">
        <v>93.174832785529901</v>
      </c>
      <c r="AJ4674">
        <v>102.298179999694</v>
      </c>
      <c r="AK4674">
        <v>20.074176507296599</v>
      </c>
      <c r="AL4674">
        <v>65.706064371799101</v>
      </c>
      <c r="AM4674">
        <v>89.981252179972799</v>
      </c>
      <c r="AN4674">
        <v>1.0000000233075601</v>
      </c>
    </row>
    <row r="4675" spans="1:40" x14ac:dyDescent="0.25">
      <c r="A4675" t="str">
        <f>"20190304164739745"</f>
        <v>20190304164739745</v>
      </c>
      <c r="B4675" t="str">
        <f>"1551689259733592"</f>
        <v>1551689259733592</v>
      </c>
      <c r="C4675" t="s">
        <v>40</v>
      </c>
      <c r="D4675">
        <v>4.6005949999999904</v>
      </c>
      <c r="E4675">
        <v>0.4211974</v>
      </c>
      <c r="F4675" t="s">
        <v>42</v>
      </c>
      <c r="G4675">
        <v>-333.26859999999999</v>
      </c>
      <c r="H4675" s="1">
        <v>-3.4233779999999999E-6</v>
      </c>
      <c r="I4675">
        <v>21.695920000000001</v>
      </c>
      <c r="J4675">
        <v>-354.14429999999999</v>
      </c>
      <c r="K4675">
        <v>1.111783</v>
      </c>
      <c r="L4675">
        <v>18.29495</v>
      </c>
      <c r="M4675">
        <v>0.99798799999999999</v>
      </c>
      <c r="N4675">
        <v>-1.396563E-2</v>
      </c>
      <c r="O4675">
        <v>-6.1845490000000003E-2</v>
      </c>
      <c r="P4675">
        <v>0.91516600000000004</v>
      </c>
      <c r="Q4675">
        <v>0.39903080000000002</v>
      </c>
      <c r="R4675">
        <v>-5.6968209999999998E-2</v>
      </c>
      <c r="S4675">
        <v>3.3901669999999999</v>
      </c>
      <c r="T4675">
        <v>-0.1782762</v>
      </c>
      <c r="U4675">
        <v>0.54284670000000002</v>
      </c>
      <c r="V4675">
        <v>-3.5137500000000002E-4</v>
      </c>
      <c r="W4675">
        <v>0.41179769999999999</v>
      </c>
      <c r="X4675">
        <v>0.91127519999999995</v>
      </c>
      <c r="Y4675">
        <v>-0.21846070000000001</v>
      </c>
      <c r="Z4675">
        <v>9.6149760000000008E-3</v>
      </c>
      <c r="AA4675">
        <v>0.97579839999999995</v>
      </c>
      <c r="AB4675">
        <v>27</v>
      </c>
      <c r="AC4675">
        <v>20.875699999999899</v>
      </c>
      <c r="AD4675">
        <v>-1.1117864233779999</v>
      </c>
      <c r="AE4675">
        <v>3.40097</v>
      </c>
      <c r="AF4675">
        <v>-4.6727413394736104</v>
      </c>
      <c r="AG4675">
        <v>-1.1117864233779999</v>
      </c>
      <c r="AH4675">
        <v>20.5685440889925</v>
      </c>
      <c r="AI4675">
        <v>93.017250118911903</v>
      </c>
      <c r="AJ4675">
        <v>102.79915970978401</v>
      </c>
      <c r="AK4675">
        <v>21.121921944218599</v>
      </c>
      <c r="AL4675">
        <v>65.682185837766497</v>
      </c>
      <c r="AM4675">
        <v>90.022092451905493</v>
      </c>
      <c r="AN4675">
        <v>0.99999997966235998</v>
      </c>
    </row>
    <row r="4676" spans="1:40" x14ac:dyDescent="0.25">
      <c r="A4676" t="str">
        <f>"20190304164739765"</f>
        <v>20190304164739765</v>
      </c>
      <c r="B4676" t="str">
        <f>"1551689259754091"</f>
        <v>1551689259754091</v>
      </c>
      <c r="C4676" t="s">
        <v>40</v>
      </c>
      <c r="D4676">
        <v>4.5777029999999996</v>
      </c>
      <c r="E4676">
        <v>0.42088219999999998</v>
      </c>
      <c r="F4676" t="s">
        <v>42</v>
      </c>
      <c r="G4676">
        <v>-332.68939999999998</v>
      </c>
      <c r="H4676" s="1">
        <v>-3.7056940000000002E-6</v>
      </c>
      <c r="I4676">
        <v>21.823060000000002</v>
      </c>
      <c r="J4676">
        <v>-353.89620000000002</v>
      </c>
      <c r="K4676">
        <v>1.1117999999999999</v>
      </c>
      <c r="L4676">
        <v>18.28049</v>
      </c>
      <c r="M4676">
        <v>0.99803779999999997</v>
      </c>
      <c r="N4676">
        <v>-1.396912E-2</v>
      </c>
      <c r="O4676">
        <v>-6.1036529999999999E-2</v>
      </c>
      <c r="P4676">
        <v>0.91533089999999995</v>
      </c>
      <c r="Q4676">
        <v>0.39898460000000002</v>
      </c>
      <c r="R4676">
        <v>-5.4596329999999998E-2</v>
      </c>
      <c r="S4676">
        <v>3.3893740000000001</v>
      </c>
      <c r="T4676">
        <v>-0.1756365</v>
      </c>
      <c r="U4676">
        <v>0.55737300000000001</v>
      </c>
      <c r="V4676">
        <v>-1.9891560000000002E-3</v>
      </c>
      <c r="W4676">
        <v>0.41175210000000001</v>
      </c>
      <c r="X4676">
        <v>0.91129369999999998</v>
      </c>
      <c r="Y4676">
        <v>-0.2217857</v>
      </c>
      <c r="Z4676">
        <v>9.5614159999999997E-3</v>
      </c>
      <c r="AA4676">
        <v>0.97504849999999998</v>
      </c>
      <c r="AB4676">
        <v>27</v>
      </c>
      <c r="AC4676">
        <v>21.206800000000001</v>
      </c>
      <c r="AD4676">
        <v>-1.111803705694</v>
      </c>
      <c r="AE4676">
        <v>3.54257</v>
      </c>
      <c r="AF4676">
        <v>-4.8175974679981897</v>
      </c>
      <c r="AG4676">
        <v>-1.111803705694</v>
      </c>
      <c r="AH4676">
        <v>20.895133135381599</v>
      </c>
      <c r="AI4676">
        <v>92.968042221042197</v>
      </c>
      <c r="AJ4676">
        <v>102.98327491205301</v>
      </c>
      <c r="AK4676">
        <v>21.4721201000036</v>
      </c>
      <c r="AL4676">
        <v>65.685052832953701</v>
      </c>
      <c r="AM4676">
        <v>90.125064029948106</v>
      </c>
      <c r="AN4676">
        <v>0.99999997812784602</v>
      </c>
    </row>
    <row r="4677" spans="1:40" x14ac:dyDescent="0.25">
      <c r="A4677" t="str">
        <f>"20190304164739777"</f>
        <v>20190304164739777</v>
      </c>
      <c r="B4677" t="str">
        <f>"1551689259773608"</f>
        <v>1551689259773608</v>
      </c>
      <c r="C4677" t="s">
        <v>40</v>
      </c>
      <c r="D4677">
        <v>4.5749909999999998</v>
      </c>
      <c r="E4677">
        <v>0.42089320000000002</v>
      </c>
      <c r="F4677" t="s">
        <v>42</v>
      </c>
      <c r="G4677">
        <v>-332.47430000000003</v>
      </c>
      <c r="H4677" s="1">
        <v>-3.8088759999999998E-6</v>
      </c>
      <c r="I4677">
        <v>21.86411</v>
      </c>
      <c r="J4677">
        <v>-353.75189999999998</v>
      </c>
      <c r="K4677">
        <v>1.111809</v>
      </c>
      <c r="L4677">
        <v>18.27216</v>
      </c>
      <c r="M4677">
        <v>0.99806660000000003</v>
      </c>
      <c r="N4677">
        <v>-1.397091E-2</v>
      </c>
      <c r="O4677">
        <v>-6.0564590000000001E-2</v>
      </c>
      <c r="P4677">
        <v>0.91535849999999996</v>
      </c>
      <c r="Q4677">
        <v>0.39913460000000001</v>
      </c>
      <c r="R4677">
        <v>-5.3016349999999997E-2</v>
      </c>
      <c r="S4677">
        <v>3.3879389999999998</v>
      </c>
      <c r="T4677">
        <v>-0.17583499999999999</v>
      </c>
      <c r="U4677">
        <v>0.56677250000000001</v>
      </c>
      <c r="V4677">
        <v>-3.1369810000000001E-3</v>
      </c>
      <c r="W4677">
        <v>0.41190110000000002</v>
      </c>
      <c r="X4677">
        <v>0.91122320000000001</v>
      </c>
      <c r="Y4677">
        <v>-0.22401840000000001</v>
      </c>
      <c r="Z4677">
        <v>9.6292530000000008E-3</v>
      </c>
      <c r="AA4677">
        <v>0.9745374</v>
      </c>
      <c r="AB4677">
        <v>27</v>
      </c>
      <c r="AC4677">
        <v>21.2775999999999</v>
      </c>
      <c r="AD4677">
        <v>-1.111812808876</v>
      </c>
      <c r="AE4677">
        <v>3.5919500000000002</v>
      </c>
      <c r="AF4677">
        <v>-4.8612445579471499</v>
      </c>
      <c r="AG4677">
        <v>-1.111812808876</v>
      </c>
      <c r="AH4677">
        <v>20.9653099753126</v>
      </c>
      <c r="AI4677">
        <v>92.957300217005894</v>
      </c>
      <c r="AJ4677">
        <v>103.054529888524</v>
      </c>
      <c r="AK4677">
        <v>21.5502215472392</v>
      </c>
      <c r="AL4677">
        <v>65.675685994649797</v>
      </c>
      <c r="AM4677">
        <v>90.197245923578393</v>
      </c>
      <c r="AN4677">
        <v>1.0000000385246199</v>
      </c>
    </row>
    <row r="4678" spans="1:40" x14ac:dyDescent="0.25">
      <c r="A4678" t="str">
        <f>"20190304164739799"</f>
        <v>20190304164739799</v>
      </c>
      <c r="B4678" t="str">
        <f>"1551689259794104"</f>
        <v>1551689259794104</v>
      </c>
      <c r="C4678" t="s">
        <v>40</v>
      </c>
      <c r="D4678">
        <v>4.5819939999999999</v>
      </c>
      <c r="E4678">
        <v>0.42108459999999998</v>
      </c>
      <c r="F4678" t="s">
        <v>42</v>
      </c>
      <c r="G4678">
        <v>-332.39100000000002</v>
      </c>
      <c r="H4678" s="1">
        <v>-3.8485149999999999E-6</v>
      </c>
      <c r="I4678">
        <v>21.87865</v>
      </c>
      <c r="J4678">
        <v>-353.49149999999997</v>
      </c>
      <c r="K4678">
        <v>1.1118220000000001</v>
      </c>
      <c r="L4678">
        <v>18.257349999999999</v>
      </c>
      <c r="M4678">
        <v>0.99811799999999995</v>
      </c>
      <c r="N4678">
        <v>-1.3973589999999999E-2</v>
      </c>
      <c r="O4678">
        <v>-5.9710930000000002E-2</v>
      </c>
      <c r="P4678">
        <v>0.91543370000000002</v>
      </c>
      <c r="Q4678">
        <v>0.39928999999999998</v>
      </c>
      <c r="R4678">
        <v>-5.0486389999999999E-2</v>
      </c>
      <c r="S4678">
        <v>3.3874209999999998</v>
      </c>
      <c r="T4678">
        <v>-0.176311299999999</v>
      </c>
      <c r="U4678">
        <v>0.57192989999999999</v>
      </c>
      <c r="V4678">
        <v>-4.8863520000000001E-3</v>
      </c>
      <c r="W4678">
        <v>0.41205530000000001</v>
      </c>
      <c r="X4678">
        <v>0.91114569999999995</v>
      </c>
      <c r="Y4678">
        <v>-0.2246496</v>
      </c>
      <c r="Z4678">
        <v>9.6424670000000001E-3</v>
      </c>
      <c r="AA4678">
        <v>0.97439189999999998</v>
      </c>
      <c r="AB4678">
        <v>27</v>
      </c>
      <c r="AC4678">
        <v>21.1005</v>
      </c>
      <c r="AD4678">
        <v>-1.1118258485150001</v>
      </c>
      <c r="AE4678">
        <v>3.6213000000000002</v>
      </c>
      <c r="AF4678">
        <v>-4.8617784486287796</v>
      </c>
      <c r="AG4678">
        <v>-1.1118258485150001</v>
      </c>
      <c r="AH4678">
        <v>20.790518914256999</v>
      </c>
      <c r="AI4678">
        <v>92.980854840073505</v>
      </c>
      <c r="AJ4678">
        <v>103.16187288960001</v>
      </c>
      <c r="AK4678">
        <v>21.3803349628825</v>
      </c>
      <c r="AL4678">
        <v>65.665988050647599</v>
      </c>
      <c r="AM4678">
        <v>90.307266623633694</v>
      </c>
      <c r="AN4678">
        <v>0.99999996666122304</v>
      </c>
    </row>
    <row r="4679" spans="1:40" x14ac:dyDescent="0.25">
      <c r="A4679" t="str">
        <f>"20190304164739811"</f>
        <v>20190304164739811</v>
      </c>
      <c r="B4679" t="str">
        <f>"1551689259803864"</f>
        <v>1551689259803864</v>
      </c>
      <c r="C4679" t="s">
        <v>40</v>
      </c>
      <c r="D4679">
        <v>4.5749579999999996</v>
      </c>
      <c r="E4679">
        <v>0.42124990000000001</v>
      </c>
      <c r="F4679" t="s">
        <v>42</v>
      </c>
      <c r="G4679">
        <v>-332.28949999999998</v>
      </c>
      <c r="H4679" s="1">
        <v>-3.8928719999999997E-6</v>
      </c>
      <c r="I4679">
        <v>21.881699999999999</v>
      </c>
      <c r="J4679">
        <v>-353.34100000000001</v>
      </c>
      <c r="K4679">
        <v>1.111829</v>
      </c>
      <c r="L4679">
        <v>18.24887</v>
      </c>
      <c r="M4679">
        <v>0.99814740000000002</v>
      </c>
      <c r="N4679">
        <v>-1.397492E-2</v>
      </c>
      <c r="O4679">
        <v>-5.921659E-2</v>
      </c>
      <c r="P4679">
        <v>0.91547149999999999</v>
      </c>
      <c r="Q4679">
        <v>0.39936290000000002</v>
      </c>
      <c r="R4679">
        <v>-4.9207389999999997E-2</v>
      </c>
      <c r="S4679">
        <v>3.386536</v>
      </c>
      <c r="T4679">
        <v>-0.17758829999999901</v>
      </c>
      <c r="U4679">
        <v>0.5789185</v>
      </c>
      <c r="V4679">
        <v>-5.7124999999999997E-3</v>
      </c>
      <c r="W4679">
        <v>0.41212789999999999</v>
      </c>
      <c r="X4679">
        <v>0.91110809999999998</v>
      </c>
      <c r="Y4679">
        <v>-0.22615489999999999</v>
      </c>
      <c r="Z4679">
        <v>9.7389620000000003E-3</v>
      </c>
      <c r="AA4679">
        <v>0.97404270000000004</v>
      </c>
      <c r="AB4679">
        <v>27</v>
      </c>
      <c r="AC4679">
        <v>21.051500000000001</v>
      </c>
      <c r="AD4679">
        <v>-1.111832892872</v>
      </c>
      <c r="AE4679">
        <v>3.63282999999999</v>
      </c>
      <c r="AF4679">
        <v>-4.8600088826615098</v>
      </c>
      <c r="AG4679">
        <v>-1.111832892872</v>
      </c>
      <c r="AH4679">
        <v>20.743217788808298</v>
      </c>
      <c r="AI4679">
        <v>92.987362303822394</v>
      </c>
      <c r="AJ4679">
        <v>103.186204564455</v>
      </c>
      <c r="AK4679">
        <v>21.333938758587301</v>
      </c>
      <c r="AL4679">
        <v>65.661423686119306</v>
      </c>
      <c r="AM4679">
        <v>90.359230536668605</v>
      </c>
      <c r="AN4679">
        <v>1.00000000425013</v>
      </c>
    </row>
    <row r="4680" spans="1:40" x14ac:dyDescent="0.25">
      <c r="A4680" t="str">
        <f>"20190304164739836"</f>
        <v>20190304164739836</v>
      </c>
      <c r="B4680" t="str">
        <f>"1551689259824360"</f>
        <v>1551689259824360</v>
      </c>
      <c r="C4680" t="s">
        <v>40</v>
      </c>
      <c r="D4680">
        <v>4.5969709999999999</v>
      </c>
      <c r="E4680">
        <v>0.42130220000000002</v>
      </c>
      <c r="F4680" t="s">
        <v>42</v>
      </c>
      <c r="G4680">
        <v>-332.21949999999998</v>
      </c>
      <c r="H4680" s="1">
        <v>-3.922386E-6</v>
      </c>
      <c r="I4680">
        <v>21.880749999999999</v>
      </c>
      <c r="J4680">
        <v>-353.07</v>
      </c>
      <c r="K4680">
        <v>1.1118269999999999</v>
      </c>
      <c r="L4680">
        <v>18.233830000000001</v>
      </c>
      <c r="M4680">
        <v>0.99819990000000003</v>
      </c>
      <c r="N4680">
        <v>-1.3976789999999999E-2</v>
      </c>
      <c r="O4680">
        <v>-5.8325290000000002E-2</v>
      </c>
      <c r="P4680">
        <v>0.91551309999999997</v>
      </c>
      <c r="Q4680">
        <v>0.39954030000000001</v>
      </c>
      <c r="R4680">
        <v>-4.694036E-2</v>
      </c>
      <c r="S4680">
        <v>3.3860169999999998</v>
      </c>
      <c r="T4680">
        <v>-0.1782396</v>
      </c>
      <c r="U4680">
        <v>0.58224489999999995</v>
      </c>
      <c r="V4680">
        <v>-7.1611979999999997E-3</v>
      </c>
      <c r="W4680">
        <v>0.41230339999999999</v>
      </c>
      <c r="X4680">
        <v>0.91101840000000001</v>
      </c>
      <c r="Y4680">
        <v>-0.22623699999999999</v>
      </c>
      <c r="Z4680">
        <v>9.74123E-3</v>
      </c>
      <c r="AA4680">
        <v>0.97402359999999999</v>
      </c>
      <c r="AB4680">
        <v>27</v>
      </c>
      <c r="AC4680">
        <v>20.8505</v>
      </c>
      <c r="AD4680">
        <v>-1.1118309223859999</v>
      </c>
      <c r="AE4680">
        <v>3.6469200000000002</v>
      </c>
      <c r="AF4680">
        <v>-4.8435768999748996</v>
      </c>
      <c r="AG4680">
        <v>-1.1118309223859999</v>
      </c>
      <c r="AH4680">
        <v>20.545583392478701</v>
      </c>
      <c r="AI4680">
        <v>93.015065827507399</v>
      </c>
      <c r="AJ4680">
        <v>103.26515003697</v>
      </c>
      <c r="AK4680">
        <v>21.138055779168599</v>
      </c>
      <c r="AL4680">
        <v>65.650385574192697</v>
      </c>
      <c r="AM4680">
        <v>90.450372869579994</v>
      </c>
      <c r="AN4680">
        <v>0.99999995077345605</v>
      </c>
    </row>
    <row r="4681" spans="1:40" x14ac:dyDescent="0.25">
      <c r="A4681" t="str">
        <f>"20190304164739855"</f>
        <v>20190304164739855</v>
      </c>
      <c r="B4681" t="str">
        <f>"1551689259843879"</f>
        <v>1551689259843879</v>
      </c>
      <c r="C4681" t="s">
        <v>40</v>
      </c>
      <c r="D4681">
        <v>4.7196150000000001</v>
      </c>
      <c r="E4681">
        <v>0.42138249999999999</v>
      </c>
      <c r="F4681" t="s">
        <v>42</v>
      </c>
      <c r="G4681">
        <v>-331.87470000000002</v>
      </c>
      <c r="H4681" s="1">
        <v>-4.0476580000000003E-6</v>
      </c>
      <c r="I4681">
        <v>21.925439999999998</v>
      </c>
      <c r="J4681">
        <v>-352.82330000000002</v>
      </c>
      <c r="K4681">
        <v>1.1118410000000001</v>
      </c>
      <c r="L4681">
        <v>18.220310000000001</v>
      </c>
      <c r="M4681">
        <v>0.99824679999999999</v>
      </c>
      <c r="N4681">
        <v>-1.3977979999999999E-2</v>
      </c>
      <c r="O4681">
        <v>-5.7512439999999998E-2</v>
      </c>
      <c r="P4681">
        <v>0.91556950000000004</v>
      </c>
      <c r="Q4681">
        <v>0.39964529999999998</v>
      </c>
      <c r="R4681">
        <v>-4.4898260000000002E-2</v>
      </c>
      <c r="S4681">
        <v>3.3845830000000001</v>
      </c>
      <c r="T4681">
        <v>-0.1775428</v>
      </c>
      <c r="U4681">
        <v>0.58950809999999998</v>
      </c>
      <c r="V4681">
        <v>-8.4570259999999994E-3</v>
      </c>
      <c r="W4681">
        <v>0.41240680000000002</v>
      </c>
      <c r="X4681">
        <v>0.91096060000000001</v>
      </c>
      <c r="Y4681">
        <v>-0.22754340000000001</v>
      </c>
      <c r="Z4681">
        <v>9.7210390000000008E-3</v>
      </c>
      <c r="AA4681">
        <v>0.97371940000000001</v>
      </c>
      <c r="AB4681">
        <v>27</v>
      </c>
      <c r="AC4681">
        <v>20.948599999999999</v>
      </c>
      <c r="AD4681">
        <v>-1.111845047658</v>
      </c>
      <c r="AE4681">
        <v>3.7051299999999898</v>
      </c>
      <c r="AF4681">
        <v>-4.8905604450895996</v>
      </c>
      <c r="AG4681">
        <v>-1.111845047658</v>
      </c>
      <c r="AH4681">
        <v>20.644416757404901</v>
      </c>
      <c r="AI4681">
        <v>92.999926961110205</v>
      </c>
      <c r="AJ4681">
        <v>103.327404415446</v>
      </c>
      <c r="AK4681">
        <v>21.2448987790128</v>
      </c>
      <c r="AL4681">
        <v>65.6438852091066</v>
      </c>
      <c r="AM4681">
        <v>90.531897841949302</v>
      </c>
      <c r="AN4681">
        <v>1.0000000523636801</v>
      </c>
    </row>
    <row r="4682" spans="1:40" x14ac:dyDescent="0.25">
      <c r="A4682" t="str">
        <f>"20190304164739878"</f>
        <v>20190304164739878</v>
      </c>
      <c r="B4682" t="str">
        <f>"1551689259874136"</f>
        <v>1551689259874136</v>
      </c>
      <c r="C4682" t="s">
        <v>40</v>
      </c>
      <c r="D4682">
        <v>4.5709309999999999</v>
      </c>
      <c r="E4682">
        <v>0.42175269999999998</v>
      </c>
      <c r="F4682" t="s">
        <v>42</v>
      </c>
      <c r="G4682">
        <v>-331.56569999999999</v>
      </c>
      <c r="H4682" s="1">
        <v>-4.1598920000000004E-6</v>
      </c>
      <c r="I4682">
        <v>21.965430000000001</v>
      </c>
      <c r="J4682">
        <v>-352.5575</v>
      </c>
      <c r="K4682">
        <v>1.1118429999999999</v>
      </c>
      <c r="L4682">
        <v>18.20599</v>
      </c>
      <c r="M4682">
        <v>0.99829699999999999</v>
      </c>
      <c r="N4682">
        <v>-1.3978799999999901E-2</v>
      </c>
      <c r="O4682">
        <v>-5.663667E-2</v>
      </c>
      <c r="P4682">
        <v>0.91547559999999994</v>
      </c>
      <c r="Q4682">
        <v>0.40002529999999997</v>
      </c>
      <c r="R4682">
        <v>-4.3408170000000003E-2</v>
      </c>
      <c r="S4682">
        <v>3.3830870000000002</v>
      </c>
      <c r="T4682">
        <v>-0.1769471</v>
      </c>
      <c r="U4682">
        <v>0.59603879999999998</v>
      </c>
      <c r="V4682">
        <v>-9.1355480000000003E-3</v>
      </c>
      <c r="W4682">
        <v>0.41278429999999999</v>
      </c>
      <c r="X4682">
        <v>0.91078300000000001</v>
      </c>
      <c r="Y4682">
        <v>-0.22858690000000001</v>
      </c>
      <c r="Z4682">
        <v>9.6951280000000008E-3</v>
      </c>
      <c r="AA4682">
        <v>0.97347519999999998</v>
      </c>
      <c r="AB4682">
        <v>27</v>
      </c>
      <c r="AC4682">
        <v>20.991800000000001</v>
      </c>
      <c r="AD4682">
        <v>-1.1118471598919999</v>
      </c>
      <c r="AE4682">
        <v>3.7594399999999899</v>
      </c>
      <c r="AF4682">
        <v>-4.9290281441778703</v>
      </c>
      <c r="AG4682">
        <v>-1.1118471598919999</v>
      </c>
      <c r="AH4682">
        <v>20.688919111534499</v>
      </c>
      <c r="AI4682">
        <v>92.992584636818606</v>
      </c>
      <c r="AJ4682">
        <v>103.400608982626</v>
      </c>
      <c r="AK4682">
        <v>21.297016142095401</v>
      </c>
      <c r="AL4682">
        <v>65.620139529191405</v>
      </c>
      <c r="AM4682">
        <v>90.574682214126199</v>
      </c>
      <c r="AN4682">
        <v>1.00000000482637</v>
      </c>
    </row>
    <row r="4683" spans="1:40" x14ac:dyDescent="0.25">
      <c r="A4683" t="str">
        <f>"20190304164739899"</f>
        <v>20190304164739899</v>
      </c>
      <c r="B4683" t="str">
        <f>"1551689259893656"</f>
        <v>1551689259893656</v>
      </c>
      <c r="C4683" t="s">
        <v>40</v>
      </c>
      <c r="D4683">
        <v>4.570227</v>
      </c>
      <c r="E4683">
        <v>0.42199039999999999</v>
      </c>
      <c r="F4683" t="s">
        <v>42</v>
      </c>
      <c r="G4683">
        <v>-331.14330000000001</v>
      </c>
      <c r="H4683" s="1">
        <v>-4.3090289999999999E-6</v>
      </c>
      <c r="I4683">
        <v>21.995840000000001</v>
      </c>
      <c r="J4683">
        <v>-352.29599999999999</v>
      </c>
      <c r="K4683">
        <v>1.1118490000000001</v>
      </c>
      <c r="L4683">
        <v>18.192170000000001</v>
      </c>
      <c r="M4683">
        <v>0.9983455</v>
      </c>
      <c r="N4683">
        <v>-1.3979220000000001E-2</v>
      </c>
      <c r="O4683">
        <v>-5.5774959999999998E-2</v>
      </c>
      <c r="P4683">
        <v>0.91546609999999995</v>
      </c>
      <c r="Q4683">
        <v>0.40014369999999999</v>
      </c>
      <c r="R4683">
        <v>-4.2508270000000001E-2</v>
      </c>
      <c r="S4683">
        <v>3.3821110000000001</v>
      </c>
      <c r="T4683">
        <v>-0.1756026</v>
      </c>
      <c r="U4683">
        <v>0.59857179999999999</v>
      </c>
      <c r="V4683">
        <v>-9.2414079999999996E-3</v>
      </c>
      <c r="W4683">
        <v>0.41290199999999999</v>
      </c>
      <c r="X4683">
        <v>0.9107286</v>
      </c>
      <c r="Y4683">
        <v>-0.2285083</v>
      </c>
      <c r="Z4683">
        <v>9.5948769999999999E-3</v>
      </c>
      <c r="AA4683">
        <v>0.97349459999999999</v>
      </c>
      <c r="AB4683">
        <v>27</v>
      </c>
      <c r="AC4683">
        <v>21.1526999999999</v>
      </c>
      <c r="AD4683">
        <v>-1.1118533090289999</v>
      </c>
      <c r="AE4683">
        <v>3.8036699999999999</v>
      </c>
      <c r="AF4683">
        <v>-4.9643678271583802</v>
      </c>
      <c r="AG4683">
        <v>-1.1118533090289999</v>
      </c>
      <c r="AH4683">
        <v>20.851789602378599</v>
      </c>
      <c r="AI4683">
        <v>92.969379305186905</v>
      </c>
      <c r="AJ4683">
        <v>103.391603274071</v>
      </c>
      <c r="AK4683">
        <v>21.463417605917002</v>
      </c>
      <c r="AL4683">
        <v>65.612735880984005</v>
      </c>
      <c r="AM4683">
        <v>90.581375727973196</v>
      </c>
      <c r="AN4683">
        <v>1.00000002404189</v>
      </c>
    </row>
    <row r="4684" spans="1:40" x14ac:dyDescent="0.25">
      <c r="A4684" t="str">
        <f>"20190304164739912"</f>
        <v>20190304164739912</v>
      </c>
      <c r="B4684" t="str">
        <f>"1551689259904393"</f>
        <v>1551689259904393</v>
      </c>
      <c r="C4684" t="s">
        <v>40</v>
      </c>
      <c r="D4684">
        <v>4.5720419999999997</v>
      </c>
      <c r="E4684">
        <v>0.42213830000000002</v>
      </c>
      <c r="F4684" t="s">
        <v>42</v>
      </c>
      <c r="G4684">
        <v>-330.80399999999997</v>
      </c>
      <c r="H4684" s="1">
        <v>-4.4272380000000004E-6</v>
      </c>
      <c r="I4684">
        <v>22.011340000000001</v>
      </c>
      <c r="J4684">
        <v>-352.1456</v>
      </c>
      <c r="K4684">
        <v>1.1118520000000001</v>
      </c>
      <c r="L4684">
        <v>18.184270000000001</v>
      </c>
      <c r="M4684">
        <v>0.99837310000000001</v>
      </c>
      <c r="N4684">
        <v>-1.397932E-2</v>
      </c>
      <c r="O4684">
        <v>-5.5279799999999997E-2</v>
      </c>
      <c r="P4684">
        <v>0.91542690000000004</v>
      </c>
      <c r="Q4684">
        <v>0.40031610000000001</v>
      </c>
      <c r="R4684">
        <v>-4.1724749999999998E-2</v>
      </c>
      <c r="S4684">
        <v>3.3813780000000002</v>
      </c>
      <c r="T4684">
        <v>-0.17493059999999999</v>
      </c>
      <c r="U4684">
        <v>0.60089110000000001</v>
      </c>
      <c r="V4684">
        <v>-9.5662939999999995E-3</v>
      </c>
      <c r="W4684">
        <v>0.41307270000000001</v>
      </c>
      <c r="X4684">
        <v>0.91064780000000001</v>
      </c>
      <c r="Y4684">
        <v>-0.228712</v>
      </c>
      <c r="Z4684">
        <v>9.5509930000000007E-3</v>
      </c>
      <c r="AA4684">
        <v>0.97344730000000002</v>
      </c>
      <c r="AB4684">
        <v>27</v>
      </c>
      <c r="AC4684">
        <v>21.3415999999999</v>
      </c>
      <c r="AD4684">
        <v>-1.111856427238</v>
      </c>
      <c r="AE4684">
        <v>3.8270699999999902</v>
      </c>
      <c r="AF4684">
        <v>-4.9879748744774401</v>
      </c>
      <c r="AG4684">
        <v>-1.111856427238</v>
      </c>
      <c r="AH4684">
        <v>21.042046739610502</v>
      </c>
      <c r="AI4684">
        <v>92.943267463186501</v>
      </c>
      <c r="AJ4684">
        <v>103.335700486134</v>
      </c>
      <c r="AK4684">
        <v>21.653725985501001</v>
      </c>
      <c r="AL4684">
        <v>65.6019960767442</v>
      </c>
      <c r="AM4684">
        <v>90.601866178347393</v>
      </c>
      <c r="AN4684">
        <v>0.99999999255551197</v>
      </c>
    </row>
    <row r="4685" spans="1:40" x14ac:dyDescent="0.25">
      <c r="A4685" t="str">
        <f>"20190304164739925"</f>
        <v>20190304164739925</v>
      </c>
      <c r="B4685" t="str">
        <f>"1551689259914152"</f>
        <v>1551689259914152</v>
      </c>
      <c r="C4685" t="s">
        <v>40</v>
      </c>
      <c r="D4685">
        <v>4.687303</v>
      </c>
      <c r="E4685">
        <v>0.42213830000000002</v>
      </c>
      <c r="F4685" t="s">
        <v>42</v>
      </c>
      <c r="G4685">
        <v>-330.59390000000002</v>
      </c>
      <c r="H4685" s="1">
        <v>-4.5011680000000002E-6</v>
      </c>
      <c r="I4685">
        <v>22.024920000000002</v>
      </c>
      <c r="J4685">
        <v>-351.99250000000001</v>
      </c>
      <c r="K4685">
        <v>1.1118539999999999</v>
      </c>
      <c r="L4685">
        <v>18.176359999999999</v>
      </c>
      <c r="M4685">
        <v>0.99840090000000004</v>
      </c>
      <c r="N4685">
        <v>-1.397926E-2</v>
      </c>
      <c r="O4685">
        <v>-5.4775699999999997E-2</v>
      </c>
      <c r="P4685">
        <v>0.91543569999999996</v>
      </c>
      <c r="Q4685">
        <v>0.4003546</v>
      </c>
      <c r="R4685">
        <v>-4.1156949999999998E-2</v>
      </c>
      <c r="S4685">
        <v>3.38089</v>
      </c>
      <c r="T4685">
        <v>-0.17442050000000001</v>
      </c>
      <c r="U4685">
        <v>0.6025085</v>
      </c>
      <c r="V4685">
        <v>-9.6703259999999999E-3</v>
      </c>
      <c r="W4685">
        <v>0.41311140000000002</v>
      </c>
      <c r="X4685">
        <v>0.91062920000000003</v>
      </c>
      <c r="Y4685">
        <v>-0.2286987</v>
      </c>
      <c r="Z4685">
        <v>9.5073450000000004E-3</v>
      </c>
      <c r="AA4685">
        <v>0.97345079999999995</v>
      </c>
      <c r="AB4685">
        <v>27</v>
      </c>
      <c r="AC4685">
        <v>21.398599999999899</v>
      </c>
      <c r="AD4685">
        <v>-1.111858501168</v>
      </c>
      <c r="AE4685">
        <v>3.84856</v>
      </c>
      <c r="AF4685">
        <v>-5.0019377095083497</v>
      </c>
      <c r="AG4685">
        <v>-1.111858501168</v>
      </c>
      <c r="AH4685">
        <v>21.100457856097002</v>
      </c>
      <c r="AI4685">
        <v>92.935135892788793</v>
      </c>
      <c r="AJ4685">
        <v>103.33600024770099</v>
      </c>
      <c r="AK4685">
        <v>21.713703781560302</v>
      </c>
      <c r="AL4685">
        <v>65.599562560176693</v>
      </c>
      <c r="AM4685">
        <v>90.6084233187471</v>
      </c>
      <c r="AN4685">
        <v>1.00000004195377</v>
      </c>
    </row>
    <row r="4686" spans="1:40" x14ac:dyDescent="0.25">
      <c r="A4686" t="str">
        <f>"20190304164739943"</f>
        <v>20190304164739943</v>
      </c>
      <c r="B4686" t="str">
        <f>"1551689259933675"</f>
        <v>1551689259933675</v>
      </c>
      <c r="C4686" t="s">
        <v>40</v>
      </c>
      <c r="D4686">
        <v>4.554589</v>
      </c>
      <c r="E4686">
        <v>0.4302011</v>
      </c>
      <c r="F4686" t="s">
        <v>42</v>
      </c>
      <c r="G4686">
        <v>-330.41770000000002</v>
      </c>
      <c r="H4686" s="1">
        <v>-4.5631800000000001E-6</v>
      </c>
      <c r="I4686">
        <v>22.036539999999999</v>
      </c>
      <c r="J4686">
        <v>-351.7758</v>
      </c>
      <c r="K4686">
        <v>1.111858</v>
      </c>
      <c r="L4686">
        <v>18.165279999999999</v>
      </c>
      <c r="M4686">
        <v>0.99843979999999999</v>
      </c>
      <c r="N4686">
        <v>-1.397909E-2</v>
      </c>
      <c r="O4686">
        <v>-5.4062399999999997E-2</v>
      </c>
      <c r="P4686">
        <v>0.91539649999999995</v>
      </c>
      <c r="Q4686">
        <v>0.40055259999999998</v>
      </c>
      <c r="R4686">
        <v>-4.0095390000000002E-2</v>
      </c>
      <c r="S4686">
        <v>3.3805239999999999</v>
      </c>
      <c r="T4686">
        <v>-0.1742157</v>
      </c>
      <c r="U4686">
        <v>0.60485840000000002</v>
      </c>
      <c r="V4686">
        <v>-1.0073169999999999E-2</v>
      </c>
      <c r="W4686">
        <v>0.41330709999999998</v>
      </c>
      <c r="X4686">
        <v>0.91053600000000001</v>
      </c>
      <c r="Y4686">
        <v>-0.22867860000000001</v>
      </c>
      <c r="Z4686">
        <v>9.4704720000000006E-3</v>
      </c>
      <c r="AA4686">
        <v>0.97345590000000004</v>
      </c>
      <c r="AB4686">
        <v>27</v>
      </c>
      <c r="AC4686">
        <v>21.358099999999901</v>
      </c>
      <c r="AD4686">
        <v>-1.1118625631799901</v>
      </c>
      <c r="AE4686">
        <v>3.8712599999999999</v>
      </c>
      <c r="AF4686">
        <v>-5.0072420439527496</v>
      </c>
      <c r="AG4686">
        <v>-1.1118625631799901</v>
      </c>
      <c r="AH4686">
        <v>21.0622847088447</v>
      </c>
      <c r="AI4686">
        <v>92.940007411663302</v>
      </c>
      <c r="AJ4686">
        <v>103.37296280507699</v>
      </c>
      <c r="AK4686">
        <v>21.677835417830899</v>
      </c>
      <c r="AL4686">
        <v>65.5872487906706</v>
      </c>
      <c r="AM4686">
        <v>90.633831703162599</v>
      </c>
      <c r="AN4686">
        <v>1.00000001748012</v>
      </c>
    </row>
    <row r="4687" spans="1:40" x14ac:dyDescent="0.25">
      <c r="A4687" t="str">
        <f>"20190304164739964"</f>
        <v>20190304164739964</v>
      </c>
      <c r="B4687" t="str">
        <f>"1551689259954168"</f>
        <v>1551689259954168</v>
      </c>
      <c r="C4687" t="s">
        <v>40</v>
      </c>
      <c r="D4687">
        <v>4.5497540000000001</v>
      </c>
      <c r="E4687">
        <v>0.42900890000000003</v>
      </c>
      <c r="F4687" t="s">
        <v>42</v>
      </c>
      <c r="G4687">
        <v>-332.73790000000002</v>
      </c>
      <c r="H4687" s="1">
        <v>-3.5281289999999999E-6</v>
      </c>
      <c r="I4687">
        <v>21.234000000000002</v>
      </c>
      <c r="J4687">
        <v>-351.52609999999999</v>
      </c>
      <c r="K4687">
        <v>1.111861</v>
      </c>
      <c r="L4687">
        <v>18.15268</v>
      </c>
      <c r="M4687">
        <v>0.99848389999999998</v>
      </c>
      <c r="N4687">
        <v>-1.3978549999999999E-2</v>
      </c>
      <c r="O4687">
        <v>-5.3240870000000003E-2</v>
      </c>
      <c r="P4687">
        <v>0.91548160000000001</v>
      </c>
      <c r="Q4687">
        <v>0.40047919999999998</v>
      </c>
      <c r="R4687">
        <v>-3.8857089999999997E-2</v>
      </c>
      <c r="S4687">
        <v>3.3877259999999998</v>
      </c>
      <c r="T4687">
        <v>-0.19785230000000001</v>
      </c>
      <c r="U4687">
        <v>0.5460815</v>
      </c>
      <c r="V4687">
        <v>-1.0558970000000001E-2</v>
      </c>
      <c r="W4687">
        <v>0.41323290000000001</v>
      </c>
      <c r="X4687">
        <v>0.91056420000000005</v>
      </c>
      <c r="Y4687">
        <v>-0.2109935</v>
      </c>
      <c r="Z4687">
        <v>9.9530090000000005E-3</v>
      </c>
      <c r="AA4687">
        <v>0.97743679999999999</v>
      </c>
      <c r="AB4687">
        <v>27</v>
      </c>
      <c r="AC4687">
        <v>18.7881999999999</v>
      </c>
      <c r="AD4687">
        <v>-1.1118645281290001</v>
      </c>
      <c r="AE4687">
        <v>3.0813199999999998</v>
      </c>
      <c r="AF4687">
        <v>-4.0634885596225896</v>
      </c>
      <c r="AG4687">
        <v>-1.1118645281290001</v>
      </c>
      <c r="AH4687">
        <v>18.534269838923901</v>
      </c>
      <c r="AI4687">
        <v>93.353576036991896</v>
      </c>
      <c r="AJ4687">
        <v>102.365981331212</v>
      </c>
      <c r="AK4687">
        <v>19.007033973377801</v>
      </c>
      <c r="AL4687">
        <v>65.591918113308594</v>
      </c>
      <c r="AM4687">
        <v>90.664376330619206</v>
      </c>
      <c r="AN4687">
        <v>1.00000004190575</v>
      </c>
    </row>
    <row r="4688" spans="1:40" x14ac:dyDescent="0.25">
      <c r="A4688" t="str">
        <f>"20190304164739990"</f>
        <v>20190304164739990</v>
      </c>
      <c r="B4688" t="str">
        <f>"1551689259983449"</f>
        <v>1551689259983449</v>
      </c>
      <c r="C4688" t="s">
        <v>40</v>
      </c>
      <c r="D4688">
        <v>4.505541</v>
      </c>
      <c r="E4688">
        <v>0.4287861</v>
      </c>
      <c r="F4688" t="s">
        <v>42</v>
      </c>
      <c r="G4688">
        <v>-332.01830000000001</v>
      </c>
      <c r="H4688" s="1">
        <v>-3.8759539999999998E-6</v>
      </c>
      <c r="I4688">
        <v>21.380929999999999</v>
      </c>
      <c r="J4688">
        <v>-351.23320000000001</v>
      </c>
      <c r="K4688">
        <v>1.111864</v>
      </c>
      <c r="L4688">
        <v>18.138179999999998</v>
      </c>
      <c r="M4688">
        <v>0.9985349</v>
      </c>
      <c r="N4688">
        <v>-1.3977430000000001E-2</v>
      </c>
      <c r="O4688">
        <v>-5.2277129999999998E-2</v>
      </c>
      <c r="P4688">
        <v>0.9154158</v>
      </c>
      <c r="Q4688">
        <v>0.40074759999999998</v>
      </c>
      <c r="R4688">
        <v>-3.7622320000000001E-2</v>
      </c>
      <c r="S4688">
        <v>3.3851930000000001</v>
      </c>
      <c r="T4688">
        <v>-0.192942</v>
      </c>
      <c r="U4688">
        <v>0.56021119999999902</v>
      </c>
      <c r="V4688">
        <v>-1.0902709999999999E-2</v>
      </c>
      <c r="W4688">
        <v>0.41349770000000002</v>
      </c>
      <c r="X4688">
        <v>0.91043989999999997</v>
      </c>
      <c r="Y4688">
        <v>-0.2141545</v>
      </c>
      <c r="Z4688">
        <v>9.7996939999999994E-3</v>
      </c>
      <c r="AA4688">
        <v>0.97675060000000002</v>
      </c>
      <c r="AB4688">
        <v>27</v>
      </c>
      <c r="AC4688">
        <v>19.2149</v>
      </c>
      <c r="AD4688">
        <v>-1.1118678759539999</v>
      </c>
      <c r="AE4688">
        <v>3.24275</v>
      </c>
      <c r="AF4688">
        <v>-4.2291444104201004</v>
      </c>
      <c r="AG4688">
        <v>-1.1118678759539999</v>
      </c>
      <c r="AH4688">
        <v>18.9573645022354</v>
      </c>
      <c r="AI4688">
        <v>93.276253622635906</v>
      </c>
      <c r="AJ4688">
        <v>102.576023658319</v>
      </c>
      <c r="AK4688">
        <v>19.455168503212199</v>
      </c>
      <c r="AL4688">
        <v>65.575255302531005</v>
      </c>
      <c r="AM4688">
        <v>90.686096259590698</v>
      </c>
      <c r="AN4688">
        <v>1.0000000142513199</v>
      </c>
    </row>
    <row r="4689" spans="1:40" x14ac:dyDescent="0.25">
      <c r="A4689" t="str">
        <f>"20190304164740001"</f>
        <v>20190304164740001</v>
      </c>
      <c r="B4689" t="str">
        <f>"1551689259994184"</f>
        <v>1551689259994184</v>
      </c>
      <c r="C4689" t="s">
        <v>40</v>
      </c>
      <c r="D4689">
        <v>4.4815889999999996</v>
      </c>
      <c r="E4689">
        <v>0.4287299</v>
      </c>
      <c r="F4689" t="s">
        <v>42</v>
      </c>
      <c r="G4689">
        <v>-331.07229999999998</v>
      </c>
      <c r="H4689" s="1">
        <v>-4.2480169999999997E-6</v>
      </c>
      <c r="I4689">
        <v>21.515550000000001</v>
      </c>
      <c r="J4689">
        <v>-351.08819999999997</v>
      </c>
      <c r="K4689">
        <v>1.111864</v>
      </c>
      <c r="L4689">
        <v>18.1311</v>
      </c>
      <c r="M4689">
        <v>0.9985598</v>
      </c>
      <c r="N4689">
        <v>-1.397695E-2</v>
      </c>
      <c r="O4689">
        <v>-5.1799730000000002E-2</v>
      </c>
      <c r="P4689">
        <v>0.91545019999999999</v>
      </c>
      <c r="Q4689">
        <v>0.40072999999999998</v>
      </c>
      <c r="R4689">
        <v>-3.6965900000000003E-2</v>
      </c>
      <c r="S4689">
        <v>3.3821409999999998</v>
      </c>
      <c r="T4689">
        <v>-0.1865233</v>
      </c>
      <c r="U4689">
        <v>0.56658940000000002</v>
      </c>
      <c r="V4689">
        <v>-1.112117E-2</v>
      </c>
      <c r="W4689">
        <v>0.41347990000000001</v>
      </c>
      <c r="X4689">
        <v>0.91044530000000001</v>
      </c>
      <c r="Y4689">
        <v>-0.21564759999999999</v>
      </c>
      <c r="Z4689">
        <v>9.5387100000000006E-3</v>
      </c>
      <c r="AA4689">
        <v>0.97642470000000003</v>
      </c>
      <c r="AB4689">
        <v>26</v>
      </c>
      <c r="AC4689">
        <v>20.015899999999899</v>
      </c>
      <c r="AD4689">
        <v>-1.1118682480169999</v>
      </c>
      <c r="AE4689">
        <v>3.3844500000000002</v>
      </c>
      <c r="AF4689">
        <v>-4.4036142280993502</v>
      </c>
      <c r="AG4689">
        <v>-1.1118682480169999</v>
      </c>
      <c r="AH4689">
        <v>19.754430289712499</v>
      </c>
      <c r="AI4689">
        <v>93.144445771518804</v>
      </c>
      <c r="AJ4689">
        <v>102.566780556612</v>
      </c>
      <c r="AK4689">
        <v>20.269819568559999</v>
      </c>
      <c r="AL4689">
        <v>65.576374416552</v>
      </c>
      <c r="AM4689">
        <v>90.699838216987004</v>
      </c>
      <c r="AN4689">
        <v>0.99999997620913395</v>
      </c>
    </row>
    <row r="4690" spans="1:40" x14ac:dyDescent="0.25">
      <c r="A4690" t="str">
        <f>"20190304164740023"</f>
        <v>20190304164740023</v>
      </c>
      <c r="B4690" t="str">
        <f>"1551689260013707"</f>
        <v>1551689260013707</v>
      </c>
      <c r="C4690" t="s">
        <v>40</v>
      </c>
      <c r="D4690">
        <v>4.550522</v>
      </c>
      <c r="E4690">
        <v>0.42872080000000001</v>
      </c>
      <c r="F4690" t="s">
        <v>42</v>
      </c>
      <c r="G4690">
        <v>-330.79599999999999</v>
      </c>
      <c r="H4690" s="1">
        <v>-4.3485470000000002E-6</v>
      </c>
      <c r="I4690">
        <v>21.552309999999999</v>
      </c>
      <c r="J4690">
        <v>-350.84010000000001</v>
      </c>
      <c r="K4690">
        <v>1.111866</v>
      </c>
      <c r="L4690">
        <v>18.119199999999999</v>
      </c>
      <c r="M4690">
        <v>0.99860190000000004</v>
      </c>
      <c r="N4690">
        <v>-1.397606E-2</v>
      </c>
      <c r="O4690">
        <v>-5.0983680000000003E-2</v>
      </c>
      <c r="P4690">
        <v>0.91559179999999996</v>
      </c>
      <c r="Q4690">
        <v>0.40050039999999998</v>
      </c>
      <c r="R4690">
        <v>-3.593851E-2</v>
      </c>
      <c r="S4690">
        <v>3.3811650000000002</v>
      </c>
      <c r="T4690">
        <v>-0.18526400000000001</v>
      </c>
      <c r="U4690">
        <v>0.57006840000000003</v>
      </c>
      <c r="V4690">
        <v>-1.14038E-2</v>
      </c>
      <c r="W4690">
        <v>0.41325030000000001</v>
      </c>
      <c r="X4690">
        <v>0.91054610000000002</v>
      </c>
      <c r="Y4690">
        <v>-0.2158784</v>
      </c>
      <c r="Z4690">
        <v>9.456473E-3</v>
      </c>
      <c r="AA4690">
        <v>0.97637439999999998</v>
      </c>
      <c r="AB4690">
        <v>26</v>
      </c>
      <c r="AC4690">
        <v>20.0441</v>
      </c>
      <c r="AD4690">
        <v>-1.1118703485470001</v>
      </c>
      <c r="AE4690">
        <v>3.4331100000000001</v>
      </c>
      <c r="AF4690">
        <v>-4.4374009279631901</v>
      </c>
      <c r="AG4690">
        <v>-1.1118703485470001</v>
      </c>
      <c r="AH4690">
        <v>19.783836674180598</v>
      </c>
      <c r="AI4690">
        <v>93.138868815122194</v>
      </c>
      <c r="AJ4690">
        <v>102.64188996831101</v>
      </c>
      <c r="AK4690">
        <v>20.305836013770001</v>
      </c>
      <c r="AL4690">
        <v>65.590822971026697</v>
      </c>
      <c r="AM4690">
        <v>90.717542419204193</v>
      </c>
      <c r="AN4690">
        <v>1.00000002866486</v>
      </c>
    </row>
    <row r="4691" spans="1:40" x14ac:dyDescent="0.25">
      <c r="A4691" t="str">
        <f>"20190304164740040"</f>
        <v>20190304164740040</v>
      </c>
      <c r="B4691" t="str">
        <f>"1551689260034200"</f>
        <v>1551689260034200</v>
      </c>
      <c r="C4691" t="s">
        <v>40</v>
      </c>
      <c r="D4691">
        <v>4.409567</v>
      </c>
      <c r="E4691">
        <v>0.4043872</v>
      </c>
      <c r="F4691" t="s">
        <v>42</v>
      </c>
      <c r="G4691">
        <v>-330.39769999999999</v>
      </c>
      <c r="H4691" s="1">
        <v>-4.4919979999999999E-6</v>
      </c>
      <c r="I4691">
        <v>21.59693</v>
      </c>
      <c r="J4691">
        <v>-350.65390000000002</v>
      </c>
      <c r="K4691">
        <v>1.111866</v>
      </c>
      <c r="L4691">
        <v>18.11035</v>
      </c>
      <c r="M4691">
        <v>0.99863290000000005</v>
      </c>
      <c r="N4691">
        <v>-1.3975110000000001E-2</v>
      </c>
      <c r="O4691">
        <v>-5.0370270000000002E-2</v>
      </c>
      <c r="P4691">
        <v>0.91566320000000001</v>
      </c>
      <c r="Q4691">
        <v>0.40039799999999998</v>
      </c>
      <c r="R4691">
        <v>-3.5248179999999997E-2</v>
      </c>
      <c r="S4691">
        <v>3.3795470000000001</v>
      </c>
      <c r="T4691">
        <v>-0.18381459999999999</v>
      </c>
      <c r="U4691">
        <v>0.5749512</v>
      </c>
      <c r="V4691">
        <v>-1.153291E-2</v>
      </c>
      <c r="W4691">
        <v>0.41314780000000001</v>
      </c>
      <c r="X4691">
        <v>0.91059089999999998</v>
      </c>
      <c r="Y4691">
        <v>-0.2167316</v>
      </c>
      <c r="Z4691">
        <v>9.3965939999999994E-3</v>
      </c>
      <c r="AA4691">
        <v>0.976186</v>
      </c>
      <c r="AB4691">
        <v>26</v>
      </c>
      <c r="AC4691">
        <v>20.2562</v>
      </c>
      <c r="AD4691">
        <v>-1.111870491998</v>
      </c>
      <c r="AE4691">
        <v>3.48658</v>
      </c>
      <c r="AF4691">
        <v>-4.48942593689193</v>
      </c>
      <c r="AG4691">
        <v>-1.111870491998</v>
      </c>
      <c r="AH4691">
        <v>19.996330461733699</v>
      </c>
      <c r="AI4691">
        <v>93.105434721454202</v>
      </c>
      <c r="AJ4691">
        <v>102.653794369129</v>
      </c>
      <c r="AK4691">
        <v>20.5242401362066</v>
      </c>
      <c r="AL4691">
        <v>65.597270028343502</v>
      </c>
      <c r="AM4691">
        <v>90.725629631967294</v>
      </c>
      <c r="AN4691">
        <v>0.99999994991035701</v>
      </c>
    </row>
    <row r="4692" spans="1:40" x14ac:dyDescent="0.25">
      <c r="A4692" t="str">
        <f>"20190304164740068"</f>
        <v>20190304164740068</v>
      </c>
      <c r="B4692" t="str">
        <f>"1551689260064456"</f>
        <v>1551689260064456</v>
      </c>
      <c r="C4692" t="s">
        <v>40</v>
      </c>
      <c r="D4692">
        <v>4.3381629999999998</v>
      </c>
      <c r="E4692">
        <v>0.36328369999999999</v>
      </c>
      <c r="F4692" t="s">
        <v>42</v>
      </c>
      <c r="G4692">
        <v>-330.9991</v>
      </c>
      <c r="H4692" s="1">
        <v>-4.4649000000000002E-6</v>
      </c>
      <c r="I4692">
        <v>22.59787</v>
      </c>
      <c r="J4692">
        <v>-350.31299999999999</v>
      </c>
      <c r="K4692">
        <v>1.111856</v>
      </c>
      <c r="L4692">
        <v>18.094480000000001</v>
      </c>
      <c r="M4692">
        <v>0.99868889999999999</v>
      </c>
      <c r="N4692">
        <v>-1.3973060000000001E-2</v>
      </c>
      <c r="O4692">
        <v>-4.9247979999999997E-2</v>
      </c>
      <c r="P4692">
        <v>0.91584739999999998</v>
      </c>
      <c r="Q4692">
        <v>0.40013539999999997</v>
      </c>
      <c r="R4692">
        <v>-3.3400810000000003E-2</v>
      </c>
      <c r="S4692">
        <v>3.389923</v>
      </c>
      <c r="T4692">
        <v>-0.1917672</v>
      </c>
      <c r="U4692">
        <v>0.77398679999999997</v>
      </c>
      <c r="V4692">
        <v>-1.235431E-2</v>
      </c>
      <c r="W4692">
        <v>0.41288330000000001</v>
      </c>
      <c r="X4692">
        <v>0.91070010000000001</v>
      </c>
      <c r="Y4692">
        <v>-0.2697794</v>
      </c>
      <c r="Z4692">
        <v>1.1511749999999999E-2</v>
      </c>
      <c r="AA4692">
        <v>0.96285330000000002</v>
      </c>
      <c r="AB4692">
        <v>26</v>
      </c>
      <c r="AC4692">
        <v>19.3139</v>
      </c>
      <c r="AD4692">
        <v>-1.1118604648999999</v>
      </c>
      <c r="AE4692">
        <v>4.5033899999999996</v>
      </c>
      <c r="AF4692">
        <v>-5.4321137218310103</v>
      </c>
      <c r="AG4692">
        <v>-1.1118604648999999</v>
      </c>
      <c r="AH4692">
        <v>19.0089067614085</v>
      </c>
      <c r="AI4692">
        <v>93.2189379491126</v>
      </c>
      <c r="AJ4692">
        <v>105.94817557868301</v>
      </c>
      <c r="AK4692">
        <v>19.8010764718546</v>
      </c>
      <c r="AL4692">
        <v>65.613910613327207</v>
      </c>
      <c r="AM4692">
        <v>90.777211295972194</v>
      </c>
      <c r="AN4692">
        <v>0.99999996026723703</v>
      </c>
    </row>
    <row r="4693" spans="1:40" x14ac:dyDescent="0.25">
      <c r="A4693" t="str">
        <f>"20190304164740089"</f>
        <v>20190304164740089</v>
      </c>
      <c r="B4693" t="str">
        <f>"1551689260083977"</f>
        <v>1551689260083977</v>
      </c>
      <c r="C4693" t="s">
        <v>40</v>
      </c>
      <c r="D4693">
        <v>4.3476339999999896</v>
      </c>
      <c r="E4693">
        <v>0.36259960000000002</v>
      </c>
      <c r="F4693" t="s">
        <v>43</v>
      </c>
      <c r="G4693">
        <v>-316.32339999999999</v>
      </c>
      <c r="H4693">
        <v>-0.05</v>
      </c>
      <c r="I4693">
        <v>29.251609999999999</v>
      </c>
      <c r="J4693">
        <v>-350.05450000000002</v>
      </c>
      <c r="K4693">
        <v>1.1118589999999999</v>
      </c>
      <c r="L4693">
        <v>18.082730000000002</v>
      </c>
      <c r="M4693">
        <v>0.99873069999999997</v>
      </c>
      <c r="N4693">
        <v>-1.397116E-2</v>
      </c>
      <c r="O4693">
        <v>-4.839653E-2</v>
      </c>
      <c r="P4693">
        <v>0.91562259999999995</v>
      </c>
      <c r="Q4693">
        <v>0.40072920000000001</v>
      </c>
      <c r="R4693">
        <v>-3.242809E-2</v>
      </c>
      <c r="S4693">
        <v>3.3661799999999999</v>
      </c>
      <c r="T4693">
        <v>-0.115064899999999</v>
      </c>
      <c r="U4693">
        <v>1.1049500000000001</v>
      </c>
      <c r="V4693">
        <v>-1.2533020000000001E-2</v>
      </c>
      <c r="W4693">
        <v>0.4134717</v>
      </c>
      <c r="X4693">
        <v>0.91043070000000004</v>
      </c>
      <c r="Y4693">
        <v>-0.35721760000000002</v>
      </c>
      <c r="Z4693">
        <v>9.4644110000000007E-3</v>
      </c>
      <c r="AA4693">
        <v>0.93397330000000001</v>
      </c>
      <c r="AB4693">
        <v>26</v>
      </c>
      <c r="AC4693">
        <v>33.731099999999998</v>
      </c>
      <c r="AD4693">
        <v>-1.161859</v>
      </c>
      <c r="AE4693">
        <v>11.16888</v>
      </c>
      <c r="AF4693">
        <v>-12.7747580053798</v>
      </c>
      <c r="AG4693">
        <v>-1.161859</v>
      </c>
      <c r="AH4693">
        <v>33.115570911308303</v>
      </c>
      <c r="AI4693">
        <v>91.874839512479397</v>
      </c>
      <c r="AJ4693">
        <v>111.094763128373</v>
      </c>
      <c r="AK4693">
        <v>35.513172136740799</v>
      </c>
      <c r="AL4693">
        <v>65.576890811282993</v>
      </c>
      <c r="AM4693">
        <v>90.788685833559796</v>
      </c>
      <c r="AN4693">
        <v>0.99999999139685003</v>
      </c>
    </row>
    <row r="4694" spans="1:40" x14ac:dyDescent="0.25">
      <c r="A4694" t="str">
        <f>"20190304164740113"</f>
        <v>20190304164740113</v>
      </c>
      <c r="B4694" t="str">
        <f>"1551689260103496"</f>
        <v>1551689260103496</v>
      </c>
      <c r="C4694" t="s">
        <v>40</v>
      </c>
      <c r="D4694">
        <v>4.317717</v>
      </c>
      <c r="E4694">
        <v>0.36264220000000003</v>
      </c>
      <c r="F4694" t="s">
        <v>43</v>
      </c>
      <c r="G4694">
        <v>-314.32920000000001</v>
      </c>
      <c r="H4694">
        <v>-0.05</v>
      </c>
      <c r="I4694">
        <v>29.91357</v>
      </c>
      <c r="J4694">
        <v>-349.78710000000001</v>
      </c>
      <c r="K4694">
        <v>1.1118600000000001</v>
      </c>
      <c r="L4694">
        <v>18.07077</v>
      </c>
      <c r="M4694">
        <v>0.99877280000000002</v>
      </c>
      <c r="N4694">
        <v>-1.3968970000000001E-2</v>
      </c>
      <c r="O4694">
        <v>-4.7515500000000002E-2</v>
      </c>
      <c r="P4694">
        <v>0.91542820000000003</v>
      </c>
      <c r="Q4694">
        <v>0.40126840000000003</v>
      </c>
      <c r="R4694">
        <v>-3.122519E-2</v>
      </c>
      <c r="S4694">
        <v>3.3637700000000001</v>
      </c>
      <c r="T4694">
        <v>-0.1093967</v>
      </c>
      <c r="U4694">
        <v>1.113953</v>
      </c>
      <c r="V4694">
        <v>-1.2916820000000001E-2</v>
      </c>
      <c r="W4694">
        <v>0.41400480000000001</v>
      </c>
      <c r="X4694">
        <v>0.91018310000000002</v>
      </c>
      <c r="Y4694">
        <v>-0.35886849999999998</v>
      </c>
      <c r="Z4694">
        <v>9.1170179999999993E-3</v>
      </c>
      <c r="AA4694">
        <v>0.93334360000000005</v>
      </c>
      <c r="AB4694">
        <v>26</v>
      </c>
      <c r="AC4694">
        <v>35.457899999999903</v>
      </c>
      <c r="AD4694">
        <v>-1.1618599999999999</v>
      </c>
      <c r="AE4694">
        <v>11.8428</v>
      </c>
      <c r="AF4694">
        <v>-13.501343716296301</v>
      </c>
      <c r="AG4694">
        <v>-1.1618599999999999</v>
      </c>
      <c r="AH4694">
        <v>34.821435518719802</v>
      </c>
      <c r="AI4694">
        <v>91.781876142944697</v>
      </c>
      <c r="AJ4694">
        <v>111.192847009715</v>
      </c>
      <c r="AK4694">
        <v>37.365339184724903</v>
      </c>
      <c r="AL4694">
        <v>65.543341604431603</v>
      </c>
      <c r="AM4694">
        <v>90.813055739451201</v>
      </c>
      <c r="AN4694">
        <v>1.00000004709378</v>
      </c>
    </row>
    <row r="4695" spans="1:40" x14ac:dyDescent="0.25">
      <c r="A4695" t="str">
        <f>"20190304164740132"</f>
        <v>20190304164740132</v>
      </c>
      <c r="B4695" t="str">
        <f>"1551689260123995"</f>
        <v>1551689260123995</v>
      </c>
      <c r="C4695" t="s">
        <v>40</v>
      </c>
      <c r="D4695">
        <v>4.3321529999999999</v>
      </c>
      <c r="E4695">
        <v>0.36285070000000003</v>
      </c>
      <c r="F4695" t="s">
        <v>43</v>
      </c>
      <c r="G4695">
        <v>-313.18130000000002</v>
      </c>
      <c r="H4695">
        <v>-0.05</v>
      </c>
      <c r="I4695">
        <v>30.236049999999999</v>
      </c>
      <c r="J4695">
        <v>-349.5505</v>
      </c>
      <c r="K4695">
        <v>1.111858</v>
      </c>
      <c r="L4695">
        <v>18.060390000000002</v>
      </c>
      <c r="M4695">
        <v>0.99880979999999997</v>
      </c>
      <c r="N4695">
        <v>-1.3967210000000001E-2</v>
      </c>
      <c r="O4695">
        <v>-4.6735800000000001E-2</v>
      </c>
      <c r="P4695">
        <v>0.91552270000000002</v>
      </c>
      <c r="Q4695">
        <v>0.40112350000000002</v>
      </c>
      <c r="R4695">
        <v>-3.0304749999999998E-2</v>
      </c>
      <c r="S4695">
        <v>3.3620299999999999</v>
      </c>
      <c r="T4695">
        <v>-0.1067101</v>
      </c>
      <c r="U4695">
        <v>1.11731</v>
      </c>
      <c r="V4695">
        <v>-1.312437E-2</v>
      </c>
      <c r="W4695">
        <v>0.41385899999999998</v>
      </c>
      <c r="X4695">
        <v>0.91024640000000001</v>
      </c>
      <c r="Y4695">
        <v>-0.35913420000000001</v>
      </c>
      <c r="Z4695">
        <v>8.9356019999999904E-3</v>
      </c>
      <c r="AA4695">
        <v>0.93324320000000005</v>
      </c>
      <c r="AB4695">
        <v>26</v>
      </c>
      <c r="AC4695">
        <v>36.3691999999999</v>
      </c>
      <c r="AD4695">
        <v>-1.1618580000000001</v>
      </c>
      <c r="AE4695">
        <v>12.175660000000001</v>
      </c>
      <c r="AF4695">
        <v>-13.849552259977701</v>
      </c>
      <c r="AG4695">
        <v>-1.1618580000000001</v>
      </c>
      <c r="AH4695">
        <v>35.727569063404303</v>
      </c>
      <c r="AI4695">
        <v>91.736759907697206</v>
      </c>
      <c r="AJ4695">
        <v>111.188487023183</v>
      </c>
      <c r="AK4695">
        <v>38.335612724910803</v>
      </c>
      <c r="AL4695">
        <v>65.552517576523897</v>
      </c>
      <c r="AM4695">
        <v>90.826060840818201</v>
      </c>
      <c r="AN4695">
        <v>1.00000001484092</v>
      </c>
    </row>
    <row r="4696" spans="1:40" x14ac:dyDescent="0.25">
      <c r="A4696" t="str">
        <f>"20190304164740156"</f>
        <v>20190304164740156</v>
      </c>
      <c r="B4696" t="str">
        <f>"1551689260143529"</f>
        <v>1551689260143529</v>
      </c>
      <c r="C4696" t="s">
        <v>40</v>
      </c>
      <c r="D4696">
        <v>4.3231739999999999</v>
      </c>
      <c r="E4696">
        <v>0.36285319999999999</v>
      </c>
      <c r="F4696" t="s">
        <v>43</v>
      </c>
      <c r="G4696">
        <v>-313.68869999999998</v>
      </c>
      <c r="H4696">
        <v>-0.05</v>
      </c>
      <c r="I4696">
        <v>29.994060000000001</v>
      </c>
      <c r="J4696">
        <v>-349.2885</v>
      </c>
      <c r="K4696">
        <v>1.111866</v>
      </c>
      <c r="L4696">
        <v>18.049130000000002</v>
      </c>
      <c r="M4696">
        <v>0.99884969999999995</v>
      </c>
      <c r="N4696">
        <v>-1.396504E-2</v>
      </c>
      <c r="O4696">
        <v>-4.5872059999999999E-2</v>
      </c>
      <c r="P4696">
        <v>0.91562279999999996</v>
      </c>
      <c r="Q4696">
        <v>0.40095520000000001</v>
      </c>
      <c r="R4696">
        <v>-2.9494980000000001E-2</v>
      </c>
      <c r="S4696">
        <v>3.3615719999999998</v>
      </c>
      <c r="T4696">
        <v>-0.1089088</v>
      </c>
      <c r="U4696">
        <v>1.118622</v>
      </c>
      <c r="V4696">
        <v>-1.3143709999999999E-2</v>
      </c>
      <c r="W4696">
        <v>0.41368969999999999</v>
      </c>
      <c r="X4696">
        <v>0.91032310000000005</v>
      </c>
      <c r="Y4696">
        <v>-0.35868480000000003</v>
      </c>
      <c r="Z4696">
        <v>9.0541819999999992E-3</v>
      </c>
      <c r="AA4696">
        <v>0.93341479999999999</v>
      </c>
      <c r="AB4696">
        <v>26</v>
      </c>
      <c r="AC4696">
        <v>35.599800000000002</v>
      </c>
      <c r="AD4696">
        <v>-1.1618660000000001</v>
      </c>
      <c r="AE4696">
        <v>11.944929999999999</v>
      </c>
      <c r="AF4696">
        <v>-13.552573852582301</v>
      </c>
      <c r="AG4696">
        <v>-1.1618660000000001</v>
      </c>
      <c r="AH4696">
        <v>34.980835635613097</v>
      </c>
      <c r="AI4696">
        <v>91.773951438640296</v>
      </c>
      <c r="AJ4696">
        <v>111.177789266883</v>
      </c>
      <c r="AK4696">
        <v>37.532400035135403</v>
      </c>
      <c r="AL4696">
        <v>65.563173209583695</v>
      </c>
      <c r="AM4696">
        <v>90.827208257234602</v>
      </c>
      <c r="AN4696">
        <v>1.0000000356961301</v>
      </c>
    </row>
    <row r="4697" spans="1:40" x14ac:dyDescent="0.25">
      <c r="A4697" t="str">
        <f>"20190304164740178"</f>
        <v>20190304164740178</v>
      </c>
      <c r="B4697" t="str">
        <f>"1551689260173772"</f>
        <v>1551689260173772</v>
      </c>
      <c r="C4697" t="s">
        <v>40</v>
      </c>
      <c r="D4697">
        <v>4.2916069999999999</v>
      </c>
      <c r="E4697">
        <v>0.36318689999999998</v>
      </c>
      <c r="F4697" t="s">
        <v>43</v>
      </c>
      <c r="G4697">
        <v>-313.92759999999998</v>
      </c>
      <c r="H4697">
        <v>-0.05</v>
      </c>
      <c r="I4697">
        <v>29.83277</v>
      </c>
      <c r="J4697">
        <v>-349.01459999999997</v>
      </c>
      <c r="K4697">
        <v>1.1118600000000001</v>
      </c>
      <c r="L4697">
        <v>18.037600000000001</v>
      </c>
      <c r="M4697">
        <v>0.99889090000000003</v>
      </c>
      <c r="N4697">
        <v>-1.3962789999999999E-2</v>
      </c>
      <c r="O4697">
        <v>-4.4969460000000003E-2</v>
      </c>
      <c r="P4697">
        <v>0.91567240000000005</v>
      </c>
      <c r="Q4697">
        <v>0.400897</v>
      </c>
      <c r="R4697">
        <v>-2.8743979999999999E-2</v>
      </c>
      <c r="S4697">
        <v>3.3609309999999999</v>
      </c>
      <c r="T4697">
        <v>-0.1104314</v>
      </c>
      <c r="U4697">
        <v>1.1199950000000001</v>
      </c>
      <c r="V4697">
        <v>-1.3067260000000001E-2</v>
      </c>
      <c r="W4697">
        <v>0.41362979999999999</v>
      </c>
      <c r="X4697">
        <v>0.91035140000000003</v>
      </c>
      <c r="Y4697">
        <v>-0.3582322</v>
      </c>
      <c r="Z4697">
        <v>9.1270610000000005E-3</v>
      </c>
      <c r="AA4697">
        <v>0.93358790000000003</v>
      </c>
      <c r="AB4697">
        <v>26</v>
      </c>
      <c r="AC4697">
        <v>35.086999999999897</v>
      </c>
      <c r="AD4697">
        <v>-1.1618599999999999</v>
      </c>
      <c r="AE4697">
        <v>11.795170000000001</v>
      </c>
      <c r="AF4697">
        <v>-13.3480820359168</v>
      </c>
      <c r="AG4697">
        <v>-1.1618599999999999</v>
      </c>
      <c r="AH4697">
        <v>34.487047677085499</v>
      </c>
      <c r="AI4697">
        <v>91.799556633712697</v>
      </c>
      <c r="AJ4697">
        <v>111.158741557553</v>
      </c>
      <c r="AK4697">
        <v>36.998346857376497</v>
      </c>
      <c r="AL4697">
        <v>65.566942411336299</v>
      </c>
      <c r="AM4697">
        <v>90.822371925380395</v>
      </c>
      <c r="AN4697">
        <v>1.0000000181069499</v>
      </c>
    </row>
    <row r="4698" spans="1:40" x14ac:dyDescent="0.25">
      <c r="A4698" t="str">
        <f>"20190304164740201"</f>
        <v>20190304164740201</v>
      </c>
      <c r="B4698" t="str">
        <f>"1551689260194267"</f>
        <v>1551689260194267</v>
      </c>
      <c r="C4698" t="s">
        <v>40</v>
      </c>
      <c r="D4698">
        <v>4.3076379999999999</v>
      </c>
      <c r="E4698">
        <v>0.36392200000000002</v>
      </c>
      <c r="F4698" t="s">
        <v>43</v>
      </c>
      <c r="G4698">
        <v>-314.19889999999998</v>
      </c>
      <c r="H4698">
        <v>-0.05</v>
      </c>
      <c r="I4698">
        <v>29.626480000000001</v>
      </c>
      <c r="J4698">
        <v>-348.75060000000002</v>
      </c>
      <c r="K4698">
        <v>1.1118600000000001</v>
      </c>
      <c r="L4698">
        <v>18.026730000000001</v>
      </c>
      <c r="M4698">
        <v>0.99892970000000003</v>
      </c>
      <c r="N4698">
        <v>-1.396028E-2</v>
      </c>
      <c r="O4698">
        <v>-4.4098930000000001E-2</v>
      </c>
      <c r="P4698">
        <v>0.91573950000000004</v>
      </c>
      <c r="Q4698">
        <v>0.40077770000000001</v>
      </c>
      <c r="R4698">
        <v>-2.825546E-2</v>
      </c>
      <c r="S4698">
        <v>3.3605040000000002</v>
      </c>
      <c r="T4698">
        <v>-0.112146</v>
      </c>
      <c r="U4698">
        <v>1.1185909999999999</v>
      </c>
      <c r="V4698">
        <v>-1.2757650000000001E-2</v>
      </c>
      <c r="W4698">
        <v>0.41350989999999999</v>
      </c>
      <c r="X4698">
        <v>0.91041019999999995</v>
      </c>
      <c r="Y4698">
        <v>-0.35709669999999999</v>
      </c>
      <c r="Z4698">
        <v>9.1960159999999996E-3</v>
      </c>
      <c r="AA4698">
        <v>0.93402209999999997</v>
      </c>
      <c r="AB4698">
        <v>26</v>
      </c>
      <c r="AC4698">
        <v>34.551699999999997</v>
      </c>
      <c r="AD4698">
        <v>-1.1618599999999999</v>
      </c>
      <c r="AE4698">
        <v>11.599749999999901</v>
      </c>
      <c r="AF4698">
        <v>-13.098993145219501</v>
      </c>
      <c r="AG4698">
        <v>-1.1618599999999999</v>
      </c>
      <c r="AH4698">
        <v>33.971971153928202</v>
      </c>
      <c r="AI4698">
        <v>91.8277213640187</v>
      </c>
      <c r="AJ4698">
        <v>111.085759840533</v>
      </c>
      <c r="AK4698">
        <v>36.428400516100602</v>
      </c>
      <c r="AL4698">
        <v>65.574486268396598</v>
      </c>
      <c r="AM4698">
        <v>90.802837733859604</v>
      </c>
      <c r="AN4698">
        <v>0.99999996364778498</v>
      </c>
    </row>
    <row r="4699" spans="1:40" x14ac:dyDescent="0.25">
      <c r="A4699" t="str">
        <f>"20190304164740247"</f>
        <v>20190304164740247</v>
      </c>
      <c r="B4699" t="str">
        <f>"1551689260244043"</f>
        <v>1551689260244043</v>
      </c>
      <c r="C4699" t="s">
        <v>40</v>
      </c>
      <c r="D4699">
        <v>4.5531449999999998</v>
      </c>
      <c r="E4699">
        <v>0.51427559999999894</v>
      </c>
      <c r="F4699" t="s">
        <v>43</v>
      </c>
      <c r="G4699">
        <v>-314.76929999999999</v>
      </c>
      <c r="H4699">
        <v>-0.05</v>
      </c>
      <c r="I4699">
        <v>29.290389999999999</v>
      </c>
      <c r="J4699">
        <v>-348.22620000000001</v>
      </c>
      <c r="K4699">
        <v>1.1118600000000001</v>
      </c>
      <c r="L4699">
        <v>18.005800000000001</v>
      </c>
      <c r="M4699">
        <v>0.99900449999999996</v>
      </c>
      <c r="N4699">
        <v>-1.395541E-2</v>
      </c>
      <c r="O4699">
        <v>-4.2372899999999998E-2</v>
      </c>
      <c r="P4699">
        <v>0.91593550000000001</v>
      </c>
      <c r="Q4699">
        <v>0.40037780000000001</v>
      </c>
      <c r="R4699">
        <v>-2.758089E-2</v>
      </c>
      <c r="S4699">
        <v>3.360687</v>
      </c>
      <c r="T4699">
        <v>-0.1149057</v>
      </c>
      <c r="U4699">
        <v>1.113953</v>
      </c>
      <c r="V4699">
        <v>-1.185227E-2</v>
      </c>
      <c r="W4699">
        <v>0.41310920000000001</v>
      </c>
      <c r="X4699">
        <v>0.91060439999999998</v>
      </c>
      <c r="Y4699">
        <v>-0.3542959</v>
      </c>
      <c r="Z4699">
        <v>9.2729330000000006E-3</v>
      </c>
      <c r="AA4699">
        <v>0.93508740000000001</v>
      </c>
      <c r="AB4699">
        <v>26</v>
      </c>
      <c r="AC4699">
        <v>33.456899999999997</v>
      </c>
      <c r="AD4699">
        <v>-1.1618599999999999</v>
      </c>
      <c r="AE4699">
        <v>11.28459</v>
      </c>
      <c r="AF4699">
        <v>-12.678528583792099</v>
      </c>
      <c r="AG4699">
        <v>-1.1618599999999999</v>
      </c>
      <c r="AH4699">
        <v>32.913000218980102</v>
      </c>
      <c r="AI4699">
        <v>91.886719614578496</v>
      </c>
      <c r="AJ4699">
        <v>111.067353163988</v>
      </c>
      <c r="AK4699">
        <v>35.289666888824797</v>
      </c>
      <c r="AL4699">
        <v>65.599700672630703</v>
      </c>
      <c r="AM4699">
        <v>90.745709886986404</v>
      </c>
      <c r="AN4699">
        <v>1.0000000303640699</v>
      </c>
    </row>
    <row r="4700" spans="1:40" x14ac:dyDescent="0.25">
      <c r="A4700" t="str">
        <f>"20190304164740268"</f>
        <v>20190304164740268</v>
      </c>
      <c r="B4700" t="str">
        <f>"1551689260263564"</f>
        <v>1551689260263564</v>
      </c>
      <c r="C4700" t="s">
        <v>40</v>
      </c>
      <c r="D4700">
        <v>4.7563309999999897</v>
      </c>
      <c r="E4700">
        <v>0.52832999999999997</v>
      </c>
      <c r="F4700" t="s">
        <v>41</v>
      </c>
      <c r="G4700">
        <v>-347.4126</v>
      </c>
      <c r="H4700">
        <v>1.028769</v>
      </c>
      <c r="I4700">
        <v>17.988959999999999</v>
      </c>
      <c r="J4700">
        <v>-347.983</v>
      </c>
      <c r="K4700">
        <v>1.1118570000000001</v>
      </c>
      <c r="L4700">
        <v>17.996400000000001</v>
      </c>
      <c r="M4700">
        <v>0.99903799999999998</v>
      </c>
      <c r="N4700">
        <v>-1.3953200000000001E-2</v>
      </c>
      <c r="O4700">
        <v>-4.1575220000000003E-2</v>
      </c>
      <c r="P4700">
        <v>0.9158946</v>
      </c>
      <c r="Q4700">
        <v>0.40046540000000003</v>
      </c>
      <c r="R4700">
        <v>-2.765111E-2</v>
      </c>
      <c r="S4700">
        <v>3.4262389999999998</v>
      </c>
      <c r="T4700">
        <v>-0.34999370000000002</v>
      </c>
      <c r="U4700">
        <v>-6.997681E-2</v>
      </c>
      <c r="V4700">
        <v>-1.104546E-2</v>
      </c>
      <c r="W4700">
        <v>0.4131956</v>
      </c>
      <c r="X4700">
        <v>0.91057529999999998</v>
      </c>
      <c r="Y4700">
        <v>-2.0884119999999999E-2</v>
      </c>
      <c r="Z4700">
        <v>4.8651019999999996E-3</v>
      </c>
      <c r="AA4700">
        <v>0.99977000000000005</v>
      </c>
      <c r="AB4700">
        <v>26</v>
      </c>
      <c r="AC4700">
        <v>0.57040000000000601</v>
      </c>
      <c r="AD4700">
        <v>-8.3087999999999801E-2</v>
      </c>
      <c r="AE4700">
        <v>-7.4399999999990004E-3</v>
      </c>
      <c r="AF4700">
        <v>-1.5944973872295199E-2</v>
      </c>
      <c r="AG4700">
        <v>-8.3087999999999801E-2</v>
      </c>
      <c r="AH4700">
        <v>0.55837023019248</v>
      </c>
      <c r="AI4700">
        <v>98.460364862344605</v>
      </c>
      <c r="AJ4700">
        <v>91.635709516518901</v>
      </c>
      <c r="AK4700">
        <v>0.56474345671374704</v>
      </c>
      <c r="AL4700">
        <v>65.594263665670397</v>
      </c>
      <c r="AM4700">
        <v>90.694975147652997</v>
      </c>
      <c r="AN4700">
        <v>0.99999999150802998</v>
      </c>
    </row>
    <row r="4701" spans="1:40" x14ac:dyDescent="0.25">
      <c r="A4701" t="str">
        <f>"20190304164740290"</f>
        <v>20190304164740290</v>
      </c>
      <c r="B4701" t="str">
        <f>"1551689260284059"</f>
        <v>1551689260284059</v>
      </c>
      <c r="C4701" t="s">
        <v>40</v>
      </c>
      <c r="D4701">
        <v>4.4555879999999997</v>
      </c>
      <c r="E4701">
        <v>0.53468519999999997</v>
      </c>
      <c r="F4701" t="s">
        <v>41</v>
      </c>
      <c r="G4701">
        <v>-347.18740000000003</v>
      </c>
      <c r="H4701">
        <v>1.0224489999999999</v>
      </c>
      <c r="I4701">
        <v>17.954599999999999</v>
      </c>
      <c r="J4701">
        <v>-347.71089999999998</v>
      </c>
      <c r="K4701">
        <v>1.111855</v>
      </c>
      <c r="L4701">
        <v>17.98611</v>
      </c>
      <c r="M4701">
        <v>0.99907480000000004</v>
      </c>
      <c r="N4701">
        <v>-1.395063E-2</v>
      </c>
      <c r="O4701">
        <v>-4.0686130000000001E-2</v>
      </c>
      <c r="P4701">
        <v>0.9157807</v>
      </c>
      <c r="Q4701">
        <v>0.40075270000000002</v>
      </c>
      <c r="R4701">
        <v>-2.7267260000000001E-2</v>
      </c>
      <c r="S4701">
        <v>3.4390260000000001</v>
      </c>
      <c r="T4701">
        <v>-0.38656699999999999</v>
      </c>
      <c r="U4701">
        <v>-0.18014530000000001</v>
      </c>
      <c r="V4701">
        <v>-1.060499E-2</v>
      </c>
      <c r="W4701">
        <v>0.41348000000000001</v>
      </c>
      <c r="X4701">
        <v>0.91045149999999997</v>
      </c>
      <c r="Y4701">
        <v>1.1746049999999999E-2</v>
      </c>
      <c r="Z4701">
        <v>3.2478849999999998E-3</v>
      </c>
      <c r="AA4701">
        <v>0.99992570000000003</v>
      </c>
      <c r="AB4701">
        <v>26</v>
      </c>
      <c r="AC4701">
        <v>0.523499999999955</v>
      </c>
      <c r="AD4701">
        <v>-8.9406000000000097E-2</v>
      </c>
      <c r="AE4701">
        <v>-3.1510000000000801E-2</v>
      </c>
      <c r="AF4701">
        <v>9.8950734015314495E-3</v>
      </c>
      <c r="AG4701">
        <v>-8.9406000000000097E-2</v>
      </c>
      <c r="AH4701">
        <v>0.50954020064021999</v>
      </c>
      <c r="AI4701">
        <v>99.950204368339598</v>
      </c>
      <c r="AJ4701">
        <v>88.887477984764402</v>
      </c>
      <c r="AK4701">
        <v>0.51741913511397897</v>
      </c>
      <c r="AL4701">
        <v>65.576370174769707</v>
      </c>
      <c r="AM4701">
        <v>90.667354264231406</v>
      </c>
      <c r="AN4701">
        <v>1.0000000550325701</v>
      </c>
    </row>
    <row r="4702" spans="1:40" x14ac:dyDescent="0.25">
      <c r="A4702" t="str">
        <f>"20190304164740313"</f>
        <v>20190304164740313</v>
      </c>
      <c r="B4702" t="str">
        <f>"1551689260303583"</f>
        <v>1551689260303583</v>
      </c>
      <c r="C4702" t="s">
        <v>40</v>
      </c>
      <c r="D4702">
        <v>4.3974979999999997</v>
      </c>
      <c r="E4702">
        <v>0.53811260000000005</v>
      </c>
      <c r="F4702" t="s">
        <v>41</v>
      </c>
      <c r="G4702">
        <v>-346.95440000000002</v>
      </c>
      <c r="H4702">
        <v>1.0261979999999999</v>
      </c>
      <c r="I4702">
        <v>17.935269999999999</v>
      </c>
      <c r="J4702">
        <v>-347.45650000000001</v>
      </c>
      <c r="K4702">
        <v>1.111847</v>
      </c>
      <c r="L4702">
        <v>17.976679999999899</v>
      </c>
      <c r="M4702">
        <v>0.99910790000000005</v>
      </c>
      <c r="N4702">
        <v>-1.394832E-2</v>
      </c>
      <c r="O4702">
        <v>-3.9860710000000001E-2</v>
      </c>
      <c r="P4702">
        <v>0.91566700000000001</v>
      </c>
      <c r="Q4702">
        <v>0.4010899</v>
      </c>
      <c r="R4702">
        <v>-2.609332E-2</v>
      </c>
      <c r="S4702">
        <v>3.439575</v>
      </c>
      <c r="T4702">
        <v>-0.38962659999999999</v>
      </c>
      <c r="U4702">
        <v>-0.2293396</v>
      </c>
      <c r="V4702">
        <v>-1.1011679999999999E-2</v>
      </c>
      <c r="W4702">
        <v>0.41381250000000003</v>
      </c>
      <c r="X4702">
        <v>0.91029550000000004</v>
      </c>
      <c r="Y4702">
        <v>2.6703640000000001E-2</v>
      </c>
      <c r="Z4702">
        <v>2.2463560000000001E-3</v>
      </c>
      <c r="AA4702">
        <v>0.99964090000000005</v>
      </c>
      <c r="AB4702">
        <v>26</v>
      </c>
      <c r="AC4702">
        <v>0.502099999999984</v>
      </c>
      <c r="AD4702">
        <v>-8.5649000000000003E-2</v>
      </c>
      <c r="AE4702">
        <v>-4.1409999999995499E-2</v>
      </c>
      <c r="AF4702">
        <v>2.0761048329760199E-2</v>
      </c>
      <c r="AG4702">
        <v>-8.5649000000000003E-2</v>
      </c>
      <c r="AH4702">
        <v>0.48921269659695099</v>
      </c>
      <c r="AI4702">
        <v>99.921672309815193</v>
      </c>
      <c r="AJ4702">
        <v>87.569958557673601</v>
      </c>
      <c r="AK4702">
        <v>0.49708735131806697</v>
      </c>
      <c r="AL4702">
        <v>65.555443023775695</v>
      </c>
      <c r="AM4702">
        <v>90.693062875848497</v>
      </c>
      <c r="AN4702">
        <v>0.99999996978646</v>
      </c>
    </row>
    <row r="4703" spans="1:40" x14ac:dyDescent="0.25">
      <c r="A4703" t="str">
        <f>"20190304164740334"</f>
        <v>20190304164740334</v>
      </c>
      <c r="B4703" t="str">
        <f>"1551689260324086"</f>
        <v>1551689260324086</v>
      </c>
      <c r="C4703" t="s">
        <v>40</v>
      </c>
      <c r="D4703">
        <v>4.4160820000000003</v>
      </c>
      <c r="E4703">
        <v>0.54008690000000004</v>
      </c>
      <c r="F4703" t="s">
        <v>41</v>
      </c>
      <c r="G4703">
        <v>-346.72340000000003</v>
      </c>
      <c r="H4703">
        <v>1.0255160000000001</v>
      </c>
      <c r="I4703">
        <v>17.922820000000002</v>
      </c>
      <c r="J4703">
        <v>-347.2115</v>
      </c>
      <c r="K4703">
        <v>1.1118410000000001</v>
      </c>
      <c r="L4703">
        <v>17.9678</v>
      </c>
      <c r="M4703">
        <v>0.999139</v>
      </c>
      <c r="N4703">
        <v>-1.394578E-2</v>
      </c>
      <c r="O4703">
        <v>-3.9075980000000003E-2</v>
      </c>
      <c r="P4703">
        <v>0.91568700000000003</v>
      </c>
      <c r="Q4703">
        <v>0.40105550000000001</v>
      </c>
      <c r="R4703">
        <v>-2.5926580000000001E-2</v>
      </c>
      <c r="S4703">
        <v>3.4469599999999998</v>
      </c>
      <c r="T4703">
        <v>-0.40601749999999998</v>
      </c>
      <c r="U4703">
        <v>-0.25323489999999999</v>
      </c>
      <c r="V4703">
        <v>-1.0452360000000001E-2</v>
      </c>
      <c r="W4703">
        <v>0.41377649999999999</v>
      </c>
      <c r="X4703">
        <v>0.91031850000000003</v>
      </c>
      <c r="Y4703">
        <v>3.4183480000000002E-2</v>
      </c>
      <c r="Z4703">
        <v>1.7921580000000001E-3</v>
      </c>
      <c r="AA4703">
        <v>0.99941400000000002</v>
      </c>
      <c r="AB4703">
        <v>26</v>
      </c>
      <c r="AC4703">
        <v>0.488099999999974</v>
      </c>
      <c r="AD4703">
        <v>-8.6324999999999902E-2</v>
      </c>
      <c r="AE4703">
        <v>-4.4979999999998903E-2</v>
      </c>
      <c r="AF4703">
        <v>2.5092535110951102E-2</v>
      </c>
      <c r="AG4703">
        <v>-8.6324999999999902E-2</v>
      </c>
      <c r="AH4703">
        <v>0.47475988738624297</v>
      </c>
      <c r="AI4703">
        <v>100.29137635752301</v>
      </c>
      <c r="AJ4703">
        <v>86.974555085197295</v>
      </c>
      <c r="AK4703">
        <v>0.48319622475169699</v>
      </c>
      <c r="AL4703">
        <v>65.557709733102101</v>
      </c>
      <c r="AM4703">
        <v>90.657846454554104</v>
      </c>
      <c r="AN4703">
        <v>1.0000000076120299</v>
      </c>
    </row>
    <row r="4704" spans="1:40" x14ac:dyDescent="0.25">
      <c r="A4704" t="str">
        <f>"20190304164740357"</f>
        <v>20190304164740357</v>
      </c>
      <c r="B4704" t="str">
        <f>"1551689260354332"</f>
        <v>1551689260354332</v>
      </c>
      <c r="C4704" t="s">
        <v>40</v>
      </c>
      <c r="D4704">
        <v>4.2965299999999997</v>
      </c>
      <c r="E4704">
        <v>0.542684099999999</v>
      </c>
      <c r="F4704" t="s">
        <v>41</v>
      </c>
      <c r="G4704">
        <v>-346.27510000000001</v>
      </c>
      <c r="H4704">
        <v>0.99852249999999998</v>
      </c>
      <c r="I4704">
        <v>17.894880000000001</v>
      </c>
      <c r="J4704">
        <v>-346.94819999999999</v>
      </c>
      <c r="K4704">
        <v>1.111837</v>
      </c>
      <c r="L4704">
        <v>17.958469999999998</v>
      </c>
      <c r="M4704">
        <v>0.99917089999999997</v>
      </c>
      <c r="N4704">
        <v>-1.394313E-2</v>
      </c>
      <c r="O4704">
        <v>-3.8250920000000001E-2</v>
      </c>
      <c r="P4704">
        <v>0.91542230000000002</v>
      </c>
      <c r="Q4704">
        <v>0.40161720000000001</v>
      </c>
      <c r="R4704">
        <v>-2.6566989999999999E-2</v>
      </c>
      <c r="S4704">
        <v>3.4515690000000001</v>
      </c>
      <c r="T4704">
        <v>-0.41773100000000002</v>
      </c>
      <c r="U4704">
        <v>-0.26885989999999999</v>
      </c>
      <c r="V4704">
        <v>-9.033447E-3</v>
      </c>
      <c r="W4704">
        <v>0.41433510000000001</v>
      </c>
      <c r="X4704">
        <v>0.91007959999999999</v>
      </c>
      <c r="Y4704">
        <v>3.9362080000000001E-2</v>
      </c>
      <c r="Z4704">
        <v>1.426276E-3</v>
      </c>
      <c r="AA4704">
        <v>0.999224</v>
      </c>
      <c r="AB4704">
        <v>26</v>
      </c>
      <c r="AC4704">
        <v>0.67309999999997605</v>
      </c>
      <c r="AD4704">
        <v>-0.1133145</v>
      </c>
      <c r="AE4704">
        <v>-6.3590000000001298E-2</v>
      </c>
      <c r="AF4704">
        <v>3.6761620198509801E-2</v>
      </c>
      <c r="AG4704">
        <v>-0.1133145</v>
      </c>
      <c r="AH4704">
        <v>0.65659608904154598</v>
      </c>
      <c r="AI4704">
        <v>99.776567482947996</v>
      </c>
      <c r="AJ4704">
        <v>86.795459172892507</v>
      </c>
      <c r="AK4704">
        <v>0.66731553014636402</v>
      </c>
      <c r="AL4704">
        <v>65.522549195796699</v>
      </c>
      <c r="AM4704">
        <v>90.568699035065194</v>
      </c>
      <c r="AN4704">
        <v>1.0000000282964301</v>
      </c>
    </row>
    <row r="4705" spans="1:40" x14ac:dyDescent="0.25">
      <c r="A4705" t="str">
        <f>"20190304164740380"</f>
        <v>20190304164740380</v>
      </c>
      <c r="B4705" t="str">
        <f>"1551689260373852"</f>
        <v>1551689260373852</v>
      </c>
      <c r="C4705" t="s">
        <v>40</v>
      </c>
      <c r="D4705">
        <v>4.2442650000000004</v>
      </c>
      <c r="E4705">
        <v>0.54477189999999998</v>
      </c>
      <c r="F4705" t="s">
        <v>41</v>
      </c>
      <c r="G4705">
        <v>-346.04050000000001</v>
      </c>
      <c r="H4705">
        <v>1.0071680000000001</v>
      </c>
      <c r="I4705">
        <v>17.88091</v>
      </c>
      <c r="J4705">
        <v>-346.67989999999998</v>
      </c>
      <c r="K4705">
        <v>1.1118250000000001</v>
      </c>
      <c r="L4705">
        <v>17.949159999999999</v>
      </c>
      <c r="M4705">
        <v>0.99920209999999998</v>
      </c>
      <c r="N4705">
        <v>-1.3940299999999999E-2</v>
      </c>
      <c r="O4705">
        <v>-3.7429469999999999E-2</v>
      </c>
      <c r="P4705">
        <v>0.91521920000000001</v>
      </c>
      <c r="Q4705">
        <v>0.4020282</v>
      </c>
      <c r="R4705">
        <v>-2.734077E-2</v>
      </c>
      <c r="S4705">
        <v>3.4428709999999998</v>
      </c>
      <c r="T4705">
        <v>-0.39709100000000003</v>
      </c>
      <c r="U4705">
        <v>-0.29290769999999999</v>
      </c>
      <c r="V4705">
        <v>-7.4839669999999898E-3</v>
      </c>
      <c r="W4705">
        <v>0.41474339999999998</v>
      </c>
      <c r="X4705">
        <v>0.90990760000000004</v>
      </c>
      <c r="Y4705">
        <v>4.7253860000000002E-2</v>
      </c>
      <c r="Z4705">
        <v>7.3055289999999996E-4</v>
      </c>
      <c r="AA4705">
        <v>0.99888270000000001</v>
      </c>
      <c r="AB4705">
        <v>26</v>
      </c>
      <c r="AC4705">
        <v>0.639399999999966</v>
      </c>
      <c r="AD4705">
        <v>-0.104657</v>
      </c>
      <c r="AE4705">
        <v>-6.8249999999999006E-2</v>
      </c>
      <c r="AF4705">
        <v>4.3125083812121101E-2</v>
      </c>
      <c r="AG4705">
        <v>-0.104657</v>
      </c>
      <c r="AH4705">
        <v>0.62495210900895404</v>
      </c>
      <c r="AI4705">
        <v>99.484623720768695</v>
      </c>
      <c r="AJ4705">
        <v>86.052538244252105</v>
      </c>
      <c r="AK4705">
        <v>0.63512046027312197</v>
      </c>
      <c r="AL4705">
        <v>65.496840991734999</v>
      </c>
      <c r="AM4705">
        <v>90.471245711151298</v>
      </c>
      <c r="AN4705">
        <v>0.99999996907168798</v>
      </c>
    </row>
    <row r="4706" spans="1:40" x14ac:dyDescent="0.25">
      <c r="A4706" t="str">
        <f>"20190304164740402"</f>
        <v>20190304164740402</v>
      </c>
      <c r="B4706" t="str">
        <f>"1551689260394347"</f>
        <v>1551689260394347</v>
      </c>
      <c r="C4706" t="s">
        <v>40</v>
      </c>
      <c r="D4706">
        <v>4.4851660000000004</v>
      </c>
      <c r="E4706">
        <v>0.54519329999999999</v>
      </c>
      <c r="F4706" t="s">
        <v>41</v>
      </c>
      <c r="G4706">
        <v>-345.80439999999999</v>
      </c>
      <c r="H4706">
        <v>1.018802</v>
      </c>
      <c r="I4706">
        <v>17.869129999999998</v>
      </c>
      <c r="J4706">
        <v>-346.42570000000001</v>
      </c>
      <c r="K4706">
        <v>1.111809</v>
      </c>
      <c r="L4706">
        <v>17.94049</v>
      </c>
      <c r="M4706">
        <v>0.99923010000000001</v>
      </c>
      <c r="N4706">
        <v>-1.393777E-2</v>
      </c>
      <c r="O4706">
        <v>-3.6675649999999997E-2</v>
      </c>
      <c r="P4706">
        <v>0.91511039999999999</v>
      </c>
      <c r="Q4706">
        <v>0.40221220000000002</v>
      </c>
      <c r="R4706">
        <v>-2.8258510000000001E-2</v>
      </c>
      <c r="S4706">
        <v>3.4286189999999999</v>
      </c>
      <c r="T4706">
        <v>-0.36433490000000002</v>
      </c>
      <c r="U4706">
        <v>-0.31332399999999999</v>
      </c>
      <c r="V4706">
        <v>-5.8537759999999998E-3</v>
      </c>
      <c r="W4706">
        <v>0.41492649999999998</v>
      </c>
      <c r="X4706">
        <v>0.90983610000000004</v>
      </c>
      <c r="Y4706">
        <v>5.4229020000000003E-2</v>
      </c>
      <c r="Z4706">
        <v>1.196691E-4</v>
      </c>
      <c r="AA4706">
        <v>0.99852850000000004</v>
      </c>
      <c r="AB4706">
        <v>26</v>
      </c>
      <c r="AC4706">
        <v>0.62130000000001895</v>
      </c>
      <c r="AD4706">
        <v>-9.3007000000000006E-2</v>
      </c>
      <c r="AE4706">
        <v>-7.1360000000002005E-2</v>
      </c>
      <c r="AF4706">
        <v>4.7473197647546601E-2</v>
      </c>
      <c r="AG4706">
        <v>-9.3007000000000006E-2</v>
      </c>
      <c r="AH4706">
        <v>0.61000748413827199</v>
      </c>
      <c r="AI4706">
        <v>98.643306014687099</v>
      </c>
      <c r="AJ4706">
        <v>85.54998506071</v>
      </c>
      <c r="AK4706">
        <v>0.61888055168068401</v>
      </c>
      <c r="AL4706">
        <v>65.485312022969694</v>
      </c>
      <c r="AM4706">
        <v>90.368629065428905</v>
      </c>
      <c r="AN4706">
        <v>0.99999999797945904</v>
      </c>
    </row>
    <row r="4707" spans="1:40" x14ac:dyDescent="0.25">
      <c r="A4707" t="str">
        <f>"20190304164740423"</f>
        <v>20190304164740423</v>
      </c>
      <c r="B4707" t="str">
        <f>"1551689260413871"</f>
        <v>1551689260413871</v>
      </c>
      <c r="C4707" t="s">
        <v>40</v>
      </c>
      <c r="D4707">
        <v>4.3942819999999996</v>
      </c>
      <c r="E4707">
        <v>0.54560900000000001</v>
      </c>
      <c r="F4707" t="s">
        <v>41</v>
      </c>
      <c r="G4707">
        <v>-345.57350000000002</v>
      </c>
      <c r="H4707">
        <v>1.020418</v>
      </c>
      <c r="I4707">
        <v>17.860759999999999</v>
      </c>
      <c r="J4707">
        <v>-346.18150000000003</v>
      </c>
      <c r="K4707">
        <v>1.1117840000000001</v>
      </c>
      <c r="L4707">
        <v>17.932310000000001</v>
      </c>
      <c r="M4707">
        <v>0.99925509999999995</v>
      </c>
      <c r="N4707">
        <v>-1.3935299999999901E-2</v>
      </c>
      <c r="O4707">
        <v>-3.5988449999999998E-2</v>
      </c>
      <c r="P4707">
        <v>0.91493139999999995</v>
      </c>
      <c r="Q4707">
        <v>0.40256530000000001</v>
      </c>
      <c r="R4707">
        <v>-2.9017080000000001E-2</v>
      </c>
      <c r="S4707">
        <v>3.4301149999999998</v>
      </c>
      <c r="T4707">
        <v>-0.36787920000000002</v>
      </c>
      <c r="U4707">
        <v>-0.31970209999999999</v>
      </c>
      <c r="V4707">
        <v>-4.4356170000000002E-3</v>
      </c>
      <c r="W4707">
        <v>0.41527750000000002</v>
      </c>
      <c r="X4707">
        <v>0.90968400000000005</v>
      </c>
      <c r="Y4707">
        <v>5.6695700000000002E-2</v>
      </c>
      <c r="Z4707" s="1">
        <v>-8.354732E-5</v>
      </c>
      <c r="AA4707">
        <v>0.99839149999999999</v>
      </c>
      <c r="AB4707">
        <v>26</v>
      </c>
      <c r="AC4707">
        <v>0.60800000000000398</v>
      </c>
      <c r="AD4707">
        <v>-9.1366000000000003E-2</v>
      </c>
      <c r="AE4707">
        <v>-7.1550000000002001E-2</v>
      </c>
      <c r="AF4707">
        <v>4.8539396859878702E-2</v>
      </c>
      <c r="AG4707">
        <v>-9.1366000000000003E-2</v>
      </c>
      <c r="AH4707">
        <v>0.59688652374916695</v>
      </c>
      <c r="AI4707">
        <v>98.674571521296699</v>
      </c>
      <c r="AJ4707">
        <v>85.350881433443405</v>
      </c>
      <c r="AK4707">
        <v>0.605786547586595</v>
      </c>
      <c r="AL4707">
        <v>65.463207546019802</v>
      </c>
      <c r="AM4707">
        <v>90.279371869307298</v>
      </c>
      <c r="AN4707">
        <v>1.00000002828021</v>
      </c>
    </row>
    <row r="4708" spans="1:40" x14ac:dyDescent="0.25">
      <c r="A4708" t="str">
        <f>"20190304164740447"</f>
        <v>20190304164740447</v>
      </c>
      <c r="B4708" t="str">
        <f>"1551689260444123"</f>
        <v>1551689260444123</v>
      </c>
      <c r="C4708" t="s">
        <v>40</v>
      </c>
      <c r="D4708">
        <v>4.8164339999999903</v>
      </c>
      <c r="E4708">
        <v>0.54640500000000003</v>
      </c>
      <c r="F4708" t="s">
        <v>41</v>
      </c>
      <c r="G4708">
        <v>-345.34359999999998</v>
      </c>
      <c r="H4708">
        <v>1.0203739999999999</v>
      </c>
      <c r="I4708">
        <v>17.85266</v>
      </c>
      <c r="J4708">
        <v>-345.91039999999998</v>
      </c>
      <c r="K4708">
        <v>1.1117440000000001</v>
      </c>
      <c r="L4708">
        <v>17.923400000000001</v>
      </c>
      <c r="M4708">
        <v>0.99928039999999996</v>
      </c>
      <c r="N4708">
        <v>-1.3932409999999999E-2</v>
      </c>
      <c r="O4708">
        <v>-3.5281189999999997E-2</v>
      </c>
      <c r="P4708">
        <v>0.91488150000000001</v>
      </c>
      <c r="Q4708">
        <v>0.40256219999999998</v>
      </c>
      <c r="R4708">
        <v>-3.059632E-2</v>
      </c>
      <c r="S4708">
        <v>3.433411</v>
      </c>
      <c r="T4708">
        <v>-0.3745483</v>
      </c>
      <c r="U4708">
        <v>-0.32568360000000002</v>
      </c>
      <c r="V4708">
        <v>-2.1691599999999998E-3</v>
      </c>
      <c r="W4708">
        <v>0.41527439999999999</v>
      </c>
      <c r="X4708">
        <v>0.90969359999999999</v>
      </c>
      <c r="Y4708">
        <v>5.9013530000000002E-2</v>
      </c>
      <c r="Z4708">
        <v>-2.7842209999999999E-4</v>
      </c>
      <c r="AA4708">
        <v>0.99825719999999996</v>
      </c>
      <c r="AB4708">
        <v>26</v>
      </c>
      <c r="AC4708">
        <v>0.56679999999999997</v>
      </c>
      <c r="AD4708">
        <v>-9.1370000000000104E-2</v>
      </c>
      <c r="AE4708">
        <v>-7.0740000000000594E-2</v>
      </c>
      <c r="AF4708">
        <v>4.9431776637602801E-2</v>
      </c>
      <c r="AG4708">
        <v>-9.1370000000000104E-2</v>
      </c>
      <c r="AH4708">
        <v>0.55474823815669005</v>
      </c>
      <c r="AI4708">
        <v>99.316686194378406</v>
      </c>
      <c r="AJ4708">
        <v>84.908011392098899</v>
      </c>
      <c r="AK4708">
        <v>0.56439134045403405</v>
      </c>
      <c r="AL4708">
        <v>65.463401773025495</v>
      </c>
      <c r="AM4708">
        <v>90.136621250867194</v>
      </c>
      <c r="AN4708">
        <v>0.99999998921571198</v>
      </c>
    </row>
    <row r="4709" spans="1:40" x14ac:dyDescent="0.25">
      <c r="A4709" t="str">
        <f>"20190304164740471"</f>
        <v>20190304164740471</v>
      </c>
      <c r="B4709" t="str">
        <f>"1551689260464374"</f>
        <v>1551689260464374</v>
      </c>
      <c r="C4709" t="s">
        <v>40</v>
      </c>
      <c r="D4709">
        <v>4.4750829999999997</v>
      </c>
      <c r="E4709">
        <v>0.54679940000000005</v>
      </c>
      <c r="F4709" t="s">
        <v>41</v>
      </c>
      <c r="G4709">
        <v>-345.113</v>
      </c>
      <c r="H4709">
        <v>1.022322</v>
      </c>
      <c r="I4709">
        <v>17.845279999999999</v>
      </c>
      <c r="J4709">
        <v>-345.64260000000002</v>
      </c>
      <c r="K4709">
        <v>1.111696</v>
      </c>
      <c r="L4709">
        <v>17.914670000000001</v>
      </c>
      <c r="M4709">
        <v>0.99930240000000004</v>
      </c>
      <c r="N4709">
        <v>-1.3929250000000001E-2</v>
      </c>
      <c r="O4709">
        <v>-3.4655430000000001E-2</v>
      </c>
      <c r="P4709">
        <v>0.91478870000000001</v>
      </c>
      <c r="Q4709">
        <v>0.40260689999999999</v>
      </c>
      <c r="R4709">
        <v>-3.2703629999999997E-2</v>
      </c>
      <c r="S4709">
        <v>3.437592</v>
      </c>
      <c r="T4709">
        <v>-0.38550820000000002</v>
      </c>
      <c r="U4709">
        <v>-0.33523560000000002</v>
      </c>
      <c r="V4709">
        <v>5.6454910000000005E-4</v>
      </c>
      <c r="W4709">
        <v>0.41531960000000001</v>
      </c>
      <c r="X4709">
        <v>0.90967540000000002</v>
      </c>
      <c r="Y4709">
        <v>6.223658E-2</v>
      </c>
      <c r="Z4709">
        <v>-5.2428589999999997E-4</v>
      </c>
      <c r="AA4709">
        <v>0.99806130000000004</v>
      </c>
      <c r="AB4709">
        <v>26</v>
      </c>
      <c r="AC4709">
        <v>0.52959999999995899</v>
      </c>
      <c r="AD4709">
        <v>-8.9373999999999995E-2</v>
      </c>
      <c r="AE4709">
        <v>-6.9390000000002006E-2</v>
      </c>
      <c r="AF4709">
        <v>4.9604176618877102E-2</v>
      </c>
      <c r="AG4709">
        <v>-8.9373999999999995E-2</v>
      </c>
      <c r="AH4709">
        <v>0.51720582578435503</v>
      </c>
      <c r="AI4709">
        <v>99.760066190936598</v>
      </c>
      <c r="AJ4709">
        <v>84.521632646392305</v>
      </c>
      <c r="AK4709">
        <v>0.52720978029557997</v>
      </c>
      <c r="AL4709">
        <v>65.460555462821603</v>
      </c>
      <c r="AM4709">
        <v>89.964441957422196</v>
      </c>
      <c r="AN4709">
        <v>1.0000000111125</v>
      </c>
    </row>
    <row r="4710" spans="1:40" x14ac:dyDescent="0.25">
      <c r="A4710" t="str">
        <f>"20190304164740491"</f>
        <v>20190304164740491</v>
      </c>
      <c r="B4710" t="str">
        <f>"1551689260483897"</f>
        <v>1551689260483897</v>
      </c>
      <c r="C4710" t="s">
        <v>40</v>
      </c>
      <c r="D4710">
        <v>4.4565789999999996</v>
      </c>
      <c r="E4710">
        <v>0.54696020000000001</v>
      </c>
      <c r="F4710" t="s">
        <v>41</v>
      </c>
      <c r="G4710">
        <v>-344.88240000000002</v>
      </c>
      <c r="H4710">
        <v>1.0244420000000001</v>
      </c>
      <c r="I4710">
        <v>17.838799999999999</v>
      </c>
      <c r="J4710">
        <v>-345.39519999999999</v>
      </c>
      <c r="K4710">
        <v>1.111637</v>
      </c>
      <c r="L4710">
        <v>17.906679999999898</v>
      </c>
      <c r="M4710">
        <v>0.99931950000000003</v>
      </c>
      <c r="N4710">
        <v>-1.3926249999999999E-2</v>
      </c>
      <c r="O4710">
        <v>-3.416081E-2</v>
      </c>
      <c r="P4710">
        <v>0.91457270000000002</v>
      </c>
      <c r="Q4710">
        <v>0.40290199999999998</v>
      </c>
      <c r="R4710">
        <v>-3.5027759999999998E-2</v>
      </c>
      <c r="S4710">
        <v>3.4410099999999999</v>
      </c>
      <c r="T4710">
        <v>-0.39494380000000001</v>
      </c>
      <c r="U4710">
        <v>-0.34332279999999998</v>
      </c>
      <c r="V4710">
        <v>3.4074209999999999E-3</v>
      </c>
      <c r="W4710">
        <v>0.41561179999999998</v>
      </c>
      <c r="X4710">
        <v>0.90953569999999995</v>
      </c>
      <c r="Y4710">
        <v>6.4925159999999996E-2</v>
      </c>
      <c r="Z4710">
        <v>-7.3678369999999999E-4</v>
      </c>
      <c r="AA4710">
        <v>0.9978899</v>
      </c>
      <c r="AB4710">
        <v>26</v>
      </c>
      <c r="AC4710">
        <v>0.51279999999996995</v>
      </c>
      <c r="AD4710">
        <v>-8.7194999999999898E-2</v>
      </c>
      <c r="AE4710">
        <v>-6.7879999999998802E-2</v>
      </c>
      <c r="AF4710">
        <v>4.8930664276017999E-2</v>
      </c>
      <c r="AG4710">
        <v>-8.7194999999999898E-2</v>
      </c>
      <c r="AH4710">
        <v>0.50059543127128603</v>
      </c>
      <c r="AI4710">
        <v>99.834847665937303</v>
      </c>
      <c r="AJ4710">
        <v>84.4173620712087</v>
      </c>
      <c r="AK4710">
        <v>0.51048306900540596</v>
      </c>
      <c r="AL4710">
        <v>65.442149234963594</v>
      </c>
      <c r="AM4710">
        <v>89.785352098903104</v>
      </c>
      <c r="AN4710">
        <v>0.99999998419580005</v>
      </c>
    </row>
    <row r="4711" spans="1:40" x14ac:dyDescent="0.25">
      <c r="A4711" t="str">
        <f>"20190304164740513"</f>
        <v>20190304164740513</v>
      </c>
      <c r="B4711" t="str">
        <f>"1551689260504390"</f>
        <v>1551689260504390</v>
      </c>
      <c r="C4711" t="s">
        <v>40</v>
      </c>
      <c r="D4711">
        <v>4.4403249999999996</v>
      </c>
      <c r="E4711">
        <v>0.54712479999999997</v>
      </c>
      <c r="F4711" t="s">
        <v>41</v>
      </c>
      <c r="G4711">
        <v>-344.65300000000002</v>
      </c>
      <c r="H4711">
        <v>1.0251269999999999</v>
      </c>
      <c r="I4711">
        <v>17.830719999999999</v>
      </c>
      <c r="J4711">
        <v>-345.1515</v>
      </c>
      <c r="K4711">
        <v>1.111567</v>
      </c>
      <c r="L4711">
        <v>17.89883</v>
      </c>
      <c r="M4711">
        <v>0.99933280000000002</v>
      </c>
      <c r="N4711">
        <v>-1.392322E-2</v>
      </c>
      <c r="O4711">
        <v>-3.376494E-2</v>
      </c>
      <c r="P4711">
        <v>0.91467279999999995</v>
      </c>
      <c r="Q4711">
        <v>0.4023755</v>
      </c>
      <c r="R4711">
        <v>-3.8311699999999997E-2</v>
      </c>
      <c r="S4711">
        <v>3.4436040000000001</v>
      </c>
      <c r="T4711">
        <v>-0.40142879999999997</v>
      </c>
      <c r="U4711">
        <v>-0.35052489999999997</v>
      </c>
      <c r="V4711">
        <v>7.1181339999999999E-3</v>
      </c>
      <c r="W4711">
        <v>0.4150874</v>
      </c>
      <c r="X4711">
        <v>0.9097537</v>
      </c>
      <c r="Y4711">
        <v>6.7284460000000004E-2</v>
      </c>
      <c r="Z4711">
        <v>-9.2721679999999997E-4</v>
      </c>
      <c r="AA4711">
        <v>0.99773339999999999</v>
      </c>
      <c r="AB4711">
        <v>26</v>
      </c>
      <c r="AC4711">
        <v>0.49849999999997802</v>
      </c>
      <c r="AD4711">
        <v>-8.6439999999999795E-2</v>
      </c>
      <c r="AE4711">
        <v>-6.8110000000000698E-2</v>
      </c>
      <c r="AF4711">
        <v>4.9768697924085302E-2</v>
      </c>
      <c r="AG4711">
        <v>-8.6439999999999795E-2</v>
      </c>
      <c r="AH4711">
        <v>0.48616568566602703</v>
      </c>
      <c r="AI4711">
        <v>100.03045477802399</v>
      </c>
      <c r="AJ4711">
        <v>84.1550018352455</v>
      </c>
      <c r="AK4711">
        <v>0.496292122456298</v>
      </c>
      <c r="AL4711">
        <v>65.475179561123397</v>
      </c>
      <c r="AM4711">
        <v>89.551713047119094</v>
      </c>
      <c r="AN4711">
        <v>1.00000000606704</v>
      </c>
    </row>
    <row r="4712" spans="1:40" x14ac:dyDescent="0.25">
      <c r="A4712" t="str">
        <f>"20190304164740536"</f>
        <v>20190304164740536</v>
      </c>
      <c r="B4712" t="str">
        <f>"1551689260523910"</f>
        <v>1551689260523910</v>
      </c>
      <c r="C4712" t="s">
        <v>40</v>
      </c>
      <c r="D4712">
        <v>4.5301749999999998</v>
      </c>
      <c r="E4712">
        <v>0.54759099999999905</v>
      </c>
      <c r="F4712" t="s">
        <v>41</v>
      </c>
      <c r="G4712">
        <v>-344.42360000000002</v>
      </c>
      <c r="H4712">
        <v>1.026051</v>
      </c>
      <c r="I4712">
        <v>17.822150000000001</v>
      </c>
      <c r="J4712">
        <v>-344.899</v>
      </c>
      <c r="K4712">
        <v>1.1114889999999999</v>
      </c>
      <c r="L4712">
        <v>17.890689999999999</v>
      </c>
      <c r="M4712">
        <v>0.99934299999999998</v>
      </c>
      <c r="N4712">
        <v>-1.3920210000000001E-2</v>
      </c>
      <c r="O4712">
        <v>-3.3465910000000001E-2</v>
      </c>
      <c r="P4712">
        <v>0.91456850000000001</v>
      </c>
      <c r="Q4712">
        <v>0.4022056</v>
      </c>
      <c r="R4712">
        <v>-4.2372930000000003E-2</v>
      </c>
      <c r="S4712">
        <v>3.4426570000000001</v>
      </c>
      <c r="T4712">
        <v>-0.40455010000000002</v>
      </c>
      <c r="U4712">
        <v>-0.3623962</v>
      </c>
      <c r="V4712">
        <v>1.1533710000000001E-2</v>
      </c>
      <c r="W4712">
        <v>0.41491610000000001</v>
      </c>
      <c r="X4712">
        <v>0.9097866</v>
      </c>
      <c r="Y4712">
        <v>7.0980070000000006E-2</v>
      </c>
      <c r="Z4712">
        <v>-1.199414E-3</v>
      </c>
      <c r="AA4712">
        <v>0.99747699999999995</v>
      </c>
      <c r="AB4712">
        <v>26</v>
      </c>
      <c r="AC4712">
        <v>0.47539999999997901</v>
      </c>
      <c r="AD4712">
        <v>-8.5437999999999903E-2</v>
      </c>
      <c r="AE4712">
        <v>-6.8539999999998699E-2</v>
      </c>
      <c r="AF4712">
        <v>5.0977394933394003E-2</v>
      </c>
      <c r="AG4712">
        <v>-8.5437999999999903E-2</v>
      </c>
      <c r="AH4712">
        <v>0.46278469933066502</v>
      </c>
      <c r="AI4712">
        <v>100.398495547406</v>
      </c>
      <c r="AJ4712">
        <v>83.714006938468501</v>
      </c>
      <c r="AK4712">
        <v>0.47335824126423498</v>
      </c>
      <c r="AL4712">
        <v>65.485967693417805</v>
      </c>
      <c r="AM4712">
        <v>89.273678567686503</v>
      </c>
      <c r="AN4712">
        <v>1.00000002702256</v>
      </c>
    </row>
    <row r="4713" spans="1:40" x14ac:dyDescent="0.25">
      <c r="A4713" t="str">
        <f>"20190304164740558"</f>
        <v>20190304164740558</v>
      </c>
      <c r="B4713" t="str">
        <f>"1551689260554338"</f>
        <v>1551689260554338</v>
      </c>
      <c r="C4713" t="s">
        <v>40</v>
      </c>
      <c r="D4713">
        <v>4.359737</v>
      </c>
      <c r="E4713">
        <v>0.54769309999999904</v>
      </c>
      <c r="F4713" t="s">
        <v>41</v>
      </c>
      <c r="G4713">
        <v>-343.97859999999997</v>
      </c>
      <c r="H4713">
        <v>1.0031270000000001</v>
      </c>
      <c r="I4713">
        <v>17.78941</v>
      </c>
      <c r="J4713">
        <v>-344.64350000000002</v>
      </c>
      <c r="K4713">
        <v>1.11141</v>
      </c>
      <c r="L4713">
        <v>17.882390000000001</v>
      </c>
      <c r="M4713">
        <v>0.9993493</v>
      </c>
      <c r="N4713">
        <v>-1.3916919999999999E-2</v>
      </c>
      <c r="O4713">
        <v>-3.3280440000000001E-2</v>
      </c>
      <c r="P4713">
        <v>0.91417099999999996</v>
      </c>
      <c r="Q4713">
        <v>0.40248260000000002</v>
      </c>
      <c r="R4713">
        <v>-4.7953519999999999E-2</v>
      </c>
      <c r="S4713">
        <v>3.440887</v>
      </c>
      <c r="T4713">
        <v>-0.40515659999999998</v>
      </c>
      <c r="U4713">
        <v>-0.37853999999999999</v>
      </c>
      <c r="V4713">
        <v>1.7376719999999998E-2</v>
      </c>
      <c r="W4713">
        <v>0.41518680000000002</v>
      </c>
      <c r="X4713">
        <v>0.9095702</v>
      </c>
      <c r="Y4713">
        <v>7.580518E-2</v>
      </c>
      <c r="Z4713">
        <v>-1.5348569999999999E-3</v>
      </c>
      <c r="AA4713">
        <v>0.99712149999999999</v>
      </c>
      <c r="AB4713">
        <v>26</v>
      </c>
      <c r="AC4713">
        <v>0.66490000000004501</v>
      </c>
      <c r="AD4713">
        <v>-0.10828299999999901</v>
      </c>
      <c r="AE4713">
        <v>-9.2980000000000701E-2</v>
      </c>
      <c r="AF4713">
        <v>6.9003172556462294E-2</v>
      </c>
      <c r="AG4713">
        <v>-0.10828299999999901</v>
      </c>
      <c r="AH4713">
        <v>0.65069942137192505</v>
      </c>
      <c r="AI4713">
        <v>99.396284753549594</v>
      </c>
      <c r="AJ4713">
        <v>83.946713880228202</v>
      </c>
      <c r="AK4713">
        <v>0.66324684913357401</v>
      </c>
      <c r="AL4713">
        <v>65.468918994232396</v>
      </c>
      <c r="AM4713">
        <v>88.905536241510106</v>
      </c>
      <c r="AN4713">
        <v>0.99999998901011899</v>
      </c>
    </row>
    <row r="4714" spans="1:40" x14ac:dyDescent="0.25">
      <c r="A4714" t="str">
        <f>"20190304164740580"</f>
        <v>20190304164740580</v>
      </c>
      <c r="B4714" t="str">
        <f>"1551689260573862"</f>
        <v>1551689260573862</v>
      </c>
      <c r="C4714" t="s">
        <v>40</v>
      </c>
      <c r="D4714">
        <v>4.3189760000000001</v>
      </c>
      <c r="E4714">
        <v>0.54778669999999996</v>
      </c>
      <c r="F4714" t="s">
        <v>41</v>
      </c>
      <c r="G4714">
        <v>-343.74979999999999</v>
      </c>
      <c r="H4714">
        <v>1.004491</v>
      </c>
      <c r="I4714">
        <v>17.779199999999999</v>
      </c>
      <c r="J4714">
        <v>-344.3827</v>
      </c>
      <c r="K4714">
        <v>1.111337</v>
      </c>
      <c r="L4714">
        <v>17.873839999999898</v>
      </c>
      <c r="M4714">
        <v>0.99935249999999998</v>
      </c>
      <c r="N4714">
        <v>-1.3913780000000001E-2</v>
      </c>
      <c r="O4714">
        <v>-3.3186149999999998E-2</v>
      </c>
      <c r="P4714">
        <v>0.91378499999999996</v>
      </c>
      <c r="Q4714">
        <v>0.40290500000000001</v>
      </c>
      <c r="R4714">
        <v>-5.1624009999999998E-2</v>
      </c>
      <c r="S4714">
        <v>3.4422000000000001</v>
      </c>
      <c r="T4714">
        <v>-0.41183199999999998</v>
      </c>
      <c r="U4714">
        <v>-0.39630130000000002</v>
      </c>
      <c r="V4714">
        <v>2.1217980000000001E-2</v>
      </c>
      <c r="W4714">
        <v>0.4155993</v>
      </c>
      <c r="X4714">
        <v>0.90930029999999995</v>
      </c>
      <c r="Y4714">
        <v>8.0886109999999997E-2</v>
      </c>
      <c r="Z4714">
        <v>-1.8906459999999999E-3</v>
      </c>
      <c r="AA4714">
        <v>0.99672159999999999</v>
      </c>
      <c r="AB4714">
        <v>26</v>
      </c>
      <c r="AC4714">
        <v>0.63290000000000601</v>
      </c>
      <c r="AD4714">
        <v>-0.106846</v>
      </c>
      <c r="AE4714">
        <v>-9.4639999999998198E-2</v>
      </c>
      <c r="AF4714">
        <v>7.1586711143798998E-2</v>
      </c>
      <c r="AG4714">
        <v>-0.106846</v>
      </c>
      <c r="AH4714">
        <v>0.61845192709652996</v>
      </c>
      <c r="AI4714">
        <v>99.738108131071399</v>
      </c>
      <c r="AJ4714">
        <v>83.397313936886505</v>
      </c>
      <c r="AK4714">
        <v>0.63168307802077295</v>
      </c>
      <c r="AL4714">
        <v>65.442937287307899</v>
      </c>
      <c r="AM4714">
        <v>88.663279745482498</v>
      </c>
      <c r="AN4714">
        <v>1.0000000082079299</v>
      </c>
    </row>
    <row r="4715" spans="1:40" x14ac:dyDescent="0.25">
      <c r="A4715" t="str">
        <f>"20190304164740603"</f>
        <v>20190304164740603</v>
      </c>
      <c r="B4715" t="str">
        <f>"1551689260594354"</f>
        <v>1551689260594354</v>
      </c>
      <c r="C4715" t="s">
        <v>40</v>
      </c>
      <c r="D4715">
        <v>4.5229100000000004</v>
      </c>
      <c r="E4715">
        <v>0.54852080000000003</v>
      </c>
      <c r="F4715" t="s">
        <v>41</v>
      </c>
      <c r="G4715">
        <v>-343.5204</v>
      </c>
      <c r="H4715">
        <v>1.0074829999999999</v>
      </c>
      <c r="I4715">
        <v>17.77139</v>
      </c>
      <c r="J4715">
        <v>-344.13249999999999</v>
      </c>
      <c r="K4715">
        <v>1.111283</v>
      </c>
      <c r="L4715">
        <v>17.865570000000002</v>
      </c>
      <c r="M4715">
        <v>0.99935300000000005</v>
      </c>
      <c r="N4715">
        <v>-1.3910759999999999E-2</v>
      </c>
      <c r="O4715">
        <v>-3.3168469999999999E-2</v>
      </c>
      <c r="P4715">
        <v>0.91316810000000004</v>
      </c>
      <c r="Q4715">
        <v>0.40332620000000002</v>
      </c>
      <c r="R4715">
        <v>-5.8755620000000001E-2</v>
      </c>
      <c r="S4715">
        <v>3.4428100000000001</v>
      </c>
      <c r="T4715">
        <v>-0.41466619999999998</v>
      </c>
      <c r="U4715">
        <v>-0.4086304</v>
      </c>
      <c r="V4715">
        <v>2.8438390000000001E-2</v>
      </c>
      <c r="W4715">
        <v>0.41600949999999998</v>
      </c>
      <c r="X4715">
        <v>0.90891549999999999</v>
      </c>
      <c r="Y4715">
        <v>8.4371479999999999E-2</v>
      </c>
      <c r="Z4715">
        <v>-2.1308009999999999E-3</v>
      </c>
      <c r="AA4715">
        <v>0.99643210000000004</v>
      </c>
      <c r="AB4715">
        <v>26</v>
      </c>
      <c r="AC4715">
        <v>0.61209999999999798</v>
      </c>
      <c r="AD4715">
        <v>-0.1038</v>
      </c>
      <c r="AE4715">
        <v>-9.4180000000001401E-2</v>
      </c>
      <c r="AF4715">
        <v>7.1806569290445404E-2</v>
      </c>
      <c r="AG4715">
        <v>-0.1038</v>
      </c>
      <c r="AH4715">
        <v>0.59808561330465504</v>
      </c>
      <c r="AI4715">
        <v>99.776980006962006</v>
      </c>
      <c r="AJ4715">
        <v>83.153798893550501</v>
      </c>
      <c r="AK4715">
        <v>0.61125855759675796</v>
      </c>
      <c r="AL4715">
        <v>65.417094816661006</v>
      </c>
      <c r="AM4715">
        <v>88.207899049017499</v>
      </c>
      <c r="AN4715">
        <v>1.0000000161281399</v>
      </c>
    </row>
    <row r="4716" spans="1:40" x14ac:dyDescent="0.25">
      <c r="A4716" t="str">
        <f>"20190304164740615"</f>
        <v>20190304164740615</v>
      </c>
      <c r="B4716" t="str">
        <f>"1551689260604115"</f>
        <v>1551689260604115</v>
      </c>
      <c r="C4716" t="s">
        <v>40</v>
      </c>
      <c r="D4716">
        <v>4.4313750000000001</v>
      </c>
      <c r="E4716">
        <v>0.54852080000000003</v>
      </c>
      <c r="F4716" t="s">
        <v>41</v>
      </c>
      <c r="G4716">
        <v>-343.2921</v>
      </c>
      <c r="H4716">
        <v>1.009323</v>
      </c>
      <c r="I4716">
        <v>17.758479999999999</v>
      </c>
      <c r="J4716">
        <v>-343.98970000000003</v>
      </c>
      <c r="K4716">
        <v>1.111254</v>
      </c>
      <c r="L4716">
        <v>17.860810000000001</v>
      </c>
      <c r="M4716">
        <v>0.99935260000000004</v>
      </c>
      <c r="N4716">
        <v>-1.3909019999999999E-2</v>
      </c>
      <c r="O4716">
        <v>-3.3182980000000001E-2</v>
      </c>
      <c r="P4716">
        <v>0.91277070000000005</v>
      </c>
      <c r="Q4716">
        <v>0.40369139999999998</v>
      </c>
      <c r="R4716">
        <v>-6.2314269999999998E-2</v>
      </c>
      <c r="S4716">
        <v>3.4415589999999998</v>
      </c>
      <c r="T4716">
        <v>-0.41751309999999903</v>
      </c>
      <c r="U4716">
        <v>-0.43695070000000003</v>
      </c>
      <c r="V4716">
        <v>3.2022259999999997E-2</v>
      </c>
      <c r="W4716">
        <v>0.4163673</v>
      </c>
      <c r="X4716">
        <v>0.90863249999999995</v>
      </c>
      <c r="Y4716">
        <v>9.2403959999999993E-2</v>
      </c>
      <c r="Z4716">
        <v>-2.6764110000000001E-3</v>
      </c>
      <c r="AA4716">
        <v>0.99571799999999999</v>
      </c>
      <c r="AB4716">
        <v>26</v>
      </c>
      <c r="AC4716">
        <v>0.69760000000002198</v>
      </c>
      <c r="AD4716">
        <v>-0.10193099999999999</v>
      </c>
      <c r="AE4716">
        <v>-0.102330000000002</v>
      </c>
      <c r="AF4716">
        <v>7.7503108205525403E-2</v>
      </c>
      <c r="AG4716">
        <v>-0.10193099999999999</v>
      </c>
      <c r="AH4716">
        <v>0.68626843708340501</v>
      </c>
      <c r="AI4716">
        <v>98.395737026376807</v>
      </c>
      <c r="AJ4716">
        <v>83.556653218884904</v>
      </c>
      <c r="AK4716">
        <v>0.698112475378729</v>
      </c>
      <c r="AL4716">
        <v>65.394550849568603</v>
      </c>
      <c r="AM4716">
        <v>87.981602769739695</v>
      </c>
      <c r="AN4716">
        <v>1.0000000868505201</v>
      </c>
    </row>
    <row r="4717" spans="1:40" x14ac:dyDescent="0.25">
      <c r="A4717" t="str">
        <f>"20190304164740629"</f>
        <v>20190304164740629</v>
      </c>
      <c r="B4717" t="str">
        <f>"1551689260623635"</f>
        <v>1551689260623635</v>
      </c>
      <c r="C4717" t="s">
        <v>40</v>
      </c>
      <c r="D4717">
        <v>4.381087</v>
      </c>
      <c r="E4717">
        <v>0.57422099999999998</v>
      </c>
      <c r="F4717" t="s">
        <v>41</v>
      </c>
      <c r="G4717">
        <v>-343.06970000000001</v>
      </c>
      <c r="H4717">
        <v>0.99991019999999997</v>
      </c>
      <c r="I4717">
        <v>17.740629999999999</v>
      </c>
      <c r="J4717">
        <v>-343.83100000000002</v>
      </c>
      <c r="K4717">
        <v>1.1112280000000001</v>
      </c>
      <c r="L4717">
        <v>17.855529999999899</v>
      </c>
      <c r="M4717">
        <v>0.99935090000000004</v>
      </c>
      <c r="N4717">
        <v>-1.39071E-2</v>
      </c>
      <c r="O4717">
        <v>-3.3233600000000002E-2</v>
      </c>
      <c r="P4717">
        <v>0.91236189999999995</v>
      </c>
      <c r="Q4717">
        <v>0.40398289999999998</v>
      </c>
      <c r="R4717">
        <v>-6.628444E-2</v>
      </c>
      <c r="S4717">
        <v>3.4402469999999998</v>
      </c>
      <c r="T4717">
        <v>-0.4163443</v>
      </c>
      <c r="U4717">
        <v>-0.44805909999999899</v>
      </c>
      <c r="V4717">
        <v>3.5984049999999997E-2</v>
      </c>
      <c r="W4717">
        <v>0.41665029999999997</v>
      </c>
      <c r="X4717">
        <v>0.90835440000000001</v>
      </c>
      <c r="Y4717">
        <v>9.5541109999999999E-2</v>
      </c>
      <c r="Z4717">
        <v>-2.877236E-3</v>
      </c>
      <c r="AA4717">
        <v>0.99542140000000001</v>
      </c>
      <c r="AB4717">
        <v>25</v>
      </c>
      <c r="AC4717">
        <v>0.76129999999994802</v>
      </c>
      <c r="AD4717">
        <v>-0.11131779999999999</v>
      </c>
      <c r="AE4717">
        <v>-0.114899999999998</v>
      </c>
      <c r="AF4717">
        <v>8.7700024052189698E-2</v>
      </c>
      <c r="AG4717">
        <v>-0.11131779999999999</v>
      </c>
      <c r="AH4717">
        <v>0.74904012546265197</v>
      </c>
      <c r="AI4717">
        <v>98.396551529475801</v>
      </c>
      <c r="AJ4717">
        <v>83.322030260572703</v>
      </c>
      <c r="AK4717">
        <v>0.76232805036198203</v>
      </c>
      <c r="AL4717">
        <v>65.376713724134703</v>
      </c>
      <c r="AM4717">
        <v>87.731439725061904</v>
      </c>
      <c r="AN4717">
        <v>1.0000000201719199</v>
      </c>
    </row>
    <row r="4718" spans="1:40" x14ac:dyDescent="0.25">
      <c r="A4718" t="str">
        <f>"20190304164740642"</f>
        <v>20190304164740642</v>
      </c>
      <c r="B4718" t="str">
        <f>"1551689260634371"</f>
        <v>1551689260634371</v>
      </c>
      <c r="C4718" t="s">
        <v>40</v>
      </c>
      <c r="D4718">
        <v>4.321091</v>
      </c>
      <c r="E4718">
        <v>0.5753085</v>
      </c>
      <c r="F4718" t="s">
        <v>41</v>
      </c>
      <c r="G4718">
        <v>-343.0684</v>
      </c>
      <c r="H4718">
        <v>1.0036750000000001</v>
      </c>
      <c r="I4718">
        <v>17.709109999999999</v>
      </c>
      <c r="J4718">
        <v>-343.68349999999998</v>
      </c>
      <c r="K4718">
        <v>1.111205</v>
      </c>
      <c r="L4718">
        <v>17.850560000000002</v>
      </c>
      <c r="M4718">
        <v>0.99934860000000003</v>
      </c>
      <c r="N4718">
        <v>-1.390535E-2</v>
      </c>
      <c r="O4718">
        <v>-3.3302909999999998E-2</v>
      </c>
      <c r="P4718">
        <v>0.91198020000000002</v>
      </c>
      <c r="Q4718">
        <v>0.4041207</v>
      </c>
      <c r="R4718">
        <v>-7.0561890000000002E-2</v>
      </c>
      <c r="S4718">
        <v>3.4558719999999998</v>
      </c>
      <c r="T4718">
        <v>-0.48736020000000002</v>
      </c>
      <c r="U4718">
        <v>-0.66192629999999997</v>
      </c>
      <c r="V4718">
        <v>4.02333E-2</v>
      </c>
      <c r="W4718">
        <v>0.4167807</v>
      </c>
      <c r="X4718">
        <v>0.90811620000000004</v>
      </c>
      <c r="Y4718">
        <v>0.153941299999999</v>
      </c>
      <c r="Z4718">
        <v>-7.6207540000000004E-3</v>
      </c>
      <c r="AA4718">
        <v>0.9880506</v>
      </c>
      <c r="AB4718">
        <v>25</v>
      </c>
      <c r="AC4718">
        <v>0.61509999999998399</v>
      </c>
      <c r="AD4718">
        <v>-0.107529999999999</v>
      </c>
      <c r="AE4718">
        <v>-0.14145000000000199</v>
      </c>
      <c r="AF4718">
        <v>0.11747508644059</v>
      </c>
      <c r="AG4718">
        <v>-0.107529999999999</v>
      </c>
      <c r="AH4718">
        <v>0.60199632260650504</v>
      </c>
      <c r="AI4718">
        <v>99.943783196113401</v>
      </c>
      <c r="AJ4718">
        <v>78.957923899534705</v>
      </c>
      <c r="AK4718">
        <v>0.62270592518939405</v>
      </c>
      <c r="AL4718">
        <v>65.368492926238801</v>
      </c>
      <c r="AM4718">
        <v>87.463219131893993</v>
      </c>
      <c r="AN4718">
        <v>0.99999995151190801</v>
      </c>
    </row>
    <row r="4719" spans="1:40" x14ac:dyDescent="0.25">
      <c r="A4719" t="str">
        <f>"20190304164740661"</f>
        <v>20190304164740661</v>
      </c>
      <c r="B4719" t="str">
        <f>"1551689260653890"</f>
        <v>1551689260653890</v>
      </c>
      <c r="C4719" t="s">
        <v>40</v>
      </c>
      <c r="D4719">
        <v>4.3887210000000003</v>
      </c>
      <c r="E4719">
        <v>0.57562150000000001</v>
      </c>
      <c r="F4719" t="s">
        <v>41</v>
      </c>
      <c r="G4719">
        <v>-342.84399999999999</v>
      </c>
      <c r="H4719">
        <v>0.99839849999999997</v>
      </c>
      <c r="I4719">
        <v>17.682749999999999</v>
      </c>
      <c r="J4719">
        <v>-343.47070000000002</v>
      </c>
      <c r="K4719">
        <v>1.111167</v>
      </c>
      <c r="L4719">
        <v>17.843319999999999</v>
      </c>
      <c r="M4719">
        <v>0.99934409999999896</v>
      </c>
      <c r="N4719">
        <v>-1.3902899999999999E-2</v>
      </c>
      <c r="O4719">
        <v>-3.3439429999999999E-2</v>
      </c>
      <c r="P4719">
        <v>0.91107800000000005</v>
      </c>
      <c r="Q4719">
        <v>0.40466200000000002</v>
      </c>
      <c r="R4719">
        <v>-7.8648369999999995E-2</v>
      </c>
      <c r="S4719">
        <v>3.4412539999999998</v>
      </c>
      <c r="T4719">
        <v>-0.46237850000000003</v>
      </c>
      <c r="U4719">
        <v>-0.68704219999999905</v>
      </c>
      <c r="V4719">
        <v>4.8258830000000003E-2</v>
      </c>
      <c r="W4719">
        <v>0.41730479999999998</v>
      </c>
      <c r="X4719">
        <v>0.90748439999999997</v>
      </c>
      <c r="Y4719">
        <v>0.161567299999999</v>
      </c>
      <c r="Z4719">
        <v>-7.8746279999999998E-3</v>
      </c>
      <c r="AA4719">
        <v>0.98683030000000005</v>
      </c>
      <c r="AB4719">
        <v>25</v>
      </c>
      <c r="AC4719">
        <v>0.62670000000002701</v>
      </c>
      <c r="AD4719">
        <v>-0.11276849999999899</v>
      </c>
      <c r="AE4719">
        <v>-0.16057000000000299</v>
      </c>
      <c r="AF4719">
        <v>0.135407464285072</v>
      </c>
      <c r="AG4719">
        <v>-0.11276849999999899</v>
      </c>
      <c r="AH4719">
        <v>0.61309124671233595</v>
      </c>
      <c r="AI4719">
        <v>100.182101721564</v>
      </c>
      <c r="AJ4719">
        <v>77.545578652354294</v>
      </c>
      <c r="AK4719">
        <v>0.63791284104621204</v>
      </c>
      <c r="AL4719">
        <v>65.335457128158495</v>
      </c>
      <c r="AM4719">
        <v>86.955952936614807</v>
      </c>
      <c r="AN4719">
        <v>1.0000000735096799</v>
      </c>
    </row>
    <row r="4720" spans="1:40" x14ac:dyDescent="0.25">
      <c r="A4720" t="str">
        <f>"20190304164740683"</f>
        <v>20190304164740683</v>
      </c>
      <c r="B4720" t="str">
        <f>"1551689260674387"</f>
        <v>1551689260674387</v>
      </c>
      <c r="C4720" t="s">
        <v>40</v>
      </c>
      <c r="D4720">
        <v>4.3660209999999999</v>
      </c>
      <c r="E4720">
        <v>0.57570889999999997</v>
      </c>
      <c r="F4720" t="s">
        <v>41</v>
      </c>
      <c r="G4720">
        <v>-342.61829999999998</v>
      </c>
      <c r="H4720">
        <v>0.99630419999999997</v>
      </c>
      <c r="I4720">
        <v>17.665320000000001</v>
      </c>
      <c r="J4720">
        <v>-343.22770000000003</v>
      </c>
      <c r="K4720">
        <v>1.1111260000000001</v>
      </c>
      <c r="L4720">
        <v>17.834989999999902</v>
      </c>
      <c r="M4720">
        <v>0.99933720000000004</v>
      </c>
      <c r="N4720">
        <v>-1.39002E-2</v>
      </c>
      <c r="O4720">
        <v>-3.364822E-2</v>
      </c>
      <c r="P4720">
        <v>0.91036870000000003</v>
      </c>
      <c r="Q4720">
        <v>0.40428530000000001</v>
      </c>
      <c r="R4720">
        <v>-8.8218660000000004E-2</v>
      </c>
      <c r="S4720">
        <v>3.4365540000000001</v>
      </c>
      <c r="T4720">
        <v>-0.46306819999999999</v>
      </c>
      <c r="U4720">
        <v>-0.717315699999999</v>
      </c>
      <c r="V4720">
        <v>5.7703520000000001E-2</v>
      </c>
      <c r="W4720">
        <v>0.41691129999999998</v>
      </c>
      <c r="X4720">
        <v>0.90711370000000002</v>
      </c>
      <c r="Y4720">
        <v>0.1698769</v>
      </c>
      <c r="Z4720">
        <v>-8.4726290000000006E-3</v>
      </c>
      <c r="AA4720">
        <v>0.98542890000000005</v>
      </c>
      <c r="AB4720">
        <v>25</v>
      </c>
      <c r="AC4720">
        <v>0.60940000000005001</v>
      </c>
      <c r="AD4720">
        <v>-0.1148218</v>
      </c>
      <c r="AE4720">
        <v>-0.16966999999999599</v>
      </c>
      <c r="AF4720">
        <v>0.14431201689335599</v>
      </c>
      <c r="AG4720">
        <v>-0.1148218</v>
      </c>
      <c r="AH4720">
        <v>0.595155756661647</v>
      </c>
      <c r="AI4720">
        <v>100.619330455528</v>
      </c>
      <c r="AJ4720">
        <v>76.370110669825195</v>
      </c>
      <c r="AK4720">
        <v>0.62307333329437797</v>
      </c>
      <c r="AL4720">
        <v>65.360261966197001</v>
      </c>
      <c r="AM4720">
        <v>86.360192257415093</v>
      </c>
      <c r="AN4720">
        <v>0.99999999650788496</v>
      </c>
    </row>
    <row r="4721" spans="1:40" x14ac:dyDescent="0.25">
      <c r="A4721" t="str">
        <f>"20190304164740696"</f>
        <v>20190304164740696</v>
      </c>
      <c r="B4721" t="str">
        <f>"1551689260684147"</f>
        <v>1551689260684147</v>
      </c>
      <c r="C4721" t="s">
        <v>40</v>
      </c>
      <c r="D4721">
        <v>4.4389399999999997</v>
      </c>
      <c r="E4721">
        <v>0.5754515</v>
      </c>
      <c r="F4721" t="s">
        <v>41</v>
      </c>
      <c r="G4721">
        <v>-342.39109999999999</v>
      </c>
      <c r="H4721">
        <v>0.99769249999999998</v>
      </c>
      <c r="I4721">
        <v>17.65203</v>
      </c>
      <c r="J4721">
        <v>-343.07369999999997</v>
      </c>
      <c r="K4721">
        <v>1.111097</v>
      </c>
      <c r="L4721">
        <v>17.829650000000001</v>
      </c>
      <c r="M4721">
        <v>0.999332</v>
      </c>
      <c r="N4721">
        <v>-1.3898529999999999E-2</v>
      </c>
      <c r="O4721">
        <v>-3.3801779999999997E-2</v>
      </c>
      <c r="P4721">
        <v>0.90974619999999995</v>
      </c>
      <c r="Q4721">
        <v>0.40462569999999998</v>
      </c>
      <c r="R4721">
        <v>-9.2952090000000001E-2</v>
      </c>
      <c r="S4721">
        <v>3.42923</v>
      </c>
      <c r="T4721">
        <v>-0.46504839999999997</v>
      </c>
      <c r="U4721">
        <v>-0.74948119999999996</v>
      </c>
      <c r="V4721">
        <v>6.2344780000000002E-2</v>
      </c>
      <c r="W4721">
        <v>0.41723759999999999</v>
      </c>
      <c r="X4721">
        <v>0.90665640000000003</v>
      </c>
      <c r="Y4721">
        <v>0.1788787</v>
      </c>
      <c r="Z4721">
        <v>-9.1557289999999996E-3</v>
      </c>
      <c r="AA4721">
        <v>0.98382849999999999</v>
      </c>
      <c r="AB4721">
        <v>25</v>
      </c>
      <c r="AC4721">
        <v>0.682599999999979</v>
      </c>
      <c r="AD4721">
        <v>-0.11340450000000001</v>
      </c>
      <c r="AE4721">
        <v>-0.177620000000001</v>
      </c>
      <c r="AF4721">
        <v>0.15055128044510299</v>
      </c>
      <c r="AG4721">
        <v>-0.11340450000000001</v>
      </c>
      <c r="AH4721">
        <v>0.67087170614414204</v>
      </c>
      <c r="AI4721">
        <v>99.3659459228668</v>
      </c>
      <c r="AJ4721">
        <v>77.351718061545597</v>
      </c>
      <c r="AK4721">
        <v>0.69684655037437204</v>
      </c>
      <c r="AL4721">
        <v>65.339690808021601</v>
      </c>
      <c r="AM4721">
        <v>86.066339369007693</v>
      </c>
      <c r="AN4721">
        <v>0.99999995705398304</v>
      </c>
    </row>
    <row r="4722" spans="1:40" x14ac:dyDescent="0.25">
      <c r="A4722" t="str">
        <f>"20190304164740715"</f>
        <v>20190304164740715</v>
      </c>
      <c r="B4722" t="str">
        <f>"1551689260703667"</f>
        <v>1551689260703667</v>
      </c>
      <c r="C4722" t="s">
        <v>40</v>
      </c>
      <c r="D4722">
        <v>4.4138570000000001</v>
      </c>
      <c r="E4722">
        <v>0.57512450000000004</v>
      </c>
      <c r="F4722" t="s">
        <v>41</v>
      </c>
      <c r="G4722">
        <v>-342.1696</v>
      </c>
      <c r="H4722">
        <v>0.98798889999999995</v>
      </c>
      <c r="I4722">
        <v>17.628170000000001</v>
      </c>
      <c r="J4722">
        <v>-342.8596</v>
      </c>
      <c r="K4722">
        <v>1.1110610000000001</v>
      </c>
      <c r="L4722">
        <v>17.82208</v>
      </c>
      <c r="M4722">
        <v>0.99932370000000004</v>
      </c>
      <c r="N4722">
        <v>-1.389638E-2</v>
      </c>
      <c r="O4722">
        <v>-3.4047130000000002E-2</v>
      </c>
      <c r="P4722">
        <v>0.90867180000000003</v>
      </c>
      <c r="Q4722">
        <v>0.40449109999999999</v>
      </c>
      <c r="R4722">
        <v>-0.1034549</v>
      </c>
      <c r="S4722">
        <v>3.427155</v>
      </c>
      <c r="T4722">
        <v>-0.46666649999999998</v>
      </c>
      <c r="U4722">
        <v>-0.76354979999999995</v>
      </c>
      <c r="V4722">
        <v>7.2691149999999996E-2</v>
      </c>
      <c r="W4722">
        <v>0.41707939999999999</v>
      </c>
      <c r="X4722">
        <v>0.9059585</v>
      </c>
      <c r="Y4722">
        <v>0.18256739999999999</v>
      </c>
      <c r="Z4722">
        <v>-9.4263390000000006E-3</v>
      </c>
      <c r="AA4722">
        <v>0.98314820000000003</v>
      </c>
      <c r="AB4722">
        <v>25</v>
      </c>
      <c r="AC4722">
        <v>0.68999999999999695</v>
      </c>
      <c r="AD4722">
        <v>-0.1230721</v>
      </c>
      <c r="AE4722">
        <v>-0.193909999999998</v>
      </c>
      <c r="AF4722">
        <v>0.16542512332172399</v>
      </c>
      <c r="AG4722">
        <v>-0.1230721</v>
      </c>
      <c r="AH4722">
        <v>0.67626264315864604</v>
      </c>
      <c r="AI4722">
        <v>100.024978779897</v>
      </c>
      <c r="AJ4722">
        <v>76.254420052384603</v>
      </c>
      <c r="AK4722">
        <v>0.70699602244732396</v>
      </c>
      <c r="AL4722">
        <v>65.349665803235695</v>
      </c>
      <c r="AM4722">
        <v>85.412601465677099</v>
      </c>
      <c r="AN4722">
        <v>1.0000000164574601</v>
      </c>
    </row>
    <row r="4723" spans="1:40" x14ac:dyDescent="0.25">
      <c r="A4723" t="str">
        <f>"20190304164740737"</f>
        <v>20190304164740737</v>
      </c>
      <c r="B4723" t="str">
        <f>"1551689260733925"</f>
        <v>1551689260733925</v>
      </c>
      <c r="C4723" t="s">
        <v>40</v>
      </c>
      <c r="D4723">
        <v>4.3811920000000004</v>
      </c>
      <c r="E4723">
        <v>0.57489599999999996</v>
      </c>
      <c r="F4723" t="s">
        <v>41</v>
      </c>
      <c r="G4723">
        <v>-341.94490000000002</v>
      </c>
      <c r="H4723">
        <v>0.98520609999999997</v>
      </c>
      <c r="I4723">
        <v>17.60905</v>
      </c>
      <c r="J4723">
        <v>-342.60829999999999</v>
      </c>
      <c r="K4723">
        <v>1.111022</v>
      </c>
      <c r="L4723">
        <v>17.813140000000001</v>
      </c>
      <c r="M4723">
        <v>0.99931239999999999</v>
      </c>
      <c r="N4723">
        <v>-1.38937E-2</v>
      </c>
      <c r="O4723">
        <v>-3.4374639999999998E-2</v>
      </c>
      <c r="P4723">
        <v>0.90796940000000004</v>
      </c>
      <c r="Q4723">
        <v>0.40332590000000001</v>
      </c>
      <c r="R4723">
        <v>-0.1136646</v>
      </c>
      <c r="S4723">
        <v>3.4204409999999998</v>
      </c>
      <c r="T4723">
        <v>-0.47061930000000002</v>
      </c>
      <c r="U4723">
        <v>-0.79534910000000003</v>
      </c>
      <c r="V4723">
        <v>8.2651730000000007E-2</v>
      </c>
      <c r="W4723">
        <v>0.41589549999999997</v>
      </c>
      <c r="X4723">
        <v>0.90564880000000003</v>
      </c>
      <c r="Y4723">
        <v>0.19122739999999999</v>
      </c>
      <c r="Z4723">
        <v>-1.010523E-2</v>
      </c>
      <c r="AA4723">
        <v>0.98149370000000002</v>
      </c>
      <c r="AB4723">
        <v>25</v>
      </c>
      <c r="AC4723">
        <v>0.66339999999996702</v>
      </c>
      <c r="AD4723">
        <v>-0.12581589999999901</v>
      </c>
      <c r="AE4723">
        <v>-0.20408999999999999</v>
      </c>
      <c r="AF4723">
        <v>0.17539966107805199</v>
      </c>
      <c r="AG4723">
        <v>-0.12581589999999901</v>
      </c>
      <c r="AH4723">
        <v>0.64870849868723701</v>
      </c>
      <c r="AI4723">
        <v>100.604447845642</v>
      </c>
      <c r="AJ4723">
        <v>74.869980926329305</v>
      </c>
      <c r="AK4723">
        <v>0.68367930937549504</v>
      </c>
      <c r="AL4723">
        <v>65.424278579462893</v>
      </c>
      <c r="AM4723">
        <v>84.7854915940203</v>
      </c>
      <c r="AN4723">
        <v>1.0000000621668299</v>
      </c>
    </row>
    <row r="4724" spans="1:40" x14ac:dyDescent="0.25">
      <c r="A4724" t="str">
        <f>"20190304164740752"</f>
        <v>20190304164740752</v>
      </c>
      <c r="B4724" t="str">
        <f>"1551689260744659"</f>
        <v>1551689260744659</v>
      </c>
      <c r="C4724" t="s">
        <v>40</v>
      </c>
      <c r="D4724">
        <v>4.3931019999999998</v>
      </c>
      <c r="E4724">
        <v>0.57484139999999995</v>
      </c>
      <c r="F4724" t="s">
        <v>41</v>
      </c>
      <c r="G4724">
        <v>-341.71850000000001</v>
      </c>
      <c r="H4724">
        <v>0.98672349999999998</v>
      </c>
      <c r="I4724">
        <v>17.59704</v>
      </c>
      <c r="J4724">
        <v>-342.44420000000002</v>
      </c>
      <c r="K4724">
        <v>1.1110059999999999</v>
      </c>
      <c r="L4724">
        <v>17.807220000000001</v>
      </c>
      <c r="M4724">
        <v>0.99930469999999905</v>
      </c>
      <c r="N4724">
        <v>-1.389192E-2</v>
      </c>
      <c r="O4724">
        <v>-3.4605650000000002E-2</v>
      </c>
      <c r="P4724">
        <v>0.90781690000000004</v>
      </c>
      <c r="Q4724">
        <v>0.40226400000000001</v>
      </c>
      <c r="R4724">
        <v>-0.1185441</v>
      </c>
      <c r="S4724">
        <v>3.4121700000000001</v>
      </c>
      <c r="T4724">
        <v>-0.4765992</v>
      </c>
      <c r="U4724">
        <v>-0.82769780000000004</v>
      </c>
      <c r="V4724">
        <v>8.7335650000000001E-2</v>
      </c>
      <c r="W4724">
        <v>0.41482720000000001</v>
      </c>
      <c r="X4724">
        <v>0.90569909999999998</v>
      </c>
      <c r="Y4724">
        <v>0.20019300000000001</v>
      </c>
      <c r="Z4724">
        <v>-1.0870609999999999E-2</v>
      </c>
      <c r="AA4724">
        <v>0.97969620000000002</v>
      </c>
      <c r="AB4724">
        <v>25</v>
      </c>
      <c r="AC4724">
        <v>0.725700000000017</v>
      </c>
      <c r="AD4724">
        <v>-0.124282499999999</v>
      </c>
      <c r="AE4724">
        <v>-0.210180000000001</v>
      </c>
      <c r="AF4724">
        <v>0.18006581353339501</v>
      </c>
      <c r="AG4724">
        <v>-0.124282499999999</v>
      </c>
      <c r="AH4724">
        <v>0.71323929579189005</v>
      </c>
      <c r="AI4724">
        <v>99.589550937838496</v>
      </c>
      <c r="AJ4724">
        <v>75.831069622197504</v>
      </c>
      <c r="AK4724">
        <v>0.74604298138338199</v>
      </c>
      <c r="AL4724">
        <v>65.491564839412703</v>
      </c>
      <c r="AM4724">
        <v>84.492055654724695</v>
      </c>
      <c r="AN4724">
        <v>0.99999999068078604</v>
      </c>
    </row>
    <row r="4725" spans="1:40" x14ac:dyDescent="0.25">
      <c r="A4725" t="str">
        <f>"20190304164740771"</f>
        <v>20190304164740771</v>
      </c>
      <c r="B4725" t="str">
        <f>"1551689260764688"</f>
        <v>1551689260764688</v>
      </c>
      <c r="C4725" t="s">
        <v>40</v>
      </c>
      <c r="D4725">
        <v>4.4231040000000004</v>
      </c>
      <c r="E4725">
        <v>0.57464219999999999</v>
      </c>
      <c r="F4725" t="s">
        <v>41</v>
      </c>
      <c r="G4725">
        <v>-341.70850000000002</v>
      </c>
      <c r="H4725">
        <v>1.007436</v>
      </c>
      <c r="I4725">
        <v>17.624919999999999</v>
      </c>
      <c r="J4725">
        <v>-342.22199999999998</v>
      </c>
      <c r="K4725">
        <v>1.1109849999999999</v>
      </c>
      <c r="L4725">
        <v>17.799099999999999</v>
      </c>
      <c r="M4725">
        <v>0.99929310000000005</v>
      </c>
      <c r="N4725">
        <v>-1.3889500000000001E-2</v>
      </c>
      <c r="O4725">
        <v>-3.4933489999999998E-2</v>
      </c>
      <c r="P4725">
        <v>0.90758970000000005</v>
      </c>
      <c r="Q4725">
        <v>0.3998215</v>
      </c>
      <c r="R4725">
        <v>-0.12815489999999999</v>
      </c>
      <c r="S4725">
        <v>3.4070130000000001</v>
      </c>
      <c r="T4725">
        <v>-0.47957830000000001</v>
      </c>
      <c r="U4725">
        <v>-0.84307860000000001</v>
      </c>
      <c r="V4725">
        <v>9.6657179999999995E-2</v>
      </c>
      <c r="W4725">
        <v>0.41237560000000001</v>
      </c>
      <c r="X4725">
        <v>0.90587189999999995</v>
      </c>
      <c r="Y4725">
        <v>0.20431859999999999</v>
      </c>
      <c r="Z4725">
        <v>-1.1208299999999999E-2</v>
      </c>
      <c r="AA4725">
        <v>0.9788403</v>
      </c>
      <c r="AB4725">
        <v>25</v>
      </c>
      <c r="AC4725">
        <v>0.51349999999996498</v>
      </c>
      <c r="AD4725">
        <v>-0.103549</v>
      </c>
      <c r="AE4725">
        <v>-0.174179999999999</v>
      </c>
      <c r="AF4725">
        <v>0.15064002765153001</v>
      </c>
      <c r="AG4725">
        <v>-0.103549</v>
      </c>
      <c r="AH4725">
        <v>0.50100123965829801</v>
      </c>
      <c r="AI4725">
        <v>101.195874775712</v>
      </c>
      <c r="AJ4725">
        <v>73.265125814962005</v>
      </c>
      <c r="AK4725">
        <v>0.53330765555259496</v>
      </c>
      <c r="AL4725">
        <v>65.645847988525901</v>
      </c>
      <c r="AM4725">
        <v>83.909542937548395</v>
      </c>
      <c r="AN4725">
        <v>1.00000007256525</v>
      </c>
    </row>
    <row r="4726" spans="1:40" x14ac:dyDescent="0.25">
      <c r="A4726" t="str">
        <f>"20190304164740793"</f>
        <v>20190304164740793</v>
      </c>
      <c r="B4726" t="str">
        <f>"1551689260784208"</f>
        <v>1551689260784208</v>
      </c>
      <c r="C4726" t="s">
        <v>40</v>
      </c>
      <c r="D4726">
        <v>4.4475989999999896</v>
      </c>
      <c r="E4726">
        <v>0.57449289999999997</v>
      </c>
      <c r="F4726" t="s">
        <v>41</v>
      </c>
      <c r="G4726">
        <v>-341.48439999999999</v>
      </c>
      <c r="H4726">
        <v>1.004883</v>
      </c>
      <c r="I4726">
        <v>17.609159999999999</v>
      </c>
      <c r="J4726">
        <v>-341.9742</v>
      </c>
      <c r="K4726">
        <v>1.1109770000000001</v>
      </c>
      <c r="L4726">
        <v>17.790009999999999</v>
      </c>
      <c r="M4726">
        <v>0.9992801</v>
      </c>
      <c r="N4726">
        <v>-1.388678E-2</v>
      </c>
      <c r="O4726">
        <v>-3.5308260000000001E-2</v>
      </c>
      <c r="P4726">
        <v>0.90709139999999999</v>
      </c>
      <c r="Q4726">
        <v>0.39790439999999999</v>
      </c>
      <c r="R4726">
        <v>-0.137322</v>
      </c>
      <c r="S4726">
        <v>3.3973689999999999</v>
      </c>
      <c r="T4726">
        <v>-0.48873840000000002</v>
      </c>
      <c r="U4726">
        <v>-0.87380979999999997</v>
      </c>
      <c r="V4726">
        <v>0.1054939</v>
      </c>
      <c r="W4726">
        <v>0.41044799999999998</v>
      </c>
      <c r="X4726">
        <v>0.90576120000000004</v>
      </c>
      <c r="Y4726">
        <v>0.21275740000000001</v>
      </c>
      <c r="Z4726">
        <v>-1.200732E-2</v>
      </c>
      <c r="AA4726">
        <v>0.97703130000000005</v>
      </c>
      <c r="AB4726">
        <v>25</v>
      </c>
      <c r="AC4726">
        <v>0.48980000000000201</v>
      </c>
      <c r="AD4726">
        <v>-0.10609399999999999</v>
      </c>
      <c r="AE4726">
        <v>-0.18085000000000301</v>
      </c>
      <c r="AF4726">
        <v>0.15696074506395799</v>
      </c>
      <c r="AG4726">
        <v>-0.10609399999999999</v>
      </c>
      <c r="AH4726">
        <v>0.47621789484559701</v>
      </c>
      <c r="AI4726">
        <v>101.94688703967699</v>
      </c>
      <c r="AJ4726">
        <v>71.757853171983498</v>
      </c>
      <c r="AK4726">
        <v>0.51251936129106901</v>
      </c>
      <c r="AL4726">
        <v>65.7670178227185</v>
      </c>
      <c r="AM4726">
        <v>83.356698738366703</v>
      </c>
      <c r="AN4726">
        <v>0.99999993753332295</v>
      </c>
    </row>
    <row r="4727" spans="1:40" x14ac:dyDescent="0.25">
      <c r="A4727" t="str">
        <f>"20190304164740806"</f>
        <v>20190304164740806</v>
      </c>
      <c r="B4727" t="str">
        <f>"1551689260793968"</f>
        <v>1551689260793968</v>
      </c>
      <c r="C4727" t="s">
        <v>40</v>
      </c>
      <c r="D4727">
        <v>4.4857490000000002</v>
      </c>
      <c r="E4727">
        <v>0.57429529999999995</v>
      </c>
      <c r="F4727" t="s">
        <v>41</v>
      </c>
      <c r="G4727">
        <v>-341.25839999999999</v>
      </c>
      <c r="H4727">
        <v>1.0065770000000001</v>
      </c>
      <c r="I4727">
        <v>17.599339999999899</v>
      </c>
      <c r="J4727">
        <v>-341.82870000000003</v>
      </c>
      <c r="K4727">
        <v>1.1109800000000001</v>
      </c>
      <c r="L4727">
        <v>17.784610000000001</v>
      </c>
      <c r="M4727">
        <v>0.99927239999999995</v>
      </c>
      <c r="N4727">
        <v>-1.388519E-2</v>
      </c>
      <c r="O4727">
        <v>-3.5524769999999997E-2</v>
      </c>
      <c r="P4727">
        <v>0.90655569999999996</v>
      </c>
      <c r="Q4727">
        <v>0.39757100000000001</v>
      </c>
      <c r="R4727">
        <v>-0.14175450000000001</v>
      </c>
      <c r="S4727">
        <v>3.3875120000000001</v>
      </c>
      <c r="T4727">
        <v>-0.49410219999999999</v>
      </c>
      <c r="U4727">
        <v>-0.9017944</v>
      </c>
      <c r="V4727">
        <v>0.1097408</v>
      </c>
      <c r="W4727">
        <v>0.41010619999999998</v>
      </c>
      <c r="X4727">
        <v>0.90541139999999998</v>
      </c>
      <c r="Y4727">
        <v>0.2206466</v>
      </c>
      <c r="Z4727">
        <v>-1.272617E-2</v>
      </c>
      <c r="AA4727">
        <v>0.97527079999999999</v>
      </c>
      <c r="AB4727">
        <v>25</v>
      </c>
      <c r="AC4727">
        <v>0.570300000000031</v>
      </c>
      <c r="AD4727">
        <v>-0.104402999999999</v>
      </c>
      <c r="AE4727">
        <v>-0.18527000000000199</v>
      </c>
      <c r="AF4727">
        <v>0.160039827379891</v>
      </c>
      <c r="AG4727">
        <v>-0.104402999999999</v>
      </c>
      <c r="AH4727">
        <v>0.55955966204962304</v>
      </c>
      <c r="AI4727">
        <v>100.16999000614101</v>
      </c>
      <c r="AJ4727">
        <v>74.038924930203805</v>
      </c>
      <c r="AK4727">
        <v>0.59128651950629996</v>
      </c>
      <c r="AL4727">
        <v>65.788492955940598</v>
      </c>
      <c r="AM4727">
        <v>83.089149340262693</v>
      </c>
      <c r="AN4727">
        <v>0.99999997085651904</v>
      </c>
    </row>
    <row r="4728" spans="1:40" x14ac:dyDescent="0.25">
      <c r="A4728" t="str">
        <f>"20190304164740826"</f>
        <v>20190304164740826</v>
      </c>
      <c r="B4728" t="str">
        <f>"1551689260824223"</f>
        <v>1551689260824223</v>
      </c>
      <c r="C4728" t="s">
        <v>40</v>
      </c>
      <c r="D4728">
        <v>4.501074</v>
      </c>
      <c r="E4728">
        <v>0.57428330000000005</v>
      </c>
      <c r="F4728" t="s">
        <v>41</v>
      </c>
      <c r="G4728">
        <v>-341.03910000000002</v>
      </c>
      <c r="H4728">
        <v>0.9952261</v>
      </c>
      <c r="I4728">
        <v>17.57103</v>
      </c>
      <c r="J4728">
        <v>-341.6028</v>
      </c>
      <c r="K4728">
        <v>1.1109869999999999</v>
      </c>
      <c r="L4728">
        <v>17.77618</v>
      </c>
      <c r="M4728">
        <v>0.99926090000000001</v>
      </c>
      <c r="N4728">
        <v>-1.3882709999999999E-2</v>
      </c>
      <c r="O4728">
        <v>-3.5849520000000003E-2</v>
      </c>
      <c r="P4728">
        <v>0.9053987</v>
      </c>
      <c r="Q4728">
        <v>0.39721329999999999</v>
      </c>
      <c r="R4728">
        <v>-0.14991849999999901</v>
      </c>
      <c r="S4728">
        <v>3.3837589999999902</v>
      </c>
      <c r="T4728">
        <v>-0.4960058</v>
      </c>
      <c r="U4728">
        <v>-0.91436770000000001</v>
      </c>
      <c r="V4728">
        <v>0.1176344</v>
      </c>
      <c r="W4728">
        <v>0.40973219999999999</v>
      </c>
      <c r="X4728">
        <v>0.90458919999999998</v>
      </c>
      <c r="Y4728">
        <v>0.2239276</v>
      </c>
      <c r="Z4728">
        <v>-1.298993E-2</v>
      </c>
      <c r="AA4728">
        <v>0.97451920000000003</v>
      </c>
      <c r="AB4728">
        <v>25</v>
      </c>
      <c r="AC4728">
        <v>0.56369999999998299</v>
      </c>
      <c r="AD4728">
        <v>-0.1157609</v>
      </c>
      <c r="AE4728">
        <v>-0.205149999999999</v>
      </c>
      <c r="AF4728">
        <v>0.178172641657938</v>
      </c>
      <c r="AG4728">
        <v>-0.1157609</v>
      </c>
      <c r="AH4728">
        <v>0.55020326973692302</v>
      </c>
      <c r="AI4728">
        <v>101.318914082041</v>
      </c>
      <c r="AJ4728">
        <v>72.056461195980503</v>
      </c>
      <c r="AK4728">
        <v>0.58980481028335097</v>
      </c>
      <c r="AL4728">
        <v>65.811986201798504</v>
      </c>
      <c r="AM4728">
        <v>82.590733210341895</v>
      </c>
      <c r="AN4728">
        <v>0.99999997426841902</v>
      </c>
    </row>
    <row r="4729" spans="1:40" x14ac:dyDescent="0.25">
      <c r="A4729" t="str">
        <f>"20190304164740838"</f>
        <v>20190304164740838</v>
      </c>
      <c r="B4729" t="str">
        <f>"1551689260833983"</f>
        <v>1551689260833983</v>
      </c>
      <c r="C4729" t="s">
        <v>40</v>
      </c>
      <c r="D4729">
        <v>4.6263719999999999</v>
      </c>
      <c r="E4729">
        <v>0.57378799999999996</v>
      </c>
      <c r="F4729" t="s">
        <v>41</v>
      </c>
      <c r="G4729">
        <v>-340.81319999999999</v>
      </c>
      <c r="H4729">
        <v>0.99673279999999997</v>
      </c>
      <c r="I4729">
        <v>17.55564</v>
      </c>
      <c r="J4729">
        <v>-341.46559999999999</v>
      </c>
      <c r="K4729">
        <v>1.1109979999999999</v>
      </c>
      <c r="L4729">
        <v>17.77103</v>
      </c>
      <c r="M4729">
        <v>0.99925399999999998</v>
      </c>
      <c r="N4729">
        <v>-1.38812E-2</v>
      </c>
      <c r="O4729">
        <v>-3.6036859999999997E-2</v>
      </c>
      <c r="P4729">
        <v>0.90464129999999998</v>
      </c>
      <c r="Q4729">
        <v>0.39762160000000002</v>
      </c>
      <c r="R4729">
        <v>-0.15336659999999999</v>
      </c>
      <c r="S4729">
        <v>3.3715519999999999</v>
      </c>
      <c r="T4729">
        <v>-0.48787700000000001</v>
      </c>
      <c r="U4729">
        <v>-0.94152829999999998</v>
      </c>
      <c r="V4729">
        <v>0.12092899999999999</v>
      </c>
      <c r="W4729">
        <v>0.41013110000000003</v>
      </c>
      <c r="X4729">
        <v>0.9039739</v>
      </c>
      <c r="Y4729">
        <v>0.23189689999999999</v>
      </c>
      <c r="Z4729">
        <v>-1.34357E-2</v>
      </c>
      <c r="AA4729">
        <v>0.97264759999999995</v>
      </c>
      <c r="AB4729">
        <v>25</v>
      </c>
      <c r="AC4729">
        <v>0.65239999999999998</v>
      </c>
      <c r="AD4729">
        <v>-0.114265199999999</v>
      </c>
      <c r="AE4729">
        <v>-0.215389999999999</v>
      </c>
      <c r="AF4729">
        <v>0.18657645209266499</v>
      </c>
      <c r="AG4729">
        <v>-0.114265199999999</v>
      </c>
      <c r="AH4729">
        <v>0.64198101056497303</v>
      </c>
      <c r="AI4729">
        <v>99.699081490434295</v>
      </c>
      <c r="AJ4729">
        <v>73.794755300628395</v>
      </c>
      <c r="AK4729">
        <v>0.67823810445340704</v>
      </c>
      <c r="AL4729">
        <v>65.786931421762503</v>
      </c>
      <c r="AM4729">
        <v>82.380501209734206</v>
      </c>
      <c r="AN4729">
        <v>1.0000000770547</v>
      </c>
    </row>
    <row r="4730" spans="1:40" x14ac:dyDescent="0.25">
      <c r="A4730" t="str">
        <f>"20190304164740850"</f>
        <v>20190304164740850</v>
      </c>
      <c r="B4730" t="str">
        <f>"1551689260843744"</f>
        <v>1551689260843744</v>
      </c>
      <c r="C4730" t="s">
        <v>40</v>
      </c>
      <c r="D4730">
        <v>4.538354</v>
      </c>
      <c r="E4730">
        <v>0.57378799999999996</v>
      </c>
      <c r="F4730" t="s">
        <v>41</v>
      </c>
      <c r="G4730">
        <v>-340.58350000000002</v>
      </c>
      <c r="H4730">
        <v>0.98332370000000002</v>
      </c>
      <c r="I4730">
        <v>17.522210000000001</v>
      </c>
      <c r="J4730">
        <v>-341.32670000000002</v>
      </c>
      <c r="K4730">
        <v>1.111008</v>
      </c>
      <c r="L4730">
        <v>17.765809999999998</v>
      </c>
      <c r="M4730">
        <v>0.99924760000000001</v>
      </c>
      <c r="N4730">
        <v>-1.387966E-2</v>
      </c>
      <c r="O4730">
        <v>-3.621738E-2</v>
      </c>
      <c r="P4730">
        <v>0.904061</v>
      </c>
      <c r="Q4730">
        <v>0.39765650000000002</v>
      </c>
      <c r="R4730">
        <v>-0.15666350000000001</v>
      </c>
      <c r="S4730">
        <v>3.3697509999999999</v>
      </c>
      <c r="T4730">
        <v>-0.487734</v>
      </c>
      <c r="U4730">
        <v>-0.94900510000000005</v>
      </c>
      <c r="V4730">
        <v>0.124069899999999</v>
      </c>
      <c r="W4730">
        <v>0.41015980000000002</v>
      </c>
      <c r="X4730">
        <v>0.90353510000000004</v>
      </c>
      <c r="Y4730">
        <v>0.2338375</v>
      </c>
      <c r="Z4730">
        <v>-1.3562960000000001E-2</v>
      </c>
      <c r="AA4730">
        <v>0.97218110000000002</v>
      </c>
      <c r="AB4730">
        <v>25</v>
      </c>
      <c r="AC4730">
        <v>0.74320000000000097</v>
      </c>
      <c r="AD4730">
        <v>-0.1276843</v>
      </c>
      <c r="AE4730">
        <v>-0.24360000000000001</v>
      </c>
      <c r="AF4730">
        <v>0.210899700155839</v>
      </c>
      <c r="AG4730">
        <v>-0.1276843</v>
      </c>
      <c r="AH4730">
        <v>0.73202507979901699</v>
      </c>
      <c r="AI4730">
        <v>99.514828079190096</v>
      </c>
      <c r="AJ4730">
        <v>73.928072197923697</v>
      </c>
      <c r="AK4730">
        <v>0.77242648934838398</v>
      </c>
      <c r="AL4730">
        <v>65.785127430303305</v>
      </c>
      <c r="AM4730">
        <v>82.181265932233998</v>
      </c>
      <c r="AN4730">
        <v>1.0000000392770201</v>
      </c>
    </row>
    <row r="4731" spans="1:40" x14ac:dyDescent="0.25">
      <c r="A4731" t="str">
        <f>"20190304164740873"</f>
        <v>20190304164740873</v>
      </c>
      <c r="B4731" t="str">
        <f>"1551689260864240"</f>
        <v>1551689260864240</v>
      </c>
      <c r="C4731" t="s">
        <v>40</v>
      </c>
      <c r="D4731">
        <v>4.734286</v>
      </c>
      <c r="E4731">
        <v>0.55433520000000003</v>
      </c>
      <c r="F4731" t="s">
        <v>41</v>
      </c>
      <c r="G4731">
        <v>-340.58539999999999</v>
      </c>
      <c r="H4731">
        <v>1.0035860000000001</v>
      </c>
      <c r="I4731">
        <v>17.553940000000001</v>
      </c>
      <c r="J4731">
        <v>-341.08510000000001</v>
      </c>
      <c r="K4731">
        <v>1.1110370000000001</v>
      </c>
      <c r="L4731">
        <v>17.756679999999999</v>
      </c>
      <c r="M4731">
        <v>0.99923720000000005</v>
      </c>
      <c r="N4731">
        <v>-1.387713E-2</v>
      </c>
      <c r="O4731">
        <v>-3.6504120000000001E-2</v>
      </c>
      <c r="P4731">
        <v>0.90281940000000005</v>
      </c>
      <c r="Q4731">
        <v>0.39831240000000001</v>
      </c>
      <c r="R4731">
        <v>-0.1620637</v>
      </c>
      <c r="S4731">
        <v>3.3665159999999998</v>
      </c>
      <c r="T4731">
        <v>-0.487848</v>
      </c>
      <c r="U4731">
        <v>-0.96032709999999999</v>
      </c>
      <c r="V4731">
        <v>0.1292285</v>
      </c>
      <c r="W4731">
        <v>0.41080329999999898</v>
      </c>
      <c r="X4731">
        <v>0.90251899999999996</v>
      </c>
      <c r="Y4731">
        <v>0.2367959</v>
      </c>
      <c r="Z4731">
        <v>-1.376488E-2</v>
      </c>
      <c r="AA4731">
        <v>0.97146189999999999</v>
      </c>
      <c r="AB4731">
        <v>25</v>
      </c>
      <c r="AC4731">
        <v>0.49970000000001802</v>
      </c>
      <c r="AD4731">
        <v>-0.10745099999999901</v>
      </c>
      <c r="AE4731">
        <v>-0.20273999999999801</v>
      </c>
      <c r="AF4731">
        <v>0.177321811243496</v>
      </c>
      <c r="AG4731">
        <v>-0.10745099999999901</v>
      </c>
      <c r="AH4731">
        <v>0.487416638794271</v>
      </c>
      <c r="AI4731">
        <v>101.704207172187</v>
      </c>
      <c r="AJ4731">
        <v>70.008650783642096</v>
      </c>
      <c r="AK4731">
        <v>0.52968266152214105</v>
      </c>
      <c r="AL4731">
        <v>65.744691888311493</v>
      </c>
      <c r="AM4731">
        <v>81.851407429303904</v>
      </c>
      <c r="AN4731">
        <v>0.99999995093206795</v>
      </c>
    </row>
    <row r="4732" spans="1:40" x14ac:dyDescent="0.25">
      <c r="A4732" t="str">
        <f>"20190304164740893"</f>
        <v>20190304164740893</v>
      </c>
      <c r="B4732" t="str">
        <f>"1551689260883760"</f>
        <v>1551689260883760</v>
      </c>
      <c r="C4732" t="s">
        <v>40</v>
      </c>
      <c r="D4732">
        <v>4.4904279999999996</v>
      </c>
      <c r="E4732">
        <v>0.55202390000000001</v>
      </c>
      <c r="F4732" t="s">
        <v>41</v>
      </c>
      <c r="G4732">
        <v>-340.35599999999999</v>
      </c>
      <c r="H4732">
        <v>1.016133</v>
      </c>
      <c r="I4732">
        <v>17.57733</v>
      </c>
      <c r="J4732">
        <v>-340.85149999999999</v>
      </c>
      <c r="K4732">
        <v>1.111073</v>
      </c>
      <c r="L4732">
        <v>17.74783</v>
      </c>
      <c r="M4732">
        <v>0.99922849999999996</v>
      </c>
      <c r="N4732">
        <v>-1.3874579999999999E-2</v>
      </c>
      <c r="O4732">
        <v>-3.6740809999999999E-2</v>
      </c>
      <c r="P4732">
        <v>0.90181029999999995</v>
      </c>
      <c r="Q4732">
        <v>0.39879290000000001</v>
      </c>
      <c r="R4732">
        <v>-0.16644059999999999</v>
      </c>
      <c r="S4732">
        <v>3.3676149999999998</v>
      </c>
      <c r="T4732">
        <v>-0.43840580000000001</v>
      </c>
      <c r="U4732">
        <v>-0.82846070000000005</v>
      </c>
      <c r="V4732">
        <v>0.13339570000000001</v>
      </c>
      <c r="W4732">
        <v>0.41127750000000002</v>
      </c>
      <c r="X4732">
        <v>0.90169639999999995</v>
      </c>
      <c r="Y4732">
        <v>0.20149610000000001</v>
      </c>
      <c r="Z4732">
        <v>-1.010899E-2</v>
      </c>
      <c r="AA4732">
        <v>0.97943720000000001</v>
      </c>
      <c r="AB4732">
        <v>25</v>
      </c>
      <c r="AC4732">
        <v>0.495499999999992</v>
      </c>
      <c r="AD4732">
        <v>-9.4939999999999997E-2</v>
      </c>
      <c r="AE4732">
        <v>-0.17050000000000001</v>
      </c>
      <c r="AF4732">
        <v>0.147341462131648</v>
      </c>
      <c r="AG4732">
        <v>-9.4939999999999997E-2</v>
      </c>
      <c r="AH4732">
        <v>0.485493668268906</v>
      </c>
      <c r="AI4732">
        <v>100.598937320446</v>
      </c>
      <c r="AJ4732">
        <v>73.117590090428394</v>
      </c>
      <c r="AK4732">
        <v>0.51616587643149203</v>
      </c>
      <c r="AL4732">
        <v>65.714889253866303</v>
      </c>
      <c r="AM4732">
        <v>81.584779897039397</v>
      </c>
      <c r="AN4732">
        <v>0.99999999627884995</v>
      </c>
    </row>
    <row r="4733" spans="1:40" x14ac:dyDescent="0.25">
      <c r="A4733" t="str">
        <f>"20190304164740906"</f>
        <v>20190304164740906</v>
      </c>
      <c r="B4733" t="str">
        <f>"1551689260893520"</f>
        <v>1551689260893520</v>
      </c>
      <c r="C4733" t="s">
        <v>40</v>
      </c>
      <c r="D4733">
        <v>4.6013669999999998</v>
      </c>
      <c r="E4733">
        <v>0.55139819999999995</v>
      </c>
      <c r="F4733" t="s">
        <v>41</v>
      </c>
      <c r="G4733">
        <v>-340.13099999999997</v>
      </c>
      <c r="H4733">
        <v>1.018956</v>
      </c>
      <c r="I4733">
        <v>17.570460000000001</v>
      </c>
      <c r="J4733">
        <v>-340.7149</v>
      </c>
      <c r="K4733">
        <v>1.1110930000000001</v>
      </c>
      <c r="L4733">
        <v>17.742650000000001</v>
      </c>
      <c r="M4733">
        <v>0.99922449999999996</v>
      </c>
      <c r="N4733">
        <v>-1.387304E-2</v>
      </c>
      <c r="O4733">
        <v>-3.6852610000000001E-2</v>
      </c>
      <c r="P4733">
        <v>0.90115069999999997</v>
      </c>
      <c r="Q4733">
        <v>0.39920309999999998</v>
      </c>
      <c r="R4733">
        <v>-0.16901079999999999</v>
      </c>
      <c r="S4733">
        <v>3.3643190000000001</v>
      </c>
      <c r="T4733">
        <v>-0.43012810000000001</v>
      </c>
      <c r="U4733">
        <v>-0.82617189999999996</v>
      </c>
      <c r="V4733">
        <v>0.135866299999999</v>
      </c>
      <c r="W4733">
        <v>0.4116843</v>
      </c>
      <c r="X4733">
        <v>0.90114170000000005</v>
      </c>
      <c r="Y4733">
        <v>0.20103599999999999</v>
      </c>
      <c r="Z4733">
        <v>-9.9189069999999994E-3</v>
      </c>
      <c r="AA4733">
        <v>0.97953369999999995</v>
      </c>
      <c r="AB4733">
        <v>25</v>
      </c>
      <c r="AC4733">
        <v>0.58390000000002795</v>
      </c>
      <c r="AD4733">
        <v>-9.2137000000000094E-2</v>
      </c>
      <c r="AE4733">
        <v>-0.17219000000000001</v>
      </c>
      <c r="AF4733">
        <v>0.14718116290063299</v>
      </c>
      <c r="AG4733">
        <v>-9.2137000000000094E-2</v>
      </c>
      <c r="AH4733">
        <v>0.57664021213501904</v>
      </c>
      <c r="AI4733">
        <v>98.800607567669502</v>
      </c>
      <c r="AJ4733">
        <v>75.681582701960494</v>
      </c>
      <c r="AK4733">
        <v>0.60221711677176903</v>
      </c>
      <c r="AL4733">
        <v>65.689315820440299</v>
      </c>
      <c r="AM4733">
        <v>81.426019846219603</v>
      </c>
      <c r="AN4733">
        <v>0.99999998891053399</v>
      </c>
    </row>
    <row r="4734" spans="1:40" x14ac:dyDescent="0.25">
      <c r="A4734" t="str">
        <f>"20190304164740917"</f>
        <v>20190304164740917</v>
      </c>
      <c r="B4734" t="str">
        <f>"1551689260914016"</f>
        <v>1551689260914016</v>
      </c>
      <c r="C4734" t="s">
        <v>40</v>
      </c>
      <c r="D4734">
        <v>4.5311409999999999</v>
      </c>
      <c r="E4734">
        <v>0.55046490000000003</v>
      </c>
      <c r="F4734" t="s">
        <v>41</v>
      </c>
      <c r="G4734">
        <v>-339.91289999999998</v>
      </c>
      <c r="H4734">
        <v>1.008367</v>
      </c>
      <c r="I4734">
        <v>17.544820000000001</v>
      </c>
      <c r="J4734">
        <v>-340.5804</v>
      </c>
      <c r="K4734">
        <v>1.111111</v>
      </c>
      <c r="L4734">
        <v>17.737549999999999</v>
      </c>
      <c r="M4734">
        <v>0.99922080000000002</v>
      </c>
      <c r="N4734">
        <v>-1.387157E-2</v>
      </c>
      <c r="O4734">
        <v>-3.6952480000000003E-2</v>
      </c>
      <c r="P4734">
        <v>0.90089810000000003</v>
      </c>
      <c r="Q4734">
        <v>0.39906269999999999</v>
      </c>
      <c r="R4734">
        <v>-0.1706801</v>
      </c>
      <c r="S4734">
        <v>3.3642880000000002</v>
      </c>
      <c r="T4734">
        <v>-0.43088769999999998</v>
      </c>
      <c r="U4734">
        <v>-0.82980350000000003</v>
      </c>
      <c r="V4734">
        <v>0.13743179999999999</v>
      </c>
      <c r="W4734">
        <v>0.41154609999999903</v>
      </c>
      <c r="X4734">
        <v>0.90096739999999997</v>
      </c>
      <c r="Y4734">
        <v>0.20192550000000001</v>
      </c>
      <c r="Z4734">
        <v>-9.9829640000000004E-3</v>
      </c>
      <c r="AA4734">
        <v>0.97935000000000005</v>
      </c>
      <c r="AB4734">
        <v>25</v>
      </c>
      <c r="AC4734">
        <v>0.66750000000001797</v>
      </c>
      <c r="AD4734">
        <v>-0.102743999999999</v>
      </c>
      <c r="AE4734">
        <v>-0.19272999999999699</v>
      </c>
      <c r="AF4734">
        <v>0.16433627488401201</v>
      </c>
      <c r="AG4734">
        <v>-0.102743999999999</v>
      </c>
      <c r="AH4734">
        <v>0.65973854960410006</v>
      </c>
      <c r="AI4734">
        <v>98.593333698609996</v>
      </c>
      <c r="AJ4734">
        <v>76.012675670264201</v>
      </c>
      <c r="AK4734">
        <v>0.68761740423906903</v>
      </c>
      <c r="AL4734">
        <v>65.698003873683504</v>
      </c>
      <c r="AM4734">
        <v>81.327068643531504</v>
      </c>
      <c r="AN4734">
        <v>0.99999997396960405</v>
      </c>
    </row>
    <row r="4735" spans="1:40" x14ac:dyDescent="0.25">
      <c r="A4735" t="str">
        <f>"20190304164740930"</f>
        <v>20190304164740930</v>
      </c>
      <c r="B4735" t="str">
        <f>"1551689260923776"</f>
        <v>1551689260923776</v>
      </c>
      <c r="C4735" t="s">
        <v>40</v>
      </c>
      <c r="D4735">
        <v>4.4869969999999997</v>
      </c>
      <c r="E4735">
        <v>0.54973109999999903</v>
      </c>
      <c r="F4735" t="s">
        <v>41</v>
      </c>
      <c r="G4735">
        <v>-339.69560000000001</v>
      </c>
      <c r="H4735">
        <v>0.99613989999999997</v>
      </c>
      <c r="I4735">
        <v>17.51961</v>
      </c>
      <c r="J4735">
        <v>-340.43610000000001</v>
      </c>
      <c r="K4735">
        <v>1.111137</v>
      </c>
      <c r="L4735">
        <v>17.732089999999999</v>
      </c>
      <c r="M4735">
        <v>0.99921769999999999</v>
      </c>
      <c r="N4735">
        <v>-1.387007E-2</v>
      </c>
      <c r="O4735">
        <v>-3.7037849999999997E-2</v>
      </c>
      <c r="P4735">
        <v>0.90048930000000005</v>
      </c>
      <c r="Q4735">
        <v>0.3994355</v>
      </c>
      <c r="R4735">
        <v>-0.1719618</v>
      </c>
      <c r="S4735">
        <v>3.3668819999999999</v>
      </c>
      <c r="T4735">
        <v>-0.43753409999999898</v>
      </c>
      <c r="U4735">
        <v>-0.82827759999999995</v>
      </c>
      <c r="V4735">
        <v>0.13862449999999901</v>
      </c>
      <c r="W4735">
        <v>0.41192109999999899</v>
      </c>
      <c r="X4735">
        <v>0.9006132</v>
      </c>
      <c r="Y4735">
        <v>0.2012138</v>
      </c>
      <c r="Z4735">
        <v>-1.0040250000000001E-2</v>
      </c>
      <c r="AA4735">
        <v>0.97949589999999997</v>
      </c>
      <c r="AB4735">
        <v>25</v>
      </c>
      <c r="AC4735">
        <v>0.74049999999999705</v>
      </c>
      <c r="AD4735">
        <v>-0.1149971</v>
      </c>
      <c r="AE4735">
        <v>-0.212479999999999</v>
      </c>
      <c r="AF4735">
        <v>0.18087469675223999</v>
      </c>
      <c r="AG4735">
        <v>-0.1149971</v>
      </c>
      <c r="AH4735">
        <v>0.73156143726398404</v>
      </c>
      <c r="AI4735">
        <v>98.676346911433697</v>
      </c>
      <c r="AJ4735">
        <v>76.112432710711403</v>
      </c>
      <c r="AK4735">
        <v>0.76231366603608197</v>
      </c>
      <c r="AL4735">
        <v>65.674425894755302</v>
      </c>
      <c r="AM4735">
        <v>81.249573021215099</v>
      </c>
      <c r="AN4735">
        <v>0.99999994031984796</v>
      </c>
    </row>
    <row r="4736" spans="1:40" x14ac:dyDescent="0.25">
      <c r="A4736" t="str">
        <f>"20190304164740950"</f>
        <v>20190304164740950</v>
      </c>
      <c r="B4736" t="str">
        <f>"1551689260944272"</f>
        <v>1551689260944272</v>
      </c>
      <c r="C4736" t="s">
        <v>40</v>
      </c>
      <c r="D4736">
        <v>4.561909</v>
      </c>
      <c r="E4736">
        <v>0.54911319999999997</v>
      </c>
      <c r="F4736" t="s">
        <v>41</v>
      </c>
      <c r="G4736">
        <v>-339.68740000000003</v>
      </c>
      <c r="H4736">
        <v>1.012777</v>
      </c>
      <c r="I4736">
        <v>17.54814</v>
      </c>
      <c r="J4736">
        <v>-340.22730000000001</v>
      </c>
      <c r="K4736">
        <v>1.1111819999999999</v>
      </c>
      <c r="L4736">
        <v>17.72418</v>
      </c>
      <c r="M4736">
        <v>0.99921439999999995</v>
      </c>
      <c r="N4736">
        <v>-1.3867839999999999E-2</v>
      </c>
      <c r="O4736">
        <v>-3.7124549999999999E-2</v>
      </c>
      <c r="P4736">
        <v>0.89995829999999999</v>
      </c>
      <c r="Q4736">
        <v>0.39951560000000003</v>
      </c>
      <c r="R4736">
        <v>-0.17453440000000001</v>
      </c>
      <c r="S4736">
        <v>3.370117</v>
      </c>
      <c r="T4736">
        <v>-0.44282310000000003</v>
      </c>
      <c r="U4736">
        <v>-0.82678220000000002</v>
      </c>
      <c r="V4736">
        <v>0.14109839999999901</v>
      </c>
      <c r="W4736">
        <v>0.41200540000000002</v>
      </c>
      <c r="X4736">
        <v>0.90019039999999995</v>
      </c>
      <c r="Y4736">
        <v>0.20047599999999999</v>
      </c>
      <c r="Z4736">
        <v>-1.0067309999999999E-2</v>
      </c>
      <c r="AA4736">
        <v>0.97964689999999999</v>
      </c>
      <c r="AB4736">
        <v>25</v>
      </c>
      <c r="AC4736">
        <v>0.53989999999998795</v>
      </c>
      <c r="AD4736">
        <v>-9.8404999999999798E-2</v>
      </c>
      <c r="AE4736">
        <v>-0.17604</v>
      </c>
      <c r="AF4736">
        <v>0.151329018242984</v>
      </c>
      <c r="AG4736">
        <v>-9.8404999999999798E-2</v>
      </c>
      <c r="AH4736">
        <v>0.53014451607130397</v>
      </c>
      <c r="AI4736">
        <v>100.120140519572</v>
      </c>
      <c r="AJ4736">
        <v>74.068678043202496</v>
      </c>
      <c r="AK4736">
        <v>0.56003323446726105</v>
      </c>
      <c r="AL4736">
        <v>65.6691262416672</v>
      </c>
      <c r="AM4736">
        <v>81.091778227365097</v>
      </c>
      <c r="AN4736">
        <v>0.99999998218193997</v>
      </c>
    </row>
    <row r="4737" spans="1:40" x14ac:dyDescent="0.25">
      <c r="A4737" t="str">
        <f>"20190304164740960"</f>
        <v>20190304164740960</v>
      </c>
      <c r="B4737" t="str">
        <f>"1551689260954032"</f>
        <v>1551689260954032</v>
      </c>
      <c r="C4737" t="s">
        <v>40</v>
      </c>
      <c r="D4737">
        <v>4.5298749999999997</v>
      </c>
      <c r="E4737">
        <v>0.54879809999999996</v>
      </c>
      <c r="F4737" t="s">
        <v>41</v>
      </c>
      <c r="G4737">
        <v>-339.46559999999999</v>
      </c>
      <c r="H4737">
        <v>1.0109250000000001</v>
      </c>
      <c r="I4737">
        <v>17.536470000000001</v>
      </c>
      <c r="J4737">
        <v>-340.09809999999999</v>
      </c>
      <c r="K4737">
        <v>1.111208</v>
      </c>
      <c r="L4737">
        <v>17.7193</v>
      </c>
      <c r="M4737">
        <v>0.99921320000000002</v>
      </c>
      <c r="N4737">
        <v>-1.3866470000000001E-2</v>
      </c>
      <c r="O4737">
        <v>-3.7159200000000003E-2</v>
      </c>
      <c r="P4737">
        <v>0.89984200000000003</v>
      </c>
      <c r="Q4737">
        <v>0.39947359999999998</v>
      </c>
      <c r="R4737">
        <v>-0.17523029999999901</v>
      </c>
      <c r="S4737">
        <v>3.3693849999999999</v>
      </c>
      <c r="T4737">
        <v>-0.44350889999999998</v>
      </c>
      <c r="U4737">
        <v>-0.83010859999999997</v>
      </c>
      <c r="V4737">
        <v>0.14174389999999901</v>
      </c>
      <c r="W4737">
        <v>0.41196850000000002</v>
      </c>
      <c r="X4737">
        <v>0.90010590000000001</v>
      </c>
      <c r="Y4737">
        <v>0.2013906</v>
      </c>
      <c r="Z4737">
        <v>-1.0142079999999999E-2</v>
      </c>
      <c r="AA4737">
        <v>0.97945850000000001</v>
      </c>
      <c r="AB4737">
        <v>25</v>
      </c>
      <c r="AC4737">
        <v>0.63249999999999296</v>
      </c>
      <c r="AD4737">
        <v>-0.100282999999999</v>
      </c>
      <c r="AE4737">
        <v>-0.18282999999999899</v>
      </c>
      <c r="AF4737">
        <v>0.155588642080741</v>
      </c>
      <c r="AG4737">
        <v>-0.100282999999999</v>
      </c>
      <c r="AH4737">
        <v>0.62437230003585098</v>
      </c>
      <c r="AI4737">
        <v>98.858182361687497</v>
      </c>
      <c r="AJ4737">
        <v>76.007331389625406</v>
      </c>
      <c r="AK4737">
        <v>0.65123365598346405</v>
      </c>
      <c r="AL4737">
        <v>65.671447103775506</v>
      </c>
      <c r="AM4737">
        <v>81.050856252310794</v>
      </c>
      <c r="AN4737">
        <v>1.00000000469713</v>
      </c>
    </row>
    <row r="4738" spans="1:40" x14ac:dyDescent="0.25">
      <c r="A4738" t="str">
        <f>"20190304164740971"</f>
        <v>20190304164740971</v>
      </c>
      <c r="B4738" t="str">
        <f>"1551689260963791"</f>
        <v>1551689260963791</v>
      </c>
      <c r="C4738" t="s">
        <v>40</v>
      </c>
      <c r="D4738">
        <v>4.5422669999999998</v>
      </c>
      <c r="E4738">
        <v>0.54841790000000001</v>
      </c>
      <c r="F4738" t="s">
        <v>41</v>
      </c>
      <c r="G4738">
        <v>-339.24860000000001</v>
      </c>
      <c r="H4738">
        <v>0.99941769999999996</v>
      </c>
      <c r="I4738">
        <v>17.509789999999999</v>
      </c>
      <c r="J4738">
        <v>-339.97590000000002</v>
      </c>
      <c r="K4738">
        <v>1.111229</v>
      </c>
      <c r="L4738">
        <v>17.714749999999999</v>
      </c>
      <c r="M4738">
        <v>0.9992124</v>
      </c>
      <c r="N4738">
        <v>-1.3865189999999999E-2</v>
      </c>
      <c r="O4738">
        <v>-3.7182680000000003E-2</v>
      </c>
      <c r="P4738">
        <v>0.89962830000000005</v>
      </c>
      <c r="Q4738">
        <v>0.39968120000000001</v>
      </c>
      <c r="R4738">
        <v>-0.1758527</v>
      </c>
      <c r="S4738">
        <v>3.36911</v>
      </c>
      <c r="T4738">
        <v>-0.44344479999999997</v>
      </c>
      <c r="U4738">
        <v>-0.83013919999999997</v>
      </c>
      <c r="V4738">
        <v>0.14233170000000001</v>
      </c>
      <c r="W4738">
        <v>0.41217959999999898</v>
      </c>
      <c r="X4738">
        <v>0.89991650000000001</v>
      </c>
      <c r="Y4738">
        <v>0.20139489999999999</v>
      </c>
      <c r="Z4738">
        <v>-1.0138970000000001E-2</v>
      </c>
      <c r="AA4738">
        <v>0.97945769999999999</v>
      </c>
      <c r="AB4738">
        <v>25</v>
      </c>
      <c r="AC4738">
        <v>0.72730000000001305</v>
      </c>
      <c r="AD4738">
        <v>-0.1118113</v>
      </c>
      <c r="AE4738">
        <v>-0.204959999999999</v>
      </c>
      <c r="AF4738">
        <v>0.17396365616499099</v>
      </c>
      <c r="AG4738">
        <v>-0.1118113</v>
      </c>
      <c r="AH4738">
        <v>0.71868273071447197</v>
      </c>
      <c r="AI4738">
        <v>98.598625143107498</v>
      </c>
      <c r="AJ4738">
        <v>76.392769558306995</v>
      </c>
      <c r="AK4738">
        <v>0.74784355844066197</v>
      </c>
      <c r="AL4738">
        <v>65.658172951466298</v>
      </c>
      <c r="AM4738">
        <v>81.012488926483897</v>
      </c>
      <c r="AN4738">
        <v>1.00000002122664</v>
      </c>
    </row>
    <row r="4739" spans="1:40" x14ac:dyDescent="0.25">
      <c r="A4739" t="str">
        <f>"20190304164740993"</f>
        <v>20190304164740993</v>
      </c>
      <c r="B4739" t="str">
        <f>"1551689260984288"</f>
        <v>1551689260984288</v>
      </c>
      <c r="C4739" t="s">
        <v>40</v>
      </c>
      <c r="D4739">
        <v>4.596387</v>
      </c>
      <c r="E4739">
        <v>0.54775469999999904</v>
      </c>
      <c r="F4739" t="s">
        <v>41</v>
      </c>
      <c r="G4739">
        <v>-339.24110000000002</v>
      </c>
      <c r="H4739">
        <v>1.0145420000000001</v>
      </c>
      <c r="I4739">
        <v>17.533799999999999</v>
      </c>
      <c r="J4739">
        <v>-339.7398</v>
      </c>
      <c r="K4739">
        <v>1.1112629999999999</v>
      </c>
      <c r="L4739">
        <v>17.7059</v>
      </c>
      <c r="M4739">
        <v>0.99921179999999998</v>
      </c>
      <c r="N4739">
        <v>-1.386268E-2</v>
      </c>
      <c r="O4739">
        <v>-3.719629E-2</v>
      </c>
      <c r="P4739">
        <v>0.89949049999999997</v>
      </c>
      <c r="Q4739">
        <v>0.39945950000000002</v>
      </c>
      <c r="R4739">
        <v>-0.17705679999999999</v>
      </c>
      <c r="S4739">
        <v>3.3696899999999999</v>
      </c>
      <c r="T4739">
        <v>-0.44342880000000001</v>
      </c>
      <c r="U4739">
        <v>-0.82885739999999997</v>
      </c>
      <c r="V4739">
        <v>0.14349479999999901</v>
      </c>
      <c r="W4739">
        <v>0.41196539999999998</v>
      </c>
      <c r="X4739">
        <v>0.89982989999999996</v>
      </c>
      <c r="Y4739">
        <v>0.20099520000000001</v>
      </c>
      <c r="Z4739">
        <v>-1.0107069999999999E-2</v>
      </c>
      <c r="AA4739">
        <v>0.97954010000000002</v>
      </c>
      <c r="AB4739">
        <v>25</v>
      </c>
      <c r="AC4739">
        <v>0.49869999999998499</v>
      </c>
      <c r="AD4739">
        <v>-9.6720999999999793E-2</v>
      </c>
      <c r="AE4739">
        <v>-0.1721</v>
      </c>
      <c r="AF4739">
        <v>0.14843991473134899</v>
      </c>
      <c r="AG4739">
        <v>-9.6720999999999793E-2</v>
      </c>
      <c r="AH4739">
        <v>0.48834264693374102</v>
      </c>
      <c r="AI4739">
        <v>100.730240153656</v>
      </c>
      <c r="AJ4739">
        <v>73.0924734714892</v>
      </c>
      <c r="AK4739">
        <v>0.51948811434016695</v>
      </c>
      <c r="AL4739">
        <v>65.671643169729506</v>
      </c>
      <c r="AM4739">
        <v>80.939401002741306</v>
      </c>
      <c r="AN4739">
        <v>1.0000000486791001</v>
      </c>
    </row>
    <row r="4740" spans="1:40" x14ac:dyDescent="0.25">
      <c r="A4740" t="str">
        <f>"20190304164741004"</f>
        <v>20190304164741004</v>
      </c>
      <c r="B4740" t="str">
        <f>"1551689260994048"</f>
        <v>1551689260994048</v>
      </c>
      <c r="C4740" t="s">
        <v>40</v>
      </c>
      <c r="D4740">
        <v>4.6137949999999996</v>
      </c>
      <c r="E4740">
        <v>0.5475875</v>
      </c>
      <c r="F4740" t="s">
        <v>41</v>
      </c>
      <c r="G4740">
        <v>-339.01830000000001</v>
      </c>
      <c r="H4740">
        <v>1.0155540000000001</v>
      </c>
      <c r="I4740">
        <v>17.5291</v>
      </c>
      <c r="J4740">
        <v>-339.60980000000001</v>
      </c>
      <c r="K4740">
        <v>1.1112789999999999</v>
      </c>
      <c r="L4740">
        <v>17.701049999999999</v>
      </c>
      <c r="M4740">
        <v>0.9992124</v>
      </c>
      <c r="N4740">
        <v>-1.386126E-2</v>
      </c>
      <c r="O4740">
        <v>-3.718316E-2</v>
      </c>
      <c r="P4740">
        <v>0.89942840000000002</v>
      </c>
      <c r="Q4740">
        <v>0.39946700000000002</v>
      </c>
      <c r="R4740">
        <v>-0.17735529999999999</v>
      </c>
      <c r="S4740">
        <v>3.3712770000000001</v>
      </c>
      <c r="T4740">
        <v>-0.44726840000000001</v>
      </c>
      <c r="U4740">
        <v>-0.82595830000000003</v>
      </c>
      <c r="V4740">
        <v>0.143792899999999</v>
      </c>
      <c r="W4740">
        <v>0.41197630000000002</v>
      </c>
      <c r="X4740">
        <v>0.8997773</v>
      </c>
      <c r="Y4740">
        <v>0.20009060000000001</v>
      </c>
      <c r="Z4740">
        <v>-1.01104E-2</v>
      </c>
      <c r="AA4740">
        <v>0.97972519999999996</v>
      </c>
      <c r="AB4740">
        <v>25</v>
      </c>
      <c r="AC4740">
        <v>0.59149999999999603</v>
      </c>
      <c r="AD4740">
        <v>-9.5725000000000005E-2</v>
      </c>
      <c r="AE4740">
        <v>-0.17194999999999799</v>
      </c>
      <c r="AF4740">
        <v>0.146301992639222</v>
      </c>
      <c r="AG4740">
        <v>-9.5725000000000005E-2</v>
      </c>
      <c r="AH4740">
        <v>0.58339638811425099</v>
      </c>
      <c r="AI4740">
        <v>99.043011946911705</v>
      </c>
      <c r="AJ4740">
        <v>75.921901404430699</v>
      </c>
      <c r="AK4740">
        <v>0.60903111114290498</v>
      </c>
      <c r="AL4740">
        <v>65.670957290191893</v>
      </c>
      <c r="AM4740">
        <v>80.920369547758</v>
      </c>
      <c r="AN4740">
        <v>1.00000002972369</v>
      </c>
    </row>
    <row r="4741" spans="1:40" x14ac:dyDescent="0.25">
      <c r="A4741" t="str">
        <f>"20190304164741018"</f>
        <v>20190304164741018</v>
      </c>
      <c r="B4741" t="str">
        <f>"1551689261013568"</f>
        <v>1551689261013568</v>
      </c>
      <c r="C4741" t="s">
        <v>40</v>
      </c>
      <c r="D4741">
        <v>4.5503289999999996</v>
      </c>
      <c r="E4741">
        <v>0.54718559999999905</v>
      </c>
      <c r="F4741" t="s">
        <v>41</v>
      </c>
      <c r="G4741">
        <v>-338.80220000000003</v>
      </c>
      <c r="H4741">
        <v>1.0037849999999999</v>
      </c>
      <c r="I4741">
        <v>17.503360000000001</v>
      </c>
      <c r="J4741">
        <v>-339.46429999999998</v>
      </c>
      <c r="K4741">
        <v>1.1112959999999901</v>
      </c>
      <c r="L4741">
        <v>17.695650000000001</v>
      </c>
      <c r="M4741">
        <v>0.99921329999999997</v>
      </c>
      <c r="N4741">
        <v>-1.3859679999999999E-2</v>
      </c>
      <c r="O4741">
        <v>-3.7160119999999998E-2</v>
      </c>
      <c r="P4741">
        <v>0.89938009999999902</v>
      </c>
      <c r="Q4741">
        <v>0.39956639999999999</v>
      </c>
      <c r="R4741">
        <v>-0.17737610000000001</v>
      </c>
      <c r="S4741">
        <v>3.3722840000000001</v>
      </c>
      <c r="T4741">
        <v>-0.44883800000000001</v>
      </c>
      <c r="U4741">
        <v>-0.82434079999999998</v>
      </c>
      <c r="V4741">
        <v>0.143821</v>
      </c>
      <c r="W4741">
        <v>0.41207880000000002</v>
      </c>
      <c r="X4741">
        <v>0.89972589999999997</v>
      </c>
      <c r="Y4741">
        <v>0.199597</v>
      </c>
      <c r="Z4741">
        <v>-1.010369E-2</v>
      </c>
      <c r="AA4741">
        <v>0.97982599999999997</v>
      </c>
      <c r="AB4741">
        <v>25</v>
      </c>
      <c r="AC4741">
        <v>0.66209999999995195</v>
      </c>
      <c r="AD4741">
        <v>-0.107510999999999</v>
      </c>
      <c r="AE4741">
        <v>-0.19228999999999899</v>
      </c>
      <c r="AF4741">
        <v>0.16357364505990099</v>
      </c>
      <c r="AG4741">
        <v>-0.107510999999999</v>
      </c>
      <c r="AH4741">
        <v>0.65291265262693499</v>
      </c>
      <c r="AI4741">
        <v>99.075043263120406</v>
      </c>
      <c r="AJ4741">
        <v>75.935226004100599</v>
      </c>
      <c r="AK4741">
        <v>0.68162297822148199</v>
      </c>
      <c r="AL4741">
        <v>65.664512630052201</v>
      </c>
      <c r="AM4741">
        <v>80.918114612831701</v>
      </c>
      <c r="AN4741">
        <v>1.0000000562906199</v>
      </c>
    </row>
    <row r="4742" spans="1:40" x14ac:dyDescent="0.25">
      <c r="A4742" t="str">
        <f>"20190304164741031"</f>
        <v>20190304164741031</v>
      </c>
      <c r="B4742" t="str">
        <f>"1551689261024304"</f>
        <v>1551689261024304</v>
      </c>
      <c r="C4742" t="s">
        <v>40</v>
      </c>
      <c r="D4742">
        <v>4.5293539999999997</v>
      </c>
      <c r="E4742">
        <v>0.5470467</v>
      </c>
      <c r="F4742" t="s">
        <v>41</v>
      </c>
      <c r="G4742">
        <v>-338.58530000000002</v>
      </c>
      <c r="H4742">
        <v>0.99395279999999997</v>
      </c>
      <c r="I4742">
        <v>17.481539999999999</v>
      </c>
      <c r="J4742">
        <v>-339.31369999999998</v>
      </c>
      <c r="K4742">
        <v>1.1113150000000001</v>
      </c>
      <c r="L4742">
        <v>17.690059999999999</v>
      </c>
      <c r="M4742">
        <v>0.99921479999999996</v>
      </c>
      <c r="N4742">
        <v>-1.385807E-2</v>
      </c>
      <c r="O4742">
        <v>-3.7120279999999999E-2</v>
      </c>
      <c r="P4742">
        <v>0.89923209999999998</v>
      </c>
      <c r="Q4742">
        <v>0.39978059999999999</v>
      </c>
      <c r="R4742">
        <v>-0.177645</v>
      </c>
      <c r="S4742">
        <v>3.3737180000000002</v>
      </c>
      <c r="T4742">
        <v>-0.45041799999999999</v>
      </c>
      <c r="U4742">
        <v>-0.82153319999999996</v>
      </c>
      <c r="V4742">
        <v>0.14411589999999999</v>
      </c>
      <c r="W4742">
        <v>0.41229480000000002</v>
      </c>
      <c r="X4742">
        <v>0.89957969999999898</v>
      </c>
      <c r="Y4742">
        <v>0.19876830000000001</v>
      </c>
      <c r="Z4742">
        <v>-1.00738999999999E-2</v>
      </c>
      <c r="AA4742">
        <v>0.97999480000000005</v>
      </c>
      <c r="AB4742">
        <v>25</v>
      </c>
      <c r="AC4742">
        <v>0.72839999999996496</v>
      </c>
      <c r="AD4742">
        <v>-0.1173622</v>
      </c>
      <c r="AE4742">
        <v>-0.20852000000000001</v>
      </c>
      <c r="AF4742">
        <v>0.17708618794152201</v>
      </c>
      <c r="AG4742">
        <v>-0.1173622</v>
      </c>
      <c r="AH4742">
        <v>0.71840138590679103</v>
      </c>
      <c r="AI4742">
        <v>99.013044812244303</v>
      </c>
      <c r="AJ4742">
        <v>76.152631926865794</v>
      </c>
      <c r="AK4742">
        <v>0.74915549468805098</v>
      </c>
      <c r="AL4742">
        <v>65.650928111010003</v>
      </c>
      <c r="AM4742">
        <v>80.898349599531997</v>
      </c>
      <c r="AN4742">
        <v>1.0000000156959601</v>
      </c>
    </row>
    <row r="4743" spans="1:40" x14ac:dyDescent="0.25">
      <c r="A4743" t="str">
        <f>"20190304164741042"</f>
        <v>20190304164741042</v>
      </c>
      <c r="B4743" t="str">
        <f>"1551689261034064"</f>
        <v>1551689261034064</v>
      </c>
      <c r="C4743" t="s">
        <v>40</v>
      </c>
      <c r="D4743">
        <v>4.7132449999999997</v>
      </c>
      <c r="E4743">
        <v>0.54668099999999997</v>
      </c>
      <c r="F4743" t="s">
        <v>41</v>
      </c>
      <c r="G4743">
        <v>-338.5754</v>
      </c>
      <c r="H4743">
        <v>1.0141690000000001</v>
      </c>
      <c r="I4743">
        <v>17.509799999999998</v>
      </c>
      <c r="J4743">
        <v>-339.18669999999997</v>
      </c>
      <c r="K4743">
        <v>1.1113280000000001</v>
      </c>
      <c r="L4743">
        <v>17.685359999999999</v>
      </c>
      <c r="M4743">
        <v>0.99921669999999996</v>
      </c>
      <c r="N4743">
        <v>-1.3856719999999999E-2</v>
      </c>
      <c r="O4743">
        <v>-3.7073809999999999E-2</v>
      </c>
      <c r="P4743">
        <v>0.89926839999999997</v>
      </c>
      <c r="Q4743">
        <v>0.39987929999999999</v>
      </c>
      <c r="R4743">
        <v>-0.17723800000000001</v>
      </c>
      <c r="S4743">
        <v>3.3708499999999999</v>
      </c>
      <c r="T4743">
        <v>-0.44358370000000003</v>
      </c>
      <c r="U4743">
        <v>-0.82275390000000004</v>
      </c>
      <c r="V4743">
        <v>0.14373739999999999</v>
      </c>
      <c r="W4743">
        <v>0.41239680000000001</v>
      </c>
      <c r="X4743">
        <v>0.89959349999999905</v>
      </c>
      <c r="Y4743">
        <v>0.19937679999999999</v>
      </c>
      <c r="Z4743">
        <v>-1.0006009999999999E-2</v>
      </c>
      <c r="AA4743">
        <v>0.97987179999999996</v>
      </c>
      <c r="AB4743">
        <v>25</v>
      </c>
      <c r="AC4743">
        <v>0.61129999999997098</v>
      </c>
      <c r="AD4743">
        <v>-9.7158999999999995E-2</v>
      </c>
      <c r="AE4743">
        <v>-0.17555999999999999</v>
      </c>
      <c r="AF4743">
        <v>0.14928997132355201</v>
      </c>
      <c r="AG4743">
        <v>-9.7158999999999995E-2</v>
      </c>
      <c r="AH4743">
        <v>0.60330976225605004</v>
      </c>
      <c r="AI4743">
        <v>98.885035393049705</v>
      </c>
      <c r="AJ4743">
        <v>76.101261830608706</v>
      </c>
      <c r="AK4743">
        <v>0.62905487523127801</v>
      </c>
      <c r="AL4743">
        <v>65.644513120153903</v>
      </c>
      <c r="AM4743">
        <v>80.921992164925697</v>
      </c>
      <c r="AN4743">
        <v>1.0000000130256199</v>
      </c>
    </row>
    <row r="4744" spans="1:40" x14ac:dyDescent="0.25">
      <c r="A4744" t="str">
        <f>"20190304164741063"</f>
        <v>20190304164741063</v>
      </c>
      <c r="B4744" t="str">
        <f>"1551689261053585"</f>
        <v>1551689261053585</v>
      </c>
      <c r="C4744" t="s">
        <v>40</v>
      </c>
      <c r="D4744">
        <v>4.6933319999999998</v>
      </c>
      <c r="E4744">
        <v>0.51410730000000004</v>
      </c>
      <c r="F4744" t="s">
        <v>41</v>
      </c>
      <c r="G4744">
        <v>-338.35980000000001</v>
      </c>
      <c r="H4744">
        <v>1.002278</v>
      </c>
      <c r="I4744">
        <v>17.48394</v>
      </c>
      <c r="J4744">
        <v>-338.96850000000001</v>
      </c>
      <c r="K4744">
        <v>1.1113470000000001</v>
      </c>
      <c r="L4744">
        <v>17.67737</v>
      </c>
      <c r="M4744">
        <v>0.99922</v>
      </c>
      <c r="N4744">
        <v>-1.3854389999999999E-2</v>
      </c>
      <c r="O4744">
        <v>-3.6978440000000001E-2</v>
      </c>
      <c r="P4744">
        <v>0.89943449999999903</v>
      </c>
      <c r="Q4744">
        <v>0.39962259999999999</v>
      </c>
      <c r="R4744">
        <v>-0.1769732</v>
      </c>
      <c r="S4744">
        <v>3.3721309999999902</v>
      </c>
      <c r="T4744">
        <v>-0.44477</v>
      </c>
      <c r="U4744">
        <v>-0.82025149999999902</v>
      </c>
      <c r="V4744">
        <v>0.14353189999999999</v>
      </c>
      <c r="W4744">
        <v>0.4121474</v>
      </c>
      <c r="X4744">
        <v>0.899740599999999</v>
      </c>
      <c r="Y4744">
        <v>0.1986966</v>
      </c>
      <c r="Z4744">
        <v>-9.9869829999999996E-3</v>
      </c>
      <c r="AA4744">
        <v>0.98001020000000005</v>
      </c>
      <c r="AB4744">
        <v>25</v>
      </c>
      <c r="AC4744">
        <v>0.60869999999999802</v>
      </c>
      <c r="AD4744">
        <v>-0.109068999999999</v>
      </c>
      <c r="AE4744">
        <v>-0.19342999999999899</v>
      </c>
      <c r="AF4744">
        <v>0.16594739865549599</v>
      </c>
      <c r="AG4744">
        <v>-0.109068999999999</v>
      </c>
      <c r="AH4744">
        <v>0.59799825725700395</v>
      </c>
      <c r="AI4744">
        <v>99.9678547814474</v>
      </c>
      <c r="AJ4744">
        <v>74.490409065463297</v>
      </c>
      <c r="AK4744">
        <v>0.63010832526156901</v>
      </c>
      <c r="AL4744">
        <v>65.660197747425599</v>
      </c>
      <c r="AM4744">
        <v>80.936212726428906</v>
      </c>
      <c r="AN4744">
        <v>1.0000000164663601</v>
      </c>
    </row>
    <row r="4745" spans="1:40" x14ac:dyDescent="0.25">
      <c r="A4745" t="str">
        <f>"20190304164741084"</f>
        <v>20190304164741084</v>
      </c>
      <c r="B4745" t="str">
        <f>"1551689261074080"</f>
        <v>1551689261074080</v>
      </c>
      <c r="C4745" t="s">
        <v>40</v>
      </c>
      <c r="D4745">
        <v>4.5570529999999998</v>
      </c>
      <c r="E4745">
        <v>0.47109020000000001</v>
      </c>
      <c r="F4745" t="s">
        <v>41</v>
      </c>
      <c r="G4745">
        <v>-338.12699999999899</v>
      </c>
      <c r="H4745">
        <v>1.0244610000000001</v>
      </c>
      <c r="I4745">
        <v>17.535520000000002</v>
      </c>
      <c r="J4745">
        <v>-338.72980000000001</v>
      </c>
      <c r="K4745">
        <v>1.1113770000000001</v>
      </c>
      <c r="L4745">
        <v>17.66864</v>
      </c>
      <c r="M4745">
        <v>0.99922469999999997</v>
      </c>
      <c r="N4745">
        <v>-1.3851860000000001E-2</v>
      </c>
      <c r="O4745">
        <v>-3.6850979999999998E-2</v>
      </c>
      <c r="P4745">
        <v>0.899586199999999</v>
      </c>
      <c r="Q4745">
        <v>0.39938590000000002</v>
      </c>
      <c r="R4745">
        <v>-0.1767358</v>
      </c>
      <c r="S4745">
        <v>3.3784179999999999</v>
      </c>
      <c r="T4745">
        <v>-0.34886790000000001</v>
      </c>
      <c r="U4745">
        <v>-0.56909180000000004</v>
      </c>
      <c r="V4745">
        <v>0.14338219999999999</v>
      </c>
      <c r="W4745">
        <v>0.41191800000000001</v>
      </c>
      <c r="X4745">
        <v>0.89986939999999904</v>
      </c>
      <c r="Y4745">
        <v>0.12903789999999901</v>
      </c>
      <c r="Z4745">
        <v>-4.2421580000000002E-3</v>
      </c>
      <c r="AA4745">
        <v>0.99163060000000003</v>
      </c>
      <c r="AB4745">
        <v>25</v>
      </c>
      <c r="AC4745">
        <v>0.60280000000005796</v>
      </c>
      <c r="AD4745">
        <v>-8.6915999999999993E-2</v>
      </c>
      <c r="AE4745">
        <v>-0.13311999999999799</v>
      </c>
      <c r="AF4745">
        <v>0.10865967987080601</v>
      </c>
      <c r="AG4745">
        <v>-8.6915999999999993E-2</v>
      </c>
      <c r="AH4745">
        <v>0.59549201131914997</v>
      </c>
      <c r="AI4745">
        <v>98.171012908854905</v>
      </c>
      <c r="AJ4745">
        <v>79.658982820028797</v>
      </c>
      <c r="AK4745">
        <v>0.611532544212124</v>
      </c>
      <c r="AL4745">
        <v>65.674620174715201</v>
      </c>
      <c r="AM4745">
        <v>80.946783855228205</v>
      </c>
      <c r="AN4745">
        <v>0.99999991552859602</v>
      </c>
    </row>
    <row r="4746" spans="1:40" x14ac:dyDescent="0.25">
      <c r="A4746" t="str">
        <f>"20190304164741106"</f>
        <v>20190304164741106</v>
      </c>
      <c r="B4746" t="str">
        <f>"1551689261093600"</f>
        <v>1551689261093600</v>
      </c>
      <c r="C4746" t="s">
        <v>40</v>
      </c>
      <c r="D4746">
        <v>4.5206010000000001</v>
      </c>
      <c r="E4746">
        <v>0.46931390000000001</v>
      </c>
      <c r="F4746" t="s">
        <v>41</v>
      </c>
      <c r="G4746">
        <v>-337.88979999999998</v>
      </c>
      <c r="H4746">
        <v>1.0464070000000001</v>
      </c>
      <c r="I4746">
        <v>17.610579999999999</v>
      </c>
      <c r="J4746">
        <v>-338.49869999999999</v>
      </c>
      <c r="K4746">
        <v>1.1114010000000001</v>
      </c>
      <c r="L4746">
        <v>17.66028</v>
      </c>
      <c r="M4746">
        <v>0.99923010000000001</v>
      </c>
      <c r="N4746">
        <v>-1.3849469999999999E-2</v>
      </c>
      <c r="O4746">
        <v>-3.670905E-2</v>
      </c>
      <c r="P4746">
        <v>0.89987530000000004</v>
      </c>
      <c r="Q4746">
        <v>0.3989394</v>
      </c>
      <c r="R4746">
        <v>-0.1762736</v>
      </c>
      <c r="S4746">
        <v>3.4057620000000002</v>
      </c>
      <c r="T4746">
        <v>-0.2634763</v>
      </c>
      <c r="U4746">
        <v>-0.23464969999999999</v>
      </c>
      <c r="V4746">
        <v>0.14302019999999999</v>
      </c>
      <c r="W4746">
        <v>0.41147919999999999</v>
      </c>
      <c r="X4746">
        <v>0.90012780000000003</v>
      </c>
      <c r="Y4746">
        <v>3.2023950000000002E-2</v>
      </c>
      <c r="Z4746">
        <v>8.6565220000000003E-4</v>
      </c>
      <c r="AA4746">
        <v>0.99948669999999995</v>
      </c>
      <c r="AB4746">
        <v>25</v>
      </c>
      <c r="AC4746">
        <v>0.60890000000000499</v>
      </c>
      <c r="AD4746">
        <v>-6.4994000000000204E-2</v>
      </c>
      <c r="AE4746">
        <v>-4.9700000000001403E-2</v>
      </c>
      <c r="AF4746">
        <v>2.70065518462143E-2</v>
      </c>
      <c r="AG4746">
        <v>-6.4994000000000204E-2</v>
      </c>
      <c r="AH4746">
        <v>0.60348388659365904</v>
      </c>
      <c r="AI4746">
        <v>96.140848442535898</v>
      </c>
      <c r="AJ4746">
        <v>87.437661935654006</v>
      </c>
      <c r="AK4746">
        <v>0.60757417263805003</v>
      </c>
      <c r="AL4746">
        <v>65.702209802287896</v>
      </c>
      <c r="AM4746">
        <v>80.971813308270598</v>
      </c>
      <c r="AN4746">
        <v>0.99999998298675996</v>
      </c>
    </row>
    <row r="4747" spans="1:40" x14ac:dyDescent="0.25">
      <c r="A4747" t="str">
        <f>"20190304164741118"</f>
        <v>20190304164741118</v>
      </c>
      <c r="B4747" t="str">
        <f>"1551689261114096"</f>
        <v>1551689261114096</v>
      </c>
      <c r="C4747" t="s">
        <v>40</v>
      </c>
      <c r="D4747">
        <v>4.4969390000000002</v>
      </c>
      <c r="E4747">
        <v>0.46923110000000001</v>
      </c>
      <c r="F4747" t="s">
        <v>41</v>
      </c>
      <c r="G4747">
        <v>-337.66890000000001</v>
      </c>
      <c r="H4747">
        <v>1.0459369999999999</v>
      </c>
      <c r="I4747">
        <v>17.606629999999999</v>
      </c>
      <c r="J4747">
        <v>-338.35599999999999</v>
      </c>
      <c r="K4747">
        <v>1.111407</v>
      </c>
      <c r="L4747">
        <v>17.655149999999999</v>
      </c>
      <c r="M4747">
        <v>0.99923360000000006</v>
      </c>
      <c r="N4747">
        <v>-1.3848030000000001E-2</v>
      </c>
      <c r="O4747">
        <v>-3.6614010000000002E-2</v>
      </c>
      <c r="P4747">
        <v>0.900254</v>
      </c>
      <c r="Q4747">
        <v>0.39842569999999999</v>
      </c>
      <c r="R4747">
        <v>-0.17549909999999999</v>
      </c>
      <c r="S4747">
        <v>3.4100649999999999</v>
      </c>
      <c r="T4747">
        <v>-0.26902959999999998</v>
      </c>
      <c r="U4747">
        <v>-0.21966550000000001</v>
      </c>
      <c r="V4747">
        <v>0.14230979999999999</v>
      </c>
      <c r="W4747">
        <v>0.4109719</v>
      </c>
      <c r="X4747">
        <v>0.9004721</v>
      </c>
      <c r="Y4747">
        <v>2.7674890000000001E-2</v>
      </c>
      <c r="Z4747">
        <v>1.0926429999999999E-3</v>
      </c>
      <c r="AA4747">
        <v>0.99961639999999996</v>
      </c>
      <c r="AB4747">
        <v>25</v>
      </c>
      <c r="AC4747">
        <v>0.68709999999998606</v>
      </c>
      <c r="AD4747">
        <v>-6.5469999999999903E-2</v>
      </c>
      <c r="AE4747">
        <v>-4.8519999999999897E-2</v>
      </c>
      <c r="AF4747">
        <v>2.3118706670403801E-2</v>
      </c>
      <c r="AG4747">
        <v>-6.5469999999999903E-2</v>
      </c>
      <c r="AH4747">
        <v>0.68225235022092201</v>
      </c>
      <c r="AI4747">
        <v>95.478282936718003</v>
      </c>
      <c r="AJ4747">
        <v>88.059225921807595</v>
      </c>
      <c r="AK4747">
        <v>0.68577624986586105</v>
      </c>
      <c r="AL4747">
        <v>65.734097128418298</v>
      </c>
      <c r="AM4747">
        <v>81.019303377260698</v>
      </c>
      <c r="AN4747">
        <v>0.99999999232202996</v>
      </c>
    </row>
    <row r="4748" spans="1:40" x14ac:dyDescent="0.25">
      <c r="A4748" t="str">
        <f>"20190304164741140"</f>
        <v>20190304164741140</v>
      </c>
      <c r="B4748" t="str">
        <f>"1551689261133615"</f>
        <v>1551689261133615</v>
      </c>
      <c r="C4748" t="s">
        <v>40</v>
      </c>
      <c r="D4748">
        <v>4.4822939999999996</v>
      </c>
      <c r="E4748">
        <v>0.46960809999999997</v>
      </c>
      <c r="F4748" t="s">
        <v>41</v>
      </c>
      <c r="G4748">
        <v>-337.45429999999999</v>
      </c>
      <c r="H4748">
        <v>1.039865</v>
      </c>
      <c r="I4748">
        <v>17.597390000000001</v>
      </c>
      <c r="J4748">
        <v>-338.11410000000001</v>
      </c>
      <c r="K4748">
        <v>1.111416</v>
      </c>
      <c r="L4748">
        <v>17.64648</v>
      </c>
      <c r="M4748">
        <v>0.99924000000000002</v>
      </c>
      <c r="N4748">
        <v>-1.384555E-2</v>
      </c>
      <c r="O4748">
        <v>-3.6440390000000003E-2</v>
      </c>
      <c r="P4748">
        <v>0.9007849</v>
      </c>
      <c r="Q4748">
        <v>0.39784130000000001</v>
      </c>
      <c r="R4748">
        <v>-0.17409530000000001</v>
      </c>
      <c r="S4748">
        <v>3.4097900000000001</v>
      </c>
      <c r="T4748">
        <v>-0.27055390000000001</v>
      </c>
      <c r="U4748">
        <v>-0.2172241</v>
      </c>
      <c r="V4748">
        <v>0.141035299999999</v>
      </c>
      <c r="W4748">
        <v>0.4103945</v>
      </c>
      <c r="X4748">
        <v>0.90093579999999995</v>
      </c>
      <c r="Y4748">
        <v>2.714254E-2</v>
      </c>
      <c r="Z4748">
        <v>1.116515E-3</v>
      </c>
      <c r="AA4748">
        <v>0.99963089999999999</v>
      </c>
      <c r="AB4748">
        <v>25</v>
      </c>
      <c r="AC4748">
        <v>0.65980000000001804</v>
      </c>
      <c r="AD4748">
        <v>-7.1550999999999906E-2</v>
      </c>
      <c r="AE4748">
        <v>-4.9089999999999599E-2</v>
      </c>
      <c r="AF4748">
        <v>2.4722580855284199E-2</v>
      </c>
      <c r="AG4748">
        <v>-7.1550999999999906E-2</v>
      </c>
      <c r="AH4748">
        <v>0.65350779133005599</v>
      </c>
      <c r="AI4748">
        <v>96.243858491746806</v>
      </c>
      <c r="AJ4748">
        <v>87.833500384248893</v>
      </c>
      <c r="AK4748">
        <v>0.65787778875276903</v>
      </c>
      <c r="AL4748">
        <v>65.770379850418294</v>
      </c>
      <c r="AM4748">
        <v>81.102947360415996</v>
      </c>
      <c r="AN4748">
        <v>0.99999995859898905</v>
      </c>
    </row>
    <row r="4749" spans="1:40" x14ac:dyDescent="0.25">
      <c r="A4749" t="str">
        <f>"20190304164741152"</f>
        <v>20190304164741152</v>
      </c>
      <c r="B4749" t="str">
        <f>"1551689261144352"</f>
        <v>1551689261144352</v>
      </c>
      <c r="C4749" t="s">
        <v>40</v>
      </c>
      <c r="D4749">
        <v>4.4736140000000004</v>
      </c>
      <c r="E4749">
        <v>0.46970830000000002</v>
      </c>
      <c r="F4749" t="s">
        <v>41</v>
      </c>
      <c r="G4749">
        <v>-337.23320000000001</v>
      </c>
      <c r="H4749">
        <v>1.0408919999999999</v>
      </c>
      <c r="I4749">
        <v>17.590260000000001</v>
      </c>
      <c r="J4749">
        <v>-337.9796</v>
      </c>
      <c r="K4749">
        <v>1.1114120000000001</v>
      </c>
      <c r="L4749">
        <v>17.641660000000002</v>
      </c>
      <c r="M4749">
        <v>0.99924360000000001</v>
      </c>
      <c r="N4749">
        <v>-1.384413E-2</v>
      </c>
      <c r="O4749">
        <v>-3.6339599999999903E-2</v>
      </c>
      <c r="P4749">
        <v>0.90105729999999995</v>
      </c>
      <c r="Q4749">
        <v>0.39770050000000001</v>
      </c>
      <c r="R4749">
        <v>-0.17300219999999999</v>
      </c>
      <c r="S4749">
        <v>3.4090579999999999</v>
      </c>
      <c r="T4749">
        <v>-0.27295399999999997</v>
      </c>
      <c r="U4749">
        <v>-0.21713260000000001</v>
      </c>
      <c r="V4749">
        <v>0.14002139999999999</v>
      </c>
      <c r="W4749">
        <v>0.41025669999999997</v>
      </c>
      <c r="X4749">
        <v>0.90115670000000003</v>
      </c>
      <c r="Y4749">
        <v>2.7229730000000001E-2</v>
      </c>
      <c r="Z4749">
        <v>1.1222440000000001E-3</v>
      </c>
      <c r="AA4749">
        <v>0.99962850000000003</v>
      </c>
      <c r="AB4749">
        <v>25</v>
      </c>
      <c r="AC4749">
        <v>0.74639999999999396</v>
      </c>
      <c r="AD4749">
        <v>-7.0520000000000096E-2</v>
      </c>
      <c r="AE4749">
        <v>-5.1400000000000903E-2</v>
      </c>
      <c r="AF4749">
        <v>2.40261097316402E-2</v>
      </c>
      <c r="AG4749">
        <v>-7.0520000000000096E-2</v>
      </c>
      <c r="AH4749">
        <v>0.74118993528895205</v>
      </c>
      <c r="AI4749">
        <v>95.432170253599494</v>
      </c>
      <c r="AJ4749">
        <v>88.143373564226295</v>
      </c>
      <c r="AK4749">
        <v>0.74492472406443699</v>
      </c>
      <c r="AL4749">
        <v>65.779038047048999</v>
      </c>
      <c r="AM4749">
        <v>81.168027016817305</v>
      </c>
      <c r="AN4749">
        <v>0.99999997515386896</v>
      </c>
    </row>
    <row r="4750" spans="1:40" x14ac:dyDescent="0.25">
      <c r="A4750" t="str">
        <f>"20190304164741163"</f>
        <v>20190304164741163</v>
      </c>
      <c r="B4750" t="str">
        <f>"1551689261154112"</f>
        <v>1551689261154112</v>
      </c>
      <c r="C4750" t="s">
        <v>40</v>
      </c>
      <c r="D4750">
        <v>4.4674480000000001</v>
      </c>
      <c r="E4750">
        <v>0.46995510000000001</v>
      </c>
      <c r="F4750" t="s">
        <v>42</v>
      </c>
      <c r="G4750">
        <v>-324.13959999999997</v>
      </c>
      <c r="H4750" s="1">
        <v>-3.2566899999999998E-6</v>
      </c>
      <c r="I4750">
        <v>16.763780000000001</v>
      </c>
      <c r="J4750">
        <v>-337.85390000000001</v>
      </c>
      <c r="K4750">
        <v>1.1114139999999999</v>
      </c>
      <c r="L4750">
        <v>17.637239999999998</v>
      </c>
      <c r="M4750">
        <v>0.99924710000000005</v>
      </c>
      <c r="N4750">
        <v>-1.3842719999999999E-2</v>
      </c>
      <c r="O4750">
        <v>-3.6243499999999998E-2</v>
      </c>
      <c r="P4750">
        <v>0.90123900000000001</v>
      </c>
      <c r="Q4750">
        <v>0.3977369</v>
      </c>
      <c r="R4750">
        <v>-0.17196989999999901</v>
      </c>
      <c r="S4750">
        <v>3.4086910000000001</v>
      </c>
      <c r="T4750">
        <v>-0.27373540000000002</v>
      </c>
      <c r="U4750">
        <v>-0.21621699999999999</v>
      </c>
      <c r="V4750">
        <v>0.13906940000000001</v>
      </c>
      <c r="W4750">
        <v>0.41029330000000003</v>
      </c>
      <c r="X4750">
        <v>0.90128750000000002</v>
      </c>
      <c r="Y4750">
        <v>2.706571E-2</v>
      </c>
      <c r="Z4750">
        <v>1.1290510000000001E-3</v>
      </c>
      <c r="AA4750">
        <v>0.99963299999999999</v>
      </c>
      <c r="AB4750">
        <v>25</v>
      </c>
      <c r="AC4750">
        <v>13.7143</v>
      </c>
      <c r="AD4750">
        <v>-1.11141725668999</v>
      </c>
      <c r="AE4750">
        <v>-0.87345999999999702</v>
      </c>
      <c r="AF4750">
        <v>0.37334209239815702</v>
      </c>
      <c r="AG4750">
        <v>-1.11141725668999</v>
      </c>
      <c r="AH4750">
        <v>13.647677669117099</v>
      </c>
      <c r="AI4750">
        <v>94.653952769932303</v>
      </c>
      <c r="AJ4750">
        <v>88.433023312961197</v>
      </c>
      <c r="AK4750">
        <v>13.697946502908501</v>
      </c>
      <c r="AL4750">
        <v>65.776739835946003</v>
      </c>
      <c r="AM4750">
        <v>81.228391367768197</v>
      </c>
      <c r="AN4750">
        <v>1.0000000238487401</v>
      </c>
    </row>
    <row r="4751" spans="1:40" x14ac:dyDescent="0.25">
      <c r="A4751" t="str">
        <f>"20190304164741176"</f>
        <v>20190304164741176</v>
      </c>
      <c r="B4751" t="str">
        <f>"1551689261163874"</f>
        <v>1551689261163874</v>
      </c>
      <c r="C4751" t="s">
        <v>40</v>
      </c>
      <c r="D4751">
        <v>4.4751989999999999</v>
      </c>
      <c r="E4751">
        <v>0.47025400000000001</v>
      </c>
      <c r="F4751" t="s">
        <v>41</v>
      </c>
      <c r="G4751">
        <v>-337.01100000000002</v>
      </c>
      <c r="H4751">
        <v>1.043477</v>
      </c>
      <c r="I4751">
        <v>17.583449999999999</v>
      </c>
      <c r="J4751">
        <v>-337.72019999999998</v>
      </c>
      <c r="K4751">
        <v>1.111416</v>
      </c>
      <c r="L4751">
        <v>17.63251</v>
      </c>
      <c r="M4751">
        <v>0.99925079999999999</v>
      </c>
      <c r="N4751">
        <v>-1.384123E-2</v>
      </c>
      <c r="O4751">
        <v>-3.6140489999999997E-2</v>
      </c>
      <c r="P4751">
        <v>0.90120069999999997</v>
      </c>
      <c r="Q4751">
        <v>0.39817629999999998</v>
      </c>
      <c r="R4751">
        <v>-0.1711521</v>
      </c>
      <c r="S4751">
        <v>3.4087830000000001</v>
      </c>
      <c r="T4751">
        <v>-0.2747484</v>
      </c>
      <c r="U4751">
        <v>-0.2161255</v>
      </c>
      <c r="V4751">
        <v>0.13834659999999999</v>
      </c>
      <c r="W4751">
        <v>0.41073029999999999</v>
      </c>
      <c r="X4751">
        <v>0.90119970000000005</v>
      </c>
      <c r="Y4751">
        <v>2.713983E-2</v>
      </c>
      <c r="Z4751">
        <v>1.1254450000000001E-3</v>
      </c>
      <c r="AA4751">
        <v>0.99963100000000005</v>
      </c>
      <c r="AB4751">
        <v>25</v>
      </c>
      <c r="AC4751">
        <v>0.70920000000000905</v>
      </c>
      <c r="AD4751">
        <v>-6.7938999999999902E-2</v>
      </c>
      <c r="AE4751">
        <v>-4.90600000000007E-2</v>
      </c>
      <c r="AF4751">
        <v>2.3182914844183899E-2</v>
      </c>
      <c r="AG4751">
        <v>-6.7938999999999902E-2</v>
      </c>
      <c r="AH4751">
        <v>0.70407926241908603</v>
      </c>
      <c r="AI4751">
        <v>95.508633626407999</v>
      </c>
      <c r="AJ4751">
        <v>88.114127859054904</v>
      </c>
      <c r="AK4751">
        <v>0.70772930067242301</v>
      </c>
      <c r="AL4751">
        <v>65.749281414837299</v>
      </c>
      <c r="AM4751">
        <v>81.2724402605905</v>
      </c>
      <c r="AN4751">
        <v>1.0000000301748599</v>
      </c>
    </row>
    <row r="4752" spans="1:40" x14ac:dyDescent="0.25">
      <c r="A4752" t="str">
        <f>"20190304164741195"</f>
        <v>20190304164741195</v>
      </c>
      <c r="B4752" t="str">
        <f>"1551689261184368"</f>
        <v>1551689261184368</v>
      </c>
      <c r="C4752" t="s">
        <v>40</v>
      </c>
      <c r="D4752">
        <v>4.4812459999999996</v>
      </c>
      <c r="E4752">
        <v>0.4707807</v>
      </c>
      <c r="F4752" t="s">
        <v>41</v>
      </c>
      <c r="G4752">
        <v>-336.79660000000001</v>
      </c>
      <c r="H4752">
        <v>1.037137</v>
      </c>
      <c r="I4752">
        <v>17.573619999999998</v>
      </c>
      <c r="J4752">
        <v>-337.5154</v>
      </c>
      <c r="K4752">
        <v>1.1114090000000001</v>
      </c>
      <c r="L4752">
        <v>17.62527</v>
      </c>
      <c r="M4752">
        <v>0.9992567</v>
      </c>
      <c r="N4752">
        <v>-1.383907E-2</v>
      </c>
      <c r="O4752">
        <v>-3.5982680000000003E-2</v>
      </c>
      <c r="P4752">
        <v>0.90146360000000003</v>
      </c>
      <c r="Q4752">
        <v>0.39841530000000003</v>
      </c>
      <c r="R4752">
        <v>-0.1692005</v>
      </c>
      <c r="S4752">
        <v>3.4089049999999999</v>
      </c>
      <c r="T4752">
        <v>-0.27415060000000002</v>
      </c>
      <c r="U4752">
        <v>-0.21664430000000001</v>
      </c>
      <c r="V4752">
        <v>0.1365314</v>
      </c>
      <c r="W4752">
        <v>0.41096840000000001</v>
      </c>
      <c r="X4752">
        <v>0.90136799999999995</v>
      </c>
      <c r="Y4752">
        <v>2.7445480000000001E-2</v>
      </c>
      <c r="Z4752">
        <v>1.0966999999999999E-3</v>
      </c>
      <c r="AA4752">
        <v>0.99962269999999998</v>
      </c>
      <c r="AB4752">
        <v>25</v>
      </c>
      <c r="AC4752">
        <v>0.718799999999987</v>
      </c>
      <c r="AD4752">
        <v>-7.4272000000000102E-2</v>
      </c>
      <c r="AE4752">
        <v>-5.16499999999986E-2</v>
      </c>
      <c r="AF4752">
        <v>2.5479087792119302E-2</v>
      </c>
      <c r="AG4752">
        <v>-7.4272000000000102E-2</v>
      </c>
      <c r="AH4752">
        <v>0.71262377282913902</v>
      </c>
      <c r="AI4752">
        <v>95.946300714594102</v>
      </c>
      <c r="AJ4752">
        <v>87.952323977262196</v>
      </c>
      <c r="AK4752">
        <v>0.71693664678265301</v>
      </c>
      <c r="AL4752">
        <v>65.734318851558498</v>
      </c>
      <c r="AM4752">
        <v>81.386806881099503</v>
      </c>
      <c r="AN4752">
        <v>1.00000006020425</v>
      </c>
    </row>
    <row r="4753" spans="1:40" x14ac:dyDescent="0.25">
      <c r="A4753" t="str">
        <f>"20190304164741207"</f>
        <v>20190304164741207</v>
      </c>
      <c r="B4753" t="str">
        <f>"1551689261203888"</f>
        <v>1551689261203888</v>
      </c>
      <c r="C4753" t="s">
        <v>40</v>
      </c>
      <c r="D4753">
        <v>4.4629019999999997</v>
      </c>
      <c r="E4753">
        <v>0.47114309999999998</v>
      </c>
      <c r="F4753" t="s">
        <v>41</v>
      </c>
      <c r="G4753">
        <v>-336.57810000000001</v>
      </c>
      <c r="H4753">
        <v>1.035758</v>
      </c>
      <c r="I4753">
        <v>17.56549</v>
      </c>
      <c r="J4753">
        <v>-337.37529999999998</v>
      </c>
      <c r="K4753">
        <v>1.1114059999999999</v>
      </c>
      <c r="L4753">
        <v>17.620329999999999</v>
      </c>
      <c r="M4753">
        <v>0.99926040000000005</v>
      </c>
      <c r="N4753">
        <v>-1.383763E-2</v>
      </c>
      <c r="O4753">
        <v>-3.5875770000000001E-2</v>
      </c>
      <c r="P4753">
        <v>0.90145050000000004</v>
      </c>
      <c r="Q4753">
        <v>0.39874870000000001</v>
      </c>
      <c r="R4753">
        <v>-0.1684831</v>
      </c>
      <c r="S4753">
        <v>3.4089659999999999</v>
      </c>
      <c r="T4753">
        <v>-0.27514509999999998</v>
      </c>
      <c r="U4753">
        <v>-0.21609500000000001</v>
      </c>
      <c r="V4753">
        <v>0.1359136</v>
      </c>
      <c r="W4753">
        <v>0.41129919999999998</v>
      </c>
      <c r="X4753">
        <v>0.90131039999999996</v>
      </c>
      <c r="Y4753">
        <v>2.7390830000000001E-2</v>
      </c>
      <c r="Z4753">
        <v>1.0986629999999999E-3</v>
      </c>
      <c r="AA4753">
        <v>0.99962419999999996</v>
      </c>
      <c r="AB4753">
        <v>25</v>
      </c>
      <c r="AC4753">
        <v>0.79719999999997504</v>
      </c>
      <c r="AD4753">
        <v>-7.5647999999999896E-2</v>
      </c>
      <c r="AE4753">
        <v>-5.4839999999998598E-2</v>
      </c>
      <c r="AF4753">
        <v>2.5969049171515102E-2</v>
      </c>
      <c r="AG4753">
        <v>-7.5647999999999896E-2</v>
      </c>
      <c r="AH4753">
        <v>0.79156027961416997</v>
      </c>
      <c r="AI4753">
        <v>95.456157897806804</v>
      </c>
      <c r="AJ4753">
        <v>88.120947361748804</v>
      </c>
      <c r="AK4753">
        <v>0.79559077903262199</v>
      </c>
      <c r="AL4753">
        <v>65.713525008732304</v>
      </c>
      <c r="AM4753">
        <v>81.424660806931101</v>
      </c>
      <c r="AN4753">
        <v>0.99999998786687905</v>
      </c>
    </row>
    <row r="4754" spans="1:40" x14ac:dyDescent="0.25">
      <c r="A4754" t="str">
        <f>"20190304164741219"</f>
        <v>20190304164741219</v>
      </c>
      <c r="B4754" t="str">
        <f>"1551689261213648"</f>
        <v>1551689261213648</v>
      </c>
      <c r="C4754" t="s">
        <v>40</v>
      </c>
      <c r="D4754">
        <v>4.4768999999999997</v>
      </c>
      <c r="E4754">
        <v>0.47119490000000003</v>
      </c>
      <c r="F4754" t="s">
        <v>41</v>
      </c>
      <c r="G4754">
        <v>-336.56970000000001</v>
      </c>
      <c r="H4754">
        <v>1.0464150000000001</v>
      </c>
      <c r="I4754">
        <v>17.56861</v>
      </c>
      <c r="J4754">
        <v>-337.24829999999997</v>
      </c>
      <c r="K4754">
        <v>1.111405</v>
      </c>
      <c r="L4754">
        <v>17.61591</v>
      </c>
      <c r="M4754">
        <v>0.99926400000000004</v>
      </c>
      <c r="N4754">
        <v>-1.3836330000000001E-2</v>
      </c>
      <c r="O4754">
        <v>-3.5780310000000003E-2</v>
      </c>
      <c r="P4754">
        <v>0.90167240000000004</v>
      </c>
      <c r="Q4754">
        <v>0.39857300000000001</v>
      </c>
      <c r="R4754">
        <v>-0.16771059999999999</v>
      </c>
      <c r="S4754">
        <v>3.409027</v>
      </c>
      <c r="T4754">
        <v>-0.27501199999999998</v>
      </c>
      <c r="U4754">
        <v>-0.21725459999999999</v>
      </c>
      <c r="V4754">
        <v>0.13522210000000001</v>
      </c>
      <c r="W4754">
        <v>0.41112409999999999</v>
      </c>
      <c r="X4754">
        <v>0.90149429999999997</v>
      </c>
      <c r="Y4754">
        <v>2.7822039999999999E-2</v>
      </c>
      <c r="Z4754">
        <v>1.0711220000000001E-3</v>
      </c>
      <c r="AA4754">
        <v>0.99961230000000001</v>
      </c>
      <c r="AB4754">
        <v>25</v>
      </c>
      <c r="AC4754">
        <v>0.67859999999996001</v>
      </c>
      <c r="AD4754">
        <v>-6.4990000000000103E-2</v>
      </c>
      <c r="AE4754">
        <v>-4.7299999999999898E-2</v>
      </c>
      <c r="AF4754">
        <v>2.27789478157184E-2</v>
      </c>
      <c r="AG4754">
        <v>-6.4990000000000103E-2</v>
      </c>
      <c r="AH4754">
        <v>0.673708568603827</v>
      </c>
      <c r="AI4754">
        <v>95.506920244188905</v>
      </c>
      <c r="AJ4754">
        <v>88.063494175783305</v>
      </c>
      <c r="AK4754">
        <v>0.67721917868132497</v>
      </c>
      <c r="AL4754">
        <v>65.724531605425895</v>
      </c>
      <c r="AM4754">
        <v>81.469361502998794</v>
      </c>
      <c r="AN4754">
        <v>1.0000000074308499</v>
      </c>
    </row>
    <row r="4755" spans="1:40" x14ac:dyDescent="0.25">
      <c r="A4755" t="str">
        <f>"20190304164741231"</f>
        <v>20190304164741231</v>
      </c>
      <c r="B4755" t="str">
        <f>"1551689261224385"</f>
        <v>1551689261224385</v>
      </c>
      <c r="C4755" t="s">
        <v>40</v>
      </c>
      <c r="D4755">
        <v>4.4882929999999996</v>
      </c>
      <c r="E4755">
        <v>0.4713096</v>
      </c>
      <c r="F4755" t="s">
        <v>41</v>
      </c>
      <c r="G4755">
        <v>-336.35739999999998</v>
      </c>
      <c r="H4755">
        <v>1.0392429999999999</v>
      </c>
      <c r="I4755">
        <v>17.55941</v>
      </c>
      <c r="J4755">
        <v>-337.11649999999997</v>
      </c>
      <c r="K4755">
        <v>1.111407</v>
      </c>
      <c r="L4755">
        <v>17.6113</v>
      </c>
      <c r="M4755">
        <v>0.99926749999999998</v>
      </c>
      <c r="N4755">
        <v>-1.383497E-2</v>
      </c>
      <c r="O4755">
        <v>-3.5681989999999997E-2</v>
      </c>
      <c r="P4755">
        <v>0.90195559999999997</v>
      </c>
      <c r="Q4755">
        <v>0.39827109999999999</v>
      </c>
      <c r="R4755">
        <v>-0.16690260000000001</v>
      </c>
      <c r="S4755">
        <v>3.4091490000000002</v>
      </c>
      <c r="T4755">
        <v>-0.27614050000000001</v>
      </c>
      <c r="U4755">
        <v>-0.215332</v>
      </c>
      <c r="V4755">
        <v>0.13449549999999999</v>
      </c>
      <c r="W4755">
        <v>0.4108232</v>
      </c>
      <c r="X4755">
        <v>0.90174010000000004</v>
      </c>
      <c r="Y4755">
        <v>2.7358179999999999E-2</v>
      </c>
      <c r="Z4755">
        <v>1.0937340000000001E-3</v>
      </c>
      <c r="AA4755">
        <v>0.99962510000000004</v>
      </c>
      <c r="AB4755">
        <v>25</v>
      </c>
      <c r="AC4755">
        <v>0.75909999999998901</v>
      </c>
      <c r="AD4755">
        <v>-7.2163999999999895E-2</v>
      </c>
      <c r="AE4755">
        <v>-5.18900000000002E-2</v>
      </c>
      <c r="AF4755">
        <v>2.45473483823056E-2</v>
      </c>
      <c r="AG4755">
        <v>-7.2163999999999895E-2</v>
      </c>
      <c r="AH4755">
        <v>0.75368852392347196</v>
      </c>
      <c r="AI4755">
        <v>95.466389721740896</v>
      </c>
      <c r="AJ4755">
        <v>88.134557688672501</v>
      </c>
      <c r="AK4755">
        <v>0.75753323775432102</v>
      </c>
      <c r="AL4755">
        <v>65.743441909762893</v>
      </c>
      <c r="AM4755">
        <v>81.516810138281897</v>
      </c>
      <c r="AN4755">
        <v>0.99999997456324896</v>
      </c>
    </row>
    <row r="4756" spans="1:40" x14ac:dyDescent="0.25">
      <c r="A4756" t="str">
        <f>"20190304164741241"</f>
        <v>20190304164741241</v>
      </c>
      <c r="B4756" t="str">
        <f>"1551689261234144"</f>
        <v>1551689261234144</v>
      </c>
      <c r="C4756" t="s">
        <v>40</v>
      </c>
      <c r="D4756">
        <v>4.4883749999999996</v>
      </c>
      <c r="E4756">
        <v>0.47143279999999899</v>
      </c>
      <c r="F4756" t="s">
        <v>41</v>
      </c>
      <c r="G4756">
        <v>-336.33969999999999</v>
      </c>
      <c r="H4756">
        <v>1.048146</v>
      </c>
      <c r="I4756">
        <v>17.56249</v>
      </c>
      <c r="J4756">
        <v>-336.99349999999998</v>
      </c>
      <c r="K4756">
        <v>1.1114059999999999</v>
      </c>
      <c r="L4756">
        <v>17.60699</v>
      </c>
      <c r="M4756">
        <v>0.99927060000000001</v>
      </c>
      <c r="N4756">
        <v>-1.3833720000000001E-2</v>
      </c>
      <c r="O4756">
        <v>-3.5592119999999998E-2</v>
      </c>
      <c r="P4756">
        <v>0.90219490000000002</v>
      </c>
      <c r="Q4756">
        <v>0.39806380000000002</v>
      </c>
      <c r="R4756">
        <v>-0.1661021</v>
      </c>
      <c r="S4756">
        <v>3.4092410000000002</v>
      </c>
      <c r="T4756">
        <v>-0.27772269999999999</v>
      </c>
      <c r="U4756">
        <v>-0.21328739999999999</v>
      </c>
      <c r="V4756">
        <v>0.13377020000000001</v>
      </c>
      <c r="W4756">
        <v>0.4106168</v>
      </c>
      <c r="X4756">
        <v>0.90194200000000002</v>
      </c>
      <c r="Y4756">
        <v>2.6850969999999998E-2</v>
      </c>
      <c r="Z4756">
        <v>1.122006E-3</v>
      </c>
      <c r="AA4756">
        <v>0.99963880000000005</v>
      </c>
      <c r="AB4756">
        <v>25</v>
      </c>
      <c r="AC4756">
        <v>0.65379999999998895</v>
      </c>
      <c r="AD4756">
        <v>-6.3259999999999803E-2</v>
      </c>
      <c r="AE4756">
        <v>-4.4499999999999297E-2</v>
      </c>
      <c r="AF4756">
        <v>2.1003713287661901E-2</v>
      </c>
      <c r="AG4756">
        <v>-6.3259999999999803E-2</v>
      </c>
      <c r="AH4756">
        <v>0.64892247747762699</v>
      </c>
      <c r="AI4756">
        <v>95.564971630242496</v>
      </c>
      <c r="AJ4756">
        <v>88.146151220194795</v>
      </c>
      <c r="AK4756">
        <v>0.652336849601164</v>
      </c>
      <c r="AL4756">
        <v>65.756412822991507</v>
      </c>
      <c r="AM4756">
        <v>81.563759139918602</v>
      </c>
      <c r="AN4756">
        <v>0.99999999710714005</v>
      </c>
    </row>
    <row r="4757" spans="1:40" x14ac:dyDescent="0.25">
      <c r="A4757" t="str">
        <f>"20190304164741254"</f>
        <v>20190304164741254</v>
      </c>
      <c r="B4757" t="str">
        <f>"1551689261243904"</f>
        <v>1551689261243904</v>
      </c>
      <c r="C4757" t="s">
        <v>40</v>
      </c>
      <c r="D4757">
        <v>4.479616</v>
      </c>
      <c r="E4757">
        <v>0.47155429999999998</v>
      </c>
      <c r="F4757" t="s">
        <v>41</v>
      </c>
      <c r="G4757">
        <v>-336.13659999999999</v>
      </c>
      <c r="H4757">
        <v>1.0413239999999999</v>
      </c>
      <c r="I4757">
        <v>17.553529999999999</v>
      </c>
      <c r="J4757">
        <v>-336.86259999999999</v>
      </c>
      <c r="K4757">
        <v>1.111402</v>
      </c>
      <c r="L4757">
        <v>17.60248</v>
      </c>
      <c r="M4757">
        <v>0.9992742</v>
      </c>
      <c r="N4757">
        <v>-1.3832399999999899E-2</v>
      </c>
      <c r="O4757">
        <v>-3.5497140000000003E-2</v>
      </c>
      <c r="P4757">
        <v>0.90260649999999998</v>
      </c>
      <c r="Q4757">
        <v>0.39745659999999999</v>
      </c>
      <c r="R4757">
        <v>-0.1653193</v>
      </c>
      <c r="S4757">
        <v>3.4092410000000002</v>
      </c>
      <c r="T4757">
        <v>-0.2787772</v>
      </c>
      <c r="U4757">
        <v>-0.21176149999999999</v>
      </c>
      <c r="V4757">
        <v>0.1330615</v>
      </c>
      <c r="W4757">
        <v>0.41001310000000002</v>
      </c>
      <c r="X4757">
        <v>0.90232140000000005</v>
      </c>
      <c r="Y4757">
        <v>2.6501469999999999E-2</v>
      </c>
      <c r="Z4757">
        <v>1.1391610000000001E-3</v>
      </c>
      <c r="AA4757">
        <v>0.99964819999999999</v>
      </c>
      <c r="AB4757">
        <v>25</v>
      </c>
      <c r="AC4757">
        <v>0.72599999999999898</v>
      </c>
      <c r="AD4757">
        <v>-7.0078000000000001E-2</v>
      </c>
      <c r="AE4757">
        <v>-4.8950000000001298E-2</v>
      </c>
      <c r="AF4757">
        <v>2.2933052088477499E-2</v>
      </c>
      <c r="AG4757">
        <v>-7.0078000000000001E-2</v>
      </c>
      <c r="AH4757">
        <v>0.72059649142230797</v>
      </c>
      <c r="AI4757">
        <v>95.551753758461203</v>
      </c>
      <c r="AJ4757">
        <v>88.177171593696301</v>
      </c>
      <c r="AK4757">
        <v>0.72435913358791404</v>
      </c>
      <c r="AL4757">
        <v>65.794342452854295</v>
      </c>
      <c r="AM4757">
        <v>81.611293715534799</v>
      </c>
      <c r="AN4757">
        <v>1.0000000069259101</v>
      </c>
    </row>
    <row r="4758" spans="1:40" x14ac:dyDescent="0.25">
      <c r="A4758" t="str">
        <f>"20190304164741268"</f>
        <v>20190304164741268</v>
      </c>
      <c r="B4758" t="str">
        <f>"1551689261264401"</f>
        <v>1551689261264401</v>
      </c>
      <c r="C4758" t="s">
        <v>40</v>
      </c>
      <c r="D4758">
        <v>4.5095879999999999</v>
      </c>
      <c r="E4758">
        <v>0.47183340000000001</v>
      </c>
      <c r="F4758" t="s">
        <v>41</v>
      </c>
      <c r="G4758">
        <v>-335.923</v>
      </c>
      <c r="H4758">
        <v>1.033868</v>
      </c>
      <c r="I4758">
        <v>17.544339999999998</v>
      </c>
      <c r="J4758">
        <v>-336.71199999999999</v>
      </c>
      <c r="K4758">
        <v>1.1113999999999999</v>
      </c>
      <c r="L4758">
        <v>17.59723</v>
      </c>
      <c r="M4758">
        <v>0.999278</v>
      </c>
      <c r="N4758">
        <v>-1.383086E-2</v>
      </c>
      <c r="O4758">
        <v>-3.5389400000000001E-2</v>
      </c>
      <c r="P4758">
        <v>0.90273579999999998</v>
      </c>
      <c r="Q4758">
        <v>0.39745130000000001</v>
      </c>
      <c r="R4758">
        <v>-0.16462289999999999</v>
      </c>
      <c r="S4758">
        <v>3.4090880000000001</v>
      </c>
      <c r="T4758">
        <v>-0.28128340000000002</v>
      </c>
      <c r="U4758">
        <v>-0.21008299999999999</v>
      </c>
      <c r="V4758">
        <v>0.13246079999999999</v>
      </c>
      <c r="W4758">
        <v>0.4100066</v>
      </c>
      <c r="X4758">
        <v>0.90241269999999996</v>
      </c>
      <c r="Y4758">
        <v>2.6123009999999999E-2</v>
      </c>
      <c r="Z4758">
        <v>1.166428E-3</v>
      </c>
      <c r="AA4758">
        <v>0.99965800000000005</v>
      </c>
      <c r="AB4758">
        <v>24</v>
      </c>
      <c r="AC4758">
        <v>0.78899999999998705</v>
      </c>
      <c r="AD4758">
        <v>-7.7531999999999907E-2</v>
      </c>
      <c r="AE4758">
        <v>-5.2890000000001401E-2</v>
      </c>
      <c r="AF4758">
        <v>2.4694568891165801E-2</v>
      </c>
      <c r="AG4758">
        <v>-7.7531999999999907E-2</v>
      </c>
      <c r="AH4758">
        <v>0.78285201077432898</v>
      </c>
      <c r="AI4758">
        <v>95.653214401607897</v>
      </c>
      <c r="AJ4758">
        <v>88.1932401790055</v>
      </c>
      <c r="AK4758">
        <v>0.78706944009415702</v>
      </c>
      <c r="AL4758">
        <v>65.794750038637304</v>
      </c>
      <c r="AM4758">
        <v>81.649461865635701</v>
      </c>
      <c r="AN4758">
        <v>0.99999997835074395</v>
      </c>
    </row>
    <row r="4759" spans="1:40" x14ac:dyDescent="0.25">
      <c r="A4759" t="str">
        <f>"20190304164741285"</f>
        <v>20190304164741285</v>
      </c>
      <c r="B4759" t="str">
        <f>"1551689261274160"</f>
        <v>1551689261274160</v>
      </c>
      <c r="C4759" t="s">
        <v>40</v>
      </c>
      <c r="D4759">
        <v>4.5107109999999997</v>
      </c>
      <c r="E4759">
        <v>0.47195860000000001</v>
      </c>
      <c r="F4759" t="s">
        <v>41</v>
      </c>
      <c r="G4759">
        <v>-335.91419999999999</v>
      </c>
      <c r="H4759">
        <v>1.0454699999999999</v>
      </c>
      <c r="I4759">
        <v>17.547910000000002</v>
      </c>
      <c r="J4759">
        <v>-336.5292</v>
      </c>
      <c r="K4759">
        <v>1.1113999999999999</v>
      </c>
      <c r="L4759">
        <v>17.590910000000001</v>
      </c>
      <c r="M4759">
        <v>0.99928269999999997</v>
      </c>
      <c r="N4759">
        <v>-1.3829009999999999E-2</v>
      </c>
      <c r="O4759">
        <v>-3.5259970000000002E-2</v>
      </c>
      <c r="P4759">
        <v>0.90319260000000001</v>
      </c>
      <c r="Q4759">
        <v>0.39697719999999997</v>
      </c>
      <c r="R4759">
        <v>-0.16325580000000001</v>
      </c>
      <c r="S4759">
        <v>3.4089969999999998</v>
      </c>
      <c r="T4759">
        <v>-0.2816533</v>
      </c>
      <c r="U4759">
        <v>-0.20971679999999901</v>
      </c>
      <c r="V4759">
        <v>0.13119829999999999</v>
      </c>
      <c r="W4759">
        <v>0.4095356</v>
      </c>
      <c r="X4759">
        <v>0.90281100000000003</v>
      </c>
      <c r="Y4759">
        <v>2.6146780000000001E-2</v>
      </c>
      <c r="Z4759">
        <v>1.1589700000000001E-3</v>
      </c>
      <c r="AA4759">
        <v>0.99965749999999998</v>
      </c>
      <c r="AB4759">
        <v>24</v>
      </c>
      <c r="AC4759">
        <v>0.61500000000000898</v>
      </c>
      <c r="AD4759">
        <v>-6.5929999999999794E-2</v>
      </c>
      <c r="AE4759">
        <v>-4.2999999999999199E-2</v>
      </c>
      <c r="AF4759">
        <v>2.10456147095987E-2</v>
      </c>
      <c r="AG4759">
        <v>-6.5929999999999794E-2</v>
      </c>
      <c r="AH4759">
        <v>0.60916701092898795</v>
      </c>
      <c r="AI4759">
        <v>96.173410023349305</v>
      </c>
      <c r="AJ4759">
        <v>88.021321782956804</v>
      </c>
      <c r="AK4759">
        <v>0.61308574441317898</v>
      </c>
      <c r="AL4759">
        <v>65.824336069022493</v>
      </c>
      <c r="AM4759">
        <v>81.731544273494507</v>
      </c>
      <c r="AN4759">
        <v>1.00000005165562</v>
      </c>
    </row>
    <row r="4760" spans="1:40" x14ac:dyDescent="0.25">
      <c r="A4760" t="str">
        <f>"20190304164741307"</f>
        <v>20190304164741307</v>
      </c>
      <c r="B4760" t="str">
        <f>"1551689261304416"</f>
        <v>1551689261304416</v>
      </c>
      <c r="C4760" t="s">
        <v>40</v>
      </c>
      <c r="D4760">
        <v>4.5029240000000001</v>
      </c>
      <c r="E4760">
        <v>0.47242210000000001</v>
      </c>
      <c r="F4760" t="s">
        <v>41</v>
      </c>
      <c r="G4760">
        <v>-335.69889999999998</v>
      </c>
      <c r="H4760">
        <v>1.042297</v>
      </c>
      <c r="I4760">
        <v>17.540510000000001</v>
      </c>
      <c r="J4760">
        <v>-336.2955</v>
      </c>
      <c r="K4760">
        <v>1.1113999999999999</v>
      </c>
      <c r="L4760">
        <v>17.582889999999999</v>
      </c>
      <c r="M4760">
        <v>0.99928839999999997</v>
      </c>
      <c r="N4760">
        <v>-1.3826639999999999E-2</v>
      </c>
      <c r="O4760">
        <v>-3.5095609999999999E-2</v>
      </c>
      <c r="P4760">
        <v>0.90315319999999999</v>
      </c>
      <c r="Q4760">
        <v>0.39741890000000002</v>
      </c>
      <c r="R4760">
        <v>-0.1623975</v>
      </c>
      <c r="S4760">
        <v>3.4089969999999998</v>
      </c>
      <c r="T4760">
        <v>-0.28370580000000001</v>
      </c>
      <c r="U4760">
        <v>-0.2062988</v>
      </c>
      <c r="V4760">
        <v>0.13049349999999901</v>
      </c>
      <c r="W4760">
        <v>0.40997270000000002</v>
      </c>
      <c r="X4760">
        <v>0.90271469999999998</v>
      </c>
      <c r="Y4760">
        <v>2.531562E-2</v>
      </c>
      <c r="Z4760">
        <v>1.201319E-3</v>
      </c>
      <c r="AA4760">
        <v>0.99967879999999998</v>
      </c>
      <c r="AB4760">
        <v>24</v>
      </c>
      <c r="AC4760">
        <v>0.596600000000023</v>
      </c>
      <c r="AD4760">
        <v>-6.9102999999999901E-2</v>
      </c>
      <c r="AE4760">
        <v>-4.2379999999997801E-2</v>
      </c>
      <c r="AF4760">
        <v>2.1131763399778101E-2</v>
      </c>
      <c r="AG4760">
        <v>-6.9102999999999901E-2</v>
      </c>
      <c r="AH4760">
        <v>0.58984617166541398</v>
      </c>
      <c r="AI4760">
        <v>96.677740858961698</v>
      </c>
      <c r="AJ4760">
        <v>87.948205292157894</v>
      </c>
      <c r="AK4760">
        <v>0.59425607465277897</v>
      </c>
      <c r="AL4760">
        <v>65.796880102861394</v>
      </c>
      <c r="AM4760">
        <v>81.774487926095404</v>
      </c>
      <c r="AN4760">
        <v>0.99999999894181502</v>
      </c>
    </row>
    <row r="4761" spans="1:40" x14ac:dyDescent="0.25">
      <c r="A4761" t="str">
        <f>"20190304164741320"</f>
        <v>20190304164741320</v>
      </c>
      <c r="B4761" t="str">
        <f>"1551689261314176"</f>
        <v>1551689261314176</v>
      </c>
      <c r="C4761" t="s">
        <v>40</v>
      </c>
      <c r="D4761">
        <v>4.5034229999999997</v>
      </c>
      <c r="E4761">
        <v>0.47260530000000001</v>
      </c>
      <c r="F4761" t="s">
        <v>41</v>
      </c>
      <c r="G4761">
        <v>-335.47980000000001</v>
      </c>
      <c r="H4761">
        <v>1.0436909999999999</v>
      </c>
      <c r="I4761">
        <v>17.53322</v>
      </c>
      <c r="J4761">
        <v>-336.15249999999997</v>
      </c>
      <c r="K4761">
        <v>1.1113980000000001</v>
      </c>
      <c r="L4761">
        <v>17.577970000000001</v>
      </c>
      <c r="M4761">
        <v>0.99929179999999995</v>
      </c>
      <c r="N4761">
        <v>-1.3825199999999999E-2</v>
      </c>
      <c r="O4761">
        <v>-3.4995369999999998E-2</v>
      </c>
      <c r="P4761">
        <v>0.90316399999999997</v>
      </c>
      <c r="Q4761">
        <v>0.39748240000000001</v>
      </c>
      <c r="R4761">
        <v>-0.1621802</v>
      </c>
      <c r="S4761">
        <v>3.4089049999999999</v>
      </c>
      <c r="T4761">
        <v>-0.28293410000000002</v>
      </c>
      <c r="U4761">
        <v>-0.2073364</v>
      </c>
      <c r="V4761">
        <v>0.1303686</v>
      </c>
      <c r="W4761">
        <v>0.41003450000000002</v>
      </c>
      <c r="X4761">
        <v>0.90270470000000003</v>
      </c>
      <c r="Y4761">
        <v>2.57188E-2</v>
      </c>
      <c r="Z4761">
        <v>1.1699830000000001E-3</v>
      </c>
      <c r="AA4761">
        <v>0.99966849999999996</v>
      </c>
      <c r="AB4761">
        <v>24</v>
      </c>
      <c r="AC4761">
        <v>0.67269999999996299</v>
      </c>
      <c r="AD4761">
        <v>-6.7706999999999906E-2</v>
      </c>
      <c r="AE4761">
        <v>-4.4750000000000498E-2</v>
      </c>
      <c r="AF4761">
        <v>2.0967475733778398E-2</v>
      </c>
      <c r="AG4761">
        <v>-6.7706999999999906E-2</v>
      </c>
      <c r="AH4761">
        <v>0.66712562959793797</v>
      </c>
      <c r="AI4761">
        <v>95.792301054354894</v>
      </c>
      <c r="AJ4761">
        <v>88.199810535713496</v>
      </c>
      <c r="AK4761">
        <v>0.67088037574078097</v>
      </c>
      <c r="AL4761">
        <v>65.792998439626999</v>
      </c>
      <c r="AM4761">
        <v>81.782163489153206</v>
      </c>
      <c r="AN4761">
        <v>1.0000000192291401</v>
      </c>
    </row>
    <row r="4762" spans="1:40" x14ac:dyDescent="0.25">
      <c r="A4762" t="str">
        <f>"20190304164741331"</f>
        <v>20190304164741331</v>
      </c>
      <c r="B4762" t="str">
        <f>"1551689261323936"</f>
        <v>1551689261323936</v>
      </c>
      <c r="C4762" t="s">
        <v>40</v>
      </c>
      <c r="D4762">
        <v>4.4976739999999999</v>
      </c>
      <c r="E4762">
        <v>0.47276590000000002</v>
      </c>
      <c r="F4762" t="s">
        <v>41</v>
      </c>
      <c r="G4762">
        <v>-335.26740000000001</v>
      </c>
      <c r="H4762">
        <v>1.0379750000000001</v>
      </c>
      <c r="I4762">
        <v>17.52374</v>
      </c>
      <c r="J4762">
        <v>-336.01519999999999</v>
      </c>
      <c r="K4762">
        <v>1.1113949999999999</v>
      </c>
      <c r="L4762">
        <v>17.5733</v>
      </c>
      <c r="M4762">
        <v>0.99929539999999994</v>
      </c>
      <c r="N4762">
        <v>-1.3823800000000001E-2</v>
      </c>
      <c r="O4762">
        <v>-3.489942E-2</v>
      </c>
      <c r="P4762">
        <v>0.90320990000000001</v>
      </c>
      <c r="Q4762">
        <v>0.39744869999999999</v>
      </c>
      <c r="R4762">
        <v>-0.16200899999999999</v>
      </c>
      <c r="S4762">
        <v>3.4088440000000002</v>
      </c>
      <c r="T4762">
        <v>-0.28277419999999998</v>
      </c>
      <c r="U4762">
        <v>-0.20761109999999999</v>
      </c>
      <c r="V4762">
        <v>0.13028399999999901</v>
      </c>
      <c r="W4762">
        <v>0.40999970000000002</v>
      </c>
      <c r="X4762">
        <v>0.90273270000000005</v>
      </c>
      <c r="Y4762">
        <v>2.58952E-2</v>
      </c>
      <c r="Z4762">
        <v>1.153921E-3</v>
      </c>
      <c r="AA4762">
        <v>0.999664</v>
      </c>
      <c r="AB4762">
        <v>24</v>
      </c>
      <c r="AC4762">
        <v>0.74779999999998303</v>
      </c>
      <c r="AD4762">
        <v>-7.3419999999999999E-2</v>
      </c>
      <c r="AE4762">
        <v>-4.9559999999999597E-2</v>
      </c>
      <c r="AF4762">
        <v>2.32068028429584E-2</v>
      </c>
      <c r="AG4762">
        <v>-7.3419999999999999E-2</v>
      </c>
      <c r="AH4762">
        <v>0.74195331870272796</v>
      </c>
      <c r="AI4762">
        <v>95.648561986268405</v>
      </c>
      <c r="AJ4762">
        <v>88.208487683982895</v>
      </c>
      <c r="AK4762">
        <v>0.74593818727303596</v>
      </c>
      <c r="AL4762">
        <v>65.795184073757099</v>
      </c>
      <c r="AM4762">
        <v>81.787674771867103</v>
      </c>
      <c r="AN4762">
        <v>1.0000000011526899</v>
      </c>
    </row>
    <row r="4763" spans="1:40" x14ac:dyDescent="0.25">
      <c r="A4763" t="str">
        <f>"20190304164741343"</f>
        <v>20190304164741343</v>
      </c>
      <c r="B4763" t="str">
        <f>"1551689261333696"</f>
        <v>1551689261333696</v>
      </c>
      <c r="C4763" t="s">
        <v>40</v>
      </c>
      <c r="D4763">
        <v>4.4905210000000002</v>
      </c>
      <c r="E4763">
        <v>0.47297050000000002</v>
      </c>
      <c r="F4763" t="s">
        <v>41</v>
      </c>
      <c r="G4763">
        <v>-335.24979999999999</v>
      </c>
      <c r="H4763">
        <v>1.0478289999999999</v>
      </c>
      <c r="I4763">
        <v>17.526319999999998</v>
      </c>
      <c r="J4763">
        <v>-335.89049999999997</v>
      </c>
      <c r="K4763">
        <v>1.111394</v>
      </c>
      <c r="L4763">
        <v>17.569029999999898</v>
      </c>
      <c r="M4763">
        <v>0.99929849999999998</v>
      </c>
      <c r="N4763">
        <v>-1.3822589999999999E-2</v>
      </c>
      <c r="O4763">
        <v>-3.4812170000000003E-2</v>
      </c>
      <c r="P4763">
        <v>0.90318419999999999</v>
      </c>
      <c r="Q4763">
        <v>0.39750190000000002</v>
      </c>
      <c r="R4763">
        <v>-0.1620212</v>
      </c>
      <c r="S4763">
        <v>3.4088129999999999</v>
      </c>
      <c r="T4763">
        <v>-0.28311320000000001</v>
      </c>
      <c r="U4763">
        <v>-0.20779420000000001</v>
      </c>
      <c r="V4763">
        <v>0.13037739999999901</v>
      </c>
      <c r="W4763">
        <v>0.41005049999999998</v>
      </c>
      <c r="X4763">
        <v>0.9026961</v>
      </c>
      <c r="Y4763">
        <v>2.6035760000000002E-2</v>
      </c>
      <c r="Z4763">
        <v>1.1433490000000001E-3</v>
      </c>
      <c r="AA4763">
        <v>0.9996604</v>
      </c>
      <c r="AB4763">
        <v>24</v>
      </c>
      <c r="AC4763">
        <v>0.64069999999998095</v>
      </c>
      <c r="AD4763">
        <v>-6.3564999999999802E-2</v>
      </c>
      <c r="AE4763">
        <v>-4.2709999999996001E-2</v>
      </c>
      <c r="AF4763">
        <v>2.0180070637139998E-2</v>
      </c>
      <c r="AG4763">
        <v>-6.3564999999999802E-2</v>
      </c>
      <c r="AH4763">
        <v>0.63557031970342104</v>
      </c>
      <c r="AI4763">
        <v>95.708446630865197</v>
      </c>
      <c r="AJ4763">
        <v>88.181405690266104</v>
      </c>
      <c r="AK4763">
        <v>0.63905975914919599</v>
      </c>
      <c r="AL4763">
        <v>65.791991900244099</v>
      </c>
      <c r="AM4763">
        <v>81.781539127608895</v>
      </c>
      <c r="AN4763">
        <v>0.99999996396810897</v>
      </c>
    </row>
    <row r="4764" spans="1:40" x14ac:dyDescent="0.25">
      <c r="A4764" t="str">
        <f>"20190304164741357"</f>
        <v>20190304164741357</v>
      </c>
      <c r="B4764" t="str">
        <f>"1551689261354194"</f>
        <v>1551689261354194</v>
      </c>
      <c r="C4764" t="s">
        <v>40</v>
      </c>
      <c r="D4764">
        <v>4.491765</v>
      </c>
      <c r="E4764">
        <v>0.47327740000000001</v>
      </c>
      <c r="F4764" t="s">
        <v>41</v>
      </c>
      <c r="G4764">
        <v>-335.04730000000001</v>
      </c>
      <c r="H4764">
        <v>1.041318</v>
      </c>
      <c r="I4764">
        <v>17.517019999999999</v>
      </c>
      <c r="J4764">
        <v>-335.74549999999999</v>
      </c>
      <c r="K4764">
        <v>1.1114010000000001</v>
      </c>
      <c r="L4764">
        <v>17.56409</v>
      </c>
      <c r="M4764">
        <v>0.99930180000000002</v>
      </c>
      <c r="N4764">
        <v>-1.3821190000000001E-2</v>
      </c>
      <c r="O4764">
        <v>-3.4710499999999998E-2</v>
      </c>
      <c r="P4764">
        <v>0.90339800000000003</v>
      </c>
      <c r="Q4764">
        <v>0.39723849999999999</v>
      </c>
      <c r="R4764">
        <v>-0.1614737</v>
      </c>
      <c r="S4764">
        <v>3.408722</v>
      </c>
      <c r="T4764">
        <v>-0.28328989999999998</v>
      </c>
      <c r="U4764">
        <v>-0.2093506</v>
      </c>
      <c r="V4764">
        <v>0.12991620000000001</v>
      </c>
      <c r="W4764">
        <v>0.40978829999999999</v>
      </c>
      <c r="X4764">
        <v>0.90288170000000001</v>
      </c>
      <c r="Y4764">
        <v>2.6591360000000001E-2</v>
      </c>
      <c r="Z4764">
        <v>1.1106670000000001E-3</v>
      </c>
      <c r="AA4764">
        <v>0.99964580000000003</v>
      </c>
      <c r="AB4764">
        <v>24</v>
      </c>
      <c r="AC4764">
        <v>0.69819999999998505</v>
      </c>
      <c r="AD4764">
        <v>-7.0083000000000104E-2</v>
      </c>
      <c r="AE4764">
        <v>-4.7069999999997898E-2</v>
      </c>
      <c r="AF4764">
        <v>2.2577988807666802E-2</v>
      </c>
      <c r="AG4764">
        <v>-7.0083000000000104E-2</v>
      </c>
      <c r="AH4764">
        <v>0.69246779195284303</v>
      </c>
      <c r="AI4764">
        <v>95.7760413253053</v>
      </c>
      <c r="AJ4764">
        <v>88.132526361996497</v>
      </c>
      <c r="AK4764">
        <v>0.69637133438966703</v>
      </c>
      <c r="AL4764">
        <v>65.8084636043762</v>
      </c>
      <c r="AM4764">
        <v>81.811876932123397</v>
      </c>
      <c r="AN4764">
        <v>1.0000000170171099</v>
      </c>
    </row>
    <row r="4765" spans="1:40" x14ac:dyDescent="0.25">
      <c r="A4765" t="str">
        <f>"20190304164741372"</f>
        <v>20190304164741372</v>
      </c>
      <c r="B4765" t="str">
        <f>"1551689261363955"</f>
        <v>1551689261363955</v>
      </c>
      <c r="C4765" t="s">
        <v>40</v>
      </c>
      <c r="D4765">
        <v>4.4870210000000004</v>
      </c>
      <c r="E4765">
        <v>0.47327740000000001</v>
      </c>
      <c r="F4765" t="s">
        <v>41</v>
      </c>
      <c r="G4765">
        <v>-334.83440000000002</v>
      </c>
      <c r="H4765">
        <v>1.03518</v>
      </c>
      <c r="I4765">
        <v>17.50779</v>
      </c>
      <c r="J4765">
        <v>-335.57159999999999</v>
      </c>
      <c r="K4765">
        <v>1.1113999999999999</v>
      </c>
      <c r="L4765">
        <v>17.558199999999999</v>
      </c>
      <c r="M4765">
        <v>0.99930609999999997</v>
      </c>
      <c r="N4765">
        <v>-1.3819410000000001E-2</v>
      </c>
      <c r="O4765">
        <v>-3.4588790000000001E-2</v>
      </c>
      <c r="P4765">
        <v>0.90356349999999996</v>
      </c>
      <c r="Q4765">
        <v>0.3972097</v>
      </c>
      <c r="R4765">
        <v>-0.16061739999999999</v>
      </c>
      <c r="S4765">
        <v>3.40863</v>
      </c>
      <c r="T4765">
        <v>-0.28513349999999998</v>
      </c>
      <c r="U4765">
        <v>-0.20996090000000001</v>
      </c>
      <c r="V4765">
        <v>0.1291659</v>
      </c>
      <c r="W4765">
        <v>0.40975919999999999</v>
      </c>
      <c r="X4765">
        <v>0.90300259999999999</v>
      </c>
      <c r="Y4765">
        <v>2.6891580000000002E-2</v>
      </c>
      <c r="Z4765">
        <v>1.0992300000000001E-3</v>
      </c>
      <c r="AA4765">
        <v>0.99963769999999996</v>
      </c>
      <c r="AB4765">
        <v>24</v>
      </c>
      <c r="AC4765">
        <v>0.73719999999997299</v>
      </c>
      <c r="AD4765">
        <v>-7.6219999999999899E-2</v>
      </c>
      <c r="AE4765">
        <v>-5.04099999999994E-2</v>
      </c>
      <c r="AF4765">
        <v>2.46166191003554E-2</v>
      </c>
      <c r="AG4765">
        <v>-7.6219999999999899E-2</v>
      </c>
      <c r="AH4765">
        <v>0.730727648218222</v>
      </c>
      <c r="AI4765">
        <v>95.951464599022202</v>
      </c>
      <c r="AJ4765">
        <v>88.070559946238902</v>
      </c>
      <c r="AK4765">
        <v>0.73510432062834896</v>
      </c>
      <c r="AL4765">
        <v>65.810292617264295</v>
      </c>
      <c r="AM4765">
        <v>81.859605130470996</v>
      </c>
      <c r="AN4765">
        <v>1.0000000636571</v>
      </c>
    </row>
    <row r="4766" spans="1:40" x14ac:dyDescent="0.25">
      <c r="A4766" t="str">
        <f>"20190304164741384"</f>
        <v>20190304164741384</v>
      </c>
      <c r="B4766" t="str">
        <f>"1551689261373713"</f>
        <v>1551689261373713</v>
      </c>
      <c r="C4766" t="s">
        <v>40</v>
      </c>
      <c r="D4766">
        <v>4.485754</v>
      </c>
      <c r="E4766">
        <v>0.47932229999999998</v>
      </c>
      <c r="F4766" t="s">
        <v>41</v>
      </c>
      <c r="G4766">
        <v>-334.8143</v>
      </c>
      <c r="H4766">
        <v>1.047928</v>
      </c>
      <c r="I4766">
        <v>17.51163</v>
      </c>
      <c r="J4766">
        <v>-335.44900000000001</v>
      </c>
      <c r="K4766">
        <v>1.111394</v>
      </c>
      <c r="L4766">
        <v>17.554079999999999</v>
      </c>
      <c r="M4766">
        <v>0.99930920000000001</v>
      </c>
      <c r="N4766">
        <v>-1.3818159999999999E-2</v>
      </c>
      <c r="O4766">
        <v>-3.4502850000000002E-2</v>
      </c>
      <c r="P4766">
        <v>0.90368000000000004</v>
      </c>
      <c r="Q4766">
        <v>0.39713419999999999</v>
      </c>
      <c r="R4766">
        <v>-0.1601467</v>
      </c>
      <c r="S4766">
        <v>3.4086910000000001</v>
      </c>
      <c r="T4766">
        <v>-0.28566399999999997</v>
      </c>
      <c r="U4766">
        <v>-0.20877080000000001</v>
      </c>
      <c r="V4766">
        <v>0.1287703</v>
      </c>
      <c r="W4766">
        <v>0.40968349999999998</v>
      </c>
      <c r="X4766">
        <v>0.90309340000000005</v>
      </c>
      <c r="Y4766">
        <v>2.6629590000000002E-2</v>
      </c>
      <c r="Z4766">
        <v>1.1093229999999999E-3</v>
      </c>
      <c r="AA4766">
        <v>0.9996448</v>
      </c>
      <c r="AB4766">
        <v>24</v>
      </c>
      <c r="AC4766">
        <v>0.63470000000000903</v>
      </c>
      <c r="AD4766">
        <v>-6.3465999999999995E-2</v>
      </c>
      <c r="AE4766">
        <v>-4.2449999999998697E-2</v>
      </c>
      <c r="AF4766">
        <v>2.0321389993188398E-2</v>
      </c>
      <c r="AG4766">
        <v>-6.3465999999999995E-2</v>
      </c>
      <c r="AH4766">
        <v>0.62952043269494395</v>
      </c>
      <c r="AI4766">
        <v>95.753926967769203</v>
      </c>
      <c r="AJ4766">
        <v>88.151091459483297</v>
      </c>
      <c r="AK4766">
        <v>0.63303780868735204</v>
      </c>
      <c r="AL4766">
        <v>65.815046317576702</v>
      </c>
      <c r="AM4766">
        <v>81.885009413057105</v>
      </c>
      <c r="AN4766">
        <v>1.00000002472894</v>
      </c>
    </row>
    <row r="4767" spans="1:40" x14ac:dyDescent="0.25">
      <c r="A4767" t="str">
        <f>"20190304164741397"</f>
        <v>20190304164741397</v>
      </c>
      <c r="B4767" t="str">
        <f>"1551689261394208"</f>
        <v>1551689261394208</v>
      </c>
      <c r="C4767" t="s">
        <v>40</v>
      </c>
      <c r="D4767">
        <v>4.4721270000000004</v>
      </c>
      <c r="E4767">
        <v>0.47949320000000001</v>
      </c>
      <c r="F4767" t="s">
        <v>41</v>
      </c>
      <c r="G4767">
        <v>-334.61680000000001</v>
      </c>
      <c r="H4767">
        <v>1.037938</v>
      </c>
      <c r="I4767">
        <v>17.49173</v>
      </c>
      <c r="J4767">
        <v>-335.3152</v>
      </c>
      <c r="K4767">
        <v>1.1113900000000001</v>
      </c>
      <c r="L4767">
        <v>17.54956</v>
      </c>
      <c r="M4767">
        <v>0.99931230000000004</v>
      </c>
      <c r="N4767">
        <v>-1.3816760000000001E-2</v>
      </c>
      <c r="O4767">
        <v>-3.4408910000000001E-2</v>
      </c>
      <c r="P4767">
        <v>0.90370050000000002</v>
      </c>
      <c r="Q4767">
        <v>0.39727990000000002</v>
      </c>
      <c r="R4767">
        <v>-0.15966910000000001</v>
      </c>
      <c r="S4767">
        <v>3.4067379999999998</v>
      </c>
      <c r="T4767">
        <v>-0.30068159999999999</v>
      </c>
      <c r="U4767">
        <v>-0.25482179999999999</v>
      </c>
      <c r="V4767">
        <v>0.12837799999999999</v>
      </c>
      <c r="W4767">
        <v>0.40982740000000001</v>
      </c>
      <c r="X4767">
        <v>0.90308390000000005</v>
      </c>
      <c r="Y4767">
        <v>4.014537E-2</v>
      </c>
      <c r="Z4767">
        <v>5.0711409999999995E-4</v>
      </c>
      <c r="AA4767">
        <v>0.99919369999999996</v>
      </c>
      <c r="AB4767">
        <v>24</v>
      </c>
      <c r="AC4767">
        <v>0.69839999999999203</v>
      </c>
      <c r="AD4767">
        <v>-7.3451999999999795E-2</v>
      </c>
      <c r="AE4767">
        <v>-5.7829999999999097E-2</v>
      </c>
      <c r="AF4767">
        <v>3.33953964689018E-2</v>
      </c>
      <c r="AG4767">
        <v>-7.3451999999999795E-2</v>
      </c>
      <c r="AH4767">
        <v>0.69237017990033001</v>
      </c>
      <c r="AI4767">
        <v>96.048750475900107</v>
      </c>
      <c r="AJ4767">
        <v>87.238567510536797</v>
      </c>
      <c r="AK4767">
        <v>0.69705589074659602</v>
      </c>
      <c r="AL4767">
        <v>65.806006414630005</v>
      </c>
      <c r="AM4767">
        <v>81.909320012934202</v>
      </c>
      <c r="AN4767">
        <v>0.999999969556984</v>
      </c>
    </row>
    <row r="4768" spans="1:40" x14ac:dyDescent="0.25">
      <c r="A4768" t="str">
        <f>"20190304164741418"</f>
        <v>20190304164741418</v>
      </c>
      <c r="B4768" t="str">
        <f>"1551689261413730"</f>
        <v>1551689261413730</v>
      </c>
      <c r="C4768" t="s">
        <v>40</v>
      </c>
      <c r="D4768">
        <v>4.4094089999999904</v>
      </c>
      <c r="E4768">
        <v>0.47901280000000002</v>
      </c>
      <c r="F4768" t="s">
        <v>41</v>
      </c>
      <c r="G4768">
        <v>-334.40429999999998</v>
      </c>
      <c r="H4768">
        <v>1.0301209999999901</v>
      </c>
      <c r="I4768">
        <v>17.481079999999999</v>
      </c>
      <c r="J4768">
        <v>-335.0829</v>
      </c>
      <c r="K4768">
        <v>1.111394</v>
      </c>
      <c r="L4768">
        <v>17.541779999999999</v>
      </c>
      <c r="M4768">
        <v>0.99931800000000004</v>
      </c>
      <c r="N4768">
        <v>-1.381422E-2</v>
      </c>
      <c r="O4768">
        <v>-3.424547E-2</v>
      </c>
      <c r="P4768">
        <v>0.9039336</v>
      </c>
      <c r="Q4768">
        <v>0.39716960000000001</v>
      </c>
      <c r="R4768">
        <v>-0.1586207</v>
      </c>
      <c r="S4768">
        <v>3.408325</v>
      </c>
      <c r="T4768">
        <v>-0.30406060000000001</v>
      </c>
      <c r="U4768">
        <v>-0.25482179999999999</v>
      </c>
      <c r="V4768">
        <v>0.12747130000000001</v>
      </c>
      <c r="W4768">
        <v>0.40971689999999999</v>
      </c>
      <c r="X4768">
        <v>0.90326249999999997</v>
      </c>
      <c r="Y4768">
        <v>4.0271960000000002E-2</v>
      </c>
      <c r="Z4768">
        <v>5.0200280000000004E-4</v>
      </c>
      <c r="AA4768">
        <v>0.99918859999999998</v>
      </c>
      <c r="AB4768">
        <v>24</v>
      </c>
      <c r="AC4768">
        <v>0.67860000000001697</v>
      </c>
      <c r="AD4768">
        <v>-8.1273000000000095E-2</v>
      </c>
      <c r="AE4768">
        <v>-6.0700000000000601E-2</v>
      </c>
      <c r="AF4768">
        <v>3.6898137431884401E-2</v>
      </c>
      <c r="AG4768">
        <v>-8.1273000000000095E-2</v>
      </c>
      <c r="AH4768">
        <v>0.67073623689902295</v>
      </c>
      <c r="AI4768">
        <v>96.898509740243298</v>
      </c>
      <c r="AJ4768">
        <v>86.851252868377699</v>
      </c>
      <c r="AK4768">
        <v>0.67664900248533899</v>
      </c>
      <c r="AL4768">
        <v>65.812948040536099</v>
      </c>
      <c r="AM4768">
        <v>81.967281501982001</v>
      </c>
      <c r="AN4768">
        <v>1.0000000071877699</v>
      </c>
    </row>
    <row r="4769" spans="1:40" x14ac:dyDescent="0.25">
      <c r="A4769" t="str">
        <f>"20190304164741430"</f>
        <v>20190304164741430</v>
      </c>
      <c r="B4769" t="str">
        <f>"1551689261424465"</f>
        <v>1551689261424465</v>
      </c>
      <c r="C4769" t="s">
        <v>40</v>
      </c>
      <c r="D4769">
        <v>4.4442640000000004</v>
      </c>
      <c r="E4769">
        <v>0.47928690000000002</v>
      </c>
      <c r="F4769" t="s">
        <v>41</v>
      </c>
      <c r="G4769">
        <v>-334.18779999999998</v>
      </c>
      <c r="H4769">
        <v>1.0304169999999999</v>
      </c>
      <c r="I4769">
        <v>17.476710000000001</v>
      </c>
      <c r="J4769">
        <v>-334.94970000000001</v>
      </c>
      <c r="K4769">
        <v>1.111397</v>
      </c>
      <c r="L4769">
        <v>17.537289999999999</v>
      </c>
      <c r="M4769">
        <v>0.99932129999999997</v>
      </c>
      <c r="N4769">
        <v>-1.381281E-2</v>
      </c>
      <c r="O4769">
        <v>-3.4151649999999999E-2</v>
      </c>
      <c r="P4769">
        <v>0.9040899</v>
      </c>
      <c r="Q4769">
        <v>0.39705370000000001</v>
      </c>
      <c r="R4769">
        <v>-0.1580191</v>
      </c>
      <c r="S4769">
        <v>3.4110109999999998</v>
      </c>
      <c r="T4769">
        <v>-0.30859180000000003</v>
      </c>
      <c r="U4769">
        <v>-0.24758910000000001</v>
      </c>
      <c r="V4769">
        <v>0.12695039999999999</v>
      </c>
      <c r="W4769">
        <v>0.4096013</v>
      </c>
      <c r="X4769">
        <v>0.90338830000000003</v>
      </c>
      <c r="Y4769">
        <v>3.8207739999999997E-2</v>
      </c>
      <c r="Z4769">
        <v>6.2002209999999995E-4</v>
      </c>
      <c r="AA4769">
        <v>0.99926959999999998</v>
      </c>
      <c r="AB4769">
        <v>24</v>
      </c>
      <c r="AC4769">
        <v>0.761900000000025</v>
      </c>
      <c r="AD4769">
        <v>-8.0979999999999996E-2</v>
      </c>
      <c r="AE4769">
        <v>-6.0579999999997997E-2</v>
      </c>
      <c r="AF4769">
        <v>3.4138792482331003E-2</v>
      </c>
      <c r="AG4769">
        <v>-8.0979999999999996E-2</v>
      </c>
      <c r="AH4769">
        <v>0.75504844847418495</v>
      </c>
      <c r="AI4769">
        <v>96.115451391890602</v>
      </c>
      <c r="AJ4769">
        <v>87.411189351400296</v>
      </c>
      <c r="AK4769">
        <v>0.76014562887345904</v>
      </c>
      <c r="AL4769">
        <v>65.820209084670395</v>
      </c>
      <c r="AM4769">
        <v>82.000780280795198</v>
      </c>
      <c r="AN4769">
        <v>1.0000000247993599</v>
      </c>
    </row>
    <row r="4770" spans="1:40" x14ac:dyDescent="0.25">
      <c r="A4770" t="str">
        <f>"20190304164741442"</f>
        <v>20190304164741442</v>
      </c>
      <c r="B4770" t="str">
        <f>"1551689261434225"</f>
        <v>1551689261434225</v>
      </c>
      <c r="C4770" t="s">
        <v>40</v>
      </c>
      <c r="D4770">
        <v>4.4443739999999998</v>
      </c>
      <c r="E4770">
        <v>0.47956510000000002</v>
      </c>
      <c r="F4770" t="s">
        <v>41</v>
      </c>
      <c r="G4770">
        <v>-334.18169999999998</v>
      </c>
      <c r="H4770">
        <v>1.0415829999999999</v>
      </c>
      <c r="I4770">
        <v>17.481470000000002</v>
      </c>
      <c r="J4770">
        <v>-334.82690000000002</v>
      </c>
      <c r="K4770">
        <v>1.1113949999999999</v>
      </c>
      <c r="L4770">
        <v>17.533200000000001</v>
      </c>
      <c r="M4770">
        <v>0.99932430000000005</v>
      </c>
      <c r="N4770">
        <v>-1.3811520000000001E-2</v>
      </c>
      <c r="O4770">
        <v>-3.4065110000000003E-2</v>
      </c>
      <c r="P4770">
        <v>0.90402260000000001</v>
      </c>
      <c r="Q4770">
        <v>0.39740500000000001</v>
      </c>
      <c r="R4770">
        <v>-0.15751979999999999</v>
      </c>
      <c r="S4770">
        <v>3.411133</v>
      </c>
      <c r="T4770">
        <v>-0.31002999999999997</v>
      </c>
      <c r="U4770">
        <v>-0.24749760000000001</v>
      </c>
      <c r="V4770">
        <v>0.12653249999999999</v>
      </c>
      <c r="W4770">
        <v>0.40995009999999998</v>
      </c>
      <c r="X4770">
        <v>0.90328869999999895</v>
      </c>
      <c r="Y4770">
        <v>3.8264050000000001E-2</v>
      </c>
      <c r="Z4770">
        <v>6.1675809999999897E-4</v>
      </c>
      <c r="AA4770">
        <v>0.99926749999999998</v>
      </c>
      <c r="AB4770">
        <v>24</v>
      </c>
      <c r="AC4770">
        <v>0.64520000000004496</v>
      </c>
      <c r="AD4770">
        <v>-6.9812000000000193E-2</v>
      </c>
      <c r="AE4770">
        <v>-5.1729999999999103E-2</v>
      </c>
      <c r="AF4770">
        <v>2.9377324165276799E-2</v>
      </c>
      <c r="AG4770">
        <v>-6.9812000000000193E-2</v>
      </c>
      <c r="AH4770">
        <v>0.63915261190143702</v>
      </c>
      <c r="AI4770">
        <v>96.226948390936599</v>
      </c>
      <c r="AJ4770">
        <v>87.368370471938803</v>
      </c>
      <c r="AK4770">
        <v>0.64362473835266798</v>
      </c>
      <c r="AL4770">
        <v>65.798300232152002</v>
      </c>
      <c r="AM4770">
        <v>82.025905371371707</v>
      </c>
      <c r="AN4770">
        <v>1.00000001679697</v>
      </c>
    </row>
    <row r="4771" spans="1:40" x14ac:dyDescent="0.25">
      <c r="A4771" t="str">
        <f>"20190304164741454"</f>
        <v>20190304164741454</v>
      </c>
      <c r="B4771" t="str">
        <f>"1551689261443985"</f>
        <v>1551689261443985</v>
      </c>
      <c r="C4771" t="s">
        <v>40</v>
      </c>
      <c r="D4771">
        <v>4.5998769999999896</v>
      </c>
      <c r="E4771">
        <v>0.47956510000000002</v>
      </c>
      <c r="F4771" t="s">
        <v>41</v>
      </c>
      <c r="G4771">
        <v>-333.97</v>
      </c>
      <c r="H4771">
        <v>1.0340689999999999</v>
      </c>
      <c r="I4771">
        <v>17.470659999999999</v>
      </c>
      <c r="J4771">
        <v>-334.69</v>
      </c>
      <c r="K4771">
        <v>1.111399</v>
      </c>
      <c r="L4771">
        <v>17.52863</v>
      </c>
      <c r="M4771">
        <v>0.99932750000000004</v>
      </c>
      <c r="N4771">
        <v>-1.3810080000000001E-2</v>
      </c>
      <c r="O4771">
        <v>-3.3968659999999998E-2</v>
      </c>
      <c r="P4771">
        <v>0.90423819999999999</v>
      </c>
      <c r="Q4771">
        <v>0.3970282</v>
      </c>
      <c r="R4771">
        <v>-0.15723309999999999</v>
      </c>
      <c r="S4771">
        <v>3.4106139999999998</v>
      </c>
      <c r="T4771">
        <v>-0.30776540000000002</v>
      </c>
      <c r="U4771">
        <v>-0.24780269999999999</v>
      </c>
      <c r="V4771">
        <v>0.12632660000000001</v>
      </c>
      <c r="W4771">
        <v>0.4095743</v>
      </c>
      <c r="X4771">
        <v>0.90348799999999996</v>
      </c>
      <c r="Y4771">
        <v>3.8459930000000003E-2</v>
      </c>
      <c r="Z4771">
        <v>5.8969610000000005E-4</v>
      </c>
      <c r="AA4771">
        <v>0.99925989999999998</v>
      </c>
      <c r="AB4771">
        <v>24</v>
      </c>
      <c r="AC4771">
        <v>0.71999999999997</v>
      </c>
      <c r="AD4771">
        <v>-7.7329999999999899E-2</v>
      </c>
      <c r="AE4771">
        <v>-5.7969999999997399E-2</v>
      </c>
      <c r="AF4771">
        <v>3.3097440004610498E-2</v>
      </c>
      <c r="AG4771">
        <v>-7.7329999999999899E-2</v>
      </c>
      <c r="AH4771">
        <v>0.71337769375859394</v>
      </c>
      <c r="AI4771">
        <v>96.180097945485699</v>
      </c>
      <c r="AJ4771">
        <v>87.343644539323506</v>
      </c>
      <c r="AK4771">
        <v>0.71831963873138605</v>
      </c>
      <c r="AL4771">
        <v>65.821905270494298</v>
      </c>
      <c r="AM4771">
        <v>82.040448374319396</v>
      </c>
      <c r="AN4771">
        <v>1.00000004161602</v>
      </c>
    </row>
    <row r="4772" spans="1:40" x14ac:dyDescent="0.25">
      <c r="A4772" t="str">
        <f>"20190304164741467"</f>
        <v>20190304164741467</v>
      </c>
      <c r="B4772" t="str">
        <f>"1551689261463504"</f>
        <v>1551689261463504</v>
      </c>
      <c r="C4772" t="s">
        <v>40</v>
      </c>
      <c r="D4772">
        <v>4.7110260000000004</v>
      </c>
      <c r="E4772">
        <v>0.51241479999999995</v>
      </c>
      <c r="F4772" t="s">
        <v>41</v>
      </c>
      <c r="G4772">
        <v>-333.75790000000001</v>
      </c>
      <c r="H4772">
        <v>1.026886</v>
      </c>
      <c r="I4772">
        <v>17.460989999999999</v>
      </c>
      <c r="J4772">
        <v>-334.55399999999997</v>
      </c>
      <c r="K4772">
        <v>1.1113999999999999</v>
      </c>
      <c r="L4772">
        <v>17.524139999999999</v>
      </c>
      <c r="M4772">
        <v>0.99933079999999996</v>
      </c>
      <c r="N4772">
        <v>-1.380864E-2</v>
      </c>
      <c r="O4772">
        <v>-3.387246E-2</v>
      </c>
      <c r="P4772">
        <v>0.90412360000000003</v>
      </c>
      <c r="Q4772">
        <v>0.39734140000000001</v>
      </c>
      <c r="R4772">
        <v>-0.1571004</v>
      </c>
      <c r="S4772">
        <v>3.4105530000000002</v>
      </c>
      <c r="T4772">
        <v>-0.30922189999999999</v>
      </c>
      <c r="U4772">
        <v>-0.2469788</v>
      </c>
      <c r="V4772">
        <v>0.12628539999999999</v>
      </c>
      <c r="W4772">
        <v>0.40988449999999998</v>
      </c>
      <c r="X4772">
        <v>0.90335299999999996</v>
      </c>
      <c r="Y4772">
        <v>3.8317169999999998E-2</v>
      </c>
      <c r="Z4772">
        <v>5.9613500000000002E-4</v>
      </c>
      <c r="AA4772">
        <v>0.99926539999999997</v>
      </c>
      <c r="AB4772">
        <v>24</v>
      </c>
      <c r="AC4772">
        <v>0.79610000000002401</v>
      </c>
      <c r="AD4772">
        <v>-8.4513999999999895E-2</v>
      </c>
      <c r="AE4772">
        <v>-6.3150000000000206E-2</v>
      </c>
      <c r="AF4772">
        <v>3.5744994193459001E-2</v>
      </c>
      <c r="AG4772">
        <v>-8.4513999999999895E-2</v>
      </c>
      <c r="AH4772">
        <v>0.78894653953214899</v>
      </c>
      <c r="AI4772">
        <v>96.108137184845702</v>
      </c>
      <c r="AJ4772">
        <v>87.4058601441143</v>
      </c>
      <c r="AK4772">
        <v>0.79426504584152702</v>
      </c>
      <c r="AL4772">
        <v>65.802419853789601</v>
      </c>
      <c r="AM4772">
        <v>82.0418371539308</v>
      </c>
      <c r="AN4772">
        <v>0.999999974101204</v>
      </c>
    </row>
    <row r="4773" spans="1:40" x14ac:dyDescent="0.25">
      <c r="A4773" t="str">
        <f>"20190304164741485"</f>
        <v>20190304164741485</v>
      </c>
      <c r="B4773" t="str">
        <f>"1551689261474240"</f>
        <v>1551689261474240</v>
      </c>
      <c r="C4773" t="s">
        <v>40</v>
      </c>
      <c r="D4773">
        <v>4.3955039999999999</v>
      </c>
      <c r="E4773">
        <v>0.52077719999999905</v>
      </c>
      <c r="F4773" t="s">
        <v>41</v>
      </c>
      <c r="G4773">
        <v>-333.76199999999898</v>
      </c>
      <c r="H4773">
        <v>1.0224949999999999</v>
      </c>
      <c r="I4773">
        <v>17.40691</v>
      </c>
      <c r="J4773">
        <v>-334.35809999999998</v>
      </c>
      <c r="K4773">
        <v>1.111405</v>
      </c>
      <c r="L4773">
        <v>17.51764</v>
      </c>
      <c r="M4773">
        <v>0.99933550000000004</v>
      </c>
      <c r="N4773">
        <v>-1.3806580000000001E-2</v>
      </c>
      <c r="O4773">
        <v>-3.3733930000000002E-2</v>
      </c>
      <c r="P4773">
        <v>0.90396909999999997</v>
      </c>
      <c r="Q4773">
        <v>0.3976674</v>
      </c>
      <c r="R4773">
        <v>-0.1571639</v>
      </c>
      <c r="S4773">
        <v>3.3984990000000002</v>
      </c>
      <c r="T4773">
        <v>-0.38152429999999998</v>
      </c>
      <c r="U4773">
        <v>-0.50244140000000004</v>
      </c>
      <c r="V4773">
        <v>0.12648010000000001</v>
      </c>
      <c r="W4773">
        <v>0.41020669999999998</v>
      </c>
      <c r="X4773">
        <v>0.90317950000000002</v>
      </c>
      <c r="Y4773">
        <v>0.112178399999999</v>
      </c>
      <c r="Z4773">
        <v>-3.7349169999999999E-3</v>
      </c>
      <c r="AA4773">
        <v>0.99368109999999998</v>
      </c>
      <c r="AB4773">
        <v>24</v>
      </c>
      <c r="AC4773">
        <v>0.59610000000003505</v>
      </c>
      <c r="AD4773">
        <v>-8.8909999999999795E-2</v>
      </c>
      <c r="AE4773">
        <v>-0.11073</v>
      </c>
      <c r="AF4773">
        <v>8.8649879419868904E-2</v>
      </c>
      <c r="AG4773">
        <v>-8.8909999999999795E-2</v>
      </c>
      <c r="AH4773">
        <v>0.58687588595623297</v>
      </c>
      <c r="AI4773">
        <v>98.519432731519302</v>
      </c>
      <c r="AJ4773">
        <v>81.410189404118299</v>
      </c>
      <c r="AK4773">
        <v>0.60015589202978803</v>
      </c>
      <c r="AL4773">
        <v>65.782179473458399</v>
      </c>
      <c r="AM4773">
        <v>82.028213840323204</v>
      </c>
      <c r="AN4773">
        <v>0.99999998082057395</v>
      </c>
    </row>
    <row r="4774" spans="1:40" x14ac:dyDescent="0.25">
      <c r="A4774" t="str">
        <f>"20190304164741508"</f>
        <v>20190304164741508</v>
      </c>
      <c r="B4774" t="str">
        <f>"1551689261503520"</f>
        <v>1551689261503520</v>
      </c>
      <c r="C4774" t="s">
        <v>40</v>
      </c>
      <c r="D4774">
        <v>4.5029539999999999</v>
      </c>
      <c r="E4774">
        <v>0.53305769999999997</v>
      </c>
      <c r="F4774" t="s">
        <v>41</v>
      </c>
      <c r="G4774">
        <v>-333.5498</v>
      </c>
      <c r="H4774">
        <v>1.0168569999999999</v>
      </c>
      <c r="I4774">
        <v>17.382020000000001</v>
      </c>
      <c r="J4774">
        <v>-334.12079999999997</v>
      </c>
      <c r="K4774">
        <v>1.111408</v>
      </c>
      <c r="L4774">
        <v>17.50986</v>
      </c>
      <c r="M4774">
        <v>0.99934120000000004</v>
      </c>
      <c r="N4774">
        <v>-1.380409E-2</v>
      </c>
      <c r="O4774">
        <v>-3.3565959999999999E-2</v>
      </c>
      <c r="P4774">
        <v>0.90392159999999999</v>
      </c>
      <c r="Q4774">
        <v>0.39766249999999997</v>
      </c>
      <c r="R4774">
        <v>-0.15745029999999999</v>
      </c>
      <c r="S4774">
        <v>3.394714</v>
      </c>
      <c r="T4774">
        <v>-0.39708149999999998</v>
      </c>
      <c r="U4774">
        <v>-0.56768799999999997</v>
      </c>
      <c r="V4774">
        <v>0.1269207</v>
      </c>
      <c r="W4774">
        <v>0.41019850000000002</v>
      </c>
      <c r="X4774">
        <v>0.90312150000000002</v>
      </c>
      <c r="Y4774">
        <v>0.13093450000000001</v>
      </c>
      <c r="Z4774">
        <v>-5.0692469999999998E-3</v>
      </c>
      <c r="AA4774">
        <v>0.99137810000000004</v>
      </c>
      <c r="AB4774">
        <v>24</v>
      </c>
      <c r="AC4774">
        <v>0.57099999999996898</v>
      </c>
      <c r="AD4774">
        <v>-9.4550999999999996E-2</v>
      </c>
      <c r="AE4774">
        <v>-0.12783999999999901</v>
      </c>
      <c r="AF4774">
        <v>0.10583649389807299</v>
      </c>
      <c r="AG4774">
        <v>-9.4550999999999996E-2</v>
      </c>
      <c r="AH4774">
        <v>0.56033881848456601</v>
      </c>
      <c r="AI4774">
        <v>99.414406686543103</v>
      </c>
      <c r="AJ4774">
        <v>79.304010845609994</v>
      </c>
      <c r="AK4774">
        <v>0.57803187329274197</v>
      </c>
      <c r="AL4774">
        <v>65.782696641142806</v>
      </c>
      <c r="AM4774">
        <v>82.000295478185905</v>
      </c>
      <c r="AN4774">
        <v>1.0000000586264901</v>
      </c>
    </row>
    <row r="4775" spans="1:40" x14ac:dyDescent="0.25">
      <c r="A4775" t="str">
        <f>"20190304164741520"</f>
        <v>20190304164741520</v>
      </c>
      <c r="B4775" t="str">
        <f>"1551689261514257"</f>
        <v>1551689261514257</v>
      </c>
      <c r="C4775" t="s">
        <v>40</v>
      </c>
      <c r="D4775">
        <v>4.570208</v>
      </c>
      <c r="E4775">
        <v>0.53523920000000003</v>
      </c>
      <c r="F4775" t="s">
        <v>41</v>
      </c>
      <c r="G4775">
        <v>-333.33670000000001</v>
      </c>
      <c r="H4775">
        <v>1.0131950000000001</v>
      </c>
      <c r="I4775">
        <v>17.35604</v>
      </c>
      <c r="J4775">
        <v>-333.98039999999997</v>
      </c>
      <c r="K4775">
        <v>1.111405</v>
      </c>
      <c r="L4775">
        <v>17.50525</v>
      </c>
      <c r="M4775">
        <v>0.99934449999999997</v>
      </c>
      <c r="N4775">
        <v>-1.380263E-2</v>
      </c>
      <c r="O4775">
        <v>-3.3466540000000003E-2</v>
      </c>
      <c r="P4775">
        <v>0.90390230000000005</v>
      </c>
      <c r="Q4775">
        <v>0.39773459999999999</v>
      </c>
      <c r="R4775">
        <v>-0.1573782</v>
      </c>
      <c r="S4775">
        <v>3.3898619999999999</v>
      </c>
      <c r="T4775">
        <v>-0.42460750000000003</v>
      </c>
      <c r="U4775">
        <v>-0.66473389999999999</v>
      </c>
      <c r="V4775">
        <v>0.12693989999999999</v>
      </c>
      <c r="W4775">
        <v>0.41026889999999999</v>
      </c>
      <c r="X4775">
        <v>0.90308679999999997</v>
      </c>
      <c r="Y4775">
        <v>0.15835070000000001</v>
      </c>
      <c r="Z4775">
        <v>-7.2181040000000004E-3</v>
      </c>
      <c r="AA4775">
        <v>0.98735649999999997</v>
      </c>
      <c r="AB4775">
        <v>24</v>
      </c>
      <c r="AC4775">
        <v>0.64369999999996697</v>
      </c>
      <c r="AD4775">
        <v>-9.8209999999999895E-2</v>
      </c>
      <c r="AE4775">
        <v>-0.14921000000000001</v>
      </c>
      <c r="AF4775">
        <v>0.124824446740934</v>
      </c>
      <c r="AG4775">
        <v>-9.8209999999999895E-2</v>
      </c>
      <c r="AH4775">
        <v>0.63432062655951005</v>
      </c>
      <c r="AI4775">
        <v>98.637966146696101</v>
      </c>
      <c r="AJ4775">
        <v>78.867326995522902</v>
      </c>
      <c r="AK4775">
        <v>0.65390290095933101</v>
      </c>
      <c r="AL4775">
        <v>65.778273193792899</v>
      </c>
      <c r="AM4775">
        <v>81.998797544455897</v>
      </c>
      <c r="AN4775">
        <v>1.00000003842672</v>
      </c>
    </row>
    <row r="4776" spans="1:40" x14ac:dyDescent="0.25">
      <c r="A4776" t="str">
        <f>"20190304164741531"</f>
        <v>20190304164741531</v>
      </c>
      <c r="B4776" t="str">
        <f>"1551689261524017"</f>
        <v>1551689261524017</v>
      </c>
      <c r="C4776" t="s">
        <v>40</v>
      </c>
      <c r="D4776">
        <v>4.5875719999999998</v>
      </c>
      <c r="E4776">
        <v>0.53724869999999902</v>
      </c>
      <c r="F4776" t="s">
        <v>41</v>
      </c>
      <c r="G4776">
        <v>-333.12670000000003</v>
      </c>
      <c r="H4776">
        <v>1.003517</v>
      </c>
      <c r="I4776">
        <v>17.333300000000001</v>
      </c>
      <c r="J4776">
        <v>-333.85669999999999</v>
      </c>
      <c r="K4776">
        <v>1.111407</v>
      </c>
      <c r="L4776">
        <v>17.501190000000001</v>
      </c>
      <c r="M4776">
        <v>0.99934750000000006</v>
      </c>
      <c r="N4776">
        <v>-1.380134E-2</v>
      </c>
      <c r="O4776">
        <v>-3.3379039999999999E-2</v>
      </c>
      <c r="P4776">
        <v>0.90392519999999998</v>
      </c>
      <c r="Q4776">
        <v>0.39758890000000002</v>
      </c>
      <c r="R4776">
        <v>-0.15761449999999999</v>
      </c>
      <c r="S4776">
        <v>3.3887019999999999</v>
      </c>
      <c r="T4776">
        <v>-0.42833949999999998</v>
      </c>
      <c r="U4776">
        <v>-0.68185419999999997</v>
      </c>
      <c r="V4776">
        <v>0.12725510000000001</v>
      </c>
      <c r="W4776">
        <v>0.41012189999999998</v>
      </c>
      <c r="X4776">
        <v>0.90310919999999895</v>
      </c>
      <c r="Y4776">
        <v>0.1632381</v>
      </c>
      <c r="Z4776">
        <v>-7.6154169999999898E-3</v>
      </c>
      <c r="AA4776">
        <v>0.98655729999999997</v>
      </c>
      <c r="AB4776">
        <v>24</v>
      </c>
      <c r="AC4776">
        <v>0.72999999999996101</v>
      </c>
      <c r="AD4776">
        <v>-0.10789</v>
      </c>
      <c r="AE4776">
        <v>-0.16788999999999901</v>
      </c>
      <c r="AF4776">
        <v>0.14051235420950201</v>
      </c>
      <c r="AG4776">
        <v>-0.10789</v>
      </c>
      <c r="AH4776">
        <v>0.72025534086743903</v>
      </c>
      <c r="AI4776">
        <v>98.363847231384796</v>
      </c>
      <c r="AJ4776">
        <v>78.960996566470698</v>
      </c>
      <c r="AK4776">
        <v>0.741722137888285</v>
      </c>
      <c r="AL4776">
        <v>65.787508180870802</v>
      </c>
      <c r="AM4776">
        <v>81.979384627452603</v>
      </c>
      <c r="AN4776">
        <v>1.00000003023012</v>
      </c>
    </row>
    <row r="4777" spans="1:40" x14ac:dyDescent="0.25">
      <c r="A4777" t="str">
        <f>"20190304164741543"</f>
        <v>20190304164741543</v>
      </c>
      <c r="B4777" t="str">
        <f>"1551689261533776"</f>
        <v>1551689261533776</v>
      </c>
      <c r="C4777" t="s">
        <v>40</v>
      </c>
      <c r="D4777">
        <v>4.5191549999999996</v>
      </c>
      <c r="E4777">
        <v>0.53870150000000006</v>
      </c>
      <c r="F4777" t="s">
        <v>41</v>
      </c>
      <c r="G4777">
        <v>-333.1198</v>
      </c>
      <c r="H4777">
        <v>1.0173430000000001</v>
      </c>
      <c r="I4777">
        <v>17.349039999999999</v>
      </c>
      <c r="J4777">
        <v>-333.73360000000002</v>
      </c>
      <c r="K4777">
        <v>1.1114059999999999</v>
      </c>
      <c r="L4777">
        <v>17.497160000000001</v>
      </c>
      <c r="M4777">
        <v>0.99935050000000003</v>
      </c>
      <c r="N4777">
        <v>-1.3800049999999999E-2</v>
      </c>
      <c r="O4777">
        <v>-3.3292130000000003E-2</v>
      </c>
      <c r="P4777">
        <v>0.90381900000000004</v>
      </c>
      <c r="Q4777">
        <v>0.39781670000000002</v>
      </c>
      <c r="R4777">
        <v>-0.15765000000000001</v>
      </c>
      <c r="S4777">
        <v>3.3872680000000002</v>
      </c>
      <c r="T4777">
        <v>-0.43245260000000002</v>
      </c>
      <c r="U4777">
        <v>-0.69860840000000002</v>
      </c>
      <c r="V4777">
        <v>0.12737299999999999</v>
      </c>
      <c r="W4777">
        <v>0.41034670000000001</v>
      </c>
      <c r="X4777">
        <v>0.90299039999999997</v>
      </c>
      <c r="Y4777">
        <v>0.16802539999999999</v>
      </c>
      <c r="Z4777">
        <v>-8.0171259999999994E-3</v>
      </c>
      <c r="AA4777">
        <v>0.98575009999999996</v>
      </c>
      <c r="AB4777">
        <v>24</v>
      </c>
      <c r="AC4777">
        <v>0.61380000000002599</v>
      </c>
      <c r="AD4777">
        <v>-9.40629999999998E-2</v>
      </c>
      <c r="AE4777">
        <v>-0.148120000000002</v>
      </c>
      <c r="AF4777">
        <v>0.124830937152213</v>
      </c>
      <c r="AG4777">
        <v>-9.40629999999998E-2</v>
      </c>
      <c r="AH4777">
        <v>0.60496579959712204</v>
      </c>
      <c r="AI4777">
        <v>98.658303903486498</v>
      </c>
      <c r="AJ4777">
        <v>78.341004893489099</v>
      </c>
      <c r="AK4777">
        <v>0.624831360865862</v>
      </c>
      <c r="AL4777">
        <v>65.773383643991707</v>
      </c>
      <c r="AM4777">
        <v>81.971008067216999</v>
      </c>
      <c r="AN4777">
        <v>0.99999997891102399</v>
      </c>
    </row>
    <row r="4778" spans="1:40" x14ac:dyDescent="0.25">
      <c r="A4778" t="str">
        <f>"20190304164741554"</f>
        <v>20190304164741554</v>
      </c>
      <c r="B4778" t="str">
        <f>"1551689261543537"</f>
        <v>1551689261543537</v>
      </c>
      <c r="C4778" t="s">
        <v>40</v>
      </c>
      <c r="D4778">
        <v>4.5163099999999998</v>
      </c>
      <c r="E4778">
        <v>0.53968329999999998</v>
      </c>
      <c r="F4778" t="s">
        <v>41</v>
      </c>
      <c r="G4778">
        <v>-332.91160000000002</v>
      </c>
      <c r="H4778">
        <v>1.0045299999999999</v>
      </c>
      <c r="I4778">
        <v>17.324719999999999</v>
      </c>
      <c r="J4778">
        <v>-333.6157</v>
      </c>
      <c r="K4778">
        <v>1.1114029999999999</v>
      </c>
      <c r="L4778">
        <v>17.49335</v>
      </c>
      <c r="M4778">
        <v>0.9993533</v>
      </c>
      <c r="N4778">
        <v>-1.379882E-2</v>
      </c>
      <c r="O4778">
        <v>-3.3208679999999997E-2</v>
      </c>
      <c r="P4778">
        <v>0.90377099999999999</v>
      </c>
      <c r="Q4778">
        <v>0.39787230000000001</v>
      </c>
      <c r="R4778">
        <v>-0.1577848</v>
      </c>
      <c r="S4778">
        <v>3.3893430000000002</v>
      </c>
      <c r="T4778">
        <v>-0.44069079999999999</v>
      </c>
      <c r="U4778">
        <v>-0.71002200000000004</v>
      </c>
      <c r="V4778">
        <v>0.12758549999999999</v>
      </c>
      <c r="W4778">
        <v>0.4104006</v>
      </c>
      <c r="X4778">
        <v>0.90293590000000001</v>
      </c>
      <c r="Y4778">
        <v>0.1710999</v>
      </c>
      <c r="Z4778">
        <v>-8.3600180000000003E-3</v>
      </c>
      <c r="AA4778">
        <v>0.98521820000000004</v>
      </c>
      <c r="AB4778">
        <v>24</v>
      </c>
      <c r="AC4778">
        <v>0.70409999999998196</v>
      </c>
      <c r="AD4778">
        <v>-0.106873</v>
      </c>
      <c r="AE4778">
        <v>-0.16862999999999601</v>
      </c>
      <c r="AF4778">
        <v>0.14205717963484299</v>
      </c>
      <c r="AG4778">
        <v>-0.106873</v>
      </c>
      <c r="AH4778">
        <v>0.69418619772026202</v>
      </c>
      <c r="AI4778">
        <v>98.577192953750199</v>
      </c>
      <c r="AJ4778">
        <v>78.434755651417703</v>
      </c>
      <c r="AK4778">
        <v>0.71658674109986198</v>
      </c>
      <c r="AL4778">
        <v>65.769997028958301</v>
      </c>
      <c r="AM4778">
        <v>81.957309107723702</v>
      </c>
      <c r="AN4778">
        <v>0.99999997589970901</v>
      </c>
    </row>
    <row r="4779" spans="1:40" x14ac:dyDescent="0.25">
      <c r="A4779" t="str">
        <f>"20190304164741565"</f>
        <v>20190304164741565</v>
      </c>
      <c r="B4779" t="str">
        <f>"1551689261564032"</f>
        <v>1551689261564032</v>
      </c>
      <c r="C4779" t="s">
        <v>40</v>
      </c>
      <c r="D4779">
        <v>4.4749639999999999</v>
      </c>
      <c r="E4779">
        <v>0.54152279999999997</v>
      </c>
      <c r="F4779" t="s">
        <v>41</v>
      </c>
      <c r="G4779">
        <v>-332.70249999999999</v>
      </c>
      <c r="H4779">
        <v>0.99378069999999996</v>
      </c>
      <c r="I4779">
        <v>17.299109999999999</v>
      </c>
      <c r="J4779">
        <v>-333.4862</v>
      </c>
      <c r="K4779">
        <v>1.111402</v>
      </c>
      <c r="L4779">
        <v>17.489170000000001</v>
      </c>
      <c r="M4779">
        <v>0.99935640000000003</v>
      </c>
      <c r="N4779">
        <v>-1.3797459999999999E-2</v>
      </c>
      <c r="O4779">
        <v>-3.3117130000000002E-2</v>
      </c>
      <c r="P4779">
        <v>0.90369820000000001</v>
      </c>
      <c r="Q4779">
        <v>0.39793770000000001</v>
      </c>
      <c r="R4779">
        <v>-0.15803619999999999</v>
      </c>
      <c r="S4779">
        <v>3.385834</v>
      </c>
      <c r="T4779">
        <v>-0.43608829999999998</v>
      </c>
      <c r="U4779">
        <v>-0.71932980000000002</v>
      </c>
      <c r="V4779">
        <v>0.12792249999999999</v>
      </c>
      <c r="W4779">
        <v>0.4104641</v>
      </c>
      <c r="X4779">
        <v>0.90285930000000003</v>
      </c>
      <c r="Y4779">
        <v>0.1739849</v>
      </c>
      <c r="Z4779">
        <v>-8.5089550000000003E-3</v>
      </c>
      <c r="AA4779">
        <v>0.98471160000000002</v>
      </c>
      <c r="AB4779">
        <v>24</v>
      </c>
      <c r="AC4779">
        <v>0.78370000000001006</v>
      </c>
      <c r="AD4779">
        <v>-0.1176213</v>
      </c>
      <c r="AE4779">
        <v>-0.19006000000000201</v>
      </c>
      <c r="AF4779">
        <v>0.16058309541166901</v>
      </c>
      <c r="AG4779">
        <v>-0.1176213</v>
      </c>
      <c r="AH4779">
        <v>0.77311745273417698</v>
      </c>
      <c r="AI4779">
        <v>98.472460045414294</v>
      </c>
      <c r="AJ4779">
        <v>78.266024401298793</v>
      </c>
      <c r="AK4779">
        <v>0.79833094420037698</v>
      </c>
      <c r="AL4779">
        <v>65.766006011120695</v>
      </c>
      <c r="AM4779">
        <v>81.935669329880994</v>
      </c>
      <c r="AN4779">
        <v>0.99999992949577199</v>
      </c>
    </row>
    <row r="4780" spans="1:40" x14ac:dyDescent="0.25">
      <c r="A4780" t="str">
        <f>"20190304164741578"</f>
        <v>20190304164741578</v>
      </c>
      <c r="B4780" t="str">
        <f>"1551689261573793"</f>
        <v>1551689261573793</v>
      </c>
      <c r="C4780" t="s">
        <v>40</v>
      </c>
      <c r="D4780">
        <v>4.5218790000000002</v>
      </c>
      <c r="E4780">
        <v>0.5423095</v>
      </c>
      <c r="F4780" t="s">
        <v>41</v>
      </c>
      <c r="G4780">
        <v>-332.6961</v>
      </c>
      <c r="H4780">
        <v>1.006866</v>
      </c>
      <c r="I4780">
        <v>17.317769999999999</v>
      </c>
      <c r="J4780">
        <v>-333.36470000000003</v>
      </c>
      <c r="K4780">
        <v>1.1113999999999999</v>
      </c>
      <c r="L4780">
        <v>17.485199999999999</v>
      </c>
      <c r="M4780">
        <v>0.9993592</v>
      </c>
      <c r="N4780">
        <v>-1.379622E-2</v>
      </c>
      <c r="O4780">
        <v>-3.303118E-2</v>
      </c>
      <c r="P4780">
        <v>0.90358570000000005</v>
      </c>
      <c r="Q4780">
        <v>0.39820919999999999</v>
      </c>
      <c r="R4780">
        <v>-0.15799589999999999</v>
      </c>
      <c r="S4780">
        <v>3.3887330000000002</v>
      </c>
      <c r="T4780">
        <v>-0.44834380000000001</v>
      </c>
      <c r="U4780">
        <v>-0.73416139999999996</v>
      </c>
      <c r="V4780">
        <v>0.1279641</v>
      </c>
      <c r="W4780">
        <v>0.4107324</v>
      </c>
      <c r="X4780">
        <v>0.90273150000000002</v>
      </c>
      <c r="Y4780">
        <v>0.17791499999999999</v>
      </c>
      <c r="Z4780">
        <v>-8.9844839999999992E-3</v>
      </c>
      <c r="AA4780">
        <v>0.98400489999999996</v>
      </c>
      <c r="AB4780">
        <v>24</v>
      </c>
      <c r="AC4780">
        <v>0.66860000000002595</v>
      </c>
      <c r="AD4780">
        <v>-0.104533999999999</v>
      </c>
      <c r="AE4780">
        <v>-0.167429999999999</v>
      </c>
      <c r="AF4780">
        <v>0.14198589680180501</v>
      </c>
      <c r="AG4780">
        <v>-0.104533999999999</v>
      </c>
      <c r="AH4780">
        <v>0.65861645383525902</v>
      </c>
      <c r="AI4780">
        <v>98.8192984963637</v>
      </c>
      <c r="AJ4780">
        <v>77.8342471265276</v>
      </c>
      <c r="AK4780">
        <v>0.68180861340199095</v>
      </c>
      <c r="AL4780">
        <v>65.749149655541203</v>
      </c>
      <c r="AM4780">
        <v>81.931954348611399</v>
      </c>
      <c r="AN4780">
        <v>1.0000000381954</v>
      </c>
    </row>
    <row r="4781" spans="1:40" x14ac:dyDescent="0.25">
      <c r="A4781" t="str">
        <f>"20190304164741591"</f>
        <v>20190304164741591</v>
      </c>
      <c r="B4781" t="str">
        <f>"1551689261583553"</f>
        <v>1551689261583553</v>
      </c>
      <c r="C4781" t="s">
        <v>40</v>
      </c>
      <c r="D4781">
        <v>4.5302879999999996</v>
      </c>
      <c r="E4781">
        <v>0.54298760000000001</v>
      </c>
      <c r="F4781" t="s">
        <v>41</v>
      </c>
      <c r="G4781">
        <v>-332.48820000000001</v>
      </c>
      <c r="H4781">
        <v>0.99434880000000003</v>
      </c>
      <c r="I4781">
        <v>17.29372</v>
      </c>
      <c r="J4781">
        <v>-333.22699999999998</v>
      </c>
      <c r="K4781">
        <v>1.111402</v>
      </c>
      <c r="L4781">
        <v>17.48077</v>
      </c>
      <c r="M4781">
        <v>0.99936230000000004</v>
      </c>
      <c r="N4781">
        <v>-1.3794870000000001E-2</v>
      </c>
      <c r="O4781">
        <v>-3.293343E-2</v>
      </c>
      <c r="P4781">
        <v>0.90370150000000005</v>
      </c>
      <c r="Q4781">
        <v>0.39794010000000002</v>
      </c>
      <c r="R4781">
        <v>-0.15801080000000001</v>
      </c>
      <c r="S4781">
        <v>3.3901669999999999</v>
      </c>
      <c r="T4781">
        <v>-0.45275209999999999</v>
      </c>
      <c r="U4781">
        <v>-0.74060059999999905</v>
      </c>
      <c r="V4781">
        <v>0.12806439999999999</v>
      </c>
      <c r="W4781">
        <v>0.41046329999999998</v>
      </c>
      <c r="X4781">
        <v>0.90283970000000002</v>
      </c>
      <c r="Y4781">
        <v>0.1796681</v>
      </c>
      <c r="Z4781">
        <v>-9.1901369999999993E-3</v>
      </c>
      <c r="AA4781">
        <v>0.98368440000000001</v>
      </c>
      <c r="AB4781">
        <v>24</v>
      </c>
      <c r="AC4781">
        <v>0.73879999999996904</v>
      </c>
      <c r="AD4781">
        <v>-0.117053199999999</v>
      </c>
      <c r="AE4781">
        <v>-0.18704999999999899</v>
      </c>
      <c r="AF4781">
        <v>0.158867282169881</v>
      </c>
      <c r="AG4781">
        <v>-0.117053199999999</v>
      </c>
      <c r="AH4781">
        <v>0.72740047981406497</v>
      </c>
      <c r="AI4781">
        <v>98.9345668190563</v>
      </c>
      <c r="AJ4781">
        <v>77.679825019162095</v>
      </c>
      <c r="AK4781">
        <v>0.75369206112842702</v>
      </c>
      <c r="AL4781">
        <v>65.766059837733593</v>
      </c>
      <c r="AM4781">
        <v>81.926668762722102</v>
      </c>
      <c r="AN4781">
        <v>1.0000000675451599</v>
      </c>
    </row>
    <row r="4782" spans="1:40" x14ac:dyDescent="0.25">
      <c r="A4782" t="str">
        <f>"20190304164741607"</f>
        <v>20190304164741607</v>
      </c>
      <c r="B4782" t="str">
        <f>"1551689261604049"</f>
        <v>1551689261604049</v>
      </c>
      <c r="C4782" t="s">
        <v>40</v>
      </c>
      <c r="D4782">
        <v>4.5737129999999997</v>
      </c>
      <c r="E4782">
        <v>0.54426750000000002</v>
      </c>
      <c r="F4782" t="s">
        <v>41</v>
      </c>
      <c r="G4782">
        <v>-332.4803</v>
      </c>
      <c r="H4782">
        <v>1.010389</v>
      </c>
      <c r="I4782">
        <v>17.316700000000001</v>
      </c>
      <c r="J4782">
        <v>-333.048</v>
      </c>
      <c r="K4782">
        <v>1.111402</v>
      </c>
      <c r="L4782">
        <v>17.47504</v>
      </c>
      <c r="M4782">
        <v>0.99936659999999999</v>
      </c>
      <c r="N4782">
        <v>-1.3793E-2</v>
      </c>
      <c r="O4782">
        <v>-3.2807179999999998E-2</v>
      </c>
      <c r="P4782">
        <v>0.90374270000000001</v>
      </c>
      <c r="Q4782">
        <v>0.39792650000000002</v>
      </c>
      <c r="R4782">
        <v>-0.15780920000000001</v>
      </c>
      <c r="S4782">
        <v>3.3914179999999998</v>
      </c>
      <c r="T4782">
        <v>-0.45880680000000001</v>
      </c>
      <c r="U4782">
        <v>-0.74523930000000005</v>
      </c>
      <c r="V4782">
        <v>0.1279767</v>
      </c>
      <c r="W4782">
        <v>0.41044849999999999</v>
      </c>
      <c r="X4782">
        <v>0.90285879999999996</v>
      </c>
      <c r="Y4782">
        <v>0.18095240000000001</v>
      </c>
      <c r="Z4782">
        <v>-9.3950609999999997E-3</v>
      </c>
      <c r="AA4782">
        <v>0.98344699999999996</v>
      </c>
      <c r="AB4782">
        <v>24</v>
      </c>
      <c r="AC4782">
        <v>0.56770000000000198</v>
      </c>
      <c r="AD4782">
        <v>-0.10101300000000001</v>
      </c>
      <c r="AE4782">
        <v>-0.15833999999999901</v>
      </c>
      <c r="AF4782">
        <v>0.135643776575048</v>
      </c>
      <c r="AG4782">
        <v>-0.10101300000000001</v>
      </c>
      <c r="AH4782">
        <v>0.556249575887523</v>
      </c>
      <c r="AI4782">
        <v>100.005540857886</v>
      </c>
      <c r="AJ4782">
        <v>76.295649552963098</v>
      </c>
      <c r="AK4782">
        <v>0.58139182224003705</v>
      </c>
      <c r="AL4782">
        <v>65.766988270693602</v>
      </c>
      <c r="AM4782">
        <v>81.932293087088695</v>
      </c>
      <c r="AN4782">
        <v>1.00000000981629</v>
      </c>
    </row>
    <row r="4783" spans="1:40" x14ac:dyDescent="0.25">
      <c r="A4783" t="str">
        <f>"20190304164741619"</f>
        <v>20190304164741619</v>
      </c>
      <c r="B4783" t="str">
        <f>"1551689261613809"</f>
        <v>1551689261613809</v>
      </c>
      <c r="C4783" t="s">
        <v>40</v>
      </c>
      <c r="D4783">
        <v>4.4825780000000002</v>
      </c>
      <c r="E4783">
        <v>0.54491080000000003</v>
      </c>
      <c r="F4783" t="s">
        <v>41</v>
      </c>
      <c r="G4783">
        <v>-332.26929999999999</v>
      </c>
      <c r="H4783">
        <v>1.004494</v>
      </c>
      <c r="I4783">
        <v>17.301449999999999</v>
      </c>
      <c r="J4783">
        <v>-332.92009999999999</v>
      </c>
      <c r="K4783">
        <v>1.1114029999999999</v>
      </c>
      <c r="L4783">
        <v>17.470949999999998</v>
      </c>
      <c r="M4783">
        <v>0.99936959999999997</v>
      </c>
      <c r="N4783">
        <v>-1.3791650000000001E-2</v>
      </c>
      <c r="O4783">
        <v>-3.2718259999999999E-2</v>
      </c>
      <c r="P4783">
        <v>0.90381359999999999</v>
      </c>
      <c r="Q4783">
        <v>0.3978122</v>
      </c>
      <c r="R4783">
        <v>-0.15769149999999901</v>
      </c>
      <c r="S4783">
        <v>3.392792</v>
      </c>
      <c r="T4783">
        <v>-0.4658562</v>
      </c>
      <c r="U4783">
        <v>-0.75518799999999997</v>
      </c>
      <c r="V4783">
        <v>0.12793840000000001</v>
      </c>
      <c r="W4783">
        <v>0.41033320000000001</v>
      </c>
      <c r="X4783">
        <v>0.90291659999999996</v>
      </c>
      <c r="Y4783">
        <v>0.1836371</v>
      </c>
      <c r="Z4783">
        <v>-9.7176620000000002E-3</v>
      </c>
      <c r="AA4783">
        <v>0.98294610000000004</v>
      </c>
      <c r="AB4783">
        <v>24</v>
      </c>
      <c r="AC4783">
        <v>0.65080000000000304</v>
      </c>
      <c r="AD4783">
        <v>-0.106909</v>
      </c>
      <c r="AE4783">
        <v>-0.16949999999999901</v>
      </c>
      <c r="AF4783">
        <v>0.14446337235100501</v>
      </c>
      <c r="AG4783">
        <v>-0.106909</v>
      </c>
      <c r="AH4783">
        <v>0.63982839508927103</v>
      </c>
      <c r="AI4783">
        <v>99.257086947282005</v>
      </c>
      <c r="AJ4783">
        <v>77.276837791573598</v>
      </c>
      <c r="AK4783">
        <v>0.66458977978489697</v>
      </c>
      <c r="AL4783">
        <v>65.774231808561694</v>
      </c>
      <c r="AM4783">
        <v>81.935185269216205</v>
      </c>
      <c r="AN4783">
        <v>0.999999977886179</v>
      </c>
    </row>
    <row r="4784" spans="1:40" x14ac:dyDescent="0.25">
      <c r="A4784" t="str">
        <f>"20190304164741631"</f>
        <v>20190304164741631</v>
      </c>
      <c r="B4784" t="str">
        <f>"1551689261623569"</f>
        <v>1551689261623569</v>
      </c>
      <c r="C4784" t="s">
        <v>40</v>
      </c>
      <c r="D4784">
        <v>4.677079</v>
      </c>
      <c r="E4784">
        <v>0.54536399999999996</v>
      </c>
      <c r="F4784" t="s">
        <v>41</v>
      </c>
      <c r="G4784">
        <v>-332.06150000000002</v>
      </c>
      <c r="H4784">
        <v>0.992807</v>
      </c>
      <c r="I4784">
        <v>17.278549999999999</v>
      </c>
      <c r="J4784">
        <v>-332.78809999999999</v>
      </c>
      <c r="K4784">
        <v>1.1114029999999999</v>
      </c>
      <c r="L4784">
        <v>17.466739999999898</v>
      </c>
      <c r="M4784">
        <v>0.9993725</v>
      </c>
      <c r="N4784">
        <v>-1.379025E-2</v>
      </c>
      <c r="O4784">
        <v>-3.2627679999999999E-2</v>
      </c>
      <c r="P4784">
        <v>0.90389419999999998</v>
      </c>
      <c r="Q4784">
        <v>0.39771459999999997</v>
      </c>
      <c r="R4784">
        <v>-0.157476</v>
      </c>
      <c r="S4784">
        <v>3.392944</v>
      </c>
      <c r="T4784">
        <v>-0.46858050000000001</v>
      </c>
      <c r="U4784">
        <v>-0.7597351</v>
      </c>
      <c r="V4784">
        <v>0.1278039</v>
      </c>
      <c r="W4784">
        <v>0.41023500000000002</v>
      </c>
      <c r="X4784">
        <v>0.90298029999999996</v>
      </c>
      <c r="Y4784">
        <v>0.1849413</v>
      </c>
      <c r="Z4784">
        <v>-9.8711930000000003E-3</v>
      </c>
      <c r="AA4784">
        <v>0.98270000000000002</v>
      </c>
      <c r="AB4784">
        <v>24</v>
      </c>
      <c r="AC4784">
        <v>0.72659999999996205</v>
      </c>
      <c r="AD4784">
        <v>-0.11859599999999999</v>
      </c>
      <c r="AE4784">
        <v>-0.188189999999998</v>
      </c>
      <c r="AF4784">
        <v>0.160376278997656</v>
      </c>
      <c r="AG4784">
        <v>-0.11859599999999999</v>
      </c>
      <c r="AH4784">
        <v>0.71451515438406799</v>
      </c>
      <c r="AI4784">
        <v>99.199274092524206</v>
      </c>
      <c r="AJ4784">
        <v>77.349358315177597</v>
      </c>
      <c r="AK4784">
        <v>0.741833854663982</v>
      </c>
      <c r="AL4784">
        <v>65.780402196482896</v>
      </c>
      <c r="AM4784">
        <v>81.944113208971203</v>
      </c>
      <c r="AN4784">
        <v>1.0000000071341499</v>
      </c>
    </row>
    <row r="4785" spans="1:40" x14ac:dyDescent="0.25">
      <c r="A4785" t="str">
        <f>"20190304164741644"</f>
        <v>20190304164741644</v>
      </c>
      <c r="B4785" t="str">
        <f>"1551689261634304"</f>
        <v>1551689261634304</v>
      </c>
      <c r="C4785" t="s">
        <v>40</v>
      </c>
      <c r="D4785">
        <v>4.721463</v>
      </c>
      <c r="E4785">
        <v>0.54571550000000002</v>
      </c>
      <c r="F4785" t="s">
        <v>41</v>
      </c>
      <c r="G4785">
        <v>-332.05349999999999</v>
      </c>
      <c r="H4785">
        <v>1.0091270000000001</v>
      </c>
      <c r="I4785">
        <v>17.301490000000001</v>
      </c>
      <c r="J4785">
        <v>-332.66300000000001</v>
      </c>
      <c r="K4785">
        <v>1.1113999999999999</v>
      </c>
      <c r="L4785">
        <v>17.46274</v>
      </c>
      <c r="M4785">
        <v>0.99937520000000002</v>
      </c>
      <c r="N4785">
        <v>-1.378806E-2</v>
      </c>
      <c r="O4785">
        <v>-3.2544969999999999E-2</v>
      </c>
      <c r="P4785">
        <v>0.90406390000000003</v>
      </c>
      <c r="Q4785">
        <v>0.39753179999999999</v>
      </c>
      <c r="R4785">
        <v>-0.1569615</v>
      </c>
      <c r="S4785">
        <v>3.3939509999999999</v>
      </c>
      <c r="T4785">
        <v>-0.47246169999999998</v>
      </c>
      <c r="U4785">
        <v>-0.76278690000000005</v>
      </c>
      <c r="V4785">
        <v>0.12736159999999999</v>
      </c>
      <c r="W4785">
        <v>0.41005150000000001</v>
      </c>
      <c r="X4785">
        <v>0.90312610000000004</v>
      </c>
      <c r="Y4785">
        <v>0.1857692</v>
      </c>
      <c r="Z4785">
        <v>-1.000729E-2</v>
      </c>
      <c r="AA4785">
        <v>0.98254249999999999</v>
      </c>
      <c r="AB4785">
        <v>24</v>
      </c>
      <c r="AC4785">
        <v>0.60950000000002502</v>
      </c>
      <c r="AD4785">
        <v>-0.102272999999999</v>
      </c>
      <c r="AE4785">
        <v>-0.16124999999999901</v>
      </c>
      <c r="AF4785">
        <v>0.13770294767397401</v>
      </c>
      <c r="AG4785">
        <v>-0.102272999999999</v>
      </c>
      <c r="AH4785">
        <v>0.59867174484014796</v>
      </c>
      <c r="AI4785">
        <v>99.452241984431893</v>
      </c>
      <c r="AJ4785">
        <v>77.046467745096294</v>
      </c>
      <c r="AK4785">
        <v>0.62275976619965401</v>
      </c>
      <c r="AL4785">
        <v>65.791929522932705</v>
      </c>
      <c r="AM4785">
        <v>81.972907872652897</v>
      </c>
      <c r="AN4785">
        <v>0.99999998115400901</v>
      </c>
    </row>
    <row r="4786" spans="1:40" x14ac:dyDescent="0.25">
      <c r="A4786" t="str">
        <f>"20190304164741655"</f>
        <v>20190304164741655</v>
      </c>
      <c r="B4786" t="str">
        <f>"1551689261644065"</f>
        <v>1551689261644065</v>
      </c>
      <c r="C4786" t="s">
        <v>40</v>
      </c>
      <c r="D4786">
        <v>4.6233649999999997</v>
      </c>
      <c r="E4786">
        <v>0.54614560000000001</v>
      </c>
      <c r="F4786" t="s">
        <v>41</v>
      </c>
      <c r="G4786">
        <v>-331.84620000000001</v>
      </c>
      <c r="H4786">
        <v>0.99676940000000003</v>
      </c>
      <c r="I4786">
        <v>17.278639999999999</v>
      </c>
      <c r="J4786">
        <v>-332.53769999999997</v>
      </c>
      <c r="K4786">
        <v>1.1113980000000001</v>
      </c>
      <c r="L4786">
        <v>17.458739999999999</v>
      </c>
      <c r="M4786">
        <v>0.99937790000000004</v>
      </c>
      <c r="N4786">
        <v>-1.378529E-2</v>
      </c>
      <c r="O4786">
        <v>-3.2463579999999999E-2</v>
      </c>
      <c r="P4786">
        <v>0.90428260000000005</v>
      </c>
      <c r="Q4786">
        <v>0.39727050000000003</v>
      </c>
      <c r="R4786">
        <v>-0.15636349999999999</v>
      </c>
      <c r="S4786">
        <v>3.3952330000000002</v>
      </c>
      <c r="T4786">
        <v>-0.47647319999999999</v>
      </c>
      <c r="U4786">
        <v>-0.76394649999999997</v>
      </c>
      <c r="V4786">
        <v>0.12683359999999999</v>
      </c>
      <c r="W4786">
        <v>0.40978920000000002</v>
      </c>
      <c r="X4786">
        <v>0.90331950000000005</v>
      </c>
      <c r="Y4786">
        <v>0.18606110000000001</v>
      </c>
      <c r="Z4786">
        <v>-1.010547E-2</v>
      </c>
      <c r="AA4786">
        <v>0.98248619999999998</v>
      </c>
      <c r="AB4786">
        <v>24</v>
      </c>
      <c r="AC4786">
        <v>0.69149999999996203</v>
      </c>
      <c r="AD4786">
        <v>-0.114628599999999</v>
      </c>
      <c r="AE4786">
        <v>-0.18009999999999901</v>
      </c>
      <c r="AF4786">
        <v>0.15360165533498499</v>
      </c>
      <c r="AG4786">
        <v>-0.114628599999999</v>
      </c>
      <c r="AH4786">
        <v>0.67949689588733497</v>
      </c>
      <c r="AI4786">
        <v>99.343981386612697</v>
      </c>
      <c r="AJ4786">
        <v>77.262256837507707</v>
      </c>
      <c r="AK4786">
        <v>0.70600935969725698</v>
      </c>
      <c r="AL4786">
        <v>65.808407531475694</v>
      </c>
      <c r="AM4786">
        <v>82.007443954746194</v>
      </c>
      <c r="AN4786">
        <v>1.0000000348029201</v>
      </c>
    </row>
    <row r="4787" spans="1:40" x14ac:dyDescent="0.25">
      <c r="A4787" t="str">
        <f>"20190304164741666"</f>
        <v>20190304164741666</v>
      </c>
      <c r="B4787" t="str">
        <f>"1551689261663584"</f>
        <v>1551689261663584</v>
      </c>
      <c r="C4787" t="s">
        <v>40</v>
      </c>
      <c r="D4787">
        <v>4.5272480000000002</v>
      </c>
      <c r="E4787">
        <v>0.5467767</v>
      </c>
      <c r="F4787" t="s">
        <v>41</v>
      </c>
      <c r="G4787">
        <v>-331.63920000000002</v>
      </c>
      <c r="H4787">
        <v>0.98429719999999998</v>
      </c>
      <c r="I4787">
        <v>17.25619</v>
      </c>
      <c r="J4787">
        <v>-332.4119</v>
      </c>
      <c r="K4787">
        <v>1.111391</v>
      </c>
      <c r="L4787">
        <v>17.454740000000001</v>
      </c>
      <c r="M4787">
        <v>0.99938039999999995</v>
      </c>
      <c r="N4787">
        <v>-1.3779059999999999E-2</v>
      </c>
      <c r="O4787">
        <v>-3.2386600000000001E-2</v>
      </c>
      <c r="P4787">
        <v>0.90437639999999997</v>
      </c>
      <c r="Q4787">
        <v>0.3971845</v>
      </c>
      <c r="R4787">
        <v>-0.1560376</v>
      </c>
      <c r="S4787">
        <v>3.3961489999999999</v>
      </c>
      <c r="T4787">
        <v>-0.48040129999999998</v>
      </c>
      <c r="U4787">
        <v>-0.76589969999999996</v>
      </c>
      <c r="V4787">
        <v>0.126579</v>
      </c>
      <c r="W4787">
        <v>0.40969739999999999</v>
      </c>
      <c r="X4787">
        <v>0.9033968</v>
      </c>
      <c r="Y4787">
        <v>0.18658730000000001</v>
      </c>
      <c r="Z4787">
        <v>-1.022026E-2</v>
      </c>
      <c r="AA4787">
        <v>0.98238519999999896</v>
      </c>
      <c r="AB4787">
        <v>24</v>
      </c>
      <c r="AC4787">
        <v>0.77269999999998595</v>
      </c>
      <c r="AD4787">
        <v>-0.12709380000000001</v>
      </c>
      <c r="AE4787">
        <v>-0.19855</v>
      </c>
      <c r="AF4787">
        <v>0.16912622117899501</v>
      </c>
      <c r="AG4787">
        <v>-0.12709380000000001</v>
      </c>
      <c r="AH4787">
        <v>0.75945210399944996</v>
      </c>
      <c r="AI4787">
        <v>99.2772098645694</v>
      </c>
      <c r="AJ4787">
        <v>77.445378935823598</v>
      </c>
      <c r="AK4787">
        <v>0.78836794135601296</v>
      </c>
      <c r="AL4787">
        <v>65.814172394515694</v>
      </c>
      <c r="AM4787">
        <v>82.023954887569701</v>
      </c>
      <c r="AN4787">
        <v>0.99999999052900002</v>
      </c>
    </row>
    <row r="4788" spans="1:40" x14ac:dyDescent="0.25">
      <c r="A4788" t="str">
        <f>"20190304164741680"</f>
        <v>20190304164741680</v>
      </c>
      <c r="B4788" t="str">
        <f>"1551689261674321"</f>
        <v>1551689261674321</v>
      </c>
      <c r="C4788" t="s">
        <v>40</v>
      </c>
      <c r="D4788">
        <v>4.5181639999999996</v>
      </c>
      <c r="E4788">
        <v>0.5470971</v>
      </c>
      <c r="F4788" t="s">
        <v>41</v>
      </c>
      <c r="G4788">
        <v>-331.63170000000002</v>
      </c>
      <c r="H4788">
        <v>0.99992000000000003</v>
      </c>
      <c r="I4788">
        <v>17.277999999999999</v>
      </c>
      <c r="J4788">
        <v>-332.28</v>
      </c>
      <c r="K4788">
        <v>1.111386</v>
      </c>
      <c r="L4788">
        <v>17.450589999999998</v>
      </c>
      <c r="M4788">
        <v>0.99938300000000002</v>
      </c>
      <c r="N4788">
        <v>-1.377127E-2</v>
      </c>
      <c r="O4788">
        <v>-3.2309030000000002E-2</v>
      </c>
      <c r="P4788">
        <v>0.90464100000000003</v>
      </c>
      <c r="Q4788">
        <v>0.39680140000000003</v>
      </c>
      <c r="R4788">
        <v>-0.15547749999999999</v>
      </c>
      <c r="S4788">
        <v>3.3975520000000001</v>
      </c>
      <c r="T4788">
        <v>-0.48541699999999999</v>
      </c>
      <c r="U4788">
        <v>-0.76995849999999999</v>
      </c>
      <c r="V4788">
        <v>0.12608639999999999</v>
      </c>
      <c r="W4788">
        <v>0.40930889999999998</v>
      </c>
      <c r="X4788">
        <v>0.90364180000000005</v>
      </c>
      <c r="Y4788">
        <v>0.18764990000000001</v>
      </c>
      <c r="Z4788">
        <v>-1.039443E-2</v>
      </c>
      <c r="AA4788">
        <v>0.98218099999999997</v>
      </c>
      <c r="AB4788">
        <v>24</v>
      </c>
      <c r="AC4788">
        <v>0.64829999999994903</v>
      </c>
      <c r="AD4788">
        <v>-0.111465999999999</v>
      </c>
      <c r="AE4788">
        <v>-0.17258999999999899</v>
      </c>
      <c r="AF4788">
        <v>0.14748067537124501</v>
      </c>
      <c r="AG4788">
        <v>-0.111465999999999</v>
      </c>
      <c r="AH4788">
        <v>0.63598165671218299</v>
      </c>
      <c r="AI4788">
        <v>99.688998462413906</v>
      </c>
      <c r="AJ4788">
        <v>76.944182706625995</v>
      </c>
      <c r="AK4788">
        <v>0.66230497992868098</v>
      </c>
      <c r="AL4788">
        <v>65.838572380880294</v>
      </c>
      <c r="AM4788">
        <v>82.0567243190889</v>
      </c>
      <c r="AN4788">
        <v>1.0000000292957001</v>
      </c>
    </row>
    <row r="4789" spans="1:40" x14ac:dyDescent="0.25">
      <c r="A4789" t="str">
        <f>"20190304164741698"</f>
        <v>20190304164741698</v>
      </c>
      <c r="B4789" t="str">
        <f>"1551689261693841"</f>
        <v>1551689261693841</v>
      </c>
      <c r="C4789" t="s">
        <v>40</v>
      </c>
      <c r="D4789">
        <v>4.5755749999999997</v>
      </c>
      <c r="E4789">
        <v>0.54764749999999995</v>
      </c>
      <c r="F4789" t="s">
        <v>41</v>
      </c>
      <c r="G4789">
        <v>-331.42450000000002</v>
      </c>
      <c r="H4789">
        <v>0.9882765</v>
      </c>
      <c r="I4789">
        <v>17.25609</v>
      </c>
      <c r="J4789">
        <v>-332.08359999999999</v>
      </c>
      <c r="K4789">
        <v>1.11138</v>
      </c>
      <c r="L4789">
        <v>17.444400000000002</v>
      </c>
      <c r="M4789">
        <v>0.99938669999999996</v>
      </c>
      <c r="N4789">
        <v>-1.3756269999999999E-2</v>
      </c>
      <c r="O4789">
        <v>-3.2201800000000003E-2</v>
      </c>
      <c r="P4789">
        <v>0.90487689999999998</v>
      </c>
      <c r="Q4789">
        <v>0.396534</v>
      </c>
      <c r="R4789">
        <v>-0.15478599999999901</v>
      </c>
      <c r="S4789">
        <v>3.3981629999999998</v>
      </c>
      <c r="T4789">
        <v>-0.48899039999999999</v>
      </c>
      <c r="U4789">
        <v>-0.77114869999999902</v>
      </c>
      <c r="V4789">
        <v>0.1254942</v>
      </c>
      <c r="W4789">
        <v>0.4090278</v>
      </c>
      <c r="X4789">
        <v>0.90385139999999997</v>
      </c>
      <c r="Y4789">
        <v>0.18801670000000001</v>
      </c>
      <c r="Z4789">
        <v>-1.049594E-2</v>
      </c>
      <c r="AA4789">
        <v>0.98210969999999997</v>
      </c>
      <c r="AB4789">
        <v>24</v>
      </c>
      <c r="AC4789">
        <v>0.65909999999996605</v>
      </c>
      <c r="AD4789">
        <v>-0.1231035</v>
      </c>
      <c r="AE4789">
        <v>-0.188310000000001</v>
      </c>
      <c r="AF4789">
        <v>0.161768703386486</v>
      </c>
      <c r="AG4789">
        <v>-0.1231035</v>
      </c>
      <c r="AH4789">
        <v>0.64405054023061303</v>
      </c>
      <c r="AI4789">
        <v>100.50233708815099</v>
      </c>
      <c r="AJ4789">
        <v>75.900469508514902</v>
      </c>
      <c r="AK4789">
        <v>0.675370034484015</v>
      </c>
      <c r="AL4789">
        <v>65.856221233055095</v>
      </c>
      <c r="AM4789">
        <v>82.095369524206205</v>
      </c>
      <c r="AN4789">
        <v>0.99999994434421802</v>
      </c>
    </row>
    <row r="4790" spans="1:40" x14ac:dyDescent="0.25">
      <c r="A4790" t="str">
        <f>"20190304164741722"</f>
        <v>20190304164741722</v>
      </c>
      <c r="B4790" t="str">
        <f>"1551689261714336"</f>
        <v>1551689261714336</v>
      </c>
      <c r="C4790" t="s">
        <v>40</v>
      </c>
      <c r="D4790">
        <v>4.5088330000000001</v>
      </c>
      <c r="E4790">
        <v>0.54819790000000002</v>
      </c>
      <c r="F4790" t="s">
        <v>41</v>
      </c>
      <c r="G4790">
        <v>-331.21350000000001</v>
      </c>
      <c r="H4790">
        <v>0.98489729999999998</v>
      </c>
      <c r="I4790">
        <v>17.24633</v>
      </c>
      <c r="J4790">
        <v>-331.82929999999999</v>
      </c>
      <c r="K4790">
        <v>1.1113580000000001</v>
      </c>
      <c r="L4790">
        <v>17.43637</v>
      </c>
      <c r="M4790">
        <v>0.99939089999999997</v>
      </c>
      <c r="N4790">
        <v>-1.3731299999999899E-2</v>
      </c>
      <c r="O4790">
        <v>-3.2081819999999997E-2</v>
      </c>
      <c r="P4790">
        <v>0.90533940000000002</v>
      </c>
      <c r="Q4790">
        <v>0.39579249999999999</v>
      </c>
      <c r="R4790">
        <v>-0.15397669999999999</v>
      </c>
      <c r="S4790">
        <v>3.3995669999999998</v>
      </c>
      <c r="T4790">
        <v>-0.49414780000000003</v>
      </c>
      <c r="U4790">
        <v>-0.77368159999999997</v>
      </c>
      <c r="V4790">
        <v>0.1247933</v>
      </c>
      <c r="W4790">
        <v>0.4082654</v>
      </c>
      <c r="X4790">
        <v>0.90429309999999996</v>
      </c>
      <c r="Y4790">
        <v>0.1887017</v>
      </c>
      <c r="Z4790">
        <v>-1.064915E-2</v>
      </c>
      <c r="AA4790">
        <v>0.98197670000000004</v>
      </c>
      <c r="AB4790">
        <v>24</v>
      </c>
      <c r="AC4790">
        <v>0.61579999999997803</v>
      </c>
      <c r="AD4790">
        <v>-0.12646070000000001</v>
      </c>
      <c r="AE4790">
        <v>-0.19003999999999899</v>
      </c>
      <c r="AF4790">
        <v>0.163874243059563</v>
      </c>
      <c r="AG4790">
        <v>-0.12646070000000001</v>
      </c>
      <c r="AH4790">
        <v>0.59853350107517</v>
      </c>
      <c r="AI4790">
        <v>101.518257846513</v>
      </c>
      <c r="AJ4790">
        <v>74.688065902998304</v>
      </c>
      <c r="AK4790">
        <v>0.63331621492911006</v>
      </c>
      <c r="AL4790">
        <v>65.904083769571002</v>
      </c>
      <c r="AM4790">
        <v>82.142756087434506</v>
      </c>
      <c r="AN4790">
        <v>1.0000000076348201</v>
      </c>
    </row>
    <row r="4791" spans="1:40" x14ac:dyDescent="0.25">
      <c r="A4791" t="str">
        <f>"20190304164741743"</f>
        <v>20190304164741743</v>
      </c>
      <c r="B4791" t="str">
        <f>"1551689261733856"</f>
        <v>1551689261733856</v>
      </c>
      <c r="C4791" t="s">
        <v>40</v>
      </c>
      <c r="D4791">
        <v>4.5234649999999998</v>
      </c>
      <c r="E4791">
        <v>0.54872010000000004</v>
      </c>
      <c r="F4791" t="s">
        <v>41</v>
      </c>
      <c r="G4791">
        <v>-330.99900000000002</v>
      </c>
      <c r="H4791">
        <v>0.98919449999999998</v>
      </c>
      <c r="I4791">
        <v>17.246589999999902</v>
      </c>
      <c r="J4791">
        <v>-331.60449999999997</v>
      </c>
      <c r="K4791">
        <v>1.1113409999999999</v>
      </c>
      <c r="L4791">
        <v>17.429289999999899</v>
      </c>
      <c r="M4791">
        <v>0.99939409999999895</v>
      </c>
      <c r="N4791">
        <v>-1.3703180000000001E-2</v>
      </c>
      <c r="O4791">
        <v>-3.1993630000000002E-2</v>
      </c>
      <c r="P4791">
        <v>0.90549310000000005</v>
      </c>
      <c r="Q4791">
        <v>0.39564850000000001</v>
      </c>
      <c r="R4791">
        <v>-0.153443</v>
      </c>
      <c r="S4791">
        <v>3.4003299999999999</v>
      </c>
      <c r="T4791">
        <v>-0.50032969999999999</v>
      </c>
      <c r="U4791">
        <v>-0.77642819999999901</v>
      </c>
      <c r="V4791">
        <v>0.1243476</v>
      </c>
      <c r="W4791">
        <v>0.40809390000000001</v>
      </c>
      <c r="X4791">
        <v>0.90443189999999996</v>
      </c>
      <c r="Y4791">
        <v>0.189445</v>
      </c>
      <c r="Z4791">
        <v>-1.0823609999999999E-2</v>
      </c>
      <c r="AA4791">
        <v>0.98183169999999997</v>
      </c>
      <c r="AB4791">
        <v>24</v>
      </c>
      <c r="AC4791">
        <v>0.60549999999994897</v>
      </c>
      <c r="AD4791">
        <v>-0.12214649999999901</v>
      </c>
      <c r="AE4791">
        <v>-0.1827</v>
      </c>
      <c r="AF4791">
        <v>0.15736307927402801</v>
      </c>
      <c r="AG4791">
        <v>-0.12214649999999901</v>
      </c>
      <c r="AH4791">
        <v>0.58906451513350799</v>
      </c>
      <c r="AI4791">
        <v>101.32820378621901</v>
      </c>
      <c r="AJ4791">
        <v>75.043231376843806</v>
      </c>
      <c r="AK4791">
        <v>0.62183591820538098</v>
      </c>
      <c r="AL4791">
        <v>65.914847541458499</v>
      </c>
      <c r="AM4791">
        <v>82.1716562958227</v>
      </c>
      <c r="AN4791">
        <v>1.0000000092902801</v>
      </c>
    </row>
    <row r="4792" spans="1:40" x14ac:dyDescent="0.25">
      <c r="A4792" t="str">
        <f>"20190304164741764"</f>
        <v>20190304164741764</v>
      </c>
      <c r="B4792" t="str">
        <f>"1551689261754352"</f>
        <v>1551689261754352</v>
      </c>
      <c r="C4792" t="s">
        <v>40</v>
      </c>
      <c r="D4792">
        <v>4.4309459999999996</v>
      </c>
      <c r="E4792">
        <v>0.54945710000000003</v>
      </c>
      <c r="F4792" t="s">
        <v>41</v>
      </c>
      <c r="G4792">
        <v>-330.78640000000001</v>
      </c>
      <c r="H4792">
        <v>0.99009259999999999</v>
      </c>
      <c r="I4792">
        <v>17.241389999999999</v>
      </c>
      <c r="J4792">
        <v>-331.38589999999999</v>
      </c>
      <c r="K4792">
        <v>1.111326</v>
      </c>
      <c r="L4792">
        <v>17.42239</v>
      </c>
      <c r="M4792">
        <v>0.99939690000000003</v>
      </c>
      <c r="N4792">
        <v>-1.366443E-2</v>
      </c>
      <c r="O4792">
        <v>-3.1926120000000002E-2</v>
      </c>
      <c r="P4792">
        <v>0.90585300000000002</v>
      </c>
      <c r="Q4792">
        <v>0.395146</v>
      </c>
      <c r="R4792">
        <v>-0.15261079999999999</v>
      </c>
      <c r="S4792">
        <v>3.4010009999999999</v>
      </c>
      <c r="T4792">
        <v>-0.50403739999999997</v>
      </c>
      <c r="U4792">
        <v>-0.78103639999999996</v>
      </c>
      <c r="V4792">
        <v>0.12357849999999999</v>
      </c>
      <c r="W4792">
        <v>0.40755710000000001</v>
      </c>
      <c r="X4792">
        <v>0.90477929999999995</v>
      </c>
      <c r="Y4792">
        <v>0.19069469999999999</v>
      </c>
      <c r="Z4792">
        <v>-1.099083E-2</v>
      </c>
      <c r="AA4792">
        <v>0.98158789999999996</v>
      </c>
      <c r="AB4792">
        <v>24</v>
      </c>
      <c r="AC4792">
        <v>0.59949999999997705</v>
      </c>
      <c r="AD4792">
        <v>-0.12123340000000001</v>
      </c>
      <c r="AE4792">
        <v>-0.18099999999999999</v>
      </c>
      <c r="AF4792">
        <v>0.15592250944188599</v>
      </c>
      <c r="AG4792">
        <v>-0.12123340000000001</v>
      </c>
      <c r="AH4792">
        <v>0.58311918728561796</v>
      </c>
      <c r="AI4792">
        <v>101.35668004378</v>
      </c>
      <c r="AJ4792">
        <v>75.029689155675499</v>
      </c>
      <c r="AK4792">
        <v>0.61566009518796605</v>
      </c>
      <c r="AL4792">
        <v>65.948532470832504</v>
      </c>
      <c r="AM4792">
        <v>82.222431220230007</v>
      </c>
      <c r="AN4792">
        <v>1.00000000856557</v>
      </c>
    </row>
    <row r="4793" spans="1:40" x14ac:dyDescent="0.25">
      <c r="A4793" t="str">
        <f>"20190304164741776"</f>
        <v>20190304164741776</v>
      </c>
      <c r="B4793" t="str">
        <f>"1551689261773873"</f>
        <v>1551689261773873</v>
      </c>
      <c r="C4793" t="s">
        <v>40</v>
      </c>
      <c r="D4793">
        <v>4.2925209999999998</v>
      </c>
      <c r="E4793">
        <v>0.55010059999999905</v>
      </c>
      <c r="F4793" t="s">
        <v>41</v>
      </c>
      <c r="G4793">
        <v>-330.57420000000002</v>
      </c>
      <c r="H4793">
        <v>0.99038459999999995</v>
      </c>
      <c r="I4793">
        <v>17.234359999999999</v>
      </c>
      <c r="J4793">
        <v>-331.25580000000002</v>
      </c>
      <c r="K4793">
        <v>1.1113139999999999</v>
      </c>
      <c r="L4793">
        <v>17.41827</v>
      </c>
      <c r="M4793">
        <v>0.99939840000000002</v>
      </c>
      <c r="N4793">
        <v>-1.363616E-2</v>
      </c>
      <c r="O4793">
        <v>-3.1893879999999999E-2</v>
      </c>
      <c r="P4793">
        <v>0.90590850000000001</v>
      </c>
      <c r="Q4793">
        <v>0.39503500000000003</v>
      </c>
      <c r="R4793">
        <v>-0.15257009999999999</v>
      </c>
      <c r="S4793">
        <v>3.4002690000000002</v>
      </c>
      <c r="T4793">
        <v>-0.50678420000000002</v>
      </c>
      <c r="U4793">
        <v>-0.78723140000000003</v>
      </c>
      <c r="V4793">
        <v>0.12357319999999999</v>
      </c>
      <c r="W4793">
        <v>0.40741850000000002</v>
      </c>
      <c r="X4793">
        <v>0.90484240000000005</v>
      </c>
      <c r="Y4793">
        <v>0.1924314</v>
      </c>
      <c r="Z4793">
        <v>-1.118074E-2</v>
      </c>
      <c r="AA4793">
        <v>0.98124670000000003</v>
      </c>
      <c r="AB4793">
        <v>24</v>
      </c>
      <c r="AC4793">
        <v>0.68160000000000298</v>
      </c>
      <c r="AD4793">
        <v>-0.12092939999999899</v>
      </c>
      <c r="AE4793">
        <v>-0.18390999999999699</v>
      </c>
      <c r="AF4793">
        <v>0.15745552924925699</v>
      </c>
      <c r="AG4793">
        <v>-0.12092939999999899</v>
      </c>
      <c r="AH4793">
        <v>0.66753281412944199</v>
      </c>
      <c r="AI4793">
        <v>99.99961701654</v>
      </c>
      <c r="AJ4793">
        <v>76.727848268739393</v>
      </c>
      <c r="AK4793">
        <v>0.69643106005913902</v>
      </c>
      <c r="AL4793">
        <v>65.957227376019702</v>
      </c>
      <c r="AM4793">
        <v>82.223296416270898</v>
      </c>
      <c r="AN4793">
        <v>0.99999996936912405</v>
      </c>
    </row>
    <row r="4794" spans="1:40" x14ac:dyDescent="0.25">
      <c r="A4794" t="str">
        <f>"20190304164741788"</f>
        <v>20190304164741788</v>
      </c>
      <c r="B4794" t="str">
        <f>"1551689261783633"</f>
        <v>1551689261783633</v>
      </c>
      <c r="C4794" t="s">
        <v>40</v>
      </c>
      <c r="D4794">
        <v>4.4650970000000001</v>
      </c>
      <c r="E4794">
        <v>0.55033840000000001</v>
      </c>
      <c r="F4794" t="s">
        <v>41</v>
      </c>
      <c r="G4794">
        <v>-330.36759999999998</v>
      </c>
      <c r="H4794">
        <v>0.9793231</v>
      </c>
      <c r="I4794">
        <v>17.210719999999998</v>
      </c>
      <c r="J4794">
        <v>-331.1259</v>
      </c>
      <c r="K4794">
        <v>1.1112919999999999</v>
      </c>
      <c r="L4794">
        <v>17.414149999999999</v>
      </c>
      <c r="M4794">
        <v>0.9993995</v>
      </c>
      <c r="N4794">
        <v>-1.36007E-2</v>
      </c>
      <c r="O4794">
        <v>-3.187268E-2</v>
      </c>
      <c r="P4794">
        <v>0.90610429999999997</v>
      </c>
      <c r="Q4794">
        <v>0.39467439999999998</v>
      </c>
      <c r="R4794">
        <v>-0.15234029999999901</v>
      </c>
      <c r="S4794">
        <v>3.3981629999999998</v>
      </c>
      <c r="T4794">
        <v>-0.50502789999999997</v>
      </c>
      <c r="U4794">
        <v>-0.79364009999999996</v>
      </c>
      <c r="V4794">
        <v>0.1233648</v>
      </c>
      <c r="W4794">
        <v>0.4070261</v>
      </c>
      <c r="X4794">
        <v>0.90504739999999995</v>
      </c>
      <c r="Y4794">
        <v>0.19433110000000001</v>
      </c>
      <c r="Z4794">
        <v>-1.130223E-2</v>
      </c>
      <c r="AA4794">
        <v>0.98087089999999999</v>
      </c>
      <c r="AB4794">
        <v>24</v>
      </c>
      <c r="AC4794">
        <v>0.75830000000001896</v>
      </c>
      <c r="AD4794">
        <v>-0.131968899999999</v>
      </c>
      <c r="AE4794">
        <v>-0.203429999999997</v>
      </c>
      <c r="AF4794">
        <v>0.17423258588512799</v>
      </c>
      <c r="AG4794">
        <v>-0.131968899999999</v>
      </c>
      <c r="AH4794">
        <v>0.74339529280746097</v>
      </c>
      <c r="AI4794">
        <v>99.806019760788402</v>
      </c>
      <c r="AJ4794">
        <v>76.809439397084802</v>
      </c>
      <c r="AK4794">
        <v>0.774860855844273</v>
      </c>
      <c r="AL4794">
        <v>65.981843478704306</v>
      </c>
      <c r="AM4794">
        <v>82.237988462840093</v>
      </c>
      <c r="AN4794">
        <v>0.99999995810350395</v>
      </c>
    </row>
    <row r="4795" spans="1:40" x14ac:dyDescent="0.25">
      <c r="A4795" t="str">
        <f>"20190304164741800"</f>
        <v>20190304164741800</v>
      </c>
      <c r="B4795" t="str">
        <f>"1551689261794369"</f>
        <v>1551689261794369</v>
      </c>
      <c r="C4795" t="s">
        <v>40</v>
      </c>
      <c r="D4795">
        <v>4.4867179999999998</v>
      </c>
      <c r="E4795">
        <v>0.55055379999999998</v>
      </c>
      <c r="F4795" t="s">
        <v>41</v>
      </c>
      <c r="G4795">
        <v>-330.35919999999999</v>
      </c>
      <c r="H4795">
        <v>0.99687139999999996</v>
      </c>
      <c r="I4795">
        <v>17.234490000000001</v>
      </c>
      <c r="J4795">
        <v>-331.0009</v>
      </c>
      <c r="K4795">
        <v>1.111278</v>
      </c>
      <c r="L4795">
        <v>17.41019</v>
      </c>
      <c r="M4795">
        <v>0.99940039999999997</v>
      </c>
      <c r="N4795">
        <v>-1.3563489999999999E-2</v>
      </c>
      <c r="O4795">
        <v>-3.1858740000000003E-2</v>
      </c>
      <c r="P4795">
        <v>0.90627690000000005</v>
      </c>
      <c r="Q4795">
        <v>0.39433659999999998</v>
      </c>
      <c r="R4795">
        <v>-0.15218709999999999</v>
      </c>
      <c r="S4795">
        <v>3.3980100000000002</v>
      </c>
      <c r="T4795">
        <v>-0.50716949999999905</v>
      </c>
      <c r="U4795">
        <v>-0.79574579999999995</v>
      </c>
      <c r="V4795">
        <v>0.1232269</v>
      </c>
      <c r="W4795">
        <v>0.40665459999999998</v>
      </c>
      <c r="X4795">
        <v>0.90523319999999996</v>
      </c>
      <c r="Y4795">
        <v>0.19490950000000001</v>
      </c>
      <c r="Z4795">
        <v>-1.138545E-2</v>
      </c>
      <c r="AA4795">
        <v>0.98075520000000005</v>
      </c>
      <c r="AB4795">
        <v>24</v>
      </c>
      <c r="AC4795">
        <v>0.64170000000001404</v>
      </c>
      <c r="AD4795">
        <v>-0.1144066</v>
      </c>
      <c r="AE4795">
        <v>-0.175699999999999</v>
      </c>
      <c r="AF4795">
        <v>0.15070879544270799</v>
      </c>
      <c r="AG4795">
        <v>-0.1144066</v>
      </c>
      <c r="AH4795">
        <v>0.62839115627728104</v>
      </c>
      <c r="AI4795">
        <v>100.03973786698</v>
      </c>
      <c r="AJ4795">
        <v>76.513326468857997</v>
      </c>
      <c r="AK4795">
        <v>0.65626020482339997</v>
      </c>
      <c r="AL4795">
        <v>66.005145209746701</v>
      </c>
      <c r="AM4795">
        <v>82.248131471239105</v>
      </c>
      <c r="AN4795">
        <v>0.99999998948350499</v>
      </c>
    </row>
    <row r="4796" spans="1:40" x14ac:dyDescent="0.25">
      <c r="A4796" t="str">
        <f>"20190304164741812"</f>
        <v>20190304164741812</v>
      </c>
      <c r="B4796" t="str">
        <f>"1551689261804129"</f>
        <v>1551689261804129</v>
      </c>
      <c r="C4796" t="s">
        <v>40</v>
      </c>
      <c r="D4796">
        <v>4.5048769999999996</v>
      </c>
      <c r="E4796">
        <v>0.55074969999999901</v>
      </c>
      <c r="F4796" t="s">
        <v>41</v>
      </c>
      <c r="G4796">
        <v>-330.15350000000001</v>
      </c>
      <c r="H4796">
        <v>0.98418519999999998</v>
      </c>
      <c r="I4796">
        <v>17.210850000000001</v>
      </c>
      <c r="J4796">
        <v>-330.86529999999999</v>
      </c>
      <c r="K4796">
        <v>1.1112629999999999</v>
      </c>
      <c r="L4796">
        <v>17.405940000000001</v>
      </c>
      <c r="M4796">
        <v>0.99940119999999999</v>
      </c>
      <c r="N4796">
        <v>-1.351978E-2</v>
      </c>
      <c r="O4796">
        <v>-3.1850370000000003E-2</v>
      </c>
      <c r="P4796">
        <v>0.90651700000000002</v>
      </c>
      <c r="Q4796">
        <v>0.3938527</v>
      </c>
      <c r="R4796">
        <v>-0.15201099999999901</v>
      </c>
      <c r="S4796">
        <v>3.3978579999999998</v>
      </c>
      <c r="T4796">
        <v>-0.50955490000000003</v>
      </c>
      <c r="U4796">
        <v>-0.79824830000000002</v>
      </c>
      <c r="V4796">
        <v>0.1230589</v>
      </c>
      <c r="W4796">
        <v>0.40613179999999999</v>
      </c>
      <c r="X4796">
        <v>0.90549080000000004</v>
      </c>
      <c r="Y4796">
        <v>0.19558790000000001</v>
      </c>
      <c r="Z4796">
        <v>-1.1479949999999999E-2</v>
      </c>
      <c r="AA4796">
        <v>0.98061900000000002</v>
      </c>
      <c r="AB4796">
        <v>24</v>
      </c>
      <c r="AC4796">
        <v>0.711799999999982</v>
      </c>
      <c r="AD4796">
        <v>-0.12707779999999999</v>
      </c>
      <c r="AE4796">
        <v>-0.19509000000000001</v>
      </c>
      <c r="AF4796">
        <v>0.16735638418359799</v>
      </c>
      <c r="AG4796">
        <v>-0.12707779999999999</v>
      </c>
      <c r="AH4796">
        <v>0.69699006777994799</v>
      </c>
      <c r="AI4796">
        <v>100.05320946501401</v>
      </c>
      <c r="AJ4796">
        <v>76.498144444403195</v>
      </c>
      <c r="AK4796">
        <v>0.72797807739226905</v>
      </c>
      <c r="AL4796">
        <v>66.037930521892207</v>
      </c>
      <c r="AM4796">
        <v>82.260747292585094</v>
      </c>
      <c r="AN4796">
        <v>1.0000000603625401</v>
      </c>
    </row>
    <row r="4797" spans="1:40" x14ac:dyDescent="0.25">
      <c r="A4797" t="str">
        <f>"20190304164741826"</f>
        <v>20190304164741826</v>
      </c>
      <c r="B4797" t="str">
        <f>"1551689261813889"</f>
        <v>1551689261813889</v>
      </c>
      <c r="C4797" t="s">
        <v>40</v>
      </c>
      <c r="D4797">
        <v>4.4895170000000002</v>
      </c>
      <c r="E4797">
        <v>0.55100590000000005</v>
      </c>
      <c r="F4797" t="s">
        <v>41</v>
      </c>
      <c r="G4797">
        <v>-330.1447</v>
      </c>
      <c r="H4797">
        <v>1.00248</v>
      </c>
      <c r="I4797">
        <v>17.235749999999999</v>
      </c>
      <c r="J4797">
        <v>-330.73070000000001</v>
      </c>
      <c r="K4797">
        <v>1.111251</v>
      </c>
      <c r="L4797">
        <v>17.40164</v>
      </c>
      <c r="M4797">
        <v>0.99940189999999995</v>
      </c>
      <c r="N4797">
        <v>-1.347277E-2</v>
      </c>
      <c r="O4797">
        <v>-3.1849719999999998E-2</v>
      </c>
      <c r="P4797">
        <v>0.90682269999999998</v>
      </c>
      <c r="Q4797">
        <v>0.39321010000000001</v>
      </c>
      <c r="R4797">
        <v>-0.15185009999999999</v>
      </c>
      <c r="S4797">
        <v>3.3977970000000002</v>
      </c>
      <c r="T4797">
        <v>-0.5127699</v>
      </c>
      <c r="U4797">
        <v>-0.80117799999999995</v>
      </c>
      <c r="V4797">
        <v>0.1228972</v>
      </c>
      <c r="W4797">
        <v>0.40544849999999999</v>
      </c>
      <c r="X4797">
        <v>0.90581889999999998</v>
      </c>
      <c r="Y4797">
        <v>0.19636229999999999</v>
      </c>
      <c r="Z4797">
        <v>-1.1596530000000001E-2</v>
      </c>
      <c r="AA4797">
        <v>0.98046279999999997</v>
      </c>
      <c r="AB4797">
        <v>24</v>
      </c>
      <c r="AC4797">
        <v>0.58600000000001196</v>
      </c>
      <c r="AD4797">
        <v>-0.10877099999999899</v>
      </c>
      <c r="AE4797">
        <v>-0.16589000000000001</v>
      </c>
      <c r="AF4797">
        <v>0.14259192464991199</v>
      </c>
      <c r="AG4797">
        <v>-0.10877099999999899</v>
      </c>
      <c r="AH4797">
        <v>0.57271861366640997</v>
      </c>
      <c r="AI4797">
        <v>100.442120584313</v>
      </c>
      <c r="AJ4797">
        <v>76.019108630035305</v>
      </c>
      <c r="AK4797">
        <v>0.60014181478742201</v>
      </c>
      <c r="AL4797">
        <v>66.080765602493202</v>
      </c>
      <c r="AM4797">
        <v>82.273559502759696</v>
      </c>
      <c r="AN4797">
        <v>1.00000004375864</v>
      </c>
    </row>
    <row r="4798" spans="1:40" x14ac:dyDescent="0.25">
      <c r="A4798" t="str">
        <f>"20190304164741842"</f>
        <v>20190304164741842</v>
      </c>
      <c r="B4798" t="str">
        <f>"1551689261834388"</f>
        <v>1551689261834388</v>
      </c>
      <c r="C4798" t="s">
        <v>40</v>
      </c>
      <c r="D4798">
        <v>4.3855399999999998</v>
      </c>
      <c r="E4798">
        <v>0.55089440000000001</v>
      </c>
      <c r="F4798" t="s">
        <v>41</v>
      </c>
      <c r="G4798">
        <v>-329.93849999999998</v>
      </c>
      <c r="H4798">
        <v>0.99106760000000005</v>
      </c>
      <c r="I4798">
        <v>17.214089999999999</v>
      </c>
      <c r="J4798">
        <v>-330.55509999999998</v>
      </c>
      <c r="K4798">
        <v>1.1112299999999999</v>
      </c>
      <c r="L4798">
        <v>17.396090000000001</v>
      </c>
      <c r="M4798">
        <v>0.99940260000000003</v>
      </c>
      <c r="N4798">
        <v>-1.34073E-2</v>
      </c>
      <c r="O4798">
        <v>-3.1854229999999997E-2</v>
      </c>
      <c r="P4798">
        <v>0.90730480000000002</v>
      </c>
      <c r="Q4798">
        <v>0.3923278</v>
      </c>
      <c r="R4798">
        <v>-0.15125229999999901</v>
      </c>
      <c r="S4798">
        <v>3.397125</v>
      </c>
      <c r="T4798">
        <v>-0.51535569999999997</v>
      </c>
      <c r="U4798">
        <v>-0.8037415</v>
      </c>
      <c r="V4798">
        <v>0.1222903</v>
      </c>
      <c r="W4798">
        <v>0.40450979999999997</v>
      </c>
      <c r="X4798">
        <v>0.90632060000000003</v>
      </c>
      <c r="Y4798">
        <v>0.19707549999999999</v>
      </c>
      <c r="Z4798">
        <v>-1.169545E-2</v>
      </c>
      <c r="AA4798">
        <v>0.98031849999999998</v>
      </c>
      <c r="AB4798">
        <v>24</v>
      </c>
      <c r="AC4798">
        <v>0.61660000000000503</v>
      </c>
      <c r="AD4798">
        <v>-0.1201624</v>
      </c>
      <c r="AE4798">
        <v>-0.18200000000000199</v>
      </c>
      <c r="AF4798">
        <v>0.156787295142857</v>
      </c>
      <c r="AG4798">
        <v>-0.1201624</v>
      </c>
      <c r="AH4798">
        <v>0.60108652813700902</v>
      </c>
      <c r="AI4798">
        <v>100.947881913871</v>
      </c>
      <c r="AJ4798">
        <v>75.380722301844301</v>
      </c>
      <c r="AK4798">
        <v>0.63271342059401303</v>
      </c>
      <c r="AL4798">
        <v>66.139589257157397</v>
      </c>
      <c r="AM4798">
        <v>82.315462534598595</v>
      </c>
      <c r="AN4798">
        <v>1.0000000628772401</v>
      </c>
    </row>
    <row r="4799" spans="1:40" x14ac:dyDescent="0.25">
      <c r="A4799" t="str">
        <f>"20190304164741864"</f>
        <v>20190304164741864</v>
      </c>
      <c r="B4799" t="str">
        <f>"1551689261853908"</f>
        <v>1551689261853908</v>
      </c>
      <c r="C4799" t="s">
        <v>40</v>
      </c>
      <c r="D4799">
        <v>4.3860250000000001</v>
      </c>
      <c r="E4799">
        <v>0.5287944</v>
      </c>
      <c r="F4799" t="s">
        <v>41</v>
      </c>
      <c r="G4799">
        <v>-329.72969999999998</v>
      </c>
      <c r="H4799">
        <v>0.9852223</v>
      </c>
      <c r="I4799">
        <v>17.199909999999999</v>
      </c>
      <c r="J4799">
        <v>-330.32170000000002</v>
      </c>
      <c r="K4799">
        <v>1.1111899999999999</v>
      </c>
      <c r="L4799">
        <v>17.388670000000001</v>
      </c>
      <c r="M4799">
        <v>0.99940320000000005</v>
      </c>
      <c r="N4799">
        <v>-1.3310489999999999E-2</v>
      </c>
      <c r="O4799">
        <v>-3.1874350000000003E-2</v>
      </c>
      <c r="P4799">
        <v>0.90758830000000001</v>
      </c>
      <c r="Q4799">
        <v>0.39176650000000002</v>
      </c>
      <c r="R4799">
        <v>-0.1510061</v>
      </c>
      <c r="S4799">
        <v>3.3962400000000001</v>
      </c>
      <c r="T4799">
        <v>-0.51837920000000004</v>
      </c>
      <c r="U4799">
        <v>-0.80639649999999996</v>
      </c>
      <c r="V4799">
        <v>0.1220316</v>
      </c>
      <c r="W4799">
        <v>0.40385989999999999</v>
      </c>
      <c r="X4799">
        <v>0.90664520000000004</v>
      </c>
      <c r="Y4799">
        <v>0.19780880000000001</v>
      </c>
      <c r="Z4799">
        <v>-1.1799230000000001E-2</v>
      </c>
      <c r="AA4799">
        <v>0.98016959999999997</v>
      </c>
      <c r="AB4799">
        <v>24</v>
      </c>
      <c r="AC4799">
        <v>0.59200000000004105</v>
      </c>
      <c r="AD4799">
        <v>-0.12596769999999899</v>
      </c>
      <c r="AE4799">
        <v>-0.18876000000000201</v>
      </c>
      <c r="AF4799">
        <v>0.16309004244112499</v>
      </c>
      <c r="AG4799">
        <v>-0.12596769999999899</v>
      </c>
      <c r="AH4799">
        <v>0.57412082726857205</v>
      </c>
      <c r="AI4799">
        <v>101.917890513177</v>
      </c>
      <c r="AJ4799">
        <v>74.141784842572505</v>
      </c>
      <c r="AK4799">
        <v>0.60998438315278802</v>
      </c>
      <c r="AL4799">
        <v>66.180298298080501</v>
      </c>
      <c r="AM4799">
        <v>82.334238048867604</v>
      </c>
      <c r="AN4799">
        <v>1.0000000244548</v>
      </c>
    </row>
    <row r="4800" spans="1:40" x14ac:dyDescent="0.25">
      <c r="A4800" t="str">
        <f>"20190304164741876"</f>
        <v>20190304164741876</v>
      </c>
      <c r="B4800" t="str">
        <f>"1551689261863665"</f>
        <v>1551689261863665</v>
      </c>
      <c r="C4800" t="s">
        <v>40</v>
      </c>
      <c r="D4800">
        <v>4.3767259999999997</v>
      </c>
      <c r="E4800">
        <v>0.52818089999999995</v>
      </c>
      <c r="F4800" t="s">
        <v>41</v>
      </c>
      <c r="G4800">
        <v>-329.50699999999898</v>
      </c>
      <c r="H4800">
        <v>1.007914</v>
      </c>
      <c r="I4800">
        <v>17.23508</v>
      </c>
      <c r="J4800">
        <v>-330.19979999999998</v>
      </c>
      <c r="K4800">
        <v>1.111178</v>
      </c>
      <c r="L4800">
        <v>17.38477</v>
      </c>
      <c r="M4800">
        <v>0.99940340000000005</v>
      </c>
      <c r="N4800">
        <v>-1.3257079999999999E-2</v>
      </c>
      <c r="O4800">
        <v>-3.1892139999999999E-2</v>
      </c>
      <c r="P4800">
        <v>0.90771590000000002</v>
      </c>
      <c r="Q4800">
        <v>0.39152320000000002</v>
      </c>
      <c r="R4800">
        <v>-0.15086930000000001</v>
      </c>
      <c r="S4800">
        <v>3.3845830000000001</v>
      </c>
      <c r="T4800">
        <v>-0.42905910000000003</v>
      </c>
      <c r="U4800">
        <v>-0.63735959999999903</v>
      </c>
      <c r="V4800">
        <v>0.121883199999999</v>
      </c>
      <c r="W4800">
        <v>0.40356760000000003</v>
      </c>
      <c r="X4800">
        <v>0.90679529999999997</v>
      </c>
      <c r="Y4800">
        <v>0.15251410000000001</v>
      </c>
      <c r="Z4800">
        <v>-6.9990640000000002E-3</v>
      </c>
      <c r="AA4800">
        <v>0.9882765</v>
      </c>
      <c r="AB4800">
        <v>24</v>
      </c>
      <c r="AC4800">
        <v>0.69280000000003295</v>
      </c>
      <c r="AD4800">
        <v>-0.10326399999999999</v>
      </c>
      <c r="AE4800">
        <v>-0.14968999999999899</v>
      </c>
      <c r="AF4800">
        <v>0.12486661700634701</v>
      </c>
      <c r="AG4800">
        <v>-0.10326399999999999</v>
      </c>
      <c r="AH4800">
        <v>0.68273029916345196</v>
      </c>
      <c r="AI4800">
        <v>98.462592474470696</v>
      </c>
      <c r="AJ4800">
        <v>79.635550941633795</v>
      </c>
      <c r="AK4800">
        <v>0.701694938797784</v>
      </c>
      <c r="AL4800">
        <v>66.198603797716103</v>
      </c>
      <c r="AM4800">
        <v>82.344701908743801</v>
      </c>
      <c r="AN4800">
        <v>1.00000001915704</v>
      </c>
    </row>
    <row r="4801" spans="1:40" x14ac:dyDescent="0.25">
      <c r="A4801" t="str">
        <f>"20190304164741889"</f>
        <v>20190304164741889</v>
      </c>
      <c r="B4801" t="str">
        <f>"1551689261884161"</f>
        <v>1551689261884161</v>
      </c>
      <c r="C4801" t="s">
        <v>40</v>
      </c>
      <c r="D4801">
        <v>4.3790630000000004</v>
      </c>
      <c r="E4801">
        <v>0.527887199999999</v>
      </c>
      <c r="F4801" t="s">
        <v>41</v>
      </c>
      <c r="G4801">
        <v>-329.3005</v>
      </c>
      <c r="H4801">
        <v>0.99770239999999999</v>
      </c>
      <c r="I4801">
        <v>17.21612</v>
      </c>
      <c r="J4801">
        <v>-330.05529999999999</v>
      </c>
      <c r="K4801">
        <v>1.111156</v>
      </c>
      <c r="L4801">
        <v>17.380129999999902</v>
      </c>
      <c r="M4801">
        <v>0.99940309999999999</v>
      </c>
      <c r="N4801">
        <v>-1.319358E-2</v>
      </c>
      <c r="O4801">
        <v>-3.1927810000000001E-2</v>
      </c>
      <c r="P4801">
        <v>0.90780170000000004</v>
      </c>
      <c r="Q4801">
        <v>0.3913143</v>
      </c>
      <c r="R4801">
        <v>-0.15089459999999999</v>
      </c>
      <c r="S4801">
        <v>3.3839109999999999</v>
      </c>
      <c r="T4801">
        <v>-0.42698999999999998</v>
      </c>
      <c r="U4801">
        <v>-0.63342290000000001</v>
      </c>
      <c r="V4801">
        <v>0.1218854</v>
      </c>
      <c r="W4801">
        <v>0.4032984</v>
      </c>
      <c r="X4801">
        <v>0.90691469999999996</v>
      </c>
      <c r="Y4801">
        <v>0.15142329999999901</v>
      </c>
      <c r="Z4801">
        <v>-6.887888E-3</v>
      </c>
      <c r="AA4801">
        <v>0.98844500000000002</v>
      </c>
      <c r="AB4801">
        <v>24</v>
      </c>
      <c r="AC4801">
        <v>0.75479999999998804</v>
      </c>
      <c r="AD4801">
        <v>-0.1134536</v>
      </c>
      <c r="AE4801">
        <v>-0.16400999999999699</v>
      </c>
      <c r="AF4801">
        <v>0.13687223579258301</v>
      </c>
      <c r="AG4801">
        <v>-0.1134536</v>
      </c>
      <c r="AH4801">
        <v>0.74360919404643999</v>
      </c>
      <c r="AI4801">
        <v>98.533615722655696</v>
      </c>
      <c r="AJ4801">
        <v>79.570603446401407</v>
      </c>
      <c r="AK4801">
        <v>0.76456547250985396</v>
      </c>
      <c r="AL4801">
        <v>66.215459032041394</v>
      </c>
      <c r="AM4801">
        <v>82.345561296018104</v>
      </c>
      <c r="AN4801">
        <v>0.99999996162590399</v>
      </c>
    </row>
    <row r="4802" spans="1:40" x14ac:dyDescent="0.25">
      <c r="A4802" t="str">
        <f>"20190304164741903"</f>
        <v>20190304164741903</v>
      </c>
      <c r="B4802" t="str">
        <f>"1551689261893920"</f>
        <v>1551689261893920</v>
      </c>
      <c r="C4802" t="s">
        <v>40</v>
      </c>
      <c r="D4802">
        <v>4.361917</v>
      </c>
      <c r="E4802">
        <v>0.52799249999999998</v>
      </c>
      <c r="F4802" t="s">
        <v>41</v>
      </c>
      <c r="G4802">
        <v>-329.29109999999997</v>
      </c>
      <c r="H4802">
        <v>1.016653</v>
      </c>
      <c r="I4802">
        <v>17.236829999999902</v>
      </c>
      <c r="J4802">
        <v>-329.90649999999999</v>
      </c>
      <c r="K4802">
        <v>1.11113</v>
      </c>
      <c r="L4802">
        <v>17.375339999999898</v>
      </c>
      <c r="M4802">
        <v>0.99940229999999997</v>
      </c>
      <c r="N4802">
        <v>-1.312675E-2</v>
      </c>
      <c r="O4802">
        <v>-3.1981040000000002E-2</v>
      </c>
      <c r="P4802">
        <v>0.90795420000000004</v>
      </c>
      <c r="Q4802">
        <v>0.39087959999999999</v>
      </c>
      <c r="R4802">
        <v>-0.15110370000000001</v>
      </c>
      <c r="S4802">
        <v>3.3797000000000001</v>
      </c>
      <c r="T4802">
        <v>-0.41789589999999999</v>
      </c>
      <c r="U4802">
        <v>-0.63235469999999905</v>
      </c>
      <c r="V4802">
        <v>0.122056</v>
      </c>
      <c r="W4802">
        <v>0.40280090000000002</v>
      </c>
      <c r="X4802">
        <v>0.90711280000000005</v>
      </c>
      <c r="Y4802">
        <v>0.151333299999999</v>
      </c>
      <c r="Z4802">
        <v>-6.7598880000000004E-3</v>
      </c>
      <c r="AA4802">
        <v>0.98845970000000005</v>
      </c>
      <c r="AB4802">
        <v>24</v>
      </c>
      <c r="AC4802">
        <v>0.61540000000002204</v>
      </c>
      <c r="AD4802">
        <v>-9.4476999999999894E-2</v>
      </c>
      <c r="AE4802">
        <v>-0.13850999999999999</v>
      </c>
      <c r="AF4802">
        <v>0.116150767966121</v>
      </c>
      <c r="AG4802">
        <v>-9.4476999999999894E-2</v>
      </c>
      <c r="AH4802">
        <v>0.60592291976282298</v>
      </c>
      <c r="AI4802">
        <v>98.706316075626901</v>
      </c>
      <c r="AJ4802">
        <v>79.148477838174799</v>
      </c>
      <c r="AK4802">
        <v>0.62414700922300703</v>
      </c>
      <c r="AL4802">
        <v>66.246604848640303</v>
      </c>
      <c r="AM4802">
        <v>82.336628885165396</v>
      </c>
      <c r="AN4802">
        <v>0.999999932050322</v>
      </c>
    </row>
    <row r="4803" spans="1:40" x14ac:dyDescent="0.25">
      <c r="A4803" t="str">
        <f>"20190304164741922"</f>
        <v>20190304164741922</v>
      </c>
      <c r="B4803" t="str">
        <f>"1551689261914416"</f>
        <v>1551689261914416</v>
      </c>
      <c r="C4803" t="s">
        <v>40</v>
      </c>
      <c r="D4803">
        <v>4.343108</v>
      </c>
      <c r="E4803">
        <v>0.52835889999999996</v>
      </c>
      <c r="F4803" t="s">
        <v>41</v>
      </c>
      <c r="G4803">
        <v>-329.08330000000001</v>
      </c>
      <c r="H4803">
        <v>1.0093190000000001</v>
      </c>
      <c r="I4803">
        <v>17.22052</v>
      </c>
      <c r="J4803">
        <v>-329.7133</v>
      </c>
      <c r="K4803">
        <v>1.111089</v>
      </c>
      <c r="L4803">
        <v>17.369050000000001</v>
      </c>
      <c r="M4803">
        <v>0.99940039999999997</v>
      </c>
      <c r="N4803">
        <v>-1.303693E-2</v>
      </c>
      <c r="O4803">
        <v>-3.2079690000000001E-2</v>
      </c>
      <c r="P4803">
        <v>0.90836719999999904</v>
      </c>
      <c r="Q4803">
        <v>0.38985009999999998</v>
      </c>
      <c r="R4803">
        <v>-0.15128320000000001</v>
      </c>
      <c r="S4803">
        <v>3.378387</v>
      </c>
      <c r="T4803">
        <v>-0.41787649999999998</v>
      </c>
      <c r="U4803">
        <v>-0.63476560000000004</v>
      </c>
      <c r="V4803">
        <v>0.1221566</v>
      </c>
      <c r="W4803">
        <v>0.40168809999999999</v>
      </c>
      <c r="X4803">
        <v>0.90759270000000003</v>
      </c>
      <c r="Y4803">
        <v>0.15198249999999999</v>
      </c>
      <c r="Z4803">
        <v>-6.7848350000000003E-3</v>
      </c>
      <c r="AA4803">
        <v>0.98835989999999996</v>
      </c>
      <c r="AB4803">
        <v>24</v>
      </c>
      <c r="AC4803">
        <v>0.62999999999999501</v>
      </c>
      <c r="AD4803">
        <v>-0.101769999999999</v>
      </c>
      <c r="AE4803">
        <v>-0.14853</v>
      </c>
      <c r="AF4803">
        <v>0.12514784261610101</v>
      </c>
      <c r="AG4803">
        <v>-0.101769999999999</v>
      </c>
      <c r="AH4803">
        <v>0.61913525977490003</v>
      </c>
      <c r="AI4803">
        <v>99.152609000940899</v>
      </c>
      <c r="AJ4803">
        <v>78.572588860382496</v>
      </c>
      <c r="AK4803">
        <v>0.63980277063169799</v>
      </c>
      <c r="AL4803">
        <v>66.3162486692475</v>
      </c>
      <c r="AM4803">
        <v>82.33439495703</v>
      </c>
      <c r="AN4803">
        <v>1.0000000368492199</v>
      </c>
    </row>
    <row r="4804" spans="1:40" x14ac:dyDescent="0.25">
      <c r="A4804" t="str">
        <f>"20190304164741942"</f>
        <v>20190304164741942</v>
      </c>
      <c r="B4804" t="str">
        <f>"1551689261933940"</f>
        <v>1551689261933940</v>
      </c>
      <c r="C4804" t="s">
        <v>40</v>
      </c>
      <c r="D4804">
        <v>4.3056049999999999</v>
      </c>
      <c r="E4804">
        <v>0.52875539999999999</v>
      </c>
      <c r="F4804" t="s">
        <v>41</v>
      </c>
      <c r="G4804">
        <v>-328.87310000000002</v>
      </c>
      <c r="H4804">
        <v>1.006726</v>
      </c>
      <c r="I4804">
        <v>17.20994</v>
      </c>
      <c r="J4804">
        <v>-329.48820000000001</v>
      </c>
      <c r="K4804">
        <v>1.1110279999999999</v>
      </c>
      <c r="L4804">
        <v>17.361660000000001</v>
      </c>
      <c r="M4804">
        <v>0.99939639999999996</v>
      </c>
      <c r="N4804">
        <v>-1.29269E-2</v>
      </c>
      <c r="O4804">
        <v>-3.2247930000000001E-2</v>
      </c>
      <c r="P4804">
        <v>0.90856760000000003</v>
      </c>
      <c r="Q4804">
        <v>0.38934459999999999</v>
      </c>
      <c r="R4804">
        <v>-0.15137990000000001</v>
      </c>
      <c r="S4804">
        <v>3.3762509999999999</v>
      </c>
      <c r="T4804">
        <v>-0.41930699999999999</v>
      </c>
      <c r="U4804">
        <v>-0.63873290000000005</v>
      </c>
      <c r="V4804">
        <v>0.1221314</v>
      </c>
      <c r="W4804">
        <v>0.40107409999999999</v>
      </c>
      <c r="X4804">
        <v>0.9078676</v>
      </c>
      <c r="Y4804">
        <v>0.15303729999999999</v>
      </c>
      <c r="Z4804">
        <v>-6.8471069999999998E-3</v>
      </c>
      <c r="AA4804">
        <v>0.98819670000000004</v>
      </c>
      <c r="AB4804">
        <v>24</v>
      </c>
      <c r="AC4804">
        <v>0.61509999999998399</v>
      </c>
      <c r="AD4804">
        <v>-0.10430200000000001</v>
      </c>
      <c r="AE4804">
        <v>-0.15171999999999999</v>
      </c>
      <c r="AF4804">
        <v>0.12832550340623899</v>
      </c>
      <c r="AG4804">
        <v>-0.10430200000000001</v>
      </c>
      <c r="AH4804">
        <v>0.60332031748986403</v>
      </c>
      <c r="AI4804">
        <v>99.597766210502897</v>
      </c>
      <c r="AJ4804">
        <v>77.992203233091303</v>
      </c>
      <c r="AK4804">
        <v>0.62557313523243196</v>
      </c>
      <c r="AL4804">
        <v>66.354658306720793</v>
      </c>
      <c r="AM4804">
        <v>82.338250599327097</v>
      </c>
      <c r="AN4804">
        <v>1.0000000458432601</v>
      </c>
    </row>
    <row r="4805" spans="1:40" x14ac:dyDescent="0.25">
      <c r="A4805" t="str">
        <f>"20190304164741955"</f>
        <v>20190304164741955</v>
      </c>
      <c r="B4805" t="str">
        <f>"1551689261943697"</f>
        <v>1551689261943697</v>
      </c>
      <c r="C4805" t="s">
        <v>40</v>
      </c>
      <c r="D4805">
        <v>4.3336709999999998</v>
      </c>
      <c r="E4805">
        <v>0.52890119999999996</v>
      </c>
      <c r="F4805" t="s">
        <v>41</v>
      </c>
      <c r="G4805">
        <v>-328.66070000000002</v>
      </c>
      <c r="H4805">
        <v>1.008392</v>
      </c>
      <c r="I4805">
        <v>17.20391</v>
      </c>
      <c r="J4805">
        <v>-329.36250000000001</v>
      </c>
      <c r="K4805">
        <v>1.1109910000000001</v>
      </c>
      <c r="L4805">
        <v>17.357510000000001</v>
      </c>
      <c r="M4805">
        <v>0.99939350000000005</v>
      </c>
      <c r="N4805">
        <v>-1.2863960000000001E-2</v>
      </c>
      <c r="O4805">
        <v>-3.2362719999999998E-2</v>
      </c>
      <c r="P4805">
        <v>0.90875070000000002</v>
      </c>
      <c r="Q4805">
        <v>0.38885140000000001</v>
      </c>
      <c r="R4805">
        <v>-0.15154989999999999</v>
      </c>
      <c r="S4805">
        <v>3.3741150000000002</v>
      </c>
      <c r="T4805">
        <v>-0.41843829999999999</v>
      </c>
      <c r="U4805">
        <v>-0.64273069999999999</v>
      </c>
      <c r="V4805">
        <v>0.1222144</v>
      </c>
      <c r="W4805">
        <v>0.4005184</v>
      </c>
      <c r="X4805">
        <v>0.90810170000000001</v>
      </c>
      <c r="Y4805">
        <v>0.15416350000000001</v>
      </c>
      <c r="Z4805">
        <v>-6.8956169999999997E-3</v>
      </c>
      <c r="AA4805">
        <v>0.98802129999999999</v>
      </c>
      <c r="AB4805">
        <v>24</v>
      </c>
      <c r="AC4805">
        <v>0.70179999999999099</v>
      </c>
      <c r="AD4805">
        <v>-0.102599</v>
      </c>
      <c r="AE4805">
        <v>-0.15359999999999999</v>
      </c>
      <c r="AF4805">
        <v>0.128190950278878</v>
      </c>
      <c r="AG4805">
        <v>-0.102599</v>
      </c>
      <c r="AH4805">
        <v>0.69228403172025599</v>
      </c>
      <c r="AI4805">
        <v>98.291141285749305</v>
      </c>
      <c r="AJ4805">
        <v>79.509306885155993</v>
      </c>
      <c r="AK4805">
        <v>0.71148904075133501</v>
      </c>
      <c r="AL4805">
        <v>66.389410410166803</v>
      </c>
      <c r="AM4805">
        <v>82.335058571258003</v>
      </c>
      <c r="AN4805">
        <v>1.0000000229243999</v>
      </c>
    </row>
    <row r="4806" spans="1:40" x14ac:dyDescent="0.25">
      <c r="A4806" t="str">
        <f>"20190304164741967"</f>
        <v>20190304164741967</v>
      </c>
      <c r="B4806" t="str">
        <f>"1551689261964193"</f>
        <v>1551689261964193</v>
      </c>
      <c r="C4806" t="s">
        <v>40</v>
      </c>
      <c r="D4806">
        <v>4.2831279999999996</v>
      </c>
      <c r="E4806">
        <v>0.52867699999999995</v>
      </c>
      <c r="F4806" t="s">
        <v>41</v>
      </c>
      <c r="G4806">
        <v>-328.45409999999998</v>
      </c>
      <c r="H4806">
        <v>0.99812380000000001</v>
      </c>
      <c r="I4806">
        <v>17.18365</v>
      </c>
      <c r="J4806">
        <v>-329.23230000000001</v>
      </c>
      <c r="K4806">
        <v>1.110954</v>
      </c>
      <c r="L4806">
        <v>17.353149999999999</v>
      </c>
      <c r="M4806">
        <v>0.99938950000000004</v>
      </c>
      <c r="N4806">
        <v>-1.279799E-2</v>
      </c>
      <c r="O4806">
        <v>-3.2515700000000002E-2</v>
      </c>
      <c r="P4806">
        <v>0.90881730000000005</v>
      </c>
      <c r="Q4806">
        <v>0.38853460000000001</v>
      </c>
      <c r="R4806">
        <v>-0.15196129999999999</v>
      </c>
      <c r="S4806">
        <v>3.3730470000000001</v>
      </c>
      <c r="T4806">
        <v>-0.41902470000000003</v>
      </c>
      <c r="U4806">
        <v>-0.64443969999999995</v>
      </c>
      <c r="V4806">
        <v>0.1225116</v>
      </c>
      <c r="W4806">
        <v>0.40013470000000001</v>
      </c>
      <c r="X4806">
        <v>0.9082308</v>
      </c>
      <c r="Y4806">
        <v>0.1545482</v>
      </c>
      <c r="Z4806">
        <v>-6.9067540000000002E-3</v>
      </c>
      <c r="AA4806">
        <v>0.98796110000000004</v>
      </c>
      <c r="AB4806">
        <v>24</v>
      </c>
      <c r="AC4806">
        <v>0.77820000000002598</v>
      </c>
      <c r="AD4806">
        <v>-0.11283019999999901</v>
      </c>
      <c r="AE4806">
        <v>-0.16949999999999901</v>
      </c>
      <c r="AF4806">
        <v>0.14126935483334499</v>
      </c>
      <c r="AG4806">
        <v>-0.11283019999999901</v>
      </c>
      <c r="AH4806">
        <v>0.767889080426714</v>
      </c>
      <c r="AI4806">
        <v>98.222910483552695</v>
      </c>
      <c r="AJ4806">
        <v>79.575796279271998</v>
      </c>
      <c r="AK4806">
        <v>0.78888612897277699</v>
      </c>
      <c r="AL4806">
        <v>66.413401210137707</v>
      </c>
      <c r="AM4806">
        <v>82.317720524939304</v>
      </c>
      <c r="AN4806">
        <v>1.0000000281736401</v>
      </c>
    </row>
    <row r="4807" spans="1:40" x14ac:dyDescent="0.25">
      <c r="A4807" t="str">
        <f>"20190304164741979"</f>
        <v>20190304164741979</v>
      </c>
      <c r="B4807" t="str">
        <f>"1551689261973953"</f>
        <v>1551689261973953</v>
      </c>
      <c r="C4807" t="s">
        <v>40</v>
      </c>
      <c r="D4807">
        <v>4.2818239999999896</v>
      </c>
      <c r="E4807">
        <v>0.5286324</v>
      </c>
      <c r="F4807" t="s">
        <v>41</v>
      </c>
      <c r="G4807">
        <v>-328.44490000000002</v>
      </c>
      <c r="H4807">
        <v>1.0166029999999999</v>
      </c>
      <c r="I4807">
        <v>17.202069999999999</v>
      </c>
      <c r="J4807">
        <v>-329.10629999999998</v>
      </c>
      <c r="K4807">
        <v>1.1109180000000001</v>
      </c>
      <c r="L4807">
        <v>17.34891</v>
      </c>
      <c r="M4807">
        <v>0.99938479999999996</v>
      </c>
      <c r="N4807">
        <v>-1.273403E-2</v>
      </c>
      <c r="O4807">
        <v>-3.268049E-2</v>
      </c>
      <c r="P4807">
        <v>0.90904209999999996</v>
      </c>
      <c r="Q4807">
        <v>0.38790350000000001</v>
      </c>
      <c r="R4807">
        <v>-0.1522289</v>
      </c>
      <c r="S4807">
        <v>3.365631</v>
      </c>
      <c r="T4807">
        <v>-0.40326630000000002</v>
      </c>
      <c r="U4807">
        <v>-0.64453130000000003</v>
      </c>
      <c r="V4807">
        <v>0.1226487</v>
      </c>
      <c r="W4807">
        <v>0.39944020000000002</v>
      </c>
      <c r="X4807">
        <v>0.90851789999999999</v>
      </c>
      <c r="Y4807">
        <v>0.15488070000000001</v>
      </c>
      <c r="Z4807">
        <v>-6.7101909999999999E-3</v>
      </c>
      <c r="AA4807">
        <v>0.98791039999999997</v>
      </c>
      <c r="AB4807">
        <v>24</v>
      </c>
      <c r="AC4807">
        <v>0.66139999999995702</v>
      </c>
      <c r="AD4807">
        <v>-9.4314999999999899E-2</v>
      </c>
      <c r="AE4807">
        <v>-0.146839999999997</v>
      </c>
      <c r="AF4807">
        <v>0.122765812955606</v>
      </c>
      <c r="AG4807">
        <v>-9.4314999999999899E-2</v>
      </c>
      <c r="AH4807">
        <v>0.65318754613561403</v>
      </c>
      <c r="AI4807">
        <v>98.076758760163699</v>
      </c>
      <c r="AJ4807">
        <v>79.355505929302495</v>
      </c>
      <c r="AK4807">
        <v>0.67128290197376195</v>
      </c>
      <c r="AL4807">
        <v>66.456812053327198</v>
      </c>
      <c r="AM4807">
        <v>82.311627575642106</v>
      </c>
      <c r="AN4807">
        <v>0.99999997580406896</v>
      </c>
    </row>
    <row r="4808" spans="1:40" x14ac:dyDescent="0.25">
      <c r="A4808" t="str">
        <f>"20190304164741992"</f>
        <v>20190304164741992</v>
      </c>
      <c r="B4808" t="str">
        <f>"1551689261983713"</f>
        <v>1551689261983713</v>
      </c>
      <c r="C4808" t="s">
        <v>40</v>
      </c>
      <c r="D4808">
        <v>4.3679489999999896</v>
      </c>
      <c r="E4808">
        <v>0.528819699999999</v>
      </c>
      <c r="F4808" t="s">
        <v>41</v>
      </c>
      <c r="G4808">
        <v>-328.23770000000002</v>
      </c>
      <c r="H4808">
        <v>1.007755</v>
      </c>
      <c r="I4808">
        <v>17.182210000000001</v>
      </c>
      <c r="J4808">
        <v>-328.96530000000001</v>
      </c>
      <c r="K4808">
        <v>1.110873</v>
      </c>
      <c r="L4808">
        <v>17.344089999999898</v>
      </c>
      <c r="M4808">
        <v>0.99937869999999995</v>
      </c>
      <c r="N4808">
        <v>-1.266222E-2</v>
      </c>
      <c r="O4808">
        <v>-3.2891690000000001E-2</v>
      </c>
      <c r="P4808">
        <v>0.90934150000000002</v>
      </c>
      <c r="Q4808">
        <v>0.38712220000000003</v>
      </c>
      <c r="R4808">
        <v>-0.1524296</v>
      </c>
      <c r="S4808">
        <v>3.362549</v>
      </c>
      <c r="T4808">
        <v>-0.39932139999999999</v>
      </c>
      <c r="U4808">
        <v>-0.64486690000000002</v>
      </c>
      <c r="V4808">
        <v>0.122679</v>
      </c>
      <c r="W4808">
        <v>0.398588</v>
      </c>
      <c r="X4808">
        <v>0.90888800000000003</v>
      </c>
      <c r="Y4808">
        <v>0.15495220000000001</v>
      </c>
      <c r="Z4808">
        <v>-6.6379480000000003E-3</v>
      </c>
      <c r="AA4808">
        <v>0.98789970000000005</v>
      </c>
      <c r="AB4808">
        <v>24</v>
      </c>
      <c r="AC4808">
        <v>0.72759999999999503</v>
      </c>
      <c r="AD4808">
        <v>-0.103118</v>
      </c>
      <c r="AE4808">
        <v>-0.161879999999996</v>
      </c>
      <c r="AF4808">
        <v>0.135269664245282</v>
      </c>
      <c r="AG4808">
        <v>-0.103118</v>
      </c>
      <c r="AH4808">
        <v>0.71877511250654202</v>
      </c>
      <c r="AI4808">
        <v>98.025152124073699</v>
      </c>
      <c r="AJ4808">
        <v>79.341898188606606</v>
      </c>
      <c r="AK4808">
        <v>0.738626337431738</v>
      </c>
      <c r="AL4808">
        <v>66.510061922688195</v>
      </c>
      <c r="AM4808">
        <v>82.312844937762605</v>
      </c>
      <c r="AN4808">
        <v>0.99999996366449895</v>
      </c>
    </row>
    <row r="4809" spans="1:40" x14ac:dyDescent="0.25">
      <c r="A4809" t="str">
        <f>"20190304164742003"</f>
        <v>20190304164742003</v>
      </c>
      <c r="B4809" t="str">
        <f>"1551689261994449"</f>
        <v>1551689261994449</v>
      </c>
      <c r="C4809" t="s">
        <v>40</v>
      </c>
      <c r="D4809">
        <v>4.368595</v>
      </c>
      <c r="E4809">
        <v>0.5290281</v>
      </c>
      <c r="F4809" t="s">
        <v>41</v>
      </c>
      <c r="G4809">
        <v>-328.23020000000002</v>
      </c>
      <c r="H4809">
        <v>1.0225580000000001</v>
      </c>
      <c r="I4809">
        <v>17.202590000000001</v>
      </c>
      <c r="J4809">
        <v>-328.85199999999998</v>
      </c>
      <c r="K4809">
        <v>1.110835</v>
      </c>
      <c r="L4809">
        <v>17.34018</v>
      </c>
      <c r="M4809">
        <v>0.99937279999999995</v>
      </c>
      <c r="N4809">
        <v>-1.260416E-2</v>
      </c>
      <c r="O4809">
        <v>-3.3096819999999999E-2</v>
      </c>
      <c r="P4809">
        <v>0.90976429999999997</v>
      </c>
      <c r="Q4809">
        <v>0.3860999</v>
      </c>
      <c r="R4809">
        <v>-0.152499</v>
      </c>
      <c r="S4809">
        <v>3.3626100000000001</v>
      </c>
      <c r="T4809">
        <v>-0.40386470000000002</v>
      </c>
      <c r="U4809">
        <v>-0.646698</v>
      </c>
      <c r="V4809">
        <v>0.1225743</v>
      </c>
      <c r="W4809">
        <v>0.39751019999999998</v>
      </c>
      <c r="X4809">
        <v>0.90937409999999996</v>
      </c>
      <c r="Y4809">
        <v>0.1552441</v>
      </c>
      <c r="Z4809">
        <v>-6.6877960000000002E-3</v>
      </c>
      <c r="AA4809">
        <v>0.98785350000000005</v>
      </c>
      <c r="AB4809">
        <v>24</v>
      </c>
      <c r="AC4809">
        <v>0.62179999999994995</v>
      </c>
      <c r="AD4809">
        <v>-8.8276999999999897E-2</v>
      </c>
      <c r="AE4809">
        <v>-0.13758999999999899</v>
      </c>
      <c r="AF4809">
        <v>0.114728894616514</v>
      </c>
      <c r="AG4809">
        <v>-8.8276999999999897E-2</v>
      </c>
      <c r="AH4809">
        <v>0.61421156232324903</v>
      </c>
      <c r="AI4809">
        <v>98.041556670073803</v>
      </c>
      <c r="AJ4809">
        <v>79.419619626691201</v>
      </c>
      <c r="AK4809">
        <v>0.631039928435985</v>
      </c>
      <c r="AL4809">
        <v>66.577379843920596</v>
      </c>
      <c r="AM4809">
        <v>82.323383850680898</v>
      </c>
      <c r="AN4809">
        <v>1.00000003593766</v>
      </c>
    </row>
    <row r="4810" spans="1:40" x14ac:dyDescent="0.25">
      <c r="A4810" t="str">
        <f>"20190304164742014"</f>
        <v>20190304164742014</v>
      </c>
      <c r="B4810" t="str">
        <f>"1551689262004210"</f>
        <v>1551689262004210</v>
      </c>
      <c r="C4810" t="s">
        <v>40</v>
      </c>
      <c r="D4810">
        <v>4.3762919999999896</v>
      </c>
      <c r="E4810">
        <v>0.5292403</v>
      </c>
      <c r="F4810" t="s">
        <v>41</v>
      </c>
      <c r="G4810">
        <v>-328.0247</v>
      </c>
      <c r="H4810">
        <v>1.010178</v>
      </c>
      <c r="I4810">
        <v>17.18027</v>
      </c>
      <c r="J4810">
        <v>-328.72739999999999</v>
      </c>
      <c r="K4810">
        <v>1.1107910000000001</v>
      </c>
      <c r="L4810">
        <v>17.335819999999998</v>
      </c>
      <c r="M4810">
        <v>0.99936579999999997</v>
      </c>
      <c r="N4810">
        <v>-1.2540229999999999E-2</v>
      </c>
      <c r="O4810">
        <v>-3.3333090000000003E-2</v>
      </c>
      <c r="P4810">
        <v>0.90998460000000003</v>
      </c>
      <c r="Q4810">
        <v>0.38544299999999998</v>
      </c>
      <c r="R4810">
        <v>-0.15284610000000001</v>
      </c>
      <c r="S4810">
        <v>3.3624879999999999</v>
      </c>
      <c r="T4810">
        <v>-0.4090357</v>
      </c>
      <c r="U4810">
        <v>-0.64831539999999999</v>
      </c>
      <c r="V4810">
        <v>0.122729</v>
      </c>
      <c r="W4810">
        <v>0.39678819999999998</v>
      </c>
      <c r="X4810">
        <v>0.90966849999999999</v>
      </c>
      <c r="Y4810">
        <v>0.15545220000000001</v>
      </c>
      <c r="Z4810">
        <v>-6.7363279999999998E-3</v>
      </c>
      <c r="AA4810">
        <v>0.98782040000000004</v>
      </c>
      <c r="AB4810">
        <v>24</v>
      </c>
      <c r="AC4810">
        <v>0.702699999999992</v>
      </c>
      <c r="AD4810">
        <v>-0.10061299999999999</v>
      </c>
      <c r="AE4810">
        <v>-0.15555000000000099</v>
      </c>
      <c r="AF4810">
        <v>0.12950757233398399</v>
      </c>
      <c r="AG4810">
        <v>-0.10061299999999999</v>
      </c>
      <c r="AH4810">
        <v>0.69393323563016196</v>
      </c>
      <c r="AI4810">
        <v>98.111651307460804</v>
      </c>
      <c r="AJ4810">
        <v>79.428601444552896</v>
      </c>
      <c r="AK4810">
        <v>0.71304875189077199</v>
      </c>
      <c r="AL4810">
        <v>66.622454503460503</v>
      </c>
      <c r="AM4810">
        <v>82.3162687986853</v>
      </c>
      <c r="AN4810">
        <v>1.0000000314962401</v>
      </c>
    </row>
    <row r="4811" spans="1:40" x14ac:dyDescent="0.25">
      <c r="A4811" t="str">
        <f>"20190304164742032"</f>
        <v>20190304164742032</v>
      </c>
      <c r="B4811" t="str">
        <f>"1551689262023732"</f>
        <v>1551689262023732</v>
      </c>
      <c r="C4811" t="s">
        <v>40</v>
      </c>
      <c r="D4811">
        <v>4.3118919999999896</v>
      </c>
      <c r="E4811">
        <v>0.52958700000000003</v>
      </c>
      <c r="F4811" t="s">
        <v>41</v>
      </c>
      <c r="G4811">
        <v>-327.81819999999999</v>
      </c>
      <c r="H4811">
        <v>0.99922060000000001</v>
      </c>
      <c r="I4811">
        <v>17.159410000000001</v>
      </c>
      <c r="J4811">
        <v>-328.53190000000001</v>
      </c>
      <c r="K4811">
        <v>1.110722</v>
      </c>
      <c r="L4811">
        <v>17.328859999999999</v>
      </c>
      <c r="M4811">
        <v>0.99935200000000002</v>
      </c>
      <c r="N4811">
        <v>-1.243932E-2</v>
      </c>
      <c r="O4811">
        <v>-3.3776899999999999E-2</v>
      </c>
      <c r="P4811">
        <v>0.91044219999999998</v>
      </c>
      <c r="Q4811">
        <v>0.38433319999999999</v>
      </c>
      <c r="R4811">
        <v>-0.15291489999999999</v>
      </c>
      <c r="S4811">
        <v>3.3621219999999998</v>
      </c>
      <c r="T4811">
        <v>-0.41248980000000002</v>
      </c>
      <c r="U4811">
        <v>-0.65130619999999995</v>
      </c>
      <c r="V4811">
        <v>0.122429</v>
      </c>
      <c r="W4811">
        <v>0.3955767</v>
      </c>
      <c r="X4811">
        <v>0.91023639999999995</v>
      </c>
      <c r="Y4811">
        <v>0.15586520000000001</v>
      </c>
      <c r="Z4811">
        <v>-6.7494410000000001E-3</v>
      </c>
      <c r="AA4811">
        <v>0.9877553</v>
      </c>
      <c r="AB4811">
        <v>24</v>
      </c>
      <c r="AC4811">
        <v>0.71370000000001699</v>
      </c>
      <c r="AD4811">
        <v>-0.111501399999999</v>
      </c>
      <c r="AE4811">
        <v>-0.16944999999999699</v>
      </c>
      <c r="AF4811">
        <v>0.14196471044436099</v>
      </c>
      <c r="AG4811">
        <v>-0.111501399999999</v>
      </c>
      <c r="AH4811">
        <v>0.70277867300346197</v>
      </c>
      <c r="AI4811">
        <v>98.839637445594803</v>
      </c>
      <c r="AJ4811">
        <v>78.579658057549693</v>
      </c>
      <c r="AK4811">
        <v>0.72559245065120304</v>
      </c>
      <c r="AL4811">
        <v>66.698054888976998</v>
      </c>
      <c r="AM4811">
        <v>82.339552939874594</v>
      </c>
      <c r="AN4811">
        <v>1.0000000447544199</v>
      </c>
    </row>
    <row r="4812" spans="1:40" x14ac:dyDescent="0.25">
      <c r="A4812" t="str">
        <f>"20190304164742045"</f>
        <v>20190304164742045</v>
      </c>
      <c r="B4812" t="str">
        <f>"1551689262034465"</f>
        <v>1551689262034465</v>
      </c>
      <c r="C4812" t="s">
        <v>40</v>
      </c>
      <c r="D4812">
        <v>4.4008859999999999</v>
      </c>
      <c r="E4812">
        <v>0.52971990000000002</v>
      </c>
      <c r="F4812" t="s">
        <v>41</v>
      </c>
      <c r="G4812">
        <v>-327.80680000000001</v>
      </c>
      <c r="H4812">
        <v>1.0220039999999999</v>
      </c>
      <c r="I4812">
        <v>17.187290000000001</v>
      </c>
      <c r="J4812">
        <v>-328.41129999999998</v>
      </c>
      <c r="K4812">
        <v>1.110679</v>
      </c>
      <c r="L4812">
        <v>17.32443</v>
      </c>
      <c r="M4812">
        <v>0.99934199999999995</v>
      </c>
      <c r="N4812">
        <v>-1.2379289999999999E-2</v>
      </c>
      <c r="O4812">
        <v>-3.4092369999999997E-2</v>
      </c>
      <c r="P4812">
        <v>0.91067390000000004</v>
      </c>
      <c r="Q4812">
        <v>0.38375769999999998</v>
      </c>
      <c r="R4812">
        <v>-0.15298129999999999</v>
      </c>
      <c r="S4812">
        <v>3.3586119999999999</v>
      </c>
      <c r="T4812">
        <v>-0.41082410000000003</v>
      </c>
      <c r="U4812">
        <v>-0.65447999999999995</v>
      </c>
      <c r="V4812">
        <v>0.1222309</v>
      </c>
      <c r="W4812">
        <v>0.39494030000000002</v>
      </c>
      <c r="X4812">
        <v>0.91053930000000005</v>
      </c>
      <c r="Y4812">
        <v>0.15664800000000001</v>
      </c>
      <c r="Z4812">
        <v>-6.7442810000000004E-3</v>
      </c>
      <c r="AA4812">
        <v>0.9876315</v>
      </c>
      <c r="AB4812">
        <v>24</v>
      </c>
      <c r="AC4812">
        <v>0.60449999999997295</v>
      </c>
      <c r="AD4812">
        <v>-8.8675000000000004E-2</v>
      </c>
      <c r="AE4812">
        <v>-0.13713999999999801</v>
      </c>
      <c r="AF4812">
        <v>0.11411448513656</v>
      </c>
      <c r="AG4812">
        <v>-8.8675000000000004E-2</v>
      </c>
      <c r="AH4812">
        <v>0.59661455332412705</v>
      </c>
      <c r="AI4812">
        <v>98.305593757999901</v>
      </c>
      <c r="AJ4812">
        <v>79.171817165182404</v>
      </c>
      <c r="AK4812">
        <v>0.61386830556816496</v>
      </c>
      <c r="AL4812">
        <v>66.7377498417124</v>
      </c>
      <c r="AM4812">
        <v>82.354315473805997</v>
      </c>
      <c r="AN4812">
        <v>1.0000000251616901</v>
      </c>
    </row>
    <row r="4813" spans="1:40" x14ac:dyDescent="0.25">
      <c r="A4813" t="str">
        <f>"20190304164742057"</f>
        <v>20190304164742057</v>
      </c>
      <c r="B4813" t="str">
        <f>"1551689262053985"</f>
        <v>1551689262053985</v>
      </c>
      <c r="C4813" t="s">
        <v>40</v>
      </c>
      <c r="D4813">
        <v>4.409287</v>
      </c>
      <c r="E4813">
        <v>0.52998250000000002</v>
      </c>
      <c r="F4813" t="s">
        <v>41</v>
      </c>
      <c r="G4813">
        <v>-327.60059999999999</v>
      </c>
      <c r="H4813">
        <v>1.010875</v>
      </c>
      <c r="I4813">
        <v>17.165959999999998</v>
      </c>
      <c r="J4813">
        <v>-328.27679999999998</v>
      </c>
      <c r="K4813">
        <v>1.1106229999999999</v>
      </c>
      <c r="L4813">
        <v>17.319520000000001</v>
      </c>
      <c r="M4813">
        <v>0.99933019999999995</v>
      </c>
      <c r="N4813">
        <v>-1.231314E-2</v>
      </c>
      <c r="O4813">
        <v>-3.4460789999999998E-2</v>
      </c>
      <c r="P4813">
        <v>0.91081769999999995</v>
      </c>
      <c r="Q4813">
        <v>0.3834902</v>
      </c>
      <c r="R4813">
        <v>-0.15279570000000001</v>
      </c>
      <c r="S4813">
        <v>3.3583370000000001</v>
      </c>
      <c r="T4813">
        <v>-0.41333700000000001</v>
      </c>
      <c r="U4813">
        <v>-0.65533450000000004</v>
      </c>
      <c r="V4813">
        <v>0.1217394</v>
      </c>
      <c r="W4813">
        <v>0.3946038</v>
      </c>
      <c r="X4813">
        <v>0.91075099999999998</v>
      </c>
      <c r="Y4813">
        <v>0.15653329999999999</v>
      </c>
      <c r="Z4813">
        <v>-6.7217409999999998E-3</v>
      </c>
      <c r="AA4813">
        <v>0.98764980000000002</v>
      </c>
      <c r="AB4813">
        <v>24</v>
      </c>
      <c r="AC4813">
        <v>0.67619999999999403</v>
      </c>
      <c r="AD4813">
        <v>-9.9747999999999906E-2</v>
      </c>
      <c r="AE4813">
        <v>-0.153559999999998</v>
      </c>
      <c r="AF4813">
        <v>0.12752576034335</v>
      </c>
      <c r="AG4813">
        <v>-9.9747999999999906E-2</v>
      </c>
      <c r="AH4813">
        <v>0.667282560181235</v>
      </c>
      <c r="AI4813">
        <v>98.352862576324497</v>
      </c>
      <c r="AJ4813">
        <v>79.180547848743601</v>
      </c>
      <c r="AK4813">
        <v>0.68664291897402796</v>
      </c>
      <c r="AL4813">
        <v>66.758733925297904</v>
      </c>
      <c r="AM4813">
        <v>82.3864472342689</v>
      </c>
      <c r="AN4813">
        <v>1.0000000122438999</v>
      </c>
    </row>
    <row r="4814" spans="1:40" x14ac:dyDescent="0.25">
      <c r="A4814" t="str">
        <f>"20190304164742077"</f>
        <v>20190304164742077</v>
      </c>
      <c r="B4814" t="str">
        <f>"1551689262074169"</f>
        <v>1551689262074169</v>
      </c>
      <c r="C4814" t="s">
        <v>40</v>
      </c>
      <c r="D4814">
        <v>4.6433390000000001</v>
      </c>
      <c r="E4814">
        <v>0.52962779999999998</v>
      </c>
      <c r="F4814" t="s">
        <v>41</v>
      </c>
      <c r="G4814">
        <v>-327.39319999999998</v>
      </c>
      <c r="H4814">
        <v>1.0014050000000001</v>
      </c>
      <c r="I4814">
        <v>17.146539999999899</v>
      </c>
      <c r="J4814">
        <v>-328.07080000000002</v>
      </c>
      <c r="K4814">
        <v>1.110555</v>
      </c>
      <c r="L4814">
        <v>17.311800000000002</v>
      </c>
      <c r="M4814">
        <v>0.99930949999999996</v>
      </c>
      <c r="N4814">
        <v>-1.221476E-2</v>
      </c>
      <c r="O4814">
        <v>-3.509193E-2</v>
      </c>
      <c r="P4814">
        <v>0.91129289999999996</v>
      </c>
      <c r="Q4814">
        <v>0.38292900000000002</v>
      </c>
      <c r="R4814">
        <v>-0.15136369999999999</v>
      </c>
      <c r="S4814">
        <v>3.3583980000000002</v>
      </c>
      <c r="T4814">
        <v>-0.41505049999999999</v>
      </c>
      <c r="U4814">
        <v>-0.65646359999999904</v>
      </c>
      <c r="V4814">
        <v>0.1197681</v>
      </c>
      <c r="W4814">
        <v>0.39394430000000003</v>
      </c>
      <c r="X4814">
        <v>0.91129769999999999</v>
      </c>
      <c r="Y4814">
        <v>0.156225799999999</v>
      </c>
      <c r="Z4814">
        <v>-6.6424279999999997E-3</v>
      </c>
      <c r="AA4814">
        <v>0.98769899999999999</v>
      </c>
      <c r="AB4814">
        <v>24</v>
      </c>
      <c r="AC4814">
        <v>0.67760000000003995</v>
      </c>
      <c r="AD4814">
        <v>-0.10915</v>
      </c>
      <c r="AE4814">
        <v>-0.16526000000000299</v>
      </c>
      <c r="AF4814">
        <v>0.13799841259738699</v>
      </c>
      <c r="AG4814">
        <v>-0.10915</v>
      </c>
      <c r="AH4814">
        <v>0.666655251719668</v>
      </c>
      <c r="AI4814">
        <v>99.108646212428596</v>
      </c>
      <c r="AJ4814">
        <v>78.304883184203305</v>
      </c>
      <c r="AK4814">
        <v>0.68948278370443195</v>
      </c>
      <c r="AL4814">
        <v>66.799851079624503</v>
      </c>
      <c r="AM4814">
        <v>82.512763525714405</v>
      </c>
      <c r="AN4814">
        <v>1.0000000036526899</v>
      </c>
    </row>
    <row r="4815" spans="1:40" x14ac:dyDescent="0.25">
      <c r="A4815" t="str">
        <f>"20190304164742088"</f>
        <v>20190304164742088</v>
      </c>
      <c r="B4815" t="str">
        <f>"1551689262083929"</f>
        <v>1551689262083929</v>
      </c>
      <c r="C4815" t="s">
        <v>40</v>
      </c>
      <c r="D4815">
        <v>4.5501480000000001</v>
      </c>
      <c r="E4815">
        <v>0.48750959999999899</v>
      </c>
      <c r="F4815" t="s">
        <v>41</v>
      </c>
      <c r="G4815">
        <v>-327.1816</v>
      </c>
      <c r="H4815">
        <v>1.0002120000000001</v>
      </c>
      <c r="I4815">
        <v>17.139479999999999</v>
      </c>
      <c r="J4815">
        <v>-327.9402</v>
      </c>
      <c r="K4815">
        <v>1.1105130000000001</v>
      </c>
      <c r="L4815">
        <v>17.306729999999899</v>
      </c>
      <c r="M4815">
        <v>0.99929469999999998</v>
      </c>
      <c r="N4815">
        <v>-1.2152629999999999E-2</v>
      </c>
      <c r="O4815">
        <v>-3.5530760000000002E-2</v>
      </c>
      <c r="P4815">
        <v>0.91148949999999995</v>
      </c>
      <c r="Q4815">
        <v>0.38291059999999999</v>
      </c>
      <c r="R4815">
        <v>-0.1502203</v>
      </c>
      <c r="S4815">
        <v>3.3591609999999998</v>
      </c>
      <c r="T4815">
        <v>-0.41679699999999997</v>
      </c>
      <c r="U4815">
        <v>-0.65020749999999905</v>
      </c>
      <c r="V4815">
        <v>0.1182494</v>
      </c>
      <c r="W4815">
        <v>0.39386359999999998</v>
      </c>
      <c r="X4815">
        <v>0.91153090000000003</v>
      </c>
      <c r="Y4815">
        <v>0.15399060000000001</v>
      </c>
      <c r="Z4815">
        <v>-6.4579240000000003E-3</v>
      </c>
      <c r="AA4815">
        <v>0.98805120000000002</v>
      </c>
      <c r="AB4815">
        <v>24</v>
      </c>
      <c r="AC4815">
        <v>0.75860000000000105</v>
      </c>
      <c r="AD4815">
        <v>-0.110300999999999</v>
      </c>
      <c r="AE4815">
        <v>-0.16724999999999901</v>
      </c>
      <c r="AF4815">
        <v>0.13741821516009101</v>
      </c>
      <c r="AG4815">
        <v>-0.110300999999999</v>
      </c>
      <c r="AH4815">
        <v>0.74896375698538198</v>
      </c>
      <c r="AI4815">
        <v>98.242164908037395</v>
      </c>
      <c r="AJ4815">
        <v>79.603134759548198</v>
      </c>
      <c r="AK4815">
        <v>0.76941327369395096</v>
      </c>
      <c r="AL4815">
        <v>66.804881927470106</v>
      </c>
      <c r="AM4815">
        <v>82.608517744188902</v>
      </c>
      <c r="AN4815">
        <v>1.00000001883006</v>
      </c>
    </row>
    <row r="4816" spans="1:40" x14ac:dyDescent="0.25">
      <c r="A4816" t="str">
        <f>"20190304164742104"</f>
        <v>20190304164742104</v>
      </c>
      <c r="B4816" t="str">
        <f>"1551689262093689"</f>
        <v>1551689262093689</v>
      </c>
      <c r="C4816" t="s">
        <v>40</v>
      </c>
      <c r="D4816">
        <v>4.4147759999999998</v>
      </c>
      <c r="E4816">
        <v>0.47016409999999997</v>
      </c>
      <c r="F4816" t="s">
        <v>41</v>
      </c>
      <c r="G4816">
        <v>-327.16539999999998</v>
      </c>
      <c r="H4816">
        <v>1.0281670000000001</v>
      </c>
      <c r="I4816">
        <v>17.234110000000001</v>
      </c>
      <c r="J4816">
        <v>-327.78539999999998</v>
      </c>
      <c r="K4816">
        <v>1.1104700000000001</v>
      </c>
      <c r="L4816">
        <v>17.300689999999999</v>
      </c>
      <c r="M4816">
        <v>0.99927589999999999</v>
      </c>
      <c r="N4816">
        <v>-1.20806E-2</v>
      </c>
      <c r="O4816">
        <v>-3.6081990000000001E-2</v>
      </c>
      <c r="P4816">
        <v>0.91182549999999996</v>
      </c>
      <c r="Q4816">
        <v>0.38259130000000002</v>
      </c>
      <c r="R4816">
        <v>-0.1489916</v>
      </c>
      <c r="S4816">
        <v>3.3904109999999998</v>
      </c>
      <c r="T4816">
        <v>-0.3602245</v>
      </c>
      <c r="U4816">
        <v>-0.31689450000000002</v>
      </c>
      <c r="V4816">
        <v>0.1165392</v>
      </c>
      <c r="W4816">
        <v>0.39347490000000002</v>
      </c>
      <c r="X4816">
        <v>0.91191889999999998</v>
      </c>
      <c r="Y4816">
        <v>5.687789E-2</v>
      </c>
      <c r="Z4816" s="1">
        <v>2.6286579999999999E-5</v>
      </c>
      <c r="AA4816">
        <v>0.99838110000000002</v>
      </c>
      <c r="AB4816">
        <v>24</v>
      </c>
      <c r="AC4816">
        <v>0.62000000000000399</v>
      </c>
      <c r="AD4816">
        <v>-8.2303000000000001E-2</v>
      </c>
      <c r="AE4816">
        <v>-6.6579999999998293E-2</v>
      </c>
      <c r="AF4816">
        <v>4.3407972530199901E-2</v>
      </c>
      <c r="AG4816">
        <v>-8.2303000000000001E-2</v>
      </c>
      <c r="AH4816">
        <v>0.61134854504823299</v>
      </c>
      <c r="AI4816">
        <v>97.6483373884614</v>
      </c>
      <c r="AJ4816">
        <v>85.938607091060206</v>
      </c>
      <c r="AK4816">
        <v>0.61838910034118</v>
      </c>
      <c r="AL4816">
        <v>66.829108163048801</v>
      </c>
      <c r="AM4816">
        <v>82.717327881483797</v>
      </c>
      <c r="AN4816">
        <v>0.999999981121929</v>
      </c>
    </row>
    <row r="4817" spans="1:40" x14ac:dyDescent="0.25">
      <c r="A4817" t="str">
        <f>"20190304164742123"</f>
        <v>20190304164742123</v>
      </c>
      <c r="B4817" t="str">
        <f>"1551689262114185"</f>
        <v>1551689262114185</v>
      </c>
      <c r="C4817" t="s">
        <v>40</v>
      </c>
      <c r="D4817">
        <v>4.4234619999999998</v>
      </c>
      <c r="E4817">
        <v>0.4478395</v>
      </c>
      <c r="F4817" t="s">
        <v>41</v>
      </c>
      <c r="G4817">
        <v>-326.95100000000002</v>
      </c>
      <c r="H4817">
        <v>1.0288619999999999</v>
      </c>
      <c r="I4817">
        <v>17.256799999999998</v>
      </c>
      <c r="J4817">
        <v>-327.57729999999998</v>
      </c>
      <c r="K4817">
        <v>1.1104130000000001</v>
      </c>
      <c r="L4817">
        <v>17.292359999999999</v>
      </c>
      <c r="M4817">
        <v>0.99924809999999997</v>
      </c>
      <c r="N4817">
        <v>-1.1986439999999999E-2</v>
      </c>
      <c r="O4817">
        <v>-3.6876529999999998E-2</v>
      </c>
      <c r="P4817">
        <v>0.91261369999999997</v>
      </c>
      <c r="Q4817">
        <v>0.38187159999999998</v>
      </c>
      <c r="R4817">
        <v>-0.14598169999999999</v>
      </c>
      <c r="S4817">
        <v>3.4004210000000001</v>
      </c>
      <c r="T4817">
        <v>-0.33257560000000003</v>
      </c>
      <c r="U4817">
        <v>-0.178894</v>
      </c>
      <c r="V4817">
        <v>0.1128173</v>
      </c>
      <c r="W4817">
        <v>0.39267079999999999</v>
      </c>
      <c r="X4817">
        <v>0.91273329999999997</v>
      </c>
      <c r="Y4817">
        <v>1.5723669999999999E-2</v>
      </c>
      <c r="Z4817">
        <v>2.2920359999999999E-3</v>
      </c>
      <c r="AA4817">
        <v>0.99987380000000003</v>
      </c>
      <c r="AB4817">
        <v>24</v>
      </c>
      <c r="AC4817">
        <v>0.62630000000001396</v>
      </c>
      <c r="AD4817">
        <v>-8.1550999999999693E-2</v>
      </c>
      <c r="AE4817">
        <v>-3.5560000000003797E-2</v>
      </c>
      <c r="AF4817">
        <v>1.22316637645724E-2</v>
      </c>
      <c r="AG4817">
        <v>-8.1550999999999693E-2</v>
      </c>
      <c r="AH4817">
        <v>0.61676187365126101</v>
      </c>
      <c r="AI4817">
        <v>97.5307459860162</v>
      </c>
      <c r="AJ4817">
        <v>88.863855109513494</v>
      </c>
      <c r="AK4817">
        <v>0.62225026154214202</v>
      </c>
      <c r="AL4817">
        <v>66.879215385163306</v>
      </c>
      <c r="AM4817">
        <v>82.953763056679406</v>
      </c>
      <c r="AN4817">
        <v>1.0000000886403999</v>
      </c>
    </row>
    <row r="4818" spans="1:40" x14ac:dyDescent="0.25">
      <c r="A4818" t="str">
        <f>"20190304164742144"</f>
        <v>20190304164742144</v>
      </c>
      <c r="B4818" t="str">
        <f>"1551689262133707"</f>
        <v>1551689262133707</v>
      </c>
      <c r="C4818" t="s">
        <v>40</v>
      </c>
      <c r="D4818">
        <v>4.3693759999999999</v>
      </c>
      <c r="E4818">
        <v>0.43808570000000002</v>
      </c>
      <c r="F4818" t="s">
        <v>43</v>
      </c>
      <c r="G4818">
        <v>-314.49720000000002</v>
      </c>
      <c r="H4818">
        <v>-0.05</v>
      </c>
      <c r="I4818">
        <v>17.306049999999999</v>
      </c>
      <c r="J4818">
        <v>-327.35239999999999</v>
      </c>
      <c r="K4818">
        <v>1.110355</v>
      </c>
      <c r="L4818">
        <v>17.283049999999999</v>
      </c>
      <c r="M4818">
        <v>0.99921439999999995</v>
      </c>
      <c r="N4818">
        <v>-1.188676E-2</v>
      </c>
      <c r="O4818">
        <v>-3.780936E-2</v>
      </c>
      <c r="P4818">
        <v>0.9131281</v>
      </c>
      <c r="Q4818">
        <v>0.38152419999999998</v>
      </c>
      <c r="R4818">
        <v>-0.14365539999999999</v>
      </c>
      <c r="S4818">
        <v>3.41452</v>
      </c>
      <c r="T4818">
        <v>-0.3029212</v>
      </c>
      <c r="U4818">
        <v>3.5705569999999998E-3</v>
      </c>
      <c r="V4818">
        <v>0.1096631</v>
      </c>
      <c r="W4818">
        <v>0.39223039999999998</v>
      </c>
      <c r="X4818">
        <v>0.91330679999999997</v>
      </c>
      <c r="Y4818">
        <v>-3.8573759999999999E-2</v>
      </c>
      <c r="Z4818">
        <v>4.8358280000000003E-3</v>
      </c>
      <c r="AA4818">
        <v>0.99924400000000002</v>
      </c>
      <c r="AB4818">
        <v>24</v>
      </c>
      <c r="AC4818">
        <v>12.8551999999999</v>
      </c>
      <c r="AD4818">
        <v>-1.160355</v>
      </c>
      <c r="AE4818">
        <v>2.2999999999999601E-2</v>
      </c>
      <c r="AF4818">
        <v>-0.50495064566021897</v>
      </c>
      <c r="AG4818">
        <v>-1.160355</v>
      </c>
      <c r="AH4818">
        <v>12.741327613898999</v>
      </c>
      <c r="AI4818">
        <v>95.199523636740096</v>
      </c>
      <c r="AJ4818">
        <v>92.269497282027302</v>
      </c>
      <c r="AK4818">
        <v>12.8040160982905</v>
      </c>
      <c r="AL4818">
        <v>66.906647140063498</v>
      </c>
      <c r="AM4818">
        <v>83.153127363093304</v>
      </c>
      <c r="AN4818">
        <v>0.99999999655600402</v>
      </c>
    </row>
    <row r="4819" spans="1:40" x14ac:dyDescent="0.25">
      <c r="A4819" t="str">
        <f>"20190304164742156"</f>
        <v>20190304164742156</v>
      </c>
      <c r="B4819" t="str">
        <f>"1551689262154200"</f>
        <v>1551689262154200</v>
      </c>
      <c r="C4819" t="s">
        <v>40</v>
      </c>
      <c r="D4819">
        <v>4.3454730000000001</v>
      </c>
      <c r="E4819">
        <v>0.43379489999999998</v>
      </c>
      <c r="F4819" t="s">
        <v>43</v>
      </c>
      <c r="G4819">
        <v>-313.75619999999998</v>
      </c>
      <c r="H4819">
        <v>-0.05</v>
      </c>
      <c r="I4819">
        <v>17.625789999999999</v>
      </c>
      <c r="J4819">
        <v>-327.22550000000001</v>
      </c>
      <c r="K4819">
        <v>1.1103209999999999</v>
      </c>
      <c r="L4819">
        <v>17.277739999999898</v>
      </c>
      <c r="M4819">
        <v>0.99919380000000002</v>
      </c>
      <c r="N4819">
        <v>-1.183057E-2</v>
      </c>
      <c r="O4819">
        <v>-3.8362559999999997E-2</v>
      </c>
      <c r="P4819">
        <v>0.91327020000000003</v>
      </c>
      <c r="Q4819">
        <v>0.38174000000000002</v>
      </c>
      <c r="R4819">
        <v>-0.14216999999999999</v>
      </c>
      <c r="S4819">
        <v>3.4210210000000001</v>
      </c>
      <c r="T4819">
        <v>-0.29196490000000003</v>
      </c>
      <c r="U4819">
        <v>8.6242680000000002E-2</v>
      </c>
      <c r="V4819">
        <v>0.1076917</v>
      </c>
      <c r="W4819">
        <v>0.39239269999999998</v>
      </c>
      <c r="X4819">
        <v>0.91347160000000005</v>
      </c>
      <c r="Y4819">
        <v>-6.3171270000000002E-2</v>
      </c>
      <c r="Z4819">
        <v>5.8791109999999898E-3</v>
      </c>
      <c r="AA4819">
        <v>0.99798540000000002</v>
      </c>
      <c r="AB4819">
        <v>24</v>
      </c>
      <c r="AC4819">
        <v>13.4693</v>
      </c>
      <c r="AD4819">
        <v>-1.1603209999999999</v>
      </c>
      <c r="AE4819">
        <v>0.34805000000000003</v>
      </c>
      <c r="AF4819">
        <v>-0.85818240154736503</v>
      </c>
      <c r="AG4819">
        <v>-1.1603209999999999</v>
      </c>
      <c r="AH4819">
        <v>13.3470474293847</v>
      </c>
      <c r="AI4819">
        <v>94.958309922599994</v>
      </c>
      <c r="AJ4819">
        <v>93.678913862229606</v>
      </c>
      <c r="AK4819">
        <v>13.424846253853699</v>
      </c>
      <c r="AL4819">
        <v>66.896536404142907</v>
      </c>
      <c r="AM4819">
        <v>83.276277398355901</v>
      </c>
      <c r="AN4819">
        <v>0.99999994863436803</v>
      </c>
    </row>
    <row r="4820" spans="1:40" x14ac:dyDescent="0.25">
      <c r="A4820" t="str">
        <f>"20190304164742168"</f>
        <v>20190304164742168</v>
      </c>
      <c r="B4820" t="str">
        <f>"1551689262164522"</f>
        <v>1551689262164522</v>
      </c>
      <c r="C4820" t="s">
        <v>40</v>
      </c>
      <c r="D4820">
        <v>4.3500519999999998</v>
      </c>
      <c r="E4820">
        <v>0.43258229999999998</v>
      </c>
      <c r="F4820" t="s">
        <v>43</v>
      </c>
      <c r="G4820">
        <v>-313.1814</v>
      </c>
      <c r="H4820">
        <v>-0.05</v>
      </c>
      <c r="I4820">
        <v>17.786179999999899</v>
      </c>
      <c r="J4820">
        <v>-327.09629999999999</v>
      </c>
      <c r="K4820">
        <v>1.110287</v>
      </c>
      <c r="L4820">
        <v>17.27216</v>
      </c>
      <c r="M4820">
        <v>0.99917160000000005</v>
      </c>
      <c r="N4820">
        <v>-1.177273E-2</v>
      </c>
      <c r="O4820">
        <v>-3.8956999999999999E-2</v>
      </c>
      <c r="P4820">
        <v>0.91354639999999998</v>
      </c>
      <c r="Q4820">
        <v>0.38154320000000003</v>
      </c>
      <c r="R4820">
        <v>-0.1409183</v>
      </c>
      <c r="S4820">
        <v>3.4223940000000002</v>
      </c>
      <c r="T4820">
        <v>-0.28275670000000003</v>
      </c>
      <c r="U4820">
        <v>0.12390139999999999</v>
      </c>
      <c r="V4820">
        <v>0.1059103</v>
      </c>
      <c r="W4820">
        <v>0.3921423</v>
      </c>
      <c r="X4820">
        <v>0.91378740000000003</v>
      </c>
      <c r="Y4820">
        <v>-7.4698050000000002E-2</v>
      </c>
      <c r="Z4820">
        <v>6.2744319999999999E-3</v>
      </c>
      <c r="AA4820">
        <v>0.99718649999999998</v>
      </c>
      <c r="AB4820">
        <v>24</v>
      </c>
      <c r="AC4820">
        <v>13.9148999999999</v>
      </c>
      <c r="AD4820">
        <v>-1.1602870000000001</v>
      </c>
      <c r="AE4820">
        <v>0.51401999999999803</v>
      </c>
      <c r="AF4820">
        <v>-1.0484699888700399</v>
      </c>
      <c r="AG4820">
        <v>-1.1602870000000001</v>
      </c>
      <c r="AH4820">
        <v>13.7885685772626</v>
      </c>
      <c r="AI4820">
        <v>94.796239624217606</v>
      </c>
      <c r="AJ4820">
        <v>94.348350276615705</v>
      </c>
      <c r="AK4820">
        <v>13.876965758039599</v>
      </c>
      <c r="AL4820">
        <v>66.912134446360298</v>
      </c>
      <c r="AM4820">
        <v>83.388770873587205</v>
      </c>
      <c r="AN4820">
        <v>0.99999999374707005</v>
      </c>
    </row>
    <row r="4821" spans="1:40" x14ac:dyDescent="0.25">
      <c r="A4821" t="str">
        <f>"20190304164742180"</f>
        <v>20190304164742180</v>
      </c>
      <c r="B4821" t="str">
        <f>"1551689262174282"</f>
        <v>1551689262174282</v>
      </c>
      <c r="C4821" t="s">
        <v>40</v>
      </c>
      <c r="D4821">
        <v>4.350568</v>
      </c>
      <c r="E4821">
        <v>0.43179010000000001</v>
      </c>
      <c r="F4821" t="s">
        <v>43</v>
      </c>
      <c r="G4821">
        <v>-312.97239999999999</v>
      </c>
      <c r="H4821">
        <v>-0.05</v>
      </c>
      <c r="I4821">
        <v>17.83586</v>
      </c>
      <c r="J4821">
        <v>-326.9674</v>
      </c>
      <c r="K4821">
        <v>1.110247</v>
      </c>
      <c r="L4821">
        <v>17.26651</v>
      </c>
      <c r="M4821">
        <v>0.99914829999999999</v>
      </c>
      <c r="N4821">
        <v>-1.1716209999999999E-2</v>
      </c>
      <c r="O4821">
        <v>-3.9569090000000001E-2</v>
      </c>
      <c r="P4821">
        <v>0.91376469999999999</v>
      </c>
      <c r="Q4821">
        <v>0.3814786</v>
      </c>
      <c r="R4821">
        <v>-0.13967370000000001</v>
      </c>
      <c r="S4821">
        <v>3.4223629999999998</v>
      </c>
      <c r="T4821">
        <v>-0.28115079999999998</v>
      </c>
      <c r="U4821">
        <v>0.13659669999999999</v>
      </c>
      <c r="V4821">
        <v>0.10412200000000001</v>
      </c>
      <c r="W4821">
        <v>0.3920246</v>
      </c>
      <c r="X4821">
        <v>0.91404339999999995</v>
      </c>
      <c r="Y4821">
        <v>-7.8988660000000002E-2</v>
      </c>
      <c r="Z4821">
        <v>6.4827069999999999E-3</v>
      </c>
      <c r="AA4821">
        <v>0.99685440000000003</v>
      </c>
      <c r="AB4821">
        <v>24</v>
      </c>
      <c r="AC4821">
        <v>13.994999999999999</v>
      </c>
      <c r="AD4821">
        <v>-1.160247</v>
      </c>
      <c r="AE4821">
        <v>0.56935000000000002</v>
      </c>
      <c r="AF4821">
        <v>-1.11506008682306</v>
      </c>
      <c r="AG4821">
        <v>-1.160247</v>
      </c>
      <c r="AH4821">
        <v>13.866359986886801</v>
      </c>
      <c r="AI4821">
        <v>94.767678318193106</v>
      </c>
      <c r="AJ4821">
        <v>94.597533668861004</v>
      </c>
      <c r="AK4821">
        <v>13.9594223155606</v>
      </c>
      <c r="AL4821">
        <v>66.919465465499897</v>
      </c>
      <c r="AM4821">
        <v>83.501243233008097</v>
      </c>
      <c r="AN4821">
        <v>1.00000000748636</v>
      </c>
    </row>
    <row r="4822" spans="1:40" x14ac:dyDescent="0.25">
      <c r="A4822" t="str">
        <f>"20190304164742191"</f>
        <v>20190304164742191</v>
      </c>
      <c r="B4822" t="str">
        <f>"1551689262184043"</f>
        <v>1551689262184043</v>
      </c>
      <c r="C4822" t="s">
        <v>40</v>
      </c>
      <c r="D4822">
        <v>4.364655</v>
      </c>
      <c r="E4822">
        <v>0.43119839999999998</v>
      </c>
      <c r="F4822" t="s">
        <v>43</v>
      </c>
      <c r="G4822">
        <v>-312.73259999999999</v>
      </c>
      <c r="H4822">
        <v>-0.05</v>
      </c>
      <c r="I4822">
        <v>17.876860000000001</v>
      </c>
      <c r="J4822">
        <v>-326.83670000000001</v>
      </c>
      <c r="K4822">
        <v>1.1102099999999999</v>
      </c>
      <c r="L4822">
        <v>17.26071</v>
      </c>
      <c r="M4822">
        <v>0.99912350000000005</v>
      </c>
      <c r="N4822">
        <v>-1.1659869999999999E-2</v>
      </c>
      <c r="O4822">
        <v>-4.0207180000000002E-2</v>
      </c>
      <c r="P4822">
        <v>0.91415190000000002</v>
      </c>
      <c r="Q4822">
        <v>0.3811427</v>
      </c>
      <c r="R4822">
        <v>-0.1380458</v>
      </c>
      <c r="S4822">
        <v>3.4220280000000001</v>
      </c>
      <c r="T4822">
        <v>-0.27892109999999998</v>
      </c>
      <c r="U4822">
        <v>0.14672850000000001</v>
      </c>
      <c r="V4822">
        <v>0.10192</v>
      </c>
      <c r="W4822">
        <v>0.39163900000000001</v>
      </c>
      <c r="X4822">
        <v>0.91445679999999996</v>
      </c>
      <c r="Y4822">
        <v>-8.2566210000000001E-2</v>
      </c>
      <c r="Z4822">
        <v>6.6426519999999998E-3</v>
      </c>
      <c r="AA4822">
        <v>0.99656339999999999</v>
      </c>
      <c r="AB4822">
        <v>24</v>
      </c>
      <c r="AC4822">
        <v>14.104100000000001</v>
      </c>
      <c r="AD4822">
        <v>-1.16021</v>
      </c>
      <c r="AE4822">
        <v>0.61615000000000097</v>
      </c>
      <c r="AF4822">
        <v>-1.17484147753859</v>
      </c>
      <c r="AG4822">
        <v>-1.16021</v>
      </c>
      <c r="AH4822">
        <v>13.973542181508501</v>
      </c>
      <c r="AI4822">
        <v>94.729716453970497</v>
      </c>
      <c r="AJ4822">
        <v>94.805905211234801</v>
      </c>
      <c r="AK4822">
        <v>14.0707576498155</v>
      </c>
      <c r="AL4822">
        <v>66.9434791132268</v>
      </c>
      <c r="AM4822">
        <v>83.6403943279239</v>
      </c>
      <c r="AN4822">
        <v>1.00000001589362</v>
      </c>
    </row>
    <row r="4823" spans="1:40" x14ac:dyDescent="0.25">
      <c r="A4823" t="str">
        <f>"20190304164742203"</f>
        <v>20190304164742203</v>
      </c>
      <c r="B4823" t="str">
        <f>"1551689262193802"</f>
        <v>1551689262193802</v>
      </c>
      <c r="C4823" t="s">
        <v>40</v>
      </c>
      <c r="D4823">
        <v>4.3585089999999997</v>
      </c>
      <c r="E4823">
        <v>0.43081429999999998</v>
      </c>
      <c r="F4823" t="s">
        <v>43</v>
      </c>
      <c r="G4823">
        <v>-312.56740000000002</v>
      </c>
      <c r="H4823">
        <v>-0.05</v>
      </c>
      <c r="I4823">
        <v>17.917939999999899</v>
      </c>
      <c r="J4823">
        <v>-326.71789999999999</v>
      </c>
      <c r="K4823">
        <v>1.110174</v>
      </c>
      <c r="L4823">
        <v>17.255279999999999</v>
      </c>
      <c r="M4823">
        <v>0.99909930000000002</v>
      </c>
      <c r="N4823">
        <v>-1.161043E-2</v>
      </c>
      <c r="O4823">
        <v>-4.0819309999999998E-2</v>
      </c>
      <c r="P4823">
        <v>0.91458680000000003</v>
      </c>
      <c r="Q4823">
        <v>0.38070179999999998</v>
      </c>
      <c r="R4823">
        <v>-0.1363724</v>
      </c>
      <c r="S4823">
        <v>3.4215089999999901</v>
      </c>
      <c r="T4823">
        <v>-0.27819509999999997</v>
      </c>
      <c r="U4823">
        <v>0.15759279999999901</v>
      </c>
      <c r="V4823">
        <v>9.9692020000000006E-2</v>
      </c>
      <c r="W4823">
        <v>0.391156</v>
      </c>
      <c r="X4823">
        <v>0.91490899999999997</v>
      </c>
      <c r="Y4823">
        <v>-8.6327150000000005E-2</v>
      </c>
      <c r="Z4823">
        <v>6.843058E-3</v>
      </c>
      <c r="AA4823">
        <v>0.9962434</v>
      </c>
      <c r="AB4823">
        <v>24</v>
      </c>
      <c r="AC4823">
        <v>14.1504999999999</v>
      </c>
      <c r="AD4823">
        <v>-1.160174</v>
      </c>
      <c r="AE4823">
        <v>0.66265999999999803</v>
      </c>
      <c r="AF4823">
        <v>-1.2314999779359701</v>
      </c>
      <c r="AG4823">
        <v>-1.160174</v>
      </c>
      <c r="AH4823">
        <v>14.017632220905901</v>
      </c>
      <c r="AI4823">
        <v>94.713248777458901</v>
      </c>
      <c r="AJ4823">
        <v>95.020751956411203</v>
      </c>
      <c r="AK4823">
        <v>14.1193699925497</v>
      </c>
      <c r="AL4823">
        <v>66.973551683575096</v>
      </c>
      <c r="AM4823">
        <v>83.781364563143995</v>
      </c>
      <c r="AN4823">
        <v>0.99999999673434004</v>
      </c>
    </row>
    <row r="4824" spans="1:40" x14ac:dyDescent="0.25">
      <c r="A4824" t="str">
        <f>"20190304164742223"</f>
        <v>20190304164742223</v>
      </c>
      <c r="B4824" t="str">
        <f>"1551689262214298"</f>
        <v>1551689262214298</v>
      </c>
      <c r="C4824" t="s">
        <v>40</v>
      </c>
      <c r="D4824">
        <v>4.3656420000000002</v>
      </c>
      <c r="E4824">
        <v>0.43032720000000002</v>
      </c>
      <c r="F4824" t="s">
        <v>43</v>
      </c>
      <c r="G4824">
        <v>-312.49950000000001</v>
      </c>
      <c r="H4824">
        <v>-0.05</v>
      </c>
      <c r="I4824">
        <v>17.94576</v>
      </c>
      <c r="J4824">
        <v>-326.51929999999999</v>
      </c>
      <c r="K4824">
        <v>1.1101160000000001</v>
      </c>
      <c r="L4824">
        <v>17.24606</v>
      </c>
      <c r="M4824">
        <v>0.99905630000000001</v>
      </c>
      <c r="N4824">
        <v>-1.153009E-2</v>
      </c>
      <c r="O4824">
        <v>-4.1878220000000001E-2</v>
      </c>
      <c r="P4824">
        <v>0.91638339999999996</v>
      </c>
      <c r="Q4824">
        <v>0.37841059999999999</v>
      </c>
      <c r="R4824">
        <v>-0.13056419999999999</v>
      </c>
      <c r="S4824">
        <v>3.4211429999999998</v>
      </c>
      <c r="T4824">
        <v>-0.27915380000000001</v>
      </c>
      <c r="U4824">
        <v>0.1661377</v>
      </c>
      <c r="V4824">
        <v>9.2878589999999997E-2</v>
      </c>
      <c r="W4824">
        <v>0.38881339999999998</v>
      </c>
      <c r="X4824">
        <v>0.91662299999999997</v>
      </c>
      <c r="Y4824">
        <v>-8.9851280000000006E-2</v>
      </c>
      <c r="Z4824">
        <v>7.1045369999999898E-3</v>
      </c>
      <c r="AA4824">
        <v>0.99592979999999998</v>
      </c>
      <c r="AB4824">
        <v>24</v>
      </c>
      <c r="AC4824">
        <v>14.019799999999901</v>
      </c>
      <c r="AD4824">
        <v>-1.1601159999999999</v>
      </c>
      <c r="AE4824">
        <v>0.69969999999999999</v>
      </c>
      <c r="AF4824">
        <v>-1.27752347398815</v>
      </c>
      <c r="AG4824">
        <v>-1.1601159999999999</v>
      </c>
      <c r="AH4824">
        <v>13.8833676252088</v>
      </c>
      <c r="AI4824">
        <v>94.756625477809393</v>
      </c>
      <c r="AJ4824">
        <v>95.257452961583596</v>
      </c>
      <c r="AK4824">
        <v>13.990204858283599</v>
      </c>
      <c r="AL4824">
        <v>67.119314386709505</v>
      </c>
      <c r="AM4824">
        <v>84.214142334708797</v>
      </c>
      <c r="AN4824">
        <v>1.00000000831447</v>
      </c>
    </row>
    <row r="4825" spans="1:40" x14ac:dyDescent="0.25">
      <c r="A4825" t="str">
        <f>"20190304164742232"</f>
        <v>20190304164742232</v>
      </c>
      <c r="B4825" t="str">
        <f>"1551689262224058"</f>
        <v>1551689262224058</v>
      </c>
      <c r="C4825" t="s">
        <v>40</v>
      </c>
      <c r="D4825">
        <v>4.3852449999999896</v>
      </c>
      <c r="E4825">
        <v>0.43020190000000003</v>
      </c>
      <c r="F4825" t="s">
        <v>43</v>
      </c>
      <c r="G4825">
        <v>-312.65499999999997</v>
      </c>
      <c r="H4825">
        <v>-0.05</v>
      </c>
      <c r="I4825">
        <v>18.014209999999999</v>
      </c>
      <c r="J4825">
        <v>-326.40179999999998</v>
      </c>
      <c r="K4825">
        <v>1.1100829999999999</v>
      </c>
      <c r="L4825">
        <v>17.240539999999999</v>
      </c>
      <c r="M4825">
        <v>0.99902950000000001</v>
      </c>
      <c r="N4825">
        <v>-1.148395E-2</v>
      </c>
      <c r="O4825">
        <v>-4.2524840000000001E-2</v>
      </c>
      <c r="P4825">
        <v>0.91741879999999998</v>
      </c>
      <c r="Q4825">
        <v>0.37706450000000002</v>
      </c>
      <c r="R4825">
        <v>-0.12714249999999999</v>
      </c>
      <c r="S4825">
        <v>3.4189150000000001</v>
      </c>
      <c r="T4825">
        <v>-0.28608440000000002</v>
      </c>
      <c r="U4825">
        <v>0.1894226</v>
      </c>
      <c r="V4825">
        <v>8.8843899999999906E-2</v>
      </c>
      <c r="W4825">
        <v>0.3874379</v>
      </c>
      <c r="X4825">
        <v>0.9176048</v>
      </c>
      <c r="Y4825">
        <v>-9.7235909999999995E-2</v>
      </c>
      <c r="Z4825">
        <v>7.6803330000000001E-3</v>
      </c>
      <c r="AA4825">
        <v>0.99523170000000005</v>
      </c>
      <c r="AB4825">
        <v>24</v>
      </c>
      <c r="AC4825">
        <v>13.7468</v>
      </c>
      <c r="AD4825">
        <v>-1.160083</v>
      </c>
      <c r="AE4825">
        <v>0.77367000000000197</v>
      </c>
      <c r="AF4825">
        <v>-1.34801933744108</v>
      </c>
      <c r="AG4825">
        <v>-1.160083</v>
      </c>
      <c r="AH4825">
        <v>13.604878792594199</v>
      </c>
      <c r="AI4825">
        <v>94.850164418012994</v>
      </c>
      <c r="AJ4825">
        <v>95.658598142783603</v>
      </c>
      <c r="AK4825">
        <v>13.7206295650813</v>
      </c>
      <c r="AL4825">
        <v>67.204827498994902</v>
      </c>
      <c r="AM4825">
        <v>84.4697728877223</v>
      </c>
      <c r="AN4825">
        <v>0.99999996695332904</v>
      </c>
    </row>
    <row r="4826" spans="1:40" x14ac:dyDescent="0.25">
      <c r="A4826" t="str">
        <f>"20190304164742245"</f>
        <v>20190304164742245</v>
      </c>
      <c r="B4826" t="str">
        <f>"1551689262233819"</f>
        <v>1551689262233819</v>
      </c>
      <c r="C4826" t="s">
        <v>40</v>
      </c>
      <c r="D4826">
        <v>4.4130820000000002</v>
      </c>
      <c r="E4826">
        <v>0.43021039999999999</v>
      </c>
      <c r="F4826" t="s">
        <v>43</v>
      </c>
      <c r="G4826">
        <v>-312.74340000000001</v>
      </c>
      <c r="H4826">
        <v>-0.05</v>
      </c>
      <c r="I4826">
        <v>18.04607</v>
      </c>
      <c r="J4826">
        <v>-326.279</v>
      </c>
      <c r="K4826">
        <v>1.110047</v>
      </c>
      <c r="L4826">
        <v>17.234559999999998</v>
      </c>
      <c r="M4826">
        <v>0.99899939999999998</v>
      </c>
      <c r="N4826">
        <v>-1.143958E-2</v>
      </c>
      <c r="O4826">
        <v>-4.3236209999999997E-2</v>
      </c>
      <c r="P4826">
        <v>0.91860869999999994</v>
      </c>
      <c r="Q4826">
        <v>0.37541059999999998</v>
      </c>
      <c r="R4826">
        <v>-0.1233892</v>
      </c>
      <c r="S4826">
        <v>3.4172669999999998</v>
      </c>
      <c r="T4826">
        <v>-0.29024850000000002</v>
      </c>
      <c r="U4826">
        <v>0.2015381</v>
      </c>
      <c r="V4826">
        <v>8.4409979999999996E-2</v>
      </c>
      <c r="W4826">
        <v>0.38575979999999999</v>
      </c>
      <c r="X4826">
        <v>0.91872969999999998</v>
      </c>
      <c r="Y4826">
        <v>-0.1014533</v>
      </c>
      <c r="Z4826">
        <v>8.0485160000000004E-3</v>
      </c>
      <c r="AA4826">
        <v>0.99480769999999996</v>
      </c>
      <c r="AB4826">
        <v>24</v>
      </c>
      <c r="AC4826">
        <v>13.535599999999899</v>
      </c>
      <c r="AD4826">
        <v>-1.1600469999999901</v>
      </c>
      <c r="AE4826">
        <v>0.81150999999999796</v>
      </c>
      <c r="AF4826">
        <v>-1.3858744781088099</v>
      </c>
      <c r="AG4826">
        <v>-1.1600469999999901</v>
      </c>
      <c r="AH4826">
        <v>13.3898547700982</v>
      </c>
      <c r="AI4826">
        <v>94.925347578161094</v>
      </c>
      <c r="AJ4826">
        <v>95.909177059260699</v>
      </c>
      <c r="AK4826">
        <v>13.5112755828458</v>
      </c>
      <c r="AL4826">
        <v>67.309081482115801</v>
      </c>
      <c r="AM4826">
        <v>84.750582562052799</v>
      </c>
      <c r="AN4826">
        <v>0.99999996484086395</v>
      </c>
    </row>
    <row r="4827" spans="1:40" x14ac:dyDescent="0.25">
      <c r="A4827" t="str">
        <f>"20190304164742256"</f>
        <v>20190304164742256</v>
      </c>
      <c r="B4827" t="str">
        <f>"1551689262244554"</f>
        <v>1551689262244554</v>
      </c>
      <c r="C4827" t="s">
        <v>40</v>
      </c>
      <c r="D4827">
        <v>4.4090230000000004</v>
      </c>
      <c r="E4827">
        <v>0.4303266</v>
      </c>
      <c r="F4827" t="s">
        <v>43</v>
      </c>
      <c r="G4827">
        <v>-312.90890000000002</v>
      </c>
      <c r="H4827">
        <v>-0.05</v>
      </c>
      <c r="I4827">
        <v>18.071490000000001</v>
      </c>
      <c r="J4827">
        <v>-326.16430000000003</v>
      </c>
      <c r="K4827">
        <v>1.1100129999999999</v>
      </c>
      <c r="L4827">
        <v>17.228939999999898</v>
      </c>
      <c r="M4827">
        <v>0.99897060000000004</v>
      </c>
      <c r="N4827">
        <v>-1.139856E-2</v>
      </c>
      <c r="O4827">
        <v>-4.3908009999999997E-2</v>
      </c>
      <c r="P4827">
        <v>0.91980139999999999</v>
      </c>
      <c r="Q4827">
        <v>0.3740636</v>
      </c>
      <c r="R4827">
        <v>-0.1184988</v>
      </c>
      <c r="S4827">
        <v>3.4156490000000002</v>
      </c>
      <c r="T4827">
        <v>-0.2963575</v>
      </c>
      <c r="U4827">
        <v>0.2138062</v>
      </c>
      <c r="V4827">
        <v>7.8873479999999996E-2</v>
      </c>
      <c r="W4827">
        <v>0.38439380000000001</v>
      </c>
      <c r="X4827">
        <v>0.91979370000000005</v>
      </c>
      <c r="Y4827">
        <v>-0.1056666</v>
      </c>
      <c r="Z4827">
        <v>8.4751759999999992E-3</v>
      </c>
      <c r="AA4827">
        <v>0.99436550000000001</v>
      </c>
      <c r="AB4827">
        <v>24</v>
      </c>
      <c r="AC4827">
        <v>13.2554</v>
      </c>
      <c r="AD4827">
        <v>-1.160013</v>
      </c>
      <c r="AE4827">
        <v>0.84255000000000202</v>
      </c>
      <c r="AF4827">
        <v>-1.41301539975593</v>
      </c>
      <c r="AG4827">
        <v>-1.160013</v>
      </c>
      <c r="AH4827">
        <v>13.1056525392917</v>
      </c>
      <c r="AI4827">
        <v>95.029210129484298</v>
      </c>
      <c r="AJ4827">
        <v>96.153702089398493</v>
      </c>
      <c r="AK4827">
        <v>13.2325496848022</v>
      </c>
      <c r="AL4827">
        <v>67.393889049828601</v>
      </c>
      <c r="AM4827">
        <v>85.098803835235103</v>
      </c>
      <c r="AN4827">
        <v>1.0000000349427101</v>
      </c>
    </row>
    <row r="4828" spans="1:40" x14ac:dyDescent="0.25">
      <c r="A4828" t="str">
        <f>"20190304164742267"</f>
        <v>20190304164742267</v>
      </c>
      <c r="B4828" t="str">
        <f>"1551689262264321"</f>
        <v>1551689262264321</v>
      </c>
      <c r="C4828" t="s">
        <v>40</v>
      </c>
      <c r="D4828">
        <v>4.43025</v>
      </c>
      <c r="E4828">
        <v>0.430618</v>
      </c>
      <c r="F4828" t="s">
        <v>43</v>
      </c>
      <c r="G4828">
        <v>-313.03460000000001</v>
      </c>
      <c r="H4828">
        <v>-0.05</v>
      </c>
      <c r="I4828">
        <v>18.110659999999999</v>
      </c>
      <c r="J4828">
        <v>-326.03480000000002</v>
      </c>
      <c r="K4828">
        <v>1.1099749999999999</v>
      </c>
      <c r="L4828">
        <v>17.22241</v>
      </c>
      <c r="M4828">
        <v>0.99893589999999999</v>
      </c>
      <c r="N4828">
        <v>-1.1353739999999999E-2</v>
      </c>
      <c r="O4828">
        <v>-4.4703699999999999E-2</v>
      </c>
      <c r="P4828">
        <v>0.92086880000000004</v>
      </c>
      <c r="Q4828">
        <v>0.37297839999999999</v>
      </c>
      <c r="R4828">
        <v>-0.11352470000000001</v>
      </c>
      <c r="S4828">
        <v>3.4137270000000002</v>
      </c>
      <c r="T4828">
        <v>-0.30160379999999998</v>
      </c>
      <c r="U4828">
        <v>0.22924800000000001</v>
      </c>
      <c r="V4828">
        <v>7.3147649999999995E-2</v>
      </c>
      <c r="W4828">
        <v>0.38328519999999999</v>
      </c>
      <c r="X4828">
        <v>0.92072900000000002</v>
      </c>
      <c r="Y4828">
        <v>-0.1109251</v>
      </c>
      <c r="Z4828">
        <v>8.948859E-3</v>
      </c>
      <c r="AA4828">
        <v>0.99378849999999996</v>
      </c>
      <c r="AB4828">
        <v>24</v>
      </c>
      <c r="AC4828">
        <v>13.0002</v>
      </c>
      <c r="AD4828">
        <v>-1.159975</v>
      </c>
      <c r="AE4828">
        <v>0.88824999999999898</v>
      </c>
      <c r="AF4828">
        <v>-1.45701017415596</v>
      </c>
      <c r="AG4828">
        <v>-1.159975</v>
      </c>
      <c r="AH4828">
        <v>12.845694967976501</v>
      </c>
      <c r="AI4828">
        <v>95.1271552685985</v>
      </c>
      <c r="AJ4828">
        <v>96.471061285787997</v>
      </c>
      <c r="AK4828">
        <v>12.979996142469201</v>
      </c>
      <c r="AL4828">
        <v>67.462675610718804</v>
      </c>
      <c r="AM4828">
        <v>85.457656377346197</v>
      </c>
      <c r="AN4828">
        <v>1.0000000073402799</v>
      </c>
    </row>
    <row r="4829" spans="1:40" x14ac:dyDescent="0.25">
      <c r="A4829" t="str">
        <f>"20190304164742280"</f>
        <v>20190304164742280</v>
      </c>
      <c r="B4829" t="str">
        <f>"1551689262274083"</f>
        <v>1551689262274083</v>
      </c>
      <c r="C4829" t="s">
        <v>40</v>
      </c>
      <c r="D4829">
        <v>4.4206000000000003</v>
      </c>
      <c r="E4829">
        <v>0.43082140000000002</v>
      </c>
      <c r="F4829" t="s">
        <v>43</v>
      </c>
      <c r="G4829">
        <v>-313.0641</v>
      </c>
      <c r="H4829">
        <v>-0.05</v>
      </c>
      <c r="I4829">
        <v>18.149190000000001</v>
      </c>
      <c r="J4829">
        <v>-325.8965</v>
      </c>
      <c r="K4829">
        <v>1.109936</v>
      </c>
      <c r="L4829">
        <v>17.215299999999999</v>
      </c>
      <c r="M4829">
        <v>0.99889680000000003</v>
      </c>
      <c r="N4829">
        <v>-1.1306999999999999E-2</v>
      </c>
      <c r="O4829">
        <v>-4.5576419999999999E-2</v>
      </c>
      <c r="P4829">
        <v>0.92175949999999995</v>
      </c>
      <c r="Q4829">
        <v>0.37243300000000001</v>
      </c>
      <c r="R4829">
        <v>-0.10794769999999899</v>
      </c>
      <c r="S4829">
        <v>3.4114070000000001</v>
      </c>
      <c r="T4829">
        <v>-0.30508200000000002</v>
      </c>
      <c r="U4829">
        <v>0.24374390000000001</v>
      </c>
      <c r="V4829">
        <v>6.6757750000000005E-2</v>
      </c>
      <c r="W4829">
        <v>0.38271430000000001</v>
      </c>
      <c r="X4829">
        <v>0.92145169999999998</v>
      </c>
      <c r="Y4829">
        <v>-0.11599959999999999</v>
      </c>
      <c r="Z4829">
        <v>9.3776580000000005E-3</v>
      </c>
      <c r="AA4829">
        <v>0.993205</v>
      </c>
      <c r="AB4829">
        <v>24</v>
      </c>
      <c r="AC4829">
        <v>12.8324</v>
      </c>
      <c r="AD4829">
        <v>-1.1599360000000001</v>
      </c>
      <c r="AE4829">
        <v>0.933890000000001</v>
      </c>
      <c r="AF4829">
        <v>-1.50557511153523</v>
      </c>
      <c r="AG4829">
        <v>-1.1599360000000001</v>
      </c>
      <c r="AH4829">
        <v>12.6734933803861</v>
      </c>
      <c r="AI4829">
        <v>95.193087840150397</v>
      </c>
      <c r="AJ4829">
        <v>96.774824851002094</v>
      </c>
      <c r="AK4829">
        <v>12.815211367872999</v>
      </c>
      <c r="AL4829">
        <v>67.498086491414199</v>
      </c>
      <c r="AM4829">
        <v>85.856249178813997</v>
      </c>
      <c r="AN4829">
        <v>1.0000000340212201</v>
      </c>
    </row>
    <row r="4830" spans="1:40" x14ac:dyDescent="0.25">
      <c r="A4830" t="str">
        <f>"20190304164742292"</f>
        <v>20190304164742292</v>
      </c>
      <c r="B4830" t="str">
        <f>"1551689262283842"</f>
        <v>1551689262283842</v>
      </c>
      <c r="C4830" t="s">
        <v>40</v>
      </c>
      <c r="D4830">
        <v>4.421119</v>
      </c>
      <c r="E4830">
        <v>0.43119859999999999</v>
      </c>
      <c r="F4830" t="s">
        <v>43</v>
      </c>
      <c r="G4830">
        <v>-313.03100000000001</v>
      </c>
      <c r="H4830">
        <v>-0.05</v>
      </c>
      <c r="I4830">
        <v>18.19821</v>
      </c>
      <c r="J4830">
        <v>-325.7645</v>
      </c>
      <c r="K4830">
        <v>1.1098980000000001</v>
      </c>
      <c r="L4830">
        <v>17.20844</v>
      </c>
      <c r="M4830">
        <v>0.99885820000000003</v>
      </c>
      <c r="N4830">
        <v>-1.126334E-2</v>
      </c>
      <c r="O4830">
        <v>-4.6430069999999997E-2</v>
      </c>
      <c r="P4830">
        <v>0.92241309999999999</v>
      </c>
      <c r="Q4830">
        <v>0.37243609999999999</v>
      </c>
      <c r="R4830">
        <v>-0.10220559999999999</v>
      </c>
      <c r="S4830">
        <v>3.4093019999999998</v>
      </c>
      <c r="T4830">
        <v>-0.30737730000000002</v>
      </c>
      <c r="U4830">
        <v>0.26046750000000002</v>
      </c>
      <c r="V4830">
        <v>6.0229659999999997E-2</v>
      </c>
      <c r="W4830">
        <v>0.38269310000000001</v>
      </c>
      <c r="X4830">
        <v>0.92191020000000001</v>
      </c>
      <c r="Y4830">
        <v>-0.1216966</v>
      </c>
      <c r="Z4830">
        <v>9.8059559999999994E-3</v>
      </c>
      <c r="AA4830">
        <v>0.99251889999999998</v>
      </c>
      <c r="AB4830">
        <v>24</v>
      </c>
      <c r="AC4830">
        <v>12.7334999999999</v>
      </c>
      <c r="AD4830">
        <v>-1.1598979999999901</v>
      </c>
      <c r="AE4830">
        <v>0.98977000000000004</v>
      </c>
      <c r="AF4830">
        <v>-1.5670328768527999</v>
      </c>
      <c r="AG4830">
        <v>-1.1598979999999901</v>
      </c>
      <c r="AH4830">
        <v>12.570134203080499</v>
      </c>
      <c r="AI4830">
        <v>95.2317195389153</v>
      </c>
      <c r="AJ4830">
        <v>97.106013978940993</v>
      </c>
      <c r="AK4830">
        <v>12.720425672555001</v>
      </c>
      <c r="AL4830">
        <v>67.499400891906006</v>
      </c>
      <c r="AM4830">
        <v>86.262099985526802</v>
      </c>
      <c r="AN4830">
        <v>1.0000000187976801</v>
      </c>
    </row>
    <row r="4831" spans="1:40" x14ac:dyDescent="0.25">
      <c r="A4831" t="str">
        <f>"20190304164742317"</f>
        <v>20190304164742317</v>
      </c>
      <c r="B4831" t="str">
        <f>"1551689262314098"</f>
        <v>1551689262314098</v>
      </c>
      <c r="C4831" t="s">
        <v>40</v>
      </c>
      <c r="D4831">
        <v>4.5504419999999897</v>
      </c>
      <c r="E4831">
        <v>0.44481169999999998</v>
      </c>
      <c r="F4831" t="s">
        <v>43</v>
      </c>
      <c r="G4831">
        <v>-312.88990000000001</v>
      </c>
      <c r="H4831">
        <v>-0.05</v>
      </c>
      <c r="I4831">
        <v>18.25591</v>
      </c>
      <c r="J4831">
        <v>-325.52019999999999</v>
      </c>
      <c r="K4831">
        <v>1.1098269999999999</v>
      </c>
      <c r="L4831">
        <v>17.195250000000001</v>
      </c>
      <c r="M4831">
        <v>0.99878009999999995</v>
      </c>
      <c r="N4831">
        <v>-1.118949E-2</v>
      </c>
      <c r="O4831">
        <v>-4.809853E-2</v>
      </c>
      <c r="P4831">
        <v>0.92388079999999995</v>
      </c>
      <c r="Q4831">
        <v>0.37210919999999997</v>
      </c>
      <c r="R4831">
        <v>-8.9326970000000006E-2</v>
      </c>
      <c r="S4831">
        <v>3.4070130000000001</v>
      </c>
      <c r="T4831">
        <v>-0.3069443</v>
      </c>
      <c r="U4831">
        <v>0.27719120000000003</v>
      </c>
      <c r="V4831">
        <v>4.5804030000000003E-2</v>
      </c>
      <c r="W4831">
        <v>0.38233889999999998</v>
      </c>
      <c r="X4831">
        <v>0.92288619999999999</v>
      </c>
      <c r="Y4831">
        <v>-0.12821080000000001</v>
      </c>
      <c r="Z4831">
        <v>1.0256410000000001E-2</v>
      </c>
      <c r="AA4831">
        <v>0.99169390000000002</v>
      </c>
      <c r="AB4831">
        <v>24</v>
      </c>
      <c r="AC4831">
        <v>12.630299999999901</v>
      </c>
      <c r="AD4831">
        <v>-1.1598269999999999</v>
      </c>
      <c r="AE4831">
        <v>1.0606599999999899</v>
      </c>
      <c r="AF4831">
        <v>-1.65312656444573</v>
      </c>
      <c r="AG4831">
        <v>-1.1598269999999999</v>
      </c>
      <c r="AH4831">
        <v>12.460323898275499</v>
      </c>
      <c r="AI4831">
        <v>95.271929120482795</v>
      </c>
      <c r="AJ4831">
        <v>97.557367347970299</v>
      </c>
      <c r="AK4831">
        <v>12.6229036975627</v>
      </c>
      <c r="AL4831">
        <v>67.521364827484703</v>
      </c>
      <c r="AM4831">
        <v>87.158668168045196</v>
      </c>
      <c r="AN4831">
        <v>0.99999999088394498</v>
      </c>
    </row>
    <row r="4832" spans="1:40" x14ac:dyDescent="0.25">
      <c r="A4832" t="str">
        <f>"20190304164742333"</f>
        <v>20190304164742333</v>
      </c>
      <c r="B4832" t="str">
        <f>"1551689262323858"</f>
        <v>1551689262323858</v>
      </c>
      <c r="C4832" t="s">
        <v>40</v>
      </c>
      <c r="D4832">
        <v>4.6116190000000001</v>
      </c>
      <c r="E4832">
        <v>0.3952427</v>
      </c>
      <c r="F4832" t="s">
        <v>43</v>
      </c>
      <c r="G4832">
        <v>-312.50069999999999</v>
      </c>
      <c r="H4832">
        <v>-0.05</v>
      </c>
      <c r="I4832">
        <v>18.015910000000002</v>
      </c>
      <c r="J4832">
        <v>-325.32709999999997</v>
      </c>
      <c r="K4832">
        <v>1.1097589999999999</v>
      </c>
      <c r="L4832">
        <v>17.184539999999998</v>
      </c>
      <c r="M4832">
        <v>0.9987125</v>
      </c>
      <c r="N4832">
        <v>-1.113768E-2</v>
      </c>
      <c r="O4832">
        <v>-4.949166E-2</v>
      </c>
      <c r="P4832">
        <v>0.925979</v>
      </c>
      <c r="Q4832">
        <v>0.37039569999999999</v>
      </c>
      <c r="R4832">
        <v>-7.3281789999999999E-2</v>
      </c>
      <c r="S4832">
        <v>3.389465</v>
      </c>
      <c r="T4832">
        <v>-0.30194710000000002</v>
      </c>
      <c r="U4832">
        <v>0.2136536</v>
      </c>
      <c r="V4832">
        <v>2.8426650000000001E-2</v>
      </c>
      <c r="W4832">
        <v>0.38063540000000001</v>
      </c>
      <c r="X4832">
        <v>0.9242882</v>
      </c>
      <c r="Y4832">
        <v>-0.111584</v>
      </c>
      <c r="Z4832">
        <v>9.4253960000000008E-3</v>
      </c>
      <c r="AA4832">
        <v>0.99371030000000005</v>
      </c>
      <c r="AB4832">
        <v>24</v>
      </c>
      <c r="AC4832">
        <v>12.8263999999999</v>
      </c>
      <c r="AD4832">
        <v>-1.159759</v>
      </c>
      <c r="AE4832">
        <v>0.83137000000000305</v>
      </c>
      <c r="AF4832">
        <v>-1.4533576911852299</v>
      </c>
      <c r="AG4832">
        <v>-1.159759</v>
      </c>
      <c r="AH4832">
        <v>12.666407603019801</v>
      </c>
      <c r="AI4832">
        <v>95.197603214087394</v>
      </c>
      <c r="AJ4832">
        <v>96.545556379452407</v>
      </c>
      <c r="AK4832">
        <v>12.8021549390111</v>
      </c>
      <c r="AL4832">
        <v>67.626954347780895</v>
      </c>
      <c r="AM4832">
        <v>88.238413262707098</v>
      </c>
      <c r="AN4832">
        <v>1.0000000294113101</v>
      </c>
    </row>
    <row r="4833" spans="1:40" x14ac:dyDescent="0.25">
      <c r="A4833" t="str">
        <f>"20190304164742346"</f>
        <v>20190304164742346</v>
      </c>
      <c r="B4833" t="str">
        <f>"1551689262344353"</f>
        <v>1551689262344353</v>
      </c>
      <c r="C4833" t="s">
        <v>40</v>
      </c>
      <c r="D4833">
        <v>4.5464589999999996</v>
      </c>
      <c r="E4833">
        <v>0.37907220000000003</v>
      </c>
      <c r="F4833" t="s">
        <v>43</v>
      </c>
      <c r="G4833">
        <v>-308.30619999999999</v>
      </c>
      <c r="H4833">
        <v>-0.05</v>
      </c>
      <c r="I4833">
        <v>20.525089999999999</v>
      </c>
      <c r="J4833">
        <v>-325.19470000000001</v>
      </c>
      <c r="K4833">
        <v>1.1097030000000001</v>
      </c>
      <c r="L4833">
        <v>17.176909999999999</v>
      </c>
      <c r="M4833">
        <v>0.99866290000000002</v>
      </c>
      <c r="N4833">
        <v>-1.1106380000000001E-2</v>
      </c>
      <c r="O4833">
        <v>-5.0491019999999998E-2</v>
      </c>
      <c r="P4833">
        <v>0.92711049999999995</v>
      </c>
      <c r="Q4833">
        <v>0.36921330000000002</v>
      </c>
      <c r="R4833">
        <v>-6.4404290000000003E-2</v>
      </c>
      <c r="S4833">
        <v>3.3846440000000002</v>
      </c>
      <c r="T4833">
        <v>-0.23062160000000001</v>
      </c>
      <c r="U4833">
        <v>0.66427609999999904</v>
      </c>
      <c r="V4833">
        <v>1.8604450000000002E-2</v>
      </c>
      <c r="W4833">
        <v>0.37945810000000002</v>
      </c>
      <c r="X4833">
        <v>0.92502180000000001</v>
      </c>
      <c r="Y4833">
        <v>-0.24118139999999999</v>
      </c>
      <c r="Z4833">
        <v>1.2336369999999999E-2</v>
      </c>
      <c r="AA4833">
        <v>0.97040159999999998</v>
      </c>
      <c r="AB4833">
        <v>24</v>
      </c>
      <c r="AC4833">
        <v>16.888500000000001</v>
      </c>
      <c r="AD4833">
        <v>-1.1597029999999999</v>
      </c>
      <c r="AE4833">
        <v>3.3481800000000002</v>
      </c>
      <c r="AF4833">
        <v>-4.1777246483471204</v>
      </c>
      <c r="AG4833">
        <v>-1.1597029999999999</v>
      </c>
      <c r="AH4833">
        <v>16.6224767018657</v>
      </c>
      <c r="AI4833">
        <v>93.870896310670204</v>
      </c>
      <c r="AJ4833">
        <v>104.107933978172</v>
      </c>
      <c r="AK4833">
        <v>17.178621190004801</v>
      </c>
      <c r="AL4833">
        <v>67.699878723654706</v>
      </c>
      <c r="AM4833">
        <v>88.847797133145093</v>
      </c>
      <c r="AN4833">
        <v>0.99999995284532495</v>
      </c>
    </row>
    <row r="4834" spans="1:40" x14ac:dyDescent="0.25">
      <c r="A4834" t="str">
        <f>"20190304164742367"</f>
        <v>20190304164742367</v>
      </c>
      <c r="B4834" t="str">
        <f>"1551689262364197"</f>
        <v>1551689262364197</v>
      </c>
      <c r="C4834" t="s">
        <v>40</v>
      </c>
      <c r="D4834">
        <v>4.4928299999999997</v>
      </c>
      <c r="E4834">
        <v>0.2866223</v>
      </c>
      <c r="F4834" t="s">
        <v>43</v>
      </c>
      <c r="G4834">
        <v>-308.21710000000002</v>
      </c>
      <c r="H4834">
        <v>-0.05</v>
      </c>
      <c r="I4834">
        <v>21.31523</v>
      </c>
      <c r="J4834">
        <v>-324.97179999999997</v>
      </c>
      <c r="K4834">
        <v>1.1096189999999999</v>
      </c>
      <c r="L4834">
        <v>17.163789999999999</v>
      </c>
      <c r="M4834">
        <v>0.99857340000000006</v>
      </c>
      <c r="N4834">
        <v>-1.1057279999999999E-2</v>
      </c>
      <c r="O4834">
        <v>-5.2239899999999999E-2</v>
      </c>
      <c r="P4834">
        <v>0.92925420000000003</v>
      </c>
      <c r="Q4834">
        <v>0.36640509999999998</v>
      </c>
      <c r="R4834">
        <v>-4.7265410000000001E-2</v>
      </c>
      <c r="S4834">
        <v>3.3852839999999902</v>
      </c>
      <c r="T4834">
        <v>-0.2312409</v>
      </c>
      <c r="U4834">
        <v>0.82516480000000003</v>
      </c>
      <c r="V4834">
        <v>-1.959605E-4</v>
      </c>
      <c r="W4834">
        <v>0.37667349999999999</v>
      </c>
      <c r="X4834">
        <v>0.92634609999999995</v>
      </c>
      <c r="Y4834">
        <v>-0.28643049999999998</v>
      </c>
      <c r="Z4834">
        <v>1.4188549999999999E-2</v>
      </c>
      <c r="AA4834">
        <v>0.95799599999999996</v>
      </c>
      <c r="AB4834">
        <v>24</v>
      </c>
      <c r="AC4834">
        <v>16.7546999999999</v>
      </c>
      <c r="AD4834">
        <v>-1.159619</v>
      </c>
      <c r="AE4834">
        <v>4.15144</v>
      </c>
      <c r="AF4834">
        <v>-4.9985289351200297</v>
      </c>
      <c r="AG4834">
        <v>-1.159619</v>
      </c>
      <c r="AH4834">
        <v>16.440735993691</v>
      </c>
      <c r="AI4834">
        <v>93.860652436976096</v>
      </c>
      <c r="AJ4834">
        <v>106.91101105095299</v>
      </c>
      <c r="AK4834">
        <v>17.2228861621576</v>
      </c>
      <c r="AL4834">
        <v>67.8722175307675</v>
      </c>
      <c r="AM4834">
        <v>90.012120426084493</v>
      </c>
      <c r="AN4834">
        <v>1.00000003049398</v>
      </c>
    </row>
    <row r="4835" spans="1:40" x14ac:dyDescent="0.25">
      <c r="A4835" t="str">
        <f>"20190304164742379"</f>
        <v>20190304164742379</v>
      </c>
      <c r="B4835" t="str">
        <f>"1551689262373957"</f>
        <v>1551689262373957</v>
      </c>
      <c r="C4835" t="s">
        <v>40</v>
      </c>
      <c r="D4835">
        <v>4.4872670000000001</v>
      </c>
      <c r="E4835">
        <v>0.28529910000000003</v>
      </c>
      <c r="F4835" t="s">
        <v>43</v>
      </c>
      <c r="G4835">
        <v>-298.05369999999999</v>
      </c>
      <c r="H4835">
        <v>-0.05</v>
      </c>
      <c r="I4835">
        <v>30.121590000000001</v>
      </c>
      <c r="J4835">
        <v>-324.8338</v>
      </c>
      <c r="K4835">
        <v>1.1095649999999999</v>
      </c>
      <c r="L4835">
        <v>17.1554</v>
      </c>
      <c r="M4835">
        <v>0.99851380000000001</v>
      </c>
      <c r="N4835">
        <v>-1.102993E-2</v>
      </c>
      <c r="O4835">
        <v>-5.3375609999999997E-2</v>
      </c>
      <c r="P4835">
        <v>0.92988470000000001</v>
      </c>
      <c r="Q4835">
        <v>0.36570780000000003</v>
      </c>
      <c r="R4835">
        <v>-3.9658060000000002E-2</v>
      </c>
      <c r="S4835">
        <v>3.368042</v>
      </c>
      <c r="T4835">
        <v>-0.145094</v>
      </c>
      <c r="U4835">
        <v>1.6213070000000001</v>
      </c>
      <c r="V4835">
        <v>-8.8433390000000004E-3</v>
      </c>
      <c r="W4835">
        <v>0.3759808</v>
      </c>
      <c r="X4835">
        <v>0.92658529999999995</v>
      </c>
      <c r="Y4835">
        <v>-0.4807227</v>
      </c>
      <c r="Z4835">
        <v>1.42308E-2</v>
      </c>
      <c r="AA4835">
        <v>0.87675720000000001</v>
      </c>
      <c r="AB4835">
        <v>24</v>
      </c>
      <c r="AC4835">
        <v>26.780100000000001</v>
      </c>
      <c r="AD4835">
        <v>-1.159565</v>
      </c>
      <c r="AE4835">
        <v>12.966189999999999</v>
      </c>
      <c r="AF4835">
        <v>-14.355392331829901</v>
      </c>
      <c r="AG4835">
        <v>-1.159565</v>
      </c>
      <c r="AH4835">
        <v>26.0102956975669</v>
      </c>
      <c r="AI4835">
        <v>92.2351786198968</v>
      </c>
      <c r="AJ4835">
        <v>118.894829601598</v>
      </c>
      <c r="AK4835">
        <v>29.731420454879999</v>
      </c>
      <c r="AL4835">
        <v>67.915055745828198</v>
      </c>
      <c r="AM4835">
        <v>90.546814867434094</v>
      </c>
      <c r="AN4835">
        <v>1.00000004239469</v>
      </c>
    </row>
    <row r="4836" spans="1:40" x14ac:dyDescent="0.25">
      <c r="A4836" t="str">
        <f>"20190304164742391"</f>
        <v>20190304164742391</v>
      </c>
      <c r="B4836" t="str">
        <f>"1551689262383717"</f>
        <v>1551689262383717</v>
      </c>
      <c r="C4836" t="s">
        <v>40</v>
      </c>
      <c r="D4836">
        <v>4.4755710000000004</v>
      </c>
      <c r="E4836">
        <v>0.28519250000000002</v>
      </c>
      <c r="F4836" t="s">
        <v>43</v>
      </c>
      <c r="G4836">
        <v>-297.5478</v>
      </c>
      <c r="H4836">
        <v>-0.05</v>
      </c>
      <c r="I4836">
        <v>30.65737</v>
      </c>
      <c r="J4836">
        <v>-324.7011</v>
      </c>
      <c r="K4836">
        <v>1.1095139999999999</v>
      </c>
      <c r="L4836">
        <v>17.147189999999998</v>
      </c>
      <c r="M4836">
        <v>0.99845300000000003</v>
      </c>
      <c r="N4836">
        <v>-1.100552E-2</v>
      </c>
      <c r="O4836">
        <v>-5.450398E-2</v>
      </c>
      <c r="P4836">
        <v>0.93012320000000004</v>
      </c>
      <c r="Q4836">
        <v>0.36579859999999997</v>
      </c>
      <c r="R4836">
        <v>-3.2600270000000001E-2</v>
      </c>
      <c r="S4836">
        <v>3.3530269999999902</v>
      </c>
      <c r="T4836">
        <v>-0.14249229999999999</v>
      </c>
      <c r="U4836">
        <v>1.6591800000000001</v>
      </c>
      <c r="V4836">
        <v>-1.6911349999999999E-2</v>
      </c>
      <c r="W4836">
        <v>0.37607479999999999</v>
      </c>
      <c r="X4836">
        <v>0.92643489999999995</v>
      </c>
      <c r="Y4836">
        <v>-0.49120649999999899</v>
      </c>
      <c r="Z4836">
        <v>1.4344630000000001E-2</v>
      </c>
      <c r="AA4836">
        <v>0.87092510000000001</v>
      </c>
      <c r="AB4836">
        <v>24</v>
      </c>
      <c r="AC4836">
        <v>27.153300000000002</v>
      </c>
      <c r="AD4836">
        <v>-1.1595139999999999</v>
      </c>
      <c r="AE4836">
        <v>13.51018</v>
      </c>
      <c r="AF4836">
        <v>-14.9482985046055</v>
      </c>
      <c r="AG4836">
        <v>-1.1595139999999999</v>
      </c>
      <c r="AH4836">
        <v>26.338032859718702</v>
      </c>
      <c r="AI4836">
        <v>92.192642750196796</v>
      </c>
      <c r="AJ4836">
        <v>119.577320813976</v>
      </c>
      <c r="AK4836">
        <v>30.306568195996899</v>
      </c>
      <c r="AL4836">
        <v>67.909240898807397</v>
      </c>
      <c r="AM4836">
        <v>91.045773835870804</v>
      </c>
      <c r="AN4836">
        <v>0.99999993644593399</v>
      </c>
    </row>
    <row r="4837" spans="1:40" x14ac:dyDescent="0.25">
      <c r="A4837" t="str">
        <f>"20190304164742404"</f>
        <v>20190304164742404</v>
      </c>
      <c r="B4837" t="str">
        <f>"1551689262394454"</f>
        <v>1551689262394454</v>
      </c>
      <c r="C4837" t="s">
        <v>40</v>
      </c>
      <c r="D4837">
        <v>4.3574270000000004</v>
      </c>
      <c r="E4837">
        <v>0.28477629999999998</v>
      </c>
      <c r="F4837" t="s">
        <v>43</v>
      </c>
      <c r="G4837">
        <v>-296.76319999999998</v>
      </c>
      <c r="H4837">
        <v>-0.05</v>
      </c>
      <c r="I4837">
        <v>31.253499999999999</v>
      </c>
      <c r="J4837">
        <v>-324.57769999999999</v>
      </c>
      <c r="K4837">
        <v>1.1094649999999999</v>
      </c>
      <c r="L4837">
        <v>17.139279999999999</v>
      </c>
      <c r="M4837">
        <v>0.99839239999999996</v>
      </c>
      <c r="N4837">
        <v>-1.0985470000000001E-2</v>
      </c>
      <c r="O4837">
        <v>-5.5606999999999997E-2</v>
      </c>
      <c r="P4837">
        <v>0.93016480000000001</v>
      </c>
      <c r="Q4837">
        <v>0.36621949999999998</v>
      </c>
      <c r="R4837">
        <v>-2.602604E-2</v>
      </c>
      <c r="S4837">
        <v>3.3389890000000002</v>
      </c>
      <c r="T4837">
        <v>-0.13857910000000001</v>
      </c>
      <c r="U4837">
        <v>1.685913</v>
      </c>
      <c r="V4837">
        <v>-2.4459330000000001E-2</v>
      </c>
      <c r="W4837">
        <v>0.37650119999999998</v>
      </c>
      <c r="X4837">
        <v>0.92609319999999895</v>
      </c>
      <c r="Y4837">
        <v>-0.49919089999999999</v>
      </c>
      <c r="Z4837">
        <v>1.42752E-2</v>
      </c>
      <c r="AA4837">
        <v>0.86637439999999999</v>
      </c>
      <c r="AB4837">
        <v>24</v>
      </c>
      <c r="AC4837">
        <v>27.814499999999999</v>
      </c>
      <c r="AD4837">
        <v>-1.159465</v>
      </c>
      <c r="AE4837">
        <v>14.11422</v>
      </c>
      <c r="AF4837">
        <v>-15.617571595503</v>
      </c>
      <c r="AG4837">
        <v>-1.159465</v>
      </c>
      <c r="AH4837">
        <v>26.9493213025439</v>
      </c>
      <c r="AI4837">
        <v>92.1318413330292</v>
      </c>
      <c r="AJ4837">
        <v>120.092992015532</v>
      </c>
      <c r="AK4837">
        <v>31.169196657832501</v>
      </c>
      <c r="AL4837">
        <v>67.882873729684604</v>
      </c>
      <c r="AM4837">
        <v>91.512904596514502</v>
      </c>
      <c r="AN4837">
        <v>1.00000001375586</v>
      </c>
    </row>
    <row r="4838" spans="1:40" x14ac:dyDescent="0.25">
      <c r="A4838" t="str">
        <f>"20190304164742416"</f>
        <v>20190304164742416</v>
      </c>
      <c r="B4838" t="str">
        <f>"1551689262413974"</f>
        <v>1551689262413974</v>
      </c>
      <c r="C4838" t="s">
        <v>40</v>
      </c>
      <c r="D4838">
        <v>4.2965609999999996</v>
      </c>
      <c r="E4838">
        <v>0.28679280000000001</v>
      </c>
      <c r="F4838" t="s">
        <v>43</v>
      </c>
      <c r="G4838">
        <v>-292.84530000000001</v>
      </c>
      <c r="H4838">
        <v>-0.05</v>
      </c>
      <c r="I4838">
        <v>33.496699999999997</v>
      </c>
      <c r="J4838">
        <v>-324.43950000000001</v>
      </c>
      <c r="K4838">
        <v>1.1094029999999999</v>
      </c>
      <c r="L4838">
        <v>17.130279999999999</v>
      </c>
      <c r="M4838">
        <v>0.99832149999999997</v>
      </c>
      <c r="N4838">
        <v>-1.0964109999999999E-2</v>
      </c>
      <c r="O4838">
        <v>-5.6869660000000002E-2</v>
      </c>
      <c r="P4838">
        <v>0.93015689999999995</v>
      </c>
      <c r="Q4838">
        <v>0.36663600000000002</v>
      </c>
      <c r="R4838">
        <v>-1.9657419999999998E-2</v>
      </c>
      <c r="S4838">
        <v>3.3208920000000002</v>
      </c>
      <c r="T4838">
        <v>-0.1213415</v>
      </c>
      <c r="U4838">
        <v>1.7118529999999901</v>
      </c>
      <c r="V4838">
        <v>-3.1939769999999999E-2</v>
      </c>
      <c r="W4838">
        <v>0.37692350000000002</v>
      </c>
      <c r="X4838">
        <v>0.92569349999999995</v>
      </c>
      <c r="Y4838">
        <v>-0.5076157</v>
      </c>
      <c r="Z4838">
        <v>1.3049740000000001E-2</v>
      </c>
      <c r="AA4838">
        <v>0.86148480000000005</v>
      </c>
      <c r="AB4838">
        <v>24</v>
      </c>
      <c r="AC4838">
        <v>31.594200000000001</v>
      </c>
      <c r="AD4838">
        <v>-1.159403</v>
      </c>
      <c r="AE4838">
        <v>16.366419999999898</v>
      </c>
      <c r="AF4838">
        <v>-18.117552763886899</v>
      </c>
      <c r="AG4838">
        <v>-1.159403</v>
      </c>
      <c r="AH4838">
        <v>30.5797858728106</v>
      </c>
      <c r="AI4838">
        <v>91.868262869502402</v>
      </c>
      <c r="AJ4838">
        <v>120.64539571224999</v>
      </c>
      <c r="AK4838">
        <v>35.562806940616902</v>
      </c>
      <c r="AL4838">
        <v>67.856752308266493</v>
      </c>
      <c r="AM4838">
        <v>91.976127441512304</v>
      </c>
      <c r="AN4838">
        <v>0.99999996485107501</v>
      </c>
    </row>
    <row r="4839" spans="1:40" x14ac:dyDescent="0.25">
      <c r="A4839" t="str">
        <f>"20190304164742428"</f>
        <v>20190304164742428</v>
      </c>
      <c r="B4839" t="str">
        <f>"1551689262423734"</f>
        <v>1551689262423734</v>
      </c>
      <c r="C4839" t="s">
        <v>40</v>
      </c>
      <c r="D4839">
        <v>4.3995139999999999</v>
      </c>
      <c r="E4839">
        <v>0.28943370000000002</v>
      </c>
      <c r="F4839" t="s">
        <v>43</v>
      </c>
      <c r="G4839">
        <v>-287.27609999999999</v>
      </c>
      <c r="H4839">
        <v>-0.05</v>
      </c>
      <c r="I4839">
        <v>36.455730000000003</v>
      </c>
      <c r="J4839">
        <v>-324.3</v>
      </c>
      <c r="K4839">
        <v>1.109337</v>
      </c>
      <c r="L4839">
        <v>17.12097</v>
      </c>
      <c r="M4839">
        <v>0.99824429999999997</v>
      </c>
      <c r="N4839">
        <v>-1.094519E-2</v>
      </c>
      <c r="O4839">
        <v>-5.820956E-2</v>
      </c>
      <c r="P4839">
        <v>0.93016220000000005</v>
      </c>
      <c r="Q4839">
        <v>0.36689830000000001</v>
      </c>
      <c r="R4839">
        <v>-1.356419E-2</v>
      </c>
      <c r="S4839">
        <v>3.302155</v>
      </c>
      <c r="T4839">
        <v>-0.10301879999999999</v>
      </c>
      <c r="U4839">
        <v>1.717163</v>
      </c>
      <c r="V4839">
        <v>-3.9213659999999997E-2</v>
      </c>
      <c r="W4839">
        <v>0.37719599999999998</v>
      </c>
      <c r="X4839">
        <v>0.92530290000000004</v>
      </c>
      <c r="Y4839">
        <v>-0.51193580000000005</v>
      </c>
      <c r="Z4839">
        <v>1.159234E-2</v>
      </c>
      <c r="AA4839">
        <v>0.85894550000000003</v>
      </c>
      <c r="AB4839">
        <v>24</v>
      </c>
      <c r="AC4839">
        <v>37.023899999999998</v>
      </c>
      <c r="AD4839">
        <v>-1.1593370000000001</v>
      </c>
      <c r="AE4839">
        <v>19.334759999999999</v>
      </c>
      <c r="AF4839">
        <v>-21.440727791933899</v>
      </c>
      <c r="AG4839">
        <v>-1.1593370000000001</v>
      </c>
      <c r="AH4839">
        <v>35.807991928025899</v>
      </c>
      <c r="AI4839">
        <v>91.591134619956193</v>
      </c>
      <c r="AJ4839">
        <v>120.911881714963</v>
      </c>
      <c r="AK4839">
        <v>41.752379051318101</v>
      </c>
      <c r="AL4839">
        <v>67.839895654900303</v>
      </c>
      <c r="AM4839">
        <v>92.426701129365597</v>
      </c>
      <c r="AN4839">
        <v>0.99999999514750204</v>
      </c>
    </row>
    <row r="4840" spans="1:40" x14ac:dyDescent="0.25">
      <c r="A4840" t="str">
        <f>"20190304164742445"</f>
        <v>20190304164742445</v>
      </c>
      <c r="B4840" t="str">
        <f>"1551689262434470"</f>
        <v>1551689262434470</v>
      </c>
      <c r="C4840" t="s">
        <v>40</v>
      </c>
      <c r="D4840">
        <v>4.4199760000000001</v>
      </c>
      <c r="E4840">
        <v>0.29217749999999998</v>
      </c>
      <c r="F4840" t="s">
        <v>43</v>
      </c>
      <c r="G4840">
        <v>-288.6859</v>
      </c>
      <c r="H4840">
        <v>-0.05</v>
      </c>
      <c r="I4840">
        <v>35.700270000000003</v>
      </c>
      <c r="J4840">
        <v>-324.13240000000002</v>
      </c>
      <c r="K4840">
        <v>1.1092630000000001</v>
      </c>
      <c r="L4840">
        <v>17.10941</v>
      </c>
      <c r="M4840">
        <v>0.99814550000000002</v>
      </c>
      <c r="N4840">
        <v>-1.0924929999999999E-2</v>
      </c>
      <c r="O4840">
        <v>-5.9885389999999997E-2</v>
      </c>
      <c r="P4840">
        <v>0.93026209999999998</v>
      </c>
      <c r="Q4840">
        <v>0.36688330000000002</v>
      </c>
      <c r="R4840">
        <v>-3.0147989999999999E-3</v>
      </c>
      <c r="S4840">
        <v>3.2925719999999998</v>
      </c>
      <c r="T4840">
        <v>-0.10718229999999999</v>
      </c>
      <c r="U4840">
        <v>1.7176819999999999</v>
      </c>
      <c r="V4840">
        <v>-5.1240859999999999E-2</v>
      </c>
      <c r="W4840">
        <v>0.37720969999999998</v>
      </c>
      <c r="X4840">
        <v>0.92470929999999996</v>
      </c>
      <c r="Y4840">
        <v>-0.51448050000000001</v>
      </c>
      <c r="Z4840">
        <v>1.20742E-2</v>
      </c>
      <c r="AA4840">
        <v>0.85741699999999998</v>
      </c>
      <c r="AB4840">
        <v>24</v>
      </c>
      <c r="AC4840">
        <v>35.4465</v>
      </c>
      <c r="AD4840">
        <v>-1.1592629999999999</v>
      </c>
      <c r="AE4840">
        <v>18.590859999999999</v>
      </c>
      <c r="AF4840">
        <v>-20.6630113100505</v>
      </c>
      <c r="AG4840">
        <v>-1.1592629999999999</v>
      </c>
      <c r="AH4840">
        <v>34.2407651513481</v>
      </c>
      <c r="AI4840">
        <v>91.660373600801407</v>
      </c>
      <c r="AJ4840">
        <v>121.109398366771</v>
      </c>
      <c r="AK4840">
        <v>40.0091730138504</v>
      </c>
      <c r="AL4840">
        <v>67.839049059138205</v>
      </c>
      <c r="AM4840">
        <v>93.171683869318002</v>
      </c>
      <c r="AN4840">
        <v>1.00000003650705</v>
      </c>
    </row>
    <row r="4841" spans="1:40" x14ac:dyDescent="0.25">
      <c r="A4841" t="str">
        <f>"20190304164742459"</f>
        <v>20190304164742459</v>
      </c>
      <c r="B4841" t="str">
        <f>"1551689262453989"</f>
        <v>1551689262453989</v>
      </c>
      <c r="C4841" t="s">
        <v>40</v>
      </c>
      <c r="D4841">
        <v>4.338311</v>
      </c>
      <c r="E4841">
        <v>0.29710769999999997</v>
      </c>
      <c r="F4841" t="s">
        <v>43</v>
      </c>
      <c r="G4841">
        <v>-291.07690000000002</v>
      </c>
      <c r="H4841">
        <v>-0.05</v>
      </c>
      <c r="I4841">
        <v>34.590150000000001</v>
      </c>
      <c r="J4841">
        <v>-323.97730000000001</v>
      </c>
      <c r="K4841">
        <v>1.1091899999999999</v>
      </c>
      <c r="L4841">
        <v>17.098420000000001</v>
      </c>
      <c r="M4841">
        <v>0.99804760000000003</v>
      </c>
      <c r="N4841">
        <v>-1.090817E-2</v>
      </c>
      <c r="O4841">
        <v>-6.1497389999999999E-2</v>
      </c>
      <c r="P4841">
        <v>0.93030630000000003</v>
      </c>
      <c r="Q4841">
        <v>0.36678369999999999</v>
      </c>
      <c r="R4841">
        <v>3.4585969999999998E-4</v>
      </c>
      <c r="S4841">
        <v>3.2757869999999998</v>
      </c>
      <c r="T4841">
        <v>-0.1148822</v>
      </c>
      <c r="U4841">
        <v>1.7323299999999999</v>
      </c>
      <c r="V4841">
        <v>-5.6034010000000002E-2</v>
      </c>
      <c r="W4841">
        <v>0.37712050000000003</v>
      </c>
      <c r="X4841">
        <v>0.92446759999999994</v>
      </c>
      <c r="Y4841">
        <v>-0.5206056</v>
      </c>
      <c r="Z4841">
        <v>1.2983089999999999E-2</v>
      </c>
      <c r="AA4841">
        <v>0.85369859999999897</v>
      </c>
      <c r="AB4841">
        <v>24</v>
      </c>
      <c r="AC4841">
        <v>32.900399999999898</v>
      </c>
      <c r="AD4841">
        <v>-1.1591899999999999</v>
      </c>
      <c r="AE4841">
        <v>17.49173</v>
      </c>
      <c r="AF4841">
        <v>-19.463190758553299</v>
      </c>
      <c r="AG4841">
        <v>-1.1591899999999999</v>
      </c>
      <c r="AH4841">
        <v>31.731649776823499</v>
      </c>
      <c r="AI4841">
        <v>91.783611370342697</v>
      </c>
      <c r="AJ4841">
        <v>121.523636540699</v>
      </c>
      <c r="AK4841">
        <v>37.243215671030903</v>
      </c>
      <c r="AL4841">
        <v>67.844566836078698</v>
      </c>
      <c r="AM4841">
        <v>93.468579420076907</v>
      </c>
      <c r="AN4841">
        <v>1.0000000126233399</v>
      </c>
    </row>
    <row r="4842" spans="1:40" x14ac:dyDescent="0.25">
      <c r="A4842" t="str">
        <f>"20190304164742471"</f>
        <v>20190304164742471</v>
      </c>
      <c r="B4842" t="str">
        <f>"1551689262463749"</f>
        <v>1551689262463749</v>
      </c>
      <c r="C4842" t="s">
        <v>40</v>
      </c>
      <c r="D4842">
        <v>4.3210730000000002</v>
      </c>
      <c r="E4842">
        <v>0.29909570000000002</v>
      </c>
      <c r="F4842" t="s">
        <v>43</v>
      </c>
      <c r="G4842">
        <v>-293.1585</v>
      </c>
      <c r="H4842">
        <v>-0.05</v>
      </c>
      <c r="I4842">
        <v>33.146920000000001</v>
      </c>
      <c r="J4842">
        <v>-323.83550000000002</v>
      </c>
      <c r="K4842">
        <v>1.1091219999999999</v>
      </c>
      <c r="L4842">
        <v>17.08813</v>
      </c>
      <c r="M4842">
        <v>0.99795279999999997</v>
      </c>
      <c r="N4842">
        <v>-1.0894539999999999E-2</v>
      </c>
      <c r="O4842">
        <v>-6.3022770000000006E-2</v>
      </c>
      <c r="P4842">
        <v>0.93034150000000004</v>
      </c>
      <c r="Q4842">
        <v>0.36667630000000001</v>
      </c>
      <c r="R4842">
        <v>3.6700959999999999E-3</v>
      </c>
      <c r="S4842">
        <v>3.2726440000000001</v>
      </c>
      <c r="T4842">
        <v>-0.1230946</v>
      </c>
      <c r="U4842">
        <v>1.7041930000000001</v>
      </c>
      <c r="V4842">
        <v>-6.0715089999999999E-2</v>
      </c>
      <c r="W4842">
        <v>0.37702639999999998</v>
      </c>
      <c r="X4842">
        <v>0.92421039999999999</v>
      </c>
      <c r="Y4842">
        <v>-0.51644290000000004</v>
      </c>
      <c r="Z4842">
        <v>1.370331E-2</v>
      </c>
      <c r="AA4842">
        <v>0.85621199999999997</v>
      </c>
      <c r="AB4842">
        <v>24</v>
      </c>
      <c r="AC4842">
        <v>30.677</v>
      </c>
      <c r="AD4842">
        <v>-1.159122</v>
      </c>
      <c r="AE4842">
        <v>16.058789999999998</v>
      </c>
      <c r="AF4842">
        <v>-17.9402227988354</v>
      </c>
      <c r="AG4842">
        <v>-1.159122</v>
      </c>
      <c r="AH4842">
        <v>29.5707432041111</v>
      </c>
      <c r="AI4842">
        <v>91.919432172804505</v>
      </c>
      <c r="AJ4842">
        <v>121.24469675952</v>
      </c>
      <c r="AK4842">
        <v>34.606704719262503</v>
      </c>
      <c r="AL4842">
        <v>67.850388850520204</v>
      </c>
      <c r="AM4842">
        <v>93.758588905899003</v>
      </c>
      <c r="AN4842">
        <v>1.0000000459594101</v>
      </c>
    </row>
    <row r="4843" spans="1:40" x14ac:dyDescent="0.25">
      <c r="A4843" t="str">
        <f>"20190304164742484"</f>
        <v>20190304164742484</v>
      </c>
      <c r="B4843" t="str">
        <f>"1551689262474486"</f>
        <v>1551689262474486</v>
      </c>
      <c r="C4843" t="s">
        <v>40</v>
      </c>
      <c r="D4843">
        <v>4.3457720000000002</v>
      </c>
      <c r="E4843">
        <v>0.29909570000000002</v>
      </c>
      <c r="F4843" t="s">
        <v>43</v>
      </c>
      <c r="G4843">
        <v>-293.62389999999999</v>
      </c>
      <c r="H4843">
        <v>-0.05</v>
      </c>
      <c r="I4843">
        <v>32.79851</v>
      </c>
      <c r="J4843">
        <v>-323.70850000000002</v>
      </c>
      <c r="K4843">
        <v>1.1090610000000001</v>
      </c>
      <c r="L4843">
        <v>17.07855</v>
      </c>
      <c r="M4843">
        <v>0.99786169999999996</v>
      </c>
      <c r="N4843">
        <v>-1.088397E-2</v>
      </c>
      <c r="O4843">
        <v>-6.4449660000000006E-2</v>
      </c>
      <c r="P4843">
        <v>0.93053189999999997</v>
      </c>
      <c r="Q4843">
        <v>0.36616280000000001</v>
      </c>
      <c r="R4843">
        <v>5.9556399999999999E-3</v>
      </c>
      <c r="S4843">
        <v>3.2673030000000001</v>
      </c>
      <c r="T4843">
        <v>-0.1253561</v>
      </c>
      <c r="U4843">
        <v>1.699036</v>
      </c>
      <c r="V4843">
        <v>-6.4286949999999995E-2</v>
      </c>
      <c r="W4843">
        <v>0.37652600000000003</v>
      </c>
      <c r="X4843">
        <v>0.92417280000000002</v>
      </c>
      <c r="Y4843">
        <v>-0.51716090000000003</v>
      </c>
      <c r="Z4843">
        <v>1.3984299999999899E-2</v>
      </c>
      <c r="AA4843">
        <v>0.85577399999999904</v>
      </c>
      <c r="AB4843">
        <v>24</v>
      </c>
      <c r="AC4843">
        <v>30.084599999999998</v>
      </c>
      <c r="AD4843">
        <v>-1.1590609999999999</v>
      </c>
      <c r="AE4843">
        <v>15.71996</v>
      </c>
      <c r="AF4843">
        <v>-17.605802898948301</v>
      </c>
      <c r="AG4843">
        <v>-1.1590609999999999</v>
      </c>
      <c r="AH4843">
        <v>28.975055666684099</v>
      </c>
      <c r="AI4843">
        <v>91.957951415386205</v>
      </c>
      <c r="AJ4843">
        <v>121.28367299615</v>
      </c>
      <c r="AK4843">
        <v>33.924350679206597</v>
      </c>
      <c r="AL4843">
        <v>67.881339659672406</v>
      </c>
      <c r="AM4843">
        <v>93.9791768901609</v>
      </c>
      <c r="AN4843">
        <v>1.00000000243807</v>
      </c>
    </row>
    <row r="4844" spans="1:40" x14ac:dyDescent="0.25">
      <c r="A4844" t="str">
        <f>"20190304164742501"</f>
        <v>20190304164742501</v>
      </c>
      <c r="B4844" t="str">
        <f>"1551689262494008"</f>
        <v>1551689262494008</v>
      </c>
      <c r="C4844" t="s">
        <v>40</v>
      </c>
      <c r="D4844">
        <v>4.3591749999999996</v>
      </c>
      <c r="E4844">
        <v>0.32918150000000002</v>
      </c>
      <c r="F4844" t="s">
        <v>43</v>
      </c>
      <c r="G4844">
        <v>-294.34820000000002</v>
      </c>
      <c r="H4844">
        <v>-0.05</v>
      </c>
      <c r="I4844">
        <v>32.420160000000003</v>
      </c>
      <c r="J4844">
        <v>-323.5154</v>
      </c>
      <c r="K4844">
        <v>1.1089709999999999</v>
      </c>
      <c r="L4844">
        <v>17.063690000000001</v>
      </c>
      <c r="M4844">
        <v>0.99771540000000003</v>
      </c>
      <c r="N4844">
        <v>-1.0869419999999999E-2</v>
      </c>
      <c r="O4844">
        <v>-6.6679849999999999E-2</v>
      </c>
      <c r="P4844">
        <v>0.93130360000000001</v>
      </c>
      <c r="Q4844">
        <v>0.36410989999999999</v>
      </c>
      <c r="R4844">
        <v>9.8870989999999999E-3</v>
      </c>
      <c r="S4844">
        <v>3.263763</v>
      </c>
      <c r="T4844">
        <v>-0.1288444</v>
      </c>
      <c r="U4844">
        <v>1.705414</v>
      </c>
      <c r="V4844">
        <v>-7.0272619999999994E-2</v>
      </c>
      <c r="W4844">
        <v>0.37450369999999999</v>
      </c>
      <c r="X4844">
        <v>0.92455869999999996</v>
      </c>
      <c r="Y4844">
        <v>-0.52073779999999903</v>
      </c>
      <c r="Z4844">
        <v>1.446132E-2</v>
      </c>
      <c r="AA4844">
        <v>0.85359419999999897</v>
      </c>
      <c r="AB4844">
        <v>24</v>
      </c>
      <c r="AC4844">
        <v>29.167199999999902</v>
      </c>
      <c r="AD4844">
        <v>-1.158971</v>
      </c>
      <c r="AE4844">
        <v>15.3564699999999</v>
      </c>
      <c r="AF4844">
        <v>-17.2459481800046</v>
      </c>
      <c r="AG4844">
        <v>-1.158971</v>
      </c>
      <c r="AH4844">
        <v>28.043582935347501</v>
      </c>
      <c r="AI4844">
        <v>92.016175080713097</v>
      </c>
      <c r="AJ4844">
        <v>121.590247739137</v>
      </c>
      <c r="AK4844">
        <v>32.942502732153699</v>
      </c>
      <c r="AL4844">
        <v>68.006358810184906</v>
      </c>
      <c r="AM4844">
        <v>94.346503829241897</v>
      </c>
      <c r="AN4844">
        <v>1.00000002609052</v>
      </c>
    </row>
    <row r="4845" spans="1:40" x14ac:dyDescent="0.25">
      <c r="A4845" t="str">
        <f>"20190304164742515"</f>
        <v>20190304164742515</v>
      </c>
      <c r="B4845" t="str">
        <f>"1551689262503766"</f>
        <v>1551689262503766</v>
      </c>
      <c r="C4845" t="s">
        <v>40</v>
      </c>
      <c r="D4845">
        <v>4.8059710000000004</v>
      </c>
      <c r="E4845">
        <v>0.32918150000000002</v>
      </c>
      <c r="F4845" t="s">
        <v>43</v>
      </c>
      <c r="G4845">
        <v>-299.75799999999998</v>
      </c>
      <c r="H4845">
        <v>-0.05</v>
      </c>
      <c r="I4845">
        <v>27.807469999999999</v>
      </c>
      <c r="J4845">
        <v>-323.37479999999999</v>
      </c>
      <c r="K4845">
        <v>1.108911</v>
      </c>
      <c r="L4845">
        <v>17.052579999999999</v>
      </c>
      <c r="M4845">
        <v>0.9976024</v>
      </c>
      <c r="N4845">
        <v>-1.085998E-2</v>
      </c>
      <c r="O4845">
        <v>-6.8348880000000001E-2</v>
      </c>
      <c r="P4845">
        <v>0.93174049999999997</v>
      </c>
      <c r="Q4845">
        <v>0.36300640000000001</v>
      </c>
      <c r="R4845">
        <v>9.2719829999999993E-3</v>
      </c>
      <c r="S4845">
        <v>3.2679749999999999</v>
      </c>
      <c r="T4845">
        <v>-0.1594237</v>
      </c>
      <c r="U4845">
        <v>1.477875</v>
      </c>
      <c r="V4845">
        <v>-7.1197899999999995E-2</v>
      </c>
      <c r="W4845">
        <v>0.37340899999999999</v>
      </c>
      <c r="X4845">
        <v>0.92493060000000005</v>
      </c>
      <c r="Y4845">
        <v>-0.47273789999999999</v>
      </c>
      <c r="Z4845">
        <v>1.6159730000000001E-2</v>
      </c>
      <c r="AA4845">
        <v>0.88105489999999997</v>
      </c>
      <c r="AB4845">
        <v>24</v>
      </c>
      <c r="AC4845">
        <v>23.616800000000001</v>
      </c>
      <c r="AD4845">
        <v>-1.158911</v>
      </c>
      <c r="AE4845">
        <v>10.75489</v>
      </c>
      <c r="AF4845">
        <v>-12.319443523136901</v>
      </c>
      <c r="AG4845">
        <v>-1.158911</v>
      </c>
      <c r="AH4845">
        <v>22.781002559443301</v>
      </c>
      <c r="AI4845">
        <v>92.562153217948307</v>
      </c>
      <c r="AJ4845">
        <v>118.403505592256</v>
      </c>
      <c r="AK4845">
        <v>25.924618435746499</v>
      </c>
      <c r="AL4845">
        <v>68.073987018227001</v>
      </c>
      <c r="AM4845">
        <v>94.401747002004697</v>
      </c>
      <c r="AN4845">
        <v>1.0000000185308799</v>
      </c>
    </row>
    <row r="4846" spans="1:40" x14ac:dyDescent="0.25">
      <c r="A4846" t="str">
        <f>"20190304164742557"</f>
        <v>20190304164742557</v>
      </c>
      <c r="B4846" t="str">
        <f>"1551689262553542"</f>
        <v>1551689262553542</v>
      </c>
      <c r="C4846" t="s">
        <v>40</v>
      </c>
      <c r="D4846">
        <v>4.7729160000000004</v>
      </c>
      <c r="E4846">
        <v>0.53430659999999996</v>
      </c>
      <c r="F4846" t="s">
        <v>41</v>
      </c>
      <c r="G4846">
        <v>-322.41890000000001</v>
      </c>
      <c r="H4846">
        <v>1.06084</v>
      </c>
      <c r="I4846">
        <v>17.483550000000001</v>
      </c>
      <c r="J4846">
        <v>-322.9205</v>
      </c>
      <c r="K4846">
        <v>1.1087610000000001</v>
      </c>
      <c r="L4846">
        <v>17.014530000000001</v>
      </c>
      <c r="M4846">
        <v>0.99719740000000001</v>
      </c>
      <c r="N4846">
        <v>-1.083609E-2</v>
      </c>
      <c r="O4846">
        <v>-7.4026640000000005E-2</v>
      </c>
      <c r="P4846">
        <v>0.93302439999999998</v>
      </c>
      <c r="Q4846">
        <v>0.35980329999999999</v>
      </c>
      <c r="R4846">
        <v>-2.6606619999999998E-3</v>
      </c>
      <c r="S4846">
        <v>3.2691650000000001</v>
      </c>
      <c r="T4846">
        <v>-0.16440060000000001</v>
      </c>
      <c r="U4846">
        <v>1.47464</v>
      </c>
      <c r="V4846">
        <v>-6.4572069999999995E-2</v>
      </c>
      <c r="W4846">
        <v>0.37019360000000001</v>
      </c>
      <c r="X4846">
        <v>0.92670770000000002</v>
      </c>
      <c r="Y4846">
        <v>-0.47685630000000001</v>
      </c>
      <c r="Z4846">
        <v>1.6932349999999999E-2</v>
      </c>
      <c r="AA4846">
        <v>0.87881819999999899</v>
      </c>
      <c r="AB4846">
        <v>24</v>
      </c>
      <c r="AC4846">
        <v>0.50159999999999605</v>
      </c>
      <c r="AD4846">
        <v>-4.7921000000000102E-2</v>
      </c>
      <c r="AE4846">
        <v>0.46901999999999999</v>
      </c>
      <c r="AF4846">
        <v>-0.50242033288427501</v>
      </c>
      <c r="AG4846">
        <v>-4.7921000000000102E-2</v>
      </c>
      <c r="AH4846">
        <v>0.46324574101150201</v>
      </c>
      <c r="AI4846">
        <v>94.011152197487206</v>
      </c>
      <c r="AJ4846">
        <v>137.32306877295699</v>
      </c>
      <c r="AK4846">
        <v>0.68506877735147198</v>
      </c>
      <c r="AL4846">
        <v>68.272442581443599</v>
      </c>
      <c r="AM4846">
        <v>93.985870524625199</v>
      </c>
      <c r="AN4846">
        <v>1.00000000747216</v>
      </c>
    </row>
    <row r="4847" spans="1:40" x14ac:dyDescent="0.25">
      <c r="A4847" t="str">
        <f>"20190304164742570"</f>
        <v>20190304164742570</v>
      </c>
      <c r="B4847" t="str">
        <f>"1551689262564277"</f>
        <v>1551689262564277</v>
      </c>
      <c r="C4847" t="s">
        <v>40</v>
      </c>
      <c r="D4847">
        <v>4.4067489999999996</v>
      </c>
      <c r="E4847">
        <v>0.53430659999999996</v>
      </c>
      <c r="F4847" t="s">
        <v>43</v>
      </c>
      <c r="G4847">
        <v>-301.54809999999998</v>
      </c>
      <c r="H4847">
        <v>-0.05</v>
      </c>
      <c r="I4847">
        <v>15.668519999999999</v>
      </c>
      <c r="J4847">
        <v>-322.77229999999997</v>
      </c>
      <c r="K4847">
        <v>1.108725</v>
      </c>
      <c r="L4847">
        <v>17.001460000000002</v>
      </c>
      <c r="M4847">
        <v>0.99705350000000004</v>
      </c>
      <c r="N4847">
        <v>-1.082982E-2</v>
      </c>
      <c r="O4847">
        <v>-7.5941190000000006E-2</v>
      </c>
      <c r="P4847">
        <v>0.93335979999999996</v>
      </c>
      <c r="Q4847">
        <v>0.3588615</v>
      </c>
      <c r="R4847">
        <v>-7.6355930000000004E-3</v>
      </c>
      <c r="S4847">
        <v>3.2834469999999998</v>
      </c>
      <c r="T4847">
        <v>-0.1780207</v>
      </c>
      <c r="U4847">
        <v>-0.2067871</v>
      </c>
      <c r="V4847">
        <v>-6.1400089999999997E-2</v>
      </c>
      <c r="W4847">
        <v>0.3692415</v>
      </c>
      <c r="X4847">
        <v>0.92730299999999999</v>
      </c>
      <c r="Y4847">
        <v>-1.302916E-2</v>
      </c>
      <c r="Z4847">
        <v>3.7058820000000002E-3</v>
      </c>
      <c r="AA4847">
        <v>0.99990829999999997</v>
      </c>
      <c r="AB4847">
        <v>24</v>
      </c>
      <c r="AC4847">
        <v>21.2242</v>
      </c>
      <c r="AD4847">
        <v>-1.158725</v>
      </c>
      <c r="AE4847">
        <v>-1.33294</v>
      </c>
      <c r="AF4847">
        <v>-0.281958000869315</v>
      </c>
      <c r="AG4847">
        <v>-1.158725</v>
      </c>
      <c r="AH4847">
        <v>21.201191435539101</v>
      </c>
      <c r="AI4847">
        <v>93.128041862627995</v>
      </c>
      <c r="AJ4847">
        <v>90.761940722418501</v>
      </c>
      <c r="AK4847">
        <v>21.2347041944609</v>
      </c>
      <c r="AL4847">
        <v>68.331155020596398</v>
      </c>
      <c r="AM4847">
        <v>93.788231348244295</v>
      </c>
      <c r="AN4847">
        <v>1.0000000550916199</v>
      </c>
    </row>
    <row r="4848" spans="1:40" x14ac:dyDescent="0.25">
      <c r="A4848" t="str">
        <f>"20190304164742582"</f>
        <v>20190304164742582</v>
      </c>
      <c r="B4848" t="str">
        <f>"1551689262574038"</f>
        <v>1551689262574038</v>
      </c>
      <c r="C4848" t="s">
        <v>40</v>
      </c>
      <c r="D4848">
        <v>4.6204130000000001</v>
      </c>
      <c r="E4848">
        <v>0.58657769999999898</v>
      </c>
      <c r="F4848" t="s">
        <v>43</v>
      </c>
      <c r="G4848">
        <v>-301.80090000000001</v>
      </c>
      <c r="H4848">
        <v>-0.05</v>
      </c>
      <c r="I4848">
        <v>15.568619999999999</v>
      </c>
      <c r="J4848">
        <v>-322.63830000000002</v>
      </c>
      <c r="K4848">
        <v>1.1086940000000001</v>
      </c>
      <c r="L4848">
        <v>16.989380000000001</v>
      </c>
      <c r="M4848">
        <v>0.99691870000000005</v>
      </c>
      <c r="N4848">
        <v>-1.0824749999999999E-2</v>
      </c>
      <c r="O4848">
        <v>-7.769131E-2</v>
      </c>
      <c r="P4848">
        <v>0.93368370000000001</v>
      </c>
      <c r="Q4848">
        <v>0.35784329999999998</v>
      </c>
      <c r="R4848">
        <v>-1.3527580000000001E-2</v>
      </c>
      <c r="S4848">
        <v>3.2821039999999999</v>
      </c>
      <c r="T4848">
        <v>-0.18134500000000001</v>
      </c>
      <c r="U4848">
        <v>-0.2242432</v>
      </c>
      <c r="V4848">
        <v>-5.717096E-2</v>
      </c>
      <c r="W4848">
        <v>0.36820789999999998</v>
      </c>
      <c r="X4848">
        <v>0.92798409999999998</v>
      </c>
      <c r="Y4848">
        <v>-9.4640309999999995E-3</v>
      </c>
      <c r="Z4848">
        <v>3.7498879999999998E-3</v>
      </c>
      <c r="AA4848">
        <v>0.99994819999999995</v>
      </c>
      <c r="AB4848">
        <v>24</v>
      </c>
      <c r="AC4848">
        <v>20.837399999999999</v>
      </c>
      <c r="AD4848">
        <v>-1.1586939999999999</v>
      </c>
      <c r="AE4848">
        <v>-1.42075999999999</v>
      </c>
      <c r="AF4848">
        <v>-0.20189317432954601</v>
      </c>
      <c r="AG4848">
        <v>-1.1586939999999999</v>
      </c>
      <c r="AH4848">
        <v>20.8207165826975</v>
      </c>
      <c r="AI4848">
        <v>93.1851332233459</v>
      </c>
      <c r="AJ4848">
        <v>90.555565137262207</v>
      </c>
      <c r="AK4848">
        <v>20.853910224619501</v>
      </c>
      <c r="AL4848">
        <v>68.394864533027899</v>
      </c>
      <c r="AM4848">
        <v>93.525405093851305</v>
      </c>
      <c r="AN4848">
        <v>1.0000000330712699</v>
      </c>
    </row>
    <row r="4849" spans="1:40" x14ac:dyDescent="0.25">
      <c r="A4849" t="str">
        <f>"20190304164742594"</f>
        <v>20190304164742594</v>
      </c>
      <c r="B4849" t="str">
        <f>"1551689262583798"</f>
        <v>1551689262583798</v>
      </c>
      <c r="C4849" t="s">
        <v>40</v>
      </c>
      <c r="D4849">
        <v>4.588203</v>
      </c>
      <c r="E4849">
        <v>0.58646149999999997</v>
      </c>
      <c r="F4849" t="s">
        <v>41</v>
      </c>
      <c r="G4849">
        <v>-321.81920000000002</v>
      </c>
      <c r="H4849">
        <v>0.99912449999999997</v>
      </c>
      <c r="I4849">
        <v>16.832079999999898</v>
      </c>
      <c r="J4849">
        <v>-322.51490000000001</v>
      </c>
      <c r="K4849">
        <v>1.1086659999999999</v>
      </c>
      <c r="L4849">
        <v>16.978089999999899</v>
      </c>
      <c r="M4849">
        <v>0.99679130000000005</v>
      </c>
      <c r="N4849">
        <v>-1.082025E-2</v>
      </c>
      <c r="O4849">
        <v>-7.9310829999999999E-2</v>
      </c>
      <c r="P4849">
        <v>0.93405539999999998</v>
      </c>
      <c r="Q4849">
        <v>0.35659819999999998</v>
      </c>
      <c r="R4849">
        <v>-1.94498E-2</v>
      </c>
      <c r="S4849">
        <v>3.3767089999999902</v>
      </c>
      <c r="T4849">
        <v>-0.45145420000000003</v>
      </c>
      <c r="U4849">
        <v>-0.64770509999999903</v>
      </c>
      <c r="V4849">
        <v>-5.280021E-2</v>
      </c>
      <c r="W4849">
        <v>0.36694670000000001</v>
      </c>
      <c r="X4849">
        <v>0.92874230000000002</v>
      </c>
      <c r="Y4849">
        <v>0.10944909999999999</v>
      </c>
      <c r="Z4849">
        <v>1.765906E-3</v>
      </c>
      <c r="AA4849">
        <v>0.99399079999999995</v>
      </c>
      <c r="AB4849">
        <v>24</v>
      </c>
      <c r="AC4849">
        <v>0.695699999999987</v>
      </c>
      <c r="AD4849">
        <v>-0.109541499999999</v>
      </c>
      <c r="AE4849">
        <v>-0.14601</v>
      </c>
      <c r="AF4849">
        <v>8.8274066677907798E-2</v>
      </c>
      <c r="AG4849">
        <v>-0.109541499999999</v>
      </c>
      <c r="AH4849">
        <v>0.68873430970442995</v>
      </c>
      <c r="AI4849">
        <v>98.964930594870694</v>
      </c>
      <c r="AJ4849">
        <v>82.696303273783997</v>
      </c>
      <c r="AK4849">
        <v>0.70295561768446202</v>
      </c>
      <c r="AL4849">
        <v>68.472564878216701</v>
      </c>
      <c r="AM4849">
        <v>93.253837199858097</v>
      </c>
      <c r="AN4849">
        <v>1.0000000013131101</v>
      </c>
    </row>
    <row r="4850" spans="1:40" x14ac:dyDescent="0.25">
      <c r="A4850" t="str">
        <f>"20190304164742606"</f>
        <v>20190304164742606</v>
      </c>
      <c r="B4850" t="str">
        <f>"1551689262594534"</f>
        <v>1551689262594534</v>
      </c>
      <c r="C4850" t="s">
        <v>40</v>
      </c>
      <c r="D4850">
        <v>4.6760539999999997</v>
      </c>
      <c r="E4850">
        <v>0.58642269999999996</v>
      </c>
      <c r="F4850" t="s">
        <v>41</v>
      </c>
      <c r="G4850">
        <v>-321.61410000000001</v>
      </c>
      <c r="H4850">
        <v>0.976858</v>
      </c>
      <c r="I4850">
        <v>16.80077</v>
      </c>
      <c r="J4850">
        <v>-322.38839999999999</v>
      </c>
      <c r="K4850">
        <v>1.108641</v>
      </c>
      <c r="L4850">
        <v>16.966190000000001</v>
      </c>
      <c r="M4850">
        <v>0.9966564</v>
      </c>
      <c r="N4850">
        <v>-1.0816259999999999E-2</v>
      </c>
      <c r="O4850">
        <v>-8.098735E-2</v>
      </c>
      <c r="P4850">
        <v>0.93449260000000001</v>
      </c>
      <c r="Q4850">
        <v>0.35503659999999998</v>
      </c>
      <c r="R4850">
        <v>-2.5930479999999999E-2</v>
      </c>
      <c r="S4850">
        <v>3.387054</v>
      </c>
      <c r="T4850">
        <v>-0.49526720000000002</v>
      </c>
      <c r="U4850">
        <v>-0.66567989999999999</v>
      </c>
      <c r="V4850">
        <v>-4.7941020000000001E-2</v>
      </c>
      <c r="W4850">
        <v>0.36536750000000001</v>
      </c>
      <c r="X4850">
        <v>0.92962800000000001</v>
      </c>
      <c r="Y4850">
        <v>0.1122156</v>
      </c>
      <c r="Z4850">
        <v>2.0705340000000002E-3</v>
      </c>
      <c r="AA4850">
        <v>0.9936817</v>
      </c>
      <c r="AB4850">
        <v>24</v>
      </c>
      <c r="AC4850">
        <v>0.774299999999982</v>
      </c>
      <c r="AD4850">
        <v>-0.13178299999999901</v>
      </c>
      <c r="AE4850">
        <v>-0.16542000000000101</v>
      </c>
      <c r="AF4850">
        <v>9.9410467386231896E-2</v>
      </c>
      <c r="AG4850">
        <v>-0.13178299999999901</v>
      </c>
      <c r="AH4850">
        <v>0.76398958527065397</v>
      </c>
      <c r="AI4850">
        <v>99.706573307326494</v>
      </c>
      <c r="AJ4850">
        <v>82.586316233804794</v>
      </c>
      <c r="AK4850">
        <v>0.78161965591774596</v>
      </c>
      <c r="AL4850">
        <v>68.569798633711898</v>
      </c>
      <c r="AM4850">
        <v>92.952134571082894</v>
      </c>
      <c r="AN4850">
        <v>0.99999998491944497</v>
      </c>
    </row>
    <row r="4851" spans="1:40" x14ac:dyDescent="0.25">
      <c r="A4851" t="str">
        <f>"20190304164742618"</f>
        <v>20190304164742618</v>
      </c>
      <c r="B4851" t="str">
        <f>"1551689262614053"</f>
        <v>1551689262614053</v>
      </c>
      <c r="C4851" t="s">
        <v>40</v>
      </c>
      <c r="D4851">
        <v>4.6940099999999996</v>
      </c>
      <c r="E4851">
        <v>0.58357579999999998</v>
      </c>
      <c r="F4851" t="s">
        <v>41</v>
      </c>
      <c r="G4851">
        <v>-321.60789999999997</v>
      </c>
      <c r="H4851">
        <v>0.9884695</v>
      </c>
      <c r="I4851">
        <v>16.807559999999999</v>
      </c>
      <c r="J4851">
        <v>-322.25200000000001</v>
      </c>
      <c r="K4851">
        <v>1.1086240000000001</v>
      </c>
      <c r="L4851">
        <v>16.95316</v>
      </c>
      <c r="M4851">
        <v>0.99650760000000005</v>
      </c>
      <c r="N4851">
        <v>-1.0812179999999999E-2</v>
      </c>
      <c r="O4851">
        <v>-8.2798910000000003E-2</v>
      </c>
      <c r="P4851">
        <v>0.93493499999999996</v>
      </c>
      <c r="Q4851">
        <v>0.35332029999999998</v>
      </c>
      <c r="R4851">
        <v>-3.2574239999999997E-2</v>
      </c>
      <c r="S4851">
        <v>3.3893740000000001</v>
      </c>
      <c r="T4851">
        <v>-0.5215436</v>
      </c>
      <c r="U4851">
        <v>-0.68765259999999995</v>
      </c>
      <c r="V4851">
        <v>-4.3051319999999997E-2</v>
      </c>
      <c r="W4851">
        <v>0.36363309999999999</v>
      </c>
      <c r="X4851">
        <v>0.93054689999999995</v>
      </c>
      <c r="Y4851">
        <v>0.1163974</v>
      </c>
      <c r="Z4851">
        <v>2.1656599999999998E-3</v>
      </c>
      <c r="AA4851">
        <v>0.99320039999999998</v>
      </c>
      <c r="AB4851">
        <v>24</v>
      </c>
      <c r="AC4851">
        <v>0.64410000000003698</v>
      </c>
      <c r="AD4851">
        <v>-0.1201545</v>
      </c>
      <c r="AE4851">
        <v>-0.14559999999999801</v>
      </c>
      <c r="AF4851">
        <v>8.88252889848163E-2</v>
      </c>
      <c r="AG4851">
        <v>-0.1201545</v>
      </c>
      <c r="AH4851">
        <v>0.63298751208399195</v>
      </c>
      <c r="AI4851">
        <v>100.646192484257</v>
      </c>
      <c r="AJ4851">
        <v>82.012010400534905</v>
      </c>
      <c r="AK4851">
        <v>0.65038467562494795</v>
      </c>
      <c r="AL4851">
        <v>68.6765142548781</v>
      </c>
      <c r="AM4851">
        <v>92.648873807713898</v>
      </c>
      <c r="AN4851">
        <v>0.99999999033448095</v>
      </c>
    </row>
    <row r="4852" spans="1:40" x14ac:dyDescent="0.25">
      <c r="A4852" t="str">
        <f>"20190304164742635"</f>
        <v>20190304164742635</v>
      </c>
      <c r="B4852" t="str">
        <f>"1551689262623815"</f>
        <v>1551689262623815</v>
      </c>
      <c r="C4852" t="s">
        <v>40</v>
      </c>
      <c r="D4852">
        <v>4.8237579999999998</v>
      </c>
      <c r="E4852">
        <v>0.58223590000000003</v>
      </c>
      <c r="F4852" t="s">
        <v>41</v>
      </c>
      <c r="G4852">
        <v>-321.4033</v>
      </c>
      <c r="H4852">
        <v>0.96420530000000004</v>
      </c>
      <c r="I4852">
        <v>16.781659999999999</v>
      </c>
      <c r="J4852">
        <v>-322.07409999999999</v>
      </c>
      <c r="K4852">
        <v>1.1085929999999999</v>
      </c>
      <c r="L4852">
        <v>16.935849999999999</v>
      </c>
      <c r="M4852">
        <v>0.99630790000000002</v>
      </c>
      <c r="N4852">
        <v>-1.0807509999999999E-2</v>
      </c>
      <c r="O4852">
        <v>-8.5169289999999995E-2</v>
      </c>
      <c r="P4852">
        <v>0.9356797</v>
      </c>
      <c r="Q4852">
        <v>0.34987210000000002</v>
      </c>
      <c r="R4852">
        <v>-4.5751350000000003E-2</v>
      </c>
      <c r="S4852">
        <v>3.4035950000000001</v>
      </c>
      <c r="T4852">
        <v>-0.57885039999999999</v>
      </c>
      <c r="U4852">
        <v>-0.68673709999999999</v>
      </c>
      <c r="V4852">
        <v>-3.2215840000000003E-2</v>
      </c>
      <c r="W4852">
        <v>0.36014410000000002</v>
      </c>
      <c r="X4852">
        <v>0.93234030000000001</v>
      </c>
      <c r="Y4852">
        <v>0.1129402</v>
      </c>
      <c r="Z4852">
        <v>3.2266769999999998E-3</v>
      </c>
      <c r="AA4852">
        <v>0.99359660000000005</v>
      </c>
      <c r="AB4852">
        <v>24</v>
      </c>
      <c r="AC4852">
        <v>0.67079999999998496</v>
      </c>
      <c r="AD4852">
        <v>-0.14438769999999901</v>
      </c>
      <c r="AE4852">
        <v>-0.154189999999996</v>
      </c>
      <c r="AF4852">
        <v>9.2427410949439001E-2</v>
      </c>
      <c r="AG4852">
        <v>-0.14438769999999901</v>
      </c>
      <c r="AH4852">
        <v>0.65276948293429204</v>
      </c>
      <c r="AI4852">
        <v>102.35319282459299</v>
      </c>
      <c r="AJ4852">
        <v>81.940906978546394</v>
      </c>
      <c r="AK4852">
        <v>0.67490638762454302</v>
      </c>
      <c r="AL4852">
        <v>68.890954793511796</v>
      </c>
      <c r="AM4852">
        <v>91.978995839291997</v>
      </c>
      <c r="AN4852">
        <v>1.0000000340579001</v>
      </c>
    </row>
    <row r="4853" spans="1:40" x14ac:dyDescent="0.25">
      <c r="A4853" t="str">
        <f>"20190304164742647"</f>
        <v>20190304164742647</v>
      </c>
      <c r="B4853" t="str">
        <f>"1551689262644309"</f>
        <v>1551689262644309</v>
      </c>
      <c r="C4853" t="s">
        <v>40</v>
      </c>
      <c r="D4853">
        <v>4.6786059999999896</v>
      </c>
      <c r="E4853">
        <v>0.58109319999999998</v>
      </c>
      <c r="F4853" t="s">
        <v>41</v>
      </c>
      <c r="G4853">
        <v>-321.19380000000001</v>
      </c>
      <c r="H4853">
        <v>0.95033179999999995</v>
      </c>
      <c r="I4853">
        <v>16.748560000000001</v>
      </c>
      <c r="J4853">
        <v>-321.94380000000001</v>
      </c>
      <c r="K4853">
        <v>1.108582</v>
      </c>
      <c r="L4853">
        <v>16.922729999999898</v>
      </c>
      <c r="M4853">
        <v>0.99615779999999998</v>
      </c>
      <c r="N4853">
        <v>-1.080455E-2</v>
      </c>
      <c r="O4853">
        <v>-8.6908940000000004E-2</v>
      </c>
      <c r="P4853">
        <v>0.93597319999999995</v>
      </c>
      <c r="Q4853">
        <v>0.34806039999999999</v>
      </c>
      <c r="R4853">
        <v>-5.2996740000000001E-2</v>
      </c>
      <c r="S4853">
        <v>3.399292</v>
      </c>
      <c r="T4853">
        <v>-0.61085859999999903</v>
      </c>
      <c r="U4853">
        <v>-0.72235109999999902</v>
      </c>
      <c r="V4853">
        <v>-2.6664500000000001E-2</v>
      </c>
      <c r="W4853">
        <v>0.35830980000000001</v>
      </c>
      <c r="X4853">
        <v>0.93322190000000005</v>
      </c>
      <c r="Y4853">
        <v>0.12125759999999999</v>
      </c>
      <c r="Z4853">
        <v>2.9927059999999999E-3</v>
      </c>
      <c r="AA4853">
        <v>0.99261650000000001</v>
      </c>
      <c r="AB4853">
        <v>24</v>
      </c>
      <c r="AC4853">
        <v>0.75</v>
      </c>
      <c r="AD4853">
        <v>-0.15825019999999901</v>
      </c>
      <c r="AE4853">
        <v>-0.17416999999999599</v>
      </c>
      <c r="AF4853">
        <v>0.10393488819853899</v>
      </c>
      <c r="AG4853">
        <v>-0.15825019999999901</v>
      </c>
      <c r="AH4853">
        <v>0.73140303073261503</v>
      </c>
      <c r="AI4853">
        <v>102.09078549045201</v>
      </c>
      <c r="AJ4853">
        <v>81.912222301491099</v>
      </c>
      <c r="AK4853">
        <v>0.755510410351662</v>
      </c>
      <c r="AL4853">
        <v>69.003568968931404</v>
      </c>
      <c r="AM4853">
        <v>91.636639438840703</v>
      </c>
      <c r="AN4853">
        <v>1.0000000114879499</v>
      </c>
    </row>
    <row r="4854" spans="1:40" x14ac:dyDescent="0.25">
      <c r="A4854" t="str">
        <f>"20190304164742658"</f>
        <v>20190304164742658</v>
      </c>
      <c r="B4854" t="str">
        <f>"1551689262654070"</f>
        <v>1551689262654070</v>
      </c>
      <c r="C4854" t="s">
        <v>40</v>
      </c>
      <c r="D4854">
        <v>4.7565720000000002</v>
      </c>
      <c r="E4854">
        <v>0.58062009999999997</v>
      </c>
      <c r="F4854" t="s">
        <v>41</v>
      </c>
      <c r="G4854">
        <v>-321.18540000000002</v>
      </c>
      <c r="H4854">
        <v>0.96634160000000002</v>
      </c>
      <c r="I4854">
        <v>16.75778</v>
      </c>
      <c r="J4854">
        <v>-321.82470000000001</v>
      </c>
      <c r="K4854">
        <v>1.108568</v>
      </c>
      <c r="L4854">
        <v>16.910710000000002</v>
      </c>
      <c r="M4854">
        <v>0.99601790000000001</v>
      </c>
      <c r="N4854">
        <v>-1.0801979999999999E-2</v>
      </c>
      <c r="O4854">
        <v>-8.8497519999999996E-2</v>
      </c>
      <c r="P4854">
        <v>0.93606909999999999</v>
      </c>
      <c r="Q4854">
        <v>0.34659010000000001</v>
      </c>
      <c r="R4854">
        <v>-6.0417119999999998E-2</v>
      </c>
      <c r="S4854">
        <v>3.400452</v>
      </c>
      <c r="T4854">
        <v>-0.63746630000000004</v>
      </c>
      <c r="U4854">
        <v>-0.73858639999999998</v>
      </c>
      <c r="V4854">
        <v>-2.0781020000000001E-2</v>
      </c>
      <c r="W4854">
        <v>0.35681390000000002</v>
      </c>
      <c r="X4854">
        <v>0.93394429999999995</v>
      </c>
      <c r="Y4854">
        <v>0.1240528</v>
      </c>
      <c r="Z4854">
        <v>3.1856979999999998E-3</v>
      </c>
      <c r="AA4854">
        <v>0.99227050000000006</v>
      </c>
      <c r="AB4854">
        <v>24</v>
      </c>
      <c r="AC4854">
        <v>0.63929999999999099</v>
      </c>
      <c r="AD4854">
        <v>-0.1422264</v>
      </c>
      <c r="AE4854">
        <v>-0.15293000000000101</v>
      </c>
      <c r="AF4854">
        <v>9.1468063464091406E-2</v>
      </c>
      <c r="AG4854">
        <v>-0.1422264</v>
      </c>
      <c r="AH4854">
        <v>0.62124264746372804</v>
      </c>
      <c r="AI4854">
        <v>102.761982162504</v>
      </c>
      <c r="AJ4854">
        <v>81.624287594867198</v>
      </c>
      <c r="AK4854">
        <v>0.643845620097375</v>
      </c>
      <c r="AL4854">
        <v>69.095344479053793</v>
      </c>
      <c r="AM4854">
        <v>91.274667343096198</v>
      </c>
      <c r="AN4854">
        <v>0.99999998276396995</v>
      </c>
    </row>
    <row r="4855" spans="1:40" x14ac:dyDescent="0.25">
      <c r="A4855" t="str">
        <f>"20190304164742670"</f>
        <v>20190304164742670</v>
      </c>
      <c r="B4855" t="str">
        <f>"1551689262663830"</f>
        <v>1551689262663830</v>
      </c>
      <c r="C4855" t="s">
        <v>40</v>
      </c>
      <c r="D4855">
        <v>4.7163589999999997</v>
      </c>
      <c r="E4855">
        <v>0.58052519999999996</v>
      </c>
      <c r="F4855" t="s">
        <v>41</v>
      </c>
      <c r="G4855">
        <v>-320.97890000000001</v>
      </c>
      <c r="H4855">
        <v>0.94646680000000005</v>
      </c>
      <c r="I4855">
        <v>16.721070000000001</v>
      </c>
      <c r="J4855">
        <v>-321.68849999999998</v>
      </c>
      <c r="K4855">
        <v>1.1085590000000001</v>
      </c>
      <c r="L4855">
        <v>16.896609999999999</v>
      </c>
      <c r="M4855">
        <v>0.99585469999999998</v>
      </c>
      <c r="N4855">
        <v>-1.07993E-2</v>
      </c>
      <c r="O4855">
        <v>-9.0314220000000001E-2</v>
      </c>
      <c r="P4855">
        <v>0.93623999999999996</v>
      </c>
      <c r="Q4855">
        <v>0.34466170000000002</v>
      </c>
      <c r="R4855">
        <v>-6.828687E-2</v>
      </c>
      <c r="S4855">
        <v>3.3967589999999999</v>
      </c>
      <c r="T4855">
        <v>-0.65091919999999903</v>
      </c>
      <c r="U4855">
        <v>-0.76129150000000001</v>
      </c>
      <c r="V4855">
        <v>-1.467868E-2</v>
      </c>
      <c r="W4855">
        <v>0.35486040000000002</v>
      </c>
      <c r="X4855">
        <v>0.93480410000000003</v>
      </c>
      <c r="Y4855">
        <v>0.12870129999999999</v>
      </c>
      <c r="Z4855">
        <v>3.1436670000000002E-3</v>
      </c>
      <c r="AA4855">
        <v>0.99167839999999996</v>
      </c>
      <c r="AB4855">
        <v>24</v>
      </c>
      <c r="AC4855">
        <v>0.70959999999996604</v>
      </c>
      <c r="AD4855">
        <v>-0.16209219999999999</v>
      </c>
      <c r="AE4855">
        <v>-0.175539999999998</v>
      </c>
      <c r="AF4855">
        <v>0.105542300147797</v>
      </c>
      <c r="AG4855">
        <v>-0.16209219999999999</v>
      </c>
      <c r="AH4855">
        <v>0.68869139526656797</v>
      </c>
      <c r="AI4855">
        <v>103.096697170897</v>
      </c>
      <c r="AJ4855">
        <v>81.287180115259403</v>
      </c>
      <c r="AK4855">
        <v>0.71533830900877904</v>
      </c>
      <c r="AL4855">
        <v>69.215111924447996</v>
      </c>
      <c r="AM4855">
        <v>90.899608057208596</v>
      </c>
      <c r="AN4855">
        <v>1.00000003625575</v>
      </c>
    </row>
    <row r="4856" spans="1:40" x14ac:dyDescent="0.25">
      <c r="A4856" t="str">
        <f>"20190304164742682"</f>
        <v>20190304164742682</v>
      </c>
      <c r="B4856" t="str">
        <f>"1551689262673590"</f>
        <v>1551689262673590</v>
      </c>
      <c r="C4856" t="s">
        <v>40</v>
      </c>
      <c r="D4856">
        <v>4.6682540000000001</v>
      </c>
      <c r="E4856">
        <v>0.58069029999999999</v>
      </c>
      <c r="F4856" t="s">
        <v>41</v>
      </c>
      <c r="G4856">
        <v>-320.96800000000002</v>
      </c>
      <c r="H4856">
        <v>0.96797469999999997</v>
      </c>
      <c r="I4856">
        <v>16.728860000000001</v>
      </c>
      <c r="J4856">
        <v>-321.55610000000001</v>
      </c>
      <c r="K4856">
        <v>1.108549</v>
      </c>
      <c r="L4856">
        <v>16.882660000000001</v>
      </c>
      <c r="M4856">
        <v>0.9956933</v>
      </c>
      <c r="N4856">
        <v>-1.0796969999999999E-2</v>
      </c>
      <c r="O4856">
        <v>-9.2077259999999994E-2</v>
      </c>
      <c r="P4856">
        <v>0.93614189999999997</v>
      </c>
      <c r="Q4856">
        <v>0.34332550000000001</v>
      </c>
      <c r="R4856">
        <v>-7.593627E-2</v>
      </c>
      <c r="S4856">
        <v>3.3902589999999901</v>
      </c>
      <c r="T4856">
        <v>-0.66146149999999904</v>
      </c>
      <c r="U4856">
        <v>-0.78900150000000002</v>
      </c>
      <c r="V4856">
        <v>-8.7222280000000003E-3</v>
      </c>
      <c r="W4856">
        <v>0.3534967</v>
      </c>
      <c r="X4856">
        <v>0.93539510000000003</v>
      </c>
      <c r="Y4856">
        <v>0.13493459999999999</v>
      </c>
      <c r="Z4856">
        <v>2.9096790000000001E-3</v>
      </c>
      <c r="AA4856">
        <v>0.99085020000000001</v>
      </c>
      <c r="AB4856">
        <v>24</v>
      </c>
      <c r="AC4856">
        <v>0.58809999999999696</v>
      </c>
      <c r="AD4856">
        <v>-0.14057430000000001</v>
      </c>
      <c r="AE4856">
        <v>-0.15379999999999999</v>
      </c>
      <c r="AF4856">
        <v>9.3967530980889405E-2</v>
      </c>
      <c r="AG4856">
        <v>-0.14057430000000001</v>
      </c>
      <c r="AH4856">
        <v>0.56931748994986497</v>
      </c>
      <c r="AI4856">
        <v>103.691746150423</v>
      </c>
      <c r="AJ4856">
        <v>80.627661545304704</v>
      </c>
      <c r="AK4856">
        <v>0.59389682189918203</v>
      </c>
      <c r="AL4856">
        <v>69.298661166733694</v>
      </c>
      <c r="AM4856">
        <v>90.534247366636905</v>
      </c>
      <c r="AN4856">
        <v>0.999999993638092</v>
      </c>
    </row>
    <row r="4857" spans="1:40" x14ac:dyDescent="0.25">
      <c r="A4857" t="str">
        <f>"20190304164742696"</f>
        <v>20190304164742696</v>
      </c>
      <c r="B4857" t="str">
        <f>"1551689262694085"</f>
        <v>1551689262694085</v>
      </c>
      <c r="C4857" t="s">
        <v>40</v>
      </c>
      <c r="D4857">
        <v>4.7084190000000001</v>
      </c>
      <c r="E4857">
        <v>0.58065419999999901</v>
      </c>
      <c r="F4857" t="s">
        <v>41</v>
      </c>
      <c r="G4857">
        <v>-320.75979999999998</v>
      </c>
      <c r="H4857">
        <v>0.95152429999999999</v>
      </c>
      <c r="I4857">
        <v>16.68985</v>
      </c>
      <c r="J4857">
        <v>-321.41359999999997</v>
      </c>
      <c r="K4857">
        <v>1.108544</v>
      </c>
      <c r="L4857">
        <v>16.86749</v>
      </c>
      <c r="M4857">
        <v>0.99551650000000003</v>
      </c>
      <c r="N4857">
        <v>-1.0794639999999999E-2</v>
      </c>
      <c r="O4857">
        <v>-9.3971869999999999E-2</v>
      </c>
      <c r="P4857">
        <v>0.93595620000000002</v>
      </c>
      <c r="Q4857">
        <v>0.342043599999999</v>
      </c>
      <c r="R4857">
        <v>-8.361971E-2</v>
      </c>
      <c r="S4857">
        <v>3.3828740000000002</v>
      </c>
      <c r="T4857">
        <v>-0.66683709999999996</v>
      </c>
      <c r="U4857">
        <v>-0.81817629999999997</v>
      </c>
      <c r="V4857">
        <v>-2.850708E-3</v>
      </c>
      <c r="W4857">
        <v>0.35218719999999998</v>
      </c>
      <c r="X4857">
        <v>0.93592520000000001</v>
      </c>
      <c r="Y4857">
        <v>0.1415013</v>
      </c>
      <c r="Z4857">
        <v>2.6236990000000002E-3</v>
      </c>
      <c r="AA4857">
        <v>0.9899346</v>
      </c>
      <c r="AB4857">
        <v>24</v>
      </c>
      <c r="AC4857">
        <v>0.65379999999998895</v>
      </c>
      <c r="AD4857">
        <v>-0.15701969999999901</v>
      </c>
      <c r="AE4857">
        <v>-0.17763999999999999</v>
      </c>
      <c r="AF4857">
        <v>0.109528269388909</v>
      </c>
      <c r="AG4857">
        <v>-0.15701969999999901</v>
      </c>
      <c r="AH4857">
        <v>0.63356923347343996</v>
      </c>
      <c r="AI4857">
        <v>103.723655989723</v>
      </c>
      <c r="AJ4857">
        <v>80.191933635610695</v>
      </c>
      <c r="AK4857">
        <v>0.66186222251125804</v>
      </c>
      <c r="AL4857">
        <v>69.378846724948701</v>
      </c>
      <c r="AM4857">
        <v>90.174515048774197</v>
      </c>
      <c r="AN4857">
        <v>0.99999996518749001</v>
      </c>
    </row>
    <row r="4858" spans="1:40" x14ac:dyDescent="0.25">
      <c r="A4858" t="str">
        <f>"20190304164742715"</f>
        <v>20190304164742715</v>
      </c>
      <c r="B4858" t="str">
        <f>"1551689262703846"</f>
        <v>1551689262703846</v>
      </c>
      <c r="C4858" t="s">
        <v>40</v>
      </c>
      <c r="D4858">
        <v>4.6677749999999998</v>
      </c>
      <c r="E4858">
        <v>0.58088809999999902</v>
      </c>
      <c r="F4858" t="s">
        <v>41</v>
      </c>
      <c r="G4858">
        <v>-320.55070000000001</v>
      </c>
      <c r="H4858">
        <v>0.93611160000000004</v>
      </c>
      <c r="I4858">
        <v>16.651129999999998</v>
      </c>
      <c r="J4858">
        <v>-321.2047</v>
      </c>
      <c r="K4858">
        <v>1.108533</v>
      </c>
      <c r="L4858">
        <v>16.844639999999998</v>
      </c>
      <c r="M4858">
        <v>0.99525079999999999</v>
      </c>
      <c r="N4858">
        <v>-1.07639E-2</v>
      </c>
      <c r="O4858">
        <v>-9.6748219999999996E-2</v>
      </c>
      <c r="P4858">
        <v>0.93508829999999998</v>
      </c>
      <c r="Q4858">
        <v>0.34042499999999998</v>
      </c>
      <c r="R4858">
        <v>-9.8594319999999999E-2</v>
      </c>
      <c r="S4858">
        <v>3.3762210000000001</v>
      </c>
      <c r="T4858">
        <v>-0.67469489999999999</v>
      </c>
      <c r="U4858">
        <v>-0.84643550000000001</v>
      </c>
      <c r="V4858">
        <v>9.5039730000000006E-3</v>
      </c>
      <c r="W4858">
        <v>0.35048089999999998</v>
      </c>
      <c r="X4858">
        <v>0.93652159999999995</v>
      </c>
      <c r="Y4858">
        <v>0.14691100000000001</v>
      </c>
      <c r="Z4858">
        <v>2.6318230000000001E-3</v>
      </c>
      <c r="AA4858">
        <v>0.98914619999999998</v>
      </c>
      <c r="AB4858">
        <v>24</v>
      </c>
      <c r="AC4858">
        <v>0.65399999999999603</v>
      </c>
      <c r="AD4858">
        <v>-0.172421399999999</v>
      </c>
      <c r="AE4858">
        <v>-0.19350999999999899</v>
      </c>
      <c r="AF4858">
        <v>0.121556296353256</v>
      </c>
      <c r="AG4858">
        <v>-0.172421399999999</v>
      </c>
      <c r="AH4858">
        <v>0.62942696052286395</v>
      </c>
      <c r="AI4858">
        <v>105.05424487978</v>
      </c>
      <c r="AJ4858">
        <v>79.0694782481918</v>
      </c>
      <c r="AK4858">
        <v>0.66383986848797505</v>
      </c>
      <c r="AL4858">
        <v>69.483266942789001</v>
      </c>
      <c r="AM4858">
        <v>89.418573101186496</v>
      </c>
      <c r="AN4858">
        <v>0.99999994701707595</v>
      </c>
    </row>
    <row r="4859" spans="1:40" x14ac:dyDescent="0.25">
      <c r="A4859" t="str">
        <f>"20190304164742737"</f>
        <v>20190304164742737</v>
      </c>
      <c r="B4859" t="str">
        <f>"1551689262734103"</f>
        <v>1551689262734103</v>
      </c>
      <c r="C4859" t="s">
        <v>40</v>
      </c>
      <c r="D4859">
        <v>4.7286659999999996</v>
      </c>
      <c r="E4859">
        <v>0.58056160000000001</v>
      </c>
      <c r="F4859" t="s">
        <v>41</v>
      </c>
      <c r="G4859">
        <v>-320.3338</v>
      </c>
      <c r="H4859">
        <v>0.93273700000000004</v>
      </c>
      <c r="I4859">
        <v>16.60942</v>
      </c>
      <c r="J4859">
        <v>-320.96730000000002</v>
      </c>
      <c r="K4859">
        <v>1.108366</v>
      </c>
      <c r="L4859">
        <v>16.818049999999999</v>
      </c>
      <c r="M4859">
        <v>0.99493430000000005</v>
      </c>
      <c r="N4859">
        <v>-1.0141499999999999E-2</v>
      </c>
      <c r="O4859">
        <v>-0.1000143</v>
      </c>
      <c r="P4859">
        <v>0.93352259999999998</v>
      </c>
      <c r="Q4859">
        <v>0.33970610000000001</v>
      </c>
      <c r="R4859">
        <v>-0.1146105</v>
      </c>
      <c r="S4859">
        <v>3.3594059999999999</v>
      </c>
      <c r="T4859">
        <v>-0.67781480000000005</v>
      </c>
      <c r="U4859">
        <v>-0.90637210000000001</v>
      </c>
      <c r="V4859">
        <v>2.2488250000000001E-2</v>
      </c>
      <c r="W4859">
        <v>0.34911219999999998</v>
      </c>
      <c r="X4859">
        <v>0.93681110000000001</v>
      </c>
      <c r="Y4859">
        <v>0.16112119999999999</v>
      </c>
      <c r="Z4859">
        <v>1.8990980000000001E-3</v>
      </c>
      <c r="AA4859">
        <v>0.98693280000000005</v>
      </c>
      <c r="AB4859">
        <v>24</v>
      </c>
      <c r="AC4859">
        <v>0.63350000000002604</v>
      </c>
      <c r="AD4859">
        <v>-0.17562899999999901</v>
      </c>
      <c r="AE4859">
        <v>-0.20862999999999901</v>
      </c>
      <c r="AF4859">
        <v>0.13486971698632599</v>
      </c>
      <c r="AG4859">
        <v>-0.17562899999999901</v>
      </c>
      <c r="AH4859">
        <v>0.60896508401025795</v>
      </c>
      <c r="AI4859">
        <v>105.726289368197</v>
      </c>
      <c r="AJ4859">
        <v>77.512070698029902</v>
      </c>
      <c r="AK4859">
        <v>0.64797674321274301</v>
      </c>
      <c r="AL4859">
        <v>69.566978005440106</v>
      </c>
      <c r="AM4859">
        <v>88.624872820804995</v>
      </c>
      <c r="AN4859">
        <v>1.00000004333005</v>
      </c>
    </row>
    <row r="4860" spans="1:40" x14ac:dyDescent="0.25">
      <c r="A4860" t="str">
        <f>"20190304164742753"</f>
        <v>20190304164742753</v>
      </c>
      <c r="B4860" t="str">
        <f>"1551689262743861"</f>
        <v>1551689262743861</v>
      </c>
      <c r="C4860" t="s">
        <v>40</v>
      </c>
      <c r="D4860">
        <v>4.6874390000000004</v>
      </c>
      <c r="E4860">
        <v>0.58047720000000003</v>
      </c>
      <c r="F4860" t="s">
        <v>41</v>
      </c>
      <c r="G4860">
        <v>-320.11360000000002</v>
      </c>
      <c r="H4860">
        <v>0.933666</v>
      </c>
      <c r="I4860">
        <v>16.5718</v>
      </c>
      <c r="J4860">
        <v>-320.77659999999997</v>
      </c>
      <c r="K4860">
        <v>1.1081780000000001</v>
      </c>
      <c r="L4860">
        <v>16.796199999999999</v>
      </c>
      <c r="M4860">
        <v>0.99467150000000004</v>
      </c>
      <c r="N4860">
        <v>-9.7493570000000002E-3</v>
      </c>
      <c r="O4860">
        <v>-0.1026344</v>
      </c>
      <c r="P4860">
        <v>0.93235389999999996</v>
      </c>
      <c r="Q4860">
        <v>0.33985159999999998</v>
      </c>
      <c r="R4860">
        <v>-0.1233577</v>
      </c>
      <c r="S4860">
        <v>3.3442080000000001</v>
      </c>
      <c r="T4860">
        <v>-0.6841353</v>
      </c>
      <c r="U4860">
        <v>-0.96420289999999997</v>
      </c>
      <c r="V4860">
        <v>2.882827E-2</v>
      </c>
      <c r="W4860">
        <v>0.34885569999999999</v>
      </c>
      <c r="X4860">
        <v>0.93673289999999998</v>
      </c>
      <c r="Y4860">
        <v>0.17521110000000001</v>
      </c>
      <c r="Z4860">
        <v>1.0278240000000001E-3</v>
      </c>
      <c r="AA4860">
        <v>0.98453029999999997</v>
      </c>
      <c r="AB4860">
        <v>25</v>
      </c>
      <c r="AC4860">
        <v>0.66299999999995396</v>
      </c>
      <c r="AD4860">
        <v>-0.174512</v>
      </c>
      <c r="AE4860">
        <v>-0.22439999999999899</v>
      </c>
      <c r="AF4860">
        <v>0.146084215900603</v>
      </c>
      <c r="AG4860">
        <v>-0.174512</v>
      </c>
      <c r="AH4860">
        <v>0.64258656103035905</v>
      </c>
      <c r="AI4860">
        <v>104.83260830879</v>
      </c>
      <c r="AJ4860">
        <v>77.192188646981506</v>
      </c>
      <c r="AK4860">
        <v>0.68169826514090404</v>
      </c>
      <c r="AL4860">
        <v>69.582658292022202</v>
      </c>
      <c r="AM4860">
        <v>88.237259487408096</v>
      </c>
      <c r="AN4860">
        <v>0.99999994725804497</v>
      </c>
    </row>
    <row r="4861" spans="1:40" x14ac:dyDescent="0.25">
      <c r="A4861" t="str">
        <f>"20190304164742771"</f>
        <v>20190304164742771</v>
      </c>
      <c r="B4861" t="str">
        <f>"1551689262764358"</f>
        <v>1551689262764358</v>
      </c>
      <c r="C4861" t="s">
        <v>40</v>
      </c>
      <c r="D4861">
        <v>4.7113529999999999</v>
      </c>
      <c r="E4861">
        <v>0.58047599999999999</v>
      </c>
      <c r="F4861" t="s">
        <v>41</v>
      </c>
      <c r="G4861">
        <v>-320.09589999999997</v>
      </c>
      <c r="H4861">
        <v>0.96858390000000005</v>
      </c>
      <c r="I4861">
        <v>16.59263</v>
      </c>
      <c r="J4861">
        <v>-320.59539999999998</v>
      </c>
      <c r="K4861">
        <v>1.1079920000000001</v>
      </c>
      <c r="L4861">
        <v>16.775020000000001</v>
      </c>
      <c r="M4861">
        <v>0.9944151</v>
      </c>
      <c r="N4861">
        <v>-9.8464659999999999E-3</v>
      </c>
      <c r="O4861">
        <v>-0.1050809</v>
      </c>
      <c r="P4861">
        <v>0.93047539999999995</v>
      </c>
      <c r="Q4861">
        <v>0.33906930000000002</v>
      </c>
      <c r="R4861">
        <v>-0.1387362</v>
      </c>
      <c r="S4861">
        <v>3.334991</v>
      </c>
      <c r="T4861">
        <v>-0.68371949999999904</v>
      </c>
      <c r="U4861">
        <v>-0.99707029999999996</v>
      </c>
      <c r="V4861">
        <v>4.2004939999999998E-2</v>
      </c>
      <c r="W4861">
        <v>0.34809319999999999</v>
      </c>
      <c r="X4861">
        <v>0.93651839999999997</v>
      </c>
      <c r="Y4861">
        <v>0.182336</v>
      </c>
      <c r="Z4861">
        <v>7.2165949999999999E-4</v>
      </c>
      <c r="AA4861">
        <v>0.983236</v>
      </c>
      <c r="AB4861">
        <v>25</v>
      </c>
      <c r="AC4861">
        <v>0.49950000000001099</v>
      </c>
      <c r="AD4861">
        <v>-0.13940810000000001</v>
      </c>
      <c r="AE4861">
        <v>-0.182390000000001</v>
      </c>
      <c r="AF4861">
        <v>0.12060075989574499</v>
      </c>
      <c r="AG4861">
        <v>-0.13940810000000001</v>
      </c>
      <c r="AH4861">
        <v>0.48272325336880401</v>
      </c>
      <c r="AI4861">
        <v>105.651985280845</v>
      </c>
      <c r="AJ4861">
        <v>75.972699721937701</v>
      </c>
      <c r="AK4861">
        <v>0.516721299131363</v>
      </c>
      <c r="AL4861">
        <v>69.629269067517896</v>
      </c>
      <c r="AM4861">
        <v>87.431877632032894</v>
      </c>
      <c r="AN4861">
        <v>1.0000000022046001</v>
      </c>
    </row>
    <row r="4862" spans="1:40" x14ac:dyDescent="0.25">
      <c r="A4862" t="str">
        <f>"20190304164742791"</f>
        <v>20190304164742791</v>
      </c>
      <c r="B4862" t="str">
        <f>"1551689262783881"</f>
        <v>1551689262783881</v>
      </c>
      <c r="C4862" t="s">
        <v>40</v>
      </c>
      <c r="D4862">
        <v>4.6574660000000003</v>
      </c>
      <c r="E4862">
        <v>0.58007069999999905</v>
      </c>
      <c r="F4862" t="s">
        <v>41</v>
      </c>
      <c r="G4862">
        <v>-319.88080000000002</v>
      </c>
      <c r="H4862">
        <v>0.96053909999999998</v>
      </c>
      <c r="I4862">
        <v>16.547079999999902</v>
      </c>
      <c r="J4862">
        <v>-320.35489999999999</v>
      </c>
      <c r="K4862">
        <v>1.1076079999999999</v>
      </c>
      <c r="L4862">
        <v>16.746310000000001</v>
      </c>
      <c r="M4862">
        <v>0.9940658</v>
      </c>
      <c r="N4862">
        <v>-1.03718E-2</v>
      </c>
      <c r="O4862">
        <v>-0.1082861</v>
      </c>
      <c r="P4862">
        <v>0.92809850000000005</v>
      </c>
      <c r="Q4862">
        <v>0.33862540000000002</v>
      </c>
      <c r="R4862">
        <v>-0.15480969999999999</v>
      </c>
      <c r="S4862">
        <v>3.3157960000000002</v>
      </c>
      <c r="T4862">
        <v>-0.68377180000000004</v>
      </c>
      <c r="U4862">
        <v>-1.0562739999999999</v>
      </c>
      <c r="V4862">
        <v>5.523517E-2</v>
      </c>
      <c r="W4862">
        <v>0.34806320000000002</v>
      </c>
      <c r="X4862">
        <v>0.93584250000000002</v>
      </c>
      <c r="Y4862">
        <v>0.19647390000000001</v>
      </c>
      <c r="Z4862">
        <v>-2.6474890000000002E-4</v>
      </c>
      <c r="AA4862">
        <v>0.98050899999999996</v>
      </c>
      <c r="AB4862">
        <v>25</v>
      </c>
      <c r="AC4862">
        <v>0.47409999999996399</v>
      </c>
      <c r="AD4862">
        <v>-0.147068899999999</v>
      </c>
      <c r="AE4862">
        <v>-0.19923000000000299</v>
      </c>
      <c r="AF4862">
        <v>0.13562500755926701</v>
      </c>
      <c r="AG4862">
        <v>-0.147068899999999</v>
      </c>
      <c r="AH4862">
        <v>0.45562350275186497</v>
      </c>
      <c r="AI4862">
        <v>107.19053582330901</v>
      </c>
      <c r="AJ4862">
        <v>73.4233613567026</v>
      </c>
      <c r="AK4862">
        <v>0.497610470430979</v>
      </c>
      <c r="AL4862">
        <v>69.631103616724005</v>
      </c>
      <c r="AM4862">
        <v>86.622214843207999</v>
      </c>
      <c r="AN4862">
        <v>1.0000000500027</v>
      </c>
    </row>
    <row r="4863" spans="1:40" x14ac:dyDescent="0.25">
      <c r="A4863" t="str">
        <f>"20190304164742804"</f>
        <v>20190304164742804</v>
      </c>
      <c r="B4863" t="str">
        <f>"1551689262793639"</f>
        <v>1551689262793639</v>
      </c>
      <c r="C4863" t="s">
        <v>40</v>
      </c>
      <c r="D4863">
        <v>4.6952720000000001</v>
      </c>
      <c r="E4863">
        <v>0.57998930000000004</v>
      </c>
      <c r="F4863" t="s">
        <v>41</v>
      </c>
      <c r="G4863">
        <v>-319.66019999999997</v>
      </c>
      <c r="H4863">
        <v>0.96272829999999998</v>
      </c>
      <c r="I4863">
        <v>16.51155</v>
      </c>
      <c r="J4863">
        <v>-320.2208</v>
      </c>
      <c r="K4863">
        <v>1.1072500000000001</v>
      </c>
      <c r="L4863">
        <v>16.729949999999999</v>
      </c>
      <c r="M4863">
        <v>0.99386600000000003</v>
      </c>
      <c r="N4863">
        <v>-1.0800540000000001E-2</v>
      </c>
      <c r="O4863">
        <v>-0.1100633</v>
      </c>
      <c r="P4863">
        <v>0.92682390000000003</v>
      </c>
      <c r="Q4863">
        <v>0.3382445</v>
      </c>
      <c r="R4863">
        <v>-0.16305919999999999</v>
      </c>
      <c r="S4863">
        <v>3.2975159999999999</v>
      </c>
      <c r="T4863">
        <v>-0.68754539999999997</v>
      </c>
      <c r="U4863">
        <v>-1.1137079999999999</v>
      </c>
      <c r="V4863">
        <v>6.192508E-2</v>
      </c>
      <c r="W4863">
        <v>0.34804040000000003</v>
      </c>
      <c r="X4863">
        <v>0.93543209999999999</v>
      </c>
      <c r="Y4863">
        <v>0.2113633</v>
      </c>
      <c r="Z4863">
        <v>-1.588913E-3</v>
      </c>
      <c r="AA4863">
        <v>0.97740629999999995</v>
      </c>
      <c r="AB4863">
        <v>25</v>
      </c>
      <c r="AC4863">
        <v>0.56060000000002197</v>
      </c>
      <c r="AD4863">
        <v>-0.144521699999999</v>
      </c>
      <c r="AE4863">
        <v>-0.21839999999999901</v>
      </c>
      <c r="AF4863">
        <v>0.14689190696205701</v>
      </c>
      <c r="AG4863">
        <v>-0.144521699999999</v>
      </c>
      <c r="AH4863">
        <v>0.549524186272349</v>
      </c>
      <c r="AI4863">
        <v>104.25570557843599</v>
      </c>
      <c r="AJ4863">
        <v>75.034311761710597</v>
      </c>
      <c r="AK4863">
        <v>0.586890607694592</v>
      </c>
      <c r="AL4863">
        <v>69.632496547170405</v>
      </c>
      <c r="AM4863">
        <v>86.212577726372203</v>
      </c>
      <c r="AN4863">
        <v>1.00000002463778</v>
      </c>
    </row>
    <row r="4864" spans="1:40" x14ac:dyDescent="0.25">
      <c r="A4864" t="str">
        <f>"20190304164742819"</f>
        <v>20190304164742819</v>
      </c>
      <c r="B4864" t="str">
        <f>"1551689262814134"</f>
        <v>1551689262814134</v>
      </c>
      <c r="C4864" t="s">
        <v>40</v>
      </c>
      <c r="D4864">
        <v>4.646935</v>
      </c>
      <c r="E4864">
        <v>0.57986530000000003</v>
      </c>
      <c r="F4864" t="s">
        <v>41</v>
      </c>
      <c r="G4864">
        <v>-319.44920000000002</v>
      </c>
      <c r="H4864">
        <v>0.94558699999999996</v>
      </c>
      <c r="I4864">
        <v>16.46144</v>
      </c>
      <c r="J4864">
        <v>-320.06049999999999</v>
      </c>
      <c r="K4864">
        <v>1.1067279999999999</v>
      </c>
      <c r="L4864">
        <v>16.71011</v>
      </c>
      <c r="M4864">
        <v>0.99362779999999995</v>
      </c>
      <c r="N4864">
        <v>-1.138629E-2</v>
      </c>
      <c r="O4864">
        <v>-0.1121361</v>
      </c>
      <c r="P4864">
        <v>0.92556579999999999</v>
      </c>
      <c r="Q4864">
        <v>0.33781840000000002</v>
      </c>
      <c r="R4864">
        <v>-0.1709012</v>
      </c>
      <c r="S4864">
        <v>3.2869259999999998</v>
      </c>
      <c r="T4864">
        <v>-0.68834600000000001</v>
      </c>
      <c r="U4864">
        <v>-1.1430359999999999</v>
      </c>
      <c r="V4864">
        <v>6.7947270000000004E-2</v>
      </c>
      <c r="W4864">
        <v>0.34811779999999998</v>
      </c>
      <c r="X4864">
        <v>0.93498519999999896</v>
      </c>
      <c r="Y4864">
        <v>0.21794369999999999</v>
      </c>
      <c r="Z4864">
        <v>-2.029482E-3</v>
      </c>
      <c r="AA4864">
        <v>0.97595920000000003</v>
      </c>
      <c r="AB4864">
        <v>25</v>
      </c>
      <c r="AC4864">
        <v>0.61129999999997098</v>
      </c>
      <c r="AD4864">
        <v>-0.16114100000000001</v>
      </c>
      <c r="AE4864">
        <v>-0.24867</v>
      </c>
      <c r="AF4864">
        <v>0.168501910323645</v>
      </c>
      <c r="AG4864">
        <v>-0.16114100000000001</v>
      </c>
      <c r="AH4864">
        <v>0.59958287492177897</v>
      </c>
      <c r="AI4864">
        <v>104.50615103963</v>
      </c>
      <c r="AJ4864">
        <v>74.302943400920398</v>
      </c>
      <c r="AK4864">
        <v>0.64331869206730097</v>
      </c>
      <c r="AL4864">
        <v>69.627767192837595</v>
      </c>
      <c r="AM4864">
        <v>85.843506393286503</v>
      </c>
      <c r="AN4864">
        <v>1.00000007919816</v>
      </c>
    </row>
    <row r="4865" spans="1:40" x14ac:dyDescent="0.25">
      <c r="A4865" t="str">
        <f>"20190304164742835"</f>
        <v>20190304164742835</v>
      </c>
      <c r="B4865" t="str">
        <f>"1551689262823895"</f>
        <v>1551689262823895</v>
      </c>
      <c r="C4865" t="s">
        <v>40</v>
      </c>
      <c r="D4865">
        <v>4.6811059999999998</v>
      </c>
      <c r="E4865">
        <v>0.57985189999999998</v>
      </c>
      <c r="F4865" t="s">
        <v>41</v>
      </c>
      <c r="G4865">
        <v>-319.23520000000002</v>
      </c>
      <c r="H4865">
        <v>0.93351030000000002</v>
      </c>
      <c r="I4865">
        <v>16.41527</v>
      </c>
      <c r="J4865">
        <v>-319.87779999999998</v>
      </c>
      <c r="K4865">
        <v>1.1059779999999999</v>
      </c>
      <c r="L4865">
        <v>16.68713</v>
      </c>
      <c r="M4865">
        <v>0.99336449999999998</v>
      </c>
      <c r="N4865">
        <v>-1.220155E-2</v>
      </c>
      <c r="O4865">
        <v>-0.1143609</v>
      </c>
      <c r="P4865">
        <v>0.92264420000000003</v>
      </c>
      <c r="Q4865">
        <v>0.33838689999999999</v>
      </c>
      <c r="R4865">
        <v>-0.18499260000000001</v>
      </c>
      <c r="S4865">
        <v>3.2760929999999999</v>
      </c>
      <c r="T4865">
        <v>-0.68758699999999995</v>
      </c>
      <c r="U4865">
        <v>-1.1705019999999999</v>
      </c>
      <c r="V4865">
        <v>8.0256389999999997E-2</v>
      </c>
      <c r="W4865">
        <v>0.349350299999999</v>
      </c>
      <c r="X4865">
        <v>0.93354870000000001</v>
      </c>
      <c r="Y4865">
        <v>0.22391150000000001</v>
      </c>
      <c r="Z4865">
        <v>-2.4368129999999999E-3</v>
      </c>
      <c r="AA4865">
        <v>0.97460650000000004</v>
      </c>
      <c r="AB4865">
        <v>25</v>
      </c>
      <c r="AC4865">
        <v>0.64259999999995898</v>
      </c>
      <c r="AD4865">
        <v>-0.1724677</v>
      </c>
      <c r="AE4865">
        <v>-0.27185999999999999</v>
      </c>
      <c r="AF4865">
        <v>0.18526315370004801</v>
      </c>
      <c r="AG4865">
        <v>-0.1724677</v>
      </c>
      <c r="AH4865">
        <v>0.63092750564103495</v>
      </c>
      <c r="AI4865">
        <v>104.696633632</v>
      </c>
      <c r="AJ4865">
        <v>73.635851737415393</v>
      </c>
      <c r="AK4865">
        <v>0.67980663503425498</v>
      </c>
      <c r="AL4865">
        <v>69.552417167595607</v>
      </c>
      <c r="AM4865">
        <v>85.086411606969193</v>
      </c>
      <c r="AN4865">
        <v>0.99999994775880396</v>
      </c>
    </row>
    <row r="4866" spans="1:40" x14ac:dyDescent="0.25">
      <c r="A4866" t="str">
        <f>"20190304164742848"</f>
        <v>20190304164742848</v>
      </c>
      <c r="B4866" t="str">
        <f>"1551689262844390"</f>
        <v>1551689262844390</v>
      </c>
      <c r="C4866" t="s">
        <v>40</v>
      </c>
      <c r="D4866">
        <v>4.6396389999999998</v>
      </c>
      <c r="E4866">
        <v>0.57967609999999903</v>
      </c>
      <c r="F4866" t="s">
        <v>41</v>
      </c>
      <c r="G4866">
        <v>-319.01990000000001</v>
      </c>
      <c r="H4866">
        <v>0.92600970000000005</v>
      </c>
      <c r="I4866">
        <v>16.365489999999902</v>
      </c>
      <c r="J4866">
        <v>-319.72890000000001</v>
      </c>
      <c r="K4866">
        <v>1.1052729999999999</v>
      </c>
      <c r="L4866">
        <v>16.66797</v>
      </c>
      <c r="M4866">
        <v>0.99315450000000005</v>
      </c>
      <c r="N4866">
        <v>-1.3111299999999999E-2</v>
      </c>
      <c r="O4866">
        <v>-0.1160699</v>
      </c>
      <c r="P4866">
        <v>0.92110409999999998</v>
      </c>
      <c r="Q4866">
        <v>0.3382098</v>
      </c>
      <c r="R4866">
        <v>-0.192825</v>
      </c>
      <c r="S4866">
        <v>3.257355</v>
      </c>
      <c r="T4866">
        <v>-0.68320570000000003</v>
      </c>
      <c r="U4866">
        <v>-1.2208859999999999</v>
      </c>
      <c r="V4866">
        <v>8.6654309999999998E-2</v>
      </c>
      <c r="W4866">
        <v>0.34996719999999998</v>
      </c>
      <c r="X4866">
        <v>0.93274539999999995</v>
      </c>
      <c r="Y4866">
        <v>0.2370189</v>
      </c>
      <c r="Z4866">
        <v>-3.739975E-3</v>
      </c>
      <c r="AA4866">
        <v>0.97149779999999997</v>
      </c>
      <c r="AB4866">
        <v>25</v>
      </c>
      <c r="AC4866">
        <v>0.70900000000000296</v>
      </c>
      <c r="AD4866">
        <v>-0.17926329999999999</v>
      </c>
      <c r="AE4866">
        <v>-0.30248000000000203</v>
      </c>
      <c r="AF4866">
        <v>0.20694231077088401</v>
      </c>
      <c r="AG4866">
        <v>-0.17926329999999999</v>
      </c>
      <c r="AH4866">
        <v>0.70138524299397997</v>
      </c>
      <c r="AI4866">
        <v>103.773719899046</v>
      </c>
      <c r="AJ4866">
        <v>73.561410966745797</v>
      </c>
      <c r="AK4866">
        <v>0.75292875479942101</v>
      </c>
      <c r="AL4866">
        <v>69.514690977672601</v>
      </c>
      <c r="AM4866">
        <v>84.692318082000199</v>
      </c>
      <c r="AN4866">
        <v>0.99999999586928801</v>
      </c>
    </row>
    <row r="4867" spans="1:40" x14ac:dyDescent="0.25">
      <c r="A4867" t="str">
        <f>"20190304164742860"</f>
        <v>20190304164742860</v>
      </c>
      <c r="B4867" t="str">
        <f>"1551689262854150"</f>
        <v>1551689262854150</v>
      </c>
      <c r="C4867" t="s">
        <v>40</v>
      </c>
      <c r="D4867">
        <v>4.4879410000000002</v>
      </c>
      <c r="E4867">
        <v>0.57960299999999998</v>
      </c>
      <c r="F4867" t="s">
        <v>41</v>
      </c>
      <c r="G4867">
        <v>-319.00529999999998</v>
      </c>
      <c r="H4867">
        <v>0.95339719999999994</v>
      </c>
      <c r="I4867">
        <v>16.390029999999999</v>
      </c>
      <c r="J4867">
        <v>-319.60509999999999</v>
      </c>
      <c r="K4867">
        <v>1.1046590000000001</v>
      </c>
      <c r="L4867">
        <v>16.651789999999998</v>
      </c>
      <c r="M4867">
        <v>0.99297409999999997</v>
      </c>
      <c r="N4867">
        <v>-1.394535E-2</v>
      </c>
      <c r="O4867">
        <v>-0.1175084</v>
      </c>
      <c r="P4867">
        <v>0.91983680000000001</v>
      </c>
      <c r="Q4867">
        <v>0.33783039999999998</v>
      </c>
      <c r="R4867">
        <v>-0.1994271</v>
      </c>
      <c r="S4867">
        <v>3.2461850000000001</v>
      </c>
      <c r="T4867">
        <v>-0.68129059999999997</v>
      </c>
      <c r="U4867">
        <v>-1.246521</v>
      </c>
      <c r="V4867">
        <v>9.203132E-2</v>
      </c>
      <c r="W4867">
        <v>0.35032190000000002</v>
      </c>
      <c r="X4867">
        <v>0.93209699999999995</v>
      </c>
      <c r="Y4867">
        <v>0.24327579999999999</v>
      </c>
      <c r="Z4867">
        <v>-4.3478630000000004E-3</v>
      </c>
      <c r="AA4867">
        <v>0.96994740000000002</v>
      </c>
      <c r="AB4867">
        <v>25</v>
      </c>
      <c r="AC4867">
        <v>0.59980000000001599</v>
      </c>
      <c r="AD4867">
        <v>-0.1512618</v>
      </c>
      <c r="AE4867">
        <v>-0.26175999999999799</v>
      </c>
      <c r="AF4867">
        <v>0.17984956544230499</v>
      </c>
      <c r="AG4867">
        <v>-0.1512618</v>
      </c>
      <c r="AH4867">
        <v>0.59463804330097203</v>
      </c>
      <c r="AI4867">
        <v>103.68429345067899</v>
      </c>
      <c r="AJ4867">
        <v>73.171944860173397</v>
      </c>
      <c r="AK4867">
        <v>0.63939064809381996</v>
      </c>
      <c r="AL4867">
        <v>69.492994944084899</v>
      </c>
      <c r="AM4867">
        <v>84.361133364067399</v>
      </c>
      <c r="AN4867">
        <v>1.0000000074447699</v>
      </c>
    </row>
    <row r="4868" spans="1:40" x14ac:dyDescent="0.25">
      <c r="A4868" t="str">
        <f>"20190304164742872"</f>
        <v>20190304164742872</v>
      </c>
      <c r="B4868" t="str">
        <f>"1551689262863992"</f>
        <v>1551689262863992</v>
      </c>
      <c r="C4868" t="s">
        <v>40</v>
      </c>
      <c r="D4868">
        <v>4.5049229999999998</v>
      </c>
      <c r="E4868">
        <v>0.57952159999999997</v>
      </c>
      <c r="F4868" t="s">
        <v>41</v>
      </c>
      <c r="G4868">
        <v>-318.79629999999997</v>
      </c>
      <c r="H4868">
        <v>0.93428489999999997</v>
      </c>
      <c r="I4868">
        <v>16.334969999999998</v>
      </c>
      <c r="J4868">
        <v>-319.46269999999998</v>
      </c>
      <c r="K4868">
        <v>1.10392</v>
      </c>
      <c r="L4868">
        <v>16.633029999999899</v>
      </c>
      <c r="M4868">
        <v>0.99275939999999996</v>
      </c>
      <c r="N4868">
        <v>-1.4984809999999999E-2</v>
      </c>
      <c r="O4868">
        <v>-0.1191822</v>
      </c>
      <c r="P4868">
        <v>0.91780050000000002</v>
      </c>
      <c r="Q4868">
        <v>0.33755069999999998</v>
      </c>
      <c r="R4868">
        <v>-0.2090504</v>
      </c>
      <c r="S4868">
        <v>3.2370299999999999</v>
      </c>
      <c r="T4868">
        <v>-0.68161590000000005</v>
      </c>
      <c r="U4868">
        <v>-1.2673030000000001</v>
      </c>
      <c r="V4868">
        <v>0.1002707</v>
      </c>
      <c r="W4868">
        <v>0.35094579999999997</v>
      </c>
      <c r="X4868">
        <v>0.9310117</v>
      </c>
      <c r="Y4868">
        <v>0.2478458</v>
      </c>
      <c r="Z4868">
        <v>-4.7910009999999996E-3</v>
      </c>
      <c r="AA4868">
        <v>0.96878770000000003</v>
      </c>
      <c r="AB4868">
        <v>25</v>
      </c>
      <c r="AC4868">
        <v>0.66640000000000998</v>
      </c>
      <c r="AD4868">
        <v>-0.16963510000000001</v>
      </c>
      <c r="AE4868">
        <v>-0.29805999999999599</v>
      </c>
      <c r="AF4868">
        <v>0.205411710081182</v>
      </c>
      <c r="AG4868">
        <v>-0.16963510000000001</v>
      </c>
      <c r="AH4868">
        <v>0.66146026258192903</v>
      </c>
      <c r="AI4868">
        <v>103.761851634463</v>
      </c>
      <c r="AJ4868">
        <v>72.748195650675299</v>
      </c>
      <c r="AK4868">
        <v>0.71309166084413</v>
      </c>
      <c r="AL4868">
        <v>69.454824122736795</v>
      </c>
      <c r="AM4868">
        <v>83.852893643858707</v>
      </c>
      <c r="AN4868">
        <v>0.99999997667650897</v>
      </c>
    </row>
    <row r="4869" spans="1:40" x14ac:dyDescent="0.25">
      <c r="A4869" t="str">
        <f>"20190304164742885"</f>
        <v>20190304164742885</v>
      </c>
      <c r="B4869" t="str">
        <f>"1551689262873753"</f>
        <v>1551689262873753</v>
      </c>
      <c r="C4869" t="s">
        <v>40</v>
      </c>
      <c r="D4869">
        <v>4.4905269999999904</v>
      </c>
      <c r="E4869">
        <v>0.57941860000000001</v>
      </c>
      <c r="F4869" t="s">
        <v>41</v>
      </c>
      <c r="G4869">
        <v>-318.7824</v>
      </c>
      <c r="H4869">
        <v>0.95998380000000005</v>
      </c>
      <c r="I4869">
        <v>16.358789999999999</v>
      </c>
      <c r="J4869">
        <v>-319.32639999999998</v>
      </c>
      <c r="K4869">
        <v>1.103145</v>
      </c>
      <c r="L4869">
        <v>16.61469</v>
      </c>
      <c r="M4869">
        <v>0.99253539999999996</v>
      </c>
      <c r="N4869">
        <v>-1.5978389999999999E-2</v>
      </c>
      <c r="O4869">
        <v>-0.1209056</v>
      </c>
      <c r="P4869">
        <v>0.91604870000000005</v>
      </c>
      <c r="Q4869">
        <v>0.3370011</v>
      </c>
      <c r="R4869">
        <v>-0.21745049999999999</v>
      </c>
      <c r="S4869">
        <v>3.2236020000000001</v>
      </c>
      <c r="T4869">
        <v>-0.68177880000000002</v>
      </c>
      <c r="U4869">
        <v>-1.2987059999999999</v>
      </c>
      <c r="V4869">
        <v>0.1071995</v>
      </c>
      <c r="W4869">
        <v>0.35126990000000002</v>
      </c>
      <c r="X4869">
        <v>0.93011710000000003</v>
      </c>
      <c r="Y4869">
        <v>0.25548789999999999</v>
      </c>
      <c r="Z4869">
        <v>-5.5600889999999998E-3</v>
      </c>
      <c r="AA4869">
        <v>0.96679619999999999</v>
      </c>
      <c r="AB4869">
        <v>25</v>
      </c>
      <c r="AC4869">
        <v>0.54399999999998205</v>
      </c>
      <c r="AD4869">
        <v>-0.14316119999999999</v>
      </c>
      <c r="AE4869">
        <v>-0.25590000000000002</v>
      </c>
      <c r="AF4869">
        <v>0.17813942282713799</v>
      </c>
      <c r="AG4869">
        <v>-0.14316119999999999</v>
      </c>
      <c r="AH4869">
        <v>0.54031234106906201</v>
      </c>
      <c r="AI4869">
        <v>104.124450472494</v>
      </c>
      <c r="AJ4869">
        <v>71.752760974480395</v>
      </c>
      <c r="AK4869">
        <v>0.58665680688299904</v>
      </c>
      <c r="AL4869">
        <v>69.434993468983805</v>
      </c>
      <c r="AM4869">
        <v>83.425453984882395</v>
      </c>
      <c r="AN4869">
        <v>1.00000004757933</v>
      </c>
    </row>
    <row r="4870" spans="1:40" x14ac:dyDescent="0.25">
      <c r="A4870" t="str">
        <f>"20190304164742899"</f>
        <v>20190304164742899</v>
      </c>
      <c r="B4870" t="str">
        <f>"1551689262894249"</f>
        <v>1551689262894249</v>
      </c>
      <c r="C4870" t="s">
        <v>40</v>
      </c>
      <c r="D4870">
        <v>4.4016039999999998</v>
      </c>
      <c r="E4870">
        <v>0.57925969999999904</v>
      </c>
      <c r="F4870" t="s">
        <v>41</v>
      </c>
      <c r="G4870">
        <v>-318.5727</v>
      </c>
      <c r="H4870">
        <v>0.94279829999999998</v>
      </c>
      <c r="I4870">
        <v>16.303509999999999</v>
      </c>
      <c r="J4870">
        <v>-319.18419999999998</v>
      </c>
      <c r="K4870">
        <v>1.102298</v>
      </c>
      <c r="L4870">
        <v>16.595400000000001</v>
      </c>
      <c r="M4870">
        <v>0.99229219999999896</v>
      </c>
      <c r="N4870">
        <v>-1.698413E-2</v>
      </c>
      <c r="O4870">
        <v>-0.1227509</v>
      </c>
      <c r="P4870">
        <v>0.91416489999999995</v>
      </c>
      <c r="Q4870">
        <v>0.33645419999999998</v>
      </c>
      <c r="R4870">
        <v>-0.22605620000000001</v>
      </c>
      <c r="S4870">
        <v>3.2116389999999999</v>
      </c>
      <c r="T4870">
        <v>-0.68286530000000001</v>
      </c>
      <c r="U4870">
        <v>-1.324921</v>
      </c>
      <c r="V4870">
        <v>0.1142357</v>
      </c>
      <c r="W4870">
        <v>0.35160380000000002</v>
      </c>
      <c r="X4870">
        <v>0.9291528</v>
      </c>
      <c r="Y4870">
        <v>0.26153589999999999</v>
      </c>
      <c r="Z4870">
        <v>-6.1502029999999999E-3</v>
      </c>
      <c r="AA4870">
        <v>0.96517410000000003</v>
      </c>
      <c r="AB4870">
        <v>25</v>
      </c>
      <c r="AC4870">
        <v>0.61149999999997795</v>
      </c>
      <c r="AD4870">
        <v>-0.15949969999999999</v>
      </c>
      <c r="AE4870">
        <v>-0.29189000000000198</v>
      </c>
      <c r="AF4870">
        <v>0.20334192390119701</v>
      </c>
      <c r="AG4870">
        <v>-0.15949969999999999</v>
      </c>
      <c r="AH4870">
        <v>0.60896674609169699</v>
      </c>
      <c r="AI4870">
        <v>103.951794087411</v>
      </c>
      <c r="AJ4870">
        <v>71.535164253446396</v>
      </c>
      <c r="AK4870">
        <v>0.66153502564976796</v>
      </c>
      <c r="AL4870">
        <v>69.414557393054693</v>
      </c>
      <c r="AM4870">
        <v>82.990882927422902</v>
      </c>
      <c r="AN4870">
        <v>0.99999997653838402</v>
      </c>
    </row>
    <row r="4871" spans="1:40" x14ac:dyDescent="0.25">
      <c r="A4871" t="str">
        <f>"20190304164742913"</f>
        <v>20190304164742913</v>
      </c>
      <c r="B4871" t="str">
        <f>"1551689262904008"</f>
        <v>1551689262904008</v>
      </c>
      <c r="C4871" t="s">
        <v>40</v>
      </c>
      <c r="D4871">
        <v>4.4082400000000002</v>
      </c>
      <c r="E4871">
        <v>0.57922189999999996</v>
      </c>
      <c r="F4871" t="s">
        <v>43</v>
      </c>
      <c r="G4871">
        <v>-313.7817</v>
      </c>
      <c r="H4871">
        <v>-0.05</v>
      </c>
      <c r="I4871">
        <v>14.31427</v>
      </c>
      <c r="J4871">
        <v>-319.01620000000003</v>
      </c>
      <c r="K4871">
        <v>1.101232</v>
      </c>
      <c r="L4871">
        <v>16.572240000000001</v>
      </c>
      <c r="M4871">
        <v>0.99198969999999997</v>
      </c>
      <c r="N4871">
        <v>-1.809931E-2</v>
      </c>
      <c r="O4871">
        <v>-0.12501580000000001</v>
      </c>
      <c r="P4871">
        <v>0.91049570000000002</v>
      </c>
      <c r="Q4871">
        <v>0.33596320000000002</v>
      </c>
      <c r="R4871">
        <v>-0.24109510000000001</v>
      </c>
      <c r="S4871">
        <v>3.1988219999999998</v>
      </c>
      <c r="T4871">
        <v>-0.6822686</v>
      </c>
      <c r="U4871">
        <v>-1.3506469999999999</v>
      </c>
      <c r="V4871">
        <v>0.12749050000000001</v>
      </c>
      <c r="W4871">
        <v>0.35203859999999998</v>
      </c>
      <c r="X4871">
        <v>0.92726209999999998</v>
      </c>
      <c r="Y4871">
        <v>0.26715899999999998</v>
      </c>
      <c r="Z4871">
        <v>-6.6534319999999999E-3</v>
      </c>
      <c r="AA4871">
        <v>0.96362950000000003</v>
      </c>
      <c r="AB4871">
        <v>25</v>
      </c>
      <c r="AC4871">
        <v>5.2345000000000201</v>
      </c>
      <c r="AD4871">
        <v>-1.151232</v>
      </c>
      <c r="AE4871">
        <v>-2.2579699999999998</v>
      </c>
      <c r="AF4871">
        <v>1.52361222141424</v>
      </c>
      <c r="AG4871">
        <v>-1.151232</v>
      </c>
      <c r="AH4871">
        <v>5.2611893642442604</v>
      </c>
      <c r="AI4871">
        <v>101.869654402712</v>
      </c>
      <c r="AJ4871">
        <v>73.849267177641707</v>
      </c>
      <c r="AK4871">
        <v>5.59703875683417</v>
      </c>
      <c r="AL4871">
        <v>69.387944265461599</v>
      </c>
      <c r="AM4871">
        <v>82.171410990285594</v>
      </c>
      <c r="AN4871">
        <v>1.0000000027883</v>
      </c>
    </row>
    <row r="4872" spans="1:40" x14ac:dyDescent="0.25">
      <c r="A4872" t="str">
        <f>"20190304164742929"</f>
        <v>20190304164742929</v>
      </c>
      <c r="B4872" t="str">
        <f>"1551689262924505"</f>
        <v>1551689262924505</v>
      </c>
      <c r="C4872" t="s">
        <v>40</v>
      </c>
      <c r="D4872">
        <v>4.3769640000000001</v>
      </c>
      <c r="E4872">
        <v>0.57913530000000002</v>
      </c>
      <c r="F4872" t="s">
        <v>41</v>
      </c>
      <c r="G4872">
        <v>-318.34559999999999</v>
      </c>
      <c r="H4872">
        <v>0.95697810000000005</v>
      </c>
      <c r="I4872">
        <v>16.27692</v>
      </c>
      <c r="J4872">
        <v>-318.85419999999999</v>
      </c>
      <c r="K4872">
        <v>1.10015</v>
      </c>
      <c r="L4872">
        <v>16.549410000000002</v>
      </c>
      <c r="M4872">
        <v>0.99169110000000005</v>
      </c>
      <c r="N4872">
        <v>-1.9084810000000001E-2</v>
      </c>
      <c r="O4872">
        <v>-0.1272189</v>
      </c>
      <c r="P4872">
        <v>0.90851059999999995</v>
      </c>
      <c r="Q4872">
        <v>0.33546330000000002</v>
      </c>
      <c r="R4872">
        <v>-0.2491449</v>
      </c>
      <c r="S4872">
        <v>3.1767880000000002</v>
      </c>
      <c r="T4872">
        <v>-0.682994199999999</v>
      </c>
      <c r="U4872">
        <v>-1.397675</v>
      </c>
      <c r="V4872">
        <v>0.13367689999999999</v>
      </c>
      <c r="W4872">
        <v>0.35239419999999999</v>
      </c>
      <c r="X4872">
        <v>0.9262553</v>
      </c>
      <c r="Y4872">
        <v>0.279120599999999</v>
      </c>
      <c r="Z4872">
        <v>-7.8644579999999995E-3</v>
      </c>
      <c r="AA4872">
        <v>0.96022390000000002</v>
      </c>
      <c r="AB4872">
        <v>25</v>
      </c>
      <c r="AC4872">
        <v>0.50860000000000105</v>
      </c>
      <c r="AD4872">
        <v>-0.14317189999999999</v>
      </c>
      <c r="AE4872">
        <v>-0.27249000000000101</v>
      </c>
      <c r="AF4872">
        <v>0.19363753052053101</v>
      </c>
      <c r="AG4872">
        <v>-0.14317189999999999</v>
      </c>
      <c r="AH4872">
        <v>0.50786863856225395</v>
      </c>
      <c r="AI4872">
        <v>104.757108024562</v>
      </c>
      <c r="AJ4872">
        <v>69.129409937558506</v>
      </c>
      <c r="AK4872">
        <v>0.56207138355441799</v>
      </c>
      <c r="AL4872">
        <v>69.366175530690896</v>
      </c>
      <c r="AM4872">
        <v>81.787791342704594</v>
      </c>
      <c r="AN4872">
        <v>1.00000003328266</v>
      </c>
    </row>
    <row r="4873" spans="1:40" x14ac:dyDescent="0.25">
      <c r="A4873" t="str">
        <f>"20190304164742943"</f>
        <v>20190304164742943</v>
      </c>
      <c r="B4873" t="str">
        <f>"1551689262934264"</f>
        <v>1551689262934264</v>
      </c>
      <c r="C4873" t="s">
        <v>40</v>
      </c>
      <c r="D4873">
        <v>4.3792819999999999</v>
      </c>
      <c r="E4873">
        <v>0.57907089999999894</v>
      </c>
      <c r="F4873" t="s">
        <v>41</v>
      </c>
      <c r="G4873">
        <v>-318.13010000000003</v>
      </c>
      <c r="H4873">
        <v>0.94440480000000004</v>
      </c>
      <c r="I4873">
        <v>16.223679999999899</v>
      </c>
      <c r="J4873">
        <v>-318.69110000000001</v>
      </c>
      <c r="K4873">
        <v>1.099059</v>
      </c>
      <c r="L4873">
        <v>16.52609</v>
      </c>
      <c r="M4873">
        <v>0.99135620000000002</v>
      </c>
      <c r="N4873">
        <v>-1.9937079999999999E-2</v>
      </c>
      <c r="O4873">
        <v>-0.12967429999999999</v>
      </c>
      <c r="P4873">
        <v>0.90640109999999996</v>
      </c>
      <c r="Q4873">
        <v>0.33516610000000002</v>
      </c>
      <c r="R4873">
        <v>-0.25710060000000001</v>
      </c>
      <c r="S4873">
        <v>3.1632690000000001</v>
      </c>
      <c r="T4873">
        <v>-0.68007919999999999</v>
      </c>
      <c r="U4873">
        <v>-1.421997</v>
      </c>
      <c r="V4873">
        <v>0.13953869999999999</v>
      </c>
      <c r="W4873">
        <v>0.35283239999999999</v>
      </c>
      <c r="X4873">
        <v>0.92522340000000003</v>
      </c>
      <c r="Y4873">
        <v>0.28431440000000002</v>
      </c>
      <c r="Z4873">
        <v>-8.2335680000000001E-3</v>
      </c>
      <c r="AA4873">
        <v>0.95869579999999999</v>
      </c>
      <c r="AB4873">
        <v>25</v>
      </c>
      <c r="AC4873">
        <v>0.56099999999997796</v>
      </c>
      <c r="AD4873">
        <v>-0.15465419999999899</v>
      </c>
      <c r="AE4873">
        <v>-0.30241000000000101</v>
      </c>
      <c r="AF4873">
        <v>0.21446488615198001</v>
      </c>
      <c r="AG4873">
        <v>-0.15465419999999899</v>
      </c>
      <c r="AH4873">
        <v>0.56236832365807199</v>
      </c>
      <c r="AI4873">
        <v>104.410627820123</v>
      </c>
      <c r="AJ4873">
        <v>69.125140604095094</v>
      </c>
      <c r="AK4873">
        <v>0.62142677800671897</v>
      </c>
      <c r="AL4873">
        <v>69.339345450245105</v>
      </c>
      <c r="AM4873">
        <v>81.423502742596</v>
      </c>
      <c r="AN4873">
        <v>1.0000000455975</v>
      </c>
    </row>
    <row r="4874" spans="1:40" x14ac:dyDescent="0.25">
      <c r="A4874" t="str">
        <f>"20190304164742960"</f>
        <v>20190304164742960</v>
      </c>
      <c r="B4874" t="str">
        <f>"1551689262953784"</f>
        <v>1551689262953784</v>
      </c>
      <c r="C4874" t="s">
        <v>40</v>
      </c>
      <c r="D4874">
        <v>4.3897320000000004</v>
      </c>
      <c r="E4874">
        <v>0.57889539999999995</v>
      </c>
      <c r="F4874" t="s">
        <v>43</v>
      </c>
      <c r="G4874">
        <v>-313.36079999999998</v>
      </c>
      <c r="H4874">
        <v>-0.05</v>
      </c>
      <c r="I4874">
        <v>14.0786</v>
      </c>
      <c r="J4874">
        <v>-318.50290000000001</v>
      </c>
      <c r="K4874">
        <v>1.0977520000000001</v>
      </c>
      <c r="L4874">
        <v>16.498750000000001</v>
      </c>
      <c r="M4874">
        <v>0.99094950000000004</v>
      </c>
      <c r="N4874">
        <v>-2.072007E-2</v>
      </c>
      <c r="O4874">
        <v>-0.13262699999999999</v>
      </c>
      <c r="P4874">
        <v>0.90190009999999998</v>
      </c>
      <c r="Q4874">
        <v>0.3360205</v>
      </c>
      <c r="R4874">
        <v>-0.27141609999999899</v>
      </c>
      <c r="S4874">
        <v>3.150604</v>
      </c>
      <c r="T4874">
        <v>-0.67917659999999902</v>
      </c>
      <c r="U4874">
        <v>-1.446655</v>
      </c>
      <c r="V4874">
        <v>0.1515821</v>
      </c>
      <c r="W4874">
        <v>0.3542807</v>
      </c>
      <c r="X4874">
        <v>0.92277189999999998</v>
      </c>
      <c r="Y4874">
        <v>0.28901789999999999</v>
      </c>
      <c r="Z4874">
        <v>-8.4557139999999996E-3</v>
      </c>
      <c r="AA4874">
        <v>0.95728639999999998</v>
      </c>
      <c r="AB4874">
        <v>25</v>
      </c>
      <c r="AC4874">
        <v>5.1421000000000197</v>
      </c>
      <c r="AD4874">
        <v>-1.1477520000000001</v>
      </c>
      <c r="AE4874">
        <v>-2.42015</v>
      </c>
      <c r="AF4874">
        <v>1.6493618749707</v>
      </c>
      <c r="AG4874">
        <v>-1.1477520000000001</v>
      </c>
      <c r="AH4874">
        <v>5.2053917374697098</v>
      </c>
      <c r="AI4874">
        <v>101.87040942522501</v>
      </c>
      <c r="AJ4874">
        <v>72.418859717426201</v>
      </c>
      <c r="AK4874">
        <v>5.5797699225531501</v>
      </c>
      <c r="AL4874">
        <v>69.250632614506401</v>
      </c>
      <c r="AM4874">
        <v>80.671436214136094</v>
      </c>
      <c r="AN4874">
        <v>0.99999996343125397</v>
      </c>
    </row>
    <row r="4875" spans="1:40" x14ac:dyDescent="0.25">
      <c r="A4875" t="str">
        <f>"20190304164742972"</f>
        <v>20190304164742972</v>
      </c>
      <c r="B4875" t="str">
        <f>"1551689262964521"</f>
        <v>1551689262964521</v>
      </c>
      <c r="C4875" t="s">
        <v>40</v>
      </c>
      <c r="D4875">
        <v>4.3954599999999999</v>
      </c>
      <c r="E4875">
        <v>0.57889539999999995</v>
      </c>
      <c r="F4875" t="s">
        <v>43</v>
      </c>
      <c r="G4875">
        <v>-313.16410000000002</v>
      </c>
      <c r="H4875">
        <v>-0.05</v>
      </c>
      <c r="I4875">
        <v>13.954269999999999</v>
      </c>
      <c r="J4875">
        <v>-318.36900000000003</v>
      </c>
      <c r="K4875">
        <v>1.096765</v>
      </c>
      <c r="L4875">
        <v>16.47906</v>
      </c>
      <c r="M4875">
        <v>0.99066489999999996</v>
      </c>
      <c r="N4875">
        <v>-2.1149979999999999E-2</v>
      </c>
      <c r="O4875">
        <v>-0.13466919999999999</v>
      </c>
      <c r="P4875">
        <v>0.89920689999999903</v>
      </c>
      <c r="Q4875">
        <v>0.33706530000000001</v>
      </c>
      <c r="R4875">
        <v>-0.27895209999999998</v>
      </c>
      <c r="S4875">
        <v>3.128174</v>
      </c>
      <c r="T4875">
        <v>-0.67249930000000002</v>
      </c>
      <c r="U4875">
        <v>-1.490875</v>
      </c>
      <c r="V4875">
        <v>0.157557</v>
      </c>
      <c r="W4875">
        <v>0.35563230000000001</v>
      </c>
      <c r="X4875">
        <v>0.92124989999999995</v>
      </c>
      <c r="Y4875">
        <v>0.30053400000000002</v>
      </c>
      <c r="Z4875">
        <v>-9.4981719999999992E-3</v>
      </c>
      <c r="AA4875">
        <v>0.95372380000000001</v>
      </c>
      <c r="AB4875">
        <v>25</v>
      </c>
      <c r="AC4875">
        <v>5.2049000000000003</v>
      </c>
      <c r="AD4875">
        <v>-1.146765</v>
      </c>
      <c r="AE4875">
        <v>-2.5247899999999901</v>
      </c>
      <c r="AF4875">
        <v>1.7325992265486401</v>
      </c>
      <c r="AG4875">
        <v>-1.146765</v>
      </c>
      <c r="AH4875">
        <v>5.2896879440303604</v>
      </c>
      <c r="AI4875">
        <v>101.64134114785</v>
      </c>
      <c r="AJ4875">
        <v>71.864163623474596</v>
      </c>
      <c r="AK4875">
        <v>5.68311257941299</v>
      </c>
      <c r="AL4875">
        <v>69.167797563890204</v>
      </c>
      <c r="AM4875">
        <v>80.294871513684299</v>
      </c>
      <c r="AN4875">
        <v>0.99999995965114896</v>
      </c>
    </row>
    <row r="4876" spans="1:40" x14ac:dyDescent="0.25">
      <c r="A4876" t="str">
        <f>"20190304164742984"</f>
        <v>20190304164742984</v>
      </c>
      <c r="B4876" t="str">
        <f>"1551689262974280"</f>
        <v>1551689262974280</v>
      </c>
      <c r="C4876" t="s">
        <v>40</v>
      </c>
      <c r="D4876">
        <v>4.3910039999999997</v>
      </c>
      <c r="E4876">
        <v>0.57513449999999999</v>
      </c>
      <c r="F4876" t="s">
        <v>43</v>
      </c>
      <c r="G4876">
        <v>-313.02949999999998</v>
      </c>
      <c r="H4876">
        <v>-0.05</v>
      </c>
      <c r="I4876">
        <v>13.884219999999999</v>
      </c>
      <c r="J4876">
        <v>-318.23869999999999</v>
      </c>
      <c r="K4876">
        <v>1.0957129999999999</v>
      </c>
      <c r="L4876">
        <v>16.459440000000001</v>
      </c>
      <c r="M4876">
        <v>0.99041109999999999</v>
      </c>
      <c r="N4876">
        <v>-2.149481E-2</v>
      </c>
      <c r="O4876">
        <v>-0.13646939999999999</v>
      </c>
      <c r="P4876">
        <v>0.89661780000000002</v>
      </c>
      <c r="Q4876">
        <v>0.33788649999999998</v>
      </c>
      <c r="R4876">
        <v>-0.28619850000000002</v>
      </c>
      <c r="S4876">
        <v>3.1172789999999999</v>
      </c>
      <c r="T4876">
        <v>-0.66950019999999999</v>
      </c>
      <c r="U4876">
        <v>-1.514923</v>
      </c>
      <c r="V4876">
        <v>0.16351740000000001</v>
      </c>
      <c r="W4876">
        <v>0.35665580000000002</v>
      </c>
      <c r="X4876">
        <v>0.91981449999999998</v>
      </c>
      <c r="Y4876">
        <v>0.305983</v>
      </c>
      <c r="Z4876">
        <v>-9.886054E-3</v>
      </c>
      <c r="AA4876">
        <v>0.95198570000000005</v>
      </c>
      <c r="AB4876">
        <v>25</v>
      </c>
      <c r="AC4876">
        <v>5.2092000000000098</v>
      </c>
      <c r="AD4876">
        <v>-1.145713</v>
      </c>
      <c r="AE4876">
        <v>-2.5752199999999998</v>
      </c>
      <c r="AF4876">
        <v>1.77120248042575</v>
      </c>
      <c r="AG4876">
        <v>-1.145713</v>
      </c>
      <c r="AH4876">
        <v>5.3057105327932401</v>
      </c>
      <c r="AI4876">
        <v>101.575656576043</v>
      </c>
      <c r="AJ4876">
        <v>71.539471634354598</v>
      </c>
      <c r="AK4876">
        <v>5.7096743132011003</v>
      </c>
      <c r="AL4876">
        <v>69.105041444412194</v>
      </c>
      <c r="AM4876">
        <v>79.919714658400295</v>
      </c>
      <c r="AN4876">
        <v>1.0000000070933199</v>
      </c>
    </row>
    <row r="4877" spans="1:40" x14ac:dyDescent="0.25">
      <c r="A4877" t="str">
        <f>"20190304164742996"</f>
        <v>20190304164742996</v>
      </c>
      <c r="B4877" t="str">
        <f>"1551689262993800"</f>
        <v>1551689262993800</v>
      </c>
      <c r="C4877" t="s">
        <v>40</v>
      </c>
      <c r="D4877">
        <v>4.4473379999999896</v>
      </c>
      <c r="E4877">
        <v>0.57343140000000004</v>
      </c>
      <c r="F4877" t="s">
        <v>43</v>
      </c>
      <c r="G4877">
        <v>-311.90769999999998</v>
      </c>
      <c r="H4877">
        <v>-0.05</v>
      </c>
      <c r="I4877">
        <v>13.363250000000001</v>
      </c>
      <c r="J4877">
        <v>-318.1026</v>
      </c>
      <c r="K4877">
        <v>1.0945860000000001</v>
      </c>
      <c r="L4877">
        <v>16.43881</v>
      </c>
      <c r="M4877">
        <v>0.99014999999999997</v>
      </c>
      <c r="N4877">
        <v>-2.1829689999999999E-2</v>
      </c>
      <c r="O4877">
        <v>-0.1382989</v>
      </c>
      <c r="P4877">
        <v>0.89408739999999998</v>
      </c>
      <c r="Q4877">
        <v>0.33837250000000002</v>
      </c>
      <c r="R4877">
        <v>-0.29344769999999998</v>
      </c>
      <c r="S4877">
        <v>3.0755309999999998</v>
      </c>
      <c r="T4877">
        <v>-0.55657179999999995</v>
      </c>
      <c r="U4877">
        <v>-1.504089</v>
      </c>
      <c r="V4877">
        <v>0.16946710000000001</v>
      </c>
      <c r="W4877">
        <v>0.357323</v>
      </c>
      <c r="X4877">
        <v>0.91847769999999995</v>
      </c>
      <c r="Y4877">
        <v>0.30764979999999997</v>
      </c>
      <c r="Z4877">
        <v>-9.3186529999999997E-3</v>
      </c>
      <c r="AA4877">
        <v>0.95145400000000002</v>
      </c>
      <c r="AB4877">
        <v>25</v>
      </c>
      <c r="AC4877">
        <v>6.1949000000000103</v>
      </c>
      <c r="AD4877">
        <v>-1.1445860000000001</v>
      </c>
      <c r="AE4877">
        <v>-3.0755599999999901</v>
      </c>
      <c r="AF4877">
        <v>2.1306864060971802</v>
      </c>
      <c r="AG4877">
        <v>-1.1445860000000001</v>
      </c>
      <c r="AH4877">
        <v>6.3858995693023797</v>
      </c>
      <c r="AI4877">
        <v>99.649282897433906</v>
      </c>
      <c r="AJ4877">
        <v>71.548473034648495</v>
      </c>
      <c r="AK4877">
        <v>6.8285880664848699</v>
      </c>
      <c r="AL4877">
        <v>69.0641181794376</v>
      </c>
      <c r="AM4877">
        <v>79.546003723401697</v>
      </c>
      <c r="AN4877">
        <v>1.00000005485434</v>
      </c>
    </row>
    <row r="4878" spans="1:40" x14ac:dyDescent="0.25">
      <c r="A4878" t="str">
        <f>"20190304164743014"</f>
        <v>20190304164743014</v>
      </c>
      <c r="B4878" t="str">
        <f>"1551689263004537"</f>
        <v>1551689263004537</v>
      </c>
      <c r="C4878" t="s">
        <v>40</v>
      </c>
      <c r="D4878">
        <v>4.463082</v>
      </c>
      <c r="E4878">
        <v>0.57242369999999898</v>
      </c>
      <c r="F4878" t="s">
        <v>43</v>
      </c>
      <c r="G4878">
        <v>-311.85449999999997</v>
      </c>
      <c r="H4878">
        <v>-0.05</v>
      </c>
      <c r="I4878">
        <v>13.358140000000001</v>
      </c>
      <c r="J4878">
        <v>-317.90480000000002</v>
      </c>
      <c r="K4878">
        <v>1.0928739999999999</v>
      </c>
      <c r="L4878">
        <v>16.408169999999998</v>
      </c>
      <c r="M4878">
        <v>0.98977950000000003</v>
      </c>
      <c r="N4878">
        <v>-2.2243860000000001E-2</v>
      </c>
      <c r="O4878">
        <v>-0.1408616</v>
      </c>
      <c r="P4878">
        <v>0.88960090000000003</v>
      </c>
      <c r="Q4878">
        <v>0.33905800000000003</v>
      </c>
      <c r="R4878">
        <v>-0.3060234</v>
      </c>
      <c r="S4878">
        <v>3.0712890000000002</v>
      </c>
      <c r="T4878">
        <v>-0.56262309999999904</v>
      </c>
      <c r="U4878">
        <v>-1.514313</v>
      </c>
      <c r="V4878">
        <v>0.18036669999999999</v>
      </c>
      <c r="W4878">
        <v>0.35815789999999997</v>
      </c>
      <c r="X4878">
        <v>0.91607360000000004</v>
      </c>
      <c r="Y4878">
        <v>0.30819679999999999</v>
      </c>
      <c r="Z4878">
        <v>-9.1532279999999994E-3</v>
      </c>
      <c r="AA4878">
        <v>0.95127859999999997</v>
      </c>
      <c r="AB4878">
        <v>25</v>
      </c>
      <c r="AC4878">
        <v>6.0503000000000497</v>
      </c>
      <c r="AD4878">
        <v>-1.1428739999999999</v>
      </c>
      <c r="AE4878">
        <v>-3.05003</v>
      </c>
      <c r="AF4878">
        <v>2.1071861933554699</v>
      </c>
      <c r="AG4878">
        <v>-1.1428739999999999</v>
      </c>
      <c r="AH4878">
        <v>6.2420877334776597</v>
      </c>
      <c r="AI4878">
        <v>99.841379823572794</v>
      </c>
      <c r="AJ4878">
        <v>71.346492937742099</v>
      </c>
      <c r="AK4878">
        <v>6.6865577022692504</v>
      </c>
      <c r="AL4878">
        <v>69.012891374402201</v>
      </c>
      <c r="AM4878">
        <v>78.861447627579395</v>
      </c>
      <c r="AN4878">
        <v>1.00000003420912</v>
      </c>
    </row>
    <row r="4879" spans="1:40" x14ac:dyDescent="0.25">
      <c r="A4879" t="str">
        <f>"20190304164743026"</f>
        <v>20190304164743026</v>
      </c>
      <c r="B4879" t="str">
        <f>"1551689263024059"</f>
        <v>1551689263024059</v>
      </c>
      <c r="C4879" t="s">
        <v>40</v>
      </c>
      <c r="D4879">
        <v>4.5489499999999996</v>
      </c>
      <c r="E4879">
        <v>0.57176359999999904</v>
      </c>
      <c r="F4879" t="s">
        <v>43</v>
      </c>
      <c r="G4879">
        <v>-311.74250000000001</v>
      </c>
      <c r="H4879">
        <v>-0.05</v>
      </c>
      <c r="I4879">
        <v>13.293089999999999</v>
      </c>
      <c r="J4879">
        <v>-317.76029999999997</v>
      </c>
      <c r="K4879">
        <v>1.0915619999999999</v>
      </c>
      <c r="L4879">
        <v>16.385249999999999</v>
      </c>
      <c r="M4879">
        <v>0.9894908</v>
      </c>
      <c r="N4879">
        <v>-2.2424719999999999E-2</v>
      </c>
      <c r="O4879">
        <v>-0.1428469</v>
      </c>
      <c r="P4879">
        <v>0.887121099999999</v>
      </c>
      <c r="Q4879">
        <v>0.33949620000000003</v>
      </c>
      <c r="R4879">
        <v>-0.31266379999999999</v>
      </c>
      <c r="S4879">
        <v>3.0568240000000002</v>
      </c>
      <c r="T4879">
        <v>-0.56691780000000003</v>
      </c>
      <c r="U4879">
        <v>-1.5452269999999999</v>
      </c>
      <c r="V4879">
        <v>0.18557760000000001</v>
      </c>
      <c r="W4879">
        <v>0.35862810000000001</v>
      </c>
      <c r="X4879">
        <v>0.91484799999999999</v>
      </c>
      <c r="Y4879">
        <v>0.31560700000000003</v>
      </c>
      <c r="Z4879">
        <v>-9.6756589999999996E-3</v>
      </c>
      <c r="AA4879">
        <v>0.94884060000000003</v>
      </c>
      <c r="AB4879">
        <v>25</v>
      </c>
      <c r="AC4879">
        <v>6.0177999999999603</v>
      </c>
      <c r="AD4879">
        <v>-1.141562</v>
      </c>
      <c r="AE4879">
        <v>-3.0921599999999998</v>
      </c>
      <c r="AF4879">
        <v>2.1396791921512102</v>
      </c>
      <c r="AG4879">
        <v>-1.141562</v>
      </c>
      <c r="AH4879">
        <v>6.2207744184040799</v>
      </c>
      <c r="AI4879">
        <v>99.844504637650004</v>
      </c>
      <c r="AJ4879">
        <v>71.0189836401007</v>
      </c>
      <c r="AK4879">
        <v>6.6767825492402801</v>
      </c>
      <c r="AL4879">
        <v>68.984033420673796</v>
      </c>
      <c r="AM4879">
        <v>78.533100356551103</v>
      </c>
      <c r="AN4879">
        <v>1.0000000114176799</v>
      </c>
    </row>
    <row r="4880" spans="1:40" x14ac:dyDescent="0.25">
      <c r="A4880" t="str">
        <f>"20190304164743039"</f>
        <v>20190304164743039</v>
      </c>
      <c r="B4880" t="str">
        <f>"1551689263033817"</f>
        <v>1551689263033817</v>
      </c>
      <c r="C4880" t="s">
        <v>40</v>
      </c>
      <c r="D4880">
        <v>4.6953430000000003</v>
      </c>
      <c r="E4880">
        <v>0.57250829999999997</v>
      </c>
      <c r="F4880" t="s">
        <v>43</v>
      </c>
      <c r="G4880">
        <v>-311.59859999999998</v>
      </c>
      <c r="H4880">
        <v>-0.05</v>
      </c>
      <c r="I4880">
        <v>13.22986</v>
      </c>
      <c r="J4880">
        <v>-317.63010000000003</v>
      </c>
      <c r="K4880">
        <v>1.090354</v>
      </c>
      <c r="L4880">
        <v>16.364350000000002</v>
      </c>
      <c r="M4880">
        <v>0.98921840000000005</v>
      </c>
      <c r="N4880">
        <v>-2.2527209999999999E-2</v>
      </c>
      <c r="O4880">
        <v>-0.1447051</v>
      </c>
      <c r="P4880">
        <v>0.88457589999999997</v>
      </c>
      <c r="Q4880">
        <v>0.34018100000000001</v>
      </c>
      <c r="R4880">
        <v>-0.3190653</v>
      </c>
      <c r="S4880">
        <v>3.0477599999999998</v>
      </c>
      <c r="T4880">
        <v>-0.56464199999999998</v>
      </c>
      <c r="U4880">
        <v>-1.56073</v>
      </c>
      <c r="V4880">
        <v>0.19066520000000001</v>
      </c>
      <c r="W4880">
        <v>0.35927870000000001</v>
      </c>
      <c r="X4880">
        <v>0.91354559999999996</v>
      </c>
      <c r="Y4880">
        <v>0.31877430000000001</v>
      </c>
      <c r="Z4880">
        <v>-9.7417249999999997E-3</v>
      </c>
      <c r="AA4880">
        <v>0.94778059999999997</v>
      </c>
      <c r="AB4880">
        <v>25</v>
      </c>
      <c r="AC4880">
        <v>6.03150000000005</v>
      </c>
      <c r="AD4880">
        <v>-1.1403540000000001</v>
      </c>
      <c r="AE4880">
        <v>-3.13449</v>
      </c>
      <c r="AF4880">
        <v>2.1674686222416999</v>
      </c>
      <c r="AG4880">
        <v>-1.1403540000000001</v>
      </c>
      <c r="AH4880">
        <v>6.2458869979327796</v>
      </c>
      <c r="AI4880">
        <v>99.786430927933793</v>
      </c>
      <c r="AJ4880">
        <v>70.862031811576998</v>
      </c>
      <c r="AK4880">
        <v>6.7089069053508403</v>
      </c>
      <c r="AL4880">
        <v>68.944094490587702</v>
      </c>
      <c r="AM4880">
        <v>78.211083164127004</v>
      </c>
      <c r="AN4880">
        <v>0.99999998302204396</v>
      </c>
    </row>
    <row r="4881" spans="1:40" x14ac:dyDescent="0.25">
      <c r="A4881" t="str">
        <f>"20190304164743051"</f>
        <v>20190304164743051</v>
      </c>
      <c r="B4881" t="str">
        <f>"1551689263044554"</f>
        <v>1551689263044554</v>
      </c>
      <c r="C4881" t="s">
        <v>40</v>
      </c>
      <c r="D4881">
        <v>4.7260359999999997</v>
      </c>
      <c r="E4881">
        <v>0.5736926</v>
      </c>
      <c r="F4881" t="s">
        <v>43</v>
      </c>
      <c r="G4881">
        <v>-311.54790000000003</v>
      </c>
      <c r="H4881">
        <v>-0.05</v>
      </c>
      <c r="I4881">
        <v>13.188549999999999</v>
      </c>
      <c r="J4881">
        <v>-317.48360000000002</v>
      </c>
      <c r="K4881">
        <v>1.088957</v>
      </c>
      <c r="L4881">
        <v>16.34055</v>
      </c>
      <c r="M4881">
        <v>0.98889389999999999</v>
      </c>
      <c r="N4881">
        <v>-2.2546589999999998E-2</v>
      </c>
      <c r="O4881">
        <v>-0.146903799999999</v>
      </c>
      <c r="P4881">
        <v>0.88214300000000001</v>
      </c>
      <c r="Q4881">
        <v>0.3407135</v>
      </c>
      <c r="R4881">
        <v>-0.32517430000000003</v>
      </c>
      <c r="S4881">
        <v>3.0383</v>
      </c>
      <c r="T4881">
        <v>-0.56965769999999905</v>
      </c>
      <c r="U4881">
        <v>-1.5864560000000001</v>
      </c>
      <c r="V4881">
        <v>0.19513440000000001</v>
      </c>
      <c r="W4881">
        <v>0.35970629999999998</v>
      </c>
      <c r="X4881">
        <v>0.91243300000000005</v>
      </c>
      <c r="Y4881">
        <v>0.32407629999999998</v>
      </c>
      <c r="Z4881">
        <v>-9.9804879999999992E-3</v>
      </c>
      <c r="AA4881">
        <v>0.94597830000000005</v>
      </c>
      <c r="AB4881">
        <v>25</v>
      </c>
      <c r="AC4881">
        <v>5.93569999999999</v>
      </c>
      <c r="AD4881">
        <v>-1.138957</v>
      </c>
      <c r="AE4881">
        <v>-3.1520000000000001</v>
      </c>
      <c r="AF4881">
        <v>2.1828941531760799</v>
      </c>
      <c r="AG4881">
        <v>-1.138957</v>
      </c>
      <c r="AH4881">
        <v>6.1575809743472796</v>
      </c>
      <c r="AI4881">
        <v>99.889412729602498</v>
      </c>
      <c r="AJ4881">
        <v>70.480321276649605</v>
      </c>
      <c r="AK4881">
        <v>6.6315950862113802</v>
      </c>
      <c r="AL4881">
        <v>68.917840393954904</v>
      </c>
      <c r="AM4881">
        <v>77.928476947275001</v>
      </c>
      <c r="AN4881">
        <v>1.00000001790602</v>
      </c>
    </row>
    <row r="4882" spans="1:40" x14ac:dyDescent="0.25">
      <c r="A4882" t="str">
        <f>"20190304164743063"</f>
        <v>20190304164743063</v>
      </c>
      <c r="B4882" t="str">
        <f>"1551689263054314"</f>
        <v>1551689263054314</v>
      </c>
      <c r="C4882" t="s">
        <v>40</v>
      </c>
      <c r="D4882">
        <v>4.6591760000000004</v>
      </c>
      <c r="E4882">
        <v>0.57493509999999903</v>
      </c>
      <c r="F4882" t="s">
        <v>43</v>
      </c>
      <c r="G4882">
        <v>-311.46769999999998</v>
      </c>
      <c r="H4882">
        <v>-0.05</v>
      </c>
      <c r="I4882">
        <v>13.129029999999901</v>
      </c>
      <c r="J4882">
        <v>-317.36509999999998</v>
      </c>
      <c r="K4882">
        <v>1.0877709999999901</v>
      </c>
      <c r="L4882">
        <v>16.320889999999999</v>
      </c>
      <c r="M4882">
        <v>0.98861940000000004</v>
      </c>
      <c r="N4882">
        <v>-2.247772E-2</v>
      </c>
      <c r="O4882">
        <v>-0.1487492</v>
      </c>
      <c r="P4882">
        <v>0.87985619999999998</v>
      </c>
      <c r="Q4882">
        <v>0.34130529999999998</v>
      </c>
      <c r="R4882">
        <v>-0.33070159999999998</v>
      </c>
      <c r="S4882">
        <v>3.0265810000000002</v>
      </c>
      <c r="T4882">
        <v>-0.57300229999999996</v>
      </c>
      <c r="U4882">
        <v>-1.6156919999999999</v>
      </c>
      <c r="V4882">
        <v>0.19932340000000001</v>
      </c>
      <c r="W4882">
        <v>0.36012230000000001</v>
      </c>
      <c r="X4882">
        <v>0.91136280000000003</v>
      </c>
      <c r="Y4882">
        <v>0.33082539999999999</v>
      </c>
      <c r="Z4882">
        <v>-1.038476E-2</v>
      </c>
      <c r="AA4882">
        <v>0.94363490000000005</v>
      </c>
      <c r="AB4882">
        <v>25</v>
      </c>
      <c r="AC4882">
        <v>5.8974000000000002</v>
      </c>
      <c r="AD4882">
        <v>-1.1377710000000001</v>
      </c>
      <c r="AE4882">
        <v>-3.1918599999999899</v>
      </c>
      <c r="AF4882">
        <v>2.2151083319486</v>
      </c>
      <c r="AG4882">
        <v>-1.1377710000000001</v>
      </c>
      <c r="AH4882">
        <v>6.1301879939379704</v>
      </c>
      <c r="AI4882">
        <v>99.901507006797203</v>
      </c>
      <c r="AJ4882">
        <v>70.132968347870502</v>
      </c>
      <c r="AK4882">
        <v>6.616678366955</v>
      </c>
      <c r="AL4882">
        <v>68.892293390355903</v>
      </c>
      <c r="AM4882">
        <v>77.663145389524999</v>
      </c>
      <c r="AN4882">
        <v>1.00000002098434</v>
      </c>
    </row>
    <row r="4883" spans="1:40" x14ac:dyDescent="0.25">
      <c r="A4883" t="str">
        <f>"20190304164743074"</f>
        <v>20190304164743074</v>
      </c>
      <c r="B4883" t="str">
        <f>"1551689263064073"</f>
        <v>1551689263064073</v>
      </c>
      <c r="C4883" t="s">
        <v>40</v>
      </c>
      <c r="D4883">
        <v>4.698442</v>
      </c>
      <c r="E4883">
        <v>0.57592339999999997</v>
      </c>
      <c r="F4883" t="s">
        <v>43</v>
      </c>
      <c r="G4883">
        <v>-311.38440000000003</v>
      </c>
      <c r="H4883">
        <v>-0.05</v>
      </c>
      <c r="I4883">
        <v>13.05869</v>
      </c>
      <c r="J4883">
        <v>-317.23169999999999</v>
      </c>
      <c r="K4883">
        <v>1.086411</v>
      </c>
      <c r="L4883">
        <v>16.29861</v>
      </c>
      <c r="M4883">
        <v>0.98830469999999904</v>
      </c>
      <c r="N4883">
        <v>-2.237364E-2</v>
      </c>
      <c r="O4883">
        <v>-0.150843</v>
      </c>
      <c r="P4883">
        <v>0.87711729999999999</v>
      </c>
      <c r="Q4883">
        <v>0.34269929999999998</v>
      </c>
      <c r="R4883">
        <v>-0.33648600000000001</v>
      </c>
      <c r="S4883">
        <v>3.0140989999999999</v>
      </c>
      <c r="T4883">
        <v>-0.57340780000000002</v>
      </c>
      <c r="U4883">
        <v>-1.6440729999999999</v>
      </c>
      <c r="V4883">
        <v>0.20362949999999999</v>
      </c>
      <c r="W4883">
        <v>0.36128929999999998</v>
      </c>
      <c r="X4883">
        <v>0.90994779999999997</v>
      </c>
      <c r="Y4883">
        <v>0.3372367</v>
      </c>
      <c r="Z4883">
        <v>-1.069321E-2</v>
      </c>
      <c r="AA4883">
        <v>0.94135919999999895</v>
      </c>
      <c r="AB4883">
        <v>25</v>
      </c>
      <c r="AC4883">
        <v>5.8472999999999598</v>
      </c>
      <c r="AD4883">
        <v>-1.1364110000000001</v>
      </c>
      <c r="AE4883">
        <v>-3.2399200000000001</v>
      </c>
      <c r="AF4883">
        <v>2.2554058087647602</v>
      </c>
      <c r="AG4883">
        <v>-1.1364110000000001</v>
      </c>
      <c r="AH4883">
        <v>6.0931176325747396</v>
      </c>
      <c r="AI4883">
        <v>99.921197256126007</v>
      </c>
      <c r="AJ4883">
        <v>69.687650293373196</v>
      </c>
      <c r="AK4883">
        <v>6.5957840934587901</v>
      </c>
      <c r="AL4883">
        <v>68.820601748196097</v>
      </c>
      <c r="AM4883">
        <v>77.386083674172198</v>
      </c>
      <c r="AN4883">
        <v>0.99999996514478895</v>
      </c>
    </row>
    <row r="4884" spans="1:40" x14ac:dyDescent="0.25">
      <c r="A4884" t="str">
        <f>"20190304164743085"</f>
        <v>20190304164743085</v>
      </c>
      <c r="B4884" t="str">
        <f>"1551689263073833"</f>
        <v>1551689263073833</v>
      </c>
      <c r="C4884" t="s">
        <v>40</v>
      </c>
      <c r="D4884">
        <v>4.1962080000000004</v>
      </c>
      <c r="E4884">
        <v>0.57592339999999997</v>
      </c>
      <c r="F4884" t="s">
        <v>43</v>
      </c>
      <c r="G4884">
        <v>-311.2577</v>
      </c>
      <c r="H4884">
        <v>-0.05</v>
      </c>
      <c r="I4884">
        <v>12.97105</v>
      </c>
      <c r="J4884">
        <v>-317.10980000000001</v>
      </c>
      <c r="K4884">
        <v>1.085099</v>
      </c>
      <c r="L4884">
        <v>16.277739999999898</v>
      </c>
      <c r="M4884">
        <v>0.98801240000000001</v>
      </c>
      <c r="N4884">
        <v>-2.2210379999999998E-2</v>
      </c>
      <c r="O4884">
        <v>-0.1527693</v>
      </c>
      <c r="P4884">
        <v>0.87425710000000001</v>
      </c>
      <c r="Q4884">
        <v>0.34437319999999999</v>
      </c>
      <c r="R4884">
        <v>-0.34217209999999998</v>
      </c>
      <c r="S4884">
        <v>3.0019529999999999</v>
      </c>
      <c r="T4884">
        <v>-0.571053699999999</v>
      </c>
      <c r="U4884">
        <v>-1.6721189999999999</v>
      </c>
      <c r="V4884">
        <v>0.20802300000000001</v>
      </c>
      <c r="W4884">
        <v>0.36267519999999998</v>
      </c>
      <c r="X4884">
        <v>0.90840140000000003</v>
      </c>
      <c r="Y4884">
        <v>0.34368490000000002</v>
      </c>
      <c r="Z4884">
        <v>-1.09934E-2</v>
      </c>
      <c r="AA4884">
        <v>0.93902070000000004</v>
      </c>
      <c r="AB4884">
        <v>25</v>
      </c>
      <c r="AC4884">
        <v>5.8521000000000001</v>
      </c>
      <c r="AD4884">
        <v>-1.1350990000000001</v>
      </c>
      <c r="AE4884">
        <v>-3.3066899999999899</v>
      </c>
      <c r="AF4884">
        <v>2.30780233186981</v>
      </c>
      <c r="AG4884">
        <v>-1.1350990000000001</v>
      </c>
      <c r="AH4884">
        <v>6.1142951147636904</v>
      </c>
      <c r="AI4884">
        <v>99.853208942958901</v>
      </c>
      <c r="AJ4884">
        <v>69.321300455101394</v>
      </c>
      <c r="AK4884">
        <v>6.6331746617444001</v>
      </c>
      <c r="AL4884">
        <v>68.7354193064442</v>
      </c>
      <c r="AM4884">
        <v>77.101719646056395</v>
      </c>
      <c r="AN4884">
        <v>0.99999998637299903</v>
      </c>
    </row>
    <row r="4885" spans="1:40" x14ac:dyDescent="0.25">
      <c r="A4885" t="str">
        <f>"20190304164743098"</f>
        <v>20190304164743098</v>
      </c>
      <c r="B4885" t="str">
        <f>"1551689263094329"</f>
        <v>1551689263094329</v>
      </c>
      <c r="C4885" t="s">
        <v>40</v>
      </c>
      <c r="D4885">
        <v>4.7026190000000003</v>
      </c>
      <c r="E4885">
        <v>0.57790180000000002</v>
      </c>
      <c r="F4885" t="s">
        <v>43</v>
      </c>
      <c r="G4885">
        <v>-311.1003</v>
      </c>
      <c r="H4885">
        <v>-0.05</v>
      </c>
      <c r="I4885">
        <v>12.88025</v>
      </c>
      <c r="J4885">
        <v>-316.9769</v>
      </c>
      <c r="K4885">
        <v>1.0836749999999999</v>
      </c>
      <c r="L4885">
        <v>16.25479</v>
      </c>
      <c r="M4885">
        <v>0.98768619999999996</v>
      </c>
      <c r="N4885">
        <v>-2.2009109999999998E-2</v>
      </c>
      <c r="O4885">
        <v>-0.1548921</v>
      </c>
      <c r="P4885">
        <v>0.87125039999999998</v>
      </c>
      <c r="Q4885">
        <v>0.3460433</v>
      </c>
      <c r="R4885">
        <v>-0.34810479999999999</v>
      </c>
      <c r="S4885">
        <v>2.992035</v>
      </c>
      <c r="T4885">
        <v>-0.56514929999999997</v>
      </c>
      <c r="U4885">
        <v>-1.691559</v>
      </c>
      <c r="V4885">
        <v>0.2125109</v>
      </c>
      <c r="W4885">
        <v>0.36401729999999999</v>
      </c>
      <c r="X4885">
        <v>0.90682439999999997</v>
      </c>
      <c r="Y4885">
        <v>0.34765689999999999</v>
      </c>
      <c r="Z4885">
        <v>-1.0977560000000001E-2</v>
      </c>
      <c r="AA4885">
        <v>0.93755750000000004</v>
      </c>
      <c r="AB4885">
        <v>25</v>
      </c>
      <c r="AC4885">
        <v>5.8765999999999901</v>
      </c>
      <c r="AD4885">
        <v>-1.133675</v>
      </c>
      <c r="AE4885">
        <v>-3.3745400000000001</v>
      </c>
      <c r="AF4885">
        <v>2.3573592000233199</v>
      </c>
      <c r="AG4885">
        <v>-1.133675</v>
      </c>
      <c r="AH4885">
        <v>6.1561664476790101</v>
      </c>
      <c r="AI4885">
        <v>99.758006272739806</v>
      </c>
      <c r="AJ4885">
        <v>69.046833338970899</v>
      </c>
      <c r="AK4885">
        <v>6.6888524228815598</v>
      </c>
      <c r="AL4885">
        <v>68.652881483056504</v>
      </c>
      <c r="AM4885">
        <v>76.810950629992107</v>
      </c>
      <c r="AN4885">
        <v>0.99999998487672903</v>
      </c>
    </row>
    <row r="4886" spans="1:40" x14ac:dyDescent="0.25">
      <c r="A4886" t="str">
        <f>"20190304164743110"</f>
        <v>20190304164743110</v>
      </c>
      <c r="B4886" t="str">
        <f>"1551689263104088"</f>
        <v>1551689263104088</v>
      </c>
      <c r="C4886" t="s">
        <v>40</v>
      </c>
      <c r="D4886">
        <v>4.7204490000000003</v>
      </c>
      <c r="E4886">
        <v>0.57864340000000003</v>
      </c>
      <c r="F4886" t="s">
        <v>43</v>
      </c>
      <c r="G4886">
        <v>-310.93889999999999</v>
      </c>
      <c r="H4886">
        <v>-0.05</v>
      </c>
      <c r="I4886">
        <v>12.753310000000001</v>
      </c>
      <c r="J4886">
        <v>-316.83109999999999</v>
      </c>
      <c r="K4886">
        <v>1.082093</v>
      </c>
      <c r="L4886">
        <v>16.229129999999898</v>
      </c>
      <c r="M4886">
        <v>0.98731610000000003</v>
      </c>
      <c r="N4886">
        <v>-2.1735299999999999E-2</v>
      </c>
      <c r="O4886">
        <v>-0.1572722</v>
      </c>
      <c r="P4886">
        <v>0.86859229999999998</v>
      </c>
      <c r="Q4886">
        <v>0.34756229999999999</v>
      </c>
      <c r="R4886">
        <v>-0.35319689999999998</v>
      </c>
      <c r="S4886">
        <v>2.9757690000000001</v>
      </c>
      <c r="T4886">
        <v>-0.55872140000000003</v>
      </c>
      <c r="U4886">
        <v>-1.7256769999999999</v>
      </c>
      <c r="V4886">
        <v>0.21587700000000001</v>
      </c>
      <c r="W4886">
        <v>0.36516120000000002</v>
      </c>
      <c r="X4886">
        <v>0.90556859999999995</v>
      </c>
      <c r="Y4886">
        <v>0.35564839999999998</v>
      </c>
      <c r="Z4886">
        <v>-1.129556E-2</v>
      </c>
      <c r="AA4886">
        <v>0.93455149999999998</v>
      </c>
      <c r="AB4886">
        <v>25</v>
      </c>
      <c r="AC4886">
        <v>5.8921999999999999</v>
      </c>
      <c r="AD4886">
        <v>-1.132093</v>
      </c>
      <c r="AE4886">
        <v>-3.4758199999999899</v>
      </c>
      <c r="AF4886">
        <v>2.43885579736639</v>
      </c>
      <c r="AG4886">
        <v>-1.132093</v>
      </c>
      <c r="AH4886">
        <v>6.1959371318357803</v>
      </c>
      <c r="AI4886">
        <v>99.649066076345306</v>
      </c>
      <c r="AJ4886">
        <v>68.514320647084105</v>
      </c>
      <c r="AK4886">
        <v>6.7542052902364498</v>
      </c>
      <c r="AL4886">
        <v>68.582497229663502</v>
      </c>
      <c r="AM4886">
        <v>76.591610452237703</v>
      </c>
      <c r="AN4886">
        <v>1.0000000352101901</v>
      </c>
    </row>
    <row r="4887" spans="1:40" x14ac:dyDescent="0.25">
      <c r="A4887" t="str">
        <f>"20190304164743127"</f>
        <v>20190304164743127</v>
      </c>
      <c r="B4887" t="str">
        <f>"1551689263124584"</f>
        <v>1551689263124584</v>
      </c>
      <c r="C4887" t="s">
        <v>40</v>
      </c>
      <c r="D4887">
        <v>4.628069</v>
      </c>
      <c r="E4887">
        <v>0.57973640000000004</v>
      </c>
      <c r="F4887" t="s">
        <v>43</v>
      </c>
      <c r="G4887">
        <v>-310.75020000000001</v>
      </c>
      <c r="H4887">
        <v>-0.05</v>
      </c>
      <c r="I4887">
        <v>12.64279</v>
      </c>
      <c r="J4887">
        <v>-316.66309999999999</v>
      </c>
      <c r="K4887">
        <v>1.0803199999999999</v>
      </c>
      <c r="L4887">
        <v>16.19876</v>
      </c>
      <c r="M4887">
        <v>0.98684530000000004</v>
      </c>
      <c r="N4887">
        <v>-2.13654E-2</v>
      </c>
      <c r="O4887">
        <v>-0.16025</v>
      </c>
      <c r="P4887">
        <v>0.86197330000000005</v>
      </c>
      <c r="Q4887">
        <v>0.35072239999999999</v>
      </c>
      <c r="R4887">
        <v>-0.3660544</v>
      </c>
      <c r="S4887">
        <v>2.9638979999999999</v>
      </c>
      <c r="T4887">
        <v>-0.55180189999999996</v>
      </c>
      <c r="U4887">
        <v>-1.7480469999999999</v>
      </c>
      <c r="V4887">
        <v>0.2269814</v>
      </c>
      <c r="W4887">
        <v>0.36774190000000001</v>
      </c>
      <c r="X4887">
        <v>0.90180119999999997</v>
      </c>
      <c r="Y4887">
        <v>0.3597631</v>
      </c>
      <c r="Z4887">
        <v>-1.1100179999999999E-2</v>
      </c>
      <c r="AA4887">
        <v>0.93297770000000002</v>
      </c>
      <c r="AB4887">
        <v>25</v>
      </c>
      <c r="AC4887">
        <v>5.9128999999999703</v>
      </c>
      <c r="AD4887">
        <v>-1.13032</v>
      </c>
      <c r="AE4887">
        <v>-3.5559699999999999</v>
      </c>
      <c r="AF4887">
        <v>2.49526986499915</v>
      </c>
      <c r="AG4887">
        <v>-1.13032</v>
      </c>
      <c r="AH4887">
        <v>6.2389896087316901</v>
      </c>
      <c r="AI4887">
        <v>99.548642975743107</v>
      </c>
      <c r="AJ4887">
        <v>68.201171270883606</v>
      </c>
      <c r="AK4887">
        <v>6.8138818847581204</v>
      </c>
      <c r="AL4887">
        <v>68.423579092932698</v>
      </c>
      <c r="AM4887">
        <v>75.872237248628593</v>
      </c>
      <c r="AN4887">
        <v>1.0000000326414999</v>
      </c>
    </row>
    <row r="4888" spans="1:40" x14ac:dyDescent="0.25">
      <c r="A4888" t="str">
        <f>"20190304164743149"</f>
        <v>20190304164743149</v>
      </c>
      <c r="B4888" t="str">
        <f>"1551689263144105"</f>
        <v>1551689263144105</v>
      </c>
      <c r="C4888" t="s">
        <v>40</v>
      </c>
      <c r="D4888">
        <v>4.880452</v>
      </c>
      <c r="E4888">
        <v>0.57956269999999999</v>
      </c>
      <c r="F4888" t="s">
        <v>43</v>
      </c>
      <c r="G4888">
        <v>-310.51940000000002</v>
      </c>
      <c r="H4888">
        <v>-0.05</v>
      </c>
      <c r="I4888">
        <v>12.43988</v>
      </c>
      <c r="J4888">
        <v>-316.40870000000001</v>
      </c>
      <c r="K4888">
        <v>1.07769</v>
      </c>
      <c r="L4888">
        <v>16.151730000000001</v>
      </c>
      <c r="M4888">
        <v>0.98603799999999997</v>
      </c>
      <c r="N4888">
        <v>-2.0724360000000001E-2</v>
      </c>
      <c r="O4888">
        <v>-0.1652256</v>
      </c>
      <c r="P4888">
        <v>0.85544769999999903</v>
      </c>
      <c r="Q4888">
        <v>0.35399599999999998</v>
      </c>
      <c r="R4888">
        <v>-0.37801580000000001</v>
      </c>
      <c r="S4888">
        <v>2.9370729999999998</v>
      </c>
      <c r="T4888">
        <v>-0.54037029999999997</v>
      </c>
      <c r="U4888">
        <v>-1.796997</v>
      </c>
      <c r="V4888">
        <v>0.23536309999999999</v>
      </c>
      <c r="W4888">
        <v>0.37023830000000002</v>
      </c>
      <c r="X4888">
        <v>0.89862549999999997</v>
      </c>
      <c r="Y4888">
        <v>0.37020769999999997</v>
      </c>
      <c r="Z4888">
        <v>-1.111296E-2</v>
      </c>
      <c r="AA4888">
        <v>0.92888250000000006</v>
      </c>
      <c r="AB4888">
        <v>25</v>
      </c>
      <c r="AC4888">
        <v>5.8892999999999898</v>
      </c>
      <c r="AD4888">
        <v>-1.1276899999999901</v>
      </c>
      <c r="AE4888">
        <v>-3.7118500000000001</v>
      </c>
      <c r="AF4888">
        <v>2.6188188067012499</v>
      </c>
      <c r="AG4888">
        <v>-1.1276899999999901</v>
      </c>
      <c r="AH4888">
        <v>6.2575413032187202</v>
      </c>
      <c r="AI4888">
        <v>99.438627274722407</v>
      </c>
      <c r="AJ4888">
        <v>67.290395577706306</v>
      </c>
      <c r="AK4888">
        <v>6.8765339990376297</v>
      </c>
      <c r="AL4888">
        <v>68.269685127465394</v>
      </c>
      <c r="AM4888">
        <v>75.323081655873906</v>
      </c>
      <c r="AN4888">
        <v>0.99999998843937399</v>
      </c>
    </row>
    <row r="4889" spans="1:40" x14ac:dyDescent="0.25">
      <c r="A4889" t="str">
        <f>"20190304164743163"</f>
        <v>20190304164743163</v>
      </c>
      <c r="B4889" t="str">
        <f>"1551689263153866"</f>
        <v>1551689263153866</v>
      </c>
      <c r="C4889" t="s">
        <v>40</v>
      </c>
      <c r="D4889">
        <v>4.8835230000000003</v>
      </c>
      <c r="E4889">
        <v>0.57931540000000004</v>
      </c>
      <c r="F4889" t="s">
        <v>43</v>
      </c>
      <c r="G4889">
        <v>-310.24200000000002</v>
      </c>
      <c r="H4889">
        <v>-0.05</v>
      </c>
      <c r="I4889">
        <v>12.26605</v>
      </c>
      <c r="J4889">
        <v>-316.25110000000001</v>
      </c>
      <c r="K4889">
        <v>1.076112</v>
      </c>
      <c r="L4889">
        <v>16.121770000000001</v>
      </c>
      <c r="M4889">
        <v>0.98547390000000001</v>
      </c>
      <c r="N4889">
        <v>-2.0277369999999999E-2</v>
      </c>
      <c r="O4889">
        <v>-0.1686127</v>
      </c>
      <c r="P4889">
        <v>0.851556599999999</v>
      </c>
      <c r="Q4889">
        <v>0.35592620000000003</v>
      </c>
      <c r="R4889">
        <v>-0.3849265</v>
      </c>
      <c r="S4889">
        <v>2.9157099999999998</v>
      </c>
      <c r="T4889">
        <v>-0.53319229999999995</v>
      </c>
      <c r="U4889">
        <v>-1.8372189999999999</v>
      </c>
      <c r="V4889">
        <v>0.2397667</v>
      </c>
      <c r="W4889">
        <v>0.3716603</v>
      </c>
      <c r="X4889">
        <v>0.89687260000000002</v>
      </c>
      <c r="Y4889">
        <v>0.37925979999999998</v>
      </c>
      <c r="Z4889">
        <v>-1.129988E-2</v>
      </c>
      <c r="AA4889">
        <v>0.92522130000000002</v>
      </c>
      <c r="AB4889">
        <v>25</v>
      </c>
      <c r="AC4889">
        <v>6.0090999999999797</v>
      </c>
      <c r="AD4889">
        <v>-1.126112</v>
      </c>
      <c r="AE4889">
        <v>-3.8557199999999998</v>
      </c>
      <c r="AF4889">
        <v>2.7194224163167302</v>
      </c>
      <c r="AG4889">
        <v>-1.126112</v>
      </c>
      <c r="AH4889">
        <v>6.4137307523674396</v>
      </c>
      <c r="AI4889">
        <v>99.1823349690236</v>
      </c>
      <c r="AJ4889">
        <v>67.023051125380206</v>
      </c>
      <c r="AK4889">
        <v>7.0568639407865703</v>
      </c>
      <c r="AL4889">
        <v>68.181950185797305</v>
      </c>
      <c r="AM4889">
        <v>75.032763015103498</v>
      </c>
      <c r="AN4889">
        <v>0.99999995482786896</v>
      </c>
    </row>
    <row r="4890" spans="1:40" x14ac:dyDescent="0.25">
      <c r="A4890" t="str">
        <f>"20190304164743178"</f>
        <v>20190304164743178</v>
      </c>
      <c r="B4890" t="str">
        <f>"1551689263174361"</f>
        <v>1551689263174361</v>
      </c>
      <c r="C4890" t="s">
        <v>40</v>
      </c>
      <c r="D4890">
        <v>4.8520450000000004</v>
      </c>
      <c r="E4890">
        <v>0.57905759999999995</v>
      </c>
      <c r="F4890" t="s">
        <v>43</v>
      </c>
      <c r="G4890">
        <v>-310.09559999999999</v>
      </c>
      <c r="H4890">
        <v>-0.05</v>
      </c>
      <c r="I4890">
        <v>12.18216</v>
      </c>
      <c r="J4890">
        <v>-316.0992</v>
      </c>
      <c r="K4890">
        <v>1.074611</v>
      </c>
      <c r="L4890">
        <v>16.092320000000001</v>
      </c>
      <c r="M4890">
        <v>0.98489709999999997</v>
      </c>
      <c r="N4890">
        <v>-1.9825209999999999E-2</v>
      </c>
      <c r="O4890">
        <v>-0.1720023</v>
      </c>
      <c r="P4890">
        <v>0.84790869999999996</v>
      </c>
      <c r="Q4890">
        <v>0.35761479999999901</v>
      </c>
      <c r="R4890">
        <v>-0.39135999999999999</v>
      </c>
      <c r="S4890">
        <v>2.9047239999999999</v>
      </c>
      <c r="T4890">
        <v>-0.5314025</v>
      </c>
      <c r="U4890">
        <v>-1.85907</v>
      </c>
      <c r="V4890">
        <v>0.24367520000000001</v>
      </c>
      <c r="W4890">
        <v>0.37284149999999999</v>
      </c>
      <c r="X4890">
        <v>0.89532769999999995</v>
      </c>
      <c r="Y4890">
        <v>0.38263720000000001</v>
      </c>
      <c r="Z4890">
        <v>-1.0970799999999999E-2</v>
      </c>
      <c r="AA4890">
        <v>0.92383349999999997</v>
      </c>
      <c r="AB4890">
        <v>25</v>
      </c>
      <c r="AC4890">
        <v>6.0035999999999996</v>
      </c>
      <c r="AD4890">
        <v>-1.124611</v>
      </c>
      <c r="AE4890">
        <v>-3.9101599999999999</v>
      </c>
      <c r="AF4890">
        <v>2.7512400764897502</v>
      </c>
      <c r="AG4890">
        <v>-1.124611</v>
      </c>
      <c r="AH4890">
        <v>6.4283938350669301</v>
      </c>
      <c r="AI4890">
        <v>99.136833671907993</v>
      </c>
      <c r="AJ4890">
        <v>66.829922593704296</v>
      </c>
      <c r="AK4890">
        <v>7.0822538191264304</v>
      </c>
      <c r="AL4890">
        <v>68.109033854278493</v>
      </c>
      <c r="AM4890">
        <v>74.774970211498399</v>
      </c>
      <c r="AN4890">
        <v>1.0000000388022801</v>
      </c>
    </row>
    <row r="4891" spans="1:40" x14ac:dyDescent="0.25">
      <c r="A4891" t="str">
        <f>"20190304164743192"</f>
        <v>20190304164743192</v>
      </c>
      <c r="B4891" t="str">
        <f>"1551689263184022"</f>
        <v>1551689263184022</v>
      </c>
      <c r="C4891" t="s">
        <v>40</v>
      </c>
      <c r="D4891">
        <v>4.893561</v>
      </c>
      <c r="E4891">
        <v>0.5787215</v>
      </c>
      <c r="F4891" t="s">
        <v>43</v>
      </c>
      <c r="G4891">
        <v>-309.9563</v>
      </c>
      <c r="H4891">
        <v>-0.05</v>
      </c>
      <c r="I4891">
        <v>12.105259999999999</v>
      </c>
      <c r="J4891">
        <v>-315.9289</v>
      </c>
      <c r="K4891">
        <v>1.07297</v>
      </c>
      <c r="L4891">
        <v>16.058499999999999</v>
      </c>
      <c r="M4891">
        <v>0.98421309999999995</v>
      </c>
      <c r="N4891">
        <v>-1.9295059999999999E-2</v>
      </c>
      <c r="O4891">
        <v>-0.1759329</v>
      </c>
      <c r="P4891">
        <v>0.84194249999999904</v>
      </c>
      <c r="Q4891">
        <v>0.36018889999999998</v>
      </c>
      <c r="R4891">
        <v>-0.40174270000000001</v>
      </c>
      <c r="S4891">
        <v>2.8944700000000001</v>
      </c>
      <c r="T4891">
        <v>-0.52990559999999998</v>
      </c>
      <c r="U4891">
        <v>-1.8786620000000001</v>
      </c>
      <c r="V4891">
        <v>0.25143399999999999</v>
      </c>
      <c r="W4891">
        <v>0.37475029999999998</v>
      </c>
      <c r="X4891">
        <v>0.89238059999999997</v>
      </c>
      <c r="Y4891">
        <v>0.38489990000000002</v>
      </c>
      <c r="Z4891">
        <v>-1.043004E-2</v>
      </c>
      <c r="AA4891">
        <v>0.92289940000000004</v>
      </c>
      <c r="AB4891">
        <v>25</v>
      </c>
      <c r="AC4891">
        <v>5.9725999999999999</v>
      </c>
      <c r="AD4891">
        <v>-1.12297</v>
      </c>
      <c r="AE4891">
        <v>-3.9532399999999899</v>
      </c>
      <c r="AF4891">
        <v>2.7724303441351799</v>
      </c>
      <c r="AG4891">
        <v>-1.12297</v>
      </c>
      <c r="AH4891">
        <v>6.4172895654775903</v>
      </c>
      <c r="AI4891">
        <v>99.1260745641044</v>
      </c>
      <c r="AJ4891">
        <v>66.634442250758397</v>
      </c>
      <c r="AK4891">
        <v>7.0801862264469504</v>
      </c>
      <c r="AL4891">
        <v>67.991119059679207</v>
      </c>
      <c r="AM4891">
        <v>74.264474744748796</v>
      </c>
      <c r="AN4891">
        <v>0.99999998948122504</v>
      </c>
    </row>
    <row r="4892" spans="1:40" x14ac:dyDescent="0.25">
      <c r="A4892" t="str">
        <f>"20190304164743205"</f>
        <v>20190304164743205</v>
      </c>
      <c r="B4892" t="str">
        <f>"1551689263193778"</f>
        <v>1551689263193778</v>
      </c>
      <c r="C4892" t="s">
        <v>40</v>
      </c>
      <c r="D4892">
        <v>4.7621440000000002</v>
      </c>
      <c r="E4892">
        <v>0.57861059999999997</v>
      </c>
      <c r="F4892" t="s">
        <v>43</v>
      </c>
      <c r="G4892">
        <v>-309.7903</v>
      </c>
      <c r="H4892">
        <v>-0.05</v>
      </c>
      <c r="I4892">
        <v>11.9856</v>
      </c>
      <c r="J4892">
        <v>-315.80360000000002</v>
      </c>
      <c r="K4892">
        <v>1.0718049999999999</v>
      </c>
      <c r="L4892">
        <v>16.032869999999999</v>
      </c>
      <c r="M4892">
        <v>0.98368789999999995</v>
      </c>
      <c r="N4892">
        <v>-1.8897480000000001E-2</v>
      </c>
      <c r="O4892">
        <v>-0.1788892</v>
      </c>
      <c r="P4892">
        <v>0.83877239999999997</v>
      </c>
      <c r="Q4892">
        <v>0.36154960000000003</v>
      </c>
      <c r="R4892">
        <v>-0.40711599999999998</v>
      </c>
      <c r="S4892">
        <v>2.8774109999999999</v>
      </c>
      <c r="T4892">
        <v>-0.52638379999999996</v>
      </c>
      <c r="U4892">
        <v>-1.909149</v>
      </c>
      <c r="V4892">
        <v>0.25466280000000002</v>
      </c>
      <c r="W4892">
        <v>0.37564940000000002</v>
      </c>
      <c r="X4892">
        <v>0.89108609999999899</v>
      </c>
      <c r="Y4892">
        <v>0.39143460000000002</v>
      </c>
      <c r="Z4892">
        <v>-1.0466680000000001E-2</v>
      </c>
      <c r="AA4892">
        <v>0.92014640000000003</v>
      </c>
      <c r="AB4892">
        <v>25</v>
      </c>
      <c r="AC4892">
        <v>6.0133000000000099</v>
      </c>
      <c r="AD4892">
        <v>-1.1218049999999999</v>
      </c>
      <c r="AE4892">
        <v>-4.0472700000000001</v>
      </c>
      <c r="AF4892">
        <v>2.83807669879549</v>
      </c>
      <c r="AG4892">
        <v>-1.1218049999999999</v>
      </c>
      <c r="AH4892">
        <v>6.48507690522211</v>
      </c>
      <c r="AI4892">
        <v>99.004867922106897</v>
      </c>
      <c r="AJ4892">
        <v>66.364278120201107</v>
      </c>
      <c r="AK4892">
        <v>7.1672413293341899</v>
      </c>
      <c r="AL4892">
        <v>67.935545188543401</v>
      </c>
      <c r="AM4892">
        <v>74.050634878401993</v>
      </c>
      <c r="AN4892">
        <v>1.0000000255187</v>
      </c>
    </row>
    <row r="4893" spans="1:40" x14ac:dyDescent="0.25">
      <c r="A4893" t="str">
        <f>"20190304164743218"</f>
        <v>20190304164743218</v>
      </c>
      <c r="B4893" t="str">
        <f>"1551689263214274"</f>
        <v>1551689263214274</v>
      </c>
      <c r="C4893" t="s">
        <v>40</v>
      </c>
      <c r="D4893">
        <v>4.7780310000000004</v>
      </c>
      <c r="E4893">
        <v>0.57818219999999898</v>
      </c>
      <c r="F4893" t="s">
        <v>43</v>
      </c>
      <c r="G4893">
        <v>-309.66250000000002</v>
      </c>
      <c r="H4893">
        <v>-0.05</v>
      </c>
      <c r="I4893">
        <v>11.907970000000001</v>
      </c>
      <c r="J4893">
        <v>-315.66030000000001</v>
      </c>
      <c r="K4893">
        <v>1.070503</v>
      </c>
      <c r="L4893">
        <v>16.0032</v>
      </c>
      <c r="M4893">
        <v>0.98307049999999996</v>
      </c>
      <c r="N4893">
        <v>-1.8444929999999998E-2</v>
      </c>
      <c r="O4893">
        <v>-0.18229770000000001</v>
      </c>
      <c r="P4893">
        <v>0.83570370000000005</v>
      </c>
      <c r="Q4893">
        <v>0.36218109999999998</v>
      </c>
      <c r="R4893">
        <v>-0.4128251</v>
      </c>
      <c r="S4893">
        <v>2.8675540000000002</v>
      </c>
      <c r="T4893">
        <v>-0.52382519999999999</v>
      </c>
      <c r="U4893">
        <v>-1.9261170000000001</v>
      </c>
      <c r="V4893">
        <v>0.25780459999999999</v>
      </c>
      <c r="W4893">
        <v>0.3757682</v>
      </c>
      <c r="X4893">
        <v>0.89013199999999904</v>
      </c>
      <c r="Y4893">
        <v>0.39352029999999999</v>
      </c>
      <c r="Z4893">
        <v>-1.0001009999999999E-2</v>
      </c>
      <c r="AA4893">
        <v>0.91926149999999995</v>
      </c>
      <c r="AB4893">
        <v>25</v>
      </c>
      <c r="AC4893">
        <v>5.9977999999999803</v>
      </c>
      <c r="AD4893">
        <v>-1.120503</v>
      </c>
      <c r="AE4893">
        <v>-4.0952299999999999</v>
      </c>
      <c r="AF4893">
        <v>2.8648192548535101</v>
      </c>
      <c r="AG4893">
        <v>-1.120503</v>
      </c>
      <c r="AH4893">
        <v>6.4894658013543598</v>
      </c>
      <c r="AI4893">
        <v>98.976153893244501</v>
      </c>
      <c r="AJ4893">
        <v>66.180609725415295</v>
      </c>
      <c r="AK4893">
        <v>7.18163510093183</v>
      </c>
      <c r="AL4893">
        <v>67.928198937252404</v>
      </c>
      <c r="AM4893">
        <v>73.847655003699202</v>
      </c>
      <c r="AN4893">
        <v>0.99999996466819896</v>
      </c>
    </row>
    <row r="4894" spans="1:40" x14ac:dyDescent="0.25">
      <c r="A4894" t="str">
        <f>"20190304164743228"</f>
        <v>20190304164743228</v>
      </c>
      <c r="B4894" t="str">
        <f>"1551689263224036"</f>
        <v>1551689263224036</v>
      </c>
      <c r="C4894" t="s">
        <v>40</v>
      </c>
      <c r="D4894">
        <v>4.7593670000000001</v>
      </c>
      <c r="E4894">
        <v>0.57802219999999904</v>
      </c>
      <c r="F4894" t="s">
        <v>43</v>
      </c>
      <c r="G4894">
        <v>-309.5795</v>
      </c>
      <c r="H4894">
        <v>-0.05</v>
      </c>
      <c r="I4894">
        <v>11.87222</v>
      </c>
      <c r="J4894">
        <v>-315.52850000000001</v>
      </c>
      <c r="K4894">
        <v>1.069369</v>
      </c>
      <c r="L4894">
        <v>15.975250000000001</v>
      </c>
      <c r="M4894">
        <v>0.98247960000000001</v>
      </c>
      <c r="N4894">
        <v>-1.803664E-2</v>
      </c>
      <c r="O4894">
        <v>-0.18549499999999999</v>
      </c>
      <c r="P4894">
        <v>0.83266189999999995</v>
      </c>
      <c r="Q4894">
        <v>0.36241950000000001</v>
      </c>
      <c r="R4894">
        <v>-0.41871920000000001</v>
      </c>
      <c r="S4894">
        <v>2.8587340000000001</v>
      </c>
      <c r="T4894">
        <v>-0.52677489999999905</v>
      </c>
      <c r="U4894">
        <v>-1.942078</v>
      </c>
      <c r="V4894">
        <v>0.2613183</v>
      </c>
      <c r="W4894">
        <v>0.3755309</v>
      </c>
      <c r="X4894">
        <v>0.88920710000000003</v>
      </c>
      <c r="Y4894">
        <v>0.39535920000000002</v>
      </c>
      <c r="Z4894">
        <v>-9.5845199999999992E-3</v>
      </c>
      <c r="AA4894">
        <v>0.91847659999999998</v>
      </c>
      <c r="AB4894">
        <v>25</v>
      </c>
      <c r="AC4894">
        <v>5.9490000000000096</v>
      </c>
      <c r="AD4894">
        <v>-1.1193690000000001</v>
      </c>
      <c r="AE4894">
        <v>-4.1030300000000004</v>
      </c>
      <c r="AF4894">
        <v>2.8595051119263499</v>
      </c>
      <c r="AG4894">
        <v>-1.1193690000000001</v>
      </c>
      <c r="AH4894">
        <v>6.4521389081324498</v>
      </c>
      <c r="AI4894">
        <v>99.012568184720806</v>
      </c>
      <c r="AJ4894">
        <v>66.097693820855397</v>
      </c>
      <c r="AK4894">
        <v>7.1456177432836796</v>
      </c>
      <c r="AL4894">
        <v>67.9428702443074</v>
      </c>
      <c r="AM4894">
        <v>73.623104213318101</v>
      </c>
      <c r="AN4894">
        <v>0.99999998873005402</v>
      </c>
    </row>
    <row r="4895" spans="1:40" x14ac:dyDescent="0.25">
      <c r="A4895" t="str">
        <f>"20190304164743241"</f>
        <v>20190304164743241</v>
      </c>
      <c r="B4895" t="str">
        <f>"1551689263233795"</f>
        <v>1551689263233795</v>
      </c>
      <c r="C4895" t="s">
        <v>40</v>
      </c>
      <c r="D4895">
        <v>4.7566930000000003</v>
      </c>
      <c r="E4895">
        <v>0.57787549999999999</v>
      </c>
      <c r="F4895" t="s">
        <v>43</v>
      </c>
      <c r="G4895">
        <v>-309.48790000000002</v>
      </c>
      <c r="H4895">
        <v>-0.05</v>
      </c>
      <c r="I4895">
        <v>11.816929999999999</v>
      </c>
      <c r="J4895">
        <v>-315.39659999999998</v>
      </c>
      <c r="K4895">
        <v>1.0683009999999999</v>
      </c>
      <c r="L4895">
        <v>15.946719999999999</v>
      </c>
      <c r="M4895">
        <v>0.98186459999999998</v>
      </c>
      <c r="N4895">
        <v>-1.7640799999999901E-2</v>
      </c>
      <c r="O4895">
        <v>-0.18876109999999999</v>
      </c>
      <c r="P4895">
        <v>0.82958759999999998</v>
      </c>
      <c r="Q4895">
        <v>0.36262909999999998</v>
      </c>
      <c r="R4895">
        <v>-0.42459950000000002</v>
      </c>
      <c r="S4895">
        <v>2.8469850000000001</v>
      </c>
      <c r="T4895">
        <v>-0.52757310000000002</v>
      </c>
      <c r="U4895">
        <v>-1.9598690000000001</v>
      </c>
      <c r="V4895">
        <v>0.2647622</v>
      </c>
      <c r="W4895">
        <v>0.37528119999999998</v>
      </c>
      <c r="X4895">
        <v>0.88829329999999995</v>
      </c>
      <c r="Y4895">
        <v>0.39797769999999999</v>
      </c>
      <c r="Z4895">
        <v>-9.2215560000000005E-3</v>
      </c>
      <c r="AA4895">
        <v>0.91734870000000002</v>
      </c>
      <c r="AB4895">
        <v>25</v>
      </c>
      <c r="AC4895">
        <v>5.9086999999999499</v>
      </c>
      <c r="AD4895">
        <v>-1.118301</v>
      </c>
      <c r="AE4895">
        <v>-4.1297899999999998</v>
      </c>
      <c r="AF4895">
        <v>2.8709309523720399</v>
      </c>
      <c r="AG4895">
        <v>-1.118301</v>
      </c>
      <c r="AH4895">
        <v>6.4274362069795199</v>
      </c>
      <c r="AI4895">
        <v>99.026660680337699</v>
      </c>
      <c r="AJ4895">
        <v>65.931206495183105</v>
      </c>
      <c r="AK4895">
        <v>7.1277470391898898</v>
      </c>
      <c r="AL4895">
        <v>67.958306089563493</v>
      </c>
      <c r="AM4895">
        <v>73.402934266224804</v>
      </c>
      <c r="AN4895">
        <v>0.99999999422358499</v>
      </c>
    </row>
    <row r="4896" spans="1:40" x14ac:dyDescent="0.25">
      <c r="A4896" t="str">
        <f>"20190304164743253"</f>
        <v>20190304164743253</v>
      </c>
      <c r="B4896" t="str">
        <f>"1551689263244531"</f>
        <v>1551689263244531</v>
      </c>
      <c r="C4896" t="s">
        <v>40</v>
      </c>
      <c r="D4896">
        <v>4.5834840000000003</v>
      </c>
      <c r="E4896">
        <v>0.57815249999999996</v>
      </c>
      <c r="F4896" t="s">
        <v>43</v>
      </c>
      <c r="G4896">
        <v>-309.40100000000001</v>
      </c>
      <c r="H4896">
        <v>-0.05</v>
      </c>
      <c r="I4896">
        <v>11.763310000000001</v>
      </c>
      <c r="J4896">
        <v>-315.26229999999998</v>
      </c>
      <c r="K4896">
        <v>1.0672549999999901</v>
      </c>
      <c r="L4896">
        <v>15.91727</v>
      </c>
      <c r="M4896">
        <v>0.98121820000000004</v>
      </c>
      <c r="N4896">
        <v>-1.724581E-2</v>
      </c>
      <c r="O4896">
        <v>-0.1921292</v>
      </c>
      <c r="P4896">
        <v>0.82627870000000003</v>
      </c>
      <c r="Q4896">
        <v>0.36323309999999998</v>
      </c>
      <c r="R4896">
        <v>-0.43049470000000001</v>
      </c>
      <c r="S4896">
        <v>2.8349609999999998</v>
      </c>
      <c r="T4896">
        <v>-0.52877810000000003</v>
      </c>
      <c r="U4896">
        <v>-1.9780880000000001</v>
      </c>
      <c r="V4896">
        <v>0.26818259999999899</v>
      </c>
      <c r="W4896">
        <v>0.37542530000000002</v>
      </c>
      <c r="X4896">
        <v>0.88720569999999899</v>
      </c>
      <c r="Y4896">
        <v>0.40062589999999998</v>
      </c>
      <c r="Z4896">
        <v>-8.8439920000000002E-3</v>
      </c>
      <c r="AA4896">
        <v>0.91619899999999999</v>
      </c>
      <c r="AB4896">
        <v>25</v>
      </c>
      <c r="AC4896">
        <v>5.8612999999999698</v>
      </c>
      <c r="AD4896">
        <v>-1.1172550000000001</v>
      </c>
      <c r="AE4896">
        <v>-4.1539599999999997</v>
      </c>
      <c r="AF4896">
        <v>2.8805821976168899</v>
      </c>
      <c r="AG4896">
        <v>-1.1172550000000001</v>
      </c>
      <c r="AH4896">
        <v>6.3955990555644604</v>
      </c>
      <c r="AI4896">
        <v>99.050093189776504</v>
      </c>
      <c r="AJ4896">
        <v>65.753166004556505</v>
      </c>
      <c r="AK4896">
        <v>7.10279521116788</v>
      </c>
      <c r="AL4896">
        <v>67.949398788576403</v>
      </c>
      <c r="AM4896">
        <v>73.181097784808102</v>
      </c>
      <c r="AN4896">
        <v>1.0000000084676599</v>
      </c>
    </row>
    <row r="4897" spans="1:40" x14ac:dyDescent="0.25">
      <c r="A4897" t="str">
        <f>"20190304164743265"</f>
        <v>20190304164743265</v>
      </c>
      <c r="B4897" t="str">
        <f>"1551689263254291"</f>
        <v>1551689263254291</v>
      </c>
      <c r="C4897" t="s">
        <v>40</v>
      </c>
      <c r="D4897">
        <v>4.75319</v>
      </c>
      <c r="E4897">
        <v>0.57801179999999996</v>
      </c>
      <c r="F4897" t="s">
        <v>43</v>
      </c>
      <c r="G4897">
        <v>-309.20510000000002</v>
      </c>
      <c r="H4897">
        <v>-0.05</v>
      </c>
      <c r="I4897">
        <v>11.62006</v>
      </c>
      <c r="J4897">
        <v>-315.13729999999998</v>
      </c>
      <c r="K4897">
        <v>1.0663830000000001</v>
      </c>
      <c r="L4897">
        <v>15.88904</v>
      </c>
      <c r="M4897">
        <v>0.98058020000000001</v>
      </c>
      <c r="N4897">
        <v>-1.6906879999999999E-2</v>
      </c>
      <c r="O4897">
        <v>-0.1953888</v>
      </c>
      <c r="P4897">
        <v>0.82317459999999898</v>
      </c>
      <c r="Q4897">
        <v>0.36276069999999999</v>
      </c>
      <c r="R4897">
        <v>-0.4367935</v>
      </c>
      <c r="S4897">
        <v>2.8177189999999999</v>
      </c>
      <c r="T4897">
        <v>-0.51972850000000004</v>
      </c>
      <c r="U4897">
        <v>-1.998993</v>
      </c>
      <c r="V4897">
        <v>0.27203949999999999</v>
      </c>
      <c r="W4897">
        <v>0.37455270000000002</v>
      </c>
      <c r="X4897">
        <v>0.88639990000000002</v>
      </c>
      <c r="Y4897">
        <v>0.40482669999999998</v>
      </c>
      <c r="Z4897">
        <v>-8.6127389999999995E-3</v>
      </c>
      <c r="AA4897">
        <v>0.91435290000000002</v>
      </c>
      <c r="AB4897">
        <v>25</v>
      </c>
      <c r="AC4897">
        <v>5.9321999999999599</v>
      </c>
      <c r="AD4897">
        <v>-1.1163829999999999</v>
      </c>
      <c r="AE4897">
        <v>-4.2689799999999902</v>
      </c>
      <c r="AF4897">
        <v>2.95839743165629</v>
      </c>
      <c r="AG4897">
        <v>-1.1163829999999999</v>
      </c>
      <c r="AH4897">
        <v>6.5003885610638896</v>
      </c>
      <c r="AI4897">
        <v>98.884233365351605</v>
      </c>
      <c r="AJ4897">
        <v>65.5292027168705</v>
      </c>
      <c r="AK4897">
        <v>7.2286567086236602</v>
      </c>
      <c r="AL4897">
        <v>68.003330300297094</v>
      </c>
      <c r="AM4897">
        <v>72.9385508951638</v>
      </c>
      <c r="AN4897">
        <v>0.99999999867877498</v>
      </c>
    </row>
    <row r="4898" spans="1:40" x14ac:dyDescent="0.25">
      <c r="A4898" t="str">
        <f>"20190304164743277"</f>
        <v>20190304164743277</v>
      </c>
      <c r="B4898" t="str">
        <f>"1551689263273811"</f>
        <v>1551689263273811</v>
      </c>
      <c r="C4898" t="s">
        <v>40</v>
      </c>
      <c r="D4898">
        <v>4.6767130000000003</v>
      </c>
      <c r="E4898">
        <v>0.57780830000000005</v>
      </c>
      <c r="F4898" t="s">
        <v>43</v>
      </c>
      <c r="G4898">
        <v>-309.1515</v>
      </c>
      <c r="H4898">
        <v>-0.05</v>
      </c>
      <c r="I4898">
        <v>11.58109</v>
      </c>
      <c r="J4898">
        <v>-315.00670000000002</v>
      </c>
      <c r="K4898">
        <v>1.0654950000000001</v>
      </c>
      <c r="L4898">
        <v>15.859249999999999</v>
      </c>
      <c r="M4898">
        <v>0.9798926</v>
      </c>
      <c r="N4898">
        <v>-1.6562420000000001E-2</v>
      </c>
      <c r="O4898">
        <v>-0.19883729999999999</v>
      </c>
      <c r="P4898">
        <v>0.82016250000000002</v>
      </c>
      <c r="Q4898">
        <v>0.36205700000000002</v>
      </c>
      <c r="R4898">
        <v>-0.44299949999999999</v>
      </c>
      <c r="S4898">
        <v>2.8040470000000002</v>
      </c>
      <c r="T4898">
        <v>-0.52296969999999998</v>
      </c>
      <c r="U4898">
        <v>-2.0180660000000001</v>
      </c>
      <c r="V4898">
        <v>0.27562009999999998</v>
      </c>
      <c r="W4898">
        <v>0.37344889999999997</v>
      </c>
      <c r="X4898">
        <v>0.88575930000000003</v>
      </c>
      <c r="Y4898">
        <v>0.4077962</v>
      </c>
      <c r="Z4898">
        <v>-8.2761999999999992E-3</v>
      </c>
      <c r="AA4898">
        <v>0.9130355</v>
      </c>
      <c r="AB4898">
        <v>25</v>
      </c>
      <c r="AC4898">
        <v>5.8552000000000204</v>
      </c>
      <c r="AD4898">
        <v>-1.1154949999999999</v>
      </c>
      <c r="AE4898">
        <v>-4.2781599999999997</v>
      </c>
      <c r="AF4898">
        <v>2.9583185001574099</v>
      </c>
      <c r="AG4898">
        <v>-1.1154949999999999</v>
      </c>
      <c r="AH4898">
        <v>6.4367180619966504</v>
      </c>
      <c r="AI4898">
        <v>98.948709947739999</v>
      </c>
      <c r="AJ4898">
        <v>65.316467228741899</v>
      </c>
      <c r="AK4898">
        <v>7.1712841843725998</v>
      </c>
      <c r="AL4898">
        <v>68.071522881751505</v>
      </c>
      <c r="AM4898">
        <v>72.715520974021999</v>
      </c>
      <c r="AN4898">
        <v>1.0000000289858499</v>
      </c>
    </row>
    <row r="4899" spans="1:40" x14ac:dyDescent="0.25">
      <c r="A4899" t="str">
        <f>"20190304164743292"</f>
        <v>20190304164743292</v>
      </c>
      <c r="B4899" t="str">
        <f>"1551689263284546"</f>
        <v>1551689263284546</v>
      </c>
      <c r="C4899" t="s">
        <v>40</v>
      </c>
      <c r="D4899">
        <v>4.7473809999999999</v>
      </c>
      <c r="E4899">
        <v>0.57760279999999997</v>
      </c>
      <c r="F4899" t="s">
        <v>43</v>
      </c>
      <c r="G4899">
        <v>-309.1026</v>
      </c>
      <c r="H4899">
        <v>-0.05</v>
      </c>
      <c r="I4899">
        <v>11.549149999999999</v>
      </c>
      <c r="J4899">
        <v>-314.82960000000003</v>
      </c>
      <c r="K4899">
        <v>1.064379</v>
      </c>
      <c r="L4899">
        <v>15.817869999999999</v>
      </c>
      <c r="M4899">
        <v>0.97890739999999998</v>
      </c>
      <c r="N4899">
        <v>-1.6135819999999999E-2</v>
      </c>
      <c r="O4899">
        <v>-0.2036666</v>
      </c>
      <c r="P4899">
        <v>0.81526369999999904</v>
      </c>
      <c r="Q4899">
        <v>0.35963669999999998</v>
      </c>
      <c r="R4899">
        <v>-0.4538798</v>
      </c>
      <c r="S4899">
        <v>2.790314</v>
      </c>
      <c r="T4899">
        <v>-0.52719159999999998</v>
      </c>
      <c r="U4899">
        <v>-2.0369869999999999</v>
      </c>
      <c r="V4899">
        <v>0.28290359999999998</v>
      </c>
      <c r="W4899">
        <v>0.37049080000000001</v>
      </c>
      <c r="X4899">
        <v>0.8847045</v>
      </c>
      <c r="Y4899">
        <v>0.40947610000000001</v>
      </c>
      <c r="Z4899">
        <v>-7.5812229999999998E-3</v>
      </c>
      <c r="AA4899">
        <v>0.91228940000000003</v>
      </c>
      <c r="AB4899">
        <v>25</v>
      </c>
      <c r="AC4899">
        <v>5.7270000000000296</v>
      </c>
      <c r="AD4899">
        <v>-1.114379</v>
      </c>
      <c r="AE4899">
        <v>-4.2687200000000001</v>
      </c>
      <c r="AF4899">
        <v>2.9410887870958802</v>
      </c>
      <c r="AG4899">
        <v>-1.114379</v>
      </c>
      <c r="AH4899">
        <v>6.3225500022763903</v>
      </c>
      <c r="AI4899">
        <v>99.079677771886196</v>
      </c>
      <c r="AJ4899">
        <v>65.053354135862804</v>
      </c>
      <c r="AK4899">
        <v>7.0616203764084702</v>
      </c>
      <c r="AL4899">
        <v>68.254109855183202</v>
      </c>
      <c r="AM4899">
        <v>72.267186640855101</v>
      </c>
      <c r="AN4899">
        <v>0.99999996604892405</v>
      </c>
    </row>
    <row r="4900" spans="1:40" x14ac:dyDescent="0.25">
      <c r="A4900" t="str">
        <f>"20190304164743304"</f>
        <v>20190304164743304</v>
      </c>
      <c r="B4900" t="str">
        <f>"1551689263294307"</f>
        <v>1551689263294307</v>
      </c>
      <c r="C4900" t="s">
        <v>40</v>
      </c>
      <c r="D4900">
        <v>4.6680710000000003</v>
      </c>
      <c r="E4900">
        <v>0.57755800000000002</v>
      </c>
      <c r="F4900" t="s">
        <v>43</v>
      </c>
      <c r="G4900">
        <v>-309.10070000000002</v>
      </c>
      <c r="H4900">
        <v>-0.05</v>
      </c>
      <c r="I4900">
        <v>11.530329999999999</v>
      </c>
      <c r="J4900">
        <v>-314.70760000000001</v>
      </c>
      <c r="K4900">
        <v>1.063688</v>
      </c>
      <c r="L4900">
        <v>15.78857</v>
      </c>
      <c r="M4900">
        <v>0.97818760000000005</v>
      </c>
      <c r="N4900">
        <v>-1.587359E-2</v>
      </c>
      <c r="O4900">
        <v>-0.20711570000000001</v>
      </c>
      <c r="P4900">
        <v>0.81224280000000004</v>
      </c>
      <c r="Q4900">
        <v>0.35846919999999999</v>
      </c>
      <c r="R4900">
        <v>-0.46017580000000002</v>
      </c>
      <c r="S4900">
        <v>2.7649840000000001</v>
      </c>
      <c r="T4900">
        <v>-0.53783610000000004</v>
      </c>
      <c r="U4900">
        <v>-2.0693049999999999</v>
      </c>
      <c r="V4900">
        <v>0.28657830000000001</v>
      </c>
      <c r="W4900">
        <v>0.36899910000000002</v>
      </c>
      <c r="X4900">
        <v>0.88414509999999902</v>
      </c>
      <c r="Y4900">
        <v>0.4169158</v>
      </c>
      <c r="Z4900">
        <v>-7.6997890000000003E-3</v>
      </c>
      <c r="AA4900">
        <v>0.90891250000000001</v>
      </c>
      <c r="AB4900">
        <v>25</v>
      </c>
      <c r="AC4900">
        <v>5.6068999999999898</v>
      </c>
      <c r="AD4900">
        <v>-1.113688</v>
      </c>
      <c r="AE4900">
        <v>-4.2582399999999998</v>
      </c>
      <c r="AF4900">
        <v>2.9311190758899399</v>
      </c>
      <c r="AG4900">
        <v>-1.113688</v>
      </c>
      <c r="AH4900">
        <v>6.2119211536872401</v>
      </c>
      <c r="AI4900">
        <v>99.209727928666993</v>
      </c>
      <c r="AJ4900">
        <v>64.739536777009903</v>
      </c>
      <c r="AK4900">
        <v>6.9584283008461698</v>
      </c>
      <c r="AL4900">
        <v>68.346097749043594</v>
      </c>
      <c r="AM4900">
        <v>72.040914670423305</v>
      </c>
      <c r="AN4900">
        <v>1.0000000078428499</v>
      </c>
    </row>
    <row r="4901" spans="1:40" x14ac:dyDescent="0.25">
      <c r="A4901" t="str">
        <f>"20190304164743316"</f>
        <v>20190304164743316</v>
      </c>
      <c r="B4901" t="str">
        <f>"1551689263313827"</f>
        <v>1551689263313827</v>
      </c>
      <c r="C4901" t="s">
        <v>40</v>
      </c>
      <c r="D4901">
        <v>4.8258289999999997</v>
      </c>
      <c r="E4901">
        <v>0.57747109999999902</v>
      </c>
      <c r="F4901" t="s">
        <v>43</v>
      </c>
      <c r="G4901">
        <v>-309.06400000000002</v>
      </c>
      <c r="H4901">
        <v>-0.05</v>
      </c>
      <c r="I4901">
        <v>11.49812</v>
      </c>
      <c r="J4901">
        <v>-314.56779999999998</v>
      </c>
      <c r="K4901">
        <v>1.0629230000000001</v>
      </c>
      <c r="L4901">
        <v>15.754670000000001</v>
      </c>
      <c r="M4901">
        <v>0.97733859999999995</v>
      </c>
      <c r="N4901">
        <v>-1.5587129999999999E-2</v>
      </c>
      <c r="O4901">
        <v>-0.21110789999999999</v>
      </c>
      <c r="P4901">
        <v>0.80880240000000003</v>
      </c>
      <c r="Q4901">
        <v>0.35794090000000001</v>
      </c>
      <c r="R4901">
        <v>-0.4666014</v>
      </c>
      <c r="S4901">
        <v>2.7488709999999998</v>
      </c>
      <c r="T4901">
        <v>-0.54245880000000002</v>
      </c>
      <c r="U4901">
        <v>-2.0898129999999999</v>
      </c>
      <c r="V4901">
        <v>0.28999649999999999</v>
      </c>
      <c r="W4901">
        <v>0.3681179</v>
      </c>
      <c r="X4901">
        <v>0.88339760000000001</v>
      </c>
      <c r="Y4901">
        <v>0.42002790000000001</v>
      </c>
      <c r="Z4901">
        <v>-7.2957279999999996E-3</v>
      </c>
      <c r="AA4901">
        <v>0.90748189999999995</v>
      </c>
      <c r="AB4901">
        <v>25</v>
      </c>
      <c r="AC4901">
        <v>5.5037999999999503</v>
      </c>
      <c r="AD4901">
        <v>-1.1129229999999899</v>
      </c>
      <c r="AE4901">
        <v>-4.2565499999999998</v>
      </c>
      <c r="AF4901">
        <v>2.9237530307335402</v>
      </c>
      <c r="AG4901">
        <v>-1.1129229999999899</v>
      </c>
      <c r="AH4901">
        <v>6.12179984664479</v>
      </c>
      <c r="AI4901">
        <v>99.316243063726205</v>
      </c>
      <c r="AJ4901">
        <v>64.471000635919296</v>
      </c>
      <c r="AK4901">
        <v>6.8748354708336699</v>
      </c>
      <c r="AL4901">
        <v>68.400410843653006</v>
      </c>
      <c r="AM4901">
        <v>71.826334427089193</v>
      </c>
      <c r="AN4901">
        <v>1.0000000389992001</v>
      </c>
    </row>
    <row r="4902" spans="1:40" x14ac:dyDescent="0.25">
      <c r="A4902" t="str">
        <f>"20190304164743332"</f>
        <v>20190304164743332</v>
      </c>
      <c r="B4902" t="str">
        <f>"1551689263323587"</f>
        <v>1551689263323587</v>
      </c>
      <c r="C4902" t="s">
        <v>40</v>
      </c>
      <c r="D4902">
        <v>4.9667389999999996</v>
      </c>
      <c r="E4902">
        <v>0.5776365</v>
      </c>
      <c r="F4902" t="s">
        <v>43</v>
      </c>
      <c r="G4902">
        <v>-308.9939</v>
      </c>
      <c r="H4902">
        <v>-0.05</v>
      </c>
      <c r="I4902">
        <v>11.44913</v>
      </c>
      <c r="J4902">
        <v>-314.40159999999997</v>
      </c>
      <c r="K4902">
        <v>1.062082</v>
      </c>
      <c r="L4902">
        <v>15.71335</v>
      </c>
      <c r="M4902">
        <v>0.97627330000000001</v>
      </c>
      <c r="N4902">
        <v>-1.528875E-2</v>
      </c>
      <c r="O4902">
        <v>-0.21600179999999999</v>
      </c>
      <c r="P4902">
        <v>0.80445610000000001</v>
      </c>
      <c r="Q4902">
        <v>0.35793390000000003</v>
      </c>
      <c r="R4902">
        <v>-0.47406130000000002</v>
      </c>
      <c r="S4902">
        <v>2.7328489999999999</v>
      </c>
      <c r="T4902">
        <v>-0.54565410000000003</v>
      </c>
      <c r="U4902">
        <v>-2.1109619999999998</v>
      </c>
      <c r="V4902">
        <v>0.29383680000000001</v>
      </c>
      <c r="W4902">
        <v>0.36771799999999999</v>
      </c>
      <c r="X4902">
        <v>0.88229439999999903</v>
      </c>
      <c r="Y4902">
        <v>0.4224523</v>
      </c>
      <c r="Z4902">
        <v>-6.6729129999999999E-3</v>
      </c>
      <c r="AA4902">
        <v>0.90636059999999996</v>
      </c>
      <c r="AB4902">
        <v>25</v>
      </c>
      <c r="AC4902">
        <v>5.40769999999997</v>
      </c>
      <c r="AD4902">
        <v>-1.112082</v>
      </c>
      <c r="AE4902">
        <v>-4.2642199999999999</v>
      </c>
      <c r="AF4902">
        <v>2.9191985871403499</v>
      </c>
      <c r="AG4902">
        <v>-1.112082</v>
      </c>
      <c r="AH4902">
        <v>6.0436007035656099</v>
      </c>
      <c r="AI4902">
        <v>99.408045769911595</v>
      </c>
      <c r="AJ4902">
        <v>64.218385451735102</v>
      </c>
      <c r="AK4902">
        <v>6.8032019101320902</v>
      </c>
      <c r="AL4902">
        <v>68.425050909356202</v>
      </c>
      <c r="AM4902">
        <v>71.580326310403805</v>
      </c>
      <c r="AN4902">
        <v>1.00000000041479</v>
      </c>
    </row>
    <row r="4903" spans="1:40" x14ac:dyDescent="0.25">
      <c r="A4903" t="str">
        <f>"20190304164743350"</f>
        <v>20190304164743350</v>
      </c>
      <c r="B4903" t="str">
        <f>"1551689263344083"</f>
        <v>1551689263344083</v>
      </c>
      <c r="C4903" t="s">
        <v>40</v>
      </c>
      <c r="D4903">
        <v>4.4776230000000004</v>
      </c>
      <c r="E4903">
        <v>0.57789119999999905</v>
      </c>
      <c r="F4903" t="s">
        <v>43</v>
      </c>
      <c r="G4903">
        <v>-308.88459999999998</v>
      </c>
      <c r="H4903">
        <v>-0.05</v>
      </c>
      <c r="I4903">
        <v>11.36824</v>
      </c>
      <c r="J4903">
        <v>-314.20119999999997</v>
      </c>
      <c r="K4903">
        <v>1.061156</v>
      </c>
      <c r="L4903">
        <v>15.662050000000001</v>
      </c>
      <c r="M4903">
        <v>0.97491340000000004</v>
      </c>
      <c r="N4903">
        <v>-1.4981599999999999E-2</v>
      </c>
      <c r="O4903">
        <v>-0.22208030000000001</v>
      </c>
      <c r="P4903">
        <v>0.79710380000000003</v>
      </c>
      <c r="Q4903">
        <v>0.35821649999999999</v>
      </c>
      <c r="R4903">
        <v>-0.48611389999999999</v>
      </c>
      <c r="S4903">
        <v>2.7133180000000001</v>
      </c>
      <c r="T4903">
        <v>-0.54693169999999902</v>
      </c>
      <c r="U4903">
        <v>-2.1369630000000002</v>
      </c>
      <c r="V4903">
        <v>0.30179139999999999</v>
      </c>
      <c r="W4903">
        <v>0.36749939999999998</v>
      </c>
      <c r="X4903">
        <v>0.879696699999999</v>
      </c>
      <c r="Y4903">
        <v>0.42536489999999999</v>
      </c>
      <c r="Z4903">
        <v>-5.9050689999999998E-3</v>
      </c>
      <c r="AA4903">
        <v>0.90500270000000005</v>
      </c>
      <c r="AB4903">
        <v>25</v>
      </c>
      <c r="AC4903">
        <v>5.3165999999999896</v>
      </c>
      <c r="AD4903">
        <v>-1.111156</v>
      </c>
      <c r="AE4903">
        <v>-4.2938099999999997</v>
      </c>
      <c r="AF4903">
        <v>2.9283034802860999</v>
      </c>
      <c r="AG4903">
        <v>-1.111156</v>
      </c>
      <c r="AH4903">
        <v>5.97940827653205</v>
      </c>
      <c r="AI4903">
        <v>99.474863191357699</v>
      </c>
      <c r="AJ4903">
        <v>63.907561224112399</v>
      </c>
      <c r="AK4903">
        <v>6.7500335011355101</v>
      </c>
      <c r="AL4903">
        <v>68.438520378779899</v>
      </c>
      <c r="AM4903">
        <v>71.064801508894703</v>
      </c>
      <c r="AN4903">
        <v>1.0000000710526</v>
      </c>
    </row>
    <row r="4904" spans="1:40" x14ac:dyDescent="0.25">
      <c r="A4904" t="str">
        <f>"20190304164743372"</f>
        <v>20190304164743372</v>
      </c>
      <c r="B4904" t="str">
        <f>"1551689263363606"</f>
        <v>1551689263363606</v>
      </c>
      <c r="C4904" t="s">
        <v>40</v>
      </c>
      <c r="D4904">
        <v>4.9743149999999998</v>
      </c>
      <c r="E4904">
        <v>0.57802129999999996</v>
      </c>
      <c r="F4904" t="s">
        <v>43</v>
      </c>
      <c r="G4904">
        <v>-308.7627</v>
      </c>
      <c r="H4904">
        <v>-0.05</v>
      </c>
      <c r="I4904">
        <v>11.24274</v>
      </c>
      <c r="J4904">
        <v>-313.9633</v>
      </c>
      <c r="K4904">
        <v>1.0601480000000001</v>
      </c>
      <c r="L4904">
        <v>15.599299999999999</v>
      </c>
      <c r="M4904">
        <v>0.97318629999999995</v>
      </c>
      <c r="N4904">
        <v>-1.4688700000000001E-2</v>
      </c>
      <c r="O4904">
        <v>-0.229549</v>
      </c>
      <c r="P4904">
        <v>0.79009200000000002</v>
      </c>
      <c r="Q4904">
        <v>0.358120099999999</v>
      </c>
      <c r="R4904">
        <v>-0.49749870000000002</v>
      </c>
      <c r="S4904">
        <v>2.6811219999999998</v>
      </c>
      <c r="T4904">
        <v>-0.547788099999999</v>
      </c>
      <c r="U4904">
        <v>-2.1786799999999999</v>
      </c>
      <c r="V4904">
        <v>0.3078342</v>
      </c>
      <c r="W4904">
        <v>0.36691079999999998</v>
      </c>
      <c r="X4904">
        <v>0.87784649999999997</v>
      </c>
      <c r="Y4904">
        <v>0.43220789999999998</v>
      </c>
      <c r="Z4904">
        <v>-5.3079709999999999E-3</v>
      </c>
      <c r="AA4904">
        <v>0.90175839999999996</v>
      </c>
      <c r="AB4904">
        <v>25</v>
      </c>
      <c r="AC4904">
        <v>5.2005999999999997</v>
      </c>
      <c r="AD4904">
        <v>-1.1101479999999999</v>
      </c>
      <c r="AE4904">
        <v>-4.35656</v>
      </c>
      <c r="AF4904">
        <v>2.9668378625881102</v>
      </c>
      <c r="AG4904">
        <v>-1.1101479999999999</v>
      </c>
      <c r="AH4904">
        <v>5.9037660096162297</v>
      </c>
      <c r="AI4904">
        <v>99.537643400146607</v>
      </c>
      <c r="AJ4904">
        <v>63.318957539324998</v>
      </c>
      <c r="AK4904">
        <v>6.6999260131056904</v>
      </c>
      <c r="AL4904">
        <v>68.474774950495899</v>
      </c>
      <c r="AM4904">
        <v>70.675775603813406</v>
      </c>
      <c r="AN4904">
        <v>0.99999995370426398</v>
      </c>
    </row>
    <row r="4905" spans="1:40" x14ac:dyDescent="0.25">
      <c r="A4905" t="str">
        <f>"20190304164743385"</f>
        <v>20190304164743385</v>
      </c>
      <c r="B4905" t="str">
        <f>"1551689263374339"</f>
        <v>1551689263374339</v>
      </c>
      <c r="C4905" t="s">
        <v>40</v>
      </c>
      <c r="D4905">
        <v>4.9498689999999996</v>
      </c>
      <c r="E4905">
        <v>0.57824119999999901</v>
      </c>
      <c r="F4905" t="s">
        <v>43</v>
      </c>
      <c r="G4905">
        <v>-308.65339999999998</v>
      </c>
      <c r="H4905">
        <v>-0.05</v>
      </c>
      <c r="I4905">
        <v>11.152010000000001</v>
      </c>
      <c r="J4905">
        <v>-313.82569999999998</v>
      </c>
      <c r="K4905">
        <v>1.0596080000000001</v>
      </c>
      <c r="L4905">
        <v>15.561769999999999</v>
      </c>
      <c r="M4905">
        <v>0.97211709999999996</v>
      </c>
      <c r="N4905">
        <v>-1.4564870000000001E-2</v>
      </c>
      <c r="O4905">
        <v>-0.23404320000000001</v>
      </c>
      <c r="P4905">
        <v>0.78636969999999995</v>
      </c>
      <c r="Q4905">
        <v>0.358288</v>
      </c>
      <c r="R4905">
        <v>-0.50324199999999997</v>
      </c>
      <c r="S4905">
        <v>2.6504210000000001</v>
      </c>
      <c r="T4905">
        <v>-0.55412720000000004</v>
      </c>
      <c r="U4905">
        <v>-2.219849</v>
      </c>
      <c r="V4905">
        <v>0.3103088</v>
      </c>
      <c r="W4905">
        <v>0.366838</v>
      </c>
      <c r="X4905">
        <v>0.87700529999999999</v>
      </c>
      <c r="Y4905">
        <v>0.44126009999999999</v>
      </c>
      <c r="Z4905">
        <v>-5.4408130000000001E-3</v>
      </c>
      <c r="AA4905">
        <v>0.89736280000000002</v>
      </c>
      <c r="AB4905">
        <v>25</v>
      </c>
      <c r="AC4905">
        <v>5.1722999999999999</v>
      </c>
      <c r="AD4905">
        <v>-1.1096079999999999</v>
      </c>
      <c r="AE4905">
        <v>-4.4097599999999897</v>
      </c>
      <c r="AF4905">
        <v>2.9967228305151998</v>
      </c>
      <c r="AG4905">
        <v>-1.1096079999999999</v>
      </c>
      <c r="AH4905">
        <v>5.9034665732089397</v>
      </c>
      <c r="AI4905">
        <v>99.514421668887195</v>
      </c>
      <c r="AJ4905">
        <v>63.086699816152603</v>
      </c>
      <c r="AK4905">
        <v>6.7128604348362799</v>
      </c>
      <c r="AL4905">
        <v>68.479259395597396</v>
      </c>
      <c r="AM4905">
        <v>70.514808259528706</v>
      </c>
      <c r="AN4905">
        <v>0.999999982914764</v>
      </c>
    </row>
    <row r="4906" spans="1:40" x14ac:dyDescent="0.25">
      <c r="A4906" t="str">
        <f>"20190304164743397"</f>
        <v>20190304164743397</v>
      </c>
      <c r="B4906" t="str">
        <f>"1551689263393859"</f>
        <v>1551689263393859</v>
      </c>
      <c r="C4906" t="s">
        <v>40</v>
      </c>
      <c r="D4906">
        <v>4.9508219999999996</v>
      </c>
      <c r="E4906">
        <v>0.57842199999999999</v>
      </c>
      <c r="F4906" t="s">
        <v>43</v>
      </c>
      <c r="G4906">
        <v>-308.5573</v>
      </c>
      <c r="H4906">
        <v>-0.05</v>
      </c>
      <c r="I4906">
        <v>11.07404</v>
      </c>
      <c r="J4906">
        <v>-313.68380000000002</v>
      </c>
      <c r="K4906">
        <v>1.0590809999999999</v>
      </c>
      <c r="L4906">
        <v>15.522460000000001</v>
      </c>
      <c r="M4906">
        <v>0.97097149999999999</v>
      </c>
      <c r="N4906">
        <v>-1.4458149999999999E-2</v>
      </c>
      <c r="O4906">
        <v>-0.23875830000000001</v>
      </c>
      <c r="P4906">
        <v>0.78262469999999995</v>
      </c>
      <c r="Q4906">
        <v>0.3580759</v>
      </c>
      <c r="R4906">
        <v>-0.50919609999999904</v>
      </c>
      <c r="S4906">
        <v>2.6325379999999998</v>
      </c>
      <c r="T4906">
        <v>-0.55445519999999904</v>
      </c>
      <c r="U4906">
        <v>-2.2424620000000002</v>
      </c>
      <c r="V4906">
        <v>0.31280669999999999</v>
      </c>
      <c r="W4906">
        <v>0.36639310000000003</v>
      </c>
      <c r="X4906">
        <v>0.87630370000000002</v>
      </c>
      <c r="Y4906">
        <v>0.44439040000000002</v>
      </c>
      <c r="Z4906">
        <v>-4.9718879999999998E-3</v>
      </c>
      <c r="AA4906">
        <v>0.89581939999999904</v>
      </c>
      <c r="AB4906">
        <v>25</v>
      </c>
      <c r="AC4906">
        <v>5.1265000000000196</v>
      </c>
      <c r="AD4906">
        <v>-1.109081</v>
      </c>
      <c r="AE4906">
        <v>-4.4484199999999996</v>
      </c>
      <c r="AF4906">
        <v>3.0151138772274999</v>
      </c>
      <c r="AG4906">
        <v>-1.109081</v>
      </c>
      <c r="AH4906">
        <v>5.8833276221133701</v>
      </c>
      <c r="AI4906">
        <v>99.523519816895401</v>
      </c>
      <c r="AJ4906">
        <v>62.865566331961702</v>
      </c>
      <c r="AK4906">
        <v>6.7033212862231997</v>
      </c>
      <c r="AL4906">
        <v>68.506659608720696</v>
      </c>
      <c r="AM4906">
        <v>70.355391043921401</v>
      </c>
      <c r="AN4906">
        <v>1.0000000549630901</v>
      </c>
    </row>
    <row r="4907" spans="1:40" x14ac:dyDescent="0.25">
      <c r="A4907" t="str">
        <f>"20190304164743410"</f>
        <v>20190304164743410</v>
      </c>
      <c r="B4907" t="str">
        <f>"1551689263403618"</f>
        <v>1551689263403618</v>
      </c>
      <c r="C4907" t="s">
        <v>40</v>
      </c>
      <c r="D4907">
        <v>4.6348039999999999</v>
      </c>
      <c r="E4907">
        <v>0.57930459999999995</v>
      </c>
      <c r="F4907" t="s">
        <v>43</v>
      </c>
      <c r="G4907">
        <v>-308.47219999999999</v>
      </c>
      <c r="H4907">
        <v>-0.05</v>
      </c>
      <c r="I4907">
        <v>11.008940000000001</v>
      </c>
      <c r="J4907">
        <v>-313.54480000000001</v>
      </c>
      <c r="K4907">
        <v>1.0585979999999999</v>
      </c>
      <c r="L4907">
        <v>15.48297</v>
      </c>
      <c r="M4907">
        <v>0.96979059999999995</v>
      </c>
      <c r="N4907">
        <v>-1.438979E-2</v>
      </c>
      <c r="O4907">
        <v>-0.24351439999999999</v>
      </c>
      <c r="P4907">
        <v>0.77874279999999996</v>
      </c>
      <c r="Q4907">
        <v>0.35834129999999997</v>
      </c>
      <c r="R4907">
        <v>-0.51492850000000001</v>
      </c>
      <c r="S4907">
        <v>2.614563</v>
      </c>
      <c r="T4907">
        <v>-0.5564114</v>
      </c>
      <c r="U4907">
        <v>-2.2643740000000001</v>
      </c>
      <c r="V4907">
        <v>0.31510870000000002</v>
      </c>
      <c r="W4907">
        <v>0.36645339999999998</v>
      </c>
      <c r="X4907">
        <v>0.87545329999999999</v>
      </c>
      <c r="Y4907">
        <v>0.44732840000000001</v>
      </c>
      <c r="Z4907">
        <v>-4.4861290000000002E-3</v>
      </c>
      <c r="AA4907">
        <v>0.89435849999999995</v>
      </c>
      <c r="AB4907">
        <v>25</v>
      </c>
      <c r="AC4907">
        <v>5.07260000000002</v>
      </c>
      <c r="AD4907">
        <v>-1.108598</v>
      </c>
      <c r="AE4907">
        <v>-4.47403</v>
      </c>
      <c r="AF4907">
        <v>3.0227387769700198</v>
      </c>
      <c r="AG4907">
        <v>-1.108598</v>
      </c>
      <c r="AH4907">
        <v>5.8522561084025799</v>
      </c>
      <c r="AI4907">
        <v>99.553695457513399</v>
      </c>
      <c r="AJ4907">
        <v>62.683271663942598</v>
      </c>
      <c r="AK4907">
        <v>6.6794341674828601</v>
      </c>
      <c r="AL4907">
        <v>68.502945937584201</v>
      </c>
      <c r="AM4907">
        <v>70.204280644487199</v>
      </c>
      <c r="AN4907">
        <v>1.00000003383406</v>
      </c>
    </row>
    <row r="4908" spans="1:40" x14ac:dyDescent="0.25">
      <c r="A4908" t="str">
        <f>"20190304164743422"</f>
        <v>20190304164743422</v>
      </c>
      <c r="B4908" t="str">
        <f>"1551689263414354"</f>
        <v>1551689263414354</v>
      </c>
      <c r="C4908" t="s">
        <v>40</v>
      </c>
      <c r="D4908">
        <v>4.9418959999999998</v>
      </c>
      <c r="E4908">
        <v>0.57940040000000004</v>
      </c>
      <c r="F4908" t="s">
        <v>43</v>
      </c>
      <c r="G4908">
        <v>-308.3109</v>
      </c>
      <c r="H4908">
        <v>-0.05</v>
      </c>
      <c r="I4908">
        <v>10.85976</v>
      </c>
      <c r="J4908">
        <v>-313.42169999999999</v>
      </c>
      <c r="K4908">
        <v>1.0582</v>
      </c>
      <c r="L4908">
        <v>15.447240000000001</v>
      </c>
      <c r="M4908">
        <v>0.96869470000000002</v>
      </c>
      <c r="N4908">
        <v>-1.435722E-2</v>
      </c>
      <c r="O4908">
        <v>-0.24783930000000001</v>
      </c>
      <c r="P4908">
        <v>0.77498429999999996</v>
      </c>
      <c r="Q4908">
        <v>0.35825990000000002</v>
      </c>
      <c r="R4908">
        <v>-0.52062429999999904</v>
      </c>
      <c r="S4908">
        <v>2.59137</v>
      </c>
      <c r="T4908">
        <v>-0.54887719999999995</v>
      </c>
      <c r="U4908">
        <v>-2.2890009999999998</v>
      </c>
      <c r="V4908">
        <v>0.31773040000000002</v>
      </c>
      <c r="W4908">
        <v>0.36620180000000002</v>
      </c>
      <c r="X4908">
        <v>0.87461060000000002</v>
      </c>
      <c r="Y4908">
        <v>0.45213130000000001</v>
      </c>
      <c r="Z4908">
        <v>-4.3094509999999997E-3</v>
      </c>
      <c r="AA4908">
        <v>0.89194099999999998</v>
      </c>
      <c r="AB4908">
        <v>25</v>
      </c>
      <c r="AC4908">
        <v>5.1107999999999798</v>
      </c>
      <c r="AD4908">
        <v>-1.1082000000000001</v>
      </c>
      <c r="AE4908">
        <v>-4.5874799999999896</v>
      </c>
      <c r="AF4908">
        <v>3.09689989110624</v>
      </c>
      <c r="AG4908">
        <v>-1.1082000000000001</v>
      </c>
      <c r="AH4908">
        <v>5.9338818903321</v>
      </c>
      <c r="AI4908">
        <v>99.400942214342706</v>
      </c>
      <c r="AJ4908">
        <v>62.439891313396103</v>
      </c>
      <c r="AK4908">
        <v>6.7845302316332203</v>
      </c>
      <c r="AL4908">
        <v>68.518438499452898</v>
      </c>
      <c r="AM4908">
        <v>70.034821360629905</v>
      </c>
      <c r="AN4908">
        <v>1.00000003351987</v>
      </c>
    </row>
    <row r="4909" spans="1:40" x14ac:dyDescent="0.25">
      <c r="A4909" t="str">
        <f>"20190304164743432"</f>
        <v>20190304164743432</v>
      </c>
      <c r="B4909" t="str">
        <f>"1551689263424114"</f>
        <v>1551689263424114</v>
      </c>
      <c r="C4909" t="s">
        <v>40</v>
      </c>
      <c r="D4909">
        <v>4.9360179999999998</v>
      </c>
      <c r="E4909">
        <v>0.57949700000000004</v>
      </c>
      <c r="F4909" t="s">
        <v>43</v>
      </c>
      <c r="G4909">
        <v>-308.24459999999999</v>
      </c>
      <c r="H4909">
        <v>-0.05</v>
      </c>
      <c r="I4909">
        <v>10.806240000000001</v>
      </c>
      <c r="J4909">
        <v>-313.29640000000001</v>
      </c>
      <c r="K4909">
        <v>1.0578069999999999</v>
      </c>
      <c r="L4909">
        <v>15.4104299999999</v>
      </c>
      <c r="M4909">
        <v>0.96754370000000001</v>
      </c>
      <c r="N4909">
        <v>-1.4337020000000001E-2</v>
      </c>
      <c r="O4909">
        <v>-0.25229639999999998</v>
      </c>
      <c r="P4909">
        <v>0.77099479999999998</v>
      </c>
      <c r="Q4909">
        <v>0.35869709999999899</v>
      </c>
      <c r="R4909">
        <v>-0.52621629999999997</v>
      </c>
      <c r="S4909">
        <v>2.5751040000000001</v>
      </c>
      <c r="T4909">
        <v>-0.55122169999999904</v>
      </c>
      <c r="U4909">
        <v>-2.3084410000000002</v>
      </c>
      <c r="V4909">
        <v>0.3202102</v>
      </c>
      <c r="W4909">
        <v>0.36647560000000001</v>
      </c>
      <c r="X4909">
        <v>0.87359089999999995</v>
      </c>
      <c r="Y4909">
        <v>0.45454739999999999</v>
      </c>
      <c r="Z4909">
        <v>-3.8388089999999999E-3</v>
      </c>
      <c r="AA4909">
        <v>0.89071420000000001</v>
      </c>
      <c r="AB4909">
        <v>25</v>
      </c>
      <c r="AC4909">
        <v>5.0518000000000098</v>
      </c>
      <c r="AD4909">
        <v>-1.107807</v>
      </c>
      <c r="AE4909">
        <v>-4.6041899999999902</v>
      </c>
      <c r="AF4909">
        <v>3.0991224806864799</v>
      </c>
      <c r="AG4909">
        <v>-1.107807</v>
      </c>
      <c r="AH4909">
        <v>5.8952225402911296</v>
      </c>
      <c r="AI4909">
        <v>99.443692088829494</v>
      </c>
      <c r="AJ4909">
        <v>62.269064764440003</v>
      </c>
      <c r="AK4909">
        <v>6.7516994378527997</v>
      </c>
      <c r="AL4909">
        <v>68.501578082493495</v>
      </c>
      <c r="AM4909">
        <v>69.869851860961205</v>
      </c>
      <c r="AN4909">
        <v>0.99999999907110404</v>
      </c>
    </row>
    <row r="4910" spans="1:40" x14ac:dyDescent="0.25">
      <c r="A4910" t="str">
        <f>"20190304164743444"</f>
        <v>20190304164743444</v>
      </c>
      <c r="B4910" t="str">
        <f>"1551689263433875"</f>
        <v>1551689263433875</v>
      </c>
      <c r="C4910" t="s">
        <v>40</v>
      </c>
      <c r="D4910">
        <v>4.9297599999999999</v>
      </c>
      <c r="E4910">
        <v>0.57960449999999997</v>
      </c>
      <c r="F4910" t="s">
        <v>43</v>
      </c>
      <c r="G4910">
        <v>-308.15629999999999</v>
      </c>
      <c r="H4910">
        <v>-0.05</v>
      </c>
      <c r="I4910">
        <v>10.732419999999999</v>
      </c>
      <c r="J4910">
        <v>-313.1739</v>
      </c>
      <c r="K4910">
        <v>1.05745</v>
      </c>
      <c r="L4910">
        <v>15.373200000000001</v>
      </c>
      <c r="M4910">
        <v>0.96634730000000002</v>
      </c>
      <c r="N4910">
        <v>-1.434419E-2</v>
      </c>
      <c r="O4910">
        <v>-0.25684050000000003</v>
      </c>
      <c r="P4910">
        <v>0.76686049999999994</v>
      </c>
      <c r="Q4910">
        <v>0.35903099999999999</v>
      </c>
      <c r="R4910">
        <v>-0.53199790000000002</v>
      </c>
      <c r="S4910">
        <v>2.5584410000000002</v>
      </c>
      <c r="T4910">
        <v>-0.55139229999999995</v>
      </c>
      <c r="U4910">
        <v>-2.3283999999999998</v>
      </c>
      <c r="V4910">
        <v>0.32284629999999997</v>
      </c>
      <c r="W4910">
        <v>0.36666149999999997</v>
      </c>
      <c r="X4910">
        <v>0.87254200000000004</v>
      </c>
      <c r="Y4910">
        <v>0.45706079999999999</v>
      </c>
      <c r="Z4910">
        <v>-3.386788E-3</v>
      </c>
      <c r="AA4910">
        <v>0.88942900000000003</v>
      </c>
      <c r="AB4910">
        <v>25</v>
      </c>
      <c r="AC4910">
        <v>5.0176000000000096</v>
      </c>
      <c r="AD4910">
        <v>-1.10745</v>
      </c>
      <c r="AE4910">
        <v>-4.6407800000000003</v>
      </c>
      <c r="AF4910">
        <v>3.1144421906378299</v>
      </c>
      <c r="AG4910">
        <v>-1.10745</v>
      </c>
      <c r="AH4910">
        <v>5.8867507074750698</v>
      </c>
      <c r="AI4910">
        <v>99.441186907287204</v>
      </c>
      <c r="AJ4910">
        <v>62.118489924813296</v>
      </c>
      <c r="AK4910">
        <v>6.7512983605587404</v>
      </c>
      <c r="AL4910">
        <v>68.490129140451202</v>
      </c>
      <c r="AM4910">
        <v>69.695193603235197</v>
      </c>
      <c r="AN4910">
        <v>0.99999996538496905</v>
      </c>
    </row>
    <row r="4911" spans="1:40" x14ac:dyDescent="0.25">
      <c r="A4911" t="str">
        <f>"20190304164743456"</f>
        <v>20190304164743456</v>
      </c>
      <c r="B4911" t="str">
        <f>"1551689263454373"</f>
        <v>1551689263454373</v>
      </c>
      <c r="C4911" t="s">
        <v>40</v>
      </c>
      <c r="D4911">
        <v>4.9360710000000001</v>
      </c>
      <c r="E4911">
        <v>0.57954410000000001</v>
      </c>
      <c r="F4911" t="s">
        <v>43</v>
      </c>
      <c r="G4911">
        <v>-308.0736</v>
      </c>
      <c r="H4911">
        <v>-0.05</v>
      </c>
      <c r="I4911">
        <v>10.661759999999999</v>
      </c>
      <c r="J4911">
        <v>-313.04930000000002</v>
      </c>
      <c r="K4911">
        <v>1.057094</v>
      </c>
      <c r="L4911">
        <v>15.335050000000001</v>
      </c>
      <c r="M4911">
        <v>0.96509429999999996</v>
      </c>
      <c r="N4911">
        <v>-1.4355420000000001E-2</v>
      </c>
      <c r="O4911">
        <v>-0.26150960000000001</v>
      </c>
      <c r="P4911">
        <v>0.7625229</v>
      </c>
      <c r="Q4911">
        <v>0.35922670000000001</v>
      </c>
      <c r="R4911">
        <v>-0.53806639999999994</v>
      </c>
      <c r="S4911">
        <v>2.5416259999999999</v>
      </c>
      <c r="T4911">
        <v>-0.55188169999999903</v>
      </c>
      <c r="U4911">
        <v>-2.3478699999999999</v>
      </c>
      <c r="V4911">
        <v>0.32571309999999998</v>
      </c>
      <c r="W4911">
        <v>0.36670229999999998</v>
      </c>
      <c r="X4911">
        <v>0.87145879999999998</v>
      </c>
      <c r="Y4911">
        <v>0.45938059999999997</v>
      </c>
      <c r="Z4911">
        <v>-2.8943720000000001E-3</v>
      </c>
      <c r="AA4911">
        <v>0.88823490000000005</v>
      </c>
      <c r="AB4911">
        <v>25</v>
      </c>
      <c r="AC4911">
        <v>4.9757000000000096</v>
      </c>
      <c r="AD4911">
        <v>-1.107094</v>
      </c>
      <c r="AE4911">
        <v>-4.6732899999999997</v>
      </c>
      <c r="AF4911">
        <v>3.1270508501937999</v>
      </c>
      <c r="AG4911">
        <v>-1.107094</v>
      </c>
      <c r="AH4911">
        <v>5.87034079125847</v>
      </c>
      <c r="AI4911">
        <v>99.450164979563795</v>
      </c>
      <c r="AJ4911">
        <v>61.956377735989598</v>
      </c>
      <c r="AK4911">
        <v>6.7427742917916902</v>
      </c>
      <c r="AL4911">
        <v>68.4876176932204</v>
      </c>
      <c r="AM4911">
        <v>69.506460476649494</v>
      </c>
      <c r="AN4911">
        <v>1.0000000202171599</v>
      </c>
    </row>
    <row r="4912" spans="1:40" x14ac:dyDescent="0.25">
      <c r="A4912" t="str">
        <f>"20190304164743471"</f>
        <v>20190304164743471</v>
      </c>
      <c r="B4912" t="str">
        <f>"1551689263464131"</f>
        <v>1551689263464131</v>
      </c>
      <c r="C4912" t="s">
        <v>40</v>
      </c>
      <c r="D4912">
        <v>4.9129480000000001</v>
      </c>
      <c r="E4912">
        <v>0.57965739999999999</v>
      </c>
      <c r="F4912" t="s">
        <v>43</v>
      </c>
      <c r="G4912">
        <v>-308.02809999999999</v>
      </c>
      <c r="H4912">
        <v>-0.05</v>
      </c>
      <c r="I4912">
        <v>10.63416</v>
      </c>
      <c r="J4912">
        <v>-312.875</v>
      </c>
      <c r="K4912">
        <v>1.056616</v>
      </c>
      <c r="L4912">
        <v>15.280060000000001</v>
      </c>
      <c r="M4912">
        <v>0.96322890000000005</v>
      </c>
      <c r="N4912">
        <v>-1.43892E-2</v>
      </c>
      <c r="O4912">
        <v>-0.26829700000000001</v>
      </c>
      <c r="P4912">
        <v>0.75551950000000001</v>
      </c>
      <c r="Q4912">
        <v>0.36000460000000001</v>
      </c>
      <c r="R4912">
        <v>-0.54734589999999905</v>
      </c>
      <c r="S4912">
        <v>2.5272830000000002</v>
      </c>
      <c r="T4912">
        <v>-0.55722450000000001</v>
      </c>
      <c r="U4912">
        <v>-2.3660580000000002</v>
      </c>
      <c r="V4912">
        <v>0.33054709999999998</v>
      </c>
      <c r="W4912">
        <v>0.36724210000000002</v>
      </c>
      <c r="X4912">
        <v>0.86940890000000004</v>
      </c>
      <c r="Y4912">
        <v>0.4590746</v>
      </c>
      <c r="Z4912">
        <v>-1.7740879999999901E-3</v>
      </c>
      <c r="AA4912">
        <v>0.88839599999999996</v>
      </c>
      <c r="AB4912">
        <v>25</v>
      </c>
      <c r="AC4912">
        <v>4.8468999999999998</v>
      </c>
      <c r="AD4912">
        <v>-1.106616</v>
      </c>
      <c r="AE4912">
        <v>-4.6458999999999904</v>
      </c>
      <c r="AF4912">
        <v>3.0910114466577299</v>
      </c>
      <c r="AG4912">
        <v>-1.106616</v>
      </c>
      <c r="AH4912">
        <v>5.7593043123819303</v>
      </c>
      <c r="AI4912">
        <v>99.609154742828807</v>
      </c>
      <c r="AJ4912">
        <v>61.777600106103698</v>
      </c>
      <c r="AK4912">
        <v>6.6293692684482597</v>
      </c>
      <c r="AL4912">
        <v>68.454369113375606</v>
      </c>
      <c r="AM4912">
        <v>69.1833209968663</v>
      </c>
      <c r="AN4912">
        <v>0.99999999036501497</v>
      </c>
    </row>
    <row r="4913" spans="1:40" x14ac:dyDescent="0.25">
      <c r="A4913" t="str">
        <f>"20190304164743484"</f>
        <v>20190304164743484</v>
      </c>
      <c r="B4913" t="str">
        <f>"1551689263473890"</f>
        <v>1551689263473890</v>
      </c>
      <c r="C4913" t="s">
        <v>40</v>
      </c>
      <c r="D4913">
        <v>4.9231069999999999</v>
      </c>
      <c r="E4913">
        <v>0.57972029999999997</v>
      </c>
      <c r="F4913" t="s">
        <v>43</v>
      </c>
      <c r="G4913">
        <v>-307.89920000000001</v>
      </c>
      <c r="H4913">
        <v>-0.05</v>
      </c>
      <c r="I4913">
        <v>10.513120000000001</v>
      </c>
      <c r="J4913">
        <v>-312.74900000000002</v>
      </c>
      <c r="K4913">
        <v>1.0562860000000001</v>
      </c>
      <c r="L4913">
        <v>15.23907</v>
      </c>
      <c r="M4913">
        <v>0.9617964</v>
      </c>
      <c r="N4913">
        <v>-1.442205E-2</v>
      </c>
      <c r="O4913">
        <v>-0.27338559999999901</v>
      </c>
      <c r="P4913">
        <v>0.7512799</v>
      </c>
      <c r="Q4913">
        <v>0.36064760000000001</v>
      </c>
      <c r="R4913">
        <v>-0.55273149999999904</v>
      </c>
      <c r="S4913">
        <v>2.5003660000000001</v>
      </c>
      <c r="T4913">
        <v>-0.55607890000000004</v>
      </c>
      <c r="U4913">
        <v>-2.395416</v>
      </c>
      <c r="V4913">
        <v>0.3324067</v>
      </c>
      <c r="W4913">
        <v>0.36774760000000001</v>
      </c>
      <c r="X4913">
        <v>0.86848570000000003</v>
      </c>
      <c r="Y4913">
        <v>0.4645706</v>
      </c>
      <c r="Z4913">
        <v>-1.5527119999999999E-3</v>
      </c>
      <c r="AA4913">
        <v>0.88553470000000001</v>
      </c>
      <c r="AB4913">
        <v>25</v>
      </c>
      <c r="AC4913">
        <v>4.8498000000000099</v>
      </c>
      <c r="AD4913">
        <v>-1.1062860000000001</v>
      </c>
      <c r="AE4913">
        <v>-4.7259500000000001</v>
      </c>
      <c r="AF4913">
        <v>3.1361671765063202</v>
      </c>
      <c r="AG4913">
        <v>-1.1062860000000001</v>
      </c>
      <c r="AH4913">
        <v>5.8022841723400997</v>
      </c>
      <c r="AI4913">
        <v>99.5216291922018</v>
      </c>
      <c r="AJ4913">
        <v>61.6085291971348</v>
      </c>
      <c r="AK4913">
        <v>6.6877436321512898</v>
      </c>
      <c r="AL4913">
        <v>68.423226281317199</v>
      </c>
      <c r="AM4913">
        <v>69.056009620770794</v>
      </c>
      <c r="AN4913">
        <v>0.99999996130756896</v>
      </c>
    </row>
    <row r="4914" spans="1:40" x14ac:dyDescent="0.25">
      <c r="A4914" t="str">
        <f>"20190304164743505"</f>
        <v>20190304164743505</v>
      </c>
      <c r="B4914" t="str">
        <f>"1551689263494387"</f>
        <v>1551689263494387</v>
      </c>
      <c r="C4914" t="s">
        <v>40</v>
      </c>
      <c r="D4914">
        <v>4.9365329999999998</v>
      </c>
      <c r="E4914">
        <v>0.57977279999999998</v>
      </c>
      <c r="F4914" t="s">
        <v>43</v>
      </c>
      <c r="G4914">
        <v>-307.7989</v>
      </c>
      <c r="H4914">
        <v>-0.05</v>
      </c>
      <c r="I4914">
        <v>10.428100000000001</v>
      </c>
      <c r="J4914">
        <v>-312.5283</v>
      </c>
      <c r="K4914">
        <v>1.0557299999999901</v>
      </c>
      <c r="L4914">
        <v>15.16553</v>
      </c>
      <c r="M4914">
        <v>0.95914069999999996</v>
      </c>
      <c r="N4914">
        <v>-1.448724E-2</v>
      </c>
      <c r="O4914">
        <v>-0.2825587</v>
      </c>
      <c r="P4914">
        <v>0.7440618</v>
      </c>
      <c r="Q4914">
        <v>0.36167300000000002</v>
      </c>
      <c r="R4914">
        <v>-0.56175189999999997</v>
      </c>
      <c r="S4914">
        <v>2.4837039999999999</v>
      </c>
      <c r="T4914">
        <v>-0.55507390000000001</v>
      </c>
      <c r="U4914">
        <v>-2.4138790000000001</v>
      </c>
      <c r="V4914">
        <v>0.33500799999999997</v>
      </c>
      <c r="W4914">
        <v>0.36854300000000001</v>
      </c>
      <c r="X4914">
        <v>0.86714799999999903</v>
      </c>
      <c r="Y4914">
        <v>0.46260200000000001</v>
      </c>
      <c r="Z4914" s="1">
        <v>4.1883440000000002E-5</v>
      </c>
      <c r="AA4914">
        <v>0.88656610000000002</v>
      </c>
      <c r="AB4914">
        <v>25</v>
      </c>
      <c r="AC4914">
        <v>4.7293999999999903</v>
      </c>
      <c r="AD4914">
        <v>-1.1057300000000001</v>
      </c>
      <c r="AE4914">
        <v>-4.73742999999999</v>
      </c>
      <c r="AF4914">
        <v>3.1226643044234401</v>
      </c>
      <c r="AG4914">
        <v>-1.1057300000000001</v>
      </c>
      <c r="AH4914">
        <v>5.7193281664950897</v>
      </c>
      <c r="AI4914">
        <v>99.6306491976747</v>
      </c>
      <c r="AJ4914">
        <v>61.366145606771298</v>
      </c>
      <c r="AK4914">
        <v>6.60941645435393</v>
      </c>
      <c r="AL4914">
        <v>68.374211158563696</v>
      </c>
      <c r="AM4914">
        <v>68.876801784890006</v>
      </c>
      <c r="AN4914">
        <v>0.99999997840849897</v>
      </c>
    </row>
    <row r="4915" spans="1:40" x14ac:dyDescent="0.25">
      <c r="A4915" t="str">
        <f>"20190304164743518"</f>
        <v>20190304164743518</v>
      </c>
      <c r="B4915" t="str">
        <f>"1551689263513907"</f>
        <v>1551689263513907</v>
      </c>
      <c r="C4915" t="s">
        <v>40</v>
      </c>
      <c r="D4915">
        <v>4.9730410000000003</v>
      </c>
      <c r="E4915">
        <v>0.57976169999999905</v>
      </c>
      <c r="F4915" t="s">
        <v>43</v>
      </c>
      <c r="G4915">
        <v>-307.62779999999998</v>
      </c>
      <c r="H4915">
        <v>-0.05</v>
      </c>
      <c r="I4915">
        <v>10.2753</v>
      </c>
      <c r="J4915">
        <v>-312.38209999999998</v>
      </c>
      <c r="K4915">
        <v>1.055372</v>
      </c>
      <c r="L4915">
        <v>15.115329999999901</v>
      </c>
      <c r="M4915">
        <v>0.95726619999999996</v>
      </c>
      <c r="N4915">
        <v>-1.4535879999999999E-2</v>
      </c>
      <c r="O4915">
        <v>-0.28884320000000002</v>
      </c>
      <c r="P4915">
        <v>0.73950509999999903</v>
      </c>
      <c r="Q4915">
        <v>0.36224800000000001</v>
      </c>
      <c r="R4915">
        <v>-0.56736989999999998</v>
      </c>
      <c r="S4915">
        <v>2.4529109999999998</v>
      </c>
      <c r="T4915">
        <v>-0.55347489999999999</v>
      </c>
      <c r="U4915">
        <v>-2.4478149999999999</v>
      </c>
      <c r="V4915">
        <v>0.33615469999999997</v>
      </c>
      <c r="W4915">
        <v>0.36897920000000001</v>
      </c>
      <c r="X4915">
        <v>0.86651859999999903</v>
      </c>
      <c r="Y4915">
        <v>0.46848859999999998</v>
      </c>
      <c r="Z4915">
        <v>3.9218370000000002E-4</v>
      </c>
      <c r="AA4915">
        <v>0.88346950000000002</v>
      </c>
      <c r="AB4915">
        <v>25</v>
      </c>
      <c r="AC4915">
        <v>4.7542999999999997</v>
      </c>
      <c r="AD4915">
        <v>-1.105372</v>
      </c>
      <c r="AE4915">
        <v>-4.8400299999999898</v>
      </c>
      <c r="AF4915">
        <v>3.1759873022413698</v>
      </c>
      <c r="AG4915">
        <v>-1.105372</v>
      </c>
      <c r="AH4915">
        <v>5.7959156122764197</v>
      </c>
      <c r="AI4915">
        <v>99.494910026172306</v>
      </c>
      <c r="AJ4915">
        <v>61.278585010651</v>
      </c>
      <c r="AK4915">
        <v>6.7008492287927197</v>
      </c>
      <c r="AL4915">
        <v>68.347325649175005</v>
      </c>
      <c r="AM4915">
        <v>68.796880021416797</v>
      </c>
      <c r="AN4915">
        <v>1.0000000582553401</v>
      </c>
    </row>
    <row r="4916" spans="1:40" x14ac:dyDescent="0.25">
      <c r="A4916" t="str">
        <f>"20190304164743532"</f>
        <v>20190304164743532</v>
      </c>
      <c r="B4916" t="str">
        <f>"1551689263523667"</f>
        <v>1551689263523667</v>
      </c>
      <c r="C4916" t="s">
        <v>40</v>
      </c>
      <c r="D4916">
        <v>4.9835690000000001</v>
      </c>
      <c r="E4916">
        <v>0.5797736</v>
      </c>
      <c r="F4916" t="s">
        <v>43</v>
      </c>
      <c r="G4916">
        <v>-307.52339999999998</v>
      </c>
      <c r="H4916">
        <v>-0.05</v>
      </c>
      <c r="I4916">
        <v>10.18718</v>
      </c>
      <c r="J4916">
        <v>-312.23689999999999</v>
      </c>
      <c r="K4916">
        <v>1.05504</v>
      </c>
      <c r="L4916">
        <v>15.06427</v>
      </c>
      <c r="M4916">
        <v>0.95530680000000001</v>
      </c>
      <c r="N4916">
        <v>-1.458813E-2</v>
      </c>
      <c r="O4916">
        <v>-0.29525570000000001</v>
      </c>
      <c r="P4916">
        <v>0.73482510000000001</v>
      </c>
      <c r="Q4916">
        <v>0.36290489999999997</v>
      </c>
      <c r="R4916">
        <v>-0.57300289999999998</v>
      </c>
      <c r="S4916">
        <v>2.433929</v>
      </c>
      <c r="T4916">
        <v>-0.55373409999999901</v>
      </c>
      <c r="U4916">
        <v>-2.46875</v>
      </c>
      <c r="V4916">
        <v>0.33724559999999998</v>
      </c>
      <c r="W4916">
        <v>0.3695021</v>
      </c>
      <c r="X4916">
        <v>0.86587159999999996</v>
      </c>
      <c r="Y4916">
        <v>0.46980100000000002</v>
      </c>
      <c r="Z4916">
        <v>1.243915E-3</v>
      </c>
      <c r="AA4916">
        <v>0.88277150000000004</v>
      </c>
      <c r="AB4916">
        <v>25</v>
      </c>
      <c r="AC4916">
        <v>4.7135000000000096</v>
      </c>
      <c r="AD4916">
        <v>-1.10504</v>
      </c>
      <c r="AE4916">
        <v>-4.8770899999999999</v>
      </c>
      <c r="AF4916">
        <v>3.1832800216952299</v>
      </c>
      <c r="AG4916">
        <v>-1.10504</v>
      </c>
      <c r="AH4916">
        <v>5.78977547270875</v>
      </c>
      <c r="AI4916">
        <v>99.494752745554607</v>
      </c>
      <c r="AJ4916">
        <v>61.197537732247099</v>
      </c>
      <c r="AK4916">
        <v>6.6989465681182896</v>
      </c>
      <c r="AL4916">
        <v>68.315086493308101</v>
      </c>
      <c r="AM4916">
        <v>68.719740700422506</v>
      </c>
      <c r="AN4916">
        <v>1.00000001215516</v>
      </c>
    </row>
    <row r="4917" spans="1:40" x14ac:dyDescent="0.25">
      <c r="A4917" t="str">
        <f>"20190304164743546"</f>
        <v>20190304164743546</v>
      </c>
      <c r="B4917" t="str">
        <f>"1551689263534402"</f>
        <v>1551689263534402</v>
      </c>
      <c r="C4917" t="s">
        <v>40</v>
      </c>
      <c r="D4917">
        <v>4.9793250000000002</v>
      </c>
      <c r="E4917">
        <v>0.5797757</v>
      </c>
      <c r="F4917" t="s">
        <v>43</v>
      </c>
      <c r="G4917">
        <v>-307.4051</v>
      </c>
      <c r="H4917">
        <v>-0.05</v>
      </c>
      <c r="I4917">
        <v>10.081939999999999</v>
      </c>
      <c r="J4917">
        <v>-312.1003</v>
      </c>
      <c r="K4917">
        <v>1.054746</v>
      </c>
      <c r="L4917">
        <v>15.01465</v>
      </c>
      <c r="M4917">
        <v>0.95335230000000004</v>
      </c>
      <c r="N4917">
        <v>-1.464118E-2</v>
      </c>
      <c r="O4917">
        <v>-0.30150470000000001</v>
      </c>
      <c r="P4917">
        <v>0.72991700000000004</v>
      </c>
      <c r="Q4917">
        <v>0.36403560000000001</v>
      </c>
      <c r="R4917">
        <v>-0.57853199999999905</v>
      </c>
      <c r="S4917">
        <v>2.4141539999999999</v>
      </c>
      <c r="T4917">
        <v>-0.5521102</v>
      </c>
      <c r="U4917">
        <v>-2.4893190000000001</v>
      </c>
      <c r="V4917">
        <v>0.33846219999999999</v>
      </c>
      <c r="W4917">
        <v>0.3705041</v>
      </c>
      <c r="X4917">
        <v>0.86496819999999897</v>
      </c>
      <c r="Y4917">
        <v>0.47133649999999999</v>
      </c>
      <c r="Z4917">
        <v>2.0171070000000002E-3</v>
      </c>
      <c r="AA4917">
        <v>0.88195119999999905</v>
      </c>
      <c r="AB4917">
        <v>25</v>
      </c>
      <c r="AC4917">
        <v>4.6951999999999998</v>
      </c>
      <c r="AD4917">
        <v>-1.104746</v>
      </c>
      <c r="AE4917">
        <v>-4.9327100000000002</v>
      </c>
      <c r="AF4917">
        <v>3.2030451817255399</v>
      </c>
      <c r="AG4917">
        <v>-1.104746</v>
      </c>
      <c r="AH4917">
        <v>5.8111261068191897</v>
      </c>
      <c r="AI4917">
        <v>99.452610603315406</v>
      </c>
      <c r="AJ4917">
        <v>61.136805524754998</v>
      </c>
      <c r="AK4917">
        <v>6.7267487533017603</v>
      </c>
      <c r="AL4917">
        <v>68.253289478925595</v>
      </c>
      <c r="AM4917">
        <v>68.629585530126406</v>
      </c>
      <c r="AN4917">
        <v>0.99999996797844404</v>
      </c>
    </row>
    <row r="4918" spans="1:40" x14ac:dyDescent="0.25">
      <c r="A4918" t="str">
        <f>"20190304164743562"</f>
        <v>20190304164743562</v>
      </c>
      <c r="B4918" t="str">
        <f>"1551689263553923"</f>
        <v>1551689263553923</v>
      </c>
      <c r="C4918" t="s">
        <v>40</v>
      </c>
      <c r="D4918">
        <v>4.9827899999999996</v>
      </c>
      <c r="E4918">
        <v>0.57974780000000004</v>
      </c>
      <c r="F4918" t="s">
        <v>43</v>
      </c>
      <c r="G4918">
        <v>-307.28149999999999</v>
      </c>
      <c r="H4918">
        <v>-0.05</v>
      </c>
      <c r="I4918">
        <v>9.9707030000000003</v>
      </c>
      <c r="J4918">
        <v>-311.91910000000001</v>
      </c>
      <c r="K4918">
        <v>1.0543709999999999</v>
      </c>
      <c r="L4918">
        <v>14.947240000000001</v>
      </c>
      <c r="M4918">
        <v>0.9506211</v>
      </c>
      <c r="N4918">
        <v>-1.4712879999999999E-2</v>
      </c>
      <c r="O4918">
        <v>-0.31000480000000002</v>
      </c>
      <c r="P4918">
        <v>0.72280559999999905</v>
      </c>
      <c r="Q4918">
        <v>0.36546869999999998</v>
      </c>
      <c r="R4918">
        <v>-0.58650259999999999</v>
      </c>
      <c r="S4918">
        <v>2.396118</v>
      </c>
      <c r="T4918">
        <v>-0.54933129999999997</v>
      </c>
      <c r="U4918">
        <v>-2.5080870000000002</v>
      </c>
      <c r="V4918">
        <v>0.34069429999999901</v>
      </c>
      <c r="W4918">
        <v>0.37175150000000001</v>
      </c>
      <c r="X4918">
        <v>0.86355559999999998</v>
      </c>
      <c r="Y4918">
        <v>0.47020059999999902</v>
      </c>
      <c r="Z4918">
        <v>3.369637E-3</v>
      </c>
      <c r="AA4918">
        <v>0.88255319999999904</v>
      </c>
      <c r="AB4918">
        <v>25</v>
      </c>
      <c r="AC4918">
        <v>4.6376000000000097</v>
      </c>
      <c r="AD4918">
        <v>-1.104371</v>
      </c>
      <c r="AE4918">
        <v>-4.9765369999999898</v>
      </c>
      <c r="AF4918">
        <v>3.2089016412248799</v>
      </c>
      <c r="AG4918">
        <v>-1.104371</v>
      </c>
      <c r="AH4918">
        <v>5.7991457710490302</v>
      </c>
      <c r="AI4918">
        <v>99.4601782086459</v>
      </c>
      <c r="AJ4918">
        <v>61.042472416583799</v>
      </c>
      <c r="AK4918">
        <v>6.7191351171540399</v>
      </c>
      <c r="AL4918">
        <v>68.176323222445006</v>
      </c>
      <c r="AM4918">
        <v>68.469524661650595</v>
      </c>
      <c r="AN4918">
        <v>1.00000002904804</v>
      </c>
    </row>
    <row r="4919" spans="1:40" x14ac:dyDescent="0.25">
      <c r="A4919" t="str">
        <f>"20190304164743583"</f>
        <v>20190304164743583</v>
      </c>
      <c r="B4919" t="str">
        <f>"1551689263574435"</f>
        <v>1551689263574435</v>
      </c>
      <c r="C4919" t="s">
        <v>40</v>
      </c>
      <c r="D4919">
        <v>4.976305</v>
      </c>
      <c r="E4919">
        <v>0.57963339999999997</v>
      </c>
      <c r="F4919" t="s">
        <v>43</v>
      </c>
      <c r="G4919">
        <v>-307.13420000000002</v>
      </c>
      <c r="H4919">
        <v>-0.05</v>
      </c>
      <c r="I4919">
        <v>9.8354029999999995</v>
      </c>
      <c r="J4919">
        <v>-311.70100000000002</v>
      </c>
      <c r="K4919">
        <v>1.053941</v>
      </c>
      <c r="L4919">
        <v>14.863250000000001</v>
      </c>
      <c r="M4919">
        <v>0.94709089999999996</v>
      </c>
      <c r="N4919">
        <v>-1.4802589999999999E-2</v>
      </c>
      <c r="O4919">
        <v>-0.32062420000000003</v>
      </c>
      <c r="P4919">
        <v>0.71538639999999998</v>
      </c>
      <c r="Q4919">
        <v>0.36594320000000002</v>
      </c>
      <c r="R4919">
        <v>-0.59523800000000004</v>
      </c>
      <c r="S4919">
        <v>2.3714900000000001</v>
      </c>
      <c r="T4919">
        <v>-0.54734539999999998</v>
      </c>
      <c r="U4919">
        <v>-2.5335079999999999</v>
      </c>
      <c r="V4919">
        <v>0.34185900000000002</v>
      </c>
      <c r="W4919">
        <v>0.3720503</v>
      </c>
      <c r="X4919">
        <v>0.86296640000000002</v>
      </c>
      <c r="Y4919">
        <v>0.46944799999999998</v>
      </c>
      <c r="Z4919">
        <v>5.0081539999999999E-3</v>
      </c>
      <c r="AA4919">
        <v>0.88294589999999995</v>
      </c>
      <c r="AB4919">
        <v>25</v>
      </c>
      <c r="AC4919">
        <v>4.5667999999999402</v>
      </c>
      <c r="AD4919">
        <v>-1.1039410000000001</v>
      </c>
      <c r="AE4919">
        <v>-5.0278470000000004</v>
      </c>
      <c r="AF4919">
        <v>3.21308668366623</v>
      </c>
      <c r="AG4919">
        <v>-1.1039410000000001</v>
      </c>
      <c r="AH4919">
        <v>5.7850578921474902</v>
      </c>
      <c r="AI4919">
        <v>99.471002735038994</v>
      </c>
      <c r="AJ4919">
        <v>60.951710969343502</v>
      </c>
      <c r="AK4919">
        <v>6.70891247399548</v>
      </c>
      <c r="AL4919">
        <v>68.1578798220321</v>
      </c>
      <c r="AM4919">
        <v>68.389300259461095</v>
      </c>
      <c r="AN4919">
        <v>1.0000000045700199</v>
      </c>
    </row>
    <row r="4920" spans="1:40" x14ac:dyDescent="0.25">
      <c r="A4920" t="str">
        <f>"20190304164743596"</f>
        <v>20190304164743596</v>
      </c>
      <c r="B4920" t="str">
        <f>"1551689263593939"</f>
        <v>1551689263593939</v>
      </c>
      <c r="C4920" t="s">
        <v>40</v>
      </c>
      <c r="D4920">
        <v>4.9954299999999998</v>
      </c>
      <c r="E4920">
        <v>0.57955959999999995</v>
      </c>
      <c r="F4920" t="s">
        <v>43</v>
      </c>
      <c r="G4920">
        <v>-306.9896</v>
      </c>
      <c r="H4920">
        <v>-0.05</v>
      </c>
      <c r="I4920">
        <v>9.7113650000000007</v>
      </c>
      <c r="J4920">
        <v>-311.56049999999999</v>
      </c>
      <c r="K4920">
        <v>1.0536779999999999</v>
      </c>
      <c r="L4920">
        <v>14.807589999999999</v>
      </c>
      <c r="M4920">
        <v>0.94468070000000004</v>
      </c>
      <c r="N4920">
        <v>-1.486148E-2</v>
      </c>
      <c r="O4920">
        <v>-0.32765470000000002</v>
      </c>
      <c r="P4920">
        <v>0.71073889999999995</v>
      </c>
      <c r="Q4920">
        <v>0.36620219999999998</v>
      </c>
      <c r="R4920">
        <v>-0.60062150000000003</v>
      </c>
      <c r="S4920">
        <v>2.3428040000000001</v>
      </c>
      <c r="T4920">
        <v>-0.54894569999999998</v>
      </c>
      <c r="U4920">
        <v>-2.5618289999999999</v>
      </c>
      <c r="V4920">
        <v>0.34216560000000001</v>
      </c>
      <c r="W4920">
        <v>0.37221140000000003</v>
      </c>
      <c r="X4920">
        <v>0.86277539999999997</v>
      </c>
      <c r="Y4920">
        <v>0.47313179999999999</v>
      </c>
      <c r="Z4920">
        <v>5.7523770000000004E-3</v>
      </c>
      <c r="AA4920">
        <v>0.88097289999999995</v>
      </c>
      <c r="AB4920">
        <v>25</v>
      </c>
      <c r="AC4920">
        <v>4.5708999999999902</v>
      </c>
      <c r="AD4920">
        <v>-1.1036779999999999</v>
      </c>
      <c r="AE4920">
        <v>-5.0962249999999996</v>
      </c>
      <c r="AF4920">
        <v>3.2329635485782098</v>
      </c>
      <c r="AG4920">
        <v>-1.1036779999999999</v>
      </c>
      <c r="AH4920">
        <v>5.8367942750699999</v>
      </c>
      <c r="AI4920">
        <v>99.392294097462695</v>
      </c>
      <c r="AJ4920">
        <v>61.0182078423273</v>
      </c>
      <c r="AK4920">
        <v>6.7630115957027197</v>
      </c>
      <c r="AL4920">
        <v>68.147935322874702</v>
      </c>
      <c r="AM4920">
        <v>68.367361366948302</v>
      </c>
      <c r="AN4920">
        <v>1.0000000074792399</v>
      </c>
    </row>
    <row r="4921" spans="1:40" x14ac:dyDescent="0.25">
      <c r="A4921" t="str">
        <f>"20190304164743611"</f>
        <v>20190304164743611</v>
      </c>
      <c r="B4921" t="str">
        <f>"1551689263603699"</f>
        <v>1551689263603699</v>
      </c>
      <c r="C4921" t="s">
        <v>40</v>
      </c>
      <c r="D4921">
        <v>4.9957789999999997</v>
      </c>
      <c r="E4921">
        <v>0.57951709999999901</v>
      </c>
      <c r="F4921" t="s">
        <v>43</v>
      </c>
      <c r="G4921">
        <v>-306.89859999999999</v>
      </c>
      <c r="H4921">
        <v>-0.05</v>
      </c>
      <c r="I4921">
        <v>9.6329039999999999</v>
      </c>
      <c r="J4921">
        <v>-311.3972</v>
      </c>
      <c r="K4921">
        <v>1.0533939999999999</v>
      </c>
      <c r="L4921">
        <v>14.740970000000001</v>
      </c>
      <c r="M4921">
        <v>0.94172279999999997</v>
      </c>
      <c r="N4921">
        <v>-1.4931430000000001E-2</v>
      </c>
      <c r="O4921">
        <v>-0.33605879999999999</v>
      </c>
      <c r="P4921">
        <v>0.70502629999999999</v>
      </c>
      <c r="Q4921">
        <v>0.36626740000000002</v>
      </c>
      <c r="R4921">
        <v>-0.60727819999999899</v>
      </c>
      <c r="S4921">
        <v>2.3242799999999999</v>
      </c>
      <c r="T4921">
        <v>-0.55025649999999904</v>
      </c>
      <c r="U4921">
        <v>-2.5799259999999999</v>
      </c>
      <c r="V4921">
        <v>0.34278140000000001</v>
      </c>
      <c r="W4921">
        <v>0.37216440000000001</v>
      </c>
      <c r="X4921">
        <v>0.86255119999999896</v>
      </c>
      <c r="Y4921">
        <v>0.47193299999999999</v>
      </c>
      <c r="Z4921">
        <v>7.1868110000000004E-3</v>
      </c>
      <c r="AA4921">
        <v>0.88160509999999903</v>
      </c>
      <c r="AB4921">
        <v>25</v>
      </c>
      <c r="AC4921">
        <v>4.4985999999999997</v>
      </c>
      <c r="AD4921">
        <v>-1.103394</v>
      </c>
      <c r="AE4921">
        <v>-5.108066</v>
      </c>
      <c r="AF4921">
        <v>3.2144834185743001</v>
      </c>
      <c r="AG4921">
        <v>-1.103394</v>
      </c>
      <c r="AH4921">
        <v>5.8012588920515098</v>
      </c>
      <c r="AI4921">
        <v>99.445589139639196</v>
      </c>
      <c r="AJ4921">
        <v>61.009118990003103</v>
      </c>
      <c r="AK4921">
        <v>6.7234653788155896</v>
      </c>
      <c r="AL4921">
        <v>68.150836509049697</v>
      </c>
      <c r="AM4921">
        <v>68.326923283714507</v>
      </c>
      <c r="AN4921">
        <v>1.0000000007173699</v>
      </c>
    </row>
    <row r="4922" spans="1:40" x14ac:dyDescent="0.25">
      <c r="A4922" t="str">
        <f>"20190304164743624"</f>
        <v>20190304164743624</v>
      </c>
      <c r="B4922" t="str">
        <f>"1551689263614434"</f>
        <v>1551689263614434</v>
      </c>
      <c r="C4922" t="s">
        <v>40</v>
      </c>
      <c r="D4922">
        <v>5.0109450000000004</v>
      </c>
      <c r="E4922">
        <v>0.57945970000000002</v>
      </c>
      <c r="F4922" t="s">
        <v>43</v>
      </c>
      <c r="G4922">
        <v>-306.791</v>
      </c>
      <c r="H4922">
        <v>-0.05</v>
      </c>
      <c r="I4922">
        <v>9.5281219999999998</v>
      </c>
      <c r="J4922">
        <v>-311.27859999999998</v>
      </c>
      <c r="K4922">
        <v>1.053204</v>
      </c>
      <c r="L4922">
        <v>14.69098</v>
      </c>
      <c r="M4922">
        <v>0.93945840000000003</v>
      </c>
      <c r="N4922">
        <v>-1.498234E-2</v>
      </c>
      <c r="O4922">
        <v>-0.34233540000000001</v>
      </c>
      <c r="P4922">
        <v>0.70077480000000003</v>
      </c>
      <c r="Q4922">
        <v>0.36617539999999998</v>
      </c>
      <c r="R4922">
        <v>-0.61223380000000005</v>
      </c>
      <c r="S4922">
        <v>2.2996829999999999</v>
      </c>
      <c r="T4922">
        <v>-0.55086950000000001</v>
      </c>
      <c r="U4922">
        <v>-2.602509</v>
      </c>
      <c r="V4922">
        <v>0.34321170000000001</v>
      </c>
      <c r="W4922">
        <v>0.371998</v>
      </c>
      <c r="X4922">
        <v>0.86245190000000005</v>
      </c>
      <c r="Y4922">
        <v>0.47454089999999999</v>
      </c>
      <c r="Z4922">
        <v>7.9114359999999904E-3</v>
      </c>
      <c r="AA4922">
        <v>0.88019789999999998</v>
      </c>
      <c r="AB4922">
        <v>25</v>
      </c>
      <c r="AC4922">
        <v>4.48759999999998</v>
      </c>
      <c r="AD4922">
        <v>-1.1032040000000001</v>
      </c>
      <c r="AE4922">
        <v>-5.1628579999999999</v>
      </c>
      <c r="AF4922">
        <v>3.2303787348957398</v>
      </c>
      <c r="AG4922">
        <v>-1.1032040000000001</v>
      </c>
      <c r="AH4922">
        <v>5.8323207969390696</v>
      </c>
      <c r="AI4922">
        <v>99.395476578985495</v>
      </c>
      <c r="AJ4922">
        <v>61.019012087022602</v>
      </c>
      <c r="AK4922">
        <v>6.7578377988000398</v>
      </c>
      <c r="AL4922">
        <v>68.161108724249104</v>
      </c>
      <c r="AM4922">
        <v>68.2999767867326</v>
      </c>
      <c r="AN4922">
        <v>1.0000000314172399</v>
      </c>
    </row>
    <row r="4923" spans="1:40" x14ac:dyDescent="0.25">
      <c r="A4923" t="str">
        <f>"20190304164743636"</f>
        <v>20190304164743636</v>
      </c>
      <c r="B4923" t="str">
        <f>"1551689263633955"</f>
        <v>1551689263633955</v>
      </c>
      <c r="C4923" t="s">
        <v>40</v>
      </c>
      <c r="D4923">
        <v>5.0476989999999997</v>
      </c>
      <c r="E4923">
        <v>0.579314</v>
      </c>
      <c r="F4923" t="s">
        <v>43</v>
      </c>
      <c r="G4923">
        <v>-306.72129999999999</v>
      </c>
      <c r="H4923">
        <v>-0.05</v>
      </c>
      <c r="I4923">
        <v>9.4606320000000004</v>
      </c>
      <c r="J4923">
        <v>-311.14670000000001</v>
      </c>
      <c r="K4923">
        <v>1.052997</v>
      </c>
      <c r="L4923">
        <v>14.6347</v>
      </c>
      <c r="M4923">
        <v>0.93686049999999998</v>
      </c>
      <c r="N4923">
        <v>-1.5037399999999999E-2</v>
      </c>
      <c r="O4923">
        <v>-0.34937990000000002</v>
      </c>
      <c r="P4923">
        <v>0.69556019999999996</v>
      </c>
      <c r="Q4923">
        <v>0.36612319999999998</v>
      </c>
      <c r="R4923">
        <v>-0.61818309999999999</v>
      </c>
      <c r="S4923">
        <v>2.2817379999999998</v>
      </c>
      <c r="T4923">
        <v>-0.55235480000000003</v>
      </c>
      <c r="U4923">
        <v>-2.618744</v>
      </c>
      <c r="V4923">
        <v>0.34421119999999999</v>
      </c>
      <c r="W4923">
        <v>0.37184889999999998</v>
      </c>
      <c r="X4923">
        <v>0.86211779999999905</v>
      </c>
      <c r="Y4923">
        <v>0.47412270000000001</v>
      </c>
      <c r="Z4923">
        <v>9.0842279999999997E-3</v>
      </c>
      <c r="AA4923">
        <v>0.88041190000000003</v>
      </c>
      <c r="AB4923">
        <v>25</v>
      </c>
      <c r="AC4923">
        <v>4.4254000000000202</v>
      </c>
      <c r="AD4923">
        <v>-1.102997</v>
      </c>
      <c r="AE4923">
        <v>-5.1740680000000001</v>
      </c>
      <c r="AF4923">
        <v>3.2171718919424199</v>
      </c>
      <c r="AG4923">
        <v>-1.102997</v>
      </c>
      <c r="AH4923">
        <v>5.8020935658081401</v>
      </c>
      <c r="AI4923">
        <v>99.439409919296097</v>
      </c>
      <c r="AJ4923">
        <v>60.992303729046903</v>
      </c>
      <c r="AK4923">
        <v>6.7254060926241204</v>
      </c>
      <c r="AL4923">
        <v>68.170311634257899</v>
      </c>
      <c r="AM4923">
        <v>68.235033246299807</v>
      </c>
      <c r="AN4923">
        <v>1.00000002785674</v>
      </c>
    </row>
    <row r="4924" spans="1:40" x14ac:dyDescent="0.25">
      <c r="A4924" t="str">
        <f>"20190304164743650"</f>
        <v>20190304164743650</v>
      </c>
      <c r="B4924" t="str">
        <f>"1551689263643715"</f>
        <v>1551689263643715</v>
      </c>
      <c r="C4924" t="s">
        <v>40</v>
      </c>
      <c r="D4924">
        <v>4.9968519999999996</v>
      </c>
      <c r="E4924">
        <v>0.57926709999999904</v>
      </c>
      <c r="F4924" t="s">
        <v>43</v>
      </c>
      <c r="G4924">
        <v>-306.65589999999997</v>
      </c>
      <c r="H4924">
        <v>-0.05</v>
      </c>
      <c r="I4924">
        <v>9.3966980000000007</v>
      </c>
      <c r="J4924">
        <v>-310.99740000000003</v>
      </c>
      <c r="K4924">
        <v>1.0527770000000001</v>
      </c>
      <c r="L4924">
        <v>14.56912</v>
      </c>
      <c r="M4924">
        <v>0.93377399999999999</v>
      </c>
      <c r="N4924">
        <v>-1.509871E-2</v>
      </c>
      <c r="O4924">
        <v>-0.3575448</v>
      </c>
      <c r="P4924">
        <v>0.68929770000000001</v>
      </c>
      <c r="Q4924">
        <v>0.36478349999999998</v>
      </c>
      <c r="R4924">
        <v>-0.62594059999999996</v>
      </c>
      <c r="S4924">
        <v>2.2612610000000002</v>
      </c>
      <c r="T4924">
        <v>-0.55540109999999998</v>
      </c>
      <c r="U4924">
        <v>-2.637543</v>
      </c>
      <c r="V4924">
        <v>0.34622140000000001</v>
      </c>
      <c r="W4924">
        <v>0.37038680000000002</v>
      </c>
      <c r="X4924">
        <v>0.86194219999999899</v>
      </c>
      <c r="Y4924">
        <v>0.47353990000000001</v>
      </c>
      <c r="Z4924">
        <v>1.050826E-2</v>
      </c>
      <c r="AA4924">
        <v>0.88070969999999904</v>
      </c>
      <c r="AB4924">
        <v>24</v>
      </c>
      <c r="AC4924">
        <v>4.3415000000000497</v>
      </c>
      <c r="AD4924">
        <v>-1.1027769999999999</v>
      </c>
      <c r="AE4924">
        <v>-5.1724220000000001</v>
      </c>
      <c r="AF4924">
        <v>3.1928205864661199</v>
      </c>
      <c r="AG4924">
        <v>-1.1027769999999999</v>
      </c>
      <c r="AH4924">
        <v>5.7506677537740698</v>
      </c>
      <c r="AI4924">
        <v>99.517548659656796</v>
      </c>
      <c r="AJ4924">
        <v>60.960585763695597</v>
      </c>
      <c r="AK4924">
        <v>6.6693627899063799</v>
      </c>
      <c r="AL4924">
        <v>68.260525735791106</v>
      </c>
      <c r="AM4924">
        <v>68.115861308175596</v>
      </c>
      <c r="AN4924">
        <v>0.99999999778651905</v>
      </c>
    </row>
    <row r="4925" spans="1:40" x14ac:dyDescent="0.25">
      <c r="A4925" t="str">
        <f>"20190304164743672"</f>
        <v>20190304164743672</v>
      </c>
      <c r="B4925" t="str">
        <f>"1551689263664210"</f>
        <v>1551689263664210</v>
      </c>
      <c r="C4925" t="s">
        <v>40</v>
      </c>
      <c r="D4925">
        <v>5.0257709999999998</v>
      </c>
      <c r="E4925">
        <v>0.57915159999999999</v>
      </c>
      <c r="F4925" t="s">
        <v>43</v>
      </c>
      <c r="G4925">
        <v>-306.61040000000003</v>
      </c>
      <c r="H4925">
        <v>-0.05</v>
      </c>
      <c r="I4925">
        <v>9.3450469999999992</v>
      </c>
      <c r="J4925">
        <v>-310.78149999999999</v>
      </c>
      <c r="K4925">
        <v>1.052478</v>
      </c>
      <c r="L4925">
        <v>14.47125</v>
      </c>
      <c r="M4925">
        <v>0.92905439999999995</v>
      </c>
      <c r="N4925">
        <v>-1.5185209999999999E-2</v>
      </c>
      <c r="O4925">
        <v>-0.36963170000000001</v>
      </c>
      <c r="P4925">
        <v>0.68126960000000003</v>
      </c>
      <c r="Q4925">
        <v>0.36133769999999998</v>
      </c>
      <c r="R4925">
        <v>-0.63663729999999996</v>
      </c>
      <c r="S4925">
        <v>2.2338559999999998</v>
      </c>
      <c r="T4925">
        <v>-0.56152690000000005</v>
      </c>
      <c r="U4925">
        <v>-2.6600649999999999</v>
      </c>
      <c r="V4925">
        <v>0.3479565</v>
      </c>
      <c r="W4925">
        <v>0.366815</v>
      </c>
      <c r="X4925">
        <v>0.86277060000000005</v>
      </c>
      <c r="Y4925">
        <v>0.47120050000000002</v>
      </c>
      <c r="Z4925">
        <v>1.286939E-2</v>
      </c>
      <c r="AA4925">
        <v>0.8819323</v>
      </c>
      <c r="AB4925">
        <v>24</v>
      </c>
      <c r="AC4925">
        <v>4.1710999999999601</v>
      </c>
      <c r="AD4925">
        <v>-1.1024780000000001</v>
      </c>
      <c r="AE4925">
        <v>-5.1262029999999896</v>
      </c>
      <c r="AF4925">
        <v>3.13390829756659</v>
      </c>
      <c r="AG4925">
        <v>-1.1024780000000001</v>
      </c>
      <c r="AH4925">
        <v>5.6144075299313601</v>
      </c>
      <c r="AI4925">
        <v>99.729467724906499</v>
      </c>
      <c r="AJ4925">
        <v>60.8301652263034</v>
      </c>
      <c r="AK4925">
        <v>6.5236807762328999</v>
      </c>
      <c r="AL4925">
        <v>68.480677218176794</v>
      </c>
      <c r="AM4925">
        <v>68.035715803162205</v>
      </c>
      <c r="AN4925">
        <v>1.0000000391707999</v>
      </c>
    </row>
    <row r="4926" spans="1:40" x14ac:dyDescent="0.25">
      <c r="A4926" t="str">
        <f>"20190304164743688"</f>
        <v>20190304164743688</v>
      </c>
      <c r="B4926" t="str">
        <f>"1551689263683731"</f>
        <v>1551689263683731</v>
      </c>
      <c r="C4926" t="s">
        <v>40</v>
      </c>
      <c r="D4926">
        <v>5.040203</v>
      </c>
      <c r="E4926">
        <v>0.57902310000000001</v>
      </c>
      <c r="F4926" t="s">
        <v>43</v>
      </c>
      <c r="G4926">
        <v>-306.58089999999999</v>
      </c>
      <c r="H4926">
        <v>-0.05</v>
      </c>
      <c r="I4926">
        <v>9.3252410000000001</v>
      </c>
      <c r="J4926">
        <v>-310.6234</v>
      </c>
      <c r="K4926">
        <v>1.0522750000000001</v>
      </c>
      <c r="L4926">
        <v>14.396940000000001</v>
      </c>
      <c r="M4926">
        <v>0.92539039999999995</v>
      </c>
      <c r="N4926">
        <v>-1.524704E-2</v>
      </c>
      <c r="O4926">
        <v>-0.3787084</v>
      </c>
      <c r="P4926">
        <v>0.67549950000000003</v>
      </c>
      <c r="Q4926">
        <v>0.35947190000000001</v>
      </c>
      <c r="R4926">
        <v>-0.64380150000000003</v>
      </c>
      <c r="S4926">
        <v>2.1956180000000001</v>
      </c>
      <c r="T4926">
        <v>-0.57625930000000003</v>
      </c>
      <c r="U4926">
        <v>-2.6897890000000002</v>
      </c>
      <c r="V4926">
        <v>0.34834100000000001</v>
      </c>
      <c r="W4926">
        <v>0.36488680000000001</v>
      </c>
      <c r="X4926">
        <v>0.8634328</v>
      </c>
      <c r="Y4926">
        <v>0.47478599999999999</v>
      </c>
      <c r="Z4926">
        <v>1.4574449999999999E-2</v>
      </c>
      <c r="AA4926">
        <v>0.8799806</v>
      </c>
      <c r="AB4926">
        <v>24</v>
      </c>
      <c r="AC4926">
        <v>4.0425000000000102</v>
      </c>
      <c r="AD4926">
        <v>-1.1022749999999999</v>
      </c>
      <c r="AE4926">
        <v>-5.07169899999999</v>
      </c>
      <c r="AF4926">
        <v>3.0739500744796602</v>
      </c>
      <c r="AG4926">
        <v>-1.1022749999999999</v>
      </c>
      <c r="AH4926">
        <v>5.5032826854024002</v>
      </c>
      <c r="AI4926">
        <v>99.918715070410499</v>
      </c>
      <c r="AJ4926">
        <v>60.813731610440698</v>
      </c>
      <c r="AK4926">
        <v>6.3992421075834001</v>
      </c>
      <c r="AL4926">
        <v>68.5993839778113</v>
      </c>
      <c r="AM4926">
        <v>68.029013604443094</v>
      </c>
      <c r="AN4926">
        <v>1.0000000146055401</v>
      </c>
    </row>
    <row r="4927" spans="1:40" x14ac:dyDescent="0.25">
      <c r="A4927" t="str">
        <f>"20190304164743702"</f>
        <v>20190304164743702</v>
      </c>
      <c r="B4927" t="str">
        <f>"1551689263694467"</f>
        <v>1551689263694467</v>
      </c>
      <c r="C4927" t="s">
        <v>40</v>
      </c>
      <c r="D4927">
        <v>5.0445200000000003</v>
      </c>
      <c r="E4927">
        <v>0.57894849999999998</v>
      </c>
      <c r="F4927" t="s">
        <v>43</v>
      </c>
      <c r="G4927">
        <v>-306.53629999999998</v>
      </c>
      <c r="H4927">
        <v>-0.05</v>
      </c>
      <c r="I4927">
        <v>9.2870790000000003</v>
      </c>
      <c r="J4927">
        <v>-310.48719999999997</v>
      </c>
      <c r="K4927">
        <v>1.052117</v>
      </c>
      <c r="L4927">
        <v>14.331329999999999</v>
      </c>
      <c r="M4927">
        <v>0.92209949999999996</v>
      </c>
      <c r="N4927">
        <v>-1.5298829999999999E-2</v>
      </c>
      <c r="O4927">
        <v>-0.38665040000000001</v>
      </c>
      <c r="P4927">
        <v>0.67075680000000004</v>
      </c>
      <c r="Q4927">
        <v>0.35745949999999999</v>
      </c>
      <c r="R4927">
        <v>-0.64985269999999995</v>
      </c>
      <c r="S4927">
        <v>2.168488</v>
      </c>
      <c r="T4927">
        <v>-0.58482309999999904</v>
      </c>
      <c r="U4927">
        <v>-2.71109</v>
      </c>
      <c r="V4927">
        <v>0.34832950000000001</v>
      </c>
      <c r="W4927">
        <v>0.36283559999999998</v>
      </c>
      <c r="X4927">
        <v>0.8643014</v>
      </c>
      <c r="Y4927">
        <v>0.47596240000000001</v>
      </c>
      <c r="Z4927">
        <v>1.6135469999999999E-2</v>
      </c>
      <c r="AA4927">
        <v>0.87931759999999903</v>
      </c>
      <c r="AB4927">
        <v>24</v>
      </c>
      <c r="AC4927">
        <v>3.9508999999999901</v>
      </c>
      <c r="AD4927">
        <v>-1.102117</v>
      </c>
      <c r="AE4927">
        <v>-5.044251</v>
      </c>
      <c r="AF4927">
        <v>3.0342750489604802</v>
      </c>
      <c r="AG4927">
        <v>-1.102117</v>
      </c>
      <c r="AH4927">
        <v>5.4333822792265503</v>
      </c>
      <c r="AI4927">
        <v>100.042813173243</v>
      </c>
      <c r="AJ4927">
        <v>60.818803436094598</v>
      </c>
      <c r="AK4927">
        <v>6.3200577486796901</v>
      </c>
      <c r="AL4927">
        <v>68.725557870408394</v>
      </c>
      <c r="AM4927">
        <v>68.049650727375806</v>
      </c>
      <c r="AN4927">
        <v>1.00000001161978</v>
      </c>
    </row>
    <row r="4928" spans="1:40" x14ac:dyDescent="0.25">
      <c r="A4928" t="str">
        <f>"20190304164743718"</f>
        <v>20190304164743718</v>
      </c>
      <c r="B4928" t="str">
        <f>"1551689263713988"</f>
        <v>1551689263713988</v>
      </c>
      <c r="C4928" t="s">
        <v>40</v>
      </c>
      <c r="D4928">
        <v>5.0590710000000003</v>
      </c>
      <c r="E4928">
        <v>0.57884820000000003</v>
      </c>
      <c r="F4928" t="s">
        <v>43</v>
      </c>
      <c r="G4928">
        <v>-306.49979999999999</v>
      </c>
      <c r="H4928">
        <v>-0.05</v>
      </c>
      <c r="I4928">
        <v>9.2553099999999997</v>
      </c>
      <c r="J4928">
        <v>-310.32429999999999</v>
      </c>
      <c r="K4928">
        <v>1.0519419999999999</v>
      </c>
      <c r="L4928">
        <v>14.25095</v>
      </c>
      <c r="M4928">
        <v>0.91799810000000004</v>
      </c>
      <c r="N4928">
        <v>-1.5359090000000001E-2</v>
      </c>
      <c r="O4928">
        <v>-0.39628760000000002</v>
      </c>
      <c r="P4928">
        <v>0.66575200000000001</v>
      </c>
      <c r="Q4928">
        <v>0.3545932</v>
      </c>
      <c r="R4928">
        <v>-0.65653519999999999</v>
      </c>
      <c r="S4928">
        <v>2.1440429999999999</v>
      </c>
      <c r="T4928">
        <v>-0.59261430000000004</v>
      </c>
      <c r="U4928">
        <v>-2.7294010000000002</v>
      </c>
      <c r="V4928">
        <v>0.34737020000000002</v>
      </c>
      <c r="W4928">
        <v>0.359958099999999</v>
      </c>
      <c r="X4928">
        <v>0.86588920000000003</v>
      </c>
      <c r="Y4928">
        <v>0.47455049999999999</v>
      </c>
      <c r="Z4928">
        <v>1.8262690000000002E-2</v>
      </c>
      <c r="AA4928">
        <v>0.88003880000000001</v>
      </c>
      <c r="AB4928">
        <v>24</v>
      </c>
      <c r="AC4928">
        <v>3.8245</v>
      </c>
      <c r="AD4928">
        <v>-1.101942</v>
      </c>
      <c r="AE4928">
        <v>-4.9956399999999999</v>
      </c>
      <c r="AF4928">
        <v>2.9793516994083298</v>
      </c>
      <c r="AG4928">
        <v>-1.101942</v>
      </c>
      <c r="AH4928">
        <v>5.3278023613257997</v>
      </c>
      <c r="AI4928">
        <v>100.23283555588</v>
      </c>
      <c r="AJ4928">
        <v>60.785713929104098</v>
      </c>
      <c r="AK4928">
        <v>6.2029259806546202</v>
      </c>
      <c r="AL4928">
        <v>68.902377134251196</v>
      </c>
      <c r="AM4928">
        <v>68.140742645503295</v>
      </c>
      <c r="AN4928">
        <v>0.99999999814014495</v>
      </c>
    </row>
    <row r="4929" spans="1:40" x14ac:dyDescent="0.25">
      <c r="A4929" t="str">
        <f>"20190304164743741"</f>
        <v>20190304164743741</v>
      </c>
      <c r="B4929" t="str">
        <f>"1551689263734483"</f>
        <v>1551689263734483</v>
      </c>
      <c r="C4929" t="s">
        <v>40</v>
      </c>
      <c r="D4929">
        <v>5.0479279999999997</v>
      </c>
      <c r="E4929">
        <v>0.57871589999999995</v>
      </c>
      <c r="F4929" t="s">
        <v>43</v>
      </c>
      <c r="G4929">
        <v>-306.45920000000001</v>
      </c>
      <c r="H4929">
        <v>-0.05</v>
      </c>
      <c r="I4929">
        <v>9.2198639999999994</v>
      </c>
      <c r="J4929">
        <v>-310.09890000000001</v>
      </c>
      <c r="K4929">
        <v>1.0517190000000001</v>
      </c>
      <c r="L4929">
        <v>14.13556</v>
      </c>
      <c r="M4929">
        <v>0.91198650000000003</v>
      </c>
      <c r="N4929">
        <v>-1.5440590000000001E-2</v>
      </c>
      <c r="O4929">
        <v>-0.4099295</v>
      </c>
      <c r="P4929">
        <v>0.6566824</v>
      </c>
      <c r="Q4929">
        <v>0.35385640000000002</v>
      </c>
      <c r="R4929">
        <v>-0.66599849999999905</v>
      </c>
      <c r="S4929">
        <v>2.1137999999999999</v>
      </c>
      <c r="T4929">
        <v>-0.60264329999999999</v>
      </c>
      <c r="U4929">
        <v>-2.751465</v>
      </c>
      <c r="V4929">
        <v>0.34682489999999999</v>
      </c>
      <c r="W4929">
        <v>0.35917179999999999</v>
      </c>
      <c r="X4929">
        <v>0.86643409999999998</v>
      </c>
      <c r="Y4929">
        <v>0.47104449999999998</v>
      </c>
      <c r="Z4929">
        <v>2.1472709999999999E-2</v>
      </c>
      <c r="AA4929">
        <v>0.88184810000000002</v>
      </c>
      <c r="AB4929">
        <v>24</v>
      </c>
      <c r="AC4929">
        <v>3.6396999999999999</v>
      </c>
      <c r="AD4929">
        <v>-1.1017189999999999</v>
      </c>
      <c r="AE4929">
        <v>-4.9156959999999996</v>
      </c>
      <c r="AF4929">
        <v>2.8973814714038202</v>
      </c>
      <c r="AG4929">
        <v>-1.1017189999999999</v>
      </c>
      <c r="AH4929">
        <v>5.1674291424904002</v>
      </c>
      <c r="AI4929">
        <v>100.534758329433</v>
      </c>
      <c r="AJ4929">
        <v>60.720617283153203</v>
      </c>
      <c r="AK4929">
        <v>6.0258549674261399</v>
      </c>
      <c r="AL4929">
        <v>68.950657227419001</v>
      </c>
      <c r="AM4929">
        <v>68.184268336967193</v>
      </c>
      <c r="AN4929">
        <v>0.99999997140902896</v>
      </c>
    </row>
    <row r="4930" spans="1:40" x14ac:dyDescent="0.25">
      <c r="A4930" t="str">
        <f>"20190304164743763"</f>
        <v>20190304164743763</v>
      </c>
      <c r="B4930" t="str">
        <f>"1551689263754003"</f>
        <v>1551689263754003</v>
      </c>
      <c r="C4930" t="s">
        <v>40</v>
      </c>
      <c r="D4930">
        <v>5.0754299999999999</v>
      </c>
      <c r="E4930">
        <v>0.57860900000000004</v>
      </c>
      <c r="F4930" t="s">
        <v>43</v>
      </c>
      <c r="G4930">
        <v>-306.32850000000002</v>
      </c>
      <c r="H4930">
        <v>-0.05</v>
      </c>
      <c r="I4930">
        <v>9.0664219999999993</v>
      </c>
      <c r="J4930">
        <v>-309.88159999999999</v>
      </c>
      <c r="K4930">
        <v>1.0515139999999901</v>
      </c>
      <c r="L4930">
        <v>14.01993</v>
      </c>
      <c r="M4930">
        <v>0.90582859999999998</v>
      </c>
      <c r="N4930">
        <v>-1.5517029999999999E-2</v>
      </c>
      <c r="O4930">
        <v>-0.42336020000000002</v>
      </c>
      <c r="P4930">
        <v>0.64534139999999995</v>
      </c>
      <c r="Q4930">
        <v>0.35451630000000001</v>
      </c>
      <c r="R4930">
        <v>-0.67664840000000004</v>
      </c>
      <c r="S4930">
        <v>2.0708009999999999</v>
      </c>
      <c r="T4930">
        <v>-0.60510249999999999</v>
      </c>
      <c r="U4930">
        <v>-2.7841490000000002</v>
      </c>
      <c r="V4930">
        <v>0.3485066</v>
      </c>
      <c r="W4930">
        <v>0.35971520000000001</v>
      </c>
      <c r="X4930">
        <v>0.86553340000000001</v>
      </c>
      <c r="Y4930">
        <v>0.47185159999999998</v>
      </c>
      <c r="Z4930">
        <v>2.3870349999999999E-2</v>
      </c>
      <c r="AA4930">
        <v>0.88135479999999999</v>
      </c>
      <c r="AB4930">
        <v>24</v>
      </c>
      <c r="AC4930">
        <v>3.5530999999999699</v>
      </c>
      <c r="AD4930">
        <v>-1.1015140000000001</v>
      </c>
      <c r="AE4930">
        <v>-4.9535079999999896</v>
      </c>
      <c r="AF4930">
        <v>2.8888267976035999</v>
      </c>
      <c r="AG4930">
        <v>-1.1015140000000001</v>
      </c>
      <c r="AH4930">
        <v>5.1481695978313597</v>
      </c>
      <c r="AI4930">
        <v>100.569437505918</v>
      </c>
      <c r="AJ4930">
        <v>60.701618683078799</v>
      </c>
      <c r="AK4930">
        <v>6.0051897194663102</v>
      </c>
      <c r="AL4930">
        <v>68.917292842466793</v>
      </c>
      <c r="AM4930">
        <v>68.067843142563007</v>
      </c>
      <c r="AN4930">
        <v>0.99999997093507897</v>
      </c>
    </row>
    <row r="4931" spans="1:40" x14ac:dyDescent="0.25">
      <c r="A4931" t="str">
        <f>"20190304164743784"</f>
        <v>20190304164743784</v>
      </c>
      <c r="B4931" t="str">
        <f>"1551689263774499"</f>
        <v>1551689263774499</v>
      </c>
      <c r="C4931" t="s">
        <v>40</v>
      </c>
      <c r="D4931">
        <v>5.0644770000000001</v>
      </c>
      <c r="E4931">
        <v>0.57847850000000001</v>
      </c>
      <c r="F4931" t="s">
        <v>43</v>
      </c>
      <c r="G4931">
        <v>-306.18509999999998</v>
      </c>
      <c r="H4931">
        <v>-0.05</v>
      </c>
      <c r="I4931">
        <v>8.888458</v>
      </c>
      <c r="J4931">
        <v>-309.67360000000002</v>
      </c>
      <c r="K4931">
        <v>1.051329</v>
      </c>
      <c r="L4931">
        <v>13.905029999999901</v>
      </c>
      <c r="M4931">
        <v>0.89957410000000004</v>
      </c>
      <c r="N4931">
        <v>-1.558943E-2</v>
      </c>
      <c r="O4931">
        <v>-0.43649009999999999</v>
      </c>
      <c r="P4931">
        <v>0.63270550000000003</v>
      </c>
      <c r="Q4931">
        <v>0.35652009999999901</v>
      </c>
      <c r="R4931">
        <v>-0.68744280000000002</v>
      </c>
      <c r="S4931">
        <v>2.028381</v>
      </c>
      <c r="T4931">
        <v>-0.60442899999999999</v>
      </c>
      <c r="U4931">
        <v>-2.8157649999999999</v>
      </c>
      <c r="V4931">
        <v>0.35120780000000001</v>
      </c>
      <c r="W4931">
        <v>0.361564</v>
      </c>
      <c r="X4931">
        <v>0.86366919999999903</v>
      </c>
      <c r="Y4931">
        <v>0.4725935</v>
      </c>
      <c r="Z4931">
        <v>2.6063929999999999E-2</v>
      </c>
      <c r="AA4931">
        <v>0.88089509999999904</v>
      </c>
      <c r="AB4931">
        <v>24</v>
      </c>
      <c r="AC4931">
        <v>3.4885000000000401</v>
      </c>
      <c r="AD4931">
        <v>-1.101329</v>
      </c>
      <c r="AE4931">
        <v>-5.0165719999999903</v>
      </c>
      <c r="AF4931">
        <v>2.8963516246643102</v>
      </c>
      <c r="AG4931">
        <v>-1.101329</v>
      </c>
      <c r="AH4931">
        <v>5.1608348009767004</v>
      </c>
      <c r="AI4931">
        <v>100.541994070771</v>
      </c>
      <c r="AJ4931">
        <v>60.698090155991302</v>
      </c>
      <c r="AK4931">
        <v>6.01963405390301</v>
      </c>
      <c r="AL4931">
        <v>68.803721519319694</v>
      </c>
      <c r="AM4931">
        <v>67.8710694183995</v>
      </c>
      <c r="AN4931">
        <v>0.99999996595273899</v>
      </c>
    </row>
    <row r="4932" spans="1:40" x14ac:dyDescent="0.25">
      <c r="A4932" t="str">
        <f>"20190304164743799"</f>
        <v>20190304164743799</v>
      </c>
      <c r="B4932" t="str">
        <f>"1551689263794019"</f>
        <v>1551689263794019</v>
      </c>
      <c r="C4932" t="s">
        <v>40</v>
      </c>
      <c r="D4932">
        <v>5.0648999999999997</v>
      </c>
      <c r="E4932">
        <v>0.57826519999999904</v>
      </c>
      <c r="F4932" t="s">
        <v>43</v>
      </c>
      <c r="G4932">
        <v>-306.02870000000001</v>
      </c>
      <c r="H4932">
        <v>-0.05</v>
      </c>
      <c r="I4932">
        <v>8.6770940000000003</v>
      </c>
      <c r="J4932">
        <v>-309.52890000000002</v>
      </c>
      <c r="K4932">
        <v>1.0512010000000001</v>
      </c>
      <c r="L4932">
        <v>13.822629999999901</v>
      </c>
      <c r="M4932">
        <v>0.89500100000000005</v>
      </c>
      <c r="N4932">
        <v>-1.5640439999999999E-2</v>
      </c>
      <c r="O4932">
        <v>-0.44579029999999997</v>
      </c>
      <c r="P4932">
        <v>0.62435059999999998</v>
      </c>
      <c r="Q4932">
        <v>0.35749419999999998</v>
      </c>
      <c r="R4932">
        <v>-0.69453909999999996</v>
      </c>
      <c r="S4932">
        <v>1.985474</v>
      </c>
      <c r="T4932">
        <v>-0.59991229999999995</v>
      </c>
      <c r="U4932">
        <v>-2.8477480000000002</v>
      </c>
      <c r="V4932">
        <v>0.3523772</v>
      </c>
      <c r="W4932">
        <v>0.36244910000000002</v>
      </c>
      <c r="X4932">
        <v>0.86282159999999997</v>
      </c>
      <c r="Y4932">
        <v>0.47708260000000002</v>
      </c>
      <c r="Z4932">
        <v>2.695817E-2</v>
      </c>
      <c r="AA4932">
        <v>0.87844500000000003</v>
      </c>
      <c r="AB4932">
        <v>24</v>
      </c>
      <c r="AC4932">
        <v>3.5002</v>
      </c>
      <c r="AD4932">
        <v>-1.1012010000000001</v>
      </c>
      <c r="AE4932">
        <v>-5.1455359999999901</v>
      </c>
      <c r="AF4932">
        <v>2.9528183192294</v>
      </c>
      <c r="AG4932">
        <v>-1.1012010000000001</v>
      </c>
      <c r="AH4932">
        <v>5.2623997898680202</v>
      </c>
      <c r="AI4932">
        <v>100.34222690735299</v>
      </c>
      <c r="AJ4932">
        <v>60.702506597383199</v>
      </c>
      <c r="AK4932">
        <v>6.1338920121877498</v>
      </c>
      <c r="AL4932">
        <v>68.749321694709394</v>
      </c>
      <c r="AM4932">
        <v>67.784846677371704</v>
      </c>
      <c r="AN4932">
        <v>1.0000000772986</v>
      </c>
    </row>
    <row r="4933" spans="1:40" x14ac:dyDescent="0.25">
      <c r="A4933" t="str">
        <f>"20190304164743818"</f>
        <v>20190304164743818</v>
      </c>
      <c r="B4933" t="str">
        <f>"1551689263814516"</f>
        <v>1551689263814516</v>
      </c>
      <c r="C4933" t="s">
        <v>40</v>
      </c>
      <c r="D4933">
        <v>5.7919479999999997</v>
      </c>
      <c r="E4933">
        <v>0.57823400000000003</v>
      </c>
      <c r="F4933" t="s">
        <v>43</v>
      </c>
      <c r="G4933">
        <v>-305.93200000000002</v>
      </c>
      <c r="H4933">
        <v>-0.05</v>
      </c>
      <c r="I4933">
        <v>8.5432889999999997</v>
      </c>
      <c r="J4933">
        <v>-309.34859999999998</v>
      </c>
      <c r="K4933">
        <v>1.0510459999999999</v>
      </c>
      <c r="L4933">
        <v>13.716799999999999</v>
      </c>
      <c r="M4933">
        <v>0.88902039999999904</v>
      </c>
      <c r="N4933">
        <v>-1.5706749999999998E-2</v>
      </c>
      <c r="O4933">
        <v>-0.457598</v>
      </c>
      <c r="P4933">
        <v>0.61319069999999998</v>
      </c>
      <c r="Q4933">
        <v>0.35975410000000002</v>
      </c>
      <c r="R4933">
        <v>-0.70325959999999998</v>
      </c>
      <c r="S4933">
        <v>1.955292</v>
      </c>
      <c r="T4933">
        <v>-0.59861249999999999</v>
      </c>
      <c r="U4933">
        <v>-2.8698429999999999</v>
      </c>
      <c r="V4933">
        <v>0.353900299999999</v>
      </c>
      <c r="W4933">
        <v>0.36458079999999998</v>
      </c>
      <c r="X4933">
        <v>0.86129869999999897</v>
      </c>
      <c r="Y4933">
        <v>0.47506009999999999</v>
      </c>
      <c r="Z4933">
        <v>2.9140840000000001E-2</v>
      </c>
      <c r="AA4933">
        <v>0.87947070000000005</v>
      </c>
      <c r="AB4933">
        <v>24</v>
      </c>
      <c r="AC4933">
        <v>3.4165999999999599</v>
      </c>
      <c r="AD4933">
        <v>-1.101046</v>
      </c>
      <c r="AE4933">
        <v>-5.1735110000000004</v>
      </c>
      <c r="AF4933">
        <v>2.94346855970899</v>
      </c>
      <c r="AG4933">
        <v>-1.101046</v>
      </c>
      <c r="AH4933">
        <v>5.24021215930299</v>
      </c>
      <c r="AI4933">
        <v>100.381071327147</v>
      </c>
      <c r="AJ4933">
        <v>60.676733860609097</v>
      </c>
      <c r="AK4933">
        <v>6.1103300181429097</v>
      </c>
      <c r="AL4933">
        <v>68.618213665041196</v>
      </c>
      <c r="AM4933">
        <v>67.662656932416496</v>
      </c>
      <c r="AN4933">
        <v>1.0000000163452001</v>
      </c>
    </row>
    <row r="4934" spans="1:40" x14ac:dyDescent="0.25">
      <c r="A4934" t="str">
        <f>"20190304164743840"</f>
        <v>20190304164743840</v>
      </c>
      <c r="B4934" t="str">
        <f>"1551689263834035"</f>
        <v>1551689263834035</v>
      </c>
      <c r="C4934" t="s">
        <v>40</v>
      </c>
      <c r="D4934">
        <v>5.2578690000000003</v>
      </c>
      <c r="E4934">
        <v>0.59955040000000004</v>
      </c>
      <c r="F4934" t="s">
        <v>43</v>
      </c>
      <c r="G4934">
        <v>-305.78339999999997</v>
      </c>
      <c r="H4934">
        <v>-0.05</v>
      </c>
      <c r="I4934">
        <v>8.3054199999999998</v>
      </c>
      <c r="J4934">
        <v>-309.13409999999999</v>
      </c>
      <c r="K4934">
        <v>1.050843</v>
      </c>
      <c r="L4934">
        <v>13.58609</v>
      </c>
      <c r="M4934">
        <v>0.88146399999999903</v>
      </c>
      <c r="N4934">
        <v>-1.5792670000000002E-2</v>
      </c>
      <c r="O4934">
        <v>-0.47198689999999999</v>
      </c>
      <c r="P4934">
        <v>0.59950979999999998</v>
      </c>
      <c r="Q4934">
        <v>0.36233209999999999</v>
      </c>
      <c r="R4934">
        <v>-0.71365469999999998</v>
      </c>
      <c r="S4934">
        <v>1.911438</v>
      </c>
      <c r="T4934">
        <v>-0.59030130000000003</v>
      </c>
      <c r="U4934">
        <v>-2.9011840000000002</v>
      </c>
      <c r="V4934">
        <v>0.35562559999999999</v>
      </c>
      <c r="W4934">
        <v>0.36699730000000003</v>
      </c>
      <c r="X4934">
        <v>0.85956010000000005</v>
      </c>
      <c r="Y4934">
        <v>0.47457830000000001</v>
      </c>
      <c r="Z4934">
        <v>3.1114570000000001E-2</v>
      </c>
      <c r="AA4934">
        <v>0.87966319999999998</v>
      </c>
      <c r="AB4934">
        <v>24</v>
      </c>
      <c r="AC4934">
        <v>3.35070000000001</v>
      </c>
      <c r="AD4934">
        <v>-1.100843</v>
      </c>
      <c r="AE4934">
        <v>-5.28066999999999</v>
      </c>
      <c r="AF4934">
        <v>2.9812474874523498</v>
      </c>
      <c r="AG4934">
        <v>-1.100843</v>
      </c>
      <c r="AH4934">
        <v>5.2829236719085904</v>
      </c>
      <c r="AI4934">
        <v>100.285850389616</v>
      </c>
      <c r="AJ4934">
        <v>60.563192376160202</v>
      </c>
      <c r="AK4934">
        <v>6.1651418811980401</v>
      </c>
      <c r="AL4934">
        <v>68.469449950426196</v>
      </c>
      <c r="AM4934">
        <v>67.523664056430306</v>
      </c>
      <c r="AN4934">
        <v>1.00000007554732</v>
      </c>
    </row>
    <row r="4935" spans="1:40" x14ac:dyDescent="0.25">
      <c r="A4935" t="str">
        <f>"20190304164743862"</f>
        <v>20190304164743862</v>
      </c>
      <c r="B4935" t="str">
        <f>"1551689263854534"</f>
        <v>1551689263854534</v>
      </c>
      <c r="C4935" t="s">
        <v>40</v>
      </c>
      <c r="D4935">
        <v>5.2238110000000004</v>
      </c>
      <c r="E4935">
        <v>0.59776339999999994</v>
      </c>
      <c r="F4935" t="s">
        <v>43</v>
      </c>
      <c r="G4935">
        <v>-304.88720000000001</v>
      </c>
      <c r="H4935">
        <v>-0.05</v>
      </c>
      <c r="I4935">
        <v>5.9647059999999996</v>
      </c>
      <c r="J4935">
        <v>-308.93759999999997</v>
      </c>
      <c r="K4935">
        <v>1.050651</v>
      </c>
      <c r="L4935">
        <v>13.461639999999999</v>
      </c>
      <c r="M4935">
        <v>0.87409760000000003</v>
      </c>
      <c r="N4935">
        <v>-1.5877349999999998E-2</v>
      </c>
      <c r="O4935">
        <v>-0.4854909</v>
      </c>
      <c r="P4935">
        <v>0.58644589999999996</v>
      </c>
      <c r="Q4935">
        <v>0.36447469999999998</v>
      </c>
      <c r="R4935">
        <v>-0.72335269999999996</v>
      </c>
      <c r="S4935">
        <v>1.6794739999999999</v>
      </c>
      <c r="T4935">
        <v>-0.43533440000000001</v>
      </c>
      <c r="U4935">
        <v>-3.013916</v>
      </c>
      <c r="V4935">
        <v>0.35732059999999999</v>
      </c>
      <c r="W4935">
        <v>0.36898360000000002</v>
      </c>
      <c r="X4935">
        <v>0.85800529999999997</v>
      </c>
      <c r="Y4935">
        <v>0.52567710000000001</v>
      </c>
      <c r="Z4935">
        <v>1.81639E-2</v>
      </c>
      <c r="AA4935">
        <v>0.85049030000000003</v>
      </c>
      <c r="AB4935">
        <v>24</v>
      </c>
      <c r="AC4935">
        <v>4.0503999999999598</v>
      </c>
      <c r="AD4935">
        <v>-1.100651</v>
      </c>
      <c r="AE4935">
        <v>-7.4969339999999898</v>
      </c>
      <c r="AF4935">
        <v>4.5119200515455704</v>
      </c>
      <c r="AG4935">
        <v>-1.100651</v>
      </c>
      <c r="AH4935">
        <v>7.0631993935311002</v>
      </c>
      <c r="AI4935">
        <v>97.481397640395301</v>
      </c>
      <c r="AJ4935">
        <v>57.429857675481202</v>
      </c>
      <c r="AK4935">
        <v>8.4532621423991205</v>
      </c>
      <c r="AL4935">
        <v>68.347053118073006</v>
      </c>
      <c r="AM4935">
        <v>67.390469251774206</v>
      </c>
      <c r="AN4935">
        <v>1.0000000015407</v>
      </c>
    </row>
    <row r="4936" spans="1:40" x14ac:dyDescent="0.25">
      <c r="A4936" t="str">
        <f>"20190304164743884"</f>
        <v>20190304164743884</v>
      </c>
      <c r="B4936" t="str">
        <f>"1551689263874261"</f>
        <v>1551689263874261</v>
      </c>
      <c r="C4936" t="s">
        <v>40</v>
      </c>
      <c r="D4936">
        <v>5.2209510000000003</v>
      </c>
      <c r="E4936">
        <v>0.59350230000000004</v>
      </c>
      <c r="F4936" t="s">
        <v>43</v>
      </c>
      <c r="G4936">
        <v>-304.97109999999998</v>
      </c>
      <c r="H4936">
        <v>-0.05</v>
      </c>
      <c r="I4936">
        <v>6.1516570000000002</v>
      </c>
      <c r="J4936">
        <v>-308.72899999999998</v>
      </c>
      <c r="K4936">
        <v>1.050433</v>
      </c>
      <c r="L4936">
        <v>13.32446</v>
      </c>
      <c r="M4936">
        <v>0.86577859999999995</v>
      </c>
      <c r="N4936">
        <v>-1.597169E-2</v>
      </c>
      <c r="O4936">
        <v>-0.50017239999999996</v>
      </c>
      <c r="P4936">
        <v>0.573689</v>
      </c>
      <c r="Q4936">
        <v>0.36627670000000001</v>
      </c>
      <c r="R4936">
        <v>-0.73261339999999997</v>
      </c>
      <c r="S4936">
        <v>1.6498109999999999</v>
      </c>
      <c r="T4936">
        <v>-0.45779779999999998</v>
      </c>
      <c r="U4936">
        <v>-3.0404659999999999</v>
      </c>
      <c r="V4936">
        <v>0.35733150000000002</v>
      </c>
      <c r="W4936">
        <v>0.37067729999999999</v>
      </c>
      <c r="X4936">
        <v>0.85727039999999999</v>
      </c>
      <c r="Y4936">
        <v>0.52087429999999901</v>
      </c>
      <c r="Z4936">
        <v>2.197553E-2</v>
      </c>
      <c r="AA4936">
        <v>0.85335049999999901</v>
      </c>
      <c r="AB4936">
        <v>24</v>
      </c>
      <c r="AC4936">
        <v>3.7579000000000602</v>
      </c>
      <c r="AD4936">
        <v>-1.100433</v>
      </c>
      <c r="AE4936">
        <v>-7.172803</v>
      </c>
      <c r="AF4936">
        <v>4.2524795988312301</v>
      </c>
      <c r="AG4936">
        <v>-1.100433</v>
      </c>
      <c r="AH4936">
        <v>6.7179538011203599</v>
      </c>
      <c r="AI4936">
        <v>97.880023886585406</v>
      </c>
      <c r="AJ4936">
        <v>57.666099211624598</v>
      </c>
      <c r="AK4936">
        <v>8.0265458822554798</v>
      </c>
      <c r="AL4936">
        <v>68.242605816814802</v>
      </c>
      <c r="AM4936">
        <v>67.372418993421803</v>
      </c>
      <c r="AN4936">
        <v>1.0000000001718401</v>
      </c>
    </row>
    <row r="4937" spans="1:40" x14ac:dyDescent="0.25">
      <c r="A4937" t="str">
        <f>"20190304164743908"</f>
        <v>20190304164743908</v>
      </c>
      <c r="B4937" t="str">
        <f>"1551689263904517"</f>
        <v>1551689263904517</v>
      </c>
      <c r="C4937" t="s">
        <v>40</v>
      </c>
      <c r="D4937">
        <v>5.2056469999999999</v>
      </c>
      <c r="E4937">
        <v>0.59429409999999905</v>
      </c>
      <c r="F4937" t="s">
        <v>43</v>
      </c>
      <c r="G4937">
        <v>-305.08260000000001</v>
      </c>
      <c r="H4937">
        <v>-0.05</v>
      </c>
      <c r="I4937">
        <v>6.5137939999999999</v>
      </c>
      <c r="J4937">
        <v>-308.5224</v>
      </c>
      <c r="K4937">
        <v>1.0502180000000001</v>
      </c>
      <c r="L4937">
        <v>13.182980000000001</v>
      </c>
      <c r="M4937">
        <v>0.85698430000000003</v>
      </c>
      <c r="N4937">
        <v>-1.606894E-2</v>
      </c>
      <c r="O4937">
        <v>-0.51509199999999999</v>
      </c>
      <c r="P4937">
        <v>0.56091029999999997</v>
      </c>
      <c r="Q4937">
        <v>0.36885810000000002</v>
      </c>
      <c r="R4937">
        <v>-0.74116359999999903</v>
      </c>
      <c r="S4937">
        <v>1.6379999999999999</v>
      </c>
      <c r="T4937">
        <v>-0.49431910000000001</v>
      </c>
      <c r="U4937">
        <v>-3.0593870000000001</v>
      </c>
      <c r="V4937">
        <v>0.35650530000000002</v>
      </c>
      <c r="W4937">
        <v>0.37317240000000002</v>
      </c>
      <c r="X4937">
        <v>0.85653159999999895</v>
      </c>
      <c r="Y4937">
        <v>0.51085199999999997</v>
      </c>
      <c r="Z4937">
        <v>2.7573549999999999E-2</v>
      </c>
      <c r="AA4937">
        <v>0.85922639999999995</v>
      </c>
      <c r="AB4937">
        <v>24</v>
      </c>
      <c r="AC4937">
        <v>3.4397999999999902</v>
      </c>
      <c r="AD4937">
        <v>-1.1002179999999999</v>
      </c>
      <c r="AE4937">
        <v>-6.6691859999999901</v>
      </c>
      <c r="AF4937">
        <v>3.8610831456956101</v>
      </c>
      <c r="AG4937">
        <v>-1.1002179999999999</v>
      </c>
      <c r="AH4937">
        <v>6.2495782532799797</v>
      </c>
      <c r="AI4937">
        <v>98.517820218540905</v>
      </c>
      <c r="AJ4937">
        <v>58.291605951448098</v>
      </c>
      <c r="AK4937">
        <v>7.4280327846186003</v>
      </c>
      <c r="AL4937">
        <v>68.088599627687898</v>
      </c>
      <c r="AM4937">
        <v>67.401960918375394</v>
      </c>
      <c r="AN4937">
        <v>1.0000000254242001</v>
      </c>
    </row>
    <row r="4938" spans="1:40" x14ac:dyDescent="0.25">
      <c r="A4938" t="str">
        <f>"20190304164743930"</f>
        <v>20190304164743930</v>
      </c>
      <c r="B4938" t="str">
        <f>"1551689263924040"</f>
        <v>1551689263924040</v>
      </c>
      <c r="C4938" t="s">
        <v>40</v>
      </c>
      <c r="D4938">
        <v>5.2060969999999998</v>
      </c>
      <c r="E4938">
        <v>0.59283660000000005</v>
      </c>
      <c r="F4938" t="s">
        <v>43</v>
      </c>
      <c r="G4938">
        <v>-304.8723</v>
      </c>
      <c r="H4938">
        <v>-0.05</v>
      </c>
      <c r="I4938">
        <v>6.0322110000000002</v>
      </c>
      <c r="J4938">
        <v>-308.31799999999998</v>
      </c>
      <c r="K4938">
        <v>1.050014</v>
      </c>
      <c r="L4938">
        <v>13.037319999999999</v>
      </c>
      <c r="M4938">
        <v>0.84770460000000003</v>
      </c>
      <c r="N4938">
        <v>-1.61698999999999E-2</v>
      </c>
      <c r="O4938">
        <v>-0.53022199999999997</v>
      </c>
      <c r="P4938">
        <v>0.54669219999999996</v>
      </c>
      <c r="Q4938">
        <v>0.3715831</v>
      </c>
      <c r="R4938">
        <v>-0.75036910000000001</v>
      </c>
      <c r="S4938">
        <v>1.577515</v>
      </c>
      <c r="T4938">
        <v>-0.47549639999999999</v>
      </c>
      <c r="U4938">
        <v>-3.0904539999999998</v>
      </c>
      <c r="V4938">
        <v>0.35675410000000002</v>
      </c>
      <c r="W4938">
        <v>0.37577969999999999</v>
      </c>
      <c r="X4938">
        <v>0.85528709999999997</v>
      </c>
      <c r="Y4938">
        <v>0.51256820000000003</v>
      </c>
      <c r="Z4938">
        <v>2.807581E-2</v>
      </c>
      <c r="AA4938">
        <v>0.85818739999999905</v>
      </c>
      <c r="AB4938">
        <v>24</v>
      </c>
      <c r="AC4938">
        <v>3.44569999999998</v>
      </c>
      <c r="AD4938">
        <v>-1.100014</v>
      </c>
      <c r="AE4938">
        <v>-7.0051089999999903</v>
      </c>
      <c r="AF4938">
        <v>4.03176555452269</v>
      </c>
      <c r="AG4938">
        <v>-1.100014</v>
      </c>
      <c r="AH4938">
        <v>6.5068746736479701</v>
      </c>
      <c r="AI4938">
        <v>98.177661335566697</v>
      </c>
      <c r="AJ4938">
        <v>58.216970342279701</v>
      </c>
      <c r="AK4938">
        <v>7.7333422467516</v>
      </c>
      <c r="AL4938">
        <v>67.927487518892093</v>
      </c>
      <c r="AM4938">
        <v>67.358192593917906</v>
      </c>
      <c r="AN4938">
        <v>0.99999994711265305</v>
      </c>
    </row>
    <row r="4939" spans="1:40" x14ac:dyDescent="0.25">
      <c r="A4939" t="str">
        <f>"20190304164743952"</f>
        <v>20190304164743952</v>
      </c>
      <c r="B4939" t="str">
        <f>"1551689263944532"</f>
        <v>1551689263944532</v>
      </c>
      <c r="C4939" t="s">
        <v>40</v>
      </c>
      <c r="D4939">
        <v>5.1771279999999997</v>
      </c>
      <c r="E4939">
        <v>0.59150990000000003</v>
      </c>
      <c r="F4939" t="s">
        <v>43</v>
      </c>
      <c r="G4939">
        <v>-304.79829999999998</v>
      </c>
      <c r="H4939">
        <v>-0.05</v>
      </c>
      <c r="I4939">
        <v>5.9073640000000003</v>
      </c>
      <c r="J4939">
        <v>-308.12400000000002</v>
      </c>
      <c r="K4939">
        <v>1.0498240000000001</v>
      </c>
      <c r="L4939">
        <v>12.893370000000001</v>
      </c>
      <c r="M4939">
        <v>0.83831129999999998</v>
      </c>
      <c r="N4939">
        <v>-1.6270570000000002E-2</v>
      </c>
      <c r="O4939">
        <v>-0.54494929999999997</v>
      </c>
      <c r="P4939">
        <v>0.53251649999999995</v>
      </c>
      <c r="Q4939">
        <v>0.3738457</v>
      </c>
      <c r="R4939">
        <v>-0.75938509999999904</v>
      </c>
      <c r="S4939">
        <v>1.5379640000000001</v>
      </c>
      <c r="T4939">
        <v>-0.48066599999999998</v>
      </c>
      <c r="U4939">
        <v>-3.1155400000000002</v>
      </c>
      <c r="V4939">
        <v>0.35718729999999999</v>
      </c>
      <c r="W4939">
        <v>0.3779303</v>
      </c>
      <c r="X4939">
        <v>0.85415799999999997</v>
      </c>
      <c r="Y4939">
        <v>0.50917389999999996</v>
      </c>
      <c r="Z4939">
        <v>3.0836510000000001E-2</v>
      </c>
      <c r="AA4939">
        <v>0.86011109999999902</v>
      </c>
      <c r="AB4939">
        <v>24</v>
      </c>
      <c r="AC4939">
        <v>3.3257000000000398</v>
      </c>
      <c r="AD4939">
        <v>-1.0998239999999999</v>
      </c>
      <c r="AE4939">
        <v>-6.9860059999999899</v>
      </c>
      <c r="AF4939">
        <v>3.9645379126715099</v>
      </c>
      <c r="AG4939">
        <v>-1.0998239999999999</v>
      </c>
      <c r="AH4939">
        <v>6.4652278201215303</v>
      </c>
      <c r="AI4939">
        <v>98.251475665737203</v>
      </c>
      <c r="AJ4939">
        <v>58.482986483224202</v>
      </c>
      <c r="AK4939">
        <v>7.6633115856044398</v>
      </c>
      <c r="AL4939">
        <v>67.794460158573997</v>
      </c>
      <c r="AM4939">
        <v>67.306550216472502</v>
      </c>
      <c r="AN4939">
        <v>0.99999998395168899</v>
      </c>
    </row>
    <row r="4940" spans="1:40" x14ac:dyDescent="0.25">
      <c r="A4940" t="str">
        <f>"20190304164743974"</f>
        <v>20190304164743974</v>
      </c>
      <c r="B4940" t="str">
        <f>"1551689263964052"</f>
        <v>1551689263964052</v>
      </c>
      <c r="C4940" t="s">
        <v>40</v>
      </c>
      <c r="D4940">
        <v>5.160628</v>
      </c>
      <c r="E4940">
        <v>0.59045239999999999</v>
      </c>
      <c r="F4940" t="s">
        <v>43</v>
      </c>
      <c r="G4940">
        <v>-304.73590000000002</v>
      </c>
      <c r="H4940">
        <v>-0.05</v>
      </c>
      <c r="I4940">
        <v>5.7973790000000003</v>
      </c>
      <c r="J4940">
        <v>-307.93389999999999</v>
      </c>
      <c r="K4940">
        <v>1.0496460000000001</v>
      </c>
      <c r="L4940">
        <v>12.746639999999999</v>
      </c>
      <c r="M4940">
        <v>0.82851430000000004</v>
      </c>
      <c r="N4940">
        <v>-1.6373140000000001E-2</v>
      </c>
      <c r="O4940">
        <v>-0.55972860000000002</v>
      </c>
      <c r="P4940">
        <v>0.51975969999999905</v>
      </c>
      <c r="Q4940">
        <v>0.37561250000000002</v>
      </c>
      <c r="R4940">
        <v>-0.76731050000000001</v>
      </c>
      <c r="S4940">
        <v>1.4987790000000001</v>
      </c>
      <c r="T4940">
        <v>-0.4865313</v>
      </c>
      <c r="U4940">
        <v>-3.1390690000000001</v>
      </c>
      <c r="V4940">
        <v>0.35581620000000003</v>
      </c>
      <c r="W4940">
        <v>0.37965850000000001</v>
      </c>
      <c r="X4940">
        <v>0.8539639</v>
      </c>
      <c r="Y4940">
        <v>0.50526519999999997</v>
      </c>
      <c r="Z4940">
        <v>3.3772049999999998E-2</v>
      </c>
      <c r="AA4940">
        <v>0.86230300000000004</v>
      </c>
      <c r="AB4940">
        <v>24</v>
      </c>
      <c r="AC4940">
        <v>3.1979999999999702</v>
      </c>
      <c r="AD4940">
        <v>-1.0996459999999999</v>
      </c>
      <c r="AE4940">
        <v>-6.9492609999999901</v>
      </c>
      <c r="AF4940">
        <v>3.8877469148455002</v>
      </c>
      <c r="AG4940">
        <v>-1.0996459999999999</v>
      </c>
      <c r="AH4940">
        <v>6.40775788008989</v>
      </c>
      <c r="AI4940">
        <v>98.346810008140196</v>
      </c>
      <c r="AJ4940">
        <v>58.7537645509897</v>
      </c>
      <c r="AK4940">
        <v>7.57516722251468</v>
      </c>
      <c r="AL4940">
        <v>67.687470056612298</v>
      </c>
      <c r="AM4940">
        <v>67.380254630090505</v>
      </c>
      <c r="AN4940">
        <v>1.00000004365394</v>
      </c>
    </row>
    <row r="4941" spans="1:40" x14ac:dyDescent="0.25">
      <c r="A4941" t="str">
        <f>"20190304164744008"</f>
        <v>20190304164744008</v>
      </c>
      <c r="B4941" t="str">
        <f>"1551689264004069"</f>
        <v>1551689264004069</v>
      </c>
      <c r="C4941" t="s">
        <v>40</v>
      </c>
      <c r="D4941">
        <v>5.1782690000000002</v>
      </c>
      <c r="E4941">
        <v>0.59134469999999995</v>
      </c>
      <c r="F4941" t="s">
        <v>43</v>
      </c>
      <c r="G4941">
        <v>-304.66019999999997</v>
      </c>
      <c r="H4941">
        <v>-0.05</v>
      </c>
      <c r="I4941">
        <v>5.6459960000000002</v>
      </c>
      <c r="J4941">
        <v>-307.65129999999999</v>
      </c>
      <c r="K4941">
        <v>1.0493669999999999</v>
      </c>
      <c r="L4941">
        <v>12.51648</v>
      </c>
      <c r="M4941">
        <v>0.81273869999999904</v>
      </c>
      <c r="N4941">
        <v>-1.6532439999999999E-2</v>
      </c>
      <c r="O4941">
        <v>-0.58239379999999996</v>
      </c>
      <c r="P4941">
        <v>0.50233430000000001</v>
      </c>
      <c r="Q4941">
        <v>0.37637320000000002</v>
      </c>
      <c r="R4941">
        <v>-0.7784624</v>
      </c>
      <c r="S4941">
        <v>1.457794</v>
      </c>
      <c r="T4941">
        <v>-0.48968319999999999</v>
      </c>
      <c r="U4941">
        <v>-3.1619869999999999</v>
      </c>
      <c r="V4941">
        <v>0.35142499999999999</v>
      </c>
      <c r="W4941">
        <v>0.38047920000000002</v>
      </c>
      <c r="X4941">
        <v>0.855415699999999</v>
      </c>
      <c r="Y4941">
        <v>0.49320049999999999</v>
      </c>
      <c r="Z4941">
        <v>3.8307000000000001E-2</v>
      </c>
      <c r="AA4941">
        <v>0.86907179999999995</v>
      </c>
      <c r="AB4941">
        <v>24</v>
      </c>
      <c r="AC4941">
        <v>2.9911000000000101</v>
      </c>
      <c r="AD4941">
        <v>-1.099367</v>
      </c>
      <c r="AE4941">
        <v>-6.8704839999999896</v>
      </c>
      <c r="AF4941">
        <v>3.76147124692752</v>
      </c>
      <c r="AG4941">
        <v>-1.099367</v>
      </c>
      <c r="AH4941">
        <v>6.2976353628781396</v>
      </c>
      <c r="AI4941">
        <v>98.523500735251204</v>
      </c>
      <c r="AJ4941">
        <v>59.150841133677503</v>
      </c>
      <c r="AK4941">
        <v>7.4173772255376598</v>
      </c>
      <c r="AL4941">
        <v>67.636631107763606</v>
      </c>
      <c r="AM4941">
        <v>67.665982164333798</v>
      </c>
      <c r="AN4941">
        <v>0.99999998603206397</v>
      </c>
    </row>
    <row r="4942" spans="1:40" x14ac:dyDescent="0.25">
      <c r="A4942" t="str">
        <f>"20190304164744030"</f>
        <v>20190304164744030</v>
      </c>
      <c r="B4942" t="str">
        <f>"1551689264024565"</f>
        <v>1551689264024565</v>
      </c>
      <c r="C4942" t="s">
        <v>40</v>
      </c>
      <c r="D4942">
        <v>5.1365889999999998</v>
      </c>
      <c r="E4942">
        <v>0.59040919999999997</v>
      </c>
      <c r="F4942" t="s">
        <v>43</v>
      </c>
      <c r="G4942">
        <v>-304.4563</v>
      </c>
      <c r="H4942">
        <v>-0.05</v>
      </c>
      <c r="I4942">
        <v>5.0733489999999897</v>
      </c>
      <c r="J4942">
        <v>-307.46210000000002</v>
      </c>
      <c r="K4942">
        <v>1.049196</v>
      </c>
      <c r="L4942">
        <v>12.354799999999999</v>
      </c>
      <c r="M4942">
        <v>0.80138189999999998</v>
      </c>
      <c r="N4942">
        <v>-1.663713E-2</v>
      </c>
      <c r="O4942">
        <v>-0.59792179999999995</v>
      </c>
      <c r="P4942">
        <v>0.48881140000000001</v>
      </c>
      <c r="Q4942">
        <v>0.37501830000000003</v>
      </c>
      <c r="R4942">
        <v>-0.78767089999999995</v>
      </c>
      <c r="S4942">
        <v>1.3721620000000001</v>
      </c>
      <c r="T4942">
        <v>-0.47213959999999999</v>
      </c>
      <c r="U4942">
        <v>-3.196564</v>
      </c>
      <c r="V4942">
        <v>0.35036299999999998</v>
      </c>
      <c r="W4942">
        <v>0.37912810000000002</v>
      </c>
      <c r="X4942">
        <v>0.85645059999999995</v>
      </c>
      <c r="Y4942">
        <v>0.49955509999999997</v>
      </c>
      <c r="Z4942">
        <v>3.8258510000000003E-2</v>
      </c>
      <c r="AA4942">
        <v>0.86543689999999995</v>
      </c>
      <c r="AB4942">
        <v>24</v>
      </c>
      <c r="AC4942">
        <v>3.0058000000000198</v>
      </c>
      <c r="AD4942">
        <v>-1.0991959999999901</v>
      </c>
      <c r="AE4942">
        <v>-7.2814509999999997</v>
      </c>
      <c r="AF4942">
        <v>3.9614172755309198</v>
      </c>
      <c r="AG4942">
        <v>-1.0991959999999901</v>
      </c>
      <c r="AH4942">
        <v>6.6342940812653604</v>
      </c>
      <c r="AI4942">
        <v>98.096217904159801</v>
      </c>
      <c r="AJ4942">
        <v>59.1580635227835</v>
      </c>
      <c r="AK4942">
        <v>7.8048008708744998</v>
      </c>
      <c r="AL4942">
        <v>67.720314122741001</v>
      </c>
      <c r="AM4942">
        <v>67.751157124534402</v>
      </c>
      <c r="AN4942">
        <v>0.99999998910948396</v>
      </c>
    </row>
    <row r="4943" spans="1:40" x14ac:dyDescent="0.25">
      <c r="A4943" t="str">
        <f>"20190304164744052"</f>
        <v>20190304164744052</v>
      </c>
      <c r="B4943" t="str">
        <f>"1551689264044085"</f>
        <v>1551689264044085</v>
      </c>
      <c r="C4943" t="s">
        <v>40</v>
      </c>
      <c r="D4943">
        <v>5.1791269999999896</v>
      </c>
      <c r="E4943">
        <v>0.58934019999999898</v>
      </c>
      <c r="F4943" t="s">
        <v>43</v>
      </c>
      <c r="G4943">
        <v>-304.46519999999998</v>
      </c>
      <c r="H4943">
        <v>-0.05</v>
      </c>
      <c r="I4943">
        <v>5.1053009999999999</v>
      </c>
      <c r="J4943">
        <v>-307.28480000000002</v>
      </c>
      <c r="K4943">
        <v>1.049058</v>
      </c>
      <c r="L4943">
        <v>12.197050000000001</v>
      </c>
      <c r="M4943">
        <v>0.79009569999999996</v>
      </c>
      <c r="N4943">
        <v>-1.673229E-2</v>
      </c>
      <c r="O4943">
        <v>-0.61275489999999999</v>
      </c>
      <c r="P4943">
        <v>0.47518300000000002</v>
      </c>
      <c r="Q4943">
        <v>0.37334790000000001</v>
      </c>
      <c r="R4943">
        <v>-0.7967514</v>
      </c>
      <c r="S4943">
        <v>1.329407</v>
      </c>
      <c r="T4943">
        <v>-0.48760350000000002</v>
      </c>
      <c r="U4943">
        <v>-3.215881</v>
      </c>
      <c r="V4943">
        <v>0.34983209999999998</v>
      </c>
      <c r="W4943">
        <v>0.37745430000000002</v>
      </c>
      <c r="X4943">
        <v>0.85740640000000001</v>
      </c>
      <c r="Y4943">
        <v>0.49514269999999999</v>
      </c>
      <c r="Z4943">
        <v>4.2460079999999997E-2</v>
      </c>
      <c r="AA4943">
        <v>0.86777349999999998</v>
      </c>
      <c r="AB4943">
        <v>24</v>
      </c>
      <c r="AC4943">
        <v>2.8196000000000301</v>
      </c>
      <c r="AD4943">
        <v>-1.0990580000000001</v>
      </c>
      <c r="AE4943">
        <v>-7.0917490000000001</v>
      </c>
      <c r="AF4943">
        <v>3.7972273826232801</v>
      </c>
      <c r="AG4943">
        <v>-1.0990580000000001</v>
      </c>
      <c r="AH4943">
        <v>6.4406043890915896</v>
      </c>
      <c r="AI4943">
        <v>98.362513586533694</v>
      </c>
      <c r="AJ4943">
        <v>59.4774083516293</v>
      </c>
      <c r="AK4943">
        <v>7.5570000118760099</v>
      </c>
      <c r="AL4943">
        <v>67.823914766446094</v>
      </c>
      <c r="AM4943">
        <v>67.803951047784395</v>
      </c>
      <c r="AN4943">
        <v>0.99999999076992996</v>
      </c>
    </row>
    <row r="4944" spans="1:40" x14ac:dyDescent="0.25">
      <c r="A4944" t="str">
        <f>"20190304164744074"</f>
        <v>20190304164744074</v>
      </c>
      <c r="B4944" t="str">
        <f>"1551689264064581"</f>
        <v>1551689264064581</v>
      </c>
      <c r="C4944" t="s">
        <v>40</v>
      </c>
      <c r="D4944">
        <v>5.1734210000000003</v>
      </c>
      <c r="E4944">
        <v>0.58821519999999905</v>
      </c>
      <c r="F4944" t="s">
        <v>43</v>
      </c>
      <c r="G4944">
        <v>-304.4871</v>
      </c>
      <c r="H4944">
        <v>-0.05</v>
      </c>
      <c r="I4944">
        <v>5.166595</v>
      </c>
      <c r="J4944">
        <v>-307.10890000000001</v>
      </c>
      <c r="K4944">
        <v>1.048918</v>
      </c>
      <c r="L4944">
        <v>12.03403</v>
      </c>
      <c r="M4944">
        <v>0.77822639999999998</v>
      </c>
      <c r="N4944">
        <v>-1.6825440000000001E-2</v>
      </c>
      <c r="O4944">
        <v>-0.62775829999999999</v>
      </c>
      <c r="P4944">
        <v>0.46153499999999997</v>
      </c>
      <c r="Q4944">
        <v>0.37284270000000003</v>
      </c>
      <c r="R4944">
        <v>-0.80496809999999996</v>
      </c>
      <c r="S4944">
        <v>1.2871699999999999</v>
      </c>
      <c r="T4944">
        <v>-0.50565230000000005</v>
      </c>
      <c r="U4944">
        <v>-3.2345579999999998</v>
      </c>
      <c r="V4944">
        <v>0.34831879999999998</v>
      </c>
      <c r="W4944">
        <v>0.37697999999999998</v>
      </c>
      <c r="X4944">
        <v>0.85823079999999996</v>
      </c>
      <c r="Y4944">
        <v>0.4901083</v>
      </c>
      <c r="Z4944">
        <v>4.7216359999999999E-2</v>
      </c>
      <c r="AA4944">
        <v>0.87038179999999998</v>
      </c>
      <c r="AB4944">
        <v>24</v>
      </c>
      <c r="AC4944">
        <v>2.6217999999999999</v>
      </c>
      <c r="AD4944">
        <v>-1.0989180000000001</v>
      </c>
      <c r="AE4944">
        <v>-6.8674350000000004</v>
      </c>
      <c r="AF4944">
        <v>3.61822386977077</v>
      </c>
      <c r="AG4944">
        <v>-1.0989180000000001</v>
      </c>
      <c r="AH4944">
        <v>6.21347988668653</v>
      </c>
      <c r="AI4944">
        <v>98.689596078868803</v>
      </c>
      <c r="AJ4944">
        <v>59.7869681699094</v>
      </c>
      <c r="AK4944">
        <v>7.2736852450983198</v>
      </c>
      <c r="AL4944">
        <v>67.853258248462694</v>
      </c>
      <c r="AM4944">
        <v>67.909891951642294</v>
      </c>
      <c r="AN4944">
        <v>1.0000000064510399</v>
      </c>
    </row>
    <row r="4945" spans="1:40" x14ac:dyDescent="0.25">
      <c r="A4945" t="str">
        <f>"20190304164744097"</f>
        <v>20190304164744097</v>
      </c>
      <c r="B4945" t="str">
        <f>"1551689264094368"</f>
        <v>1551689264094368</v>
      </c>
      <c r="C4945" t="s">
        <v>40</v>
      </c>
      <c r="D4945">
        <v>5.176946</v>
      </c>
      <c r="E4945">
        <v>0.58680730000000003</v>
      </c>
      <c r="F4945" t="s">
        <v>43</v>
      </c>
      <c r="G4945">
        <v>-304.47660000000002</v>
      </c>
      <c r="H4945">
        <v>-0.05</v>
      </c>
      <c r="I4945">
        <v>5.1287989999999999</v>
      </c>
      <c r="J4945">
        <v>-306.93239999999997</v>
      </c>
      <c r="K4945">
        <v>1.048783</v>
      </c>
      <c r="L4945">
        <v>11.863009999999999</v>
      </c>
      <c r="M4945">
        <v>0.76557109999999995</v>
      </c>
      <c r="N4945">
        <v>-1.6920549999999999E-2</v>
      </c>
      <c r="O4945">
        <v>-0.64312910000000001</v>
      </c>
      <c r="P4945">
        <v>0.44713160000000002</v>
      </c>
      <c r="Q4945">
        <v>0.37131540000000002</v>
      </c>
      <c r="R4945">
        <v>-0.81375580000000003</v>
      </c>
      <c r="S4945">
        <v>1.2409669999999999</v>
      </c>
      <c r="T4945">
        <v>-0.5180553</v>
      </c>
      <c r="U4945">
        <v>-3.25528</v>
      </c>
      <c r="V4945">
        <v>0.34710010000000002</v>
      </c>
      <c r="W4945">
        <v>0.37548799999999999</v>
      </c>
      <c r="X4945">
        <v>0.85937779999999997</v>
      </c>
      <c r="Y4945">
        <v>0.48548619999999998</v>
      </c>
      <c r="Z4945">
        <v>5.147827E-2</v>
      </c>
      <c r="AA4945">
        <v>0.87272739999999904</v>
      </c>
      <c r="AB4945">
        <v>23</v>
      </c>
      <c r="AC4945">
        <v>2.4557999999999498</v>
      </c>
      <c r="AD4945">
        <v>-1.0987830000000001</v>
      </c>
      <c r="AE4945">
        <v>-6.7342110000000002</v>
      </c>
      <c r="AF4945">
        <v>3.4945189973464199</v>
      </c>
      <c r="AG4945">
        <v>-1.0987830000000001</v>
      </c>
      <c r="AH4945">
        <v>6.0693292818370796</v>
      </c>
      <c r="AI4945">
        <v>98.9165349416797</v>
      </c>
      <c r="AJ4945">
        <v>60.068086278759601</v>
      </c>
      <c r="AK4945">
        <v>7.0891286513413601</v>
      </c>
      <c r="AL4945">
        <v>67.945521656862596</v>
      </c>
      <c r="AM4945">
        <v>68.006366239483995</v>
      </c>
      <c r="AN4945">
        <v>0.99999996034842398</v>
      </c>
    </row>
    <row r="4946" spans="1:40" x14ac:dyDescent="0.25">
      <c r="A4946" t="str">
        <f>"20190304164744120"</f>
        <v>20190304164744120</v>
      </c>
      <c r="B4946" t="str">
        <f>"1551689264113889"</f>
        <v>1551689264113889</v>
      </c>
      <c r="C4946" t="s">
        <v>40</v>
      </c>
      <c r="D4946">
        <v>5.1907769999999998</v>
      </c>
      <c r="E4946">
        <v>0.58618749999999997</v>
      </c>
      <c r="F4946" t="s">
        <v>43</v>
      </c>
      <c r="G4946">
        <v>-304.4905</v>
      </c>
      <c r="H4946">
        <v>-0.05</v>
      </c>
      <c r="I4946">
        <v>5.1429749999999999</v>
      </c>
      <c r="J4946">
        <v>-306.7543</v>
      </c>
      <c r="K4946">
        <v>1.048675</v>
      </c>
      <c r="L4946">
        <v>11.68295</v>
      </c>
      <c r="M4946">
        <v>0.75204530000000003</v>
      </c>
      <c r="N4946">
        <v>-1.7014410000000001E-2</v>
      </c>
      <c r="O4946">
        <v>-0.65889200000000003</v>
      </c>
      <c r="P4946">
        <v>0.43044480000000002</v>
      </c>
      <c r="Q4946">
        <v>0.37108809999999998</v>
      </c>
      <c r="R4946">
        <v>-0.82280710000000001</v>
      </c>
      <c r="S4946">
        <v>1.1907350000000001</v>
      </c>
      <c r="T4946">
        <v>-0.53578959999999998</v>
      </c>
      <c r="U4946">
        <v>-3.2768250000000001</v>
      </c>
      <c r="V4946">
        <v>0.3469428</v>
      </c>
      <c r="W4946">
        <v>0.37526039999999999</v>
      </c>
      <c r="X4946">
        <v>0.85954079999999999</v>
      </c>
      <c r="Y4946">
        <v>0.48109600000000002</v>
      </c>
      <c r="Z4946">
        <v>5.6627490000000003E-2</v>
      </c>
      <c r="AA4946">
        <v>0.87483709999999903</v>
      </c>
      <c r="AB4946">
        <v>23</v>
      </c>
      <c r="AC4946">
        <v>2.2637999999999998</v>
      </c>
      <c r="AD4946">
        <v>-1.0986750000000001</v>
      </c>
      <c r="AE4946">
        <v>-6.5399750000000001</v>
      </c>
      <c r="AF4946">
        <v>3.3430023126150399</v>
      </c>
      <c r="AG4946">
        <v>-1.0986750000000001</v>
      </c>
      <c r="AH4946">
        <v>5.8646838173437796</v>
      </c>
      <c r="AI4946">
        <v>99.244005737871902</v>
      </c>
      <c r="AJ4946">
        <v>60.315882523000099</v>
      </c>
      <c r="AK4946">
        <v>6.8393908716484804</v>
      </c>
      <c r="AL4946">
        <v>67.9595926513975</v>
      </c>
      <c r="AM4946">
        <v>68.019155165942806</v>
      </c>
      <c r="AN4946">
        <v>1.00000003057231</v>
      </c>
    </row>
    <row r="4947" spans="1:40" x14ac:dyDescent="0.25">
      <c r="A4947" t="str">
        <f>"20190304164744141"</f>
        <v>20190304164744141</v>
      </c>
      <c r="B4947" t="str">
        <f>"1551689264134389"</f>
        <v>1551689264134389</v>
      </c>
      <c r="C4947" t="s">
        <v>40</v>
      </c>
      <c r="D4947">
        <v>5.2278219999999997</v>
      </c>
      <c r="E4947">
        <v>0.58559439999999996</v>
      </c>
      <c r="F4947" t="s">
        <v>43</v>
      </c>
      <c r="G4947">
        <v>-304.46730000000002</v>
      </c>
      <c r="H4947">
        <v>-0.05</v>
      </c>
      <c r="I4947">
        <v>4.9693759999999996</v>
      </c>
      <c r="J4947">
        <v>-306.59809999999999</v>
      </c>
      <c r="K4947">
        <v>1.048605</v>
      </c>
      <c r="L4947">
        <v>11.518549999999999</v>
      </c>
      <c r="M4947">
        <v>0.73952949999999995</v>
      </c>
      <c r="N4947">
        <v>-1.709194E-2</v>
      </c>
      <c r="O4947">
        <v>-0.67290719999999904</v>
      </c>
      <c r="P4947">
        <v>0.41437600000000002</v>
      </c>
      <c r="Q4947">
        <v>0.37193110000000001</v>
      </c>
      <c r="R4947">
        <v>-0.83063829999999905</v>
      </c>
      <c r="S4947">
        <v>1.124603</v>
      </c>
      <c r="T4947">
        <v>-0.54027760000000002</v>
      </c>
      <c r="U4947">
        <v>-3.3014220000000001</v>
      </c>
      <c r="V4947">
        <v>0.34731899999999999</v>
      </c>
      <c r="W4947">
        <v>0.37608419999999998</v>
      </c>
      <c r="X4947">
        <v>0.85902869999999998</v>
      </c>
      <c r="Y4947">
        <v>0.48237940000000001</v>
      </c>
      <c r="Z4947">
        <v>5.947997E-2</v>
      </c>
      <c r="AA4947">
        <v>0.87394059999999996</v>
      </c>
      <c r="AB4947">
        <v>23</v>
      </c>
      <c r="AC4947">
        <v>2.1307999999999598</v>
      </c>
      <c r="AD4947">
        <v>-1.0986049999999901</v>
      </c>
      <c r="AE4947">
        <v>-6.5491739999999901</v>
      </c>
      <c r="AF4947">
        <v>3.3253590531847101</v>
      </c>
      <c r="AG4947">
        <v>-1.0986049999999901</v>
      </c>
      <c r="AH4947">
        <v>5.8351704211053201</v>
      </c>
      <c r="AI4947">
        <v>99.289917568510305</v>
      </c>
      <c r="AJ4947">
        <v>60.321959598922597</v>
      </c>
      <c r="AK4947">
        <v>6.8054507287882799</v>
      </c>
      <c r="AL4947">
        <v>67.908662528381697</v>
      </c>
      <c r="AM4947">
        <v>67.985731221947404</v>
      </c>
      <c r="AN4947">
        <v>1.0000000603371599</v>
      </c>
    </row>
    <row r="4948" spans="1:40" x14ac:dyDescent="0.25">
      <c r="A4948" t="str">
        <f>"20190304164744164"</f>
        <v>20190304164744164</v>
      </c>
      <c r="B4948" t="str">
        <f>"1551689264153906"</f>
        <v>1551689264153906</v>
      </c>
      <c r="C4948" t="s">
        <v>40</v>
      </c>
      <c r="D4948">
        <v>5.1993850000000004</v>
      </c>
      <c r="E4948">
        <v>0.58506099999999905</v>
      </c>
      <c r="F4948" t="s">
        <v>43</v>
      </c>
      <c r="G4948">
        <v>-304.43619999999999</v>
      </c>
      <c r="H4948">
        <v>-0.05</v>
      </c>
      <c r="I4948">
        <v>4.7792659999999998</v>
      </c>
      <c r="J4948">
        <v>-306.43090000000001</v>
      </c>
      <c r="K4948">
        <v>1.0485469999999999</v>
      </c>
      <c r="L4948">
        <v>11.33521</v>
      </c>
      <c r="M4948">
        <v>0.72540300000000002</v>
      </c>
      <c r="N4948">
        <v>-1.7169029999999998E-2</v>
      </c>
      <c r="O4948">
        <v>-0.68811020000000001</v>
      </c>
      <c r="P4948">
        <v>0.39533089999999999</v>
      </c>
      <c r="Q4948">
        <v>0.37441609999999997</v>
      </c>
      <c r="R4948">
        <v>-0.83876469999999903</v>
      </c>
      <c r="S4948">
        <v>1.0658259999999999</v>
      </c>
      <c r="T4948">
        <v>-0.54161969999999904</v>
      </c>
      <c r="U4948">
        <v>-3.3225099999999999</v>
      </c>
      <c r="V4948">
        <v>0.34843220000000003</v>
      </c>
      <c r="W4948">
        <v>0.37851610000000002</v>
      </c>
      <c r="X4948">
        <v>0.85750839999999995</v>
      </c>
      <c r="Y4948">
        <v>0.47993150000000001</v>
      </c>
      <c r="Z4948">
        <v>6.2440040000000002E-2</v>
      </c>
      <c r="AA4948">
        <v>0.8750812</v>
      </c>
      <c r="AB4948">
        <v>23</v>
      </c>
      <c r="AC4948">
        <v>1.9947000000000199</v>
      </c>
      <c r="AD4948">
        <v>-1.0985469999999999</v>
      </c>
      <c r="AE4948">
        <v>-6.5559439999999896</v>
      </c>
      <c r="AF4948">
        <v>3.2988497233685199</v>
      </c>
      <c r="AG4948">
        <v>-1.0985469999999999</v>
      </c>
      <c r="AH4948">
        <v>5.8097471259939102</v>
      </c>
      <c r="AI4948">
        <v>99.337526583794201</v>
      </c>
      <c r="AJ4948">
        <v>60.4115280634445</v>
      </c>
      <c r="AK4948">
        <v>6.7706998660826798</v>
      </c>
      <c r="AL4948">
        <v>67.758204352470898</v>
      </c>
      <c r="AM4948">
        <v>67.886570866961904</v>
      </c>
      <c r="AN4948">
        <v>1.0000000460133001</v>
      </c>
    </row>
    <row r="4949" spans="1:40" x14ac:dyDescent="0.25">
      <c r="A4949" t="str">
        <f>"20190304164744187"</f>
        <v>20190304164744187</v>
      </c>
      <c r="B4949" t="str">
        <f>"1551689264184161"</f>
        <v>1551689264184161</v>
      </c>
      <c r="C4949" t="s">
        <v>40</v>
      </c>
      <c r="D4949">
        <v>5.1998259999999998</v>
      </c>
      <c r="E4949">
        <v>0.5842735</v>
      </c>
      <c r="F4949" t="s">
        <v>43</v>
      </c>
      <c r="G4949">
        <v>-304.38619999999997</v>
      </c>
      <c r="H4949">
        <v>-0.05</v>
      </c>
      <c r="I4949">
        <v>4.4874269999999896</v>
      </c>
      <c r="J4949">
        <v>-306.27370000000002</v>
      </c>
      <c r="K4949">
        <v>1.048497</v>
      </c>
      <c r="L4949">
        <v>11.15521</v>
      </c>
      <c r="M4949">
        <v>0.71136949999999999</v>
      </c>
      <c r="N4949">
        <v>-1.7237599999999999E-2</v>
      </c>
      <c r="O4949">
        <v>-0.70260699999999998</v>
      </c>
      <c r="P4949">
        <v>0.37606620000000002</v>
      </c>
      <c r="Q4949">
        <v>0.37865359999999998</v>
      </c>
      <c r="R4949">
        <v>-0.84569280000000002</v>
      </c>
      <c r="S4949">
        <v>0.99893189999999998</v>
      </c>
      <c r="T4949">
        <v>-0.53668549999999904</v>
      </c>
      <c r="U4949">
        <v>-3.3454280000000001</v>
      </c>
      <c r="V4949">
        <v>0.34958309999999998</v>
      </c>
      <c r="W4949">
        <v>0.38269049999999999</v>
      </c>
      <c r="X4949">
        <v>0.85518400000000006</v>
      </c>
      <c r="Y4949">
        <v>0.48001899999999997</v>
      </c>
      <c r="Z4949">
        <v>6.4195790000000003E-2</v>
      </c>
      <c r="AA4949">
        <v>0.87490610000000002</v>
      </c>
      <c r="AB4949">
        <v>23</v>
      </c>
      <c r="AC4949">
        <v>1.8875000000000399</v>
      </c>
      <c r="AD4949">
        <v>-1.0984969999999901</v>
      </c>
      <c r="AE4949">
        <v>-6.667783</v>
      </c>
      <c r="AF4949">
        <v>3.3338218022130199</v>
      </c>
      <c r="AG4949">
        <v>-1.0984969999999901</v>
      </c>
      <c r="AH4949">
        <v>5.8806664554997496</v>
      </c>
      <c r="AI4949">
        <v>99.229960150082803</v>
      </c>
      <c r="AJ4949">
        <v>60.450568429200899</v>
      </c>
      <c r="AK4949">
        <v>6.8485985010628196</v>
      </c>
      <c r="AL4949">
        <v>67.499562121850502</v>
      </c>
      <c r="AM4949">
        <v>67.766181435538996</v>
      </c>
      <c r="AN4949">
        <v>1.0000000182259201</v>
      </c>
    </row>
    <row r="4950" spans="1:40" x14ac:dyDescent="0.25">
      <c r="A4950" t="str">
        <f>"20190304164744210"</f>
        <v>20190304164744210</v>
      </c>
      <c r="B4950" t="str">
        <f>"1551689264204657"</f>
        <v>1551689264204657</v>
      </c>
      <c r="C4950" t="s">
        <v>40</v>
      </c>
      <c r="D4950">
        <v>5.2131400000000001</v>
      </c>
      <c r="E4950">
        <v>0.5840109</v>
      </c>
      <c r="F4950" t="s">
        <v>43</v>
      </c>
      <c r="G4950">
        <v>-304.31889999999999</v>
      </c>
      <c r="H4950">
        <v>-0.05</v>
      </c>
      <c r="I4950">
        <v>4.1500849999999998</v>
      </c>
      <c r="J4950">
        <v>-306.11450000000002</v>
      </c>
      <c r="K4950">
        <v>1.0484469999999999</v>
      </c>
      <c r="L4950">
        <v>10.965</v>
      </c>
      <c r="M4950">
        <v>0.69636129999999996</v>
      </c>
      <c r="N4950">
        <v>-1.7304989999999999E-2</v>
      </c>
      <c r="O4950">
        <v>-0.71748299999999998</v>
      </c>
      <c r="P4950">
        <v>0.35660320000000001</v>
      </c>
      <c r="Q4950">
        <v>0.38092939999999997</v>
      </c>
      <c r="R4950">
        <v>-0.85306949999999904</v>
      </c>
      <c r="S4950">
        <v>0.93933109999999997</v>
      </c>
      <c r="T4950">
        <v>-0.52783809999999998</v>
      </c>
      <c r="U4950">
        <v>-3.366028</v>
      </c>
      <c r="V4950">
        <v>0.350522099999999</v>
      </c>
      <c r="W4950">
        <v>0.3849265</v>
      </c>
      <c r="X4950">
        <v>0.85379499999999997</v>
      </c>
      <c r="Y4950">
        <v>0.47733779999999998</v>
      </c>
      <c r="Z4950">
        <v>6.5569829999999996E-2</v>
      </c>
      <c r="AA4950">
        <v>0.87627009999999905</v>
      </c>
      <c r="AB4950">
        <v>23</v>
      </c>
      <c r="AC4950">
        <v>1.7956000000000301</v>
      </c>
      <c r="AD4950">
        <v>-1.098447</v>
      </c>
      <c r="AE4950">
        <v>-6.8149149999999903</v>
      </c>
      <c r="AF4950">
        <v>3.3758371949153601</v>
      </c>
      <c r="AG4950">
        <v>-1.098447</v>
      </c>
      <c r="AH4950">
        <v>5.9952455575164203</v>
      </c>
      <c r="AI4950">
        <v>99.070712940660698</v>
      </c>
      <c r="AJ4950">
        <v>60.616759488032997</v>
      </c>
      <c r="AK4950">
        <v>6.96748389831677</v>
      </c>
      <c r="AL4950">
        <v>67.360823287742605</v>
      </c>
      <c r="AM4950">
        <v>67.679595719437302</v>
      </c>
      <c r="AN4950">
        <v>1.00000002750782</v>
      </c>
    </row>
    <row r="4951" spans="1:40" x14ac:dyDescent="0.25">
      <c r="A4951" t="str">
        <f>"20190304164744231"</f>
        <v>20190304164744231</v>
      </c>
      <c r="B4951" t="str">
        <f>"1551689264224177"</f>
        <v>1551689264224177</v>
      </c>
      <c r="C4951" t="s">
        <v>40</v>
      </c>
      <c r="D4951">
        <v>5.1969149999999997</v>
      </c>
      <c r="E4951">
        <v>0.58382040000000002</v>
      </c>
      <c r="F4951" t="s">
        <v>43</v>
      </c>
      <c r="G4951">
        <v>-304.27569999999997</v>
      </c>
      <c r="H4951">
        <v>-0.05</v>
      </c>
      <c r="I4951">
        <v>3.8355410000000001</v>
      </c>
      <c r="J4951">
        <v>-305.97030000000001</v>
      </c>
      <c r="K4951">
        <v>1.0484</v>
      </c>
      <c r="L4951">
        <v>10.78506</v>
      </c>
      <c r="M4951">
        <v>0.68201299999999998</v>
      </c>
      <c r="N4951">
        <v>-1.7364810000000001E-2</v>
      </c>
      <c r="O4951">
        <v>-0.73113409999999901</v>
      </c>
      <c r="P4951">
        <v>0.34017950000000002</v>
      </c>
      <c r="Q4951">
        <v>0.38139580000000001</v>
      </c>
      <c r="R4951">
        <v>-0.85954359999999996</v>
      </c>
      <c r="S4951">
        <v>0.87295529999999999</v>
      </c>
      <c r="T4951">
        <v>-0.52147749999999904</v>
      </c>
      <c r="U4951">
        <v>-3.3846440000000002</v>
      </c>
      <c r="V4951">
        <v>0.34989870000000001</v>
      </c>
      <c r="W4951">
        <v>0.38542589999999999</v>
      </c>
      <c r="X4951">
        <v>0.85382539999999996</v>
      </c>
      <c r="Y4951">
        <v>0.47727330000000001</v>
      </c>
      <c r="Z4951">
        <v>6.6921129999999995E-2</v>
      </c>
      <c r="AA4951">
        <v>0.87620299999999995</v>
      </c>
      <c r="AB4951">
        <v>23</v>
      </c>
      <c r="AC4951">
        <v>1.6946000000000301</v>
      </c>
      <c r="AD4951">
        <v>-1.0984</v>
      </c>
      <c r="AE4951">
        <v>-6.9495189999999996</v>
      </c>
      <c r="AF4951">
        <v>3.42055617745739</v>
      </c>
      <c r="AG4951">
        <v>-1.0984</v>
      </c>
      <c r="AH4951">
        <v>6.0940176317203099</v>
      </c>
      <c r="AI4951">
        <v>98.932416305646697</v>
      </c>
      <c r="AJ4951">
        <v>60.694616320202002</v>
      </c>
      <c r="AK4951">
        <v>7.0741598807816004</v>
      </c>
      <c r="AL4951">
        <v>67.329817261236599</v>
      </c>
      <c r="AM4951">
        <v>67.716121219462906</v>
      </c>
      <c r="AN4951">
        <v>1.0000000191688201</v>
      </c>
    </row>
    <row r="4952" spans="1:40" x14ac:dyDescent="0.25">
      <c r="A4952" t="str">
        <f>"20190304164744253"</f>
        <v>20190304164744253</v>
      </c>
      <c r="B4952" t="str">
        <f>"1551689264243697"</f>
        <v>1551689264243697</v>
      </c>
      <c r="C4952" t="s">
        <v>40</v>
      </c>
      <c r="D4952">
        <v>5.1936239999999998</v>
      </c>
      <c r="E4952">
        <v>0.58342640000000001</v>
      </c>
      <c r="F4952" t="s">
        <v>43</v>
      </c>
      <c r="G4952">
        <v>-304.25650000000002</v>
      </c>
      <c r="H4952">
        <v>-0.05</v>
      </c>
      <c r="I4952">
        <v>3.6215060000000001</v>
      </c>
      <c r="J4952">
        <v>-305.82819999999998</v>
      </c>
      <c r="K4952">
        <v>1.048359</v>
      </c>
      <c r="L4952">
        <v>10.600070000000001</v>
      </c>
      <c r="M4952">
        <v>0.66710689999999995</v>
      </c>
      <c r="N4952">
        <v>-1.7422859999999998E-2</v>
      </c>
      <c r="O4952">
        <v>-0.74475819999999904</v>
      </c>
      <c r="P4952">
        <v>0.32486900000000002</v>
      </c>
      <c r="Q4952">
        <v>0.38135259999999999</v>
      </c>
      <c r="R4952">
        <v>-0.8654655</v>
      </c>
      <c r="S4952">
        <v>0.81332399999999905</v>
      </c>
      <c r="T4952">
        <v>-0.52127000000000001</v>
      </c>
      <c r="U4952">
        <v>-3.3996279999999999</v>
      </c>
      <c r="V4952">
        <v>0.34784880000000001</v>
      </c>
      <c r="W4952">
        <v>0.3854747</v>
      </c>
      <c r="X4952">
        <v>0.85464050000000003</v>
      </c>
      <c r="Y4952">
        <v>0.47500429999999999</v>
      </c>
      <c r="Z4952">
        <v>6.938047E-2</v>
      </c>
      <c r="AA4952">
        <v>0.87724409999999897</v>
      </c>
      <c r="AB4952">
        <v>23</v>
      </c>
      <c r="AC4952">
        <v>1.5716999999999599</v>
      </c>
      <c r="AD4952">
        <v>-1.0983590000000001</v>
      </c>
      <c r="AE4952">
        <v>-6.9785639999999898</v>
      </c>
      <c r="AF4952">
        <v>3.4051611623365998</v>
      </c>
      <c r="AG4952">
        <v>-1.0983590000000001</v>
      </c>
      <c r="AH4952">
        <v>6.1029016795416897</v>
      </c>
      <c r="AI4952">
        <v>98.931793524725904</v>
      </c>
      <c r="AJ4952">
        <v>60.840329701194797</v>
      </c>
      <c r="AK4952">
        <v>7.07438505769366</v>
      </c>
      <c r="AL4952">
        <v>67.326785619747497</v>
      </c>
      <c r="AM4952">
        <v>67.853095011796896</v>
      </c>
      <c r="AN4952">
        <v>0.99999995812088904</v>
      </c>
    </row>
    <row r="4953" spans="1:40" x14ac:dyDescent="0.25">
      <c r="A4953" t="str">
        <f>"20190304164744275"</f>
        <v>20190304164744275</v>
      </c>
      <c r="B4953" t="str">
        <f>"1551689264264193"</f>
        <v>1551689264264193</v>
      </c>
      <c r="C4953" t="s">
        <v>40</v>
      </c>
      <c r="D4953">
        <v>5.2118029999999997</v>
      </c>
      <c r="E4953">
        <v>0.58298890000000003</v>
      </c>
      <c r="F4953" t="s">
        <v>43</v>
      </c>
      <c r="G4953">
        <v>-304.24520000000001</v>
      </c>
      <c r="H4953">
        <v>-0.05</v>
      </c>
      <c r="I4953">
        <v>3.412979</v>
      </c>
      <c r="J4953">
        <v>-305.68630000000002</v>
      </c>
      <c r="K4953">
        <v>1.048308</v>
      </c>
      <c r="L4953">
        <v>10.406829999999999</v>
      </c>
      <c r="M4953">
        <v>0.65138969999999996</v>
      </c>
      <c r="N4953">
        <v>-1.747949E-2</v>
      </c>
      <c r="O4953">
        <v>-0.758542099999999</v>
      </c>
      <c r="P4953">
        <v>0.30921779999999999</v>
      </c>
      <c r="Q4953">
        <v>0.38110569999999999</v>
      </c>
      <c r="R4953">
        <v>-0.87128839999999996</v>
      </c>
      <c r="S4953">
        <v>0.7519226</v>
      </c>
      <c r="T4953">
        <v>-0.52173610000000004</v>
      </c>
      <c r="U4953">
        <v>-3.4139710000000001</v>
      </c>
      <c r="V4953">
        <v>0.3454682</v>
      </c>
      <c r="W4953">
        <v>0.38533519999999999</v>
      </c>
      <c r="X4953">
        <v>0.8556684</v>
      </c>
      <c r="Y4953">
        <v>0.47249459999999999</v>
      </c>
      <c r="Z4953">
        <v>7.2010050000000006E-2</v>
      </c>
      <c r="AA4953">
        <v>0.87838680000000002</v>
      </c>
      <c r="AB4953">
        <v>23</v>
      </c>
      <c r="AC4953">
        <v>1.4411</v>
      </c>
      <c r="AD4953">
        <v>-1.0983080000000001</v>
      </c>
      <c r="AE4953">
        <v>-6.9938510000000003</v>
      </c>
      <c r="AF4953">
        <v>3.3830831098440499</v>
      </c>
      <c r="AG4953">
        <v>-1.0983080000000001</v>
      </c>
      <c r="AH4953">
        <v>6.1004832988649698</v>
      </c>
      <c r="AI4953">
        <v>98.947566731669397</v>
      </c>
      <c r="AJ4953">
        <v>60.989008881766502</v>
      </c>
      <c r="AK4953">
        <v>7.06168735294239</v>
      </c>
      <c r="AL4953">
        <v>67.335447393188105</v>
      </c>
      <c r="AM4953">
        <v>68.014062727061599</v>
      </c>
      <c r="AN4953">
        <v>0.99999995216441895</v>
      </c>
    </row>
    <row r="4954" spans="1:40" x14ac:dyDescent="0.25">
      <c r="A4954" t="str">
        <f>"20190304164744298"</f>
        <v>20190304164744298</v>
      </c>
      <c r="B4954" t="str">
        <f>"1551689264294449"</f>
        <v>1551689264294449</v>
      </c>
      <c r="C4954" t="s">
        <v>40</v>
      </c>
      <c r="D4954">
        <v>5.2362039999999999</v>
      </c>
      <c r="E4954">
        <v>0.58254269999999997</v>
      </c>
      <c r="F4954" t="s">
        <v>43</v>
      </c>
      <c r="G4954">
        <v>-304.24009999999998</v>
      </c>
      <c r="H4954">
        <v>-0.05</v>
      </c>
      <c r="I4954">
        <v>3.2079469999999999</v>
      </c>
      <c r="J4954">
        <v>-305.54880000000003</v>
      </c>
      <c r="K4954">
        <v>1.0482819999999999</v>
      </c>
      <c r="L4954">
        <v>10.21036</v>
      </c>
      <c r="M4954">
        <v>0.63527199999999995</v>
      </c>
      <c r="N4954">
        <v>-1.7531709999999999E-2</v>
      </c>
      <c r="O4954">
        <v>-0.77208969999999999</v>
      </c>
      <c r="P4954">
        <v>0.2929409</v>
      </c>
      <c r="Q4954">
        <v>0.38250390000000001</v>
      </c>
      <c r="R4954">
        <v>-0.87628569999999995</v>
      </c>
      <c r="S4954">
        <v>0.68856809999999902</v>
      </c>
      <c r="T4954">
        <v>-0.52293000000000001</v>
      </c>
      <c r="U4954">
        <v>-3.4275509999999998</v>
      </c>
      <c r="V4954">
        <v>0.34305659999999999</v>
      </c>
      <c r="W4954">
        <v>0.38683469999999998</v>
      </c>
      <c r="X4954">
        <v>0.85596209999999995</v>
      </c>
      <c r="Y4954">
        <v>0.47027600000000003</v>
      </c>
      <c r="Z4954">
        <v>7.473014E-2</v>
      </c>
      <c r="AA4954">
        <v>0.87934969999999901</v>
      </c>
      <c r="AB4954">
        <v>23</v>
      </c>
      <c r="AC4954">
        <v>1.3087000000000399</v>
      </c>
      <c r="AD4954">
        <v>-1.098282</v>
      </c>
      <c r="AE4954">
        <v>-7.0024129999999998</v>
      </c>
      <c r="AF4954">
        <v>3.3586960982121301</v>
      </c>
      <c r="AG4954">
        <v>-1.098282</v>
      </c>
      <c r="AH4954">
        <v>6.0939777128133397</v>
      </c>
      <c r="AI4954">
        <v>98.969486315487501</v>
      </c>
      <c r="AJ4954">
        <v>61.138641347093703</v>
      </c>
      <c r="AK4954">
        <v>7.0444039631423099</v>
      </c>
      <c r="AL4954">
        <v>67.242312386583393</v>
      </c>
      <c r="AM4954">
        <v>68.159837394086097</v>
      </c>
      <c r="AN4954">
        <v>1.00000001628202</v>
      </c>
    </row>
    <row r="4955" spans="1:40" x14ac:dyDescent="0.25">
      <c r="A4955" t="str">
        <f>"20190304164744320"</f>
        <v>20190304164744320</v>
      </c>
      <c r="B4955" t="str">
        <f>"1551689264313969"</f>
        <v>1551689264313969</v>
      </c>
      <c r="C4955" t="s">
        <v>40</v>
      </c>
      <c r="D4955">
        <v>4.9243899999999998</v>
      </c>
      <c r="E4955">
        <v>0.58216540000000006</v>
      </c>
      <c r="F4955" t="s">
        <v>43</v>
      </c>
      <c r="G4955">
        <v>-304.22399999999999</v>
      </c>
      <c r="H4955">
        <v>-0.05</v>
      </c>
      <c r="I4955">
        <v>2.912064</v>
      </c>
      <c r="J4955">
        <v>-305.41390000000001</v>
      </c>
      <c r="K4955">
        <v>1.0482880000000001</v>
      </c>
      <c r="L4955">
        <v>10.008509999999999</v>
      </c>
      <c r="M4955">
        <v>0.61857959999999901</v>
      </c>
      <c r="N4955">
        <v>-1.7578420000000001E-2</v>
      </c>
      <c r="O4955">
        <v>-0.78552540000000004</v>
      </c>
      <c r="P4955">
        <v>0.27750160000000001</v>
      </c>
      <c r="Q4955">
        <v>0.38506020000000002</v>
      </c>
      <c r="R4955">
        <v>-0.88018240000000003</v>
      </c>
      <c r="S4955">
        <v>0.62454219999999905</v>
      </c>
      <c r="T4955">
        <v>-0.51778270000000004</v>
      </c>
      <c r="U4955">
        <v>-3.4407649999999999</v>
      </c>
      <c r="V4955">
        <v>0.33913589999999999</v>
      </c>
      <c r="W4955">
        <v>0.3895478</v>
      </c>
      <c r="X4955">
        <v>0.856294</v>
      </c>
      <c r="Y4955">
        <v>0.46786040000000001</v>
      </c>
      <c r="Z4955">
        <v>7.6342240000000006E-2</v>
      </c>
      <c r="AA4955">
        <v>0.88049900000000003</v>
      </c>
      <c r="AB4955">
        <v>23</v>
      </c>
      <c r="AC4955">
        <v>1.1899000000000199</v>
      </c>
      <c r="AD4955">
        <v>-1.0982879999999999</v>
      </c>
      <c r="AE4955">
        <v>-7.0964460000000003</v>
      </c>
      <c r="AF4955">
        <v>3.3768813677385099</v>
      </c>
      <c r="AG4955">
        <v>-1.0982879999999999</v>
      </c>
      <c r="AH4955">
        <v>6.1677685724527702</v>
      </c>
      <c r="AI4955">
        <v>98.877366744376999</v>
      </c>
      <c r="AJ4955">
        <v>61.299094392781399</v>
      </c>
      <c r="AK4955">
        <v>7.1169469202783597</v>
      </c>
      <c r="AL4955">
        <v>67.073635620128201</v>
      </c>
      <c r="AM4955">
        <v>68.393919620246194</v>
      </c>
      <c r="AN4955">
        <v>1.00000003079482</v>
      </c>
    </row>
    <row r="4956" spans="1:40" x14ac:dyDescent="0.25">
      <c r="A4956" t="str">
        <f>"20190304164744342"</f>
        <v>20190304164744342</v>
      </c>
      <c r="B4956" t="str">
        <f>"1551689264334465"</f>
        <v>1551689264334465</v>
      </c>
      <c r="C4956" t="s">
        <v>40</v>
      </c>
      <c r="D4956">
        <v>4.9206629999999896</v>
      </c>
      <c r="E4956">
        <v>0.58177909999999999</v>
      </c>
      <c r="F4956" t="s">
        <v>43</v>
      </c>
      <c r="G4956">
        <v>-304.19099999999997</v>
      </c>
      <c r="H4956">
        <v>-0.05</v>
      </c>
      <c r="I4956">
        <v>2.5156559999999999</v>
      </c>
      <c r="J4956">
        <v>-305.28949999999998</v>
      </c>
      <c r="K4956">
        <v>1.048314</v>
      </c>
      <c r="L4956">
        <v>9.8136899999999994</v>
      </c>
      <c r="M4956">
        <v>0.60235689999999997</v>
      </c>
      <c r="N4956">
        <v>-1.761598E-2</v>
      </c>
      <c r="O4956">
        <v>-0.79803250000000003</v>
      </c>
      <c r="P4956">
        <v>0.26490419999999998</v>
      </c>
      <c r="Q4956">
        <v>0.38770700000000002</v>
      </c>
      <c r="R4956">
        <v>-0.88289810000000002</v>
      </c>
      <c r="S4956">
        <v>0.56341549999999996</v>
      </c>
      <c r="T4956">
        <v>-0.50600459999999903</v>
      </c>
      <c r="U4956">
        <v>-3.452118</v>
      </c>
      <c r="V4956">
        <v>0.33316780000000001</v>
      </c>
      <c r="W4956">
        <v>0.3924339</v>
      </c>
      <c r="X4956">
        <v>0.85731840000000004</v>
      </c>
      <c r="Y4956">
        <v>0.46545730000000002</v>
      </c>
      <c r="Z4956">
        <v>7.6563660000000006E-2</v>
      </c>
      <c r="AA4956">
        <v>0.8817526</v>
      </c>
      <c r="AB4956">
        <v>23</v>
      </c>
      <c r="AC4956">
        <v>1.0985</v>
      </c>
      <c r="AD4956">
        <v>-1.098314</v>
      </c>
      <c r="AE4956">
        <v>-7.2980339999999897</v>
      </c>
      <c r="AF4956">
        <v>3.4436623753605899</v>
      </c>
      <c r="AG4956">
        <v>-1.098314</v>
      </c>
      <c r="AH4956">
        <v>6.3462152955073998</v>
      </c>
      <c r="AI4956">
        <v>98.649184627219896</v>
      </c>
      <c r="AJ4956">
        <v>61.514305796312001</v>
      </c>
      <c r="AK4956">
        <v>7.3033932370509902</v>
      </c>
      <c r="AL4956">
        <v>66.893971067514002</v>
      </c>
      <c r="AM4956">
        <v>68.763068284391295</v>
      </c>
      <c r="AN4956">
        <v>0.99999999390230498</v>
      </c>
    </row>
    <row r="4957" spans="1:40" x14ac:dyDescent="0.25">
      <c r="A4957" t="str">
        <f>"20190304164744366"</f>
        <v>20190304164744366</v>
      </c>
      <c r="B4957" t="str">
        <f>"1551689264353985"</f>
        <v>1551689264353985</v>
      </c>
      <c r="C4957" t="s">
        <v>40</v>
      </c>
      <c r="D4957">
        <v>4.9676920000000004</v>
      </c>
      <c r="E4957">
        <v>0.58131639999999996</v>
      </c>
      <c r="F4957" t="s">
        <v>43</v>
      </c>
      <c r="G4957">
        <v>-304.15370000000001</v>
      </c>
      <c r="H4957">
        <v>-0.05</v>
      </c>
      <c r="I4957">
        <v>2.1009519999999999</v>
      </c>
      <c r="J4957">
        <v>-305.15969999999999</v>
      </c>
      <c r="K4957">
        <v>1.0483439999999999</v>
      </c>
      <c r="L4957">
        <v>9.6002200000000002</v>
      </c>
      <c r="M4957">
        <v>0.58447380000000004</v>
      </c>
      <c r="N4957">
        <v>-1.7648500000000001E-2</v>
      </c>
      <c r="O4957">
        <v>-0.81122079999999996</v>
      </c>
      <c r="P4957">
        <v>0.25230649999999999</v>
      </c>
      <c r="Q4957">
        <v>0.38966250000000002</v>
      </c>
      <c r="R4957">
        <v>-0.88572280000000003</v>
      </c>
      <c r="S4957">
        <v>0.5097351</v>
      </c>
      <c r="T4957">
        <v>-0.4929152</v>
      </c>
      <c r="U4957">
        <v>-3.4614259999999999</v>
      </c>
      <c r="V4957">
        <v>0.32581110000000002</v>
      </c>
      <c r="W4957">
        <v>0.39469500000000002</v>
      </c>
      <c r="X4957">
        <v>0.85910589999999998</v>
      </c>
      <c r="Y4957">
        <v>0.45957720000000002</v>
      </c>
      <c r="Z4957">
        <v>7.6754669999999997E-2</v>
      </c>
      <c r="AA4957">
        <v>0.88481500000000002</v>
      </c>
      <c r="AB4957">
        <v>23</v>
      </c>
      <c r="AC4957">
        <v>1.00599999999997</v>
      </c>
      <c r="AD4957">
        <v>-1.098344</v>
      </c>
      <c r="AE4957">
        <v>-7.4992679999999998</v>
      </c>
      <c r="AF4957">
        <v>3.4939698703871498</v>
      </c>
      <c r="AG4957">
        <v>-1.098344</v>
      </c>
      <c r="AH4957">
        <v>6.5348820611682701</v>
      </c>
      <c r="AI4957">
        <v>98.430919482660698</v>
      </c>
      <c r="AJ4957">
        <v>61.868163082430499</v>
      </c>
      <c r="AK4957">
        <v>7.4912528024949196</v>
      </c>
      <c r="AL4957">
        <v>66.753046195819806</v>
      </c>
      <c r="AM4957">
        <v>69.231048601977506</v>
      </c>
      <c r="AN4957">
        <v>0.99999998166150905</v>
      </c>
    </row>
    <row r="4958" spans="1:40" x14ac:dyDescent="0.25">
      <c r="A4958" t="str">
        <f>"20190304164744394"</f>
        <v>20190304164744394</v>
      </c>
      <c r="B4958" t="str">
        <f>"1551689264384241"</f>
        <v>1551689264384241</v>
      </c>
      <c r="C4958" t="s">
        <v>40</v>
      </c>
      <c r="D4958">
        <v>4.9828989999999997</v>
      </c>
      <c r="E4958">
        <v>0.58070730000000004</v>
      </c>
      <c r="F4958" t="s">
        <v>43</v>
      </c>
      <c r="G4958">
        <v>-304.11860000000001</v>
      </c>
      <c r="H4958">
        <v>-0.05</v>
      </c>
      <c r="I4958">
        <v>1.754059</v>
      </c>
      <c r="J4958">
        <v>-305.01519999999999</v>
      </c>
      <c r="K4958">
        <v>1.048395</v>
      </c>
      <c r="L4958">
        <v>9.3498839999999994</v>
      </c>
      <c r="M4958">
        <v>0.56338159999999904</v>
      </c>
      <c r="N4958">
        <v>-1.7676190000000001E-2</v>
      </c>
      <c r="O4958">
        <v>-0.82600790000000002</v>
      </c>
      <c r="P4958">
        <v>0.238009</v>
      </c>
      <c r="Q4958">
        <v>0.39224959999999998</v>
      </c>
      <c r="R4958">
        <v>-0.88853379999999904</v>
      </c>
      <c r="S4958">
        <v>0.46035769999999998</v>
      </c>
      <c r="T4958">
        <v>-0.4856876</v>
      </c>
      <c r="U4958">
        <v>-3.4695740000000002</v>
      </c>
      <c r="V4958">
        <v>0.31684449999999997</v>
      </c>
      <c r="W4958">
        <v>0.3976555</v>
      </c>
      <c r="X4958">
        <v>0.86109219999999898</v>
      </c>
      <c r="Y4958">
        <v>0.44940099999999999</v>
      </c>
      <c r="Z4958">
        <v>7.8437309999999996E-2</v>
      </c>
      <c r="AA4958">
        <v>0.88987989999999995</v>
      </c>
      <c r="AB4958">
        <v>23</v>
      </c>
      <c r="AC4958">
        <v>0.89659999999997797</v>
      </c>
      <c r="AD4958">
        <v>-1.098395</v>
      </c>
      <c r="AE4958">
        <v>-7.5958249999999996</v>
      </c>
      <c r="AF4958">
        <v>3.4677846293557901</v>
      </c>
      <c r="AG4958">
        <v>-1.098395</v>
      </c>
      <c r="AH4958">
        <v>6.6433891141163102</v>
      </c>
      <c r="AI4958">
        <v>98.338456925510101</v>
      </c>
      <c r="AJ4958">
        <v>62.435878147460699</v>
      </c>
      <c r="AK4958">
        <v>7.5740755695451298</v>
      </c>
      <c r="AL4958">
        <v>66.5683073293755</v>
      </c>
      <c r="AM4958">
        <v>69.798578324465893</v>
      </c>
      <c r="AN4958">
        <v>1.0000000553806601</v>
      </c>
    </row>
    <row r="4959" spans="1:40" x14ac:dyDescent="0.25">
      <c r="A4959" t="str">
        <f>"20190304164744414"</f>
        <v>20190304164744414</v>
      </c>
      <c r="B4959" t="str">
        <f>"1551689264403761"</f>
        <v>1551689264403761</v>
      </c>
      <c r="C4959" t="s">
        <v>40</v>
      </c>
      <c r="D4959">
        <v>5.3376749999999999</v>
      </c>
      <c r="E4959">
        <v>0.58048859999999902</v>
      </c>
      <c r="F4959" t="s">
        <v>43</v>
      </c>
      <c r="G4959">
        <v>-304.08030000000002</v>
      </c>
      <c r="H4959">
        <v>-0.05</v>
      </c>
      <c r="I4959">
        <v>1.3148959999999901</v>
      </c>
      <c r="J4959">
        <v>-304.91070000000002</v>
      </c>
      <c r="K4959">
        <v>1.0484519999999999</v>
      </c>
      <c r="L4959">
        <v>9.1582340000000002</v>
      </c>
      <c r="M4959">
        <v>0.54719050000000002</v>
      </c>
      <c r="N4959">
        <v>-1.7688209999999999E-2</v>
      </c>
      <c r="O4959">
        <v>-0.83682109999999998</v>
      </c>
      <c r="P4959">
        <v>0.2281938</v>
      </c>
      <c r="Q4959">
        <v>0.39584970000000003</v>
      </c>
      <c r="R4959">
        <v>-0.88951150000000001</v>
      </c>
      <c r="S4959">
        <v>0.4046631</v>
      </c>
      <c r="T4959">
        <v>-0.47542790000000001</v>
      </c>
      <c r="U4959">
        <v>-3.4778440000000002</v>
      </c>
      <c r="V4959">
        <v>0.3087047</v>
      </c>
      <c r="W4959">
        <v>0.40158290000000002</v>
      </c>
      <c r="X4959">
        <v>0.86222540000000003</v>
      </c>
      <c r="Y4959">
        <v>0.44635370000000002</v>
      </c>
      <c r="Z4959">
        <v>7.8401100000000001E-2</v>
      </c>
      <c r="AA4959">
        <v>0.89141550000000003</v>
      </c>
      <c r="AB4959">
        <v>23</v>
      </c>
      <c r="AC4959">
        <v>0.83039999999999703</v>
      </c>
      <c r="AD4959">
        <v>-1.098452</v>
      </c>
      <c r="AE4959">
        <v>-7.8433380000000001</v>
      </c>
      <c r="AF4959">
        <v>3.52901691680144</v>
      </c>
      <c r="AG4959">
        <v>-1.098452</v>
      </c>
      <c r="AH4959">
        <v>6.8854047819467299</v>
      </c>
      <c r="AI4959">
        <v>98.080395877425602</v>
      </c>
      <c r="AJ4959">
        <v>62.863232810598397</v>
      </c>
      <c r="AK4959">
        <v>7.8146884906968399</v>
      </c>
      <c r="AL4959">
        <v>66.322830166496502</v>
      </c>
      <c r="AM4959">
        <v>70.300982971556806</v>
      </c>
      <c r="AN4959">
        <v>1.0000000288898201</v>
      </c>
    </row>
    <row r="4960" spans="1:40" x14ac:dyDescent="0.25">
      <c r="A4960" t="str">
        <f>"20190304164744433"</f>
        <v>20190304164744433</v>
      </c>
      <c r="B4960" t="str">
        <f>"1551689264424257"</f>
        <v>1551689264424257</v>
      </c>
      <c r="C4960" t="s">
        <v>40</v>
      </c>
      <c r="D4960">
        <v>5.0614889999999999</v>
      </c>
      <c r="E4960">
        <v>0.58020850000000002</v>
      </c>
      <c r="F4960" t="s">
        <v>43</v>
      </c>
      <c r="G4960">
        <v>-304.03739999999999</v>
      </c>
      <c r="H4960">
        <v>-0.05</v>
      </c>
      <c r="I4960">
        <v>0.87313839999999998</v>
      </c>
      <c r="J4960">
        <v>-304.81849999999997</v>
      </c>
      <c r="K4960">
        <v>1.0485169999999999</v>
      </c>
      <c r="L4960">
        <v>8.9811399999999999</v>
      </c>
      <c r="M4960">
        <v>0.53222630000000004</v>
      </c>
      <c r="N4960">
        <v>-1.7690810000000001E-2</v>
      </c>
      <c r="O4960">
        <v>-0.84641739999999999</v>
      </c>
      <c r="P4960">
        <v>0.2186816</v>
      </c>
      <c r="Q4960">
        <v>0.39951389999999998</v>
      </c>
      <c r="R4960">
        <v>-0.89026269999999996</v>
      </c>
      <c r="S4960">
        <v>0.36721799999999999</v>
      </c>
      <c r="T4960">
        <v>-0.46191599999999999</v>
      </c>
      <c r="U4960">
        <v>-3.4840089999999901</v>
      </c>
      <c r="V4960">
        <v>0.30171160000000002</v>
      </c>
      <c r="W4960">
        <v>0.40552860000000002</v>
      </c>
      <c r="X4960">
        <v>0.8628538</v>
      </c>
      <c r="Y4960">
        <v>0.44012849999999998</v>
      </c>
      <c r="Z4960">
        <v>7.7565259999999997E-2</v>
      </c>
      <c r="AA4960">
        <v>0.8945784</v>
      </c>
      <c r="AB4960">
        <v>23</v>
      </c>
      <c r="AC4960">
        <v>0.78109999999998003</v>
      </c>
      <c r="AD4960">
        <v>-1.098517</v>
      </c>
      <c r="AE4960">
        <v>-8.1080015999999997</v>
      </c>
      <c r="AF4960">
        <v>3.5894434769310801</v>
      </c>
      <c r="AG4960">
        <v>-1.098517</v>
      </c>
      <c r="AH4960">
        <v>7.1495807694637499</v>
      </c>
      <c r="AI4960">
        <v>97.818615346635795</v>
      </c>
      <c r="AJ4960">
        <v>63.341083528452103</v>
      </c>
      <c r="AK4960">
        <v>8.0751067641522791</v>
      </c>
      <c r="AL4960">
        <v>66.075744016638396</v>
      </c>
      <c r="AM4960">
        <v>70.726946932410797</v>
      </c>
      <c r="AN4960">
        <v>1.0000000075834801</v>
      </c>
    </row>
    <row r="4961" spans="1:40" x14ac:dyDescent="0.25">
      <c r="A4961" t="str">
        <f>"20190304164744456"</f>
        <v>20190304164744456</v>
      </c>
      <c r="B4961" t="str">
        <f>"1551689264443778"</f>
        <v>1551689264443778</v>
      </c>
      <c r="C4961" t="s">
        <v>40</v>
      </c>
      <c r="D4961">
        <v>5.0768810000000002</v>
      </c>
      <c r="E4961">
        <v>0.57993839999999997</v>
      </c>
      <c r="F4961" t="s">
        <v>43</v>
      </c>
      <c r="G4961">
        <v>-304.00259999999997</v>
      </c>
      <c r="H4961">
        <v>-0.05</v>
      </c>
      <c r="I4961">
        <v>0.46295170000000002</v>
      </c>
      <c r="J4961">
        <v>-304.71409999999997</v>
      </c>
      <c r="K4961">
        <v>1.0486089999999999</v>
      </c>
      <c r="L4961">
        <v>8.7707519999999999</v>
      </c>
      <c r="M4961">
        <v>0.51444449999999997</v>
      </c>
      <c r="N4961">
        <v>-1.7683520000000001E-2</v>
      </c>
      <c r="O4961">
        <v>-0.85734149999999998</v>
      </c>
      <c r="P4961">
        <v>0.2059406</v>
      </c>
      <c r="Q4961">
        <v>0.40104430000000002</v>
      </c>
      <c r="R4961">
        <v>-0.89260969999999995</v>
      </c>
      <c r="S4961">
        <v>0.33425899999999997</v>
      </c>
      <c r="T4961">
        <v>-0.45003029999999999</v>
      </c>
      <c r="U4961">
        <v>-3.489655</v>
      </c>
      <c r="V4961">
        <v>0.29558279999999998</v>
      </c>
      <c r="W4961">
        <v>0.40733320000000001</v>
      </c>
      <c r="X4961">
        <v>0.86412409999999995</v>
      </c>
      <c r="Y4961">
        <v>0.42993589999999998</v>
      </c>
      <c r="Z4961">
        <v>7.7344689999999994E-2</v>
      </c>
      <c r="AA4961">
        <v>0.89954040000000002</v>
      </c>
      <c r="AB4961">
        <v>23</v>
      </c>
      <c r="AC4961">
        <v>0.71150000000000002</v>
      </c>
      <c r="AD4961">
        <v>-1.0986089999999999</v>
      </c>
      <c r="AE4961">
        <v>-8.3078003000000002</v>
      </c>
      <c r="AF4961">
        <v>3.6019476698464099</v>
      </c>
      <c r="AG4961">
        <v>-1.0986089999999999</v>
      </c>
      <c r="AH4961">
        <v>7.3620173741662196</v>
      </c>
      <c r="AI4961">
        <v>97.634600472534302</v>
      </c>
      <c r="AJ4961">
        <v>63.929301605870201</v>
      </c>
      <c r="AK4961">
        <v>8.2692362748151194</v>
      </c>
      <c r="AL4961">
        <v>65.962579518970301</v>
      </c>
      <c r="AM4961">
        <v>71.116204037073103</v>
      </c>
      <c r="AN4961">
        <v>0.99999999383944405</v>
      </c>
    </row>
    <row r="4962" spans="1:40" x14ac:dyDescent="0.25">
      <c r="A4962" t="str">
        <f>"20190304164744478"</f>
        <v>20190304164744478</v>
      </c>
      <c r="B4962" t="str">
        <f>"1551689264474033"</f>
        <v>1551689264474033</v>
      </c>
      <c r="C4962" t="s">
        <v>40</v>
      </c>
      <c r="D4962">
        <v>4.9894939999999997</v>
      </c>
      <c r="E4962">
        <v>0.58015810000000001</v>
      </c>
      <c r="F4962" t="s">
        <v>43</v>
      </c>
      <c r="G4962">
        <v>-304.01150000000001</v>
      </c>
      <c r="H4962">
        <v>-0.05</v>
      </c>
      <c r="I4962">
        <v>0.153228799999999</v>
      </c>
      <c r="J4962">
        <v>-304.61259999999999</v>
      </c>
      <c r="K4962">
        <v>1.0487409999999999</v>
      </c>
      <c r="L4962">
        <v>8.5549929999999996</v>
      </c>
      <c r="M4962">
        <v>0.49627670000000002</v>
      </c>
      <c r="N4962">
        <v>-1.7661799999999998E-2</v>
      </c>
      <c r="O4962">
        <v>-0.86798469999999905</v>
      </c>
      <c r="P4962">
        <v>0.19444810000000001</v>
      </c>
      <c r="Q4962">
        <v>0.40097569999999999</v>
      </c>
      <c r="R4962">
        <v>-0.89521430000000002</v>
      </c>
      <c r="S4962">
        <v>0.28494259999999999</v>
      </c>
      <c r="T4962">
        <v>-0.44561230000000002</v>
      </c>
      <c r="U4962">
        <v>-3.4953919999999998</v>
      </c>
      <c r="V4962">
        <v>0.28831780000000001</v>
      </c>
      <c r="W4962">
        <v>0.40759889999999999</v>
      </c>
      <c r="X4962">
        <v>0.86645019999999995</v>
      </c>
      <c r="Y4962">
        <v>0.42368719999999999</v>
      </c>
      <c r="Z4962">
        <v>7.8413250000000004E-2</v>
      </c>
      <c r="AA4962">
        <v>0.90240819999999999</v>
      </c>
      <c r="AB4962">
        <v>23</v>
      </c>
      <c r="AC4962">
        <v>0.60109999999997399</v>
      </c>
      <c r="AD4962">
        <v>-1.098741</v>
      </c>
      <c r="AE4962">
        <v>-8.4017641999999899</v>
      </c>
      <c r="AF4962">
        <v>3.5873840051858901</v>
      </c>
      <c r="AG4962">
        <v>-1.098741</v>
      </c>
      <c r="AH4962">
        <v>7.4650806847207098</v>
      </c>
      <c r="AI4962">
        <v>97.556795907431706</v>
      </c>
      <c r="AJ4962">
        <v>64.333141755220794</v>
      </c>
      <c r="AK4962">
        <v>8.3548779413666399</v>
      </c>
      <c r="AL4962">
        <v>65.945909128268895</v>
      </c>
      <c r="AM4962">
        <v>71.594749987057199</v>
      </c>
      <c r="AN4962">
        <v>0.99999998307904403</v>
      </c>
    </row>
    <row r="4963" spans="1:40" x14ac:dyDescent="0.25">
      <c r="A4963" t="str">
        <f>"20190304164744522"</f>
        <v>20190304164744522</v>
      </c>
      <c r="B4963" t="str">
        <f>"1551689264514053"</f>
        <v>1551689264514053</v>
      </c>
      <c r="C4963" t="s">
        <v>40</v>
      </c>
      <c r="D4963">
        <v>5.1695599999999997</v>
      </c>
      <c r="E4963">
        <v>0.57960579999999995</v>
      </c>
      <c r="F4963" t="s">
        <v>43</v>
      </c>
      <c r="G4963">
        <v>-304.03910000000002</v>
      </c>
      <c r="H4963">
        <v>-0.05</v>
      </c>
      <c r="I4963">
        <v>-0.19133</v>
      </c>
      <c r="J4963">
        <v>-304.43079999999998</v>
      </c>
      <c r="K4963">
        <v>1.049086</v>
      </c>
      <c r="L4963">
        <v>8.1369929999999897</v>
      </c>
      <c r="M4963">
        <v>0.46133689999999999</v>
      </c>
      <c r="N4963">
        <v>-1.758318E-2</v>
      </c>
      <c r="O4963">
        <v>-0.88705089999999998</v>
      </c>
      <c r="P4963">
        <v>0.17430179999999901</v>
      </c>
      <c r="Q4963">
        <v>0.4020976</v>
      </c>
      <c r="R4963">
        <v>-0.89885300000000001</v>
      </c>
      <c r="S4963">
        <v>0.22937009999999999</v>
      </c>
      <c r="T4963">
        <v>-0.43945099999999998</v>
      </c>
      <c r="U4963">
        <v>-3.4981689999999999</v>
      </c>
      <c r="V4963">
        <v>0.27260669999999998</v>
      </c>
      <c r="W4963">
        <v>0.40941420000000001</v>
      </c>
      <c r="X4963">
        <v>0.87066960000000004</v>
      </c>
      <c r="Y4963">
        <v>0.40192169999999999</v>
      </c>
      <c r="Z4963">
        <v>8.1171140000000003E-2</v>
      </c>
      <c r="AA4963">
        <v>0.91206920000000002</v>
      </c>
      <c r="AB4963">
        <v>23</v>
      </c>
      <c r="AC4963">
        <v>0.39169999999995703</v>
      </c>
      <c r="AD4963">
        <v>-1.099086</v>
      </c>
      <c r="AE4963">
        <v>-8.3283229999999993</v>
      </c>
      <c r="AF4963">
        <v>3.4355435349455798</v>
      </c>
      <c r="AG4963">
        <v>-1.099086</v>
      </c>
      <c r="AH4963">
        <v>7.4402285622617903</v>
      </c>
      <c r="AI4963">
        <v>97.638627227882694</v>
      </c>
      <c r="AJ4963">
        <v>65.214754179819806</v>
      </c>
      <c r="AK4963">
        <v>8.2684914267717904</v>
      </c>
      <c r="AL4963">
        <v>65.831958314318797</v>
      </c>
      <c r="AM4963">
        <v>72.614658850572894</v>
      </c>
      <c r="AN4963">
        <v>0.99999997620534398</v>
      </c>
    </row>
    <row r="4964" spans="1:40" x14ac:dyDescent="0.25">
      <c r="A4964" t="str">
        <f>"20190304164744543"</f>
        <v>20190304164744543</v>
      </c>
      <c r="B4964" t="str">
        <f>"1551689264534545"</f>
        <v>1551689264534545</v>
      </c>
      <c r="C4964" t="s">
        <v>40</v>
      </c>
      <c r="D4964">
        <v>4.947667</v>
      </c>
      <c r="E4964">
        <v>0.57929819999999999</v>
      </c>
      <c r="F4964" t="s">
        <v>43</v>
      </c>
      <c r="G4964">
        <v>-304.0761</v>
      </c>
      <c r="H4964">
        <v>-0.05</v>
      </c>
      <c r="I4964">
        <v>-0.71833800000000003</v>
      </c>
      <c r="J4964">
        <v>-304.34690000000001</v>
      </c>
      <c r="K4964">
        <v>1.049283</v>
      </c>
      <c r="L4964">
        <v>7.9279789999999997</v>
      </c>
      <c r="M4964">
        <v>0.44407970000000002</v>
      </c>
      <c r="N4964">
        <v>-1.7524919999999999E-2</v>
      </c>
      <c r="O4964">
        <v>-0.89581599999999995</v>
      </c>
      <c r="P4964">
        <v>0.1645337</v>
      </c>
      <c r="Q4964">
        <v>0.40163979999999999</v>
      </c>
      <c r="R4964">
        <v>-0.90089640000000004</v>
      </c>
      <c r="S4964">
        <v>0.1403809</v>
      </c>
      <c r="T4964">
        <v>-0.43502239999999998</v>
      </c>
      <c r="U4964">
        <v>-3.5049739999999998</v>
      </c>
      <c r="V4964">
        <v>0.26501590000000003</v>
      </c>
      <c r="W4964">
        <v>0.409298</v>
      </c>
      <c r="X4964">
        <v>0.87306450000000002</v>
      </c>
      <c r="Y4964">
        <v>0.40739900000000001</v>
      </c>
      <c r="Z4964">
        <v>8.1426910000000005E-2</v>
      </c>
      <c r="AA4964">
        <v>0.909613</v>
      </c>
      <c r="AB4964">
        <v>22</v>
      </c>
      <c r="AC4964">
        <v>0.27080000000000798</v>
      </c>
      <c r="AD4964">
        <v>-1.099283</v>
      </c>
      <c r="AE4964">
        <v>-8.6463169999999998</v>
      </c>
      <c r="AF4964">
        <v>3.54044628002901</v>
      </c>
      <c r="AG4964">
        <v>-1.099283</v>
      </c>
      <c r="AH4964">
        <v>7.74195267168363</v>
      </c>
      <c r="AI4964">
        <v>97.357811815270196</v>
      </c>
      <c r="AJ4964">
        <v>65.425067697349405</v>
      </c>
      <c r="AK4964">
        <v>8.5837645672775498</v>
      </c>
      <c r="AL4964">
        <v>65.839254844528497</v>
      </c>
      <c r="AM4964">
        <v>73.114503042244706</v>
      </c>
      <c r="AN4964">
        <v>0.99999995060852798</v>
      </c>
    </row>
    <row r="4965" spans="1:40" x14ac:dyDescent="0.25">
      <c r="A4965" t="str">
        <f>"20190304164744590"</f>
        <v>20190304164744590</v>
      </c>
      <c r="B4965" t="str">
        <f>"1551689264584321"</f>
        <v>1551689264584321</v>
      </c>
      <c r="C4965" t="s">
        <v>40</v>
      </c>
      <c r="D4965">
        <v>4.9459470000000003</v>
      </c>
      <c r="E4965">
        <v>0.57845609999999903</v>
      </c>
      <c r="F4965" t="s">
        <v>42</v>
      </c>
      <c r="G4965">
        <v>-304.10500000000002</v>
      </c>
      <c r="H4965" s="1">
        <v>-4.9823090000000002E-6</v>
      </c>
      <c r="I4965">
        <v>-0.47173120000000002</v>
      </c>
      <c r="J4965">
        <v>-304.1814</v>
      </c>
      <c r="K4965">
        <v>1.049849</v>
      </c>
      <c r="L4965">
        <v>7.4806210000000002</v>
      </c>
      <c r="M4965">
        <v>0.40800769999999997</v>
      </c>
      <c r="N4965">
        <v>-1.7344120000000001E-2</v>
      </c>
      <c r="O4965">
        <v>-0.91281389999999996</v>
      </c>
      <c r="P4965">
        <v>0.1462331</v>
      </c>
      <c r="Q4965">
        <v>0.40181879999999998</v>
      </c>
      <c r="R4965">
        <v>-0.90396779999999999</v>
      </c>
      <c r="S4965">
        <v>0.10098269999999999</v>
      </c>
      <c r="T4965">
        <v>-0.43807629999999997</v>
      </c>
      <c r="U4965">
        <v>-3.506866</v>
      </c>
      <c r="V4965">
        <v>0.24710579999999999</v>
      </c>
      <c r="W4965">
        <v>0.41026760000000001</v>
      </c>
      <c r="X4965">
        <v>0.8778492</v>
      </c>
      <c r="Y4965">
        <v>0.3811254</v>
      </c>
      <c r="Z4965">
        <v>8.6023669999999997E-2</v>
      </c>
      <c r="AA4965">
        <v>0.92051260000000001</v>
      </c>
      <c r="AB4965">
        <v>22</v>
      </c>
      <c r="AC4965">
        <v>7.6399999999978194E-2</v>
      </c>
      <c r="AD4965">
        <v>-1.0498539823090001</v>
      </c>
      <c r="AE4965">
        <v>-7.9523522</v>
      </c>
      <c r="AF4965">
        <v>3.12096946350169</v>
      </c>
      <c r="AG4965">
        <v>-1.0498539823090001</v>
      </c>
      <c r="AH4965">
        <v>7.16639513277158</v>
      </c>
      <c r="AI4965">
        <v>97.649760961663802</v>
      </c>
      <c r="AJ4965">
        <v>66.466845179730797</v>
      </c>
      <c r="AK4965">
        <v>7.88668897416985</v>
      </c>
      <c r="AL4965">
        <v>65.778353851573499</v>
      </c>
      <c r="AM4965">
        <v>74.278618236880703</v>
      </c>
      <c r="AN4965">
        <v>0.99999999897201997</v>
      </c>
    </row>
    <row r="4966" spans="1:40" x14ac:dyDescent="0.25">
      <c r="A4966" t="str">
        <f>"20190304164744612"</f>
        <v>20190304164744612</v>
      </c>
      <c r="B4966" t="str">
        <f>"1551689264603842"</f>
        <v>1551689264603842</v>
      </c>
      <c r="C4966" t="s">
        <v>40</v>
      </c>
      <c r="D4966">
        <v>4.9133740000000001</v>
      </c>
      <c r="E4966">
        <v>0.57811569999999901</v>
      </c>
      <c r="F4966" t="s">
        <v>42</v>
      </c>
      <c r="G4966">
        <v>-304.1207</v>
      </c>
      <c r="H4966" s="1">
        <v>-4.8247770000000004E-6</v>
      </c>
      <c r="I4966">
        <v>-0.88920119999999903</v>
      </c>
      <c r="J4966">
        <v>-304.10449999999997</v>
      </c>
      <c r="K4966">
        <v>1.0502229999999999</v>
      </c>
      <c r="L4966">
        <v>7.2548519999999996</v>
      </c>
      <c r="M4966">
        <v>0.39042670000000002</v>
      </c>
      <c r="N4966">
        <v>-1.7215080000000001E-2</v>
      </c>
      <c r="O4966">
        <v>-0.92047310000000004</v>
      </c>
      <c r="P4966">
        <v>0.1390692</v>
      </c>
      <c r="Q4966">
        <v>0.39918510000000001</v>
      </c>
      <c r="R4966">
        <v>-0.90626229999999997</v>
      </c>
      <c r="S4966">
        <v>2.5451660000000001E-2</v>
      </c>
      <c r="T4966">
        <v>-0.44030629999999998</v>
      </c>
      <c r="U4966">
        <v>-3.5102839999999902</v>
      </c>
      <c r="V4966">
        <v>0.23712030000000001</v>
      </c>
      <c r="W4966">
        <v>0.40808169999999999</v>
      </c>
      <c r="X4966">
        <v>0.88161399999999901</v>
      </c>
      <c r="Y4966">
        <v>0.38322200000000001</v>
      </c>
      <c r="Z4966">
        <v>8.7856139999999999E-2</v>
      </c>
      <c r="AA4966">
        <v>0.91946850000000002</v>
      </c>
      <c r="AB4966">
        <v>22</v>
      </c>
      <c r="AC4966">
        <v>-1.62000000000261E-2</v>
      </c>
      <c r="AD4966">
        <v>-1.0502278247769901</v>
      </c>
      <c r="AE4966">
        <v>-8.1440532000000001</v>
      </c>
      <c r="AF4966">
        <v>3.1427773931785099</v>
      </c>
      <c r="AG4966">
        <v>-1.0502278247769901</v>
      </c>
      <c r="AH4966">
        <v>7.3686287453041697</v>
      </c>
      <c r="AI4966">
        <v>97.468917975075399</v>
      </c>
      <c r="AJ4966">
        <v>66.901375722958804</v>
      </c>
      <c r="AK4966">
        <v>8.0794008325576208</v>
      </c>
      <c r="AL4966">
        <v>65.915612399497206</v>
      </c>
      <c r="AM4966">
        <v>74.945893469338799</v>
      </c>
      <c r="AN4966">
        <v>0.99999997777148897</v>
      </c>
    </row>
    <row r="4967" spans="1:40" x14ac:dyDescent="0.25">
      <c r="A4967" t="str">
        <f>"20190304164744636"</f>
        <v>20190304164744636</v>
      </c>
      <c r="B4967" t="str">
        <f>"1551689264624338"</f>
        <v>1551689264624338</v>
      </c>
      <c r="C4967" t="s">
        <v>40</v>
      </c>
      <c r="D4967">
        <v>4.9120160000000004</v>
      </c>
      <c r="E4967">
        <v>0.57792659999999996</v>
      </c>
      <c r="F4967" t="s">
        <v>42</v>
      </c>
      <c r="G4967">
        <v>-304.11619999999999</v>
      </c>
      <c r="H4967" s="1">
        <v>-4.8196389999999996E-6</v>
      </c>
      <c r="I4967">
        <v>-0.90050889999999995</v>
      </c>
      <c r="J4967">
        <v>-304.03199999999998</v>
      </c>
      <c r="K4967">
        <v>1.050683</v>
      </c>
      <c r="L4967">
        <v>7.029541</v>
      </c>
      <c r="M4967">
        <v>0.373502</v>
      </c>
      <c r="N4967">
        <v>-1.7058489999999999E-2</v>
      </c>
      <c r="O4967">
        <v>-0.92747290000000004</v>
      </c>
      <c r="P4967">
        <v>0.13174640000000001</v>
      </c>
      <c r="Q4967">
        <v>0.39541419999999999</v>
      </c>
      <c r="R4967">
        <v>-0.90900550000000002</v>
      </c>
      <c r="S4967">
        <v>-5.0353999999999998E-3</v>
      </c>
      <c r="T4967">
        <v>-0.4520344</v>
      </c>
      <c r="U4967">
        <v>-3.5101930000000001</v>
      </c>
      <c r="V4967">
        <v>0.22803960000000001</v>
      </c>
      <c r="W4967">
        <v>0.40474359999999998</v>
      </c>
      <c r="X4967">
        <v>0.88553969999999904</v>
      </c>
      <c r="Y4967">
        <v>0.37428420000000001</v>
      </c>
      <c r="Z4967">
        <v>9.2306399999999997E-2</v>
      </c>
      <c r="AA4967">
        <v>0.92270850000000004</v>
      </c>
      <c r="AB4967">
        <v>22</v>
      </c>
      <c r="AC4967">
        <v>-8.4200000000009795E-2</v>
      </c>
      <c r="AD4967">
        <v>-1.0506878196389999</v>
      </c>
      <c r="AE4967">
        <v>-7.9300499000000002</v>
      </c>
      <c r="AF4967">
        <v>2.9879766489961099</v>
      </c>
      <c r="AG4967">
        <v>-1.0506878196389999</v>
      </c>
      <c r="AH4967">
        <v>7.1981725138201798</v>
      </c>
      <c r="AI4967">
        <v>97.677898451584596</v>
      </c>
      <c r="AJ4967">
        <v>67.456558885433196</v>
      </c>
      <c r="AK4967">
        <v>7.8641996978713697</v>
      </c>
      <c r="AL4967">
        <v>66.124939217541694</v>
      </c>
      <c r="AM4967">
        <v>75.559238344034796</v>
      </c>
      <c r="AN4967">
        <v>1.0000000005926</v>
      </c>
    </row>
    <row r="4968" spans="1:40" x14ac:dyDescent="0.25">
      <c r="A4968" t="str">
        <f>"20190304164744658"</f>
        <v>20190304164744658</v>
      </c>
      <c r="B4968" t="str">
        <f>"1551689264654594"</f>
        <v>1551689264654594</v>
      </c>
      <c r="C4968" t="s">
        <v>40</v>
      </c>
      <c r="D4968">
        <v>4.7926859999999998</v>
      </c>
      <c r="E4968">
        <v>0.56461139999999999</v>
      </c>
      <c r="F4968" t="s">
        <v>42</v>
      </c>
      <c r="G4968">
        <v>-304.1019</v>
      </c>
      <c r="H4968" s="1">
        <v>-4.8391879999999999E-6</v>
      </c>
      <c r="I4968">
        <v>-0.84299659999999998</v>
      </c>
      <c r="J4968">
        <v>-303.96289999999999</v>
      </c>
      <c r="K4968">
        <v>1.0512889999999999</v>
      </c>
      <c r="L4968">
        <v>6.803223</v>
      </c>
      <c r="M4968">
        <v>0.35738750000000002</v>
      </c>
      <c r="N4968">
        <v>-1.6867199999999999E-2</v>
      </c>
      <c r="O4968">
        <v>-0.93380390000000002</v>
      </c>
      <c r="P4968">
        <v>0.12422619999999999</v>
      </c>
      <c r="Q4968">
        <v>0.39057940000000002</v>
      </c>
      <c r="R4968">
        <v>-0.91214890000000004</v>
      </c>
      <c r="S4968">
        <v>-3.1158450000000001E-2</v>
      </c>
      <c r="T4968">
        <v>-0.46825480000000003</v>
      </c>
      <c r="U4968">
        <v>-3.5085139999999999</v>
      </c>
      <c r="V4968">
        <v>0.21995509999999999</v>
      </c>
      <c r="W4968">
        <v>0.40034059999999999</v>
      </c>
      <c r="X4968">
        <v>0.88957699999999995</v>
      </c>
      <c r="Y4968">
        <v>0.36508439999999998</v>
      </c>
      <c r="Z4968">
        <v>9.7878110000000004E-2</v>
      </c>
      <c r="AA4968">
        <v>0.9258149</v>
      </c>
      <c r="AB4968">
        <v>22</v>
      </c>
      <c r="AC4968">
        <v>-0.13900000000001</v>
      </c>
      <c r="AD4968">
        <v>-1.051293839188</v>
      </c>
      <c r="AE4968">
        <v>-7.6462195999999896</v>
      </c>
      <c r="AF4968">
        <v>2.8097707707349899</v>
      </c>
      <c r="AG4968">
        <v>-1.051293839188</v>
      </c>
      <c r="AH4968">
        <v>6.9598751548654496</v>
      </c>
      <c r="AI4968">
        <v>97.973382630104396</v>
      </c>
      <c r="AJ4968">
        <v>68.015580588512094</v>
      </c>
      <c r="AK4968">
        <v>7.5789110492012401</v>
      </c>
      <c r="AL4968">
        <v>66.400528259582302</v>
      </c>
      <c r="AM4968">
        <v>76.111710961148603</v>
      </c>
      <c r="AN4968">
        <v>1.00000004047668</v>
      </c>
    </row>
    <row r="4969" spans="1:40" x14ac:dyDescent="0.25">
      <c r="A4969" t="str">
        <f>"20190304164744684"</f>
        <v>20190304164744684</v>
      </c>
      <c r="B4969" t="str">
        <f>"1551689264674114"</f>
        <v>1551689264674114</v>
      </c>
      <c r="C4969" t="s">
        <v>40</v>
      </c>
      <c r="D4969">
        <v>4.8925660000000004</v>
      </c>
      <c r="E4969">
        <v>0.56402719999999995</v>
      </c>
      <c r="F4969" t="s">
        <v>43</v>
      </c>
      <c r="G4969">
        <v>-303.85070000000002</v>
      </c>
      <c r="H4969">
        <v>-0.05</v>
      </c>
      <c r="I4969">
        <v>0.122406</v>
      </c>
      <c r="J4969">
        <v>-303.88869999999997</v>
      </c>
      <c r="K4969">
        <v>1.0520160000000001</v>
      </c>
      <c r="L4969">
        <v>6.548279</v>
      </c>
      <c r="M4969">
        <v>0.34018929999999997</v>
      </c>
      <c r="N4969">
        <v>-1.6629229999999998E-2</v>
      </c>
      <c r="O4969">
        <v>-0.94021010000000005</v>
      </c>
      <c r="P4969">
        <v>0.1153493</v>
      </c>
      <c r="Q4969">
        <v>0.38579219999999997</v>
      </c>
      <c r="R4969">
        <v>-0.9153464</v>
      </c>
      <c r="S4969">
        <v>5.9295649999999998E-2</v>
      </c>
      <c r="T4969">
        <v>-0.58190240000000004</v>
      </c>
      <c r="U4969">
        <v>-3.5300289999999999</v>
      </c>
      <c r="V4969">
        <v>0.2120457</v>
      </c>
      <c r="W4969">
        <v>0.39597520000000003</v>
      </c>
      <c r="X4969">
        <v>0.89344290000000004</v>
      </c>
      <c r="Y4969">
        <v>0.32391399999999998</v>
      </c>
      <c r="Z4969">
        <v>0.12739690000000001</v>
      </c>
      <c r="AA4969">
        <v>0.93746989999999997</v>
      </c>
      <c r="AB4969">
        <v>22</v>
      </c>
      <c r="AC4969">
        <v>3.7999999999954001E-2</v>
      </c>
      <c r="AD4969">
        <v>-1.1020159999999899</v>
      </c>
      <c r="AE4969">
        <v>-6.4258730000000002</v>
      </c>
      <c r="AF4969">
        <v>2.0891404715813202</v>
      </c>
      <c r="AG4969">
        <v>-1.1020159999999899</v>
      </c>
      <c r="AH4969">
        <v>5.8824313966881201</v>
      </c>
      <c r="AI4969">
        <v>100.011689075923</v>
      </c>
      <c r="AJ4969">
        <v>70.447549134103497</v>
      </c>
      <c r="AK4969">
        <v>6.3389231191896602</v>
      </c>
      <c r="AL4969">
        <v>66.673190749259803</v>
      </c>
      <c r="AM4969">
        <v>76.648704845601003</v>
      </c>
      <c r="AN4969">
        <v>0.99999997673196905</v>
      </c>
    </row>
    <row r="4970" spans="1:40" x14ac:dyDescent="0.25">
      <c r="A4970" t="str">
        <f>"20190304164744723"</f>
        <v>20190304164744723</v>
      </c>
      <c r="B4970" t="str">
        <f>"1551689264714130"</f>
        <v>1551689264714130</v>
      </c>
      <c r="C4970" t="s">
        <v>40</v>
      </c>
      <c r="D4970">
        <v>4.889405</v>
      </c>
      <c r="E4970">
        <v>0.56379760000000001</v>
      </c>
      <c r="F4970" t="s">
        <v>43</v>
      </c>
      <c r="G4970">
        <v>-303.8322</v>
      </c>
      <c r="H4970">
        <v>-0.05</v>
      </c>
      <c r="I4970">
        <v>0.21353150000000001</v>
      </c>
      <c r="J4970">
        <v>-303.78339999999997</v>
      </c>
      <c r="K4970">
        <v>1.0532060000000001</v>
      </c>
      <c r="L4970">
        <v>6.1646729999999996</v>
      </c>
      <c r="M4970">
        <v>0.31649440000000001</v>
      </c>
      <c r="N4970">
        <v>-1.6258959999999999E-2</v>
      </c>
      <c r="O4970">
        <v>-0.9484553</v>
      </c>
      <c r="P4970">
        <v>0.1082438</v>
      </c>
      <c r="Q4970">
        <v>0.3826792</v>
      </c>
      <c r="R4970">
        <v>-0.91751870000000002</v>
      </c>
      <c r="S4970">
        <v>3.1555180000000002E-2</v>
      </c>
      <c r="T4970">
        <v>-0.61452130000000005</v>
      </c>
      <c r="U4970">
        <v>-3.5324710000000001</v>
      </c>
      <c r="V4970">
        <v>0.1955964</v>
      </c>
      <c r="W4970">
        <v>0.39353310000000002</v>
      </c>
      <c r="X4970">
        <v>0.89826149999999905</v>
      </c>
      <c r="Y4970">
        <v>0.3075386</v>
      </c>
      <c r="Z4970">
        <v>0.138069</v>
      </c>
      <c r="AA4970">
        <v>0.94146529999999995</v>
      </c>
      <c r="AB4970">
        <v>22</v>
      </c>
      <c r="AC4970">
        <v>-4.88000000000283E-2</v>
      </c>
      <c r="AD4970">
        <v>-1.1032059999999999</v>
      </c>
      <c r="AE4970">
        <v>-5.9511415000000003</v>
      </c>
      <c r="AF4970">
        <v>1.86592455959475</v>
      </c>
      <c r="AG4970">
        <v>-1.1032059999999999</v>
      </c>
      <c r="AH4970">
        <v>5.4426664095043398</v>
      </c>
      <c r="AI4970">
        <v>100.85419982037</v>
      </c>
      <c r="AJ4970">
        <v>71.076603675928794</v>
      </c>
      <c r="AK4970">
        <v>5.8584431025385699</v>
      </c>
      <c r="AL4970">
        <v>66.825481067420796</v>
      </c>
      <c r="AM4970">
        <v>77.715605947237705</v>
      </c>
      <c r="AN4970">
        <v>0.99999998743540897</v>
      </c>
    </row>
    <row r="4971" spans="1:40" x14ac:dyDescent="0.25">
      <c r="A4971" t="str">
        <f>"20190304164744754"</f>
        <v>20190304164744754</v>
      </c>
      <c r="B4971" t="str">
        <f>"1551689264744385"</f>
        <v>1551689264744385</v>
      </c>
      <c r="C4971" t="s">
        <v>40</v>
      </c>
      <c r="D4971">
        <v>4.9083500000000004</v>
      </c>
      <c r="E4971">
        <v>0.56391369999999996</v>
      </c>
      <c r="F4971" t="s">
        <v>43</v>
      </c>
      <c r="G4971">
        <v>-303.80439999999999</v>
      </c>
      <c r="H4971">
        <v>-0.05</v>
      </c>
      <c r="I4971">
        <v>2.9693600000000001E-2</v>
      </c>
      <c r="J4971">
        <v>-303.70409999999998</v>
      </c>
      <c r="K4971">
        <v>1.054154</v>
      </c>
      <c r="L4971">
        <v>5.8597720000000004</v>
      </c>
      <c r="M4971">
        <v>0.2996953</v>
      </c>
      <c r="N4971">
        <v>-1.595632E-2</v>
      </c>
      <c r="O4971">
        <v>-0.95390149999999996</v>
      </c>
      <c r="P4971">
        <v>9.6699480000000004E-2</v>
      </c>
      <c r="Q4971">
        <v>0.38238</v>
      </c>
      <c r="R4971">
        <v>-0.91893139999999995</v>
      </c>
      <c r="S4971">
        <v>-1.2146000000000001E-2</v>
      </c>
      <c r="T4971">
        <v>-0.63591339999999996</v>
      </c>
      <c r="U4971">
        <v>-3.536346</v>
      </c>
      <c r="V4971">
        <v>0.19009880000000001</v>
      </c>
      <c r="W4971">
        <v>0.3935148</v>
      </c>
      <c r="X4971">
        <v>0.8994491</v>
      </c>
      <c r="Y4971">
        <v>0.30237639999999999</v>
      </c>
      <c r="Z4971">
        <v>0.14496129999999999</v>
      </c>
      <c r="AA4971">
        <v>0.94210119999999997</v>
      </c>
      <c r="AB4971">
        <v>22</v>
      </c>
      <c r="AC4971">
        <v>-0.100300000000004</v>
      </c>
      <c r="AD4971">
        <v>-1.1041540000000001</v>
      </c>
      <c r="AE4971">
        <v>-5.8300783999999997</v>
      </c>
      <c r="AF4971">
        <v>1.77935461624004</v>
      </c>
      <c r="AG4971">
        <v>-1.1041540000000001</v>
      </c>
      <c r="AH4971">
        <v>5.34046877644783</v>
      </c>
      <c r="AI4971">
        <v>101.09774064203</v>
      </c>
      <c r="AJ4971">
        <v>71.572791981440901</v>
      </c>
      <c r="AK4971">
        <v>5.7363634524204397</v>
      </c>
      <c r="AL4971">
        <v>66.826623569716403</v>
      </c>
      <c r="AM4971">
        <v>78.066144565721203</v>
      </c>
      <c r="AN4971">
        <v>1.00000006753564</v>
      </c>
    </row>
    <row r="4972" spans="1:40" x14ac:dyDescent="0.25">
      <c r="A4972" t="str">
        <f>"20190304164744791"</f>
        <v>20190304164744791</v>
      </c>
      <c r="B4972" t="str">
        <f>"1551689264784403"</f>
        <v>1551689264784403</v>
      </c>
      <c r="C4972" t="s">
        <v>40</v>
      </c>
      <c r="D4972">
        <v>5.1352270000000004</v>
      </c>
      <c r="E4972">
        <v>0.56401679999999998</v>
      </c>
      <c r="F4972" t="s">
        <v>43</v>
      </c>
      <c r="G4972">
        <v>-303.80279999999999</v>
      </c>
      <c r="H4972">
        <v>-0.05</v>
      </c>
      <c r="I4972">
        <v>-0.28721619999999998</v>
      </c>
      <c r="J4972">
        <v>-303.61489999999998</v>
      </c>
      <c r="K4972">
        <v>1.0552699999999999</v>
      </c>
      <c r="L4972">
        <v>5.4996029999999996</v>
      </c>
      <c r="M4972">
        <v>0.28259790000000001</v>
      </c>
      <c r="N4972">
        <v>-1.559487E-2</v>
      </c>
      <c r="O4972">
        <v>-0.95911179999999996</v>
      </c>
      <c r="P4972">
        <v>8.5468530000000001E-2</v>
      </c>
      <c r="Q4972">
        <v>0.38350980000000001</v>
      </c>
      <c r="R4972">
        <v>-0.91957359999999999</v>
      </c>
      <c r="S4972">
        <v>-5.673218E-2</v>
      </c>
      <c r="T4972">
        <v>-0.6349494</v>
      </c>
      <c r="U4972">
        <v>-3.5348510000000002</v>
      </c>
      <c r="V4972">
        <v>0.1837606</v>
      </c>
      <c r="W4972">
        <v>0.39492939999999999</v>
      </c>
      <c r="X4972">
        <v>0.900145999999999</v>
      </c>
      <c r="Y4972">
        <v>0.29724620000000002</v>
      </c>
      <c r="Z4972">
        <v>0.14661830000000001</v>
      </c>
      <c r="AA4972">
        <v>0.94347639999999999</v>
      </c>
      <c r="AB4972">
        <v>22</v>
      </c>
      <c r="AC4972">
        <v>-0.187900000000013</v>
      </c>
      <c r="AD4972">
        <v>-1.10527</v>
      </c>
      <c r="AE4972">
        <v>-5.7868192000000001</v>
      </c>
      <c r="AF4972">
        <v>1.7519370146734701</v>
      </c>
      <c r="AG4972">
        <v>-1.10527</v>
      </c>
      <c r="AH4972">
        <v>5.3044701977993496</v>
      </c>
      <c r="AI4972">
        <v>101.191648965746</v>
      </c>
      <c r="AJ4972">
        <v>71.722871852736205</v>
      </c>
      <c r="AK4972">
        <v>5.69458595120176</v>
      </c>
      <c r="AL4972">
        <v>66.738429134444203</v>
      </c>
      <c r="AM4972">
        <v>78.461875861675793</v>
      </c>
      <c r="AN4972">
        <v>1.00000000520636</v>
      </c>
    </row>
    <row r="4973" spans="1:40" x14ac:dyDescent="0.25">
      <c r="A4973" t="str">
        <f>"20190304164744835"</f>
        <v>20190304164744835</v>
      </c>
      <c r="B4973" t="str">
        <f>"1551689264824421"</f>
        <v>1551689264824421</v>
      </c>
      <c r="C4973" t="s">
        <v>40</v>
      </c>
      <c r="D4973">
        <v>4.920312</v>
      </c>
      <c r="E4973">
        <v>0.5386978</v>
      </c>
      <c r="F4973" t="s">
        <v>42</v>
      </c>
      <c r="G4973">
        <v>-303.76029999999997</v>
      </c>
      <c r="H4973" s="1">
        <v>-4.934886E-6</v>
      </c>
      <c r="I4973">
        <v>-0.43600369999999999</v>
      </c>
      <c r="J4973">
        <v>-303.51240000000001</v>
      </c>
      <c r="K4973">
        <v>1.056662</v>
      </c>
      <c r="L4973">
        <v>5.0695499999999996</v>
      </c>
      <c r="M4973">
        <v>0.26576179999999999</v>
      </c>
      <c r="N4973">
        <v>-1.5190169999999999E-2</v>
      </c>
      <c r="O4973">
        <v>-0.96391950000000004</v>
      </c>
      <c r="P4973">
        <v>8.2678879999999996E-2</v>
      </c>
      <c r="Q4973">
        <v>0.38347999999999999</v>
      </c>
      <c r="R4973">
        <v>-0.91984149999999998</v>
      </c>
      <c r="S4973">
        <v>-8.6547849999999996E-2</v>
      </c>
      <c r="T4973">
        <v>-0.62800649999999902</v>
      </c>
      <c r="U4973">
        <v>-3.532349</v>
      </c>
      <c r="V4973">
        <v>0.16929469999999999</v>
      </c>
      <c r="W4973">
        <v>0.39533750000000001</v>
      </c>
      <c r="X4973">
        <v>0.90279980000000004</v>
      </c>
      <c r="Y4973">
        <v>0.28853319999999999</v>
      </c>
      <c r="Z4973">
        <v>0.146862299999999</v>
      </c>
      <c r="AA4973">
        <v>0.94613959999999997</v>
      </c>
      <c r="AB4973">
        <v>22</v>
      </c>
      <c r="AC4973">
        <v>-0.24789999999995799</v>
      </c>
      <c r="AD4973">
        <v>-1.0566669348860001</v>
      </c>
      <c r="AE4973">
        <v>-5.5055536999999903</v>
      </c>
      <c r="AF4973">
        <v>1.6419562012547499</v>
      </c>
      <c r="AG4973">
        <v>-1.0566669348860001</v>
      </c>
      <c r="AH4973">
        <v>5.0557723164174799</v>
      </c>
      <c r="AI4973">
        <v>101.242793393334</v>
      </c>
      <c r="AJ4973">
        <v>72.007829769827097</v>
      </c>
      <c r="AK4973">
        <v>5.4197231380923601</v>
      </c>
      <c r="AL4973">
        <v>66.712974198189201</v>
      </c>
      <c r="AM4973">
        <v>79.379134639359705</v>
      </c>
      <c r="AN4973">
        <v>0.99999995661718899</v>
      </c>
    </row>
    <row r="4974" spans="1:40" x14ac:dyDescent="0.25">
      <c r="A4974" t="str">
        <f>"20190304164744880"</f>
        <v>20190304164744880</v>
      </c>
      <c r="B4974" t="str">
        <f>"1551689264874193"</f>
        <v>1551689264874193</v>
      </c>
      <c r="C4974" t="s">
        <v>40</v>
      </c>
      <c r="D4974">
        <v>4.7793109999999999</v>
      </c>
      <c r="E4974">
        <v>0.52984880000000001</v>
      </c>
      <c r="F4974" t="s">
        <v>41</v>
      </c>
      <c r="G4974">
        <v>-303.48930000000001</v>
      </c>
      <c r="H4974">
        <v>0.92984350000000004</v>
      </c>
      <c r="I4974">
        <v>4.1369819999999997</v>
      </c>
      <c r="J4974">
        <v>-303.41050000000001</v>
      </c>
      <c r="K4974">
        <v>1.057712</v>
      </c>
      <c r="L4974">
        <v>4.6268310000000001</v>
      </c>
      <c r="M4974">
        <v>0.25175940000000002</v>
      </c>
      <c r="N4974">
        <v>-1.484794E-2</v>
      </c>
      <c r="O4974">
        <v>-0.96767610000000004</v>
      </c>
      <c r="P4974">
        <v>8.5276870000000005E-2</v>
      </c>
      <c r="Q4974">
        <v>0.39024910000000002</v>
      </c>
      <c r="R4974">
        <v>-0.91675169999999995</v>
      </c>
      <c r="S4974">
        <v>8.5784910000000006E-2</v>
      </c>
      <c r="T4974">
        <v>-0.46869100000000002</v>
      </c>
      <c r="U4974">
        <v>-3.4491269999999998</v>
      </c>
      <c r="V4974">
        <v>0.15189830000000001</v>
      </c>
      <c r="W4974">
        <v>0.40235650000000001</v>
      </c>
      <c r="X4974">
        <v>0.90279350000000003</v>
      </c>
      <c r="Y4974">
        <v>0.22751930000000001</v>
      </c>
      <c r="Z4974">
        <v>0.1117047</v>
      </c>
      <c r="AA4974">
        <v>0.96734540000000002</v>
      </c>
      <c r="AB4974">
        <v>22</v>
      </c>
      <c r="AC4974">
        <v>-7.8800000000000994E-2</v>
      </c>
      <c r="AD4974">
        <v>-0.1278685</v>
      </c>
      <c r="AE4974">
        <v>-0.48984899999999998</v>
      </c>
      <c r="AF4974">
        <v>0.187167070370724</v>
      </c>
      <c r="AG4974">
        <v>-0.1278685</v>
      </c>
      <c r="AH4974">
        <v>0.42593537557324801</v>
      </c>
      <c r="AI4974">
        <v>105.367808055974</v>
      </c>
      <c r="AJ4974">
        <v>66.278065668516703</v>
      </c>
      <c r="AK4974">
        <v>0.48249643489681199</v>
      </c>
      <c r="AL4974">
        <v>66.274421810448203</v>
      </c>
      <c r="AM4974">
        <v>80.449230772384496</v>
      </c>
      <c r="AN4974">
        <v>0.99999997513869399</v>
      </c>
    </row>
    <row r="4975" spans="1:40" x14ac:dyDescent="0.25">
      <c r="A4975" t="str">
        <f>"20190304164744906"</f>
        <v>20190304164744906</v>
      </c>
      <c r="B4975" t="str">
        <f>"1551689264893714"</f>
        <v>1551689264893714</v>
      </c>
      <c r="C4975" t="s">
        <v>40</v>
      </c>
      <c r="D4975">
        <v>4.8077120000000004</v>
      </c>
      <c r="E4975">
        <v>0.52819579999999999</v>
      </c>
      <c r="F4975" t="s">
        <v>41</v>
      </c>
      <c r="G4975">
        <v>-303.36900000000003</v>
      </c>
      <c r="H4975">
        <v>0.95512900000000001</v>
      </c>
      <c r="I4975">
        <v>3.7500689999999999</v>
      </c>
      <c r="J4975">
        <v>-303.35489999999999</v>
      </c>
      <c r="K4975">
        <v>1.058106</v>
      </c>
      <c r="L4975">
        <v>4.3782959999999997</v>
      </c>
      <c r="M4975">
        <v>0.24497379999999999</v>
      </c>
      <c r="N4975">
        <v>-1.46862E-2</v>
      </c>
      <c r="O4975">
        <v>-0.96941849999999996</v>
      </c>
      <c r="P4975">
        <v>8.9709860000000002E-2</v>
      </c>
      <c r="Q4975">
        <v>0.397202</v>
      </c>
      <c r="R4975">
        <v>-0.91333629999999999</v>
      </c>
      <c r="S4975">
        <v>0.1622314</v>
      </c>
      <c r="T4975">
        <v>-0.4009123</v>
      </c>
      <c r="U4975">
        <v>-3.4280089999999999</v>
      </c>
      <c r="V4975">
        <v>0.1401107</v>
      </c>
      <c r="W4975">
        <v>0.40936549999999999</v>
      </c>
      <c r="X4975">
        <v>0.90154800000000002</v>
      </c>
      <c r="Y4975">
        <v>0.198905</v>
      </c>
      <c r="Z4975">
        <v>9.5139039999999994E-2</v>
      </c>
      <c r="AA4975">
        <v>0.97538979999999997</v>
      </c>
      <c r="AB4975">
        <v>22</v>
      </c>
      <c r="AC4975">
        <v>-1.4100000000041701E-2</v>
      </c>
      <c r="AD4975">
        <v>-0.102976999999999</v>
      </c>
      <c r="AE4975">
        <v>-0.62822699999999898</v>
      </c>
      <c r="AF4975">
        <v>0.16320316838537199</v>
      </c>
      <c r="AG4975">
        <v>-0.102976999999999</v>
      </c>
      <c r="AH4975">
        <v>0.58978717938037695</v>
      </c>
      <c r="AI4975">
        <v>99.552042932040195</v>
      </c>
      <c r="AJ4975">
        <v>74.532416360336796</v>
      </c>
      <c r="AK4975">
        <v>0.62055495619766399</v>
      </c>
      <c r="AL4975">
        <v>65.8350161997881</v>
      </c>
      <c r="AM4975">
        <v>81.166258475379294</v>
      </c>
      <c r="AN4975">
        <v>0.99999995857436896</v>
      </c>
    </row>
    <row r="4976" spans="1:40" x14ac:dyDescent="0.25">
      <c r="A4976" t="str">
        <f>"20190304164744928"</f>
        <v>20190304164744928</v>
      </c>
      <c r="B4976" t="str">
        <f>"1551689264923969"</f>
        <v>1551689264923969</v>
      </c>
      <c r="C4976" t="s">
        <v>40</v>
      </c>
      <c r="D4976">
        <v>4.8885319999999997</v>
      </c>
      <c r="E4976">
        <v>0.52759940000000005</v>
      </c>
      <c r="F4976" t="s">
        <v>41</v>
      </c>
      <c r="G4976">
        <v>-303.31119999999999</v>
      </c>
      <c r="H4976">
        <v>0.97251489999999996</v>
      </c>
      <c r="I4976">
        <v>3.5507029999999999</v>
      </c>
      <c r="J4976">
        <v>-303.30410000000001</v>
      </c>
      <c r="K4976">
        <v>1.0584359999999999</v>
      </c>
      <c r="L4976">
        <v>4.1469120000000004</v>
      </c>
      <c r="M4976">
        <v>0.2392309</v>
      </c>
      <c r="N4976">
        <v>-1.454577E-2</v>
      </c>
      <c r="O4976">
        <v>-0.97085390000000005</v>
      </c>
      <c r="P4976">
        <v>9.6135419999999999E-2</v>
      </c>
      <c r="Q4976">
        <v>0.40684480000000001</v>
      </c>
      <c r="R4976">
        <v>-0.90842520000000004</v>
      </c>
      <c r="S4976">
        <v>0.1805725</v>
      </c>
      <c r="T4976">
        <v>-0.353753599999999</v>
      </c>
      <c r="U4976">
        <v>-3.420776</v>
      </c>
      <c r="V4976">
        <v>0.1271265</v>
      </c>
      <c r="W4976">
        <v>0.4190313</v>
      </c>
      <c r="X4976">
        <v>0.89902819999999894</v>
      </c>
      <c r="Y4976">
        <v>0.18775449999999999</v>
      </c>
      <c r="Z4976">
        <v>8.3033029999999994E-2</v>
      </c>
      <c r="AA4976">
        <v>0.97870000000000001</v>
      </c>
      <c r="AB4976">
        <v>22</v>
      </c>
      <c r="AC4976">
        <v>-7.0999999999799002E-3</v>
      </c>
      <c r="AD4976">
        <v>-8.5921100000000195E-2</v>
      </c>
      <c r="AE4976">
        <v>-0.59620899999999999</v>
      </c>
      <c r="AF4976">
        <v>0.14649837438233401</v>
      </c>
      <c r="AG4976">
        <v>-8.5921100000000195E-2</v>
      </c>
      <c r="AH4976">
        <v>0.56545240712173594</v>
      </c>
      <c r="AI4976">
        <v>98.367887512392898</v>
      </c>
      <c r="AJ4976">
        <v>75.475077655783195</v>
      </c>
      <c r="AK4976">
        <v>0.59040717631279005</v>
      </c>
      <c r="AL4976">
        <v>65.226556573461394</v>
      </c>
      <c r="AM4976">
        <v>81.951488197570995</v>
      </c>
      <c r="AN4976">
        <v>1.0000000408885801</v>
      </c>
    </row>
    <row r="4977" spans="1:40" x14ac:dyDescent="0.25">
      <c r="A4977" t="str">
        <f>"20190304164744951"</f>
        <v>20190304164744951</v>
      </c>
      <c r="B4977" t="str">
        <f>"1551689264944466"</f>
        <v>1551689264944466</v>
      </c>
      <c r="C4977" t="s">
        <v>40</v>
      </c>
      <c r="D4977">
        <v>4.9119580000000003</v>
      </c>
      <c r="E4977">
        <v>0.52761289999999905</v>
      </c>
      <c r="F4977" t="s">
        <v>41</v>
      </c>
      <c r="G4977">
        <v>-303.25810000000001</v>
      </c>
      <c r="H4977">
        <v>0.98373279999999996</v>
      </c>
      <c r="I4977">
        <v>3.3527339999999901</v>
      </c>
      <c r="J4977">
        <v>-303.25749999999999</v>
      </c>
      <c r="K4977">
        <v>1.058746</v>
      </c>
      <c r="L4977">
        <v>3.931305</v>
      </c>
      <c r="M4977">
        <v>0.2343141</v>
      </c>
      <c r="N4977">
        <v>-1.44154E-2</v>
      </c>
      <c r="O4977">
        <v>-0.97205390000000003</v>
      </c>
      <c r="P4977">
        <v>0.1033819</v>
      </c>
      <c r="Q4977">
        <v>0.41628959999999998</v>
      </c>
      <c r="R4977">
        <v>-0.90333569999999996</v>
      </c>
      <c r="S4977">
        <v>0.19894410000000001</v>
      </c>
      <c r="T4977">
        <v>-0.32182850000000002</v>
      </c>
      <c r="U4977">
        <v>-3.4255070000000001</v>
      </c>
      <c r="V4977">
        <v>0.1141051</v>
      </c>
      <c r="W4977">
        <v>0.42848740000000002</v>
      </c>
      <c r="X4977">
        <v>0.8963139</v>
      </c>
      <c r="Y4977">
        <v>0.17759710000000001</v>
      </c>
      <c r="Z4977">
        <v>7.4566450000000006E-2</v>
      </c>
      <c r="AA4977">
        <v>0.98127419999999999</v>
      </c>
      <c r="AB4977">
        <v>22</v>
      </c>
      <c r="AC4977">
        <v>-6.0000000001991696E-4</v>
      </c>
      <c r="AD4977">
        <v>-7.5013199999999697E-2</v>
      </c>
      <c r="AE4977">
        <v>-0.57857100000000095</v>
      </c>
      <c r="AF4977">
        <v>0.13391368801654899</v>
      </c>
      <c r="AG4977">
        <v>-7.5013199999999697E-2</v>
      </c>
      <c r="AH4977">
        <v>0.55302392483479501</v>
      </c>
      <c r="AI4977">
        <v>97.510103534878695</v>
      </c>
      <c r="AJ4977">
        <v>76.387950107623496</v>
      </c>
      <c r="AK4977">
        <v>0.57392971473179</v>
      </c>
      <c r="AL4977">
        <v>64.628395463184603</v>
      </c>
      <c r="AM4977">
        <v>82.744994650334903</v>
      </c>
      <c r="AN4977">
        <v>1.00000001656899</v>
      </c>
    </row>
    <row r="4978" spans="1:40" x14ac:dyDescent="0.25">
      <c r="A4978" t="str">
        <f>"20190304164744978"</f>
        <v>20190304164744978</v>
      </c>
      <c r="B4978" t="str">
        <f>"1551689264973747"</f>
        <v>1551689264973747</v>
      </c>
      <c r="C4978" t="s">
        <v>40</v>
      </c>
      <c r="D4978">
        <v>4.8930309999999997</v>
      </c>
      <c r="E4978">
        <v>0.52760289999999999</v>
      </c>
      <c r="F4978" t="s">
        <v>42</v>
      </c>
      <c r="G4978">
        <v>-302.4785</v>
      </c>
      <c r="H4978" s="1">
        <v>-1.196182E-6</v>
      </c>
      <c r="I4978">
        <v>-8.3272809999999993</v>
      </c>
      <c r="J4978">
        <v>-303.20310000000001</v>
      </c>
      <c r="K4978">
        <v>1.059088</v>
      </c>
      <c r="L4978">
        <v>3.6752929999999999</v>
      </c>
      <c r="M4978">
        <v>0.22889899999999999</v>
      </c>
      <c r="N4978">
        <v>-1.426258E-2</v>
      </c>
      <c r="O4978">
        <v>-0.97334569999999998</v>
      </c>
      <c r="P4978">
        <v>0.1098032</v>
      </c>
      <c r="Q4978">
        <v>0.42447049999999997</v>
      </c>
      <c r="R4978">
        <v>-0.89875919999999898</v>
      </c>
      <c r="S4978">
        <v>0.21813959999999999</v>
      </c>
      <c r="T4978">
        <v>-0.29647289999999998</v>
      </c>
      <c r="U4978">
        <v>-3.4326780000000001</v>
      </c>
      <c r="V4978">
        <v>0.1015021</v>
      </c>
      <c r="W4978">
        <v>0.43665789999999999</v>
      </c>
      <c r="X4978">
        <v>0.89388319999999999</v>
      </c>
      <c r="Y4978">
        <v>0.16674910000000001</v>
      </c>
      <c r="Z4978">
        <v>6.7834749999999999E-2</v>
      </c>
      <c r="AA4978">
        <v>0.98366310000000001</v>
      </c>
      <c r="AB4978">
        <v>22</v>
      </c>
      <c r="AC4978">
        <v>0.72460000000000901</v>
      </c>
      <c r="AD4978">
        <v>-1.0590891961819999</v>
      </c>
      <c r="AE4978">
        <v>-12.002573999999999</v>
      </c>
      <c r="AF4978">
        <v>2.0265769026820601</v>
      </c>
      <c r="AG4978">
        <v>-1.0590891961819999</v>
      </c>
      <c r="AH4978">
        <v>11.758499543046799</v>
      </c>
      <c r="AI4978">
        <v>95.072362563866704</v>
      </c>
      <c r="AJ4978">
        <v>80.221144901260701</v>
      </c>
      <c r="AK4978">
        <v>11.9787726988947</v>
      </c>
      <c r="AL4978">
        <v>64.109163992347106</v>
      </c>
      <c r="AM4978">
        <v>83.521706328126001</v>
      </c>
      <c r="AN4978">
        <v>0.99999998658952904</v>
      </c>
    </row>
    <row r="4979" spans="1:40" x14ac:dyDescent="0.25">
      <c r="A4979" t="str">
        <f>"20190304164745014"</f>
        <v>20190304164745014</v>
      </c>
      <c r="B4979" t="str">
        <f>"1551689265004002"</f>
        <v>1551689265004002</v>
      </c>
      <c r="C4979" t="s">
        <v>40</v>
      </c>
      <c r="D4979">
        <v>4.9089169999999998</v>
      </c>
      <c r="E4979">
        <v>0.52759160000000005</v>
      </c>
      <c r="F4979" t="s">
        <v>41</v>
      </c>
      <c r="G4979">
        <v>-303.14019999999999</v>
      </c>
      <c r="H4979">
        <v>0.98419020000000002</v>
      </c>
      <c r="I4979">
        <v>2.7714439999999998</v>
      </c>
      <c r="J4979">
        <v>-303.12880000000001</v>
      </c>
      <c r="K4979">
        <v>1.059423</v>
      </c>
      <c r="L4979">
        <v>3.3206180000000001</v>
      </c>
      <c r="M4979">
        <v>0.2219643</v>
      </c>
      <c r="N4979">
        <v>-1.4076170000000001E-2</v>
      </c>
      <c r="O4979">
        <v>-0.97495319999999996</v>
      </c>
      <c r="P4979">
        <v>0.12704389999999999</v>
      </c>
      <c r="Q4979">
        <v>0.43301400000000001</v>
      </c>
      <c r="R4979">
        <v>-0.89238949999999995</v>
      </c>
      <c r="S4979">
        <v>0.23983760000000001</v>
      </c>
      <c r="T4979">
        <v>-0.285136</v>
      </c>
      <c r="U4979">
        <v>-3.443298</v>
      </c>
      <c r="V4979">
        <v>7.654474E-2</v>
      </c>
      <c r="W4979">
        <v>0.44522339999999999</v>
      </c>
      <c r="X4979">
        <v>0.89214179999999998</v>
      </c>
      <c r="Y4979">
        <v>0.15373870000000001</v>
      </c>
      <c r="Z4979">
        <v>6.4937610000000007E-2</v>
      </c>
      <c r="AA4979">
        <v>0.98597539999999995</v>
      </c>
      <c r="AB4979">
        <v>22</v>
      </c>
      <c r="AC4979">
        <v>-1.13999999999805E-2</v>
      </c>
      <c r="AD4979">
        <v>-7.5232799999999905E-2</v>
      </c>
      <c r="AE4979">
        <v>-0.54917400000000005</v>
      </c>
      <c r="AF4979">
        <v>0.130575218486151</v>
      </c>
      <c r="AG4979">
        <v>-7.5232799999999905E-2</v>
      </c>
      <c r="AH4979">
        <v>0.52312804044837802</v>
      </c>
      <c r="AI4979">
        <v>97.9433332798355</v>
      </c>
      <c r="AJ4979">
        <v>75.985075148630798</v>
      </c>
      <c r="AK4979">
        <v>0.54440133043730399</v>
      </c>
      <c r="AL4979">
        <v>63.562366775807398</v>
      </c>
      <c r="AM4979">
        <v>85.096097772162594</v>
      </c>
      <c r="AN4979">
        <v>0.99999998221823305</v>
      </c>
    </row>
    <row r="4980" spans="1:40" x14ac:dyDescent="0.25">
      <c r="A4980" t="str">
        <f>"20190304164745044"</f>
        <v>20190304164745044</v>
      </c>
      <c r="B4980" t="str">
        <f>"1551689265034258"</f>
        <v>1551689265034258</v>
      </c>
      <c r="C4980" t="s">
        <v>40</v>
      </c>
      <c r="D4980">
        <v>4.8368209999999996</v>
      </c>
      <c r="E4980">
        <v>0.52945699999999996</v>
      </c>
      <c r="F4980" t="s">
        <v>41</v>
      </c>
      <c r="G4980">
        <v>-303.04599999999999</v>
      </c>
      <c r="H4980">
        <v>0.98624400000000001</v>
      </c>
      <c r="I4980">
        <v>2.3893230000000001</v>
      </c>
      <c r="J4980">
        <v>-303.0693</v>
      </c>
      <c r="K4980">
        <v>1.059544</v>
      </c>
      <c r="L4980">
        <v>3.0291139999999999</v>
      </c>
      <c r="M4980">
        <v>0.21675159999999999</v>
      </c>
      <c r="N4980">
        <v>-1.395151E-2</v>
      </c>
      <c r="O4980">
        <v>-0.97612719999999997</v>
      </c>
      <c r="P4980">
        <v>0.13263349999999999</v>
      </c>
      <c r="Q4980">
        <v>0.43302950000000001</v>
      </c>
      <c r="R4980">
        <v>-0.89156840000000004</v>
      </c>
      <c r="S4980">
        <v>0.30743409999999999</v>
      </c>
      <c r="T4980">
        <v>-0.2708777</v>
      </c>
      <c r="U4980">
        <v>-3.4494319999999998</v>
      </c>
      <c r="V4980">
        <v>6.5964049999999996E-2</v>
      </c>
      <c r="W4980">
        <v>0.44521490000000002</v>
      </c>
      <c r="X4980">
        <v>0.89299079999999997</v>
      </c>
      <c r="Y4980">
        <v>0.1293378</v>
      </c>
      <c r="Z4980">
        <v>6.1249610000000003E-2</v>
      </c>
      <c r="AA4980">
        <v>0.98970709999999995</v>
      </c>
      <c r="AB4980">
        <v>22</v>
      </c>
      <c r="AC4980">
        <v>2.3300000000006E-2</v>
      </c>
      <c r="AD4980">
        <v>-7.3300000000000004E-2</v>
      </c>
      <c r="AE4980">
        <v>-0.639790999999999</v>
      </c>
      <c r="AF4980">
        <v>0.11444304402533</v>
      </c>
      <c r="AG4980">
        <v>-7.3300000000000004E-2</v>
      </c>
      <c r="AH4980">
        <v>0.62148216628406605</v>
      </c>
      <c r="AI4980">
        <v>96.616376256772696</v>
      </c>
      <c r="AJ4980">
        <v>79.566137083166893</v>
      </c>
      <c r="AK4980">
        <v>0.63616836084083805</v>
      </c>
      <c r="AL4980">
        <v>63.562913055651997</v>
      </c>
      <c r="AM4980">
        <v>85.775309477186894</v>
      </c>
      <c r="AN4980">
        <v>1.0000000659795201</v>
      </c>
    </row>
    <row r="4981" spans="1:40" x14ac:dyDescent="0.25">
      <c r="A4981" t="str">
        <f>"20190304164745068"</f>
        <v>20190304164745068</v>
      </c>
      <c r="B4981" t="str">
        <f>"1551689265064516"</f>
        <v>1551689265064516</v>
      </c>
      <c r="C4981" t="s">
        <v>40</v>
      </c>
      <c r="D4981">
        <v>4.9685930000000003</v>
      </c>
      <c r="E4981">
        <v>0.53013350000000004</v>
      </c>
      <c r="F4981" t="s">
        <v>41</v>
      </c>
      <c r="G4981">
        <v>-302.99279999999999</v>
      </c>
      <c r="H4981">
        <v>0.95789310000000005</v>
      </c>
      <c r="I4981">
        <v>2.2139090000000001</v>
      </c>
      <c r="J4981">
        <v>-303.02260000000001</v>
      </c>
      <c r="K4981">
        <v>1.0595939999999999</v>
      </c>
      <c r="L4981">
        <v>2.7971499999999998</v>
      </c>
      <c r="M4981">
        <v>0.21284719999999999</v>
      </c>
      <c r="N4981">
        <v>-1.3859720000000001E-2</v>
      </c>
      <c r="O4981">
        <v>-0.97698719999999994</v>
      </c>
      <c r="P4981">
        <v>0.13984869999999999</v>
      </c>
      <c r="Q4981">
        <v>0.43290230000000002</v>
      </c>
      <c r="R4981">
        <v>-0.8905267</v>
      </c>
      <c r="S4981">
        <v>0.33190920000000002</v>
      </c>
      <c r="T4981">
        <v>-0.43979659999999898</v>
      </c>
      <c r="U4981">
        <v>-3.529083</v>
      </c>
      <c r="V4981">
        <v>5.5035969999999997E-2</v>
      </c>
      <c r="W4981">
        <v>0.44507649999999999</v>
      </c>
      <c r="X4981">
        <v>0.89379969999999997</v>
      </c>
      <c r="Y4981">
        <v>0.1208511</v>
      </c>
      <c r="Z4981">
        <v>0.1051026</v>
      </c>
      <c r="AA4981">
        <v>0.98709089999999999</v>
      </c>
      <c r="AB4981">
        <v>22</v>
      </c>
      <c r="AC4981">
        <v>2.9800000000022898E-2</v>
      </c>
      <c r="AD4981">
        <v>-0.1017009</v>
      </c>
      <c r="AE4981">
        <v>-0.58324099999999901</v>
      </c>
      <c r="AF4981">
        <v>9.2238848414782804E-2</v>
      </c>
      <c r="AG4981">
        <v>-0.1017009</v>
      </c>
      <c r="AH4981">
        <v>0.55925691772387298</v>
      </c>
      <c r="AI4981">
        <v>100.172116546316</v>
      </c>
      <c r="AJ4981">
        <v>80.634459016269105</v>
      </c>
      <c r="AK4981">
        <v>0.57586402756180399</v>
      </c>
      <c r="AL4981">
        <v>63.571766007571803</v>
      </c>
      <c r="AM4981">
        <v>86.476444839123701</v>
      </c>
      <c r="AN4981">
        <v>0.99999997628309001</v>
      </c>
    </row>
    <row r="4982" spans="1:40" x14ac:dyDescent="0.25">
      <c r="A4982" t="str">
        <f>"20190304164745091"</f>
        <v>20190304164745091</v>
      </c>
      <c r="B4982" t="str">
        <f>"1551689265084034"</f>
        <v>1551689265084034</v>
      </c>
      <c r="C4982" t="s">
        <v>40</v>
      </c>
      <c r="D4982">
        <v>5.1558089999999996</v>
      </c>
      <c r="E4982">
        <v>0.53019179999999999</v>
      </c>
      <c r="F4982" t="s">
        <v>41</v>
      </c>
      <c r="G4982">
        <v>-302.94529999999997</v>
      </c>
      <c r="H4982">
        <v>0.95834549999999996</v>
      </c>
      <c r="I4982">
        <v>2.0226600000000001</v>
      </c>
      <c r="J4982">
        <v>-302.97789999999998</v>
      </c>
      <c r="K4982">
        <v>1.0596620000000001</v>
      </c>
      <c r="L4982">
        <v>2.5711059999999999</v>
      </c>
      <c r="M4982">
        <v>0.20929030000000001</v>
      </c>
      <c r="N4982">
        <v>-1.376319E-2</v>
      </c>
      <c r="O4982">
        <v>-0.97775690000000004</v>
      </c>
      <c r="P4982">
        <v>0.14858959999999999</v>
      </c>
      <c r="Q4982">
        <v>0.4309964</v>
      </c>
      <c r="R4982">
        <v>-0.89003569999999999</v>
      </c>
      <c r="S4982">
        <v>0.35369869999999998</v>
      </c>
      <c r="T4982">
        <v>-0.46247840000000001</v>
      </c>
      <c r="U4982">
        <v>-3.5380549999999999</v>
      </c>
      <c r="V4982">
        <v>4.3019309999999998E-2</v>
      </c>
      <c r="W4982">
        <v>0.44317020000000001</v>
      </c>
      <c r="X4982">
        <v>0.89540459999999999</v>
      </c>
      <c r="Y4982">
        <v>0.11151560000000001</v>
      </c>
      <c r="Z4982">
        <v>0.11111119999999999</v>
      </c>
      <c r="AA4982">
        <v>0.98753150000000001</v>
      </c>
      <c r="AB4982">
        <v>22</v>
      </c>
      <c r="AC4982">
        <v>3.26000000000021E-2</v>
      </c>
      <c r="AD4982">
        <v>-0.1013165</v>
      </c>
      <c r="AE4982">
        <v>-0.54844599999999999</v>
      </c>
      <c r="AF4982">
        <v>8.0190401430487404E-2</v>
      </c>
      <c r="AG4982">
        <v>-0.1013165</v>
      </c>
      <c r="AH4982">
        <v>0.52525888363884199</v>
      </c>
      <c r="AI4982">
        <v>100.795530219843</v>
      </c>
      <c r="AJ4982">
        <v>81.319772867069204</v>
      </c>
      <c r="AK4982">
        <v>0.54091813474439498</v>
      </c>
      <c r="AL4982">
        <v>63.693670373686899</v>
      </c>
      <c r="AM4982">
        <v>87.249365234532206</v>
      </c>
      <c r="AN4982">
        <v>0.99999994245103596</v>
      </c>
    </row>
    <row r="4983" spans="1:40" x14ac:dyDescent="0.25">
      <c r="A4983" t="str">
        <f>"20190304164745125"</f>
        <v>20190304164745125</v>
      </c>
      <c r="B4983" t="str">
        <f>"1551689265114290"</f>
        <v>1551689265114290</v>
      </c>
      <c r="C4983" t="s">
        <v>40</v>
      </c>
      <c r="D4983">
        <v>4.8437710000000003</v>
      </c>
      <c r="E4983">
        <v>0.48926500000000001</v>
      </c>
      <c r="F4983" t="s">
        <v>41</v>
      </c>
      <c r="G4983">
        <v>-302.89940000000001</v>
      </c>
      <c r="H4983">
        <v>0.96049609999999996</v>
      </c>
      <c r="I4983">
        <v>1.830284</v>
      </c>
      <c r="J4983">
        <v>-302.91590000000002</v>
      </c>
      <c r="K4983">
        <v>1.0598540000000001</v>
      </c>
      <c r="L4983">
        <v>2.2528380000000001</v>
      </c>
      <c r="M4983">
        <v>0.20477310000000001</v>
      </c>
      <c r="N4983">
        <v>-1.3595360000000001E-2</v>
      </c>
      <c r="O4983">
        <v>-0.97871509999999995</v>
      </c>
      <c r="P4983">
        <v>0.163905299999999</v>
      </c>
      <c r="Q4983">
        <v>0.4292029</v>
      </c>
      <c r="R4983">
        <v>-0.88821139999999998</v>
      </c>
      <c r="S4983">
        <v>0.37597659999999999</v>
      </c>
      <c r="T4983">
        <v>-0.47317809999999999</v>
      </c>
      <c r="U4983">
        <v>-3.5370180000000002</v>
      </c>
      <c r="V4983">
        <v>2.3250259999999998E-2</v>
      </c>
      <c r="W4983">
        <v>0.44134869999999998</v>
      </c>
      <c r="X4983">
        <v>0.89703440000000001</v>
      </c>
      <c r="Y4983">
        <v>0.1007871</v>
      </c>
      <c r="Z4983">
        <v>0.1143821</v>
      </c>
      <c r="AA4983">
        <v>0.9883111</v>
      </c>
      <c r="AB4983">
        <v>22</v>
      </c>
      <c r="AC4983">
        <v>1.6500000000007699E-2</v>
      </c>
      <c r="AD4983">
        <v>-9.9357900000000096E-2</v>
      </c>
      <c r="AE4983">
        <v>-0.42255399999999999</v>
      </c>
      <c r="AF4983">
        <v>6.6703050651695794E-2</v>
      </c>
      <c r="AG4983">
        <v>-9.9357900000000096E-2</v>
      </c>
      <c r="AH4983">
        <v>0.39516230417498199</v>
      </c>
      <c r="AI4983">
        <v>103.924474615618</v>
      </c>
      <c r="AJ4983">
        <v>80.418840454043803</v>
      </c>
      <c r="AK4983">
        <v>0.41288562084375602</v>
      </c>
      <c r="AL4983">
        <v>63.810034292869602</v>
      </c>
      <c r="AM4983">
        <v>88.515281485768497</v>
      </c>
      <c r="AN4983">
        <v>0.99999998218255803</v>
      </c>
    </row>
    <row r="4984" spans="1:40" x14ac:dyDescent="0.25">
      <c r="A4984" t="str">
        <f>"20190304164745153"</f>
        <v>20190304164745153</v>
      </c>
      <c r="B4984" t="str">
        <f>"1551689265144546"</f>
        <v>1551689265144546</v>
      </c>
      <c r="C4984" t="s">
        <v>40</v>
      </c>
      <c r="D4984">
        <v>4.8716280000000003</v>
      </c>
      <c r="E4984">
        <v>0.4856394</v>
      </c>
      <c r="F4984" t="s">
        <v>41</v>
      </c>
      <c r="G4984">
        <v>-302.7439</v>
      </c>
      <c r="H4984">
        <v>0.97099650000000004</v>
      </c>
      <c r="I4984">
        <v>1.454944</v>
      </c>
      <c r="J4984">
        <v>-302.86219999999997</v>
      </c>
      <c r="K4984">
        <v>1.0600830000000001</v>
      </c>
      <c r="L4984">
        <v>1.9744569999999999</v>
      </c>
      <c r="M4984">
        <v>0.20121559999999999</v>
      </c>
      <c r="N4984">
        <v>-1.34352E-2</v>
      </c>
      <c r="O4984">
        <v>-0.97945490000000002</v>
      </c>
      <c r="P4984">
        <v>0.1655412</v>
      </c>
      <c r="Q4984">
        <v>0.42942649999999999</v>
      </c>
      <c r="R4984">
        <v>-0.88780020000000004</v>
      </c>
      <c r="S4984">
        <v>0.73861690000000002</v>
      </c>
      <c r="T4984">
        <v>-0.38140570000000001</v>
      </c>
      <c r="U4984">
        <v>-3.4255680000000002</v>
      </c>
      <c r="V4984">
        <v>1.8027399999999999E-2</v>
      </c>
      <c r="W4984">
        <v>0.44145909999999999</v>
      </c>
      <c r="X4984">
        <v>0.89710029999999996</v>
      </c>
      <c r="Y4984">
        <v>-8.8093189999999995E-3</v>
      </c>
      <c r="Z4984">
        <v>9.3013399999999996E-2</v>
      </c>
      <c r="AA4984">
        <v>0.99562589999999995</v>
      </c>
      <c r="AB4984">
        <v>22</v>
      </c>
      <c r="AC4984">
        <v>0.11829999999997599</v>
      </c>
      <c r="AD4984">
        <v>-8.9086499999999805E-2</v>
      </c>
      <c r="AE4984">
        <v>-0.519512999999999</v>
      </c>
      <c r="AF4984">
        <v>-1.10281146552008E-2</v>
      </c>
      <c r="AG4984">
        <v>-8.9086499999999805E-2</v>
      </c>
      <c r="AH4984">
        <v>0.51820445650396196</v>
      </c>
      <c r="AI4984">
        <v>99.752418750000899</v>
      </c>
      <c r="AJ4984">
        <v>91.219150190045099</v>
      </c>
      <c r="AK4984">
        <v>0.52592193578102897</v>
      </c>
      <c r="AL4984">
        <v>63.802986451620498</v>
      </c>
      <c r="AM4984">
        <v>88.848785430095404</v>
      </c>
      <c r="AN4984">
        <v>1.00000003619182</v>
      </c>
    </row>
    <row r="4985" spans="1:40" x14ac:dyDescent="0.25">
      <c r="A4985" t="str">
        <f>"20190304164745180"</f>
        <v>20190304164745180</v>
      </c>
      <c r="B4985" t="str">
        <f>"1551689265174596"</f>
        <v>1551689265174596</v>
      </c>
      <c r="C4985" t="s">
        <v>40</v>
      </c>
      <c r="D4985">
        <v>4.8781280000000002</v>
      </c>
      <c r="E4985">
        <v>0.48597400000000002</v>
      </c>
      <c r="F4985" t="s">
        <v>41</v>
      </c>
      <c r="G4985">
        <v>-302.69880000000001</v>
      </c>
      <c r="H4985">
        <v>0.98074570000000005</v>
      </c>
      <c r="I4985">
        <v>1.2556639999999999</v>
      </c>
      <c r="J4985">
        <v>-302.81779999999998</v>
      </c>
      <c r="K4985">
        <v>1.0602590000000001</v>
      </c>
      <c r="L4985">
        <v>1.7424010000000001</v>
      </c>
      <c r="M4985">
        <v>0.1986019</v>
      </c>
      <c r="N4985">
        <v>-1.330755E-2</v>
      </c>
      <c r="O4985">
        <v>-0.97999029999999998</v>
      </c>
      <c r="P4985">
        <v>0.16637589999999999</v>
      </c>
      <c r="Q4985">
        <v>0.43053639999999999</v>
      </c>
      <c r="R4985">
        <v>-0.88710679999999997</v>
      </c>
      <c r="S4985">
        <v>0.77749630000000003</v>
      </c>
      <c r="T4985">
        <v>-0.37698809999999999</v>
      </c>
      <c r="U4985">
        <v>-3.4165040000000002</v>
      </c>
      <c r="V4985">
        <v>1.446684E-2</v>
      </c>
      <c r="W4985">
        <v>0.44246649999999998</v>
      </c>
      <c r="X4985">
        <v>0.89666840000000003</v>
      </c>
      <c r="Y4985">
        <v>-2.2826309999999999E-2</v>
      </c>
      <c r="Z4985">
        <v>9.2150289999999996E-2</v>
      </c>
      <c r="AA4985">
        <v>0.99548349999999997</v>
      </c>
      <c r="AB4985">
        <v>22</v>
      </c>
      <c r="AC4985">
        <v>0.118999999999971</v>
      </c>
      <c r="AD4985">
        <v>-7.9513299999999995E-2</v>
      </c>
      <c r="AE4985">
        <v>-0.48673699999999998</v>
      </c>
      <c r="AF4985">
        <v>-1.9463593281605102E-2</v>
      </c>
      <c r="AG4985">
        <v>-7.9513299999999995E-2</v>
      </c>
      <c r="AH4985">
        <v>0.48837732935141498</v>
      </c>
      <c r="AI4985">
        <v>99.240048772997099</v>
      </c>
      <c r="AJ4985">
        <v>92.282235121127002</v>
      </c>
      <c r="AK4985">
        <v>0.495190480688737</v>
      </c>
      <c r="AL4985">
        <v>63.738641844340101</v>
      </c>
      <c r="AM4985">
        <v>89.075670599487196</v>
      </c>
      <c r="AN4985">
        <v>1.0000000563201901</v>
      </c>
    </row>
    <row r="4986" spans="1:40" x14ac:dyDescent="0.25">
      <c r="A4986" t="str">
        <f>"20190304164745215"</f>
        <v>20190304164745215</v>
      </c>
      <c r="B4986" t="str">
        <f>"1551689265203876"</f>
        <v>1551689265203876</v>
      </c>
      <c r="C4986" t="s">
        <v>40</v>
      </c>
      <c r="D4986">
        <v>4.8812129999999998</v>
      </c>
      <c r="E4986">
        <v>0.48690879999999997</v>
      </c>
      <c r="F4986" t="s">
        <v>41</v>
      </c>
      <c r="G4986">
        <v>-302.62009999999998</v>
      </c>
      <c r="H4986">
        <v>0.96487149999999999</v>
      </c>
      <c r="I4986">
        <v>0.88139889999999999</v>
      </c>
      <c r="J4986">
        <v>-302.74979999999999</v>
      </c>
      <c r="K4986">
        <v>1.0604800000000001</v>
      </c>
      <c r="L4986">
        <v>1.384369</v>
      </c>
      <c r="M4986">
        <v>0.19522039999999999</v>
      </c>
      <c r="N4986">
        <v>-1.311263E-2</v>
      </c>
      <c r="O4986">
        <v>-0.98067199999999999</v>
      </c>
      <c r="P4986">
        <v>0.1675933</v>
      </c>
      <c r="Q4986">
        <v>0.43200670000000002</v>
      </c>
      <c r="R4986">
        <v>-0.88616219999999901</v>
      </c>
      <c r="S4986">
        <v>0.78466800000000003</v>
      </c>
      <c r="T4986">
        <v>-0.37873459999999998</v>
      </c>
      <c r="U4986">
        <v>-3.4184269999999999</v>
      </c>
      <c r="V4986">
        <v>9.7145749999999996E-3</v>
      </c>
      <c r="W4986">
        <v>0.44377280000000002</v>
      </c>
      <c r="X4986">
        <v>0.89608659999999996</v>
      </c>
      <c r="Y4986">
        <v>-2.812075E-2</v>
      </c>
      <c r="Z4986">
        <v>9.2840110000000003E-2</v>
      </c>
      <c r="AA4986">
        <v>0.99528380000000005</v>
      </c>
      <c r="AB4986">
        <v>22</v>
      </c>
      <c r="AC4986">
        <v>0.129700000000013</v>
      </c>
      <c r="AD4986">
        <v>-9.5608499999999805E-2</v>
      </c>
      <c r="AE4986">
        <v>-0.50297009999999998</v>
      </c>
      <c r="AF4986">
        <v>-2.8055100512280301E-2</v>
      </c>
      <c r="AG4986">
        <v>-9.5608499999999805E-2</v>
      </c>
      <c r="AH4986">
        <v>0.50161817319481705</v>
      </c>
      <c r="AI4986">
        <v>100.774707722768</v>
      </c>
      <c r="AJ4986">
        <v>93.201171757067002</v>
      </c>
      <c r="AK4986">
        <v>0.51141848384303601</v>
      </c>
      <c r="AL4986">
        <v>63.655148529812799</v>
      </c>
      <c r="AM4986">
        <v>89.378874382274503</v>
      </c>
      <c r="AN4986">
        <v>0.99999993284341304</v>
      </c>
    </row>
    <row r="4987" spans="1:40" x14ac:dyDescent="0.25">
      <c r="A4987" t="str">
        <f>"20190304164745259"</f>
        <v>20190304164745259</v>
      </c>
      <c r="B4987" t="str">
        <f>"1551689265254628"</f>
        <v>1551689265254628</v>
      </c>
      <c r="C4987" t="s">
        <v>40</v>
      </c>
      <c r="D4987">
        <v>4.8736540000000002</v>
      </c>
      <c r="E4987">
        <v>0.48857309999999998</v>
      </c>
      <c r="F4987" t="s">
        <v>41</v>
      </c>
      <c r="G4987">
        <v>-302.5428</v>
      </c>
      <c r="H4987">
        <v>0.96233150000000001</v>
      </c>
      <c r="I4987">
        <v>0.49796180000000001</v>
      </c>
      <c r="J4987">
        <v>-302.66930000000002</v>
      </c>
      <c r="K4987">
        <v>1.060894</v>
      </c>
      <c r="L4987">
        <v>0.95895390000000003</v>
      </c>
      <c r="M4987">
        <v>0.19044939999999999</v>
      </c>
      <c r="N4987">
        <v>-1.348301E-2</v>
      </c>
      <c r="O4987">
        <v>-0.98160449999999999</v>
      </c>
      <c r="P4987">
        <v>0.16412679999999999</v>
      </c>
      <c r="Q4987">
        <v>0.42880560000000001</v>
      </c>
      <c r="R4987">
        <v>-0.88836250000000005</v>
      </c>
      <c r="S4987">
        <v>0.79812620000000001</v>
      </c>
      <c r="T4987">
        <v>-0.37858809999999998</v>
      </c>
      <c r="U4987">
        <v>-3.4190059999999902</v>
      </c>
      <c r="V4987">
        <v>8.8768319999999994E-3</v>
      </c>
      <c r="W4987">
        <v>0.44093149999999998</v>
      </c>
      <c r="X4987">
        <v>0.89749679999999998</v>
      </c>
      <c r="Y4987">
        <v>-3.6661520000000003E-2</v>
      </c>
      <c r="Z4987">
        <v>9.2509579999999994E-2</v>
      </c>
      <c r="AA4987">
        <v>0.9950367</v>
      </c>
      <c r="AB4987">
        <v>22</v>
      </c>
      <c r="AC4987">
        <v>0.12650000000002101</v>
      </c>
      <c r="AD4987">
        <v>-9.8562499999999997E-2</v>
      </c>
      <c r="AE4987">
        <v>-0.46099210000000002</v>
      </c>
      <c r="AF4987">
        <v>-3.4897075928213603E-2</v>
      </c>
      <c r="AG4987">
        <v>-9.8562499999999997E-2</v>
      </c>
      <c r="AH4987">
        <v>0.45721034075692402</v>
      </c>
      <c r="AI4987">
        <v>102.13105678919</v>
      </c>
      <c r="AJ4987">
        <v>94.364699969883901</v>
      </c>
      <c r="AK4987">
        <v>0.469013505146336</v>
      </c>
      <c r="AL4987">
        <v>63.836668865460297</v>
      </c>
      <c r="AM4987">
        <v>89.433325639438607</v>
      </c>
      <c r="AN4987">
        <v>0.99999994592442099</v>
      </c>
    </row>
    <row r="4988" spans="1:40" x14ac:dyDescent="0.25">
      <c r="A4988" t="str">
        <f>"20190304164745287"</f>
        <v>20190304164745287</v>
      </c>
      <c r="B4988" t="str">
        <f>"1551689265283907"</f>
        <v>1551689265283907</v>
      </c>
      <c r="C4988" t="s">
        <v>40</v>
      </c>
      <c r="D4988">
        <v>4.8452609999999998</v>
      </c>
      <c r="E4988">
        <v>0.4895082</v>
      </c>
      <c r="F4988" t="s">
        <v>41</v>
      </c>
      <c r="G4988">
        <v>-302.47820000000002</v>
      </c>
      <c r="H4988">
        <v>0.96233789999999997</v>
      </c>
      <c r="I4988">
        <v>0.11472400000000001</v>
      </c>
      <c r="J4988">
        <v>-302.61950000000002</v>
      </c>
      <c r="K4988">
        <v>1.060853</v>
      </c>
      <c r="L4988">
        <v>0.69683839999999997</v>
      </c>
      <c r="M4988">
        <v>0.18696299999999999</v>
      </c>
      <c r="N4988">
        <v>-1.4033230000000001E-2</v>
      </c>
      <c r="O4988">
        <v>-0.9822668</v>
      </c>
      <c r="P4988">
        <v>0.1628114</v>
      </c>
      <c r="Q4988">
        <v>0.42619050000000003</v>
      </c>
      <c r="R4988">
        <v>-0.88986209999999899</v>
      </c>
      <c r="S4988">
        <v>0.77642819999999901</v>
      </c>
      <c r="T4988">
        <v>-0.39997080000000002</v>
      </c>
      <c r="U4988">
        <v>-3.4266049999999999</v>
      </c>
      <c r="V4988">
        <v>7.788138E-3</v>
      </c>
      <c r="W4988">
        <v>0.43882120000000002</v>
      </c>
      <c r="X4988">
        <v>0.89854069999999997</v>
      </c>
      <c r="Y4988">
        <v>-3.362064E-2</v>
      </c>
      <c r="Z4988">
        <v>9.7817029999999999E-2</v>
      </c>
      <c r="AA4988">
        <v>0.99463639999999998</v>
      </c>
      <c r="AB4988">
        <v>22</v>
      </c>
      <c r="AC4988">
        <v>0.14130000000000101</v>
      </c>
      <c r="AD4988">
        <v>-9.8515099999999897E-2</v>
      </c>
      <c r="AE4988">
        <v>-0.58211439999999903</v>
      </c>
      <c r="AF4988">
        <v>-2.9174303367611901E-2</v>
      </c>
      <c r="AG4988">
        <v>-9.8515099999999897E-2</v>
      </c>
      <c r="AH4988">
        <v>0.58251292534056998</v>
      </c>
      <c r="AI4988">
        <v>99.587290096941402</v>
      </c>
      <c r="AJ4988">
        <v>92.867179167698794</v>
      </c>
      <c r="AK4988">
        <v>0.59150458416974605</v>
      </c>
      <c r="AL4988">
        <v>63.971308036785203</v>
      </c>
      <c r="AM4988">
        <v>89.503398940411998</v>
      </c>
      <c r="AN4988">
        <v>1.00000004510971</v>
      </c>
    </row>
    <row r="4989" spans="1:40" x14ac:dyDescent="0.25">
      <c r="A4989" t="str">
        <f>"20190304164745312"</f>
        <v>20190304164745312</v>
      </c>
      <c r="B4989" t="str">
        <f>"1551689265304405"</f>
        <v>1551689265304405</v>
      </c>
      <c r="C4989" t="s">
        <v>40</v>
      </c>
      <c r="D4989">
        <v>4.8541819999999998</v>
      </c>
      <c r="E4989">
        <v>0.48963069999999997</v>
      </c>
      <c r="F4989" t="s">
        <v>41</v>
      </c>
      <c r="G4989">
        <v>-302.4486</v>
      </c>
      <c r="H4989">
        <v>0.96737240000000002</v>
      </c>
      <c r="I4989">
        <v>-7.6718809999999998E-2</v>
      </c>
      <c r="J4989">
        <v>-302.57560000000001</v>
      </c>
      <c r="K4989">
        <v>1.0604180000000001</v>
      </c>
      <c r="L4989">
        <v>0.46005249999999998</v>
      </c>
      <c r="M4989">
        <v>0.18769710000000001</v>
      </c>
      <c r="N4989">
        <v>-1.385862E-2</v>
      </c>
      <c r="O4989">
        <v>-0.98212929999999998</v>
      </c>
      <c r="P4989">
        <v>0.16708429999999999</v>
      </c>
      <c r="Q4989">
        <v>0.42283019999999999</v>
      </c>
      <c r="R4989">
        <v>-0.89067269999999898</v>
      </c>
      <c r="S4989">
        <v>0.75903319999999996</v>
      </c>
      <c r="T4989">
        <v>-0.41452309999999998</v>
      </c>
      <c r="U4989">
        <v>-3.4309690000000002</v>
      </c>
      <c r="V4989">
        <v>5.5739099999999996E-3</v>
      </c>
      <c r="W4989">
        <v>0.43532379999999998</v>
      </c>
      <c r="X4989">
        <v>0.90025669999999902</v>
      </c>
      <c r="Y4989">
        <v>-2.7713060000000001E-2</v>
      </c>
      <c r="Z4989">
        <v>0.1018951</v>
      </c>
      <c r="AA4989">
        <v>0.99440910000000005</v>
      </c>
      <c r="AB4989">
        <v>21</v>
      </c>
      <c r="AC4989">
        <v>0.12700000000000899</v>
      </c>
      <c r="AD4989">
        <v>-9.3045600000000006E-2</v>
      </c>
      <c r="AE4989">
        <v>-0.53677131</v>
      </c>
      <c r="AF4989">
        <v>-2.3318769218333101E-2</v>
      </c>
      <c r="AG4989">
        <v>-9.3045600000000006E-2</v>
      </c>
      <c r="AH4989">
        <v>0.53582242990735596</v>
      </c>
      <c r="AI4989">
        <v>99.842047753619099</v>
      </c>
      <c r="AJ4989">
        <v>92.491916088376797</v>
      </c>
      <c r="AK4989">
        <v>0.54434081701544501</v>
      </c>
      <c r="AL4989">
        <v>64.194100509656494</v>
      </c>
      <c r="AM4989">
        <v>89.645259582461705</v>
      </c>
      <c r="AN4989">
        <v>1.0000000026069999</v>
      </c>
    </row>
    <row r="4990" spans="1:40" x14ac:dyDescent="0.25">
      <c r="A4990" t="str">
        <f>"20190304164745349"</f>
        <v>20190304164745349</v>
      </c>
      <c r="B4990" t="str">
        <f>"1551689265344421"</f>
        <v>1551689265344421</v>
      </c>
      <c r="C4990" t="s">
        <v>40</v>
      </c>
      <c r="D4990">
        <v>4.8480480000000004</v>
      </c>
      <c r="E4990">
        <v>0.49040020000000001</v>
      </c>
      <c r="F4990" t="s">
        <v>41</v>
      </c>
      <c r="G4990">
        <v>-302.41359999999997</v>
      </c>
      <c r="H4990">
        <v>0.97017160000000002</v>
      </c>
      <c r="I4990">
        <v>-0.265625099999999</v>
      </c>
      <c r="J4990">
        <v>-302.51249999999999</v>
      </c>
      <c r="K4990">
        <v>1.061911</v>
      </c>
      <c r="L4990">
        <v>0.1151123</v>
      </c>
      <c r="M4990">
        <v>0.1894816</v>
      </c>
      <c r="N4990">
        <v>-1.106274E-2</v>
      </c>
      <c r="O4990">
        <v>-0.98182210000000003</v>
      </c>
      <c r="P4990">
        <v>0.17836179999999999</v>
      </c>
      <c r="Q4990">
        <v>0.42083559999999998</v>
      </c>
      <c r="R4990">
        <v>-0.88942949999999998</v>
      </c>
      <c r="S4990">
        <v>0.76559449999999996</v>
      </c>
      <c r="T4990">
        <v>-0.42610809999999999</v>
      </c>
      <c r="U4990">
        <v>-3.4269099999999999</v>
      </c>
      <c r="V4990">
        <v>-4.3226569999999997E-3</v>
      </c>
      <c r="W4990">
        <v>0.43087370000000003</v>
      </c>
      <c r="X4990">
        <v>0.90240189999999998</v>
      </c>
      <c r="Y4990">
        <v>-2.7830919999999999E-2</v>
      </c>
      <c r="Z4990">
        <v>0.1078553</v>
      </c>
      <c r="AA4990">
        <v>0.99377700000000002</v>
      </c>
      <c r="AB4990">
        <v>21</v>
      </c>
      <c r="AC4990">
        <v>9.8900000000014601E-2</v>
      </c>
      <c r="AD4990">
        <v>-9.1739399999999999E-2</v>
      </c>
      <c r="AE4990">
        <v>-0.3807374</v>
      </c>
      <c r="AF4990">
        <v>-2.3673446323267899E-2</v>
      </c>
      <c r="AG4990">
        <v>-9.1739399999999999E-2</v>
      </c>
      <c r="AH4990">
        <v>0.37232981522610997</v>
      </c>
      <c r="AI4990">
        <v>103.814736972031</v>
      </c>
      <c r="AJ4990">
        <v>93.638078713454803</v>
      </c>
      <c r="AK4990">
        <v>0.38419531605615598</v>
      </c>
      <c r="AL4990">
        <v>64.476980148690004</v>
      </c>
      <c r="AM4990">
        <v>90.274454329148895</v>
      </c>
      <c r="AN4990">
        <v>1.00000000991941</v>
      </c>
    </row>
    <row r="4991" spans="1:40" x14ac:dyDescent="0.25">
      <c r="A4991" t="str">
        <f>"20190304164745379"</f>
        <v>20190304164745379</v>
      </c>
      <c r="B4991" t="str">
        <f>"1551689265374676"</f>
        <v>1551689265374676</v>
      </c>
      <c r="C4991" t="s">
        <v>40</v>
      </c>
      <c r="D4991">
        <v>4.8341649999999996</v>
      </c>
      <c r="E4991">
        <v>0.48789260000000001</v>
      </c>
      <c r="F4991" t="s">
        <v>41</v>
      </c>
      <c r="G4991">
        <v>-302.33580000000001</v>
      </c>
      <c r="H4991">
        <v>0.96745250000000005</v>
      </c>
      <c r="I4991">
        <v>-0.64013359999999997</v>
      </c>
      <c r="J4991">
        <v>-302.4579</v>
      </c>
      <c r="K4991">
        <v>1.0646089999999999</v>
      </c>
      <c r="L4991">
        <v>-0.1765747</v>
      </c>
      <c r="M4991">
        <v>0.18743950000000001</v>
      </c>
      <c r="N4991">
        <v>-8.4608909999999999E-3</v>
      </c>
      <c r="O4991">
        <v>-0.9822398</v>
      </c>
      <c r="P4991">
        <v>0.18201780000000001</v>
      </c>
      <c r="Q4991">
        <v>0.4214811</v>
      </c>
      <c r="R4991">
        <v>-0.88838240000000002</v>
      </c>
      <c r="S4991">
        <v>0.79940800000000001</v>
      </c>
      <c r="T4991">
        <v>-0.42702499999999999</v>
      </c>
      <c r="U4991">
        <v>-3.4147029999999998</v>
      </c>
      <c r="V4991">
        <v>-1.102352E-2</v>
      </c>
      <c r="W4991">
        <v>0.4291719</v>
      </c>
      <c r="X4991">
        <v>0.90315559999999995</v>
      </c>
      <c r="Y4991">
        <v>-3.9937180000000003E-2</v>
      </c>
      <c r="Z4991">
        <v>0.11097310000000001</v>
      </c>
      <c r="AA4991">
        <v>0.99302069999999998</v>
      </c>
      <c r="AB4991">
        <v>22</v>
      </c>
      <c r="AC4991">
        <v>0.122099999999989</v>
      </c>
      <c r="AD4991">
        <v>-9.7156499999999896E-2</v>
      </c>
      <c r="AE4991">
        <v>-0.4635589</v>
      </c>
      <c r="AF4991">
        <v>-3.1739630367198297E-2</v>
      </c>
      <c r="AG4991">
        <v>-9.7156499999999896E-2</v>
      </c>
      <c r="AH4991">
        <v>0.45936013249297403</v>
      </c>
      <c r="AI4991">
        <v>101.91469383206601</v>
      </c>
      <c r="AJ4991">
        <v>93.952587489311995</v>
      </c>
      <c r="AK4991">
        <v>0.47059379612576602</v>
      </c>
      <c r="AL4991">
        <v>64.584982716586396</v>
      </c>
      <c r="AM4991">
        <v>90.699292358672906</v>
      </c>
      <c r="AN4991">
        <v>1.0000000377770699</v>
      </c>
    </row>
    <row r="4992" spans="1:40" x14ac:dyDescent="0.25">
      <c r="A4992" t="str">
        <f>"20190304164745416"</f>
        <v>20190304164745416</v>
      </c>
      <c r="B4992" t="str">
        <f>"1551689265403956"</f>
        <v>1551689265403956</v>
      </c>
      <c r="C4992" t="s">
        <v>40</v>
      </c>
      <c r="D4992">
        <v>4.727805</v>
      </c>
      <c r="E4992">
        <v>0.41686839999999997</v>
      </c>
      <c r="F4992" t="s">
        <v>41</v>
      </c>
      <c r="G4992">
        <v>-302.25259999999997</v>
      </c>
      <c r="H4992">
        <v>0.96159110000000003</v>
      </c>
      <c r="I4992">
        <v>-1.0150490000000001</v>
      </c>
      <c r="J4992">
        <v>-302.39210000000003</v>
      </c>
      <c r="K4992">
        <v>1.0676330000000001</v>
      </c>
      <c r="L4992">
        <v>-0.52453609999999995</v>
      </c>
      <c r="M4992">
        <v>0.18374370000000001</v>
      </c>
      <c r="N4992">
        <v>-5.9258330000000001E-3</v>
      </c>
      <c r="O4992">
        <v>-0.98295659999999896</v>
      </c>
      <c r="P4992">
        <v>0.1911938</v>
      </c>
      <c r="Q4992">
        <v>0.42047820000000002</v>
      </c>
      <c r="R4992">
        <v>-0.88692939999999998</v>
      </c>
      <c r="S4992">
        <v>0.83352660000000001</v>
      </c>
      <c r="T4992">
        <v>-0.418294</v>
      </c>
      <c r="U4992">
        <v>-3.4046020000000001</v>
      </c>
      <c r="V4992">
        <v>-2.4184239999999999E-2</v>
      </c>
      <c r="W4992">
        <v>0.4258902</v>
      </c>
      <c r="X4992">
        <v>0.90445160000000002</v>
      </c>
      <c r="Y4992">
        <v>-5.3752599999999998E-2</v>
      </c>
      <c r="Z4992">
        <v>0.11132259999999999</v>
      </c>
      <c r="AA4992">
        <v>0.99232949999999998</v>
      </c>
      <c r="AB4992">
        <v>22</v>
      </c>
      <c r="AC4992">
        <v>0.139500000000055</v>
      </c>
      <c r="AD4992">
        <v>-0.10604189999999999</v>
      </c>
      <c r="AE4992">
        <v>-0.49051289999999897</v>
      </c>
      <c r="AF4992">
        <v>-4.5046821101013497E-2</v>
      </c>
      <c r="AG4992">
        <v>-0.10604189999999999</v>
      </c>
      <c r="AH4992">
        <v>0.48674741971299901</v>
      </c>
      <c r="AI4992">
        <v>102.23959630403699</v>
      </c>
      <c r="AJ4992">
        <v>95.287468687299295</v>
      </c>
      <c r="AK4992">
        <v>0.50019711239088405</v>
      </c>
      <c r="AL4992">
        <v>64.792977308580006</v>
      </c>
      <c r="AM4992">
        <v>91.531673762936606</v>
      </c>
      <c r="AN4992">
        <v>1.0000000183314799</v>
      </c>
    </row>
    <row r="4993" spans="1:40" x14ac:dyDescent="0.25">
      <c r="A4993" t="str">
        <f>"20190304164745444"</f>
        <v>20190304164745444</v>
      </c>
      <c r="B4993" t="str">
        <f>"1551689265434212"</f>
        <v>1551689265434212</v>
      </c>
      <c r="C4993" t="s">
        <v>40</v>
      </c>
      <c r="D4993">
        <v>4.7066059999999998</v>
      </c>
      <c r="E4993">
        <v>0.42067109999999902</v>
      </c>
      <c r="F4993" t="s">
        <v>42</v>
      </c>
      <c r="G4993">
        <v>-296.46620000000001</v>
      </c>
      <c r="H4993" s="1">
        <v>-3.350527E-6</v>
      </c>
      <c r="I4993">
        <v>-14.01821</v>
      </c>
      <c r="J4993">
        <v>-302.34019999999998</v>
      </c>
      <c r="K4993">
        <v>1.069404</v>
      </c>
      <c r="L4993">
        <v>-0.80627439999999995</v>
      </c>
      <c r="M4993">
        <v>0.182338</v>
      </c>
      <c r="N4993">
        <v>-3.8245219999999999E-3</v>
      </c>
      <c r="O4993">
        <v>-0.98322860000000001</v>
      </c>
      <c r="P4993">
        <v>0.1945462</v>
      </c>
      <c r="Q4993">
        <v>0.42091460000000003</v>
      </c>
      <c r="R4993">
        <v>-0.88599269999999997</v>
      </c>
      <c r="S4993">
        <v>1.4051209999999901</v>
      </c>
      <c r="T4993">
        <v>-0.25315539999999997</v>
      </c>
      <c r="U4993">
        <v>-3.1995849999999999</v>
      </c>
      <c r="V4993">
        <v>-2.8616760000000002E-2</v>
      </c>
      <c r="W4993">
        <v>0.42445559999999899</v>
      </c>
      <c r="X4993">
        <v>0.90499649999999998</v>
      </c>
      <c r="Y4993">
        <v>-0.227404</v>
      </c>
      <c r="Z4993">
        <v>6.8894899999999995E-2</v>
      </c>
      <c r="AA4993">
        <v>0.97136029999999995</v>
      </c>
      <c r="AB4993">
        <v>22</v>
      </c>
      <c r="AC4993">
        <v>5.8739999999999597</v>
      </c>
      <c r="AD4993">
        <v>-1.0694073505270001</v>
      </c>
      <c r="AE4993">
        <v>-13.2119356</v>
      </c>
      <c r="AF4993">
        <v>-3.3481554071563999</v>
      </c>
      <c r="AG4993">
        <v>-1.0694073505270001</v>
      </c>
      <c r="AH4993">
        <v>13.9850041772089</v>
      </c>
      <c r="AI4993">
        <v>94.253063099305805</v>
      </c>
      <c r="AJ4993">
        <v>103.463787119816</v>
      </c>
      <c r="AK4993">
        <v>14.4199208925841</v>
      </c>
      <c r="AL4993">
        <v>64.883792350533</v>
      </c>
      <c r="AM4993">
        <v>91.811137861451101</v>
      </c>
      <c r="AN4993">
        <v>1.0000000701682501</v>
      </c>
    </row>
    <row r="4994" spans="1:40" x14ac:dyDescent="0.25">
      <c r="A4994" t="str">
        <f>"20190304164745468"</f>
        <v>20190304164745468</v>
      </c>
      <c r="B4994" t="str">
        <f>"1551689265464468"</f>
        <v>1551689265464468</v>
      </c>
      <c r="C4994" t="s">
        <v>40</v>
      </c>
      <c r="D4994">
        <v>4.6747449999999997</v>
      </c>
      <c r="E4994">
        <v>0.42436649999999998</v>
      </c>
      <c r="F4994" t="s">
        <v>42</v>
      </c>
      <c r="G4994">
        <v>-296.25409999999999</v>
      </c>
      <c r="H4994" s="1">
        <v>-3.0423259999999999E-6</v>
      </c>
      <c r="I4994">
        <v>-14.82436</v>
      </c>
      <c r="J4994">
        <v>-302.30059999999997</v>
      </c>
      <c r="K4994">
        <v>1.0707230000000001</v>
      </c>
      <c r="L4994">
        <v>-1.0263059999999999</v>
      </c>
      <c r="M4994">
        <v>0.1816893</v>
      </c>
      <c r="N4994">
        <v>-2.275207E-3</v>
      </c>
      <c r="O4994">
        <v>-0.9833537</v>
      </c>
      <c r="P4994">
        <v>0.1989899</v>
      </c>
      <c r="Q4994">
        <v>0.4190007</v>
      </c>
      <c r="R4994">
        <v>-0.88591330000000001</v>
      </c>
      <c r="S4994">
        <v>1.3880619999999999</v>
      </c>
      <c r="T4994">
        <v>-0.24390020000000001</v>
      </c>
      <c r="U4994">
        <v>-3.1971129999999999</v>
      </c>
      <c r="V4994">
        <v>-3.335784E-2</v>
      </c>
      <c r="W4994">
        <v>0.4211741</v>
      </c>
      <c r="X4994">
        <v>0.90636620000000001</v>
      </c>
      <c r="Y4994">
        <v>-0.22401099999999999</v>
      </c>
      <c r="Z4994">
        <v>6.7902690000000002E-2</v>
      </c>
      <c r="AA4994">
        <v>0.97221820000000003</v>
      </c>
      <c r="AB4994">
        <v>22</v>
      </c>
      <c r="AC4994">
        <v>6.0464999999999796</v>
      </c>
      <c r="AD4994">
        <v>-1.0707260423260001</v>
      </c>
      <c r="AE4994">
        <v>-13.798054</v>
      </c>
      <c r="AF4994">
        <v>-3.421612319416</v>
      </c>
      <c r="AG4994">
        <v>-1.0707260423260001</v>
      </c>
      <c r="AH4994">
        <v>14.593264721274601</v>
      </c>
      <c r="AI4994">
        <v>94.085926934398501</v>
      </c>
      <c r="AJ4994">
        <v>103.19550805112399</v>
      </c>
      <c r="AK4994">
        <v>15.0272173188282</v>
      </c>
      <c r="AL4994">
        <v>65.091265209961904</v>
      </c>
      <c r="AM4994">
        <v>92.107758643415394</v>
      </c>
      <c r="AN4994">
        <v>1.0000000282513499</v>
      </c>
    </row>
    <row r="4995" spans="1:40" x14ac:dyDescent="0.25">
      <c r="A4995" t="str">
        <f>"20190304164745505"</f>
        <v>20190304164745505</v>
      </c>
      <c r="B4995" t="str">
        <f>"1551689265494408"</f>
        <v>1551689265494408</v>
      </c>
      <c r="C4995" t="s">
        <v>40</v>
      </c>
      <c r="D4995">
        <v>4.6818309999999999</v>
      </c>
      <c r="E4995">
        <v>0.42767440000000001</v>
      </c>
      <c r="F4995" t="s">
        <v>42</v>
      </c>
      <c r="G4995">
        <v>-296.46350000000001</v>
      </c>
      <c r="H4995" s="1">
        <v>-3.1013350000000002E-6</v>
      </c>
      <c r="I4995">
        <v>-14.600210000000001</v>
      </c>
      <c r="J4995">
        <v>-302.23880000000003</v>
      </c>
      <c r="K4995">
        <v>1.0730869999999999</v>
      </c>
      <c r="L4995">
        <v>-1.376282</v>
      </c>
      <c r="M4995">
        <v>0.17984330000000001</v>
      </c>
      <c r="N4995">
        <v>-3.424748E-4</v>
      </c>
      <c r="O4995">
        <v>-0.9836954</v>
      </c>
      <c r="P4995">
        <v>0.20698459999999999</v>
      </c>
      <c r="Q4995">
        <v>0.4140411</v>
      </c>
      <c r="R4995">
        <v>-0.88641329999999996</v>
      </c>
      <c r="S4995">
        <v>1.374695</v>
      </c>
      <c r="T4995">
        <v>-0.25216810000000001</v>
      </c>
      <c r="U4995">
        <v>-3.1968079999999999</v>
      </c>
      <c r="V4995">
        <v>-4.284665E-2</v>
      </c>
      <c r="W4995">
        <v>0.41449390000000003</v>
      </c>
      <c r="X4995">
        <v>0.90904289999999999</v>
      </c>
      <c r="Y4995">
        <v>-0.22234190000000001</v>
      </c>
      <c r="Z4995">
        <v>7.2236629999999996E-2</v>
      </c>
      <c r="AA4995">
        <v>0.97228899999999996</v>
      </c>
      <c r="AB4995">
        <v>22</v>
      </c>
      <c r="AC4995">
        <v>5.7753000000000103</v>
      </c>
      <c r="AD4995">
        <v>-1.073090101335</v>
      </c>
      <c r="AE4995">
        <v>-13.2239279999999</v>
      </c>
      <c r="AF4995">
        <v>-3.2847357051701902</v>
      </c>
      <c r="AG4995">
        <v>-1.073090101335</v>
      </c>
      <c r="AH4995">
        <v>13.969709833069199</v>
      </c>
      <c r="AI4995">
        <v>94.276402415082202</v>
      </c>
      <c r="AJ4995">
        <v>103.231756662476</v>
      </c>
      <c r="AK4995">
        <v>14.3907541094466</v>
      </c>
      <c r="AL4995">
        <v>65.512551293690905</v>
      </c>
      <c r="AM4995">
        <v>92.698570854299106</v>
      </c>
      <c r="AN4995">
        <v>1.0000000112969201</v>
      </c>
    </row>
    <row r="4996" spans="1:40" x14ac:dyDescent="0.25">
      <c r="A4996" t="str">
        <f>"20190304164745532"</f>
        <v>20190304164745532</v>
      </c>
      <c r="B4996" t="str">
        <f>"1551689265524661"</f>
        <v>1551689265524661</v>
      </c>
      <c r="C4996" t="s">
        <v>40</v>
      </c>
      <c r="D4996">
        <v>4.6655629999999997</v>
      </c>
      <c r="E4996">
        <v>0.43043300000000001</v>
      </c>
      <c r="F4996" t="s">
        <v>42</v>
      </c>
      <c r="G4996">
        <v>-296.8032</v>
      </c>
      <c r="H4996" s="1">
        <v>-3.3023850000000001E-6</v>
      </c>
      <c r="I4996">
        <v>-13.991110000000001</v>
      </c>
      <c r="J4996">
        <v>-302.19260000000003</v>
      </c>
      <c r="K4996">
        <v>1.0750470000000001</v>
      </c>
      <c r="L4996">
        <v>-1.6380619999999999</v>
      </c>
      <c r="M4996">
        <v>0.176749499999999</v>
      </c>
      <c r="N4996">
        <v>2.7195449999999999E-4</v>
      </c>
      <c r="O4996">
        <v>-0.98425600000000002</v>
      </c>
      <c r="P4996">
        <v>0.20831810000000001</v>
      </c>
      <c r="Q4996">
        <v>0.41364250000000002</v>
      </c>
      <c r="R4996">
        <v>-0.88628669999999998</v>
      </c>
      <c r="S4996">
        <v>1.3746339999999999</v>
      </c>
      <c r="T4996">
        <v>-0.27137830000000002</v>
      </c>
      <c r="U4996">
        <v>-3.1902159999999999</v>
      </c>
      <c r="V4996">
        <v>-4.7086080000000002E-2</v>
      </c>
      <c r="W4996">
        <v>0.41354590000000002</v>
      </c>
      <c r="X4996">
        <v>0.90926490000000004</v>
      </c>
      <c r="Y4996">
        <v>-0.2259343</v>
      </c>
      <c r="Z4996">
        <v>7.8501730000000006E-2</v>
      </c>
      <c r="AA4996">
        <v>0.97097429999999996</v>
      </c>
      <c r="AB4996">
        <v>22</v>
      </c>
      <c r="AC4996">
        <v>5.3894000000000197</v>
      </c>
      <c r="AD4996">
        <v>-1.07505030238499</v>
      </c>
      <c r="AE4996">
        <v>-12.353047999999999</v>
      </c>
      <c r="AF4996">
        <v>-3.1014205774758201</v>
      </c>
      <c r="AG4996">
        <v>-1.07505030238499</v>
      </c>
      <c r="AH4996">
        <v>13.0282395680031</v>
      </c>
      <c r="AI4996">
        <v>94.589504837795005</v>
      </c>
      <c r="AJ4996">
        <v>103.390245221458</v>
      </c>
      <c r="AK4996">
        <v>13.435384958844001</v>
      </c>
      <c r="AL4996">
        <v>65.572221384387603</v>
      </c>
      <c r="AM4996">
        <v>92.964401210530298</v>
      </c>
      <c r="AN4996">
        <v>0.99999998435429305</v>
      </c>
    </row>
    <row r="4997" spans="1:40" x14ac:dyDescent="0.25">
      <c r="A4997" t="str">
        <f>"20190304164745556"</f>
        <v>20190304164745556</v>
      </c>
      <c r="B4997" t="str">
        <f>"1551689265553942"</f>
        <v>1551689265553942</v>
      </c>
      <c r="C4997" t="s">
        <v>40</v>
      </c>
      <c r="D4997">
        <v>4.6654339999999896</v>
      </c>
      <c r="E4997">
        <v>0.44406909999999999</v>
      </c>
      <c r="F4997" t="s">
        <v>42</v>
      </c>
      <c r="G4997">
        <v>-296.79950000000002</v>
      </c>
      <c r="H4997" s="1">
        <v>-3.158557E-6</v>
      </c>
      <c r="I4997">
        <v>-14.32788</v>
      </c>
      <c r="J4997">
        <v>-302.15249999999997</v>
      </c>
      <c r="K4997">
        <v>1.076473</v>
      </c>
      <c r="L4997">
        <v>-1.865173</v>
      </c>
      <c r="M4997">
        <v>0.1746395</v>
      </c>
      <c r="N4997">
        <v>1.4775859999999999E-4</v>
      </c>
      <c r="O4997">
        <v>-0.98463279999999997</v>
      </c>
      <c r="P4997">
        <v>0.21051690000000001</v>
      </c>
      <c r="Q4997">
        <v>0.41290919999999998</v>
      </c>
      <c r="R4997">
        <v>-0.88610919999999904</v>
      </c>
      <c r="S4997">
        <v>1.356689</v>
      </c>
      <c r="T4997">
        <v>-0.27044049999999997</v>
      </c>
      <c r="U4997">
        <v>-3.1922609999999998</v>
      </c>
      <c r="V4997">
        <v>-5.0722389999999999E-2</v>
      </c>
      <c r="W4997">
        <v>0.41300100000000001</v>
      </c>
      <c r="X4997">
        <v>0.90931700000000004</v>
      </c>
      <c r="Y4997">
        <v>-0.223189</v>
      </c>
      <c r="Z4997">
        <v>7.8220429999999994E-2</v>
      </c>
      <c r="AA4997">
        <v>0.97163180000000005</v>
      </c>
      <c r="AB4997">
        <v>22</v>
      </c>
      <c r="AC4997">
        <v>5.35299999999995</v>
      </c>
      <c r="AD4997">
        <v>-1.076476158557</v>
      </c>
      <c r="AE4997">
        <v>-12.462706999999901</v>
      </c>
      <c r="AF4997">
        <v>-3.0748894618720102</v>
      </c>
      <c r="AG4997">
        <v>-1.076476158557</v>
      </c>
      <c r="AH4997">
        <v>13.1233700776619</v>
      </c>
      <c r="AI4997">
        <v>94.5662040648279</v>
      </c>
      <c r="AJ4997">
        <v>103.18688426406</v>
      </c>
      <c r="AK4997">
        <v>13.521708039961</v>
      </c>
      <c r="AL4997">
        <v>65.6065070465378</v>
      </c>
      <c r="AM4997">
        <v>93.192693311190197</v>
      </c>
      <c r="AN4997">
        <v>0.99999999666865602</v>
      </c>
    </row>
    <row r="4998" spans="1:40" x14ac:dyDescent="0.25">
      <c r="A4998" t="str">
        <f>"20190304164745595"</f>
        <v>20190304164745595</v>
      </c>
      <c r="B4998" t="str">
        <f>"1551689265584277"</f>
        <v>1551689265584277</v>
      </c>
      <c r="C4998" t="s">
        <v>40</v>
      </c>
      <c r="D4998">
        <v>4.668838</v>
      </c>
      <c r="E4998">
        <v>0.4422913</v>
      </c>
      <c r="F4998" t="s">
        <v>42</v>
      </c>
      <c r="G4998">
        <v>-296.96350000000001</v>
      </c>
      <c r="H4998" s="1">
        <v>-2.7563390000000002E-6</v>
      </c>
      <c r="I4998">
        <v>-15.197679999999901</v>
      </c>
      <c r="J4998">
        <v>-302.09070000000003</v>
      </c>
      <c r="K4998">
        <v>1.079207</v>
      </c>
      <c r="L4998">
        <v>-2.2263790000000001</v>
      </c>
      <c r="M4998">
        <v>0.1750131</v>
      </c>
      <c r="N4998">
        <v>-3.2878159999999998E-4</v>
      </c>
      <c r="O4998">
        <v>-0.98456619999999995</v>
      </c>
      <c r="P4998">
        <v>0.21738060000000001</v>
      </c>
      <c r="Q4998">
        <v>0.41277560000000002</v>
      </c>
      <c r="R4998">
        <v>-0.88451259999999998</v>
      </c>
      <c r="S4998">
        <v>1.2491760000000001</v>
      </c>
      <c r="T4998">
        <v>-0.25914490000000001</v>
      </c>
      <c r="U4998">
        <v>-3.2095950000000002</v>
      </c>
      <c r="V4998">
        <v>-5.648442E-2</v>
      </c>
      <c r="W4998">
        <v>0.41345779999999899</v>
      </c>
      <c r="X4998">
        <v>0.90876950000000001</v>
      </c>
      <c r="Y4998">
        <v>-0.19297410000000001</v>
      </c>
      <c r="Z4998">
        <v>7.4839649999999994E-2</v>
      </c>
      <c r="AA4998">
        <v>0.97834560000000004</v>
      </c>
      <c r="AB4998">
        <v>21</v>
      </c>
      <c r="AC4998">
        <v>5.12720000000001</v>
      </c>
      <c r="AD4998">
        <v>-1.079209756339</v>
      </c>
      <c r="AE4998">
        <v>-12.971301</v>
      </c>
      <c r="AF4998">
        <v>-2.7613880170650602</v>
      </c>
      <c r="AG4998">
        <v>-1.079209756339</v>
      </c>
      <c r="AH4998">
        <v>13.587086921224699</v>
      </c>
      <c r="AI4998">
        <v>94.450803061045804</v>
      </c>
      <c r="AJ4998">
        <v>101.48811046479101</v>
      </c>
      <c r="AK4998">
        <v>13.9067928899471</v>
      </c>
      <c r="AL4998">
        <v>65.577763711924305</v>
      </c>
      <c r="AM4998">
        <v>93.556634511225894</v>
      </c>
      <c r="AN4998">
        <v>0.99999992310690999</v>
      </c>
    </row>
    <row r="4999" spans="1:40" x14ac:dyDescent="0.25">
      <c r="A4999" t="str">
        <f>"20190304164745639"</f>
        <v>20190304164745639</v>
      </c>
      <c r="B4999" t="str">
        <f>"1551689265634053"</f>
        <v>1551689265634053</v>
      </c>
      <c r="C4999" t="s">
        <v>40</v>
      </c>
      <c r="D4999">
        <v>4.6452869999999997</v>
      </c>
      <c r="E4999">
        <v>0.4426947</v>
      </c>
      <c r="F4999" t="s">
        <v>42</v>
      </c>
      <c r="G4999">
        <v>-296.7842</v>
      </c>
      <c r="H4999" s="1">
        <v>-2.6411910000000002E-6</v>
      </c>
      <c r="I4999">
        <v>-15.5402</v>
      </c>
      <c r="J4999">
        <v>-302.01940000000002</v>
      </c>
      <c r="K4999">
        <v>1.0844400000000001</v>
      </c>
      <c r="L4999">
        <v>-2.656647</v>
      </c>
      <c r="M4999">
        <v>0.17282999999999901</v>
      </c>
      <c r="N4999">
        <v>-8.140113E-4</v>
      </c>
      <c r="O4999">
        <v>-0.98495129999999997</v>
      </c>
      <c r="P4999">
        <v>0.21947369999999999</v>
      </c>
      <c r="Q4999">
        <v>0.41564040000000002</v>
      </c>
      <c r="R4999">
        <v>-0.88265199999999999</v>
      </c>
      <c r="S4999">
        <v>1.2751459999999999</v>
      </c>
      <c r="T4999">
        <v>-0.25933650000000003</v>
      </c>
      <c r="U4999">
        <v>-3.199341</v>
      </c>
      <c r="V4999">
        <v>-6.120403E-2</v>
      </c>
      <c r="W4999">
        <v>0.41674090000000003</v>
      </c>
      <c r="X4999">
        <v>0.90696259999999995</v>
      </c>
      <c r="Y4999">
        <v>-0.20307620000000001</v>
      </c>
      <c r="Z4999">
        <v>7.4508019999999994E-2</v>
      </c>
      <c r="AA4999">
        <v>0.97632399999999997</v>
      </c>
      <c r="AB4999">
        <v>21</v>
      </c>
      <c r="AC4999">
        <v>5.2352000000000096</v>
      </c>
      <c r="AD4999">
        <v>-1.084442641191</v>
      </c>
      <c r="AE4999">
        <v>-12.883552999999999</v>
      </c>
      <c r="AF4999">
        <v>-2.9120456261445899</v>
      </c>
      <c r="AG4999">
        <v>-1.084442641191</v>
      </c>
      <c r="AH4999">
        <v>13.512309084594699</v>
      </c>
      <c r="AI4999">
        <v>94.485933212419198</v>
      </c>
      <c r="AJ4999">
        <v>102.161839026804</v>
      </c>
      <c r="AK4999">
        <v>13.865010723703101</v>
      </c>
      <c r="AL4999">
        <v>65.371003719289405</v>
      </c>
      <c r="AM4999">
        <v>93.860604648181194</v>
      </c>
      <c r="AN4999">
        <v>1.0000000344099</v>
      </c>
    </row>
    <row r="5000" spans="1:40" x14ac:dyDescent="0.25">
      <c r="A5000" t="str">
        <f>"20190304164745668"</f>
        <v>20190304164745668</v>
      </c>
      <c r="B5000" t="str">
        <f>"1551689265664309"</f>
        <v>1551689265664309</v>
      </c>
      <c r="C5000" t="s">
        <v>40</v>
      </c>
      <c r="D5000">
        <v>4.6440849999999996</v>
      </c>
      <c r="E5000">
        <v>0.44290930000000001</v>
      </c>
      <c r="F5000" t="s">
        <v>42</v>
      </c>
      <c r="G5000">
        <v>-296.31110000000001</v>
      </c>
      <c r="H5000" s="1">
        <v>-2.1537280000000002E-6</v>
      </c>
      <c r="I5000">
        <v>-16.907350000000001</v>
      </c>
      <c r="J5000">
        <v>-301.97379999999998</v>
      </c>
      <c r="K5000">
        <v>1.0880860000000001</v>
      </c>
      <c r="L5000">
        <v>-2.9345400000000001</v>
      </c>
      <c r="M5000">
        <v>0.16916099999999901</v>
      </c>
      <c r="N5000">
        <v>-1.5471629999999901E-3</v>
      </c>
      <c r="O5000">
        <v>-0.9855872</v>
      </c>
      <c r="P5000">
        <v>0.21745919999999999</v>
      </c>
      <c r="Q5000">
        <v>0.41500740000000003</v>
      </c>
      <c r="R5000">
        <v>-0.88344809999999996</v>
      </c>
      <c r="S5000">
        <v>1.27984599999999</v>
      </c>
      <c r="T5000">
        <v>-0.2431413</v>
      </c>
      <c r="U5000">
        <v>-3.1951290000000001</v>
      </c>
      <c r="V5000">
        <v>-6.2852229999999995E-2</v>
      </c>
      <c r="W5000">
        <v>0.41672219999999999</v>
      </c>
      <c r="X5000">
        <v>0.90685839999999995</v>
      </c>
      <c r="Y5000">
        <v>-0.2085379</v>
      </c>
      <c r="Z5000">
        <v>6.9217150000000005E-2</v>
      </c>
      <c r="AA5000">
        <v>0.97556189999999998</v>
      </c>
      <c r="AB5000">
        <v>22</v>
      </c>
      <c r="AC5000">
        <v>5.6626999999999699</v>
      </c>
      <c r="AD5000">
        <v>-1.0880881537279901</v>
      </c>
      <c r="AE5000">
        <v>-13.972810000000001</v>
      </c>
      <c r="AF5000">
        <v>-3.2007626511065999</v>
      </c>
      <c r="AG5000">
        <v>-1.0880881537279901</v>
      </c>
      <c r="AH5000">
        <v>14.653027316900801</v>
      </c>
      <c r="AI5000">
        <v>94.149327132328906</v>
      </c>
      <c r="AJ5000">
        <v>102.321969016363</v>
      </c>
      <c r="AK5000">
        <v>15.037952883582401</v>
      </c>
      <c r="AL5000">
        <v>65.372180844504697</v>
      </c>
      <c r="AM5000">
        <v>93.9646960794622</v>
      </c>
      <c r="AN5000">
        <v>0.99999997621968595</v>
      </c>
    </row>
    <row r="5001" spans="1:40" x14ac:dyDescent="0.25">
      <c r="A5001" t="str">
        <f>"20190304164745707"</f>
        <v>20190304164745707</v>
      </c>
      <c r="B5001" t="str">
        <f>"1551689265704326"</f>
        <v>1551689265704326</v>
      </c>
      <c r="C5001" t="s">
        <v>40</v>
      </c>
      <c r="D5001">
        <v>4.6438879999999996</v>
      </c>
      <c r="E5001">
        <v>0.44336389999999998</v>
      </c>
      <c r="F5001" t="s">
        <v>42</v>
      </c>
      <c r="G5001">
        <v>-296.27199999999999</v>
      </c>
      <c r="H5001" s="1">
        <v>-2.058023E-6</v>
      </c>
      <c r="I5001">
        <v>-17.219110000000001</v>
      </c>
      <c r="J5001">
        <v>-301.91469999999998</v>
      </c>
      <c r="K5001">
        <v>1.0922000000000001</v>
      </c>
      <c r="L5001">
        <v>-3.3053279999999998</v>
      </c>
      <c r="M5001">
        <v>0.16437360000000001</v>
      </c>
      <c r="N5001">
        <v>-2.738487E-3</v>
      </c>
      <c r="O5001">
        <v>-0.98639449999999995</v>
      </c>
      <c r="P5001">
        <v>0.2138236</v>
      </c>
      <c r="Q5001">
        <v>0.40986709999999899</v>
      </c>
      <c r="R5001">
        <v>-0.8867292</v>
      </c>
      <c r="S5001">
        <v>1.275757</v>
      </c>
      <c r="T5001">
        <v>-0.24345710000000001</v>
      </c>
      <c r="U5001">
        <v>-3.1961360000000001</v>
      </c>
      <c r="V5001">
        <v>-6.3197229999999993E-2</v>
      </c>
      <c r="W5001">
        <v>0.41266269999999999</v>
      </c>
      <c r="X5001">
        <v>0.90868899999999997</v>
      </c>
      <c r="Y5001">
        <v>-0.2121189</v>
      </c>
      <c r="Z5001">
        <v>6.8210359999999998E-2</v>
      </c>
      <c r="AA5001">
        <v>0.97486050000000002</v>
      </c>
      <c r="AB5001">
        <v>22</v>
      </c>
      <c r="AC5001">
        <v>5.6426999999999898</v>
      </c>
      <c r="AD5001">
        <v>-1.0922020580230001</v>
      </c>
      <c r="AE5001">
        <v>-13.913781999999999</v>
      </c>
      <c r="AF5001">
        <v>-3.2616223986378001</v>
      </c>
      <c r="AG5001">
        <v>-1.0922020580230001</v>
      </c>
      <c r="AH5001">
        <v>14.5749170125882</v>
      </c>
      <c r="AI5001">
        <v>94.182502194677696</v>
      </c>
      <c r="AJ5001">
        <v>102.61401120700501</v>
      </c>
      <c r="AK5001">
        <v>14.975289377193301</v>
      </c>
      <c r="AL5001">
        <v>65.627789634389103</v>
      </c>
      <c r="AM5001">
        <v>93.978383614755003</v>
      </c>
      <c r="AN5001">
        <v>1.0000000462859799</v>
      </c>
    </row>
    <row r="5002" spans="1:40" x14ac:dyDescent="0.25">
      <c r="A5002" t="str">
        <f>"20190304164745738"</f>
        <v>20190304164745738</v>
      </c>
      <c r="B5002" t="str">
        <f>"1551689265734582"</f>
        <v>1551689265734582</v>
      </c>
      <c r="C5002" t="s">
        <v>40</v>
      </c>
      <c r="D5002">
        <v>4.6484610000000002</v>
      </c>
      <c r="E5002">
        <v>0.44338379999999999</v>
      </c>
      <c r="F5002" t="s">
        <v>42</v>
      </c>
      <c r="G5002">
        <v>-296.58390000000003</v>
      </c>
      <c r="H5002" s="1">
        <v>-2.1798240000000001E-6</v>
      </c>
      <c r="I5002">
        <v>-16.69849</v>
      </c>
      <c r="J5002">
        <v>-301.8673</v>
      </c>
      <c r="K5002">
        <v>1.0949930000000001</v>
      </c>
      <c r="L5002">
        <v>-3.615631</v>
      </c>
      <c r="M5002">
        <v>0.1607122</v>
      </c>
      <c r="N5002">
        <v>-3.6842939999999999E-3</v>
      </c>
      <c r="O5002">
        <v>-0.98699460000000006</v>
      </c>
      <c r="P5002">
        <v>0.21212320000000001</v>
      </c>
      <c r="Q5002">
        <v>0.40608309999999997</v>
      </c>
      <c r="R5002">
        <v>-0.88887609999999995</v>
      </c>
      <c r="S5002">
        <v>1.2724299999999999</v>
      </c>
      <c r="T5002">
        <v>-0.26070490000000002</v>
      </c>
      <c r="U5002">
        <v>-3.1968990000000002</v>
      </c>
      <c r="V5002">
        <v>-6.4355629999999997E-2</v>
      </c>
      <c r="W5002">
        <v>0.40978310000000001</v>
      </c>
      <c r="X5002">
        <v>0.90991</v>
      </c>
      <c r="Y5002">
        <v>-0.21467049999999999</v>
      </c>
      <c r="Z5002">
        <v>7.2330610000000004E-2</v>
      </c>
      <c r="AA5002">
        <v>0.9740046</v>
      </c>
      <c r="AB5002">
        <v>22</v>
      </c>
      <c r="AC5002">
        <v>5.2833999999999701</v>
      </c>
      <c r="AD5002">
        <v>-1.0949951798240001</v>
      </c>
      <c r="AE5002">
        <v>-13.082858999999999</v>
      </c>
      <c r="AF5002">
        <v>-3.0935009467627901</v>
      </c>
      <c r="AG5002">
        <v>-1.0949951798240001</v>
      </c>
      <c r="AH5002">
        <v>13.679518638373301</v>
      </c>
      <c r="AI5002">
        <v>94.464303066106098</v>
      </c>
      <c r="AJ5002">
        <v>102.742596316999</v>
      </c>
      <c r="AK5002">
        <v>14.067622141963501</v>
      </c>
      <c r="AL5002">
        <v>65.808790357293503</v>
      </c>
      <c r="AM5002">
        <v>94.045648412022601</v>
      </c>
      <c r="AN5002">
        <v>1.0000000221291501</v>
      </c>
    </row>
    <row r="5003" spans="1:40" x14ac:dyDescent="0.25">
      <c r="A5003" t="str">
        <f>"20190304164745772"</f>
        <v>20190304164745772</v>
      </c>
      <c r="B5003" t="str">
        <f>"1551689265763861"</f>
        <v>1551689265763861</v>
      </c>
      <c r="C5003" t="s">
        <v>40</v>
      </c>
      <c r="D5003">
        <v>4.6486869999999998</v>
      </c>
      <c r="E5003">
        <v>0.44326900000000002</v>
      </c>
      <c r="F5003" t="s">
        <v>42</v>
      </c>
      <c r="G5003">
        <v>-296.8329</v>
      </c>
      <c r="H5003" s="1">
        <v>-2.2873160000000001E-6</v>
      </c>
      <c r="I5003">
        <v>-16.34498</v>
      </c>
      <c r="J5003">
        <v>-301.81700000000001</v>
      </c>
      <c r="K5003">
        <v>1.0976980000000001</v>
      </c>
      <c r="L5003">
        <v>-3.9609990000000002</v>
      </c>
      <c r="M5003">
        <v>0.15622720000000001</v>
      </c>
      <c r="N5003">
        <v>-4.6459040000000002E-3</v>
      </c>
      <c r="O5003">
        <v>-0.98771030000000004</v>
      </c>
      <c r="P5003">
        <v>0.2086277</v>
      </c>
      <c r="Q5003">
        <v>0.40077439999999998</v>
      </c>
      <c r="R5003">
        <v>-0.89210689999999904</v>
      </c>
      <c r="S5003">
        <v>1.265137</v>
      </c>
      <c r="T5003">
        <v>-0.27516960000000001</v>
      </c>
      <c r="U5003">
        <v>-3.1988530000000002</v>
      </c>
      <c r="V5003">
        <v>-6.4416329999999994E-2</v>
      </c>
      <c r="W5003">
        <v>0.40538350000000001</v>
      </c>
      <c r="X5003">
        <v>0.91187430000000003</v>
      </c>
      <c r="Y5003">
        <v>-0.21688060000000001</v>
      </c>
      <c r="Z5003">
        <v>7.5635439999999998E-2</v>
      </c>
      <c r="AA5003">
        <v>0.97326360000000001</v>
      </c>
      <c r="AB5003">
        <v>22</v>
      </c>
      <c r="AC5003">
        <v>4.9841000000000104</v>
      </c>
      <c r="AD5003">
        <v>-1.097700287316</v>
      </c>
      <c r="AE5003">
        <v>-12.383981</v>
      </c>
      <c r="AF5003">
        <v>-2.96809516633824</v>
      </c>
      <c r="AG5003">
        <v>-1.097700287316</v>
      </c>
      <c r="AH5003">
        <v>12.923195465553</v>
      </c>
      <c r="AI5003">
        <v>94.732437084021697</v>
      </c>
      <c r="AJ5003">
        <v>102.934910283305</v>
      </c>
      <c r="AK5003">
        <v>13.305018447116201</v>
      </c>
      <c r="AL5003">
        <v>66.084838350790605</v>
      </c>
      <c r="AM5003">
        <v>94.040757427112894</v>
      </c>
      <c r="AN5003">
        <v>0.999999992321704</v>
      </c>
    </row>
    <row r="5004" spans="1:40" x14ac:dyDescent="0.25">
      <c r="A5004" t="str">
        <f>"20190304164745819"</f>
        <v>20190304164745819</v>
      </c>
      <c r="B5004" t="str">
        <f>"1551689265814614"</f>
        <v>1551689265814614</v>
      </c>
      <c r="C5004" t="s">
        <v>40</v>
      </c>
      <c r="D5004">
        <v>4.551577</v>
      </c>
      <c r="E5004">
        <v>0.44558320000000001</v>
      </c>
      <c r="F5004" t="s">
        <v>42</v>
      </c>
      <c r="G5004">
        <v>-297.13810000000001</v>
      </c>
      <c r="H5004" s="1">
        <v>-2.4113059999999998E-6</v>
      </c>
      <c r="I5004">
        <v>-15.92977</v>
      </c>
      <c r="J5004">
        <v>-301.75439999999998</v>
      </c>
      <c r="K5004">
        <v>1.1007</v>
      </c>
      <c r="L5004">
        <v>-4.4134830000000003</v>
      </c>
      <c r="M5004">
        <v>0.1494201</v>
      </c>
      <c r="N5004">
        <v>-5.7050159999999898E-3</v>
      </c>
      <c r="O5004">
        <v>-0.98875729999999995</v>
      </c>
      <c r="P5004">
        <v>0.19825029999999999</v>
      </c>
      <c r="Q5004">
        <v>0.39982719999999999</v>
      </c>
      <c r="R5004">
        <v>-0.89489379999999996</v>
      </c>
      <c r="S5004">
        <v>1.25177</v>
      </c>
      <c r="T5004">
        <v>-0.29366969999999998</v>
      </c>
      <c r="U5004">
        <v>-3.202026</v>
      </c>
      <c r="V5004">
        <v>-6.004669E-2</v>
      </c>
      <c r="W5004">
        <v>0.40537909999999999</v>
      </c>
      <c r="X5004">
        <v>0.91217440000000005</v>
      </c>
      <c r="Y5004">
        <v>-0.2196129</v>
      </c>
      <c r="Z5004">
        <v>8.0045530000000004E-2</v>
      </c>
      <c r="AA5004">
        <v>0.97229770000000004</v>
      </c>
      <c r="AB5004">
        <v>22</v>
      </c>
      <c r="AC5004">
        <v>4.6162999999999599</v>
      </c>
      <c r="AD5004">
        <v>-1.100702411306</v>
      </c>
      <c r="AE5004">
        <v>-11.516287</v>
      </c>
      <c r="AF5004">
        <v>-2.8214755545021402</v>
      </c>
      <c r="AG5004">
        <v>-1.100702411306</v>
      </c>
      <c r="AH5004">
        <v>11.9824699119551</v>
      </c>
      <c r="AI5004">
        <v>95.109460885159706</v>
      </c>
      <c r="AJ5004">
        <v>103.249902235346</v>
      </c>
      <c r="AK5004">
        <v>12.359282151234201</v>
      </c>
      <c r="AL5004">
        <v>66.085113760823901</v>
      </c>
      <c r="AM5004">
        <v>93.766237344497299</v>
      </c>
      <c r="AN5004">
        <v>0.99999997785606198</v>
      </c>
    </row>
    <row r="5005" spans="1:40" x14ac:dyDescent="0.25">
      <c r="A5005" t="str">
        <f>"20190304164745862"</f>
        <v>20190304164745862</v>
      </c>
      <c r="B5005" t="str">
        <f>"1551689265854629"</f>
        <v>1551689265854629</v>
      </c>
      <c r="C5005" t="s">
        <v>40</v>
      </c>
      <c r="D5005">
        <v>4.7746079999999997</v>
      </c>
      <c r="E5005">
        <v>0.54819099999999998</v>
      </c>
      <c r="F5005" t="s">
        <v>42</v>
      </c>
      <c r="G5005">
        <v>-297.37630000000001</v>
      </c>
      <c r="H5005" s="1">
        <v>-2.2402059999999999E-6</v>
      </c>
      <c r="I5005">
        <v>-16.230090000000001</v>
      </c>
      <c r="J5005">
        <v>-301.69749999999999</v>
      </c>
      <c r="K5005">
        <v>1.1028770000000001</v>
      </c>
      <c r="L5005">
        <v>-4.8480829999999999</v>
      </c>
      <c r="M5005">
        <v>0.1425157</v>
      </c>
      <c r="N5005">
        <v>-6.5172590000000001E-3</v>
      </c>
      <c r="O5005">
        <v>-0.98977119999999996</v>
      </c>
      <c r="P5005">
        <v>0.18811020000000001</v>
      </c>
      <c r="Q5005">
        <v>0.40023229999999999</v>
      </c>
      <c r="R5005">
        <v>-0.89689979999999903</v>
      </c>
      <c r="S5005">
        <v>1.193756</v>
      </c>
      <c r="T5005">
        <v>-0.3001239</v>
      </c>
      <c r="U5005">
        <v>-3.2219850000000001</v>
      </c>
      <c r="V5005">
        <v>-5.6127950000000003E-2</v>
      </c>
      <c r="W5005">
        <v>0.4064991</v>
      </c>
      <c r="X5005">
        <v>0.91192549999999994</v>
      </c>
      <c r="Y5005">
        <v>-0.2090235</v>
      </c>
      <c r="Z5005">
        <v>8.1113000000000005E-2</v>
      </c>
      <c r="AA5005">
        <v>0.97454079999999998</v>
      </c>
      <c r="AB5005">
        <v>22</v>
      </c>
      <c r="AC5005">
        <v>4.32119999999997</v>
      </c>
      <c r="AD5005">
        <v>-1.1028792402059999</v>
      </c>
      <c r="AE5005">
        <v>-11.382007</v>
      </c>
      <c r="AF5005">
        <v>-2.6333311214167598</v>
      </c>
      <c r="AG5005">
        <v>-1.1028792402059999</v>
      </c>
      <c r="AH5005">
        <v>11.7849630887697</v>
      </c>
      <c r="AI5005">
        <v>95.218421601489794</v>
      </c>
      <c r="AJ5005">
        <v>102.59573888708999</v>
      </c>
      <c r="AK5005">
        <v>12.125845554730001</v>
      </c>
      <c r="AL5005">
        <v>66.014897152248096</v>
      </c>
      <c r="AM5005">
        <v>93.522045356354496</v>
      </c>
      <c r="AN5005">
        <v>0.99999999131113104</v>
      </c>
    </row>
    <row r="5006" spans="1:40" x14ac:dyDescent="0.25">
      <c r="A5006" t="str">
        <f>"20190304164745891"</f>
        <v>20190304164745891</v>
      </c>
      <c r="B5006" t="str">
        <f>"1551689265883910"</f>
        <v>1551689265883910</v>
      </c>
      <c r="C5006" t="s">
        <v>40</v>
      </c>
      <c r="D5006">
        <v>4.7531840000000001</v>
      </c>
      <c r="E5006">
        <v>0.55058769999999901</v>
      </c>
      <c r="F5006" t="s">
        <v>41</v>
      </c>
      <c r="G5006">
        <v>-301.608</v>
      </c>
      <c r="H5006">
        <v>0.98802069999999997</v>
      </c>
      <c r="I5006">
        <v>-5.6703910000000004</v>
      </c>
      <c r="J5006">
        <v>-301.66149999999999</v>
      </c>
      <c r="K5006">
        <v>1.103977</v>
      </c>
      <c r="L5006">
        <v>-5.137054</v>
      </c>
      <c r="M5006">
        <v>0.137840299999999</v>
      </c>
      <c r="N5006">
        <v>-6.9671510000000004E-3</v>
      </c>
      <c r="O5006">
        <v>-0.99043009999999998</v>
      </c>
      <c r="P5006">
        <v>0.18358389999999999</v>
      </c>
      <c r="Q5006">
        <v>0.4003988</v>
      </c>
      <c r="R5006">
        <v>-0.89776270000000002</v>
      </c>
      <c r="S5006">
        <v>0.37951659999999998</v>
      </c>
      <c r="T5006">
        <v>-0.48625669999999999</v>
      </c>
      <c r="U5006">
        <v>-3.4822389999999999</v>
      </c>
      <c r="V5006">
        <v>-5.5830490000000003E-2</v>
      </c>
      <c r="W5006">
        <v>0.40707539999999998</v>
      </c>
      <c r="X5006">
        <v>0.91168669999999996</v>
      </c>
      <c r="Y5006">
        <v>3.062107E-2</v>
      </c>
      <c r="Z5006">
        <v>0.12905319999999901</v>
      </c>
      <c r="AA5006">
        <v>0.99116479999999996</v>
      </c>
      <c r="AB5006">
        <v>22</v>
      </c>
      <c r="AC5006">
        <v>5.34999999999854E-2</v>
      </c>
      <c r="AD5006">
        <v>-0.115956299999999</v>
      </c>
      <c r="AE5006">
        <v>-0.53333699999999995</v>
      </c>
      <c r="AF5006">
        <v>1.9610083859866401E-2</v>
      </c>
      <c r="AG5006">
        <v>-0.115956299999999</v>
      </c>
      <c r="AH5006">
        <v>0.51167451966956801</v>
      </c>
      <c r="AI5006">
        <v>102.759704979189</v>
      </c>
      <c r="AJ5006">
        <v>87.805195746715597</v>
      </c>
      <c r="AK5006">
        <v>0.52501545975120001</v>
      </c>
      <c r="AL5006">
        <v>65.9787528907232</v>
      </c>
      <c r="AM5006">
        <v>93.504341641536797</v>
      </c>
      <c r="AN5006">
        <v>1.0000000319278399</v>
      </c>
    </row>
    <row r="5007" spans="1:40" x14ac:dyDescent="0.25">
      <c r="A5007" t="str">
        <f>"20190304164745917"</f>
        <v>20190304164745917</v>
      </c>
      <c r="B5007" t="str">
        <f>"1551689265914166"</f>
        <v>1551689265914166</v>
      </c>
      <c r="C5007" t="s">
        <v>40</v>
      </c>
      <c r="D5007">
        <v>4.7630739999999996</v>
      </c>
      <c r="E5007">
        <v>0.55119479999999998</v>
      </c>
      <c r="F5007" t="s">
        <v>41</v>
      </c>
      <c r="G5007">
        <v>-301.58839999999998</v>
      </c>
      <c r="H5007">
        <v>0.99538159999999998</v>
      </c>
      <c r="I5007">
        <v>-5.873945</v>
      </c>
      <c r="J5007">
        <v>-301.63139999999999</v>
      </c>
      <c r="K5007">
        <v>1.1047469999999999</v>
      </c>
      <c r="L5007">
        <v>-5.3873290000000003</v>
      </c>
      <c r="M5007">
        <v>0.13369919999999999</v>
      </c>
      <c r="N5007">
        <v>-7.299051E-3</v>
      </c>
      <c r="O5007">
        <v>-0.99099510000000002</v>
      </c>
      <c r="P5007">
        <v>0.17926549999999999</v>
      </c>
      <c r="Q5007">
        <v>0.39973439999999999</v>
      </c>
      <c r="R5007">
        <v>-0.89893060000000002</v>
      </c>
      <c r="S5007">
        <v>0.34765629999999997</v>
      </c>
      <c r="T5007">
        <v>-0.51554990000000001</v>
      </c>
      <c r="U5007">
        <v>-3.5004879999999998</v>
      </c>
      <c r="V5007">
        <v>-5.5185850000000002E-2</v>
      </c>
      <c r="W5007">
        <v>0.40671740000000001</v>
      </c>
      <c r="X5007">
        <v>0.91188570000000002</v>
      </c>
      <c r="Y5007">
        <v>3.6014419999999998E-2</v>
      </c>
      <c r="Z5007">
        <v>0.13619100000000001</v>
      </c>
      <c r="AA5007">
        <v>0.99002780000000001</v>
      </c>
      <c r="AB5007">
        <v>22</v>
      </c>
      <c r="AC5007">
        <v>4.3000000000006297E-2</v>
      </c>
      <c r="AD5007">
        <v>-0.1093654</v>
      </c>
      <c r="AE5007">
        <v>-0.48661599999999899</v>
      </c>
      <c r="AF5007">
        <v>2.13765882880581E-2</v>
      </c>
      <c r="AG5007">
        <v>-0.1093654</v>
      </c>
      <c r="AH5007">
        <v>0.46470520536828902</v>
      </c>
      <c r="AI5007">
        <v>103.22970965165401</v>
      </c>
      <c r="AJ5007">
        <v>87.366232453862395</v>
      </c>
      <c r="AK5007">
        <v>0.47787935416837202</v>
      </c>
      <c r="AL5007">
        <v>66.001207537464495</v>
      </c>
      <c r="AM5007">
        <v>93.463224182516598</v>
      </c>
      <c r="AN5007">
        <v>1.00000002568373</v>
      </c>
    </row>
    <row r="5008" spans="1:40" x14ac:dyDescent="0.25">
      <c r="A5008" t="str">
        <f>"20190304164745937"</f>
        <v>20190304164745937</v>
      </c>
      <c r="B5008" t="str">
        <f>"1551689265934661"</f>
        <v>1551689265934661</v>
      </c>
      <c r="C5008" t="s">
        <v>40</v>
      </c>
      <c r="D5008">
        <v>4.76572</v>
      </c>
      <c r="E5008">
        <v>0.55152819999999902</v>
      </c>
      <c r="F5008" t="s">
        <v>41</v>
      </c>
      <c r="G5008">
        <v>-301.54930000000002</v>
      </c>
      <c r="H5008">
        <v>0.97233970000000003</v>
      </c>
      <c r="I5008">
        <v>-6.2640859999999998</v>
      </c>
      <c r="J5008">
        <v>-301.60700000000003</v>
      </c>
      <c r="K5008">
        <v>1.1052709999999999</v>
      </c>
      <c r="L5008">
        <v>-5.5986940000000001</v>
      </c>
      <c r="M5008">
        <v>0.1301176</v>
      </c>
      <c r="N5008">
        <v>-7.5408509999999899E-3</v>
      </c>
      <c r="O5008">
        <v>-0.99146990000000002</v>
      </c>
      <c r="P5008">
        <v>0.17495069999999999</v>
      </c>
      <c r="Q5008">
        <v>0.39907019999999999</v>
      </c>
      <c r="R5008">
        <v>-0.90007519999999996</v>
      </c>
      <c r="S5008">
        <v>0.32901000000000002</v>
      </c>
      <c r="T5008">
        <v>-0.52957200000000004</v>
      </c>
      <c r="U5008">
        <v>-3.5071720000000002</v>
      </c>
      <c r="V5008">
        <v>-5.4020350000000002E-2</v>
      </c>
      <c r="W5008">
        <v>0.40627600000000003</v>
      </c>
      <c r="X5008">
        <v>0.91215219999999997</v>
      </c>
      <c r="Y5008">
        <v>3.784647E-2</v>
      </c>
      <c r="Z5008">
        <v>0.13963120000000001</v>
      </c>
      <c r="AA5008">
        <v>0.98948009999999997</v>
      </c>
      <c r="AB5008">
        <v>22</v>
      </c>
      <c r="AC5008">
        <v>5.7700000000011097E-2</v>
      </c>
      <c r="AD5008">
        <v>-0.132931299999999</v>
      </c>
      <c r="AE5008">
        <v>-0.66539199999999898</v>
      </c>
      <c r="AF5008">
        <v>2.82530238350618E-2</v>
      </c>
      <c r="AG5008">
        <v>-0.132931299999999</v>
      </c>
      <c r="AH5008">
        <v>0.64181807717704897</v>
      </c>
      <c r="AI5008">
        <v>101.690460109157</v>
      </c>
      <c r="AJ5008">
        <v>87.479449894594495</v>
      </c>
      <c r="AK5008">
        <v>0.65604832753903097</v>
      </c>
      <c r="AL5008">
        <v>66.028887674045805</v>
      </c>
      <c r="AM5008">
        <v>93.3892666952583</v>
      </c>
      <c r="AN5008">
        <v>1.0000000111774801</v>
      </c>
    </row>
    <row r="5009" spans="1:40" x14ac:dyDescent="0.25">
      <c r="A5009" t="str">
        <f>"20190304164745960"</f>
        <v>20190304164745960</v>
      </c>
      <c r="B5009" t="str">
        <f>"1551689265954181"</f>
        <v>1551689265954181</v>
      </c>
      <c r="C5009" t="s">
        <v>40</v>
      </c>
      <c r="D5009">
        <v>4.9047650000000003</v>
      </c>
      <c r="E5009">
        <v>0.55173240000000001</v>
      </c>
      <c r="F5009" t="s">
        <v>41</v>
      </c>
      <c r="G5009">
        <v>-301.53050000000002</v>
      </c>
      <c r="H5009">
        <v>0.9746766</v>
      </c>
      <c r="I5009">
        <v>-6.4665309999999998</v>
      </c>
      <c r="J5009">
        <v>-301.58240000000001</v>
      </c>
      <c r="K5009">
        <v>1.1057239999999999</v>
      </c>
      <c r="L5009">
        <v>-5.8196719999999997</v>
      </c>
      <c r="M5009">
        <v>0.1263041</v>
      </c>
      <c r="N5009">
        <v>-7.7622769999999997E-3</v>
      </c>
      <c r="O5009">
        <v>-0.99196130000000005</v>
      </c>
      <c r="P5009">
        <v>0.17129629999999901</v>
      </c>
      <c r="Q5009">
        <v>0.39898460000000002</v>
      </c>
      <c r="R5009">
        <v>-0.9008159</v>
      </c>
      <c r="S5009">
        <v>0.30926510000000001</v>
      </c>
      <c r="T5009">
        <v>-0.52772529999999995</v>
      </c>
      <c r="U5009">
        <v>-3.5069270000000001</v>
      </c>
      <c r="V5009">
        <v>-5.3763989999999998E-2</v>
      </c>
      <c r="W5009">
        <v>0.40639890000000001</v>
      </c>
      <c r="X5009">
        <v>0.91211260000000005</v>
      </c>
      <c r="Y5009">
        <v>3.951346E-2</v>
      </c>
      <c r="Z5009">
        <v>0.13905729999999999</v>
      </c>
      <c r="AA5009">
        <v>0.98949569999999998</v>
      </c>
      <c r="AB5009">
        <v>22</v>
      </c>
      <c r="AC5009">
        <v>5.1899999999989101E-2</v>
      </c>
      <c r="AD5009">
        <v>-0.13104739999999901</v>
      </c>
      <c r="AE5009">
        <v>-0.64685899999999996</v>
      </c>
      <c r="AF5009">
        <v>2.9035002667305399E-2</v>
      </c>
      <c r="AG5009">
        <v>-0.13104739999999901</v>
      </c>
      <c r="AH5009">
        <v>0.62283434978302998</v>
      </c>
      <c r="AI5009">
        <v>101.869472471176</v>
      </c>
      <c r="AJ5009">
        <v>87.330944281033595</v>
      </c>
      <c r="AK5009">
        <v>0.637133486560156</v>
      </c>
      <c r="AL5009">
        <v>66.021181192704603</v>
      </c>
      <c r="AM5009">
        <v>93.373365868202299</v>
      </c>
      <c r="AN5009">
        <v>1.00000001381034</v>
      </c>
    </row>
    <row r="5010" spans="1:40" x14ac:dyDescent="0.25">
      <c r="A5010" t="str">
        <f>"20190304164745997"</f>
        <v>20190304164745997</v>
      </c>
      <c r="B5010" t="str">
        <f>"1551689265994197"</f>
        <v>1551689265994197</v>
      </c>
      <c r="C5010" t="s">
        <v>40</v>
      </c>
      <c r="D5010">
        <v>4.8514619999999997</v>
      </c>
      <c r="E5010">
        <v>0.55168219999999901</v>
      </c>
      <c r="F5010" t="s">
        <v>41</v>
      </c>
      <c r="G5010">
        <v>-301.51220000000001</v>
      </c>
      <c r="H5010">
        <v>0.97844330000000002</v>
      </c>
      <c r="I5010">
        <v>-6.6701689999999996</v>
      </c>
      <c r="J5010">
        <v>-301.54259999999999</v>
      </c>
      <c r="K5010">
        <v>1.1063019999999999</v>
      </c>
      <c r="L5010">
        <v>-6.1951900000000002</v>
      </c>
      <c r="M5010">
        <v>0.1196513</v>
      </c>
      <c r="N5010">
        <v>-8.0500190000000003E-3</v>
      </c>
      <c r="O5010">
        <v>-0.99278339999999998</v>
      </c>
      <c r="P5010">
        <v>0.16647029999999999</v>
      </c>
      <c r="Q5010">
        <v>0.39966230000000003</v>
      </c>
      <c r="R5010">
        <v>-0.90141990000000005</v>
      </c>
      <c r="S5010">
        <v>0.29025269999999997</v>
      </c>
      <c r="T5010">
        <v>-0.52456029999999998</v>
      </c>
      <c r="U5010">
        <v>-3.5074459999999998</v>
      </c>
      <c r="V5010">
        <v>-5.4927360000000001E-2</v>
      </c>
      <c r="W5010">
        <v>0.40735719999999997</v>
      </c>
      <c r="X5010">
        <v>0.91161570000000003</v>
      </c>
      <c r="Y5010">
        <v>3.8140720000000003E-2</v>
      </c>
      <c r="Z5010">
        <v>0.138104</v>
      </c>
      <c r="AA5010">
        <v>0.98968310000000004</v>
      </c>
      <c r="AB5010">
        <v>22</v>
      </c>
      <c r="AC5010">
        <v>3.03999999999859E-2</v>
      </c>
      <c r="AD5010">
        <v>-0.12785869999999999</v>
      </c>
      <c r="AE5010">
        <v>-0.47497899999999998</v>
      </c>
      <c r="AF5010">
        <v>2.48581713271415E-2</v>
      </c>
      <c r="AG5010">
        <v>-0.12785869999999999</v>
      </c>
      <c r="AH5010">
        <v>0.44321845857769399</v>
      </c>
      <c r="AI5010">
        <v>106.067732865301</v>
      </c>
      <c r="AJ5010">
        <v>86.789895144947494</v>
      </c>
      <c r="AK5010">
        <v>0.46196144630413299</v>
      </c>
      <c r="AL5010">
        <v>65.961075117849106</v>
      </c>
      <c r="AM5010">
        <v>93.448060152578194</v>
      </c>
      <c r="AN5010">
        <v>1.0000000438774399</v>
      </c>
    </row>
    <row r="5011" spans="1:40" x14ac:dyDescent="0.25">
      <c r="A5011" t="str">
        <f>"20190304164746042"</f>
        <v>20190304164746042</v>
      </c>
      <c r="B5011" t="str">
        <f>"1551689266034213"</f>
        <v>1551689266034213</v>
      </c>
      <c r="C5011" t="s">
        <v>40</v>
      </c>
      <c r="D5011">
        <v>4.7715439999999996</v>
      </c>
      <c r="E5011">
        <v>0.55154569999999903</v>
      </c>
      <c r="F5011" t="s">
        <v>41</v>
      </c>
      <c r="G5011">
        <v>-301.47699999999998</v>
      </c>
      <c r="H5011">
        <v>0.97666969999999997</v>
      </c>
      <c r="I5011">
        <v>-7.0746289999999901</v>
      </c>
      <c r="J5011">
        <v>-301.4973</v>
      </c>
      <c r="K5011">
        <v>1.1067670000000001</v>
      </c>
      <c r="L5011">
        <v>-6.6611330000000004</v>
      </c>
      <c r="M5011">
        <v>0.11102629999999999</v>
      </c>
      <c r="N5011">
        <v>-8.2354239999999999E-3</v>
      </c>
      <c r="O5011">
        <v>-0.99378339999999998</v>
      </c>
      <c r="P5011">
        <v>0.16137860000000001</v>
      </c>
      <c r="Q5011">
        <v>0.40227679999999999</v>
      </c>
      <c r="R5011">
        <v>-0.90118290000000001</v>
      </c>
      <c r="S5011">
        <v>0.26351930000000001</v>
      </c>
      <c r="T5011">
        <v>-0.51640819999999998</v>
      </c>
      <c r="U5011">
        <v>-3.508362</v>
      </c>
      <c r="V5011">
        <v>-5.7686950000000001E-2</v>
      </c>
      <c r="W5011">
        <v>0.41016590000000003</v>
      </c>
      <c r="X5011">
        <v>0.91018469999999996</v>
      </c>
      <c r="Y5011">
        <v>3.695644E-2</v>
      </c>
      <c r="Z5011">
        <v>0.13591619999999999</v>
      </c>
      <c r="AA5011">
        <v>0.99003079999999999</v>
      </c>
      <c r="AB5011">
        <v>23</v>
      </c>
      <c r="AC5011">
        <v>2.0299999999963299E-2</v>
      </c>
      <c r="AD5011">
        <v>-0.1300973</v>
      </c>
      <c r="AE5011">
        <v>-0.41349599999999798</v>
      </c>
      <c r="AF5011">
        <v>2.34229249067851E-2</v>
      </c>
      <c r="AG5011">
        <v>-0.1300973</v>
      </c>
      <c r="AH5011">
        <v>0.37605671205680502</v>
      </c>
      <c r="AI5011">
        <v>109.04888038368701</v>
      </c>
      <c r="AJ5011">
        <v>86.435901148101294</v>
      </c>
      <c r="AK5011">
        <v>0.398613335905177</v>
      </c>
      <c r="AL5011">
        <v>65.784743682542697</v>
      </c>
      <c r="AM5011">
        <v>93.626520830910195</v>
      </c>
      <c r="AN5011">
        <v>1.0000000189186</v>
      </c>
    </row>
    <row r="5012" spans="1:40" x14ac:dyDescent="0.25">
      <c r="A5012" t="str">
        <f>"20190304164746085"</f>
        <v>20190304164746085</v>
      </c>
      <c r="B5012" t="str">
        <f>"1551689266074229"</f>
        <v>1551689266074229</v>
      </c>
      <c r="C5012" t="s">
        <v>40</v>
      </c>
      <c r="D5012">
        <v>4.8129670000000004</v>
      </c>
      <c r="E5012">
        <v>0.55145279999999997</v>
      </c>
      <c r="F5012" t="s">
        <v>41</v>
      </c>
      <c r="G5012">
        <v>-301.44099999999997</v>
      </c>
      <c r="H5012">
        <v>0.98835609999999996</v>
      </c>
      <c r="I5012">
        <v>-7.487711</v>
      </c>
      <c r="J5012">
        <v>-301.45870000000002</v>
      </c>
      <c r="K5012">
        <v>1.1070230000000001</v>
      </c>
      <c r="L5012">
        <v>-7.1001279999999998</v>
      </c>
      <c r="M5012">
        <v>0.10254919999999999</v>
      </c>
      <c r="N5012">
        <v>-8.3000650000000006E-3</v>
      </c>
      <c r="O5012">
        <v>-0.99469339999999995</v>
      </c>
      <c r="P5012">
        <v>0.15961339999999999</v>
      </c>
      <c r="Q5012">
        <v>0.40476630000000002</v>
      </c>
      <c r="R5012">
        <v>-0.90038229999999997</v>
      </c>
      <c r="S5012">
        <v>0.23983760000000001</v>
      </c>
      <c r="T5012">
        <v>-0.50266390000000005</v>
      </c>
      <c r="U5012">
        <v>-3.5104060000000001</v>
      </c>
      <c r="V5012">
        <v>-6.3654740000000001E-2</v>
      </c>
      <c r="W5012">
        <v>0.41276040000000003</v>
      </c>
      <c r="X5012">
        <v>0.90861270000000005</v>
      </c>
      <c r="Y5012">
        <v>3.509052E-2</v>
      </c>
      <c r="Z5012">
        <v>0.132236299999999</v>
      </c>
      <c r="AA5012">
        <v>0.9905969</v>
      </c>
      <c r="AB5012">
        <v>23</v>
      </c>
      <c r="AC5012">
        <v>1.7700000000047501E-2</v>
      </c>
      <c r="AD5012">
        <v>-0.11866689999999901</v>
      </c>
      <c r="AE5012">
        <v>-0.38758300000000001</v>
      </c>
      <c r="AF5012">
        <v>2.0246990168630599E-2</v>
      </c>
      <c r="AG5012">
        <v>-0.11866689999999901</v>
      </c>
      <c r="AH5012">
        <v>0.354218934440648</v>
      </c>
      <c r="AI5012">
        <v>108.49323860771899</v>
      </c>
      <c r="AJ5012">
        <v>86.728559522201806</v>
      </c>
      <c r="AK5012">
        <v>0.37411606124673003</v>
      </c>
      <c r="AL5012">
        <v>65.621644285217897</v>
      </c>
      <c r="AM5012">
        <v>94.007426632362098</v>
      </c>
      <c r="AN5012">
        <v>1.00000005616695</v>
      </c>
    </row>
    <row r="5013" spans="1:40" x14ac:dyDescent="0.25">
      <c r="A5013" t="str">
        <f>"20190304164746115"</f>
        <v>20190304164746115</v>
      </c>
      <c r="B5013" t="str">
        <f>"1551689266104485"</f>
        <v>1551689266104485</v>
      </c>
      <c r="C5013" t="s">
        <v>40</v>
      </c>
      <c r="D5013">
        <v>4.6088250000000004</v>
      </c>
      <c r="E5013">
        <v>0.55080929999999995</v>
      </c>
      <c r="F5013" t="s">
        <v>41</v>
      </c>
      <c r="G5013">
        <v>-301.40679999999998</v>
      </c>
      <c r="H5013">
        <v>0.99521150000000003</v>
      </c>
      <c r="I5013">
        <v>-7.9010220000000002</v>
      </c>
      <c r="J5013">
        <v>-301.43439999999998</v>
      </c>
      <c r="K5013">
        <v>1.1071139999999999</v>
      </c>
      <c r="L5013">
        <v>-7.402374</v>
      </c>
      <c r="M5013">
        <v>9.6518939999999998E-2</v>
      </c>
      <c r="N5013">
        <v>-8.2944390000000007E-3</v>
      </c>
      <c r="O5013">
        <v>-0.99529659999999998</v>
      </c>
      <c r="P5013">
        <v>0.15753539999999999</v>
      </c>
      <c r="Q5013">
        <v>0.40441539999999998</v>
      </c>
      <c r="R5013">
        <v>-0.90090570000000003</v>
      </c>
      <c r="S5013">
        <v>0.2286987</v>
      </c>
      <c r="T5013">
        <v>-0.48963190000000001</v>
      </c>
      <c r="U5013">
        <v>-3.5115050000000001</v>
      </c>
      <c r="V5013">
        <v>-6.6965899999999995E-2</v>
      </c>
      <c r="W5013">
        <v>0.41244239999999999</v>
      </c>
      <c r="X5013">
        <v>0.90851899999999997</v>
      </c>
      <c r="Y5013">
        <v>3.2155049999999998E-2</v>
      </c>
      <c r="Z5013">
        <v>0.12876699999999999</v>
      </c>
      <c r="AA5013">
        <v>0.99115339999999996</v>
      </c>
      <c r="AB5013">
        <v>23</v>
      </c>
      <c r="AC5013">
        <v>2.7600000000006699E-2</v>
      </c>
      <c r="AD5013">
        <v>-0.111902499999999</v>
      </c>
      <c r="AE5013">
        <v>-0.49864799999999898</v>
      </c>
      <c r="AF5013">
        <v>1.9671839598843902E-2</v>
      </c>
      <c r="AG5013">
        <v>-0.111902499999999</v>
      </c>
      <c r="AH5013">
        <v>0.47512901048075001</v>
      </c>
      <c r="AI5013">
        <v>103.241850971592</v>
      </c>
      <c r="AJ5013">
        <v>87.629128130483096</v>
      </c>
      <c r="AK5013">
        <v>0.488525052970541</v>
      </c>
      <c r="AL5013">
        <v>65.641644031367804</v>
      </c>
      <c r="AM5013">
        <v>94.215583218368394</v>
      </c>
      <c r="AN5013">
        <v>0.99999996922078405</v>
      </c>
    </row>
    <row r="5014" spans="1:40" x14ac:dyDescent="0.25">
      <c r="A5014" t="str">
        <f>"20190304164746152"</f>
        <v>20190304164746152</v>
      </c>
      <c r="B5014" t="str">
        <f>"1551689266144505"</f>
        <v>1551689266144505</v>
      </c>
      <c r="C5014" t="s">
        <v>40</v>
      </c>
      <c r="D5014">
        <v>4.5182729999999998</v>
      </c>
      <c r="E5014">
        <v>0.54975339999999995</v>
      </c>
      <c r="F5014" t="s">
        <v>41</v>
      </c>
      <c r="G5014">
        <v>-301.37700000000001</v>
      </c>
      <c r="H5014">
        <v>0.98101000000000005</v>
      </c>
      <c r="I5014">
        <v>-8.3071439999999992</v>
      </c>
      <c r="J5014">
        <v>-301.40600000000001</v>
      </c>
      <c r="K5014">
        <v>1.1071629999999999</v>
      </c>
      <c r="L5014">
        <v>-7.7948909999999998</v>
      </c>
      <c r="M5014">
        <v>8.8460639999999993E-2</v>
      </c>
      <c r="N5014">
        <v>-8.2423169999999903E-3</v>
      </c>
      <c r="O5014">
        <v>-0.99604559999999998</v>
      </c>
      <c r="P5014">
        <v>0.15317449999999999</v>
      </c>
      <c r="Q5014">
        <v>0.40763129999999997</v>
      </c>
      <c r="R5014">
        <v>-0.9002078</v>
      </c>
      <c r="S5014">
        <v>0.22348019999999999</v>
      </c>
      <c r="T5014">
        <v>-0.48908279999999899</v>
      </c>
      <c r="U5014">
        <v>-3.510437</v>
      </c>
      <c r="V5014">
        <v>-6.9913509999999998E-2</v>
      </c>
      <c r="W5014">
        <v>0.41564010000000001</v>
      </c>
      <c r="X5014">
        <v>0.90683820000000004</v>
      </c>
      <c r="Y5014">
        <v>2.5517669999999999E-2</v>
      </c>
      <c r="Z5014">
        <v>0.1288793</v>
      </c>
      <c r="AA5014">
        <v>0.99133190000000004</v>
      </c>
      <c r="AB5014">
        <v>23</v>
      </c>
      <c r="AC5014">
        <v>2.89999999999963E-2</v>
      </c>
      <c r="AD5014">
        <v>-0.12615299999999899</v>
      </c>
      <c r="AE5014">
        <v>-0.51225299999999996</v>
      </c>
      <c r="AF5014">
        <v>1.5492834960427099E-2</v>
      </c>
      <c r="AG5014">
        <v>-0.12615299999999899</v>
      </c>
      <c r="AH5014">
        <v>0.483575281165258</v>
      </c>
      <c r="AI5014">
        <v>104.61402160900499</v>
      </c>
      <c r="AJ5014">
        <v>88.164979554056004</v>
      </c>
      <c r="AK5014">
        <v>0.49999965989805301</v>
      </c>
      <c r="AL5014">
        <v>65.440368377189401</v>
      </c>
      <c r="AM5014">
        <v>94.408549187371705</v>
      </c>
      <c r="AN5014">
        <v>1.00000005629388</v>
      </c>
    </row>
    <row r="5015" spans="1:40" x14ac:dyDescent="0.25">
      <c r="A5015" t="str">
        <f>"20190304164746181"</f>
        <v>20190304164746181</v>
      </c>
      <c r="B5015" t="str">
        <f>"1551689266174759"</f>
        <v>1551689266174759</v>
      </c>
      <c r="C5015" t="s">
        <v>40</v>
      </c>
      <c r="D5015">
        <v>4.5439350000000003</v>
      </c>
      <c r="E5015">
        <v>0.54903190000000002</v>
      </c>
      <c r="F5015" t="s">
        <v>41</v>
      </c>
      <c r="G5015">
        <v>-301.35919999999999</v>
      </c>
      <c r="H5015">
        <v>1.0091749999999999</v>
      </c>
      <c r="I5015">
        <v>-8.5279810000000005</v>
      </c>
      <c r="J5015">
        <v>-301.38670000000002</v>
      </c>
      <c r="K5015">
        <v>1.107197</v>
      </c>
      <c r="L5015">
        <v>-8.0951839999999997</v>
      </c>
      <c r="M5015">
        <v>8.2183160000000005E-2</v>
      </c>
      <c r="N5015">
        <v>-8.1937190000000003E-3</v>
      </c>
      <c r="O5015">
        <v>-0.99658380000000002</v>
      </c>
      <c r="P5015">
        <v>0.1482327</v>
      </c>
      <c r="Q5015">
        <v>0.40985820000000001</v>
      </c>
      <c r="R5015">
        <v>-0.90002469999999901</v>
      </c>
      <c r="S5015">
        <v>0.22445680000000001</v>
      </c>
      <c r="T5015">
        <v>-0.46863110000000002</v>
      </c>
      <c r="U5015">
        <v>-3.5065919999999999</v>
      </c>
      <c r="V5015">
        <v>-7.0647840000000003E-2</v>
      </c>
      <c r="W5015">
        <v>0.4178325</v>
      </c>
      <c r="X5015">
        <v>0.9057731</v>
      </c>
      <c r="Y5015">
        <v>1.8835339999999999E-2</v>
      </c>
      <c r="Z5015">
        <v>0.12354809999999999</v>
      </c>
      <c r="AA5015">
        <v>0.99215980000000004</v>
      </c>
      <c r="AB5015">
        <v>23</v>
      </c>
      <c r="AC5015">
        <v>2.7500000000031801E-2</v>
      </c>
      <c r="AD5015">
        <v>-9.8021999999999998E-2</v>
      </c>
      <c r="AE5015">
        <v>-0.43279699999999999</v>
      </c>
      <c r="AF5015">
        <v>7.7660801480482697E-3</v>
      </c>
      <c r="AG5015">
        <v>-9.8021999999999998E-2</v>
      </c>
      <c r="AH5015">
        <v>0.41251778020880903</v>
      </c>
      <c r="AI5015">
        <v>103.364381102186</v>
      </c>
      <c r="AJ5015">
        <v>88.921474224039798</v>
      </c>
      <c r="AK5015">
        <v>0.42407492672081998</v>
      </c>
      <c r="AL5015">
        <v>65.302180721438802</v>
      </c>
      <c r="AM5015">
        <v>94.459885685425505</v>
      </c>
      <c r="AN5015">
        <v>1.0000000120182599</v>
      </c>
    </row>
    <row r="5016" spans="1:40" x14ac:dyDescent="0.25">
      <c r="A5016" t="str">
        <f>"20190304164746206"</f>
        <v>20190304164746206</v>
      </c>
      <c r="B5016" t="str">
        <f>"1551689266194277"</f>
        <v>1551689266194277</v>
      </c>
      <c r="C5016" t="s">
        <v>40</v>
      </c>
      <c r="D5016">
        <v>4.4484690000000002</v>
      </c>
      <c r="E5016">
        <v>0.54858499999999999</v>
      </c>
      <c r="F5016" t="s">
        <v>41</v>
      </c>
      <c r="G5016">
        <v>-301.33479999999997</v>
      </c>
      <c r="H5016">
        <v>0.99726090000000001</v>
      </c>
      <c r="I5016">
        <v>-8.9396149999999999</v>
      </c>
      <c r="J5016">
        <v>-301.37130000000002</v>
      </c>
      <c r="K5016">
        <v>1.107232</v>
      </c>
      <c r="L5016">
        <v>-8.3566280000000006</v>
      </c>
      <c r="M5016">
        <v>7.6676739999999993E-2</v>
      </c>
      <c r="N5016">
        <v>-8.1532329999999993E-3</v>
      </c>
      <c r="O5016">
        <v>-0.99702270000000004</v>
      </c>
      <c r="P5016">
        <v>0.14496329999999999</v>
      </c>
      <c r="Q5016">
        <v>0.41143659999999999</v>
      </c>
      <c r="R5016">
        <v>-0.89983679999999999</v>
      </c>
      <c r="S5016">
        <v>0.21551509999999999</v>
      </c>
      <c r="T5016">
        <v>-0.45619539999999997</v>
      </c>
      <c r="U5016">
        <v>-3.505493</v>
      </c>
      <c r="V5016">
        <v>-7.2370450000000003E-2</v>
      </c>
      <c r="W5016">
        <v>0.41938710000000001</v>
      </c>
      <c r="X5016">
        <v>0.90491820000000001</v>
      </c>
      <c r="Y5016">
        <v>1.579026E-2</v>
      </c>
      <c r="Z5016">
        <v>0.12028469999999999</v>
      </c>
      <c r="AA5016">
        <v>0.99261390000000005</v>
      </c>
      <c r="AB5016">
        <v>23</v>
      </c>
      <c r="AC5016">
        <v>3.6500000000046301E-2</v>
      </c>
      <c r="AD5016">
        <v>-0.1099711</v>
      </c>
      <c r="AE5016">
        <v>-0.58298699999999903</v>
      </c>
      <c r="AF5016">
        <v>8.0260174284448992E-3</v>
      </c>
      <c r="AG5016">
        <v>-0.1099711</v>
      </c>
      <c r="AH5016">
        <v>0.56407635568945202</v>
      </c>
      <c r="AI5016">
        <v>101.03079194778999</v>
      </c>
      <c r="AJ5016">
        <v>89.184816220485004</v>
      </c>
      <c r="AK5016">
        <v>0.57475228998140204</v>
      </c>
      <c r="AL5016">
        <v>65.204101007633199</v>
      </c>
      <c r="AM5016">
        <v>94.572473872878206</v>
      </c>
      <c r="AN5016">
        <v>0.99999998518542599</v>
      </c>
    </row>
    <row r="5017" spans="1:40" x14ac:dyDescent="0.25">
      <c r="A5017" t="str">
        <f>"20190304164746243"</f>
        <v>20190304164746243</v>
      </c>
      <c r="B5017" t="str">
        <f>"1551689266234293"</f>
        <v>1551689266234293</v>
      </c>
      <c r="C5017" t="s">
        <v>40</v>
      </c>
      <c r="D5017">
        <v>4.6784189999999999</v>
      </c>
      <c r="E5017">
        <v>0.54806469999999996</v>
      </c>
      <c r="F5017" t="s">
        <v>41</v>
      </c>
      <c r="G5017">
        <v>-301.32459999999998</v>
      </c>
      <c r="H5017">
        <v>1.0059209999999901</v>
      </c>
      <c r="I5017">
        <v>-9.1535519999999995</v>
      </c>
      <c r="J5017">
        <v>-301.35149999999999</v>
      </c>
      <c r="K5017">
        <v>1.107286</v>
      </c>
      <c r="L5017">
        <v>-8.7398679999999995</v>
      </c>
      <c r="M5017">
        <v>6.8599220000000002E-2</v>
      </c>
      <c r="N5017">
        <v>-8.090369E-3</v>
      </c>
      <c r="O5017">
        <v>-0.99761160000000004</v>
      </c>
      <c r="P5017">
        <v>0.13724149999999999</v>
      </c>
      <c r="Q5017">
        <v>0.4131108</v>
      </c>
      <c r="R5017">
        <v>-0.90028030000000003</v>
      </c>
      <c r="S5017">
        <v>0.20642089999999999</v>
      </c>
      <c r="T5017">
        <v>-0.44497700000000001</v>
      </c>
      <c r="U5017">
        <v>-3.5041500000000001</v>
      </c>
      <c r="V5017">
        <v>-7.1955640000000001E-2</v>
      </c>
      <c r="W5017">
        <v>0.42100019999999999</v>
      </c>
      <c r="X5017">
        <v>0.90420199999999995</v>
      </c>
      <c r="Y5017">
        <v>1.0218E-2</v>
      </c>
      <c r="Z5017">
        <v>0.1174071</v>
      </c>
      <c r="AA5017">
        <v>0.99303129999999995</v>
      </c>
      <c r="AB5017">
        <v>23</v>
      </c>
      <c r="AC5017">
        <v>2.6900000000011901E-2</v>
      </c>
      <c r="AD5017">
        <v>-0.101365</v>
      </c>
      <c r="AE5017">
        <v>-0.413684000000001</v>
      </c>
      <c r="AF5017">
        <v>1.4556681075986199E-3</v>
      </c>
      <c r="AG5017">
        <v>-0.101365</v>
      </c>
      <c r="AH5017">
        <v>0.39116806790784697</v>
      </c>
      <c r="AI5017">
        <v>104.527641121603</v>
      </c>
      <c r="AJ5017">
        <v>89.786784094147393</v>
      </c>
      <c r="AK5017">
        <v>0.404090880304663</v>
      </c>
      <c r="AL5017">
        <v>65.102250112882501</v>
      </c>
      <c r="AM5017">
        <v>94.549961716780203</v>
      </c>
      <c r="AN5017">
        <v>1.00000001966592</v>
      </c>
    </row>
    <row r="5018" spans="1:40" x14ac:dyDescent="0.25">
      <c r="A5018" t="str">
        <f>"20190304164746286"</f>
        <v>20190304164746286</v>
      </c>
      <c r="B5018" t="str">
        <f>"1551689266274310"</f>
        <v>1551689266274310</v>
      </c>
      <c r="C5018" t="s">
        <v>40</v>
      </c>
      <c r="D5018">
        <v>4.5410729999999999</v>
      </c>
      <c r="E5018">
        <v>0.54739510000000002</v>
      </c>
      <c r="F5018" t="s">
        <v>41</v>
      </c>
      <c r="G5018">
        <v>-301.3066</v>
      </c>
      <c r="H5018">
        <v>1.003722</v>
      </c>
      <c r="I5018">
        <v>-9.5741230000000002</v>
      </c>
      <c r="J5018">
        <v>-301.33150000000001</v>
      </c>
      <c r="K5018">
        <v>1.107362</v>
      </c>
      <c r="L5018">
        <v>-9.2023010000000003</v>
      </c>
      <c r="M5018">
        <v>5.8978530000000001E-2</v>
      </c>
      <c r="N5018">
        <v>-8.0137569999999998E-3</v>
      </c>
      <c r="O5018">
        <v>-0.99822719999999998</v>
      </c>
      <c r="P5018">
        <v>0.1297635</v>
      </c>
      <c r="Q5018">
        <v>0.41079359999999998</v>
      </c>
      <c r="R5018">
        <v>-0.902447</v>
      </c>
      <c r="S5018">
        <v>0.18890380000000001</v>
      </c>
      <c r="T5018">
        <v>-0.43464409999999998</v>
      </c>
      <c r="U5018">
        <v>-3.5029599999999999</v>
      </c>
      <c r="V5018">
        <v>-7.3151279999999999E-2</v>
      </c>
      <c r="W5018">
        <v>0.41862559999999899</v>
      </c>
      <c r="X5018">
        <v>0.90520809999999996</v>
      </c>
      <c r="Y5018">
        <v>5.4937290000000001E-3</v>
      </c>
      <c r="Z5018">
        <v>0.114782</v>
      </c>
      <c r="AA5018">
        <v>0.99337549999999997</v>
      </c>
      <c r="AB5018">
        <v>23</v>
      </c>
      <c r="AC5018">
        <v>2.4900000000002299E-2</v>
      </c>
      <c r="AD5018">
        <v>-0.10364</v>
      </c>
      <c r="AE5018">
        <v>-0.37182199999999899</v>
      </c>
      <c r="AF5018">
        <v>-2.7163364859030402E-3</v>
      </c>
      <c r="AG5018">
        <v>-0.10364</v>
      </c>
      <c r="AH5018">
        <v>0.345889907149803</v>
      </c>
      <c r="AI5018">
        <v>106.679460557908</v>
      </c>
      <c r="AJ5018">
        <v>90.449944950181603</v>
      </c>
      <c r="AK5018">
        <v>0.36109341720945798</v>
      </c>
      <c r="AL5018">
        <v>65.252156491332897</v>
      </c>
      <c r="AM5018">
        <v>94.620121614017705</v>
      </c>
      <c r="AN5018">
        <v>1.0000001035232899</v>
      </c>
    </row>
    <row r="5019" spans="1:40" x14ac:dyDescent="0.25">
      <c r="A5019" t="str">
        <f>"20190304164746317"</f>
        <v>20190304164746317</v>
      </c>
      <c r="B5019" t="str">
        <f>"1551689266314326"</f>
        <v>1551689266314326</v>
      </c>
      <c r="C5019" t="s">
        <v>40</v>
      </c>
      <c r="D5019">
        <v>4.7521309999999897</v>
      </c>
      <c r="E5019">
        <v>0.54653759999999996</v>
      </c>
      <c r="F5019" t="s">
        <v>41</v>
      </c>
      <c r="G5019">
        <v>-301.29360000000003</v>
      </c>
      <c r="H5019">
        <v>1.006103</v>
      </c>
      <c r="I5019">
        <v>-9.9996480000000005</v>
      </c>
      <c r="J5019">
        <v>-301.31990000000002</v>
      </c>
      <c r="K5019">
        <v>1.1074310000000001</v>
      </c>
      <c r="L5019">
        <v>-9.5277399999999997</v>
      </c>
      <c r="M5019">
        <v>5.2361409999999997E-2</v>
      </c>
      <c r="N5019">
        <v>-7.9676369999999996E-3</v>
      </c>
      <c r="O5019">
        <v>-0.99859640000000005</v>
      </c>
      <c r="P5019">
        <v>0.12607779999999999</v>
      </c>
      <c r="Q5019">
        <v>0.40839940000000002</v>
      </c>
      <c r="R5019">
        <v>-0.90405429999999998</v>
      </c>
      <c r="S5019">
        <v>0.16763310000000001</v>
      </c>
      <c r="T5019">
        <v>-0.44441580000000003</v>
      </c>
      <c r="U5019">
        <v>-3.5025019999999998</v>
      </c>
      <c r="V5019">
        <v>-7.5466220000000001E-2</v>
      </c>
      <c r="W5019">
        <v>0.41620639999999998</v>
      </c>
      <c r="X5019">
        <v>0.90613310000000002</v>
      </c>
      <c r="Y5019">
        <v>4.892591E-3</v>
      </c>
      <c r="Z5019">
        <v>0.1176484</v>
      </c>
      <c r="AA5019">
        <v>0.99304320000000001</v>
      </c>
      <c r="AB5019">
        <v>23</v>
      </c>
      <c r="AC5019">
        <v>2.6299999999992E-2</v>
      </c>
      <c r="AD5019">
        <v>-0.101328</v>
      </c>
      <c r="AE5019">
        <v>-0.47190799999999899</v>
      </c>
      <c r="AF5019">
        <v>-1.48510807352187E-3</v>
      </c>
      <c r="AG5019">
        <v>-0.101328</v>
      </c>
      <c r="AH5019">
        <v>0.45186901130692197</v>
      </c>
      <c r="AI5019">
        <v>102.63897192134699</v>
      </c>
      <c r="AJ5019">
        <v>90.188307045257403</v>
      </c>
      <c r="AK5019">
        <v>0.46309304951541402</v>
      </c>
      <c r="AL5019">
        <v>65.404689239831399</v>
      </c>
      <c r="AM5019">
        <v>94.760823962466802</v>
      </c>
      <c r="AN5019">
        <v>1.0000000563388201</v>
      </c>
    </row>
    <row r="5020" spans="1:40" x14ac:dyDescent="0.25">
      <c r="A5020" t="str">
        <f>"20190304164746339"</f>
        <v>20190304164746339</v>
      </c>
      <c r="B5020" t="str">
        <f>"1551689266334822"</f>
        <v>1551689266334822</v>
      </c>
      <c r="C5020" t="s">
        <v>40</v>
      </c>
      <c r="D5020">
        <v>4.5868260000000003</v>
      </c>
      <c r="E5020">
        <v>0.54622890000000002</v>
      </c>
      <c r="F5020" t="s">
        <v>41</v>
      </c>
      <c r="G5020">
        <v>-301.28039999999999</v>
      </c>
      <c r="H5020">
        <v>0.99218890000000004</v>
      </c>
      <c r="I5020">
        <v>-10.41991</v>
      </c>
      <c r="J5020">
        <v>-301.31270000000001</v>
      </c>
      <c r="K5020">
        <v>1.107486</v>
      </c>
      <c r="L5020">
        <v>-9.7667850000000005</v>
      </c>
      <c r="M5020">
        <v>4.7626309999999998E-2</v>
      </c>
      <c r="N5020">
        <v>-7.9323469999999993E-3</v>
      </c>
      <c r="O5020">
        <v>-0.99883370000000005</v>
      </c>
      <c r="P5020">
        <v>0.1248285</v>
      </c>
      <c r="Q5020">
        <v>0.4076632</v>
      </c>
      <c r="R5020">
        <v>-0.90455969999999997</v>
      </c>
      <c r="S5020">
        <v>0.1557617</v>
      </c>
      <c r="T5020">
        <v>-0.45172420000000002</v>
      </c>
      <c r="U5020">
        <v>-3.5007320000000002</v>
      </c>
      <c r="V5020">
        <v>-7.855811E-2</v>
      </c>
      <c r="W5020">
        <v>0.4154523</v>
      </c>
      <c r="X5020">
        <v>0.90621629999999997</v>
      </c>
      <c r="Y5020">
        <v>3.500076E-3</v>
      </c>
      <c r="Z5020">
        <v>0.11983389999999999</v>
      </c>
      <c r="AA5020">
        <v>0.9927878</v>
      </c>
      <c r="AB5020">
        <v>24</v>
      </c>
      <c r="AC5020">
        <v>3.2300000000020597E-2</v>
      </c>
      <c r="AD5020">
        <v>-0.115297099999999</v>
      </c>
      <c r="AE5020">
        <v>-0.65312499999999896</v>
      </c>
      <c r="AF5020">
        <v>-1.1215647628157899E-3</v>
      </c>
      <c r="AG5020">
        <v>-0.115297099999999</v>
      </c>
      <c r="AH5020">
        <v>0.63420640370415005</v>
      </c>
      <c r="AI5020">
        <v>100.30368025379499</v>
      </c>
      <c r="AJ5020">
        <v>90.101324836826294</v>
      </c>
      <c r="AK5020">
        <v>0.64460254550791096</v>
      </c>
      <c r="AL5020">
        <v>65.452196445654707</v>
      </c>
      <c r="AM5020">
        <v>94.954472642679704</v>
      </c>
      <c r="AN5020">
        <v>0.99999998630387499</v>
      </c>
    </row>
    <row r="5021" spans="1:40" x14ac:dyDescent="0.25">
      <c r="A5021" t="str">
        <f>"20190304164746363"</f>
        <v>20190304164746363</v>
      </c>
      <c r="B5021" t="str">
        <f>"1551689266354341"</f>
        <v>1551689266354341</v>
      </c>
      <c r="C5021" t="s">
        <v>40</v>
      </c>
      <c r="D5021">
        <v>4.5345789999999999</v>
      </c>
      <c r="E5021">
        <v>0.54587839999999999</v>
      </c>
      <c r="F5021" t="s">
        <v>41</v>
      </c>
      <c r="G5021">
        <v>-301.27499999999998</v>
      </c>
      <c r="H5021">
        <v>0.99491099999999999</v>
      </c>
      <c r="I5021">
        <v>-10.63569</v>
      </c>
      <c r="J5021">
        <v>-301.30619999999999</v>
      </c>
      <c r="K5021">
        <v>1.107548</v>
      </c>
      <c r="L5021">
        <v>-10.017910000000001</v>
      </c>
      <c r="M5021">
        <v>4.2766720000000001E-2</v>
      </c>
      <c r="N5021">
        <v>-7.892352E-3</v>
      </c>
      <c r="O5021">
        <v>-0.999054</v>
      </c>
      <c r="P5021">
        <v>0.1227143</v>
      </c>
      <c r="Q5021">
        <v>0.40831990000000001</v>
      </c>
      <c r="R5021">
        <v>-0.90455339999999995</v>
      </c>
      <c r="S5021">
        <v>0.1511536</v>
      </c>
      <c r="T5021">
        <v>-0.45369369999999998</v>
      </c>
      <c r="U5021">
        <v>-3.5001530000000001</v>
      </c>
      <c r="V5021">
        <v>-8.0921699999999999E-2</v>
      </c>
      <c r="W5021">
        <v>0.41607450000000001</v>
      </c>
      <c r="X5021">
        <v>0.90572269999999999</v>
      </c>
      <c r="Y5021" s="1">
        <v>-6.2125969999999897E-5</v>
      </c>
      <c r="Z5021">
        <v>0.12048780000000001</v>
      </c>
      <c r="AA5021">
        <v>0.99271480000000001</v>
      </c>
      <c r="AB5021">
        <v>24</v>
      </c>
      <c r="AC5021">
        <v>3.1200000000012499E-2</v>
      </c>
      <c r="AD5021">
        <v>-0.112636999999999</v>
      </c>
      <c r="AE5021">
        <v>-0.617779999999997</v>
      </c>
      <c r="AF5021">
        <v>-4.5977557188228496E-3</v>
      </c>
      <c r="AG5021">
        <v>-0.112636999999999</v>
      </c>
      <c r="AH5021">
        <v>0.59869750757210805</v>
      </c>
      <c r="AI5021">
        <v>100.65458795520701</v>
      </c>
      <c r="AJ5021">
        <v>90.439999859748198</v>
      </c>
      <c r="AK5021">
        <v>0.60921830134993804</v>
      </c>
      <c r="AL5021">
        <v>65.4129978484535</v>
      </c>
      <c r="AM5021">
        <v>95.105529251831101</v>
      </c>
      <c r="AN5021">
        <v>0.99999996018821402</v>
      </c>
    </row>
    <row r="5022" spans="1:40" x14ac:dyDescent="0.25">
      <c r="A5022" t="str">
        <f>"20190304164746398"</f>
        <v>20190304164746398</v>
      </c>
      <c r="B5022" t="str">
        <f>"1551689266394358"</f>
        <v>1551689266394358</v>
      </c>
      <c r="C5022" t="s">
        <v>40</v>
      </c>
      <c r="D5022">
        <v>4.6612049999999998</v>
      </c>
      <c r="E5022">
        <v>0.53399240000000003</v>
      </c>
      <c r="F5022" t="s">
        <v>41</v>
      </c>
      <c r="G5022">
        <v>-301.27080000000001</v>
      </c>
      <c r="H5022">
        <v>1.000035</v>
      </c>
      <c r="I5022">
        <v>-10.85331</v>
      </c>
      <c r="J5022">
        <v>-301.29820000000001</v>
      </c>
      <c r="K5022">
        <v>1.107667</v>
      </c>
      <c r="L5022">
        <v>-10.401149999999999</v>
      </c>
      <c r="M5022">
        <v>3.5604900000000002E-2</v>
      </c>
      <c r="N5022">
        <v>-7.8213759999999997E-3</v>
      </c>
      <c r="O5022">
        <v>-0.99933530000000004</v>
      </c>
      <c r="P5022">
        <v>0.1268658</v>
      </c>
      <c r="Q5022">
        <v>0.40960350000000001</v>
      </c>
      <c r="R5022">
        <v>-0.90339930000000002</v>
      </c>
      <c r="S5022">
        <v>0.14926149999999999</v>
      </c>
      <c r="T5022">
        <v>-0.45005659999999997</v>
      </c>
      <c r="U5022">
        <v>-3.4994809999999998</v>
      </c>
      <c r="V5022">
        <v>-9.1721300000000006E-2</v>
      </c>
      <c r="W5022">
        <v>0.41733510000000001</v>
      </c>
      <c r="X5022">
        <v>0.90411200000000003</v>
      </c>
      <c r="Y5022">
        <v>-6.7031510000000001E-3</v>
      </c>
      <c r="Z5022">
        <v>0.11962150000000001</v>
      </c>
      <c r="AA5022">
        <v>0.99279700000000004</v>
      </c>
      <c r="AB5022">
        <v>24</v>
      </c>
      <c r="AC5022">
        <v>2.7400000000000001E-2</v>
      </c>
      <c r="AD5022">
        <v>-0.10763199999999901</v>
      </c>
      <c r="AE5022">
        <v>-0.45216000000000101</v>
      </c>
      <c r="AF5022">
        <v>-1.06800718005234E-2</v>
      </c>
      <c r="AG5022">
        <v>-0.10763199999999901</v>
      </c>
      <c r="AH5022">
        <v>0.42864926023626798</v>
      </c>
      <c r="AI5022">
        <v>104.091117241692</v>
      </c>
      <c r="AJ5022">
        <v>91.427265874182496</v>
      </c>
      <c r="AK5022">
        <v>0.44208472000145399</v>
      </c>
      <c r="AL5022">
        <v>65.333543397030994</v>
      </c>
      <c r="AM5022">
        <v>95.792783495118698</v>
      </c>
      <c r="AN5022">
        <v>0.99999994555484795</v>
      </c>
    </row>
    <row r="5023" spans="1:40" x14ac:dyDescent="0.25">
      <c r="A5023" t="str">
        <f>"20190304164746443"</f>
        <v>20190304164746443</v>
      </c>
      <c r="B5023" t="str">
        <f>"1551689266434373"</f>
        <v>1551689266434373</v>
      </c>
      <c r="C5023" t="s">
        <v>40</v>
      </c>
      <c r="D5023">
        <v>4.6847560000000001</v>
      </c>
      <c r="E5023">
        <v>0.46214450000000001</v>
      </c>
      <c r="F5023" t="s">
        <v>41</v>
      </c>
      <c r="G5023">
        <v>-301.23340000000002</v>
      </c>
      <c r="H5023">
        <v>1.0003919999999999</v>
      </c>
      <c r="I5023">
        <v>-11.285959999999999</v>
      </c>
      <c r="J5023">
        <v>-301.29160000000002</v>
      </c>
      <c r="K5023">
        <v>1.1078269999999999</v>
      </c>
      <c r="L5023">
        <v>-10.88715</v>
      </c>
      <c r="M5023">
        <v>2.7007570000000002E-2</v>
      </c>
      <c r="N5023">
        <v>-7.7288039999999997E-3</v>
      </c>
      <c r="O5023">
        <v>-0.99960530000000003</v>
      </c>
      <c r="P5023">
        <v>0.13142419999999999</v>
      </c>
      <c r="Q5023">
        <v>0.41310659999999999</v>
      </c>
      <c r="R5023">
        <v>-0.90114930000000004</v>
      </c>
      <c r="S5023">
        <v>0.25570680000000001</v>
      </c>
      <c r="T5023">
        <v>-0.42087959999999902</v>
      </c>
      <c r="U5023">
        <v>-3.475708</v>
      </c>
      <c r="V5023">
        <v>-0.10426059999999999</v>
      </c>
      <c r="W5023">
        <v>0.4207822</v>
      </c>
      <c r="X5023">
        <v>0.90115040000000002</v>
      </c>
      <c r="Y5023">
        <v>-4.5922310000000001E-2</v>
      </c>
      <c r="Z5023">
        <v>0.11225639999999899</v>
      </c>
      <c r="AA5023">
        <v>0.99261750000000004</v>
      </c>
      <c r="AB5023">
        <v>24</v>
      </c>
      <c r="AC5023">
        <v>5.8199999999999301E-2</v>
      </c>
      <c r="AD5023">
        <v>-0.107435</v>
      </c>
      <c r="AE5023">
        <v>-0.398810000000001</v>
      </c>
      <c r="AF5023">
        <v>-4.4262399645045698E-2</v>
      </c>
      <c r="AG5023">
        <v>-0.107435</v>
      </c>
      <c r="AH5023">
        <v>0.37368353295325202</v>
      </c>
      <c r="AI5023">
        <v>105.934402354368</v>
      </c>
      <c r="AJ5023">
        <v>96.755146929685694</v>
      </c>
      <c r="AK5023">
        <v>0.39133211221130598</v>
      </c>
      <c r="AL5023">
        <v>65.116018785257097</v>
      </c>
      <c r="AM5023">
        <v>96.599619870381801</v>
      </c>
      <c r="AN5023">
        <v>0.99999998798467904</v>
      </c>
    </row>
    <row r="5024" spans="1:40" x14ac:dyDescent="0.25">
      <c r="A5024" t="str">
        <f>"20190304164746488"</f>
        <v>20190304164746488</v>
      </c>
      <c r="B5024" t="str">
        <f>"1551689266484150"</f>
        <v>1551689266484150</v>
      </c>
      <c r="C5024" t="s">
        <v>40</v>
      </c>
      <c r="D5024">
        <v>4.6972300000000002</v>
      </c>
      <c r="E5024">
        <v>0.44227169999999999</v>
      </c>
      <c r="F5024" t="s">
        <v>42</v>
      </c>
      <c r="G5024">
        <v>-297.1728</v>
      </c>
      <c r="H5024" s="1">
        <v>-1.7226189999999999E-6</v>
      </c>
      <c r="I5024">
        <v>-27.52074</v>
      </c>
      <c r="J5024">
        <v>-301.28840000000002</v>
      </c>
      <c r="K5024">
        <v>1.1079559999999999</v>
      </c>
      <c r="L5024">
        <v>-11.377840000000001</v>
      </c>
      <c r="M5024">
        <v>1.8833430000000002E-2</v>
      </c>
      <c r="N5024">
        <v>-7.6524389999999996E-3</v>
      </c>
      <c r="O5024">
        <v>-0.9997935</v>
      </c>
      <c r="P5024">
        <v>0.13444729999999999</v>
      </c>
      <c r="Q5024">
        <v>0.41252070000000002</v>
      </c>
      <c r="R5024">
        <v>-0.90097210000000005</v>
      </c>
      <c r="S5024">
        <v>0.81976319999999903</v>
      </c>
      <c r="T5024">
        <v>-0.22049270000000001</v>
      </c>
      <c r="U5024">
        <v>-3.3106080000000002</v>
      </c>
      <c r="V5024">
        <v>-0.114814</v>
      </c>
      <c r="W5024">
        <v>0.42015190000000002</v>
      </c>
      <c r="X5024">
        <v>0.900161199999999</v>
      </c>
      <c r="Y5024">
        <v>-0.22158249999999999</v>
      </c>
      <c r="Z5024">
        <v>5.7019100000000003E-2</v>
      </c>
      <c r="AA5024">
        <v>0.97347320000000004</v>
      </c>
      <c r="AB5024">
        <v>24</v>
      </c>
      <c r="AC5024">
        <v>4.1156000000000201</v>
      </c>
      <c r="AD5024">
        <v>-1.1079577226189901</v>
      </c>
      <c r="AE5024">
        <v>-16.142900000000001</v>
      </c>
      <c r="AF5024">
        <v>-3.7940531940986499</v>
      </c>
      <c r="AG5024">
        <v>-1.1079577226189901</v>
      </c>
      <c r="AH5024">
        <v>16.146132578487698</v>
      </c>
      <c r="AI5024">
        <v>93.821745337649901</v>
      </c>
      <c r="AJ5024">
        <v>103.223582812416</v>
      </c>
      <c r="AK5024">
        <v>16.622876020618801</v>
      </c>
      <c r="AL5024">
        <v>65.155822849894093</v>
      </c>
      <c r="AM5024">
        <v>97.2687296207732</v>
      </c>
      <c r="AN5024">
        <v>1.00000002982752</v>
      </c>
    </row>
    <row r="5025" spans="1:40" x14ac:dyDescent="0.25">
      <c r="A5025" t="str">
        <f>"20190304164746516"</f>
        <v>20190304164746516</v>
      </c>
      <c r="B5025" t="str">
        <f>"1551689266504646"</f>
        <v>1551689266504646</v>
      </c>
      <c r="C5025" t="s">
        <v>40</v>
      </c>
      <c r="D5025">
        <v>4.5360809999999896</v>
      </c>
      <c r="E5025">
        <v>0.43974439999999998</v>
      </c>
      <c r="F5025" t="s">
        <v>42</v>
      </c>
      <c r="G5025">
        <v>-296.68900000000002</v>
      </c>
      <c r="H5025" s="1">
        <v>-2.109564E-6</v>
      </c>
      <c r="I5025">
        <v>-26.818829999999998</v>
      </c>
      <c r="J5025">
        <v>-301.28809999999999</v>
      </c>
      <c r="K5025">
        <v>1.1080429999999999</v>
      </c>
      <c r="L5025">
        <v>-11.68817</v>
      </c>
      <c r="M5025">
        <v>1.39302E-2</v>
      </c>
      <c r="N5025">
        <v>-7.611858E-3</v>
      </c>
      <c r="O5025">
        <v>-0.99987409999999999</v>
      </c>
      <c r="P5025">
        <v>0.13653750000000001</v>
      </c>
      <c r="Q5025">
        <v>0.4133503</v>
      </c>
      <c r="R5025">
        <v>-0.90027760000000001</v>
      </c>
      <c r="S5025">
        <v>0.98046880000000003</v>
      </c>
      <c r="T5025">
        <v>-0.23618410000000001</v>
      </c>
      <c r="U5025">
        <v>-3.2915649999999999</v>
      </c>
      <c r="V5025">
        <v>-0.1214224</v>
      </c>
      <c r="W5025">
        <v>0.42095179999999999</v>
      </c>
      <c r="X5025">
        <v>0.89891949999999998</v>
      </c>
      <c r="Y5025">
        <v>-0.2714876</v>
      </c>
      <c r="Z5025">
        <v>6.1151909999999997E-2</v>
      </c>
      <c r="AA5025">
        <v>0.96049720000000005</v>
      </c>
      <c r="AB5025">
        <v>24</v>
      </c>
      <c r="AC5025">
        <v>4.59909999999996</v>
      </c>
      <c r="AD5025">
        <v>-1.108045109564</v>
      </c>
      <c r="AE5025">
        <v>-15.130660000000001</v>
      </c>
      <c r="AF5025">
        <v>-4.3664382932920702</v>
      </c>
      <c r="AG5025">
        <v>-1.108045109564</v>
      </c>
      <c r="AH5025">
        <v>15.1190358935351</v>
      </c>
      <c r="AI5025">
        <v>94.027576983432795</v>
      </c>
      <c r="AJ5025">
        <v>106.108929882856</v>
      </c>
      <c r="AK5025">
        <v>15.7758928014854</v>
      </c>
      <c r="AL5025">
        <v>65.105307932493503</v>
      </c>
      <c r="AM5025">
        <v>97.692721112385797</v>
      </c>
      <c r="AN5025">
        <v>1.0000000423126201</v>
      </c>
    </row>
    <row r="5026" spans="1:40" x14ac:dyDescent="0.25">
      <c r="A5026" t="str">
        <f>"20190304164746540"</f>
        <v>20190304164746540</v>
      </c>
      <c r="B5026" t="str">
        <f>"1551689266533926"</f>
        <v>1551689266533926</v>
      </c>
      <c r="C5026" t="s">
        <v>40</v>
      </c>
      <c r="D5026">
        <v>4.6453920000000002</v>
      </c>
      <c r="E5026">
        <v>0.43815759999999998</v>
      </c>
      <c r="F5026" t="s">
        <v>42</v>
      </c>
      <c r="G5026">
        <v>-296.5883</v>
      </c>
      <c r="H5026" s="1">
        <v>-2.0185140000000002E-6</v>
      </c>
      <c r="I5026">
        <v>-27.087980000000002</v>
      </c>
      <c r="J5026">
        <v>-301.28910000000002</v>
      </c>
      <c r="K5026">
        <v>1.108133</v>
      </c>
      <c r="L5026">
        <v>-11.96228</v>
      </c>
      <c r="M5026">
        <v>9.7969119999999996E-3</v>
      </c>
      <c r="N5026">
        <v>-7.5933809999999997E-3</v>
      </c>
      <c r="O5026">
        <v>-0.99992329999999996</v>
      </c>
      <c r="P5026">
        <v>0.13967470000000001</v>
      </c>
      <c r="Q5026">
        <v>0.41415879999999999</v>
      </c>
      <c r="R5026">
        <v>-0.89942420000000001</v>
      </c>
      <c r="S5026">
        <v>1.0036929999999999</v>
      </c>
      <c r="T5026">
        <v>-0.23663010000000001</v>
      </c>
      <c r="U5026">
        <v>-3.2887270000000002</v>
      </c>
      <c r="V5026">
        <v>-0.1283762</v>
      </c>
      <c r="W5026">
        <v>0.42174919999999999</v>
      </c>
      <c r="X5026">
        <v>0.89757849999999995</v>
      </c>
      <c r="Y5026">
        <v>-0.28188940000000001</v>
      </c>
      <c r="Z5026">
        <v>6.1183559999999998E-2</v>
      </c>
      <c r="AA5026">
        <v>0.95749410000000001</v>
      </c>
      <c r="AB5026">
        <v>24</v>
      </c>
      <c r="AC5026">
        <v>4.7008000000000099</v>
      </c>
      <c r="AD5026">
        <v>-1.108135018514</v>
      </c>
      <c r="AE5026">
        <v>-15.125699999999901</v>
      </c>
      <c r="AF5026">
        <v>-4.53021168540314</v>
      </c>
      <c r="AG5026">
        <v>-1.108135018514</v>
      </c>
      <c r="AH5026">
        <v>15.097135184040701</v>
      </c>
      <c r="AI5026">
        <v>94.021472054255796</v>
      </c>
      <c r="AJ5026">
        <v>106.702973603109</v>
      </c>
      <c r="AK5026">
        <v>15.8010845165456</v>
      </c>
      <c r="AL5026">
        <v>65.054928857302002</v>
      </c>
      <c r="AM5026">
        <v>98.139529480054506</v>
      </c>
      <c r="AN5026">
        <v>1.0000000000446601</v>
      </c>
    </row>
    <row r="5027" spans="1:40" x14ac:dyDescent="0.25">
      <c r="A5027" t="str">
        <f>"20190304164746577"</f>
        <v>20190304164746577</v>
      </c>
      <c r="B5027" t="str">
        <f>"1551689266573942"</f>
        <v>1551689266573942</v>
      </c>
      <c r="C5027" t="s">
        <v>40</v>
      </c>
      <c r="D5027">
        <v>4.6713889999999996</v>
      </c>
      <c r="E5027">
        <v>0.43723489999999998</v>
      </c>
      <c r="F5027" t="s">
        <v>42</v>
      </c>
      <c r="G5027">
        <v>-296.55259999999998</v>
      </c>
      <c r="H5027" s="1">
        <v>-2.0123249999999998E-6</v>
      </c>
      <c r="I5027">
        <v>-27.134060000000002</v>
      </c>
      <c r="J5027">
        <v>-301.2919</v>
      </c>
      <c r="K5027">
        <v>1.10825</v>
      </c>
      <c r="L5027">
        <v>-12.361510000000001</v>
      </c>
      <c r="M5027">
        <v>4.0408909999999996E-3</v>
      </c>
      <c r="N5027">
        <v>-7.5864959999999999E-3</v>
      </c>
      <c r="O5027">
        <v>-0.99996300000000005</v>
      </c>
      <c r="P5027">
        <v>0.1487677</v>
      </c>
      <c r="Q5027">
        <v>0.41370370000000001</v>
      </c>
      <c r="R5027">
        <v>-0.89817449999999999</v>
      </c>
      <c r="S5027">
        <v>1.026062</v>
      </c>
      <c r="T5027">
        <v>-0.2400545</v>
      </c>
      <c r="U5027">
        <v>-3.2866520000000001</v>
      </c>
      <c r="V5027">
        <v>-0.14278089999999999</v>
      </c>
      <c r="W5027">
        <v>0.42131639999999998</v>
      </c>
      <c r="X5027">
        <v>0.89560379999999995</v>
      </c>
      <c r="Y5027">
        <v>-0.29348839999999998</v>
      </c>
      <c r="Z5027">
        <v>6.2028479999999997E-2</v>
      </c>
      <c r="AA5027">
        <v>0.95394809999999997</v>
      </c>
      <c r="AB5027">
        <v>24</v>
      </c>
      <c r="AC5027">
        <v>4.7393000000000098</v>
      </c>
      <c r="AD5027">
        <v>-1.1082520123249999</v>
      </c>
      <c r="AE5027">
        <v>-14.772549999999899</v>
      </c>
      <c r="AF5027">
        <v>-4.65580701478076</v>
      </c>
      <c r="AG5027">
        <v>-1.1082520123249999</v>
      </c>
      <c r="AH5027">
        <v>14.7164835984932</v>
      </c>
      <c r="AI5027">
        <v>94.106754875814403</v>
      </c>
      <c r="AJ5027">
        <v>107.55564287508101</v>
      </c>
      <c r="AK5027">
        <v>15.4751300797901</v>
      </c>
      <c r="AL5027">
        <v>65.082275557520106</v>
      </c>
      <c r="AM5027">
        <v>99.058105404503195</v>
      </c>
      <c r="AN5027">
        <v>1.0000000304440999</v>
      </c>
    </row>
    <row r="5028" spans="1:40" x14ac:dyDescent="0.25">
      <c r="A5028" t="str">
        <f>"20190304164746605"</f>
        <v>20190304164746605</v>
      </c>
      <c r="B5028" t="str">
        <f>"1551689266594438"</f>
        <v>1551689266594438</v>
      </c>
      <c r="C5028" t="s">
        <v>40</v>
      </c>
      <c r="D5028">
        <v>4.5478209999999999</v>
      </c>
      <c r="E5028">
        <v>0.43721080000000001</v>
      </c>
      <c r="F5028" t="s">
        <v>42</v>
      </c>
      <c r="G5028">
        <v>-296.55939999999998</v>
      </c>
      <c r="H5028" s="1">
        <v>-2.0600269999999999E-6</v>
      </c>
      <c r="I5028">
        <v>-26.988579999999999</v>
      </c>
      <c r="J5028">
        <v>-301.2955</v>
      </c>
      <c r="K5028">
        <v>1.108331</v>
      </c>
      <c r="L5028">
        <v>-12.67014</v>
      </c>
      <c r="M5028">
        <v>-1.7370029999999999E-4</v>
      </c>
      <c r="N5028">
        <v>-7.5852069999999897E-3</v>
      </c>
      <c r="O5028">
        <v>-0.99997139999999995</v>
      </c>
      <c r="P5028">
        <v>0.1516325</v>
      </c>
      <c r="Q5028">
        <v>0.4131589</v>
      </c>
      <c r="R5028">
        <v>-0.89794649999999998</v>
      </c>
      <c r="S5028">
        <v>1.0608519999999999</v>
      </c>
      <c r="T5028">
        <v>-0.24842829999999999</v>
      </c>
      <c r="U5028">
        <v>-3.2788390000000001</v>
      </c>
      <c r="V5028">
        <v>-0.14952209999999999</v>
      </c>
      <c r="W5028">
        <v>0.42077009999999998</v>
      </c>
      <c r="X5028">
        <v>0.89476009999999995</v>
      </c>
      <c r="Y5028">
        <v>-0.30727070000000001</v>
      </c>
      <c r="Z5028">
        <v>6.4332109999999998E-2</v>
      </c>
      <c r="AA5028">
        <v>0.94944519999999999</v>
      </c>
      <c r="AB5028">
        <v>25</v>
      </c>
      <c r="AC5028">
        <v>4.73610000000002</v>
      </c>
      <c r="AD5028">
        <v>-1.108333060027</v>
      </c>
      <c r="AE5028">
        <v>-14.318440000000001</v>
      </c>
      <c r="AF5028">
        <v>-4.7131324513213402</v>
      </c>
      <c r="AG5028">
        <v>-1.108333060027</v>
      </c>
      <c r="AH5028">
        <v>14.240705954478599</v>
      </c>
      <c r="AI5028">
        <v>94.225735240377105</v>
      </c>
      <c r="AJ5028">
        <v>108.31258104002001</v>
      </c>
      <c r="AK5028">
        <v>15.041267425239401</v>
      </c>
      <c r="AL5028">
        <v>65.116782958708797</v>
      </c>
      <c r="AM5028">
        <v>99.486956530472099</v>
      </c>
      <c r="AN5028">
        <v>0.99999998599721496</v>
      </c>
    </row>
    <row r="5029" spans="1:40" x14ac:dyDescent="0.25">
      <c r="A5029" t="str">
        <f>"20190304164746632"</f>
        <v>20190304164746632</v>
      </c>
      <c r="B5029" t="str">
        <f>"1551689266624694"</f>
        <v>1551689266624694</v>
      </c>
      <c r="C5029" t="s">
        <v>40</v>
      </c>
      <c r="D5029">
        <v>4.7134939999999999</v>
      </c>
      <c r="E5029">
        <v>0.43780010000000003</v>
      </c>
      <c r="F5029" t="s">
        <v>42</v>
      </c>
      <c r="G5029">
        <v>-296.63780000000003</v>
      </c>
      <c r="H5029" s="1">
        <v>-2.0579950000000001E-6</v>
      </c>
      <c r="I5029">
        <v>-26.960180000000001</v>
      </c>
      <c r="J5029">
        <v>-301.30009999999999</v>
      </c>
      <c r="K5029">
        <v>1.108401</v>
      </c>
      <c r="L5029">
        <v>-12.97852</v>
      </c>
      <c r="M5029">
        <v>-4.2234819999999998E-3</v>
      </c>
      <c r="N5029">
        <v>-7.5901090000000003E-3</v>
      </c>
      <c r="O5029">
        <v>-0.99996249999999998</v>
      </c>
      <c r="P5029">
        <v>0.153617899999999</v>
      </c>
      <c r="Q5029">
        <v>0.41380980000000001</v>
      </c>
      <c r="R5029">
        <v>-0.89730909999999997</v>
      </c>
      <c r="S5029">
        <v>1.068268</v>
      </c>
      <c r="T5029">
        <v>-0.25420429999999999</v>
      </c>
      <c r="U5029">
        <v>-3.2775270000000001</v>
      </c>
      <c r="V5029">
        <v>-0.15521199999999999</v>
      </c>
      <c r="W5029">
        <v>0.42141849999999997</v>
      </c>
      <c r="X5029">
        <v>0.89348519999999898</v>
      </c>
      <c r="Y5029">
        <v>-0.31313619999999998</v>
      </c>
      <c r="Z5029">
        <v>6.5915260000000003E-2</v>
      </c>
      <c r="AA5029">
        <v>0.94741799999999998</v>
      </c>
      <c r="AB5029">
        <v>25</v>
      </c>
      <c r="AC5029">
        <v>4.6622999999999504</v>
      </c>
      <c r="AD5029">
        <v>-1.1084030579949999</v>
      </c>
      <c r="AE5029">
        <v>-13.9816599999999</v>
      </c>
      <c r="AF5029">
        <v>-4.6947591482682602</v>
      </c>
      <c r="AG5029">
        <v>-1.1084030579949999</v>
      </c>
      <c r="AH5029">
        <v>13.883323397091999</v>
      </c>
      <c r="AI5029">
        <v>94.325037958061998</v>
      </c>
      <c r="AJ5029">
        <v>108.683385847279</v>
      </c>
      <c r="AK5029">
        <v>14.69748241528</v>
      </c>
      <c r="AL5029">
        <v>65.0758258350902</v>
      </c>
      <c r="AM5029">
        <v>99.854806244104694</v>
      </c>
      <c r="AN5029">
        <v>1.00000005985264</v>
      </c>
    </row>
    <row r="5030" spans="1:40" x14ac:dyDescent="0.25">
      <c r="A5030" t="str">
        <f>"20190304164746666"</f>
        <v>20190304164746666</v>
      </c>
      <c r="B5030" t="str">
        <f>"1551689266653973"</f>
        <v>1551689266653973</v>
      </c>
      <c r="C5030" t="s">
        <v>40</v>
      </c>
      <c r="D5030">
        <v>4.496556</v>
      </c>
      <c r="E5030">
        <v>0.43810870000000002</v>
      </c>
      <c r="F5030" t="s">
        <v>42</v>
      </c>
      <c r="G5030">
        <v>-296.67660000000001</v>
      </c>
      <c r="H5030" s="1">
        <v>-1.975886E-6</v>
      </c>
      <c r="I5030">
        <v>-27.14415</v>
      </c>
      <c r="J5030">
        <v>-301.30720000000002</v>
      </c>
      <c r="K5030">
        <v>1.1084989999999999</v>
      </c>
      <c r="L5030">
        <v>-13.356199999999999</v>
      </c>
      <c r="M5030">
        <v>-8.8952110000000001E-3</v>
      </c>
      <c r="N5030">
        <v>-7.6079989999999998E-3</v>
      </c>
      <c r="O5030">
        <v>-0.99993160000000003</v>
      </c>
      <c r="P5030">
        <v>0.16376370000000001</v>
      </c>
      <c r="Q5030">
        <v>0.41061710000000001</v>
      </c>
      <c r="R5030">
        <v>-0.89698120000000003</v>
      </c>
      <c r="S5030">
        <v>1.0700379999999901</v>
      </c>
      <c r="T5030">
        <v>-0.25652469999999999</v>
      </c>
      <c r="U5030">
        <v>-3.2784420000000001</v>
      </c>
      <c r="V5030">
        <v>-0.16965920000000001</v>
      </c>
      <c r="W5030">
        <v>0.41826649999999999</v>
      </c>
      <c r="X5030">
        <v>0.89233899999999999</v>
      </c>
      <c r="Y5030">
        <v>-0.3179382</v>
      </c>
      <c r="Z5030">
        <v>6.6469239999999999E-2</v>
      </c>
      <c r="AA5030">
        <v>0.94577860000000002</v>
      </c>
      <c r="AB5030">
        <v>25</v>
      </c>
      <c r="AC5030">
        <v>4.63060000000001</v>
      </c>
      <c r="AD5030">
        <v>-1.1085009758859901</v>
      </c>
      <c r="AE5030">
        <v>-13.78795</v>
      </c>
      <c r="AF5030">
        <v>-4.7256186039627099</v>
      </c>
      <c r="AG5030">
        <v>-1.1085009758859901</v>
      </c>
      <c r="AH5030">
        <v>13.6668302353687</v>
      </c>
      <c r="AI5030">
        <v>94.383479230415304</v>
      </c>
      <c r="AJ5030">
        <v>109.073995128413</v>
      </c>
      <c r="AK5030">
        <v>14.5031891074358</v>
      </c>
      <c r="AL5030">
        <v>65.274807326942806</v>
      </c>
      <c r="AM5030">
        <v>100.765080613897</v>
      </c>
      <c r="AN5030">
        <v>1.00000000004394</v>
      </c>
    </row>
    <row r="5031" spans="1:40" x14ac:dyDescent="0.25">
      <c r="A5031" t="str">
        <f>"20190304164746712"</f>
        <v>20190304164746712</v>
      </c>
      <c r="B5031" t="str">
        <f>"1551689266704726"</f>
        <v>1551689266704726</v>
      </c>
      <c r="C5031" t="s">
        <v>40</v>
      </c>
      <c r="D5031">
        <v>4.4633609999999999</v>
      </c>
      <c r="E5031">
        <v>0.43895590000000001</v>
      </c>
      <c r="F5031" t="s">
        <v>42</v>
      </c>
      <c r="G5031">
        <v>-296.79640000000001</v>
      </c>
      <c r="H5031" s="1">
        <v>-2.1244229999999999E-6</v>
      </c>
      <c r="I5031">
        <v>-26.739789999999999</v>
      </c>
      <c r="J5031">
        <v>-301.31920000000002</v>
      </c>
      <c r="K5031">
        <v>1.108633</v>
      </c>
      <c r="L5031">
        <v>-13.871219999999999</v>
      </c>
      <c r="M5031">
        <v>-1.4846349999999999E-2</v>
      </c>
      <c r="N5031">
        <v>-7.636795E-3</v>
      </c>
      <c r="O5031">
        <v>-0.99986070000000005</v>
      </c>
      <c r="P5031">
        <v>0.17286750000000001</v>
      </c>
      <c r="Q5031">
        <v>0.40661000000000003</v>
      </c>
      <c r="R5031">
        <v>-0.89709850000000002</v>
      </c>
      <c r="S5031">
        <v>1.1012569999999999</v>
      </c>
      <c r="T5031">
        <v>-0.27062330000000001</v>
      </c>
      <c r="U5031">
        <v>-3.267395</v>
      </c>
      <c r="V5031">
        <v>-0.18425340000000001</v>
      </c>
      <c r="W5031">
        <v>0.41428520000000002</v>
      </c>
      <c r="X5031">
        <v>0.89130159999999903</v>
      </c>
      <c r="Y5031">
        <v>-0.332524599999999</v>
      </c>
      <c r="Z5031">
        <v>7.0405590000000004E-2</v>
      </c>
      <c r="AA5031">
        <v>0.94046289999999999</v>
      </c>
      <c r="AB5031">
        <v>25</v>
      </c>
      <c r="AC5031">
        <v>4.5228000000000099</v>
      </c>
      <c r="AD5031">
        <v>-1.1086351244229999</v>
      </c>
      <c r="AE5031">
        <v>-12.86857</v>
      </c>
      <c r="AF5031">
        <v>-4.6824265638395604</v>
      </c>
      <c r="AG5031">
        <v>-1.1086351244229999</v>
      </c>
      <c r="AH5031">
        <v>12.716001580321301</v>
      </c>
      <c r="AI5031">
        <v>94.677167736120495</v>
      </c>
      <c r="AJ5031">
        <v>110.215273345068</v>
      </c>
      <c r="AK5031">
        <v>13.5959878845044</v>
      </c>
      <c r="AL5031">
        <v>65.525690914641999</v>
      </c>
      <c r="AM5031">
        <v>101.67988622585899</v>
      </c>
      <c r="AN5031">
        <v>1.00000004225657</v>
      </c>
    </row>
    <row r="5032" spans="1:40" x14ac:dyDescent="0.25">
      <c r="A5032" t="str">
        <f>"20190304164746756"</f>
        <v>20190304164746756</v>
      </c>
      <c r="B5032" t="str">
        <f>"1551689266744742"</f>
        <v>1551689266744742</v>
      </c>
      <c r="C5032" t="s">
        <v>40</v>
      </c>
      <c r="D5032">
        <v>4.4054729999999998</v>
      </c>
      <c r="E5032">
        <v>0.39554620000000001</v>
      </c>
      <c r="F5032" t="s">
        <v>42</v>
      </c>
      <c r="G5032">
        <v>-296.93680000000001</v>
      </c>
      <c r="H5032" s="1">
        <v>-2.197558E-6</v>
      </c>
      <c r="I5032">
        <v>-26.511240000000001</v>
      </c>
      <c r="J5032">
        <v>-301.3329</v>
      </c>
      <c r="K5032">
        <v>1.1087359999999999</v>
      </c>
      <c r="L5032">
        <v>-14.363250000000001</v>
      </c>
      <c r="M5032">
        <v>-2.0113289999999999E-2</v>
      </c>
      <c r="N5032">
        <v>-7.6832949999999997E-3</v>
      </c>
      <c r="O5032">
        <v>-0.99976830000000005</v>
      </c>
      <c r="P5032">
        <v>0.1809828</v>
      </c>
      <c r="Q5032">
        <v>0.40330739999999998</v>
      </c>
      <c r="R5032">
        <v>-0.89698849999999997</v>
      </c>
      <c r="S5032">
        <v>1.128876</v>
      </c>
      <c r="T5032">
        <v>-0.28557919999999998</v>
      </c>
      <c r="U5032">
        <v>-3.2560120000000001</v>
      </c>
      <c r="V5032">
        <v>-0.19720389999999999</v>
      </c>
      <c r="W5032">
        <v>0.41101880000000002</v>
      </c>
      <c r="X5032">
        <v>0.89004159999999899</v>
      </c>
      <c r="Y5032">
        <v>-0.34548179999999901</v>
      </c>
      <c r="Z5032">
        <v>7.4588290000000002E-2</v>
      </c>
      <c r="AA5032">
        <v>0.93545650000000002</v>
      </c>
      <c r="AB5032">
        <v>25</v>
      </c>
      <c r="AC5032">
        <v>4.3960999999999899</v>
      </c>
      <c r="AD5032">
        <v>-1.108738197558</v>
      </c>
      <c r="AE5032">
        <v>-12.14799</v>
      </c>
      <c r="AF5032">
        <v>-4.6056310156078704</v>
      </c>
      <c r="AG5032">
        <v>-1.108738197558</v>
      </c>
      <c r="AH5032">
        <v>11.9689522262889</v>
      </c>
      <c r="AI5032">
        <v>94.941204728103401</v>
      </c>
      <c r="AJ5032">
        <v>111.046634131888</v>
      </c>
      <c r="AK5032">
        <v>12.872332921341</v>
      </c>
      <c r="AL5032">
        <v>65.731148168389396</v>
      </c>
      <c r="AM5032">
        <v>102.493031179287</v>
      </c>
      <c r="AN5032">
        <v>0.99999994092960298</v>
      </c>
    </row>
    <row r="5033" spans="1:40" x14ac:dyDescent="0.25">
      <c r="A5033" t="str">
        <f>"20190304164746784"</f>
        <v>20190304164746784</v>
      </c>
      <c r="B5033" t="str">
        <f>"1551689266774022"</f>
        <v>1551689266774022</v>
      </c>
      <c r="C5033" t="s">
        <v>40</v>
      </c>
      <c r="D5033">
        <v>4.3519300000000003</v>
      </c>
      <c r="E5033">
        <v>0.38945039999999997</v>
      </c>
      <c r="F5033" t="s">
        <v>41</v>
      </c>
      <c r="G5033">
        <v>-300.88729999999998</v>
      </c>
      <c r="H5033">
        <v>1.0371939999999999</v>
      </c>
      <c r="I5033">
        <v>-15.31162</v>
      </c>
      <c r="J5033">
        <v>-301.34370000000001</v>
      </c>
      <c r="K5033">
        <v>1.108811</v>
      </c>
      <c r="L5033">
        <v>-14.702389999999999</v>
      </c>
      <c r="M5033">
        <v>-2.3516970000000002E-2</v>
      </c>
      <c r="N5033">
        <v>-7.7229239999999999E-3</v>
      </c>
      <c r="O5033">
        <v>-0.99969370000000002</v>
      </c>
      <c r="P5033">
        <v>0.18317369999999999</v>
      </c>
      <c r="Q5033">
        <v>0.4012057</v>
      </c>
      <c r="R5033">
        <v>-0.89748629999999996</v>
      </c>
      <c r="S5033">
        <v>1.4821470000000001</v>
      </c>
      <c r="T5033">
        <v>-0.23782210000000001</v>
      </c>
      <c r="U5033">
        <v>-3.1524049999999999</v>
      </c>
      <c r="V5033">
        <v>-0.2025199</v>
      </c>
      <c r="W5033">
        <v>0.40894130000000001</v>
      </c>
      <c r="X5033">
        <v>0.88980490000000001</v>
      </c>
      <c r="Y5033">
        <v>-0.4457547</v>
      </c>
      <c r="Z5033">
        <v>5.9971169999999997E-2</v>
      </c>
      <c r="AA5033">
        <v>0.89314400000000005</v>
      </c>
      <c r="AB5033">
        <v>25</v>
      </c>
      <c r="AC5033">
        <v>0.45640000000003</v>
      </c>
      <c r="AD5033">
        <v>-7.1617E-2</v>
      </c>
      <c r="AE5033">
        <v>-0.60923000000000105</v>
      </c>
      <c r="AF5033">
        <v>-0.46647254954987399</v>
      </c>
      <c r="AG5033">
        <v>-7.1617E-2</v>
      </c>
      <c r="AH5033">
        <v>0.59307851853452698</v>
      </c>
      <c r="AI5033">
        <v>95.421934919440602</v>
      </c>
      <c r="AJ5033">
        <v>128.18602306838801</v>
      </c>
      <c r="AK5033">
        <v>0.75793651668175299</v>
      </c>
      <c r="AL5033">
        <v>65.861654471775196</v>
      </c>
      <c r="AM5033">
        <v>102.822113817679</v>
      </c>
      <c r="AN5033">
        <v>1.0000000284028501</v>
      </c>
    </row>
    <row r="5034" spans="1:40" x14ac:dyDescent="0.25">
      <c r="A5034" t="str">
        <f>"20190304164746808"</f>
        <v>20190304164746808</v>
      </c>
      <c r="B5034" t="str">
        <f>"1551689266804278"</f>
        <v>1551689266804278</v>
      </c>
      <c r="C5034" t="s">
        <v>40</v>
      </c>
      <c r="D5034">
        <v>4.5571840000000003</v>
      </c>
      <c r="E5034">
        <v>0.38954</v>
      </c>
      <c r="F5034" t="s">
        <v>41</v>
      </c>
      <c r="G5034">
        <v>-300.93009999999998</v>
      </c>
      <c r="H5034">
        <v>1.04555</v>
      </c>
      <c r="I5034">
        <v>-15.546989999999999</v>
      </c>
      <c r="J5034">
        <v>-301.35270000000003</v>
      </c>
      <c r="K5034">
        <v>1.1088480000000001</v>
      </c>
      <c r="L5034">
        <v>-14.965179999999901</v>
      </c>
      <c r="M5034">
        <v>-2.606787E-2</v>
      </c>
      <c r="N5034">
        <v>-7.755423E-3</v>
      </c>
      <c r="O5034">
        <v>-0.99963029999999997</v>
      </c>
      <c r="P5034">
        <v>0.18638270000000001</v>
      </c>
      <c r="Q5034">
        <v>0.40042159999999999</v>
      </c>
      <c r="R5034">
        <v>-0.89717579999999997</v>
      </c>
      <c r="S5034">
        <v>1.535156</v>
      </c>
      <c r="T5034">
        <v>-0.23476610000000001</v>
      </c>
      <c r="U5034">
        <v>-3.1343079999999999</v>
      </c>
      <c r="V5034">
        <v>-0.208042</v>
      </c>
      <c r="W5034">
        <v>0.40818090000000001</v>
      </c>
      <c r="X5034">
        <v>0.88887950000000004</v>
      </c>
      <c r="Y5034">
        <v>-0.46223219999999998</v>
      </c>
      <c r="Z5034">
        <v>5.887788E-2</v>
      </c>
      <c r="AA5034">
        <v>0.88480210000000004</v>
      </c>
      <c r="AB5034">
        <v>25</v>
      </c>
      <c r="AC5034">
        <v>0.422600000000045</v>
      </c>
      <c r="AD5034">
        <v>-6.3297999999999993E-2</v>
      </c>
      <c r="AE5034">
        <v>-0.58181000000000005</v>
      </c>
      <c r="AF5034">
        <v>-0.43425858240711102</v>
      </c>
      <c r="AG5034">
        <v>-6.3297999999999993E-2</v>
      </c>
      <c r="AH5034">
        <v>0.56620846686144199</v>
      </c>
      <c r="AI5034">
        <v>95.069263365034701</v>
      </c>
      <c r="AJ5034">
        <v>127.48672088299401</v>
      </c>
      <c r="AK5034">
        <v>0.71636525679559504</v>
      </c>
      <c r="AL5034">
        <v>65.909385643868703</v>
      </c>
      <c r="AM5034">
        <v>103.17294284293401</v>
      </c>
      <c r="AN5034">
        <v>0.99999994320452801</v>
      </c>
    </row>
    <row r="5035" spans="1:40" x14ac:dyDescent="0.25">
      <c r="A5035" t="str">
        <f>"20190304164746846"</f>
        <v>20190304164746846</v>
      </c>
      <c r="B5035" t="str">
        <f>"1551689266834534"</f>
        <v>1551689266834534</v>
      </c>
      <c r="C5035" t="s">
        <v>40</v>
      </c>
      <c r="D5035">
        <v>4.3585279999999997</v>
      </c>
      <c r="E5035">
        <v>0.38926240000000001</v>
      </c>
      <c r="F5035" t="s">
        <v>41</v>
      </c>
      <c r="G5035">
        <v>-300.95</v>
      </c>
      <c r="H5035">
        <v>1.048468</v>
      </c>
      <c r="I5035">
        <v>-15.779339999999999</v>
      </c>
      <c r="J5035">
        <v>-301.36869999999999</v>
      </c>
      <c r="K5035">
        <v>1.1089249999999999</v>
      </c>
      <c r="L5035">
        <v>-15.39597</v>
      </c>
      <c r="M5035">
        <v>-3.003712E-2</v>
      </c>
      <c r="N5035">
        <v>-7.8139160000000006E-3</v>
      </c>
      <c r="O5035">
        <v>-0.99951840000000003</v>
      </c>
      <c r="P5035">
        <v>0.194076</v>
      </c>
      <c r="Q5035">
        <v>0.3978121</v>
      </c>
      <c r="R5035">
        <v>-0.89670519999999998</v>
      </c>
      <c r="S5035">
        <v>1.546783</v>
      </c>
      <c r="T5035">
        <v>-0.2318364</v>
      </c>
      <c r="U5035">
        <v>-3.1259769999999998</v>
      </c>
      <c r="V5035">
        <v>-0.21934580000000001</v>
      </c>
      <c r="W5035">
        <v>0.40561540000000001</v>
      </c>
      <c r="X5035">
        <v>0.88733510000000004</v>
      </c>
      <c r="Y5035">
        <v>-0.46933720000000001</v>
      </c>
      <c r="Z5035">
        <v>5.7946379999999999E-2</v>
      </c>
      <c r="AA5035">
        <v>0.88111569999999995</v>
      </c>
      <c r="AB5035">
        <v>25</v>
      </c>
      <c r="AC5035">
        <v>0.41870000000000102</v>
      </c>
      <c r="AD5035">
        <v>-6.04569999999999E-2</v>
      </c>
      <c r="AE5035">
        <v>-0.38336999999999699</v>
      </c>
      <c r="AF5035">
        <v>-0.42520444067117602</v>
      </c>
      <c r="AG5035">
        <v>-6.04569999999999E-2</v>
      </c>
      <c r="AH5035">
        <v>0.366463962692677</v>
      </c>
      <c r="AI5035">
        <v>96.147207044843</v>
      </c>
      <c r="AJ5035">
        <v>139.24347555034601</v>
      </c>
      <c r="AK5035">
        <v>0.56457922488159995</v>
      </c>
      <c r="AL5035">
        <v>66.070303138520003</v>
      </c>
      <c r="AM5035">
        <v>103.884943913518</v>
      </c>
      <c r="AN5035">
        <v>1.0000000061934</v>
      </c>
    </row>
    <row r="5036" spans="1:40" x14ac:dyDescent="0.25">
      <c r="A5036" t="str">
        <f>"20190304164746891"</f>
        <v>20190304164746891</v>
      </c>
      <c r="B5036" t="str">
        <f>"1551689266884310"</f>
        <v>1551689266884310</v>
      </c>
      <c r="C5036" t="s">
        <v>40</v>
      </c>
      <c r="D5036">
        <v>4.3299440000000002</v>
      </c>
      <c r="E5036">
        <v>0.38980730000000002</v>
      </c>
      <c r="F5036" t="s">
        <v>41</v>
      </c>
      <c r="G5036">
        <v>-300.9452</v>
      </c>
      <c r="H5036">
        <v>1.0444880000000001</v>
      </c>
      <c r="I5036">
        <v>-16.234010000000001</v>
      </c>
      <c r="J5036">
        <v>-301.38959999999997</v>
      </c>
      <c r="K5036">
        <v>1.1090409999999999</v>
      </c>
      <c r="L5036">
        <v>-15.911250000000001</v>
      </c>
      <c r="M5036">
        <v>-3.4474589999999999E-2</v>
      </c>
      <c r="N5036">
        <v>-7.8772640000000001E-3</v>
      </c>
      <c r="O5036">
        <v>-0.9993746</v>
      </c>
      <c r="P5036">
        <v>0.1957795</v>
      </c>
      <c r="Q5036">
        <v>0.39822360000000001</v>
      </c>
      <c r="R5036">
        <v>-0.89615210000000001</v>
      </c>
      <c r="S5036">
        <v>1.5725709999999999</v>
      </c>
      <c r="T5036">
        <v>-0.2392328</v>
      </c>
      <c r="U5036">
        <v>-3.1113590000000002</v>
      </c>
      <c r="V5036">
        <v>-0.22508210000000001</v>
      </c>
      <c r="W5036">
        <v>0.40603549999999999</v>
      </c>
      <c r="X5036">
        <v>0.88570490000000002</v>
      </c>
      <c r="Y5036">
        <v>-0.48063489999999998</v>
      </c>
      <c r="Z5036">
        <v>5.9892090000000002E-2</v>
      </c>
      <c r="AA5036">
        <v>0.87487320000000002</v>
      </c>
      <c r="AB5036">
        <v>26</v>
      </c>
      <c r="AC5036">
        <v>0.44439999999997298</v>
      </c>
      <c r="AD5036">
        <v>-6.4552999999999999E-2</v>
      </c>
      <c r="AE5036">
        <v>-0.32275999999999999</v>
      </c>
      <c r="AF5036">
        <v>-0.44906004099482499</v>
      </c>
      <c r="AG5036">
        <v>-6.4552999999999999E-2</v>
      </c>
      <c r="AH5036">
        <v>0.303060783899749</v>
      </c>
      <c r="AI5036">
        <v>96.795033941003098</v>
      </c>
      <c r="AJ5036">
        <v>145.98544875859</v>
      </c>
      <c r="AK5036">
        <v>0.54558945092918099</v>
      </c>
      <c r="AL5036">
        <v>66.043966161666006</v>
      </c>
      <c r="AM5036">
        <v>104.25861143068499</v>
      </c>
      <c r="AN5036">
        <v>0.99999997444233402</v>
      </c>
    </row>
    <row r="5037" spans="1:40" x14ac:dyDescent="0.25">
      <c r="A5037" t="str">
        <f>"20190304164746934"</f>
        <v>20190304164746934</v>
      </c>
      <c r="B5037" t="str">
        <f>"1551689266924326"</f>
        <v>1551689266924326</v>
      </c>
      <c r="C5037" t="s">
        <v>40</v>
      </c>
      <c r="D5037">
        <v>4.329421</v>
      </c>
      <c r="E5037">
        <v>0.38981070000000001</v>
      </c>
      <c r="F5037" t="s">
        <v>41</v>
      </c>
      <c r="G5037">
        <v>-300.99079999999998</v>
      </c>
      <c r="H5037">
        <v>1.0502590000000001</v>
      </c>
      <c r="I5037">
        <v>-16.700700000000001</v>
      </c>
      <c r="J5037">
        <v>-301.4119</v>
      </c>
      <c r="K5037">
        <v>1.1091420000000001</v>
      </c>
      <c r="L5037">
        <v>-16.412510000000001</v>
      </c>
      <c r="M5037">
        <v>-3.8462900000000001E-2</v>
      </c>
      <c r="N5037">
        <v>-7.9295559999999904E-3</v>
      </c>
      <c r="O5037">
        <v>-0.99922880000000003</v>
      </c>
      <c r="P5037">
        <v>0.19527559999999999</v>
      </c>
      <c r="Q5037">
        <v>0.3969203</v>
      </c>
      <c r="R5037">
        <v>-0.89684030000000003</v>
      </c>
      <c r="S5037">
        <v>1.57074</v>
      </c>
      <c r="T5037">
        <v>-0.23138310000000001</v>
      </c>
      <c r="U5037">
        <v>-3.1073300000000001</v>
      </c>
      <c r="V5037">
        <v>-0.22825500000000001</v>
      </c>
      <c r="W5037">
        <v>0.40473130000000002</v>
      </c>
      <c r="X5037">
        <v>0.88548979999999999</v>
      </c>
      <c r="Y5037">
        <v>-0.48423670000000002</v>
      </c>
      <c r="Z5037">
        <v>5.7615409999999999E-2</v>
      </c>
      <c r="AA5037">
        <v>0.87303790000000003</v>
      </c>
      <c r="AB5037">
        <v>26</v>
      </c>
      <c r="AC5037">
        <v>0.42110000000002401</v>
      </c>
      <c r="AD5037">
        <v>-5.8882999999999998E-2</v>
      </c>
      <c r="AE5037">
        <v>-0.28819</v>
      </c>
      <c r="AF5037">
        <v>-0.426198085707925</v>
      </c>
      <c r="AG5037">
        <v>-5.8882999999999998E-2</v>
      </c>
      <c r="AH5037">
        <v>0.268208038275632</v>
      </c>
      <c r="AI5037">
        <v>96.669403802636793</v>
      </c>
      <c r="AJ5037">
        <v>147.817640371495</v>
      </c>
      <c r="AK5037">
        <v>0.50699858751850901</v>
      </c>
      <c r="AL5037">
        <v>66.125709329426499</v>
      </c>
      <c r="AM5037">
        <v>104.454611271869</v>
      </c>
      <c r="AN5037">
        <v>0.99999997806436403</v>
      </c>
    </row>
    <row r="5038" spans="1:40" x14ac:dyDescent="0.25">
      <c r="A5038" t="str">
        <f>"20190304164746962"</f>
        <v>20190304164746962</v>
      </c>
      <c r="B5038" t="str">
        <f>"1551689266954582"</f>
        <v>1551689266954582</v>
      </c>
      <c r="C5038" t="s">
        <v>40</v>
      </c>
      <c r="D5038">
        <v>4.3475489999999999</v>
      </c>
      <c r="E5038">
        <v>0.38994839999999997</v>
      </c>
      <c r="F5038" t="s">
        <v>41</v>
      </c>
      <c r="G5038">
        <v>-301.01589999999999</v>
      </c>
      <c r="H5038">
        <v>1.051134</v>
      </c>
      <c r="I5038">
        <v>-17.196619999999999</v>
      </c>
      <c r="J5038">
        <v>-301.4271</v>
      </c>
      <c r="K5038">
        <v>1.1092200000000001</v>
      </c>
      <c r="L5038">
        <v>-16.736879999999999</v>
      </c>
      <c r="M5038">
        <v>-4.0822600000000001E-2</v>
      </c>
      <c r="N5038">
        <v>-7.9579609999999995E-3</v>
      </c>
      <c r="O5038">
        <v>-0.99913479999999999</v>
      </c>
      <c r="P5038">
        <v>0.1954176</v>
      </c>
      <c r="Q5038">
        <v>0.39744839999999998</v>
      </c>
      <c r="R5038">
        <v>-0.89657500000000001</v>
      </c>
      <c r="S5038">
        <v>1.56897</v>
      </c>
      <c r="T5038">
        <v>-0.22972980000000001</v>
      </c>
      <c r="U5038">
        <v>-3.1051329999999999</v>
      </c>
      <c r="V5038">
        <v>-0.23055870000000001</v>
      </c>
      <c r="W5038">
        <v>0.4052423</v>
      </c>
      <c r="X5038">
        <v>0.88465890000000003</v>
      </c>
      <c r="Y5038">
        <v>-0.48616540000000003</v>
      </c>
      <c r="Z5038">
        <v>5.7117330000000001E-2</v>
      </c>
      <c r="AA5038">
        <v>0.87199819999999995</v>
      </c>
      <c r="AB5038">
        <v>26</v>
      </c>
      <c r="AC5038">
        <v>0.411200000000007</v>
      </c>
      <c r="AD5038">
        <v>-5.8085999999999999E-2</v>
      </c>
      <c r="AE5038">
        <v>-0.45974000000000298</v>
      </c>
      <c r="AF5038">
        <v>-0.42584894499898501</v>
      </c>
      <c r="AG5038">
        <v>-5.8085999999999999E-2</v>
      </c>
      <c r="AH5038">
        <v>0.43867953386120401</v>
      </c>
      <c r="AI5038">
        <v>95.427256389774598</v>
      </c>
      <c r="AJ5038">
        <v>134.149727693377</v>
      </c>
      <c r="AK5038">
        <v>0.61413438332455506</v>
      </c>
      <c r="AL5038">
        <v>66.093688271333605</v>
      </c>
      <c r="AM5038">
        <v>104.607418363893</v>
      </c>
      <c r="AN5038">
        <v>1.0000000026020901</v>
      </c>
    </row>
    <row r="5039" spans="1:40" x14ac:dyDescent="0.25">
      <c r="A5039" t="str">
        <f>"20190304164746986"</f>
        <v>20190304164746986</v>
      </c>
      <c r="B5039" t="str">
        <f>"1551689266974102"</f>
        <v>1551689266974102</v>
      </c>
      <c r="C5039" t="s">
        <v>40</v>
      </c>
      <c r="D5039">
        <v>4.298076</v>
      </c>
      <c r="E5039">
        <v>0.38955600000000001</v>
      </c>
      <c r="F5039" t="s">
        <v>41</v>
      </c>
      <c r="G5039">
        <v>-300.98059999999998</v>
      </c>
      <c r="H5039">
        <v>1.0449980000000001</v>
      </c>
      <c r="I5039">
        <v>-17.621489999999898</v>
      </c>
      <c r="J5039">
        <v>-301.44080000000002</v>
      </c>
      <c r="K5039">
        <v>1.109302</v>
      </c>
      <c r="L5039">
        <v>-17.01932</v>
      </c>
      <c r="M5039">
        <v>-4.2720889999999997E-2</v>
      </c>
      <c r="N5039">
        <v>-7.9796950000000002E-3</v>
      </c>
      <c r="O5039">
        <v>-0.99905520000000003</v>
      </c>
      <c r="P5039">
        <v>0.19398850000000001</v>
      </c>
      <c r="Q5039">
        <v>0.39862140000000001</v>
      </c>
      <c r="R5039">
        <v>-0.89636459999999996</v>
      </c>
      <c r="S5039">
        <v>1.5672299999999999</v>
      </c>
      <c r="T5039">
        <v>-0.225379</v>
      </c>
      <c r="U5039">
        <v>-3.1043699999999999</v>
      </c>
      <c r="V5039">
        <v>-0.23088880000000001</v>
      </c>
      <c r="W5039">
        <v>0.40638279999999999</v>
      </c>
      <c r="X5039">
        <v>0.88404939999999999</v>
      </c>
      <c r="Y5039">
        <v>-0.48755480000000001</v>
      </c>
      <c r="Z5039">
        <v>5.5850289999999997E-2</v>
      </c>
      <c r="AA5039">
        <v>0.87130429999999903</v>
      </c>
      <c r="AB5039">
        <v>26</v>
      </c>
      <c r="AC5039">
        <v>0.46020000000004202</v>
      </c>
      <c r="AD5039">
        <v>-6.4304000000000097E-2</v>
      </c>
      <c r="AE5039">
        <v>-0.60216999999999699</v>
      </c>
      <c r="AF5039">
        <v>-0.48203575440479202</v>
      </c>
      <c r="AG5039">
        <v>-6.4304000000000097E-2</v>
      </c>
      <c r="AH5039">
        <v>0.57779990017931404</v>
      </c>
      <c r="AI5039">
        <v>94.884470808292903</v>
      </c>
      <c r="AJ5039">
        <v>129.83691498537101</v>
      </c>
      <c r="AK5039">
        <v>0.75521268367779804</v>
      </c>
      <c r="AL5039">
        <v>66.022189918171406</v>
      </c>
      <c r="AM5039">
        <v>104.637087831858</v>
      </c>
      <c r="AN5039">
        <v>0.99999997987081901</v>
      </c>
    </row>
    <row r="5040" spans="1:40" x14ac:dyDescent="0.25">
      <c r="A5040" t="str">
        <f>"20190304164747025"</f>
        <v>20190304164747025</v>
      </c>
      <c r="B5040" t="str">
        <f>"1551689267014118"</f>
        <v>1551689267014118</v>
      </c>
      <c r="C5040" t="s">
        <v>40</v>
      </c>
      <c r="D5040">
        <v>4.2753629999999996</v>
      </c>
      <c r="E5040">
        <v>0.38856780000000002</v>
      </c>
      <c r="F5040" t="s">
        <v>41</v>
      </c>
      <c r="G5040">
        <v>-301.01600000000002</v>
      </c>
      <c r="H5040">
        <v>1.0509360000000001</v>
      </c>
      <c r="I5040">
        <v>-17.85934</v>
      </c>
      <c r="J5040">
        <v>-301.4633</v>
      </c>
      <c r="K5040">
        <v>1.109459</v>
      </c>
      <c r="L5040">
        <v>-17.469539999999999</v>
      </c>
      <c r="M5040">
        <v>-4.5398479999999998E-2</v>
      </c>
      <c r="N5040">
        <v>-8.0093690000000006E-3</v>
      </c>
      <c r="O5040">
        <v>-0.99893710000000002</v>
      </c>
      <c r="P5040">
        <v>0.1920463</v>
      </c>
      <c r="Q5040">
        <v>0.39733390000000002</v>
      </c>
      <c r="R5040">
        <v>-0.89735419999999999</v>
      </c>
      <c r="S5040">
        <v>1.5693969999999999</v>
      </c>
      <c r="T5040">
        <v>-0.2156053</v>
      </c>
      <c r="U5040">
        <v>-3.1030880000000001</v>
      </c>
      <c r="V5040">
        <v>-0.2315383</v>
      </c>
      <c r="W5040">
        <v>0.40503299999999998</v>
      </c>
      <c r="X5040">
        <v>0.88449889999999998</v>
      </c>
      <c r="Y5040">
        <v>-0.49059429999999998</v>
      </c>
      <c r="Z5040">
        <v>5.3000899999999997E-2</v>
      </c>
      <c r="AA5040">
        <v>0.86977479999999996</v>
      </c>
      <c r="AB5040">
        <v>26</v>
      </c>
      <c r="AC5040">
        <v>0.447300000000041</v>
      </c>
      <c r="AD5040">
        <v>-5.8522999999999797E-2</v>
      </c>
      <c r="AE5040">
        <v>-0.38979999999999998</v>
      </c>
      <c r="AF5040">
        <v>-0.460059591563308</v>
      </c>
      <c r="AG5040">
        <v>-5.8522999999999797E-2</v>
      </c>
      <c r="AH5040">
        <v>0.36553427385557202</v>
      </c>
      <c r="AI5040">
        <v>95.687741280413405</v>
      </c>
      <c r="AJ5040">
        <v>141.531566002208</v>
      </c>
      <c r="AK5040">
        <v>0.59050408523694198</v>
      </c>
      <c r="AL5040">
        <v>66.106805141365399</v>
      </c>
      <c r="AM5040">
        <v>104.669350509094</v>
      </c>
      <c r="AN5040">
        <v>1.00000000977855</v>
      </c>
    </row>
    <row r="5041" spans="1:40" x14ac:dyDescent="0.25">
      <c r="A5041" t="str">
        <f>"20190304164747068"</f>
        <v>20190304164747068</v>
      </c>
      <c r="B5041" t="str">
        <f>"1551689267063894"</f>
        <v>1551689267063894</v>
      </c>
      <c r="C5041" t="s">
        <v>40</v>
      </c>
      <c r="D5041">
        <v>4.2738019999999999</v>
      </c>
      <c r="E5041">
        <v>0.38740200000000002</v>
      </c>
      <c r="F5041" t="s">
        <v>41</v>
      </c>
      <c r="G5041">
        <v>-301.02859999999998</v>
      </c>
      <c r="H5041">
        <v>1.050349</v>
      </c>
      <c r="I5041">
        <v>-18.326429999999998</v>
      </c>
      <c r="J5041">
        <v>-301.48989999999998</v>
      </c>
      <c r="K5041">
        <v>1.109674</v>
      </c>
      <c r="L5041">
        <v>-17.98386</v>
      </c>
      <c r="M5041">
        <v>-4.7848019999999998E-2</v>
      </c>
      <c r="N5041">
        <v>-8.0373400000000005E-3</v>
      </c>
      <c r="O5041">
        <v>-0.9988224</v>
      </c>
      <c r="P5041">
        <v>0.18879209999999999</v>
      </c>
      <c r="Q5041">
        <v>0.39632509999999999</v>
      </c>
      <c r="R5041">
        <v>-0.89848980000000001</v>
      </c>
      <c r="S5041">
        <v>1.5729059999999999</v>
      </c>
      <c r="T5041">
        <v>-0.2139257</v>
      </c>
      <c r="U5041">
        <v>-3.1012569999999999</v>
      </c>
      <c r="V5041">
        <v>-0.23074539999999999</v>
      </c>
      <c r="W5041">
        <v>0.40392450000000002</v>
      </c>
      <c r="X5041">
        <v>0.88521280000000002</v>
      </c>
      <c r="Y5041">
        <v>-0.49372949999999999</v>
      </c>
      <c r="Z5041">
        <v>5.2442139999999998E-2</v>
      </c>
      <c r="AA5041">
        <v>0.8680329</v>
      </c>
      <c r="AB5041">
        <v>26</v>
      </c>
      <c r="AC5041">
        <v>0.46129999999999399</v>
      </c>
      <c r="AD5041">
        <v>-5.9325000000000003E-2</v>
      </c>
      <c r="AE5041">
        <v>-0.34256999999999799</v>
      </c>
      <c r="AF5041">
        <v>-0.472130466662396</v>
      </c>
      <c r="AG5041">
        <v>-5.9325000000000003E-2</v>
      </c>
      <c r="AH5041">
        <v>0.31672824428503799</v>
      </c>
      <c r="AI5041">
        <v>95.957166099548999</v>
      </c>
      <c r="AJ5041">
        <v>146.144355423729</v>
      </c>
      <c r="AK5041">
        <v>0.57161474255282696</v>
      </c>
      <c r="AL5041">
        <v>66.176253483493198</v>
      </c>
      <c r="AM5041">
        <v>104.60998470692699</v>
      </c>
      <c r="AN5041">
        <v>1.00000007130262</v>
      </c>
    </row>
    <row r="5042" spans="1:40" x14ac:dyDescent="0.25">
      <c r="A5042" t="str">
        <f>"20190304164747100"</f>
        <v>20190304164747100</v>
      </c>
      <c r="B5042" t="str">
        <f>"1551689267094151"</f>
        <v>1551689267094151</v>
      </c>
      <c r="C5042" t="s">
        <v>40</v>
      </c>
      <c r="D5042">
        <v>4.2567349999999999</v>
      </c>
      <c r="E5042">
        <v>0.3868238</v>
      </c>
      <c r="F5042" t="s">
        <v>41</v>
      </c>
      <c r="G5042">
        <v>-301.0752</v>
      </c>
      <c r="H5042">
        <v>1.054071</v>
      </c>
      <c r="I5042">
        <v>-18.800909999999998</v>
      </c>
      <c r="J5042">
        <v>-301.5093</v>
      </c>
      <c r="K5042">
        <v>1.1098539999999999</v>
      </c>
      <c r="L5042">
        <v>-18.356020000000001</v>
      </c>
      <c r="M5042">
        <v>-4.9159880000000003E-2</v>
      </c>
      <c r="N5042">
        <v>-8.0545689999999993E-3</v>
      </c>
      <c r="O5042">
        <v>-0.99875860000000005</v>
      </c>
      <c r="P5042">
        <v>0.1860812</v>
      </c>
      <c r="Q5042">
        <v>0.39572950000000001</v>
      </c>
      <c r="R5042">
        <v>-0.89931759999999905</v>
      </c>
      <c r="S5042">
        <v>1.5738829999999999</v>
      </c>
      <c r="T5042">
        <v>-0.2110523</v>
      </c>
      <c r="U5042">
        <v>-3.101318</v>
      </c>
      <c r="V5042">
        <v>-0.22942660000000001</v>
      </c>
      <c r="W5042">
        <v>0.40324339999999997</v>
      </c>
      <c r="X5042">
        <v>0.88586580000000004</v>
      </c>
      <c r="Y5042">
        <v>-0.4951023</v>
      </c>
      <c r="Z5042">
        <v>5.1575490000000002E-2</v>
      </c>
      <c r="AA5042">
        <v>0.86730249999999998</v>
      </c>
      <c r="AB5042">
        <v>26</v>
      </c>
      <c r="AC5042">
        <v>0.43409999999999999</v>
      </c>
      <c r="AD5042">
        <v>-5.5783000000000103E-2</v>
      </c>
      <c r="AE5042">
        <v>-0.44489000000000001</v>
      </c>
      <c r="AF5042">
        <v>-0.451807784453648</v>
      </c>
      <c r="AG5042">
        <v>-5.5783000000000103E-2</v>
      </c>
      <c r="AH5042">
        <v>0.41963144129257202</v>
      </c>
      <c r="AI5042">
        <v>95.169231369038499</v>
      </c>
      <c r="AJ5042">
        <v>137.11458412651001</v>
      </c>
      <c r="AK5042">
        <v>0.61913856583417204</v>
      </c>
      <c r="AL5042">
        <v>66.218903959157402</v>
      </c>
      <c r="AM5042">
        <v>104.51976903714601</v>
      </c>
      <c r="AN5042">
        <v>1.0000000100203801</v>
      </c>
    </row>
    <row r="5043" spans="1:40" x14ac:dyDescent="0.25">
      <c r="A5043" t="str">
        <f>"20190304164747135"</f>
        <v>20190304164747135</v>
      </c>
      <c r="B5043" t="str">
        <f>"1551689267124406"</f>
        <v>1551689267124406</v>
      </c>
      <c r="C5043" t="s">
        <v>40</v>
      </c>
      <c r="D5043">
        <v>4.2689820000000003</v>
      </c>
      <c r="E5043">
        <v>0.38603460000000001</v>
      </c>
      <c r="F5043" t="s">
        <v>41</v>
      </c>
      <c r="G5043">
        <v>-301.04849999999999</v>
      </c>
      <c r="H5043">
        <v>1.0489379999999999</v>
      </c>
      <c r="I5043">
        <v>-19.26512</v>
      </c>
      <c r="J5043">
        <v>-301.53109999999998</v>
      </c>
      <c r="K5043">
        <v>1.1100989999999999</v>
      </c>
      <c r="L5043">
        <v>-18.7713</v>
      </c>
      <c r="M5043">
        <v>-5.0093800000000001E-2</v>
      </c>
      <c r="N5043">
        <v>-8.0720789999999994E-3</v>
      </c>
      <c r="O5043">
        <v>-0.99871189999999999</v>
      </c>
      <c r="P5043">
        <v>0.1831806</v>
      </c>
      <c r="Q5043">
        <v>0.39334209999999997</v>
      </c>
      <c r="R5043">
        <v>-0.9009587</v>
      </c>
      <c r="S5043">
        <v>1.5723879999999999</v>
      </c>
      <c r="T5043">
        <v>-0.20785149999999999</v>
      </c>
      <c r="U5043">
        <v>-3.1019589999999999</v>
      </c>
      <c r="V5043">
        <v>-0.2276849</v>
      </c>
      <c r="W5043">
        <v>0.40074599999999999</v>
      </c>
      <c r="X5043">
        <v>0.88744709999999905</v>
      </c>
      <c r="Y5043">
        <v>-0.49553249999999999</v>
      </c>
      <c r="Z5043">
        <v>5.0636750000000001E-2</v>
      </c>
      <c r="AA5043">
        <v>0.867112199999999</v>
      </c>
      <c r="AB5043">
        <v>26</v>
      </c>
      <c r="AC5043">
        <v>0.48259999999998998</v>
      </c>
      <c r="AD5043">
        <v>-6.1161E-2</v>
      </c>
      <c r="AE5043">
        <v>-0.49381999999999898</v>
      </c>
      <c r="AF5043">
        <v>-0.50278731995064796</v>
      </c>
      <c r="AG5043">
        <v>-6.1161E-2</v>
      </c>
      <c r="AH5043">
        <v>0.465372606824077</v>
      </c>
      <c r="AI5043">
        <v>95.1014225196041</v>
      </c>
      <c r="AJ5043">
        <v>137.21310434134699</v>
      </c>
      <c r="AK5043">
        <v>0.68782804552183896</v>
      </c>
      <c r="AL5043">
        <v>66.375178746701096</v>
      </c>
      <c r="AM5043">
        <v>104.389533861977</v>
      </c>
      <c r="AN5043">
        <v>1.0000000627512</v>
      </c>
    </row>
    <row r="5044" spans="1:40" x14ac:dyDescent="0.25">
      <c r="A5044" t="str">
        <f>"20190304164747163"</f>
        <v>20190304164747163</v>
      </c>
      <c r="B5044" t="str">
        <f>"1551689267154662"</f>
        <v>1551689267154662</v>
      </c>
      <c r="C5044" t="s">
        <v>40</v>
      </c>
      <c r="D5044">
        <v>4.3147289999999998</v>
      </c>
      <c r="E5044">
        <v>0.4238054</v>
      </c>
      <c r="F5044" t="s">
        <v>41</v>
      </c>
      <c r="G5044">
        <v>-301.0444</v>
      </c>
      <c r="H5044">
        <v>1.0436780000000001</v>
      </c>
      <c r="I5044">
        <v>-19.734829999999999</v>
      </c>
      <c r="J5044">
        <v>-301.54820000000001</v>
      </c>
      <c r="K5044">
        <v>1.1102939999999999</v>
      </c>
      <c r="L5044">
        <v>-19.10303</v>
      </c>
      <c r="M5044">
        <v>-5.0429090000000003E-2</v>
      </c>
      <c r="N5044">
        <v>-8.0927340000000007E-3</v>
      </c>
      <c r="O5044">
        <v>-0.99869520000000001</v>
      </c>
      <c r="P5044">
        <v>0.1796227</v>
      </c>
      <c r="Q5044">
        <v>0.39312039999999998</v>
      </c>
      <c r="R5044">
        <v>-0.90177189999999996</v>
      </c>
      <c r="S5044">
        <v>1.568085</v>
      </c>
      <c r="T5044">
        <v>-0.21400359999999999</v>
      </c>
      <c r="U5044">
        <v>-3.1043699999999999</v>
      </c>
      <c r="V5044">
        <v>-0.2246628</v>
      </c>
      <c r="W5044">
        <v>0.40044020000000002</v>
      </c>
      <c r="X5044">
        <v>0.8883548</v>
      </c>
      <c r="Y5044">
        <v>-0.49455159999999998</v>
      </c>
      <c r="Z5044">
        <v>5.2341810000000003E-2</v>
      </c>
      <c r="AA5044">
        <v>0.86757079999999998</v>
      </c>
      <c r="AB5044">
        <v>27</v>
      </c>
      <c r="AC5044">
        <v>0.50380000000001202</v>
      </c>
      <c r="AD5044">
        <v>-6.6615999999999995E-2</v>
      </c>
      <c r="AE5044">
        <v>-0.63179999999999803</v>
      </c>
      <c r="AF5044">
        <v>-0.53140961657242602</v>
      </c>
      <c r="AG5044">
        <v>-6.6615999999999995E-2</v>
      </c>
      <c r="AH5044">
        <v>0.60150127119510399</v>
      </c>
      <c r="AI5044">
        <v>94.744566763489303</v>
      </c>
      <c r="AJ5044">
        <v>131.45970060683001</v>
      </c>
      <c r="AK5044">
        <v>0.80538043885543897</v>
      </c>
      <c r="AL5044">
        <v>66.394299338454402</v>
      </c>
      <c r="AM5044">
        <v>104.192391164996</v>
      </c>
      <c r="AN5044">
        <v>0.99999998908145904</v>
      </c>
    </row>
    <row r="5045" spans="1:40" x14ac:dyDescent="0.25">
      <c r="A5045" t="str">
        <f>"20190304164747188"</f>
        <v>20190304164747188</v>
      </c>
      <c r="B5045" t="str">
        <f>"1551689267184536"</f>
        <v>1551689267184536</v>
      </c>
      <c r="C5045" t="s">
        <v>40</v>
      </c>
      <c r="D5045">
        <v>4.3076290000000004</v>
      </c>
      <c r="E5045">
        <v>0.43168289999999998</v>
      </c>
      <c r="F5045" t="s">
        <v>41</v>
      </c>
      <c r="G5045">
        <v>-301.15870000000001</v>
      </c>
      <c r="H5045">
        <v>1.040494</v>
      </c>
      <c r="I5045">
        <v>-20.081949999999999</v>
      </c>
      <c r="J5045">
        <v>-301.56349999999998</v>
      </c>
      <c r="K5045">
        <v>1.1104579999999999</v>
      </c>
      <c r="L5045">
        <v>-19.40128</v>
      </c>
      <c r="M5045">
        <v>-5.0484309999999998E-2</v>
      </c>
      <c r="N5045">
        <v>-8.1173269999999902E-3</v>
      </c>
      <c r="O5045">
        <v>-0.99869200000000002</v>
      </c>
      <c r="P5045">
        <v>0.178069899999999</v>
      </c>
      <c r="Q5045">
        <v>0.39198739999999999</v>
      </c>
      <c r="R5045">
        <v>-0.90257259999999995</v>
      </c>
      <c r="S5045">
        <v>1.263336</v>
      </c>
      <c r="T5045">
        <v>-0.22630120000000001</v>
      </c>
      <c r="U5045">
        <v>-3.1737980000000001</v>
      </c>
      <c r="V5045">
        <v>-0.22335820000000001</v>
      </c>
      <c r="W5045">
        <v>0.39924789999999999</v>
      </c>
      <c r="X5045">
        <v>0.88922000000000001</v>
      </c>
      <c r="Y5045">
        <v>-0.41553479999999998</v>
      </c>
      <c r="Z5045">
        <v>5.7112209999999997E-2</v>
      </c>
      <c r="AA5045">
        <v>0.90778250000000005</v>
      </c>
      <c r="AB5045">
        <v>27</v>
      </c>
      <c r="AC5045">
        <v>0.40479999999996602</v>
      </c>
      <c r="AD5045">
        <v>-6.9963999999999901E-2</v>
      </c>
      <c r="AE5045">
        <v>-0.680669999999999</v>
      </c>
      <c r="AF5045">
        <v>-0.43525103083733802</v>
      </c>
      <c r="AG5045">
        <v>-6.9963999999999901E-2</v>
      </c>
      <c r="AH5045">
        <v>0.65425892244564499</v>
      </c>
      <c r="AI5045">
        <v>95.087867305270706</v>
      </c>
      <c r="AJ5045">
        <v>123.634157535466</v>
      </c>
      <c r="AK5045">
        <v>0.78891898110053205</v>
      </c>
      <c r="AL5045">
        <v>66.468830252235406</v>
      </c>
      <c r="AM5045">
        <v>104.100095412496</v>
      </c>
      <c r="AN5045">
        <v>0.99999998978082505</v>
      </c>
    </row>
    <row r="5046" spans="1:40" x14ac:dyDescent="0.25">
      <c r="A5046" t="str">
        <f>"20190304164747225"</f>
        <v>20190304164747225</v>
      </c>
      <c r="B5046" t="str">
        <f>"1551689267214776"</f>
        <v>1551689267214776</v>
      </c>
      <c r="C5046" t="s">
        <v>40</v>
      </c>
      <c r="D5046">
        <v>4.3157230000000002</v>
      </c>
      <c r="E5046">
        <v>0.4319982</v>
      </c>
      <c r="F5046" t="s">
        <v>42</v>
      </c>
      <c r="G5046">
        <v>-295.86880000000002</v>
      </c>
      <c r="H5046" s="1">
        <v>-3.19376E-6</v>
      </c>
      <c r="I5046">
        <v>-34.630659999999999</v>
      </c>
      <c r="J5046">
        <v>-301.58530000000002</v>
      </c>
      <c r="K5046">
        <v>1.1106959999999999</v>
      </c>
      <c r="L5046">
        <v>-19.839449999999999</v>
      </c>
      <c r="M5046">
        <v>-5.0022039999999997E-2</v>
      </c>
      <c r="N5046">
        <v>-8.1846699999999998E-3</v>
      </c>
      <c r="O5046">
        <v>-0.99871469999999996</v>
      </c>
      <c r="P5046">
        <v>0.17756060000000001</v>
      </c>
      <c r="Q5046">
        <v>0.39034400000000002</v>
      </c>
      <c r="R5046">
        <v>-0.90338499999999999</v>
      </c>
      <c r="S5046">
        <v>1.1926570000000001</v>
      </c>
      <c r="T5046">
        <v>-0.23256779999999999</v>
      </c>
      <c r="U5046">
        <v>-3.1895449999999999</v>
      </c>
      <c r="V5046">
        <v>-0.22272210000000001</v>
      </c>
      <c r="W5046">
        <v>0.39753430000000001</v>
      </c>
      <c r="X5046">
        <v>0.89014680000000002</v>
      </c>
      <c r="Y5046">
        <v>-0.39592139999999998</v>
      </c>
      <c r="Z5046">
        <v>5.9107970000000003E-2</v>
      </c>
      <c r="AA5046">
        <v>0.91638010000000003</v>
      </c>
      <c r="AB5046">
        <v>27</v>
      </c>
      <c r="AC5046">
        <v>5.7164999999999901</v>
      </c>
      <c r="AD5046">
        <v>-1.1106991937599999</v>
      </c>
      <c r="AE5046">
        <v>-14.79121</v>
      </c>
      <c r="AF5046">
        <v>-6.4177687733685804</v>
      </c>
      <c r="AG5046">
        <v>-1.1106991937599999</v>
      </c>
      <c r="AH5046">
        <v>14.4160064830478</v>
      </c>
      <c r="AI5046">
        <v>94.026205166809802</v>
      </c>
      <c r="AJ5046">
        <v>113.99784116311599</v>
      </c>
      <c r="AK5046">
        <v>15.819059758617801</v>
      </c>
      <c r="AL5046">
        <v>66.575873853772606</v>
      </c>
      <c r="AM5046">
        <v>104.047474521528</v>
      </c>
      <c r="AN5046">
        <v>0.99999998952756997</v>
      </c>
    </row>
    <row r="5047" spans="1:40" x14ac:dyDescent="0.25">
      <c r="A5047" t="str">
        <f>"20190304164747259"</f>
        <v>20190304164747259</v>
      </c>
      <c r="B5047" t="str">
        <f>"1551689267254792"</f>
        <v>1551689267254792</v>
      </c>
      <c r="C5047" t="s">
        <v>40</v>
      </c>
      <c r="D5047">
        <v>4.3472989999999996</v>
      </c>
      <c r="E5047">
        <v>0.43088480000000001</v>
      </c>
      <c r="F5047" t="s">
        <v>42</v>
      </c>
      <c r="G5047">
        <v>-296.09010000000001</v>
      </c>
      <c r="H5047" s="1">
        <v>-3.1008629999999999E-6</v>
      </c>
      <c r="I5047">
        <v>-34.755690000000001</v>
      </c>
      <c r="J5047">
        <v>-301.60480000000001</v>
      </c>
      <c r="K5047">
        <v>1.1109500000000001</v>
      </c>
      <c r="L5047">
        <v>-20.245509999999999</v>
      </c>
      <c r="M5047">
        <v>-4.9090549999999997E-2</v>
      </c>
      <c r="N5047">
        <v>-8.2858910000000001E-3</v>
      </c>
      <c r="O5047">
        <v>-0.99876010000000004</v>
      </c>
      <c r="P5047">
        <v>0.17592379999999999</v>
      </c>
      <c r="Q5047">
        <v>0.39048579999999999</v>
      </c>
      <c r="R5047">
        <v>-0.90364350000000004</v>
      </c>
      <c r="S5047">
        <v>1.176086</v>
      </c>
      <c r="T5047">
        <v>-0.2377148</v>
      </c>
      <c r="U5047">
        <v>-3.1924130000000002</v>
      </c>
      <c r="V5047">
        <v>-0.22049769999999999</v>
      </c>
      <c r="W5047">
        <v>0.39764450000000001</v>
      </c>
      <c r="X5047">
        <v>0.89065119999999898</v>
      </c>
      <c r="Y5047">
        <v>-0.39057449999999999</v>
      </c>
      <c r="Z5047">
        <v>6.0581620000000003E-2</v>
      </c>
      <c r="AA5047">
        <v>0.91857580000000005</v>
      </c>
      <c r="AB5047">
        <v>27</v>
      </c>
      <c r="AC5047">
        <v>5.5147000000000004</v>
      </c>
      <c r="AD5047">
        <v>-1.110953100863</v>
      </c>
      <c r="AE5047">
        <v>-14.51018</v>
      </c>
      <c r="AF5047">
        <v>-6.1886883903523904</v>
      </c>
      <c r="AG5047">
        <v>-1.110953100863</v>
      </c>
      <c r="AH5047">
        <v>14.149479811592601</v>
      </c>
      <c r="AI5047">
        <v>94.114525523981996</v>
      </c>
      <c r="AJ5047">
        <v>113.623568875793</v>
      </c>
      <c r="AK5047">
        <v>15.4835997017446</v>
      </c>
      <c r="AL5047">
        <v>66.568992157777899</v>
      </c>
      <c r="AM5047">
        <v>103.90508035455601</v>
      </c>
      <c r="AN5047">
        <v>0.99999997207348901</v>
      </c>
    </row>
    <row r="5048" spans="1:40" x14ac:dyDescent="0.25">
      <c r="A5048" t="str">
        <f>"20190304164747291"</f>
        <v>20190304164747291</v>
      </c>
      <c r="B5048" t="str">
        <f>"1551689267284800"</f>
        <v>1551689267284800</v>
      </c>
      <c r="C5048" t="s">
        <v>40</v>
      </c>
      <c r="D5048">
        <v>4.3575429999999997</v>
      </c>
      <c r="E5048">
        <v>0.42941439999999997</v>
      </c>
      <c r="F5048" t="s">
        <v>42</v>
      </c>
      <c r="G5048">
        <v>-296.0453</v>
      </c>
      <c r="H5048" s="1">
        <v>-2.8618919999999999E-6</v>
      </c>
      <c r="I5048">
        <v>-35.331299999999999</v>
      </c>
      <c r="J5048">
        <v>-301.62310000000002</v>
      </c>
      <c r="K5048">
        <v>1.111157</v>
      </c>
      <c r="L5048">
        <v>-20.644559999999998</v>
      </c>
      <c r="M5048">
        <v>-4.7791840000000002E-2</v>
      </c>
      <c r="N5048">
        <v>-8.4332539999999994E-3</v>
      </c>
      <c r="O5048">
        <v>-0.99882170000000003</v>
      </c>
      <c r="P5048">
        <v>0.1735921</v>
      </c>
      <c r="Q5048">
        <v>0.38994180000000001</v>
      </c>
      <c r="R5048">
        <v>-0.9043291</v>
      </c>
      <c r="S5048">
        <v>1.1765139999999901</v>
      </c>
      <c r="T5048">
        <v>-0.23509910000000001</v>
      </c>
      <c r="U5048">
        <v>-3.1924440000000001</v>
      </c>
      <c r="V5048">
        <v>-0.21722929999999999</v>
      </c>
      <c r="W5048">
        <v>0.3971404</v>
      </c>
      <c r="X5048">
        <v>0.89167870000000005</v>
      </c>
      <c r="Y5048">
        <v>-0.38950079999999998</v>
      </c>
      <c r="Z5048">
        <v>5.9701039999999997E-2</v>
      </c>
      <c r="AA5048">
        <v>0.91908920000000005</v>
      </c>
      <c r="AB5048">
        <v>27</v>
      </c>
      <c r="AC5048">
        <v>5.5778000000000203</v>
      </c>
      <c r="AD5048">
        <v>-1.111159861892</v>
      </c>
      <c r="AE5048">
        <v>-14.686739999999901</v>
      </c>
      <c r="AF5048">
        <v>-6.2421309734357404</v>
      </c>
      <c r="AG5048">
        <v>-1.111159861892</v>
      </c>
      <c r="AH5048">
        <v>14.331679582521399</v>
      </c>
      <c r="AI5048">
        <v>94.065866983714997</v>
      </c>
      <c r="AJ5048">
        <v>113.535425629638</v>
      </c>
      <c r="AK5048">
        <v>15.6715000872369</v>
      </c>
      <c r="AL5048">
        <v>66.6004672720656</v>
      </c>
      <c r="AM5048">
        <v>103.691597214764</v>
      </c>
      <c r="AN5048">
        <v>0.99999998506216903</v>
      </c>
    </row>
    <row r="5049" spans="1:40" x14ac:dyDescent="0.25">
      <c r="A5049" t="str">
        <f>"20190304164747325"</f>
        <v>20190304164747325</v>
      </c>
      <c r="B5049" t="str">
        <f>"1551689267314082"</f>
        <v>1551689267314082</v>
      </c>
      <c r="C5049" t="s">
        <v>40</v>
      </c>
      <c r="D5049">
        <v>4.3759670000000002</v>
      </c>
      <c r="E5049">
        <v>0.42763960000000001</v>
      </c>
      <c r="F5049" t="s">
        <v>42</v>
      </c>
      <c r="G5049">
        <v>-296.07310000000001</v>
      </c>
      <c r="H5049" s="1">
        <v>-2.6884759999999999E-6</v>
      </c>
      <c r="I5049">
        <v>-35.72401</v>
      </c>
      <c r="J5049">
        <v>-301.6404</v>
      </c>
      <c r="K5049">
        <v>1.1113519999999999</v>
      </c>
      <c r="L5049">
        <v>-21.04251</v>
      </c>
      <c r="M5049">
        <v>-4.6171329999999997E-2</v>
      </c>
      <c r="N5049">
        <v>-8.6521459999999994E-3</v>
      </c>
      <c r="O5049">
        <v>-0.99889609999999995</v>
      </c>
      <c r="P5049">
        <v>0.17099710000000001</v>
      </c>
      <c r="Q5049">
        <v>0.38767010000000002</v>
      </c>
      <c r="R5049">
        <v>-0.90579889999999996</v>
      </c>
      <c r="S5049">
        <v>1.175262</v>
      </c>
      <c r="T5049">
        <v>-0.23530019999999999</v>
      </c>
      <c r="U5049">
        <v>-3.1932369999999999</v>
      </c>
      <c r="V5049">
        <v>-0.21339150000000001</v>
      </c>
      <c r="W5049">
        <v>0.39500999999999997</v>
      </c>
      <c r="X5049">
        <v>0.89354979999999995</v>
      </c>
      <c r="Y5049">
        <v>-0.38761509999999999</v>
      </c>
      <c r="Z5049">
        <v>5.9566500000000001E-2</v>
      </c>
      <c r="AA5049">
        <v>0.91989480000000001</v>
      </c>
      <c r="AB5049">
        <v>27</v>
      </c>
      <c r="AC5049">
        <v>5.5672999999999799</v>
      </c>
      <c r="AD5049">
        <v>-1.1113546884759999</v>
      </c>
      <c r="AE5049">
        <v>-14.6815</v>
      </c>
      <c r="AF5049">
        <v>-6.2081506986363904</v>
      </c>
      <c r="AG5049">
        <v>-1.1113546884759999</v>
      </c>
      <c r="AH5049">
        <v>14.336957748662799</v>
      </c>
      <c r="AI5049">
        <v>94.068832929085303</v>
      </c>
      <c r="AJ5049">
        <v>113.413446179628</v>
      </c>
      <c r="AK5049">
        <v>15.662841435305401</v>
      </c>
      <c r="AL5049">
        <v>66.733403216766405</v>
      </c>
      <c r="AM5049">
        <v>103.43142154379601</v>
      </c>
      <c r="AN5049">
        <v>1.0000000387261401</v>
      </c>
    </row>
    <row r="5050" spans="1:40" x14ac:dyDescent="0.25">
      <c r="A5050" t="str">
        <f>"20190304164747359"</f>
        <v>20190304164747359</v>
      </c>
      <c r="B5050" t="str">
        <f>"1551689267354099"</f>
        <v>1551689267354099</v>
      </c>
      <c r="C5050" t="s">
        <v>40</v>
      </c>
      <c r="D5050">
        <v>4.4305000000000003</v>
      </c>
      <c r="E5050">
        <v>0.42501349999999999</v>
      </c>
      <c r="F5050" t="s">
        <v>42</v>
      </c>
      <c r="G5050">
        <v>-296.16039999999998</v>
      </c>
      <c r="H5050" s="1">
        <v>-2.6110020000000001E-6</v>
      </c>
      <c r="I5050">
        <v>-35.86853</v>
      </c>
      <c r="J5050">
        <v>-301.65750000000003</v>
      </c>
      <c r="K5050">
        <v>1.111537</v>
      </c>
      <c r="L5050">
        <v>-21.458279999999998</v>
      </c>
      <c r="M5050">
        <v>-4.421783E-2</v>
      </c>
      <c r="N5050">
        <v>-8.9752700000000005E-3</v>
      </c>
      <c r="O5050">
        <v>-0.99898169999999997</v>
      </c>
      <c r="P5050">
        <v>0.16899910000000001</v>
      </c>
      <c r="Q5050">
        <v>0.38795930000000001</v>
      </c>
      <c r="R5050">
        <v>-0.90605020000000003</v>
      </c>
      <c r="S5050">
        <v>1.179718</v>
      </c>
      <c r="T5050">
        <v>-0.2392474</v>
      </c>
      <c r="U5050">
        <v>-3.191681</v>
      </c>
      <c r="V5050">
        <v>-0.2097774</v>
      </c>
      <c r="W5050">
        <v>0.3955359</v>
      </c>
      <c r="X5050">
        <v>0.89417269999999904</v>
      </c>
      <c r="Y5050">
        <v>-0.38706420000000002</v>
      </c>
      <c r="Z5050">
        <v>6.0417739999999998E-2</v>
      </c>
      <c r="AA5050">
        <v>0.92007119999999998</v>
      </c>
      <c r="AB5050">
        <v>27</v>
      </c>
      <c r="AC5050">
        <v>5.4971000000000396</v>
      </c>
      <c r="AD5050">
        <v>-1.1115396110019999</v>
      </c>
      <c r="AE5050">
        <v>-14.41025</v>
      </c>
      <c r="AF5050">
        <v>-6.0972691478316703</v>
      </c>
      <c r="AG5050">
        <v>-1.1115396110019999</v>
      </c>
      <c r="AH5050">
        <v>14.079943227827499</v>
      </c>
      <c r="AI5050">
        <v>94.143491966271498</v>
      </c>
      <c r="AJ5050">
        <v>113.41485177102101</v>
      </c>
      <c r="AK5050">
        <v>15.3836605743488</v>
      </c>
      <c r="AL5050">
        <v>66.700599324673703</v>
      </c>
      <c r="AM5050">
        <v>103.203102739214</v>
      </c>
      <c r="AN5050">
        <v>1.0000000115824299</v>
      </c>
    </row>
    <row r="5051" spans="1:40" x14ac:dyDescent="0.25">
      <c r="A5051" t="str">
        <f>"20190304164747392"</f>
        <v>20190304164747392</v>
      </c>
      <c r="B5051" t="str">
        <f>"1551689267384354"</f>
        <v>1551689267384354</v>
      </c>
      <c r="C5051" t="s">
        <v>40</v>
      </c>
      <c r="D5051">
        <v>4.7284730000000001</v>
      </c>
      <c r="E5051">
        <v>0.49299609999999999</v>
      </c>
      <c r="F5051" t="s">
        <v>42</v>
      </c>
      <c r="G5051">
        <v>-295.90789999999998</v>
      </c>
      <c r="H5051" s="1">
        <v>-2.3176820000000002E-6</v>
      </c>
      <c r="I5051">
        <v>-36.740819999999999</v>
      </c>
      <c r="J5051">
        <v>-301.6728</v>
      </c>
      <c r="K5051">
        <v>1.111704</v>
      </c>
      <c r="L5051">
        <v>-21.853909999999999</v>
      </c>
      <c r="M5051">
        <v>-4.2185599999999997E-2</v>
      </c>
      <c r="N5051">
        <v>-9.3452410000000007E-3</v>
      </c>
      <c r="O5051">
        <v>-0.99906620000000002</v>
      </c>
      <c r="P5051">
        <v>0.16931270000000001</v>
      </c>
      <c r="Q5051">
        <v>0.38888489999999998</v>
      </c>
      <c r="R5051">
        <v>-0.90559480000000003</v>
      </c>
      <c r="S5051">
        <v>1.198914</v>
      </c>
      <c r="T5051">
        <v>-0.2317775</v>
      </c>
      <c r="U5051">
        <v>-3.1867070000000002</v>
      </c>
      <c r="V5051">
        <v>-0.20834520000000001</v>
      </c>
      <c r="W5051">
        <v>0.3967444</v>
      </c>
      <c r="X5051">
        <v>0.89397219999999999</v>
      </c>
      <c r="Y5051">
        <v>-0.39056800000000003</v>
      </c>
      <c r="Z5051">
        <v>5.7876249999999997E-2</v>
      </c>
      <c r="AA5051">
        <v>0.91875300000000004</v>
      </c>
      <c r="AB5051">
        <v>27</v>
      </c>
      <c r="AC5051">
        <v>5.7649000000000097</v>
      </c>
      <c r="AD5051">
        <v>-1.1117063176819999</v>
      </c>
      <c r="AE5051">
        <v>-14.88691</v>
      </c>
      <c r="AF5051">
        <v>-6.3569806012763497</v>
      </c>
      <c r="AG5051">
        <v>-1.1117063176819999</v>
      </c>
      <c r="AH5051">
        <v>14.5598434596413</v>
      </c>
      <c r="AI5051">
        <v>94.002768487030494</v>
      </c>
      <c r="AJ5051">
        <v>113.586587146664</v>
      </c>
      <c r="AK5051">
        <v>15.9259578949285</v>
      </c>
      <c r="AL5051">
        <v>66.625189362688104</v>
      </c>
      <c r="AM5051">
        <v>103.118928400418</v>
      </c>
      <c r="AN5051">
        <v>1.0000000678336101</v>
      </c>
    </row>
    <row r="5052" spans="1:40" x14ac:dyDescent="0.25">
      <c r="A5052" t="str">
        <f>"20190304164747426"</f>
        <v>20190304164747426</v>
      </c>
      <c r="B5052" t="str">
        <f>"1551689267414317"</f>
        <v>1551689267414317</v>
      </c>
      <c r="C5052" t="s">
        <v>40</v>
      </c>
      <c r="D5052">
        <v>4.6044729999999996</v>
      </c>
      <c r="E5052">
        <v>0.52518109999999996</v>
      </c>
      <c r="F5052" t="s">
        <v>42</v>
      </c>
      <c r="G5052">
        <v>-298.71820000000002</v>
      </c>
      <c r="H5052" s="1">
        <v>-1.9393499999999999E-6</v>
      </c>
      <c r="I5052">
        <v>-36.376539999999999</v>
      </c>
      <c r="J5052">
        <v>-301.68700000000001</v>
      </c>
      <c r="K5052">
        <v>1.111861</v>
      </c>
      <c r="L5052">
        <v>-22.251280000000001</v>
      </c>
      <c r="M5052">
        <v>-3.9988999999999997E-2</v>
      </c>
      <c r="N5052">
        <v>-9.7798639999999992E-3</v>
      </c>
      <c r="O5052">
        <v>-0.99915209999999999</v>
      </c>
      <c r="P5052">
        <v>0.17272589999999999</v>
      </c>
      <c r="Q5052">
        <v>0.3883064</v>
      </c>
      <c r="R5052">
        <v>-0.90519810000000001</v>
      </c>
      <c r="S5052">
        <v>0.67050169999999998</v>
      </c>
      <c r="T5052">
        <v>-0.25228679999999998</v>
      </c>
      <c r="U5052">
        <v>-3.295715</v>
      </c>
      <c r="V5052">
        <v>-0.20984659999999999</v>
      </c>
      <c r="W5052">
        <v>0.39650750000000001</v>
      </c>
      <c r="X5052">
        <v>0.89372609999999997</v>
      </c>
      <c r="Y5052">
        <v>-0.23787520000000001</v>
      </c>
      <c r="Z5052">
        <v>6.4587160000000005E-2</v>
      </c>
      <c r="AA5052">
        <v>0.96914599999999995</v>
      </c>
      <c r="AB5052">
        <v>27</v>
      </c>
      <c r="AC5052">
        <v>2.9687999999999799</v>
      </c>
      <c r="AD5052">
        <v>-1.1118629393499999</v>
      </c>
      <c r="AE5052">
        <v>-14.125260000000001</v>
      </c>
      <c r="AF5052">
        <v>-3.5104765695348998</v>
      </c>
      <c r="AG5052">
        <v>-1.1118629393499999</v>
      </c>
      <c r="AH5052">
        <v>13.912679595090401</v>
      </c>
      <c r="AI5052">
        <v>94.430914705045296</v>
      </c>
      <c r="AJ5052">
        <v>104.161395297091</v>
      </c>
      <c r="AK5052">
        <v>14.391745497221599</v>
      </c>
      <c r="AL5052">
        <v>66.639975475551907</v>
      </c>
      <c r="AM5052">
        <v>103.213673749832</v>
      </c>
      <c r="AN5052">
        <v>1.0000000674545</v>
      </c>
    </row>
    <row r="5053" spans="1:40" x14ac:dyDescent="0.25">
      <c r="A5053" t="str">
        <f>"20190304164747461"</f>
        <v>20190304164747461</v>
      </c>
      <c r="B5053" t="str">
        <f>"1551689267454335"</f>
        <v>1551689267454335</v>
      </c>
      <c r="C5053" t="s">
        <v>40</v>
      </c>
      <c r="D5053">
        <v>4.7121259999999996</v>
      </c>
      <c r="E5053">
        <v>0.53676769999999996</v>
      </c>
      <c r="F5053" t="s">
        <v>42</v>
      </c>
      <c r="G5053">
        <v>-300.27109999999999</v>
      </c>
      <c r="H5053" s="1">
        <v>-3.1659270000000002E-6</v>
      </c>
      <c r="I5053">
        <v>-33.199159999999999</v>
      </c>
      <c r="J5053">
        <v>-301.70100000000002</v>
      </c>
      <c r="K5053">
        <v>1.112023</v>
      </c>
      <c r="L5053">
        <v>-22.673950000000001</v>
      </c>
      <c r="M5053">
        <v>-3.7479940000000003E-2</v>
      </c>
      <c r="N5053">
        <v>-1.030875E-2</v>
      </c>
      <c r="O5053">
        <v>-0.99924449999999998</v>
      </c>
      <c r="P5053">
        <v>0.17711969999999999</v>
      </c>
      <c r="Q5053">
        <v>0.38814569999999998</v>
      </c>
      <c r="R5053">
        <v>-0.90441800000000006</v>
      </c>
      <c r="S5053">
        <v>0.43688959999999999</v>
      </c>
      <c r="T5053">
        <v>-0.34306809999999899</v>
      </c>
      <c r="U5053">
        <v>-3.3779910000000002</v>
      </c>
      <c r="V5053">
        <v>-0.2120331</v>
      </c>
      <c r="W5053">
        <v>0.39676709999999998</v>
      </c>
      <c r="X5053">
        <v>0.89309450000000001</v>
      </c>
      <c r="Y5053">
        <v>-0.1647371</v>
      </c>
      <c r="Z5053">
        <v>8.9545130000000001E-2</v>
      </c>
      <c r="AA5053">
        <v>0.98226440000000004</v>
      </c>
      <c r="AB5053">
        <v>27</v>
      </c>
      <c r="AC5053">
        <v>1.42989999999997</v>
      </c>
      <c r="AD5053">
        <v>-1.1120261659270001</v>
      </c>
      <c r="AE5053">
        <v>-10.5252099999999</v>
      </c>
      <c r="AF5053">
        <v>-1.8036317971909801</v>
      </c>
      <c r="AG5053">
        <v>-1.1120261659270001</v>
      </c>
      <c r="AH5053">
        <v>10.350770128537</v>
      </c>
      <c r="AI5053">
        <v>96.041655113337498</v>
      </c>
      <c r="AJ5053">
        <v>99.884599548483095</v>
      </c>
      <c r="AK5053">
        <v>10.565421530036501</v>
      </c>
      <c r="AL5053">
        <v>66.623770193664697</v>
      </c>
      <c r="AM5053">
        <v>103.35555173054701</v>
      </c>
      <c r="AN5053">
        <v>0.99999997653413397</v>
      </c>
    </row>
    <row r="5054" spans="1:40" x14ac:dyDescent="0.25">
      <c r="A5054" t="str">
        <f>"20190304164747492"</f>
        <v>20190304164747492</v>
      </c>
      <c r="B5054" t="str">
        <f>"1551689267484590"</f>
        <v>1551689267484590</v>
      </c>
      <c r="C5054" t="s">
        <v>40</v>
      </c>
      <c r="D5054">
        <v>4.5078699999999996</v>
      </c>
      <c r="E5054">
        <v>0.54024479999999997</v>
      </c>
      <c r="F5054" t="s">
        <v>42</v>
      </c>
      <c r="G5054">
        <v>-300.69290000000001</v>
      </c>
      <c r="H5054" s="1">
        <v>-3.806329E-6</v>
      </c>
      <c r="I5054">
        <v>-31.967980000000001</v>
      </c>
      <c r="J5054">
        <v>-301.71249999999998</v>
      </c>
      <c r="K5054">
        <v>1.112163</v>
      </c>
      <c r="L5054">
        <v>-23.05508</v>
      </c>
      <c r="M5054">
        <v>-3.5066149999999997E-2</v>
      </c>
      <c r="N5054">
        <v>-1.081794E-2</v>
      </c>
      <c r="O5054">
        <v>-0.99932659999999995</v>
      </c>
      <c r="P5054">
        <v>0.18099209999999999</v>
      </c>
      <c r="Q5054">
        <v>0.38765820000000001</v>
      </c>
      <c r="R5054">
        <v>-0.90386049999999996</v>
      </c>
      <c r="S5054">
        <v>0.37097170000000002</v>
      </c>
      <c r="T5054">
        <v>-0.40920319999999999</v>
      </c>
      <c r="U5054">
        <v>-3.4200129999999902</v>
      </c>
      <c r="V5054">
        <v>-0.2137811</v>
      </c>
      <c r="W5054">
        <v>0.39669270000000001</v>
      </c>
      <c r="X5054">
        <v>0.89271080000000003</v>
      </c>
      <c r="Y5054">
        <v>-0.1419156</v>
      </c>
      <c r="Z5054">
        <v>0.1069816</v>
      </c>
      <c r="AA5054">
        <v>0.98408070000000003</v>
      </c>
      <c r="AB5054">
        <v>27</v>
      </c>
      <c r="AC5054">
        <v>1.0195999999999601</v>
      </c>
      <c r="AD5054">
        <v>-1.112166806329</v>
      </c>
      <c r="AE5054">
        <v>-8.9128999999999898</v>
      </c>
      <c r="AF5054">
        <v>-1.31137718954127</v>
      </c>
      <c r="AG5054">
        <v>-1.112166806329</v>
      </c>
      <c r="AH5054">
        <v>8.7373746322207992</v>
      </c>
      <c r="AI5054">
        <v>97.174573083584903</v>
      </c>
      <c r="AJ5054">
        <v>98.5357101298884</v>
      </c>
      <c r="AK5054">
        <v>8.9049615721868598</v>
      </c>
      <c r="AL5054">
        <v>66.628415044980699</v>
      </c>
      <c r="AM5054">
        <v>103.467238166958</v>
      </c>
      <c r="AN5054">
        <v>1.0000000146935699</v>
      </c>
    </row>
    <row r="5055" spans="1:40" x14ac:dyDescent="0.25">
      <c r="A5055" t="str">
        <f>"20190304164747527"</f>
        <v>20190304164747527</v>
      </c>
      <c r="B5055" t="str">
        <f>"1551689267524213"</f>
        <v>1551689267524213</v>
      </c>
      <c r="C5055" t="s">
        <v>40</v>
      </c>
      <c r="D5055">
        <v>4.5330680000000001</v>
      </c>
      <c r="E5055">
        <v>0.54274659999999997</v>
      </c>
      <c r="F5055" t="s">
        <v>42</v>
      </c>
      <c r="G5055">
        <v>-300.79809999999998</v>
      </c>
      <c r="H5055" s="1">
        <v>-3.9470459999999996E-6</v>
      </c>
      <c r="I5055">
        <v>-31.705249999999999</v>
      </c>
      <c r="J5055">
        <v>-301.72359999999998</v>
      </c>
      <c r="K5055">
        <v>1.112311</v>
      </c>
      <c r="L5055">
        <v>-23.46414</v>
      </c>
      <c r="M5055">
        <v>-3.2282900000000003E-2</v>
      </c>
      <c r="N5055">
        <v>-1.134754E-2</v>
      </c>
      <c r="O5055">
        <v>-0.99941449999999998</v>
      </c>
      <c r="P5055">
        <v>0.18257499999999999</v>
      </c>
      <c r="Q5055">
        <v>0.3869378</v>
      </c>
      <c r="R5055">
        <v>-0.90385059999999995</v>
      </c>
      <c r="S5055">
        <v>0.3631897</v>
      </c>
      <c r="T5055">
        <v>-0.44174980000000003</v>
      </c>
      <c r="U5055">
        <v>-3.4358219999999999</v>
      </c>
      <c r="V5055">
        <v>-0.2129403</v>
      </c>
      <c r="W5055">
        <v>0.3964126</v>
      </c>
      <c r="X5055">
        <v>0.893036099999999</v>
      </c>
      <c r="Y5055">
        <v>-0.1363634</v>
      </c>
      <c r="Z5055">
        <v>0.1151972</v>
      </c>
      <c r="AA5055">
        <v>0.98393830000000004</v>
      </c>
      <c r="AB5055">
        <v>27</v>
      </c>
      <c r="AC5055">
        <v>0.92549999999999899</v>
      </c>
      <c r="AD5055">
        <v>-1.1123149470460001</v>
      </c>
      <c r="AE5055">
        <v>-8.2411099999999902</v>
      </c>
      <c r="AF5055">
        <v>-1.1700322020241001</v>
      </c>
      <c r="AG5055">
        <v>-1.1123149470460001</v>
      </c>
      <c r="AH5055">
        <v>8.0618973546486696</v>
      </c>
      <c r="AI5055">
        <v>97.7751628089881</v>
      </c>
      <c r="AJ5055">
        <v>98.257745081101206</v>
      </c>
      <c r="AK5055">
        <v>8.2219467799351893</v>
      </c>
      <c r="AL5055">
        <v>66.645896490637895</v>
      </c>
      <c r="AM5055">
        <v>103.411479683878</v>
      </c>
      <c r="AN5055">
        <v>0.999999998353029</v>
      </c>
    </row>
    <row r="5056" spans="1:40" x14ac:dyDescent="0.25">
      <c r="A5056" t="str">
        <f>"20190304164747560"</f>
        <v>20190304164747560</v>
      </c>
      <c r="B5056" t="str">
        <f>"1551689267554471"</f>
        <v>1551689267554471</v>
      </c>
      <c r="C5056" t="s">
        <v>40</v>
      </c>
      <c r="D5056">
        <v>4.4640339999999998</v>
      </c>
      <c r="E5056">
        <v>0.54391269999999903</v>
      </c>
      <c r="F5056" t="s">
        <v>42</v>
      </c>
      <c r="G5056">
        <v>-300.87619999999998</v>
      </c>
      <c r="H5056" s="1">
        <v>-3.9782189999999998E-6</v>
      </c>
      <c r="I5056">
        <v>-31.681010000000001</v>
      </c>
      <c r="J5056">
        <v>-301.73320000000001</v>
      </c>
      <c r="K5056">
        <v>1.1124430000000001</v>
      </c>
      <c r="L5056">
        <v>-23.86835</v>
      </c>
      <c r="M5056">
        <v>-2.9328409999999999E-2</v>
      </c>
      <c r="N5056">
        <v>-1.182008E-2</v>
      </c>
      <c r="O5056">
        <v>-0.99950000000000006</v>
      </c>
      <c r="P5056">
        <v>0.18431259999999999</v>
      </c>
      <c r="Q5056">
        <v>0.3865324</v>
      </c>
      <c r="R5056">
        <v>-0.90367140000000001</v>
      </c>
      <c r="S5056">
        <v>0.35549930000000002</v>
      </c>
      <c r="T5056">
        <v>-0.4666305</v>
      </c>
      <c r="U5056">
        <v>-3.4470830000000001</v>
      </c>
      <c r="V5056">
        <v>-0.2121101</v>
      </c>
      <c r="W5056">
        <v>0.39638760000000001</v>
      </c>
      <c r="X5056">
        <v>0.8932447</v>
      </c>
      <c r="Y5056">
        <v>-0.13084460000000001</v>
      </c>
      <c r="Z5056">
        <v>0.12139519999999999</v>
      </c>
      <c r="AA5056">
        <v>0.98394250000000005</v>
      </c>
      <c r="AB5056">
        <v>27</v>
      </c>
      <c r="AC5056">
        <v>0.85700000000002696</v>
      </c>
      <c r="AD5056">
        <v>-1.1124469782189901</v>
      </c>
      <c r="AE5056">
        <v>-7.8126599999999904</v>
      </c>
      <c r="AF5056">
        <v>-1.06445496226762</v>
      </c>
      <c r="AG5056">
        <v>-1.1124469782189901</v>
      </c>
      <c r="AH5056">
        <v>7.6312780338449899</v>
      </c>
      <c r="AI5056">
        <v>98.215418790323696</v>
      </c>
      <c r="AJ5056">
        <v>97.940713511228793</v>
      </c>
      <c r="AK5056">
        <v>7.7850502295033204</v>
      </c>
      <c r="AL5056">
        <v>66.647455727800406</v>
      </c>
      <c r="AM5056">
        <v>103.358061931127</v>
      </c>
      <c r="AN5056">
        <v>0.99999995901692895</v>
      </c>
    </row>
    <row r="5057" spans="1:40" x14ac:dyDescent="0.25">
      <c r="A5057" t="str">
        <f>"20190304164747593"</f>
        <v>20190304164747593</v>
      </c>
      <c r="B5057" t="str">
        <f>"1551689267584736"</f>
        <v>1551689267584736</v>
      </c>
      <c r="C5057" t="s">
        <v>40</v>
      </c>
      <c r="D5057">
        <v>4.4981260000000001</v>
      </c>
      <c r="E5057">
        <v>0.54484779999999999</v>
      </c>
      <c r="F5057" t="s">
        <v>42</v>
      </c>
      <c r="G5057">
        <v>-300.916</v>
      </c>
      <c r="H5057" s="1">
        <v>-3.8886280000000003E-6</v>
      </c>
      <c r="I5057">
        <v>-31.914539999999999</v>
      </c>
      <c r="J5057">
        <v>-301.74110000000002</v>
      </c>
      <c r="K5057">
        <v>1.1125659999999999</v>
      </c>
      <c r="L5057">
        <v>-24.255980000000001</v>
      </c>
      <c r="M5057">
        <v>-2.6305970000000001E-2</v>
      </c>
      <c r="N5057">
        <v>-1.2213170000000001E-2</v>
      </c>
      <c r="O5057">
        <v>-0.99957940000000001</v>
      </c>
      <c r="P5057">
        <v>0.18615770000000001</v>
      </c>
      <c r="Q5057">
        <v>0.3872893</v>
      </c>
      <c r="R5057">
        <v>-0.90296869999999996</v>
      </c>
      <c r="S5057">
        <v>0.35064699999999999</v>
      </c>
      <c r="T5057">
        <v>-0.47732750000000002</v>
      </c>
      <c r="U5057">
        <v>-3.4524539999999999</v>
      </c>
      <c r="V5057">
        <v>-0.21131620000000001</v>
      </c>
      <c r="W5057">
        <v>0.39744810000000003</v>
      </c>
      <c r="X5057">
        <v>0.89296160000000002</v>
      </c>
      <c r="Y5057">
        <v>-0.12628819999999999</v>
      </c>
      <c r="Z5057">
        <v>0.1238669</v>
      </c>
      <c r="AA5057">
        <v>0.98422980000000004</v>
      </c>
      <c r="AB5057">
        <v>27</v>
      </c>
      <c r="AC5057">
        <v>0.82510000000002004</v>
      </c>
      <c r="AD5057">
        <v>-1.112569888628</v>
      </c>
      <c r="AE5057">
        <v>-7.6585599999999996</v>
      </c>
      <c r="AF5057">
        <v>-1.00532260092335</v>
      </c>
      <c r="AG5057">
        <v>-1.112569888628</v>
      </c>
      <c r="AH5057">
        <v>7.47819514326084</v>
      </c>
      <c r="AI5057">
        <v>98.387754396587397</v>
      </c>
      <c r="AJ5057">
        <v>97.656588254013499</v>
      </c>
      <c r="AK5057">
        <v>7.6270497500474601</v>
      </c>
      <c r="AL5057">
        <v>66.581255835544994</v>
      </c>
      <c r="AM5057">
        <v>103.313916451571</v>
      </c>
      <c r="AN5057">
        <v>0.99999997382530403</v>
      </c>
    </row>
    <row r="5058" spans="1:40" x14ac:dyDescent="0.25">
      <c r="A5058" t="str">
        <f>"20190304164747627"</f>
        <v>20190304164747627</v>
      </c>
      <c r="B5058" t="str">
        <f>"1551689267624533"</f>
        <v>1551689267624533</v>
      </c>
      <c r="C5058" t="s">
        <v>40</v>
      </c>
      <c r="D5058">
        <v>4.4332640000000003</v>
      </c>
      <c r="E5058">
        <v>0.54567969999999999</v>
      </c>
      <c r="F5058" t="s">
        <v>42</v>
      </c>
      <c r="G5058">
        <v>-300.93150000000003</v>
      </c>
      <c r="H5058" s="1">
        <v>-3.7591519999999999E-6</v>
      </c>
      <c r="I5058">
        <v>-32.225909999999999</v>
      </c>
      <c r="J5058">
        <v>-301.74770000000001</v>
      </c>
      <c r="K5058">
        <v>1.11269</v>
      </c>
      <c r="L5058">
        <v>-24.65869</v>
      </c>
      <c r="M5058">
        <v>-2.293742E-2</v>
      </c>
      <c r="N5058">
        <v>-1.2555459999999999E-2</v>
      </c>
      <c r="O5058">
        <v>-0.99965820000000005</v>
      </c>
      <c r="P5058">
        <v>0.1899111</v>
      </c>
      <c r="Q5058">
        <v>0.3886386</v>
      </c>
      <c r="R5058">
        <v>-0.90160640000000003</v>
      </c>
      <c r="S5058">
        <v>0.35119630000000002</v>
      </c>
      <c r="T5058">
        <v>-0.48257899999999998</v>
      </c>
      <c r="U5058">
        <v>-3.4569700000000001</v>
      </c>
      <c r="V5058">
        <v>-0.2121075</v>
      </c>
      <c r="W5058">
        <v>0.39904319999999999</v>
      </c>
      <c r="X5058">
        <v>0.89206219999999903</v>
      </c>
      <c r="Y5058">
        <v>-0.1229567</v>
      </c>
      <c r="Z5058">
        <v>0.1248686</v>
      </c>
      <c r="AA5058">
        <v>0.98452499999999998</v>
      </c>
      <c r="AB5058">
        <v>27</v>
      </c>
      <c r="AC5058">
        <v>0.81619999999998005</v>
      </c>
      <c r="AD5058">
        <v>-1.1126937591520001</v>
      </c>
      <c r="AE5058">
        <v>-7.5672199999999901</v>
      </c>
      <c r="AF5058">
        <v>-0.96886433754615897</v>
      </c>
      <c r="AG5058">
        <v>-1.1126937591520001</v>
      </c>
      <c r="AH5058">
        <v>7.3885930926547001</v>
      </c>
      <c r="AI5058">
        <v>98.492538754372603</v>
      </c>
      <c r="AJ5058">
        <v>97.470556852034306</v>
      </c>
      <c r="AK5058">
        <v>7.5344603917632602</v>
      </c>
      <c r="AL5058">
        <v>66.481622537966999</v>
      </c>
      <c r="AM5058">
        <v>103.374975134308</v>
      </c>
      <c r="AN5058">
        <v>1.0000000178456601</v>
      </c>
    </row>
    <row r="5059" spans="1:40" x14ac:dyDescent="0.25">
      <c r="A5059" t="str">
        <f>"20190304164747660"</f>
        <v>20190304164747660</v>
      </c>
      <c r="B5059" t="str">
        <f>"1551689267654790"</f>
        <v>1551689267654790</v>
      </c>
      <c r="C5059" t="s">
        <v>40</v>
      </c>
      <c r="D5059">
        <v>4.3468770000000001</v>
      </c>
      <c r="E5059">
        <v>0.54603979999999996</v>
      </c>
      <c r="F5059" t="s">
        <v>42</v>
      </c>
      <c r="G5059">
        <v>-300.9255</v>
      </c>
      <c r="H5059" s="1">
        <v>-3.6134739999999999E-6</v>
      </c>
      <c r="I5059">
        <v>-32.561819999999997</v>
      </c>
      <c r="J5059">
        <v>-301.7527</v>
      </c>
      <c r="K5059">
        <v>1.112808</v>
      </c>
      <c r="L5059">
        <v>-25.060790000000001</v>
      </c>
      <c r="M5059">
        <v>-1.936243E-2</v>
      </c>
      <c r="N5059">
        <v>-1.284135E-2</v>
      </c>
      <c r="O5059">
        <v>-0.99973009999999995</v>
      </c>
      <c r="P5059">
        <v>0.19392000000000001</v>
      </c>
      <c r="Q5059">
        <v>0.38928780000000002</v>
      </c>
      <c r="R5059">
        <v>-0.90047219999999994</v>
      </c>
      <c r="S5059">
        <v>0.36013790000000001</v>
      </c>
      <c r="T5059">
        <v>-0.48736940000000001</v>
      </c>
      <c r="U5059">
        <v>-3.4616389999999999</v>
      </c>
      <c r="V5059">
        <v>-0.21297469999999999</v>
      </c>
      <c r="W5059">
        <v>0.39989219999999998</v>
      </c>
      <c r="X5059">
        <v>0.89147520000000002</v>
      </c>
      <c r="Y5059">
        <v>-0.1217772</v>
      </c>
      <c r="Z5059">
        <v>0.1257511</v>
      </c>
      <c r="AA5059">
        <v>0.98455930000000003</v>
      </c>
      <c r="AB5059">
        <v>27</v>
      </c>
      <c r="AC5059">
        <v>0.82720000000000404</v>
      </c>
      <c r="AD5059">
        <v>-1.112811613474</v>
      </c>
      <c r="AE5059">
        <v>-7.5010300000000001</v>
      </c>
      <c r="AF5059">
        <v>-0.95160279983240004</v>
      </c>
      <c r="AG5059">
        <v>-1.112811613474</v>
      </c>
      <c r="AH5059">
        <v>7.3243406455507403</v>
      </c>
      <c r="AI5059">
        <v>98.568139331686396</v>
      </c>
      <c r="AJ5059">
        <v>97.4025927868162</v>
      </c>
      <c r="AK5059">
        <v>7.4692612397611304</v>
      </c>
      <c r="AL5059">
        <v>66.4285607799373</v>
      </c>
      <c r="AM5059">
        <v>103.436203115195</v>
      </c>
      <c r="AN5059">
        <v>1.0000000133379801</v>
      </c>
    </row>
    <row r="5060" spans="1:40" x14ac:dyDescent="0.25">
      <c r="A5060" t="str">
        <f>"20190304164747694"</f>
        <v>20190304164747694</v>
      </c>
      <c r="B5060" t="str">
        <f>"1551689267684072"</f>
        <v>1551689267684072</v>
      </c>
      <c r="C5060" t="s">
        <v>40</v>
      </c>
      <c r="D5060">
        <v>4.4812269999999996</v>
      </c>
      <c r="E5060">
        <v>0.54648619999999903</v>
      </c>
      <c r="F5060" t="s">
        <v>42</v>
      </c>
      <c r="G5060">
        <v>-300.8879</v>
      </c>
      <c r="H5060" s="1">
        <v>-3.3985409999999998E-6</v>
      </c>
      <c r="I5060">
        <v>-33.03951</v>
      </c>
      <c r="J5060">
        <v>-301.75619999999998</v>
      </c>
      <c r="K5060">
        <v>1.112892</v>
      </c>
      <c r="L5060">
        <v>-25.457239999999999</v>
      </c>
      <c r="M5060">
        <v>-1.5667159999999999E-2</v>
      </c>
      <c r="N5060">
        <v>-1.3074000000000001E-2</v>
      </c>
      <c r="O5060">
        <v>-0.99979209999999996</v>
      </c>
      <c r="P5060">
        <v>0.19838040000000001</v>
      </c>
      <c r="Q5060">
        <v>0.38918390000000003</v>
      </c>
      <c r="R5060">
        <v>-0.89954519999999905</v>
      </c>
      <c r="S5060">
        <v>0.37496950000000001</v>
      </c>
      <c r="T5060">
        <v>-0.48249229999999999</v>
      </c>
      <c r="U5060">
        <v>-3.4594119999999999</v>
      </c>
      <c r="V5060">
        <v>-0.21417849999999999</v>
      </c>
      <c r="W5060">
        <v>0.399949</v>
      </c>
      <c r="X5060">
        <v>0.89116130000000005</v>
      </c>
      <c r="Y5060">
        <v>-0.1223672</v>
      </c>
      <c r="Z5060">
        <v>0.1242246</v>
      </c>
      <c r="AA5060">
        <v>0.98467990000000005</v>
      </c>
      <c r="AB5060">
        <v>27</v>
      </c>
      <c r="AC5060">
        <v>0.86829999999997598</v>
      </c>
      <c r="AD5060">
        <v>-1.1128953985409999</v>
      </c>
      <c r="AE5060">
        <v>-7.5822700000000003</v>
      </c>
      <c r="AF5060">
        <v>-0.96644534469945897</v>
      </c>
      <c r="AG5060">
        <v>-1.1128953985409999</v>
      </c>
      <c r="AH5060">
        <v>7.4101620888263096</v>
      </c>
      <c r="AI5060">
        <v>98.470450500652206</v>
      </c>
      <c r="AJ5060">
        <v>97.430666428740693</v>
      </c>
      <c r="AK5060">
        <v>7.5553328818169003</v>
      </c>
      <c r="AL5060">
        <v>66.425010927551099</v>
      </c>
      <c r="AM5060">
        <v>103.513956535681</v>
      </c>
      <c r="AN5060">
        <v>1.00000004754046</v>
      </c>
    </row>
    <row r="5061" spans="1:40" x14ac:dyDescent="0.25">
      <c r="A5061" t="str">
        <f>"20190304164747727"</f>
        <v>20190304164747727</v>
      </c>
      <c r="B5061" t="str">
        <f>"1551689267724086"</f>
        <v>1551689267724086</v>
      </c>
      <c r="C5061" t="s">
        <v>40</v>
      </c>
      <c r="D5061">
        <v>4.4714830000000001</v>
      </c>
      <c r="E5061">
        <v>0.5469252</v>
      </c>
      <c r="F5061" t="s">
        <v>42</v>
      </c>
      <c r="G5061">
        <v>-300.86759999999998</v>
      </c>
      <c r="H5061" s="1">
        <v>-3.2757210000000002E-6</v>
      </c>
      <c r="I5061">
        <v>-33.313189999999999</v>
      </c>
      <c r="J5061">
        <v>-301.75779999999997</v>
      </c>
      <c r="K5061">
        <v>1.1129770000000001</v>
      </c>
      <c r="L5061">
        <v>-25.847349999999999</v>
      </c>
      <c r="M5061">
        <v>-1.1859049999999999E-2</v>
      </c>
      <c r="N5061">
        <v>-1.3257680000000001E-2</v>
      </c>
      <c r="O5061">
        <v>-0.9998418</v>
      </c>
      <c r="P5061">
        <v>0.2016752</v>
      </c>
      <c r="Q5061">
        <v>0.38984059999999998</v>
      </c>
      <c r="R5061">
        <v>-0.89852739999999998</v>
      </c>
      <c r="S5061">
        <v>0.39144899999999999</v>
      </c>
      <c r="T5061">
        <v>-0.4902647</v>
      </c>
      <c r="U5061">
        <v>-3.460785</v>
      </c>
      <c r="V5061">
        <v>-0.21411340000000001</v>
      </c>
      <c r="W5061">
        <v>0.40073199999999998</v>
      </c>
      <c r="X5061">
        <v>0.89082499999999998</v>
      </c>
      <c r="Y5061">
        <v>-0.1231464</v>
      </c>
      <c r="Z5061">
        <v>0.12613009999999999</v>
      </c>
      <c r="AA5061">
        <v>0.98434049999999995</v>
      </c>
      <c r="AB5061">
        <v>27</v>
      </c>
      <c r="AC5061">
        <v>0.890199999999992</v>
      </c>
      <c r="AD5061">
        <v>-1.1129802757209999</v>
      </c>
      <c r="AE5061">
        <v>-7.46584</v>
      </c>
      <c r="AF5061">
        <v>-0.95769764976841099</v>
      </c>
      <c r="AG5061">
        <v>-1.1129802757209999</v>
      </c>
      <c r="AH5061">
        <v>7.2949093257215498</v>
      </c>
      <c r="AI5061">
        <v>98.601996102466501</v>
      </c>
      <c r="AJ5061">
        <v>97.479189570654896</v>
      </c>
      <c r="AK5061">
        <v>7.4412103822573901</v>
      </c>
      <c r="AL5061">
        <v>66.376050992251905</v>
      </c>
      <c r="AM5061">
        <v>103.51491270542699</v>
      </c>
      <c r="AN5061">
        <v>0.99999993225427697</v>
      </c>
    </row>
    <row r="5062" spans="1:40" x14ac:dyDescent="0.25">
      <c r="A5062" t="str">
        <f>"20190304164747763"</f>
        <v>20190304164747763</v>
      </c>
      <c r="B5062" t="str">
        <f>"1551689267754342"</f>
        <v>1551689267754342</v>
      </c>
      <c r="C5062" t="s">
        <v>40</v>
      </c>
      <c r="D5062">
        <v>4.4496979999999997</v>
      </c>
      <c r="E5062">
        <v>0.50602360000000002</v>
      </c>
      <c r="F5062" t="s">
        <v>42</v>
      </c>
      <c r="G5062">
        <v>-300.85140000000001</v>
      </c>
      <c r="H5062" s="1">
        <v>-3.1489219999999998E-6</v>
      </c>
      <c r="I5062">
        <v>-33.598730000000003</v>
      </c>
      <c r="J5062">
        <v>-301.7577</v>
      </c>
      <c r="K5062">
        <v>1.113059</v>
      </c>
      <c r="L5062">
        <v>-26.26071</v>
      </c>
      <c r="M5062">
        <v>-7.6604150000000003E-3</v>
      </c>
      <c r="N5062">
        <v>-1.341695E-2</v>
      </c>
      <c r="O5062">
        <v>-0.99988060000000001</v>
      </c>
      <c r="P5062">
        <v>0.2054232</v>
      </c>
      <c r="Q5062">
        <v>0.39022600000000002</v>
      </c>
      <c r="R5062">
        <v>-0.89751029999999998</v>
      </c>
      <c r="S5062">
        <v>0.40499879999999999</v>
      </c>
      <c r="T5062">
        <v>-0.4973323</v>
      </c>
      <c r="U5062">
        <v>-3.4636840000000002</v>
      </c>
      <c r="V5062">
        <v>-0.21415989999999999</v>
      </c>
      <c r="W5062">
        <v>0.40122039999999998</v>
      </c>
      <c r="X5062">
        <v>0.89059409999999894</v>
      </c>
      <c r="Y5062">
        <v>-0.12266059999999999</v>
      </c>
      <c r="Z5062">
        <v>0.12781310000000001</v>
      </c>
      <c r="AA5062">
        <v>0.98418399999999995</v>
      </c>
      <c r="AB5062">
        <v>27</v>
      </c>
      <c r="AC5062">
        <v>0.906299999999987</v>
      </c>
      <c r="AD5062">
        <v>-1.1130621489219901</v>
      </c>
      <c r="AE5062">
        <v>-7.3380199999999904</v>
      </c>
      <c r="AF5062">
        <v>-0.94116174080706005</v>
      </c>
      <c r="AG5062">
        <v>-1.1130621489219901</v>
      </c>
      <c r="AH5062">
        <v>7.1684079168608301</v>
      </c>
      <c r="AI5062">
        <v>98.752088718062893</v>
      </c>
      <c r="AJ5062">
        <v>97.479751976186606</v>
      </c>
      <c r="AK5062">
        <v>7.3151052509334997</v>
      </c>
      <c r="AL5062">
        <v>66.345507775347102</v>
      </c>
      <c r="AM5062">
        <v>103.521116120434</v>
      </c>
      <c r="AN5062">
        <v>1.00000006154948</v>
      </c>
    </row>
    <row r="5063" spans="1:40" x14ac:dyDescent="0.25">
      <c r="A5063" t="str">
        <f>"20190304164747794"</f>
        <v>20190304164747794</v>
      </c>
      <c r="B5063" t="str">
        <f>"1551689267784598"</f>
        <v>1551689267784598</v>
      </c>
      <c r="C5063" t="s">
        <v>40</v>
      </c>
      <c r="D5063">
        <v>4.4375450000000001</v>
      </c>
      <c r="E5063">
        <v>0.49999690000000002</v>
      </c>
      <c r="F5063" t="s">
        <v>42</v>
      </c>
      <c r="G5063">
        <v>-299.73630000000003</v>
      </c>
      <c r="H5063" s="1">
        <v>-2.1053360000000001E-6</v>
      </c>
      <c r="I5063">
        <v>-35.568659999999902</v>
      </c>
      <c r="J5063">
        <v>-301.75599999999997</v>
      </c>
      <c r="K5063">
        <v>1.113137</v>
      </c>
      <c r="L5063">
        <v>-26.63504</v>
      </c>
      <c r="M5063">
        <v>-3.7342249999999999E-3</v>
      </c>
      <c r="N5063">
        <v>-1.3534539999999999E-2</v>
      </c>
      <c r="O5063">
        <v>-0.9999015</v>
      </c>
      <c r="P5063">
        <v>0.20763119999999999</v>
      </c>
      <c r="Q5063">
        <v>0.39099850000000003</v>
      </c>
      <c r="R5063">
        <v>-0.89666599999999996</v>
      </c>
      <c r="S5063">
        <v>0.72756960000000004</v>
      </c>
      <c r="T5063">
        <v>-0.4006287</v>
      </c>
      <c r="U5063">
        <v>-3.35025</v>
      </c>
      <c r="V5063">
        <v>-0.2129075</v>
      </c>
      <c r="W5063">
        <v>0.40207280000000001</v>
      </c>
      <c r="X5063">
        <v>0.89050989999999997</v>
      </c>
      <c r="Y5063">
        <v>-0.2145629</v>
      </c>
      <c r="Z5063">
        <v>0.1025623</v>
      </c>
      <c r="AA5063">
        <v>0.97131029999999996</v>
      </c>
      <c r="AB5063">
        <v>26</v>
      </c>
      <c r="AC5063">
        <v>2.0196999999999399</v>
      </c>
      <c r="AD5063">
        <v>-1.113139105336</v>
      </c>
      <c r="AE5063">
        <v>-8.9336199999999906</v>
      </c>
      <c r="AF5063">
        <v>-2.0231659480461199</v>
      </c>
      <c r="AG5063">
        <v>-1.113139105336</v>
      </c>
      <c r="AH5063">
        <v>8.79609233358787</v>
      </c>
      <c r="AI5063">
        <v>97.030731776946794</v>
      </c>
      <c r="AJ5063">
        <v>102.95316484997301</v>
      </c>
      <c r="AK5063">
        <v>9.0941475390585609</v>
      </c>
      <c r="AL5063">
        <v>66.292176953971605</v>
      </c>
      <c r="AM5063">
        <v>103.446148996416</v>
      </c>
      <c r="AN5063">
        <v>1.0000000110270499</v>
      </c>
    </row>
    <row r="5064" spans="1:40" x14ac:dyDescent="0.25">
      <c r="A5064" t="str">
        <f>"20190304164747828"</f>
        <v>20190304164747828</v>
      </c>
      <c r="B5064" t="str">
        <f>"1551689267824614"</f>
        <v>1551689267824614</v>
      </c>
      <c r="C5064" t="s">
        <v>40</v>
      </c>
      <c r="D5064">
        <v>4.4357249999999997</v>
      </c>
      <c r="E5064">
        <v>0.49950060000000002</v>
      </c>
      <c r="F5064" t="s">
        <v>42</v>
      </c>
      <c r="G5064">
        <v>-299.5172</v>
      </c>
      <c r="H5064" s="1">
        <v>-1.8803969999999999E-6</v>
      </c>
      <c r="I5064">
        <v>-36.183599999999998</v>
      </c>
      <c r="J5064">
        <v>-301.75229999999999</v>
      </c>
      <c r="K5064">
        <v>1.1132070000000001</v>
      </c>
      <c r="L5064">
        <v>-27.03238</v>
      </c>
      <c r="M5064">
        <v>5.7821360000000004E-4</v>
      </c>
      <c r="N5064">
        <v>-1.363345E-2</v>
      </c>
      <c r="O5064">
        <v>-0.99990699999999999</v>
      </c>
      <c r="P5064">
        <v>0.2113044</v>
      </c>
      <c r="Q5064">
        <v>0.39182509999999998</v>
      </c>
      <c r="R5064">
        <v>-0.89544599999999996</v>
      </c>
      <c r="S5064">
        <v>0.78176880000000004</v>
      </c>
      <c r="T5064">
        <v>-0.38868960000000002</v>
      </c>
      <c r="U5064">
        <v>-3.3341980000000002</v>
      </c>
      <c r="V5064">
        <v>-0.21277389999999999</v>
      </c>
      <c r="W5064">
        <v>0.40295540000000002</v>
      </c>
      <c r="X5064">
        <v>0.89014280000000001</v>
      </c>
      <c r="Y5064">
        <v>-0.22639519999999999</v>
      </c>
      <c r="Z5064">
        <v>9.9227360000000001E-2</v>
      </c>
      <c r="AA5064">
        <v>0.9689681</v>
      </c>
      <c r="AB5064">
        <v>26</v>
      </c>
      <c r="AC5064">
        <v>2.2350999999999801</v>
      </c>
      <c r="AD5064">
        <v>-1.1132088803969999</v>
      </c>
      <c r="AE5064">
        <v>-9.1512200000000004</v>
      </c>
      <c r="AF5064">
        <v>-2.1990980417099601</v>
      </c>
      <c r="AG5064">
        <v>-1.1132088803969999</v>
      </c>
      <c r="AH5064">
        <v>9.0264592052407604</v>
      </c>
      <c r="AI5064">
        <v>96.832750450833998</v>
      </c>
      <c r="AJ5064">
        <v>103.69211778681699</v>
      </c>
      <c r="AK5064">
        <v>9.3569349678365796</v>
      </c>
      <c r="AL5064">
        <v>66.236934599880399</v>
      </c>
      <c r="AM5064">
        <v>103.443358415083</v>
      </c>
      <c r="AN5064">
        <v>0.99999999565110498</v>
      </c>
    </row>
    <row r="5065" spans="1:40" x14ac:dyDescent="0.25">
      <c r="A5065" t="str">
        <f>"20190304164747862"</f>
        <v>20190304164747862</v>
      </c>
      <c r="B5065" t="str">
        <f>"1551689267853894"</f>
        <v>1551689267853894</v>
      </c>
      <c r="C5065" t="s">
        <v>40</v>
      </c>
      <c r="D5065">
        <v>4.4305700000000003</v>
      </c>
      <c r="E5065">
        <v>0.4997258</v>
      </c>
      <c r="F5065" t="s">
        <v>42</v>
      </c>
      <c r="G5065">
        <v>-299.4803</v>
      </c>
      <c r="H5065" s="1">
        <v>-1.7351440000000001E-6</v>
      </c>
      <c r="I5065">
        <v>-36.537430000000001</v>
      </c>
      <c r="J5065">
        <v>-301.74680000000001</v>
      </c>
      <c r="K5065">
        <v>1.11327</v>
      </c>
      <c r="L5065">
        <v>-27.429659999999998</v>
      </c>
      <c r="M5065">
        <v>5.0131769999999997E-3</v>
      </c>
      <c r="N5065">
        <v>-1.371342E-2</v>
      </c>
      <c r="O5065">
        <v>-0.99989360000000005</v>
      </c>
      <c r="P5065">
        <v>0.21709339999999999</v>
      </c>
      <c r="Q5065">
        <v>0.3933854</v>
      </c>
      <c r="R5065">
        <v>-0.89337500000000003</v>
      </c>
      <c r="S5065">
        <v>0.79672240000000005</v>
      </c>
      <c r="T5065">
        <v>-0.3903644</v>
      </c>
      <c r="U5065">
        <v>-3.3330989999999998</v>
      </c>
      <c r="V5065">
        <v>-0.2146554</v>
      </c>
      <c r="W5065">
        <v>0.40453679999999997</v>
      </c>
      <c r="X5065">
        <v>0.88897299999999901</v>
      </c>
      <c r="Y5065">
        <v>-0.22625319999999999</v>
      </c>
      <c r="Z5065">
        <v>9.9614010000000003E-2</v>
      </c>
      <c r="AA5065">
        <v>0.96896159999999998</v>
      </c>
      <c r="AB5065">
        <v>26</v>
      </c>
      <c r="AC5065">
        <v>2.2665000000000002</v>
      </c>
      <c r="AD5065">
        <v>-1.113271735144</v>
      </c>
      <c r="AE5065">
        <v>-9.1077700000000004</v>
      </c>
      <c r="AF5065">
        <v>-2.1899958990700101</v>
      </c>
      <c r="AG5065">
        <v>-1.113271735144</v>
      </c>
      <c r="AH5065">
        <v>8.9924977032162996</v>
      </c>
      <c r="AI5065">
        <v>96.858837427603504</v>
      </c>
      <c r="AJ5065">
        <v>103.687136634051</v>
      </c>
      <c r="AK5065">
        <v>9.3220422084736594</v>
      </c>
      <c r="AL5065">
        <v>66.137895563561401</v>
      </c>
      <c r="AM5065">
        <v>103.575045297204</v>
      </c>
      <c r="AN5065">
        <v>0.99999997901619897</v>
      </c>
    </row>
    <row r="5066" spans="1:40" x14ac:dyDescent="0.25">
      <c r="A5066" t="str">
        <f>"20190304164747929"</f>
        <v>20190304164747929</v>
      </c>
      <c r="B5066" t="str">
        <f>"1551689267924166"</f>
        <v>1551689267924166</v>
      </c>
      <c r="C5066" t="s">
        <v>40</v>
      </c>
      <c r="D5066">
        <v>4.5130569999999999</v>
      </c>
      <c r="E5066">
        <v>0.50029020000000002</v>
      </c>
      <c r="F5066" t="s">
        <v>42</v>
      </c>
      <c r="G5066">
        <v>-299.42160000000001</v>
      </c>
      <c r="H5066" s="1">
        <v>-1.567063E-6</v>
      </c>
      <c r="I5066">
        <v>-36.953519999999997</v>
      </c>
      <c r="J5066">
        <v>-301.73079999999999</v>
      </c>
      <c r="K5066">
        <v>1.1133360000000001</v>
      </c>
      <c r="L5066">
        <v>-28.20065</v>
      </c>
      <c r="M5066">
        <v>1.3841239999999999E-2</v>
      </c>
      <c r="N5066">
        <v>-1.382386E-2</v>
      </c>
      <c r="O5066">
        <v>-0.99980869999999999</v>
      </c>
      <c r="P5066">
        <v>0.23443810000000001</v>
      </c>
      <c r="Q5066">
        <v>0.39443</v>
      </c>
      <c r="R5066">
        <v>-0.88851800000000003</v>
      </c>
      <c r="S5066">
        <v>0.81347659999999999</v>
      </c>
      <c r="T5066">
        <v>-0.38947280000000001</v>
      </c>
      <c r="U5066">
        <v>-3.3318789999999998</v>
      </c>
      <c r="V5066">
        <v>-0.22421140000000001</v>
      </c>
      <c r="W5066">
        <v>0.40556740000000002</v>
      </c>
      <c r="X5066">
        <v>0.88614009999999999</v>
      </c>
      <c r="Y5066">
        <v>-0.2223482</v>
      </c>
      <c r="Z5066">
        <v>9.9275580000000002E-2</v>
      </c>
      <c r="AA5066">
        <v>0.96989979999999998</v>
      </c>
      <c r="AB5066">
        <v>26</v>
      </c>
      <c r="AC5066">
        <v>2.3091999999999699</v>
      </c>
      <c r="AD5066">
        <v>-1.1133375670629999</v>
      </c>
      <c r="AE5066">
        <v>-8.7528699999999997</v>
      </c>
      <c r="AF5066">
        <v>-2.15521631855797</v>
      </c>
      <c r="AG5066">
        <v>-1.1133375670629999</v>
      </c>
      <c r="AH5066">
        <v>8.6531077574619708</v>
      </c>
      <c r="AI5066">
        <v>97.116501646224904</v>
      </c>
      <c r="AJ5066">
        <v>103.98599935741601</v>
      </c>
      <c r="AK5066">
        <v>8.9866986029498594</v>
      </c>
      <c r="AL5066">
        <v>66.073311066976302</v>
      </c>
      <c r="AM5066">
        <v>104.198996309002</v>
      </c>
      <c r="AN5066">
        <v>0.99999997233036397</v>
      </c>
    </row>
    <row r="5067" spans="1:40" x14ac:dyDescent="0.25">
      <c r="A5067" t="str">
        <f>"20190304164747963"</f>
        <v>20190304164747963</v>
      </c>
      <c r="B5067" t="str">
        <f>"1551689267954425"</f>
        <v>1551689267954425</v>
      </c>
      <c r="C5067" t="s">
        <v>40</v>
      </c>
      <c r="D5067">
        <v>4.4678550000000001</v>
      </c>
      <c r="E5067">
        <v>0.50011740000000005</v>
      </c>
      <c r="F5067" t="s">
        <v>42</v>
      </c>
      <c r="G5067">
        <v>-299.2867</v>
      </c>
      <c r="H5067" s="1">
        <v>-1.3246199999999999E-6</v>
      </c>
      <c r="I5067">
        <v>-37.574449999999999</v>
      </c>
      <c r="J5067">
        <v>-301.72000000000003</v>
      </c>
      <c r="K5067">
        <v>1.1133379999999999</v>
      </c>
      <c r="L5067">
        <v>-28.592680000000001</v>
      </c>
      <c r="M5067">
        <v>1.8378140000000001E-2</v>
      </c>
      <c r="N5067">
        <v>-1.3856129999999999E-2</v>
      </c>
      <c r="O5067">
        <v>-0.99973509999999999</v>
      </c>
      <c r="P5067">
        <v>0.2414047</v>
      </c>
      <c r="Q5067">
        <v>0.39508989999999999</v>
      </c>
      <c r="R5067">
        <v>-0.88635640000000004</v>
      </c>
      <c r="S5067">
        <v>0.86645509999999903</v>
      </c>
      <c r="T5067">
        <v>-0.39467669999999999</v>
      </c>
      <c r="U5067">
        <v>-3.3229980000000001</v>
      </c>
      <c r="V5067">
        <v>-0.22716939999999999</v>
      </c>
      <c r="W5067">
        <v>0.40622760000000002</v>
      </c>
      <c r="X5067">
        <v>0.88508369999999903</v>
      </c>
      <c r="Y5067">
        <v>-0.23299590000000001</v>
      </c>
      <c r="Z5067">
        <v>0.1006639</v>
      </c>
      <c r="AA5067">
        <v>0.96725369999999999</v>
      </c>
      <c r="AB5067">
        <v>26</v>
      </c>
      <c r="AC5067">
        <v>2.4333000000000302</v>
      </c>
      <c r="AD5067">
        <v>-1.1133393246199901</v>
      </c>
      <c r="AE5067">
        <v>-8.9817699999999991</v>
      </c>
      <c r="AF5067">
        <v>-2.2358008485009999</v>
      </c>
      <c r="AG5067">
        <v>-1.1133393246199901</v>
      </c>
      <c r="AH5067">
        <v>8.8976130392267105</v>
      </c>
      <c r="AI5067">
        <v>96.919305791281005</v>
      </c>
      <c r="AJ5067">
        <v>104.10529957163401</v>
      </c>
      <c r="AK5067">
        <v>9.2415284277937602</v>
      </c>
      <c r="AL5067">
        <v>66.031921656536298</v>
      </c>
      <c r="AM5067">
        <v>104.395052150971</v>
      </c>
      <c r="AN5067">
        <v>0.99999997765190396</v>
      </c>
    </row>
    <row r="5068" spans="1:40" x14ac:dyDescent="0.25">
      <c r="A5068" t="str">
        <f>"20190304164747995"</f>
        <v>20190304164747995</v>
      </c>
      <c r="B5068" t="str">
        <f>"1551689267984679"</f>
        <v>1551689267984679</v>
      </c>
      <c r="C5068" t="s">
        <v>40</v>
      </c>
      <c r="D5068">
        <v>4.512105</v>
      </c>
      <c r="E5068">
        <v>0.50022509999999998</v>
      </c>
      <c r="F5068" t="s">
        <v>42</v>
      </c>
      <c r="G5068">
        <v>-299.19009999999997</v>
      </c>
      <c r="H5068" s="1">
        <v>-1.181829E-6</v>
      </c>
      <c r="I5068">
        <v>-37.947229999999998</v>
      </c>
      <c r="J5068">
        <v>-301.70780000000002</v>
      </c>
      <c r="K5068">
        <v>1.113318</v>
      </c>
      <c r="L5068">
        <v>-28.975560000000002</v>
      </c>
      <c r="M5068">
        <v>2.2813279999999998E-2</v>
      </c>
      <c r="N5068">
        <v>-1.3844179999999999E-2</v>
      </c>
      <c r="O5068">
        <v>-0.99964379999999997</v>
      </c>
      <c r="P5068">
        <v>0.24799650000000001</v>
      </c>
      <c r="Q5068">
        <v>0.3955185</v>
      </c>
      <c r="R5068">
        <v>-0.88434330000000005</v>
      </c>
      <c r="S5068">
        <v>0.89688109999999999</v>
      </c>
      <c r="T5068">
        <v>-0.39469389999999999</v>
      </c>
      <c r="U5068">
        <v>-3.3163149999999999</v>
      </c>
      <c r="V5068">
        <v>-0.229847</v>
      </c>
      <c r="W5068">
        <v>0.40662330000000002</v>
      </c>
      <c r="X5068">
        <v>0.8842103</v>
      </c>
      <c r="Y5068">
        <v>-0.23744019999999999</v>
      </c>
      <c r="Z5068">
        <v>0.1007011</v>
      </c>
      <c r="AA5068">
        <v>0.96616840000000004</v>
      </c>
      <c r="AB5068">
        <v>26</v>
      </c>
      <c r="AC5068">
        <v>2.51770000000004</v>
      </c>
      <c r="AD5068">
        <v>-1.113319181829</v>
      </c>
      <c r="AE5068">
        <v>-8.9716699999999996</v>
      </c>
      <c r="AF5068">
        <v>-2.27980788295543</v>
      </c>
      <c r="AG5068">
        <v>-1.113319181829</v>
      </c>
      <c r="AH5068">
        <v>8.8997348416133395</v>
      </c>
      <c r="AI5068">
        <v>96.909575724408498</v>
      </c>
      <c r="AJ5068">
        <v>104.368252684631</v>
      </c>
      <c r="AK5068">
        <v>9.2543116348457009</v>
      </c>
      <c r="AL5068">
        <v>66.007108537386102</v>
      </c>
      <c r="AM5068">
        <v>104.571322306634</v>
      </c>
      <c r="AN5068">
        <v>1.00000000306899</v>
      </c>
    </row>
    <row r="5069" spans="1:40" x14ac:dyDescent="0.25">
      <c r="A5069" t="str">
        <f>"20190304164748030"</f>
        <v>20190304164748030</v>
      </c>
      <c r="B5069" t="str">
        <f>"1551689268024694"</f>
        <v>1551689268024694</v>
      </c>
      <c r="C5069" t="s">
        <v>40</v>
      </c>
      <c r="D5069">
        <v>4.5553439999999998</v>
      </c>
      <c r="E5069">
        <v>0.45192320000000002</v>
      </c>
      <c r="F5069" t="s">
        <v>42</v>
      </c>
      <c r="G5069">
        <v>-299.12360000000001</v>
      </c>
      <c r="H5069" s="1">
        <v>-1.0641980000000001E-6</v>
      </c>
      <c r="I5069">
        <v>-38.248939999999997</v>
      </c>
      <c r="J5069">
        <v>-301.69310000000002</v>
      </c>
      <c r="K5069">
        <v>1.11331</v>
      </c>
      <c r="L5069">
        <v>-29.37433</v>
      </c>
      <c r="M5069">
        <v>2.742315E-2</v>
      </c>
      <c r="N5069">
        <v>-1.3781E-2</v>
      </c>
      <c r="O5069">
        <v>-0.99952890000000005</v>
      </c>
      <c r="P5069">
        <v>0.25361299999999998</v>
      </c>
      <c r="Q5069">
        <v>0.3969106</v>
      </c>
      <c r="R5069">
        <v>-0.88212400000000002</v>
      </c>
      <c r="S5069">
        <v>0.92279049999999996</v>
      </c>
      <c r="T5069">
        <v>-0.3975476</v>
      </c>
      <c r="U5069">
        <v>-3.3113709999999998</v>
      </c>
      <c r="V5069">
        <v>-0.23141619999999999</v>
      </c>
      <c r="W5069">
        <v>0.4079411</v>
      </c>
      <c r="X5069">
        <v>0.88319340000000002</v>
      </c>
      <c r="Y5069">
        <v>-0.24032709999999999</v>
      </c>
      <c r="Z5069">
        <v>0.1015775</v>
      </c>
      <c r="AA5069">
        <v>0.96536259999999996</v>
      </c>
      <c r="AB5069">
        <v>26</v>
      </c>
      <c r="AC5069">
        <v>2.5695000000000001</v>
      </c>
      <c r="AD5069">
        <v>-1.113311064198</v>
      </c>
      <c r="AE5069">
        <v>-8.8746100000000006</v>
      </c>
      <c r="AF5069">
        <v>-2.2918622282836898</v>
      </c>
      <c r="AG5069">
        <v>-1.113311064198</v>
      </c>
      <c r="AH5069">
        <v>8.8137643781430199</v>
      </c>
      <c r="AI5069">
        <v>96.969801604770694</v>
      </c>
      <c r="AJ5069">
        <v>104.57594238138201</v>
      </c>
      <c r="AK5069">
        <v>9.1746681963176204</v>
      </c>
      <c r="AL5069">
        <v>65.924436367570195</v>
      </c>
      <c r="AM5069">
        <v>104.682685024647</v>
      </c>
      <c r="AN5069">
        <v>0.999999990247605</v>
      </c>
    </row>
    <row r="5070" spans="1:40" x14ac:dyDescent="0.25">
      <c r="A5070" t="str">
        <f>"20190304164748063"</f>
        <v>20190304164748063</v>
      </c>
      <c r="B5070" t="str">
        <f>"1551689268053974"</f>
        <v>1551689268053974</v>
      </c>
      <c r="C5070" t="s">
        <v>40</v>
      </c>
      <c r="D5070">
        <v>4.5169949999999996</v>
      </c>
      <c r="E5070">
        <v>0.3373294</v>
      </c>
      <c r="F5070" t="s">
        <v>53</v>
      </c>
      <c r="G5070">
        <v>-296.44580000000002</v>
      </c>
      <c r="H5070" s="1">
        <v>-2.0022259999999999E-6</v>
      </c>
      <c r="I5070">
        <v>-42.066040000000001</v>
      </c>
      <c r="J5070">
        <v>-301.67720000000003</v>
      </c>
      <c r="K5070">
        <v>1.1132979999999999</v>
      </c>
      <c r="L5070">
        <v>-29.75958</v>
      </c>
      <c r="M5070">
        <v>3.187632E-2</v>
      </c>
      <c r="N5070">
        <v>-1.3677409999999999E-2</v>
      </c>
      <c r="O5070">
        <v>-0.99939820000000001</v>
      </c>
      <c r="P5070">
        <v>0.25969959999999997</v>
      </c>
      <c r="Q5070">
        <v>0.3977289</v>
      </c>
      <c r="R5070">
        <v>-0.87998189999999998</v>
      </c>
      <c r="S5070">
        <v>1.302643</v>
      </c>
      <c r="T5070">
        <v>-0.27638040000000003</v>
      </c>
      <c r="U5070">
        <v>-3.1507260000000001</v>
      </c>
      <c r="V5070">
        <v>-0.23360320000000001</v>
      </c>
      <c r="W5070">
        <v>0.4086475</v>
      </c>
      <c r="X5070">
        <v>0.88229069999999898</v>
      </c>
      <c r="Y5070">
        <v>-0.35132760000000002</v>
      </c>
      <c r="Z5070">
        <v>6.7674100000000001E-2</v>
      </c>
      <c r="AA5070">
        <v>0.93380359999999996</v>
      </c>
      <c r="AB5070">
        <v>26</v>
      </c>
      <c r="AC5070">
        <v>5.2313999999999998</v>
      </c>
      <c r="AD5070">
        <v>-1.113300002226</v>
      </c>
      <c r="AE5070">
        <v>-12.30646</v>
      </c>
      <c r="AF5070">
        <v>-4.8031275657710903</v>
      </c>
      <c r="AG5070">
        <v>-1.113300002226</v>
      </c>
      <c r="AH5070">
        <v>12.3811603737777</v>
      </c>
      <c r="AI5070">
        <v>94.791997819577205</v>
      </c>
      <c r="AJ5070">
        <v>111.20318553566899</v>
      </c>
      <c r="AK5070">
        <v>13.326762679256699</v>
      </c>
      <c r="AL5070">
        <v>65.880100314023196</v>
      </c>
      <c r="AM5070">
        <v>104.829857889566</v>
      </c>
      <c r="AN5070">
        <v>1.00000005680648</v>
      </c>
    </row>
    <row r="5071" spans="1:40" x14ac:dyDescent="0.25">
      <c r="A5071" t="str">
        <f>"20190304164748107"</f>
        <v>20190304164748107</v>
      </c>
      <c r="B5071" t="str">
        <f>"1551689268104726"</f>
        <v>1551689268104726</v>
      </c>
      <c r="C5071" t="s">
        <v>40</v>
      </c>
      <c r="D5071">
        <v>4.4809619999999999</v>
      </c>
      <c r="E5071">
        <v>0.33409699999999998</v>
      </c>
      <c r="F5071" t="s">
        <v>41</v>
      </c>
      <c r="G5071">
        <v>-301.05200000000002</v>
      </c>
      <c r="H5071">
        <v>1.0694699999999999</v>
      </c>
      <c r="I5071">
        <v>-30.569600000000001</v>
      </c>
      <c r="J5071">
        <v>-301.65350000000001</v>
      </c>
      <c r="K5071">
        <v>1.1132740000000001</v>
      </c>
      <c r="L5071">
        <v>-30.271640000000001</v>
      </c>
      <c r="M5071">
        <v>3.7826079999999998E-2</v>
      </c>
      <c r="N5071">
        <v>-1.3470889999999999E-2</v>
      </c>
      <c r="O5071">
        <v>-0.99919360000000002</v>
      </c>
      <c r="P5071">
        <v>0.2669511</v>
      </c>
      <c r="Q5071">
        <v>0.39919310000000002</v>
      </c>
      <c r="R5071">
        <v>-0.87714419999999904</v>
      </c>
      <c r="S5071">
        <v>2.1870419999999999</v>
      </c>
      <c r="T5071">
        <v>-0.1532916</v>
      </c>
      <c r="U5071">
        <v>-2.833008</v>
      </c>
      <c r="V5071">
        <v>-0.2356742</v>
      </c>
      <c r="W5071">
        <v>0.4099023</v>
      </c>
      <c r="X5071">
        <v>0.88115699999999997</v>
      </c>
      <c r="Y5071">
        <v>-0.58023040000000004</v>
      </c>
      <c r="Z5071">
        <v>2.999139E-2</v>
      </c>
      <c r="AA5071">
        <v>0.81389999999999996</v>
      </c>
      <c r="AB5071">
        <v>26</v>
      </c>
      <c r="AC5071">
        <v>0.60149999999998705</v>
      </c>
      <c r="AD5071">
        <v>-4.3803999999999697E-2</v>
      </c>
      <c r="AE5071">
        <v>-0.297959999999999</v>
      </c>
      <c r="AF5071">
        <v>-0.58729678612784197</v>
      </c>
      <c r="AG5071">
        <v>-4.3803999999999697E-2</v>
      </c>
      <c r="AH5071">
        <v>0.31914211668403097</v>
      </c>
      <c r="AI5071">
        <v>93.749507298987794</v>
      </c>
      <c r="AJ5071">
        <v>151.479963247607</v>
      </c>
      <c r="AK5071">
        <v>0.66984176941547602</v>
      </c>
      <c r="AL5071">
        <v>65.8013009016843</v>
      </c>
      <c r="AM5071">
        <v>104.973842597683</v>
      </c>
      <c r="AN5071">
        <v>0.99999994136996295</v>
      </c>
    </row>
    <row r="5072" spans="1:40" x14ac:dyDescent="0.25">
      <c r="A5072" t="str">
        <f>"20190304164748140"</f>
        <v>20190304164748140</v>
      </c>
      <c r="B5072" t="str">
        <f>"1551689268134983"</f>
        <v>1551689268134983</v>
      </c>
      <c r="C5072" t="s">
        <v>40</v>
      </c>
      <c r="D5072">
        <v>4.4686760000000003</v>
      </c>
      <c r="E5072">
        <v>0.33470939999999999</v>
      </c>
      <c r="F5072" t="s">
        <v>41</v>
      </c>
      <c r="G5072">
        <v>-301.00290000000001</v>
      </c>
      <c r="H5072">
        <v>1.069072</v>
      </c>
      <c r="I5072">
        <v>-31.089030000000001</v>
      </c>
      <c r="J5072">
        <v>-301.63400000000001</v>
      </c>
      <c r="K5072">
        <v>1.113272</v>
      </c>
      <c r="L5072">
        <v>-30.648409999999998</v>
      </c>
      <c r="M5072">
        <v>4.2256769999999999E-2</v>
      </c>
      <c r="N5072">
        <v>-1.330391E-2</v>
      </c>
      <c r="O5072">
        <v>-0.99901819999999997</v>
      </c>
      <c r="P5072">
        <v>0.27130749999999998</v>
      </c>
      <c r="Q5072">
        <v>0.39936300000000002</v>
      </c>
      <c r="R5072">
        <v>-0.87572909999999904</v>
      </c>
      <c r="S5072">
        <v>2.2355649999999998</v>
      </c>
      <c r="T5072">
        <v>-0.1518977</v>
      </c>
      <c r="U5072">
        <v>-2.8089599999999999</v>
      </c>
      <c r="V5072">
        <v>-0.2361695</v>
      </c>
      <c r="W5072">
        <v>0.4099101</v>
      </c>
      <c r="X5072">
        <v>0.88102080000000005</v>
      </c>
      <c r="Y5072">
        <v>-0.58863509999999997</v>
      </c>
      <c r="Z5072">
        <v>2.971886E-2</v>
      </c>
      <c r="AA5072">
        <v>0.80785240000000003</v>
      </c>
      <c r="AB5072">
        <v>26</v>
      </c>
      <c r="AC5072">
        <v>0.63110000000000299</v>
      </c>
      <c r="AD5072">
        <v>-4.4200000000000003E-2</v>
      </c>
      <c r="AE5072">
        <v>-0.44061999999999901</v>
      </c>
      <c r="AF5072">
        <v>-0.60990411232367103</v>
      </c>
      <c r="AG5072">
        <v>-4.4200000000000003E-2</v>
      </c>
      <c r="AH5072">
        <v>0.46536236507615703</v>
      </c>
      <c r="AI5072">
        <v>93.297426761548806</v>
      </c>
      <c r="AJ5072">
        <v>142.65604024149201</v>
      </c>
      <c r="AK5072">
        <v>0.76843919542056105</v>
      </c>
      <c r="AL5072">
        <v>65.800812100597994</v>
      </c>
      <c r="AM5072">
        <v>105.006109277753</v>
      </c>
      <c r="AN5072">
        <v>0.99999998642244903</v>
      </c>
    </row>
    <row r="5073" spans="1:40" x14ac:dyDescent="0.25">
      <c r="A5073" t="str">
        <f>"20190304164748173"</f>
        <v>20190304164748173</v>
      </c>
      <c r="B5073" t="str">
        <f>"1551689268164262"</f>
        <v>1551689268164262</v>
      </c>
      <c r="C5073" t="s">
        <v>40</v>
      </c>
      <c r="D5073">
        <v>4.4908979999999996</v>
      </c>
      <c r="E5073">
        <v>0.33596559999999998</v>
      </c>
      <c r="F5073" t="s">
        <v>53</v>
      </c>
      <c r="G5073">
        <v>-286.70609999999999</v>
      </c>
      <c r="H5073">
        <v>7.9987180000000005E-2</v>
      </c>
      <c r="I5073">
        <v>-49.233829999999998</v>
      </c>
      <c r="J5073">
        <v>-301.61200000000002</v>
      </c>
      <c r="K5073">
        <v>1.1132899999999999</v>
      </c>
      <c r="L5073">
        <v>-31.039919999999999</v>
      </c>
      <c r="M5073">
        <v>4.6963520000000002E-2</v>
      </c>
      <c r="N5073">
        <v>-1.312254E-2</v>
      </c>
      <c r="O5073">
        <v>-0.99881039999999999</v>
      </c>
      <c r="P5073">
        <v>0.27608050000000001</v>
      </c>
      <c r="Q5073">
        <v>0.39831159999999999</v>
      </c>
      <c r="R5073">
        <v>-0.87471549999999998</v>
      </c>
      <c r="S5073">
        <v>2.2489319999999999</v>
      </c>
      <c r="T5073">
        <v>-0.1556678</v>
      </c>
      <c r="U5073">
        <v>-2.799957</v>
      </c>
      <c r="V5073">
        <v>-0.23684440000000001</v>
      </c>
      <c r="W5073">
        <v>0.40867360000000003</v>
      </c>
      <c r="X5073">
        <v>0.88141399999999903</v>
      </c>
      <c r="Y5073">
        <v>-0.58841659999999996</v>
      </c>
      <c r="Z5073">
        <v>3.1022500000000001E-2</v>
      </c>
      <c r="AA5073">
        <v>0.80796259999999998</v>
      </c>
      <c r="AB5073">
        <v>26</v>
      </c>
      <c r="AC5073">
        <v>14.905900000000001</v>
      </c>
      <c r="AD5073">
        <v>-1.0333028199999901</v>
      </c>
      <c r="AE5073">
        <v>-18.193909999999899</v>
      </c>
      <c r="AF5073">
        <v>-14.007890430218101</v>
      </c>
      <c r="AG5073">
        <v>-1.0333028199999901</v>
      </c>
      <c r="AH5073">
        <v>18.837567744579101</v>
      </c>
      <c r="AI5073">
        <v>92.520372094563399</v>
      </c>
      <c r="AJ5073">
        <v>126.635031004288</v>
      </c>
      <c r="AK5073">
        <v>23.497716219973899</v>
      </c>
      <c r="AL5073">
        <v>65.878460638792703</v>
      </c>
      <c r="AM5073">
        <v>105.04064169463</v>
      </c>
      <c r="AN5073">
        <v>1.00000001027216</v>
      </c>
    </row>
    <row r="5074" spans="1:40" x14ac:dyDescent="0.25">
      <c r="A5074" t="str">
        <f>"20190304164748219"</f>
        <v>20190304164748219</v>
      </c>
      <c r="B5074" t="str">
        <f>"1551689268214042"</f>
        <v>1551689268214042</v>
      </c>
      <c r="C5074" t="s">
        <v>40</v>
      </c>
      <c r="D5074">
        <v>4.4956459999999998</v>
      </c>
      <c r="E5074">
        <v>0.33596679999999901</v>
      </c>
      <c r="F5074" t="s">
        <v>41</v>
      </c>
      <c r="G5074">
        <v>-300.98820000000001</v>
      </c>
      <c r="H5074">
        <v>1.0688359999999999</v>
      </c>
      <c r="I5074">
        <v>-31.810700000000001</v>
      </c>
      <c r="J5074">
        <v>-301.57870000000003</v>
      </c>
      <c r="K5074">
        <v>1.1134010000000001</v>
      </c>
      <c r="L5074">
        <v>-31.56934</v>
      </c>
      <c r="M5074">
        <v>5.3665299999999999E-2</v>
      </c>
      <c r="N5074">
        <v>-1.287549E-2</v>
      </c>
      <c r="O5074">
        <v>-0.99847609999999998</v>
      </c>
      <c r="P5074">
        <v>0.28284749999999997</v>
      </c>
      <c r="Q5074">
        <v>0.3986384</v>
      </c>
      <c r="R5074">
        <v>-0.87240219999999902</v>
      </c>
      <c r="S5074">
        <v>2.258575</v>
      </c>
      <c r="T5074">
        <v>-0.16091900000000001</v>
      </c>
      <c r="U5074">
        <v>-2.7900999999999998</v>
      </c>
      <c r="V5074">
        <v>-0.23790600000000001</v>
      </c>
      <c r="W5074">
        <v>0.4086941</v>
      </c>
      <c r="X5074">
        <v>0.88111849999999903</v>
      </c>
      <c r="Y5074">
        <v>-0.58603549999999904</v>
      </c>
      <c r="Z5074">
        <v>3.2875219999999997E-2</v>
      </c>
      <c r="AA5074">
        <v>0.80961819999999995</v>
      </c>
      <c r="AB5074">
        <v>26</v>
      </c>
      <c r="AC5074">
        <v>0.59050000000002001</v>
      </c>
      <c r="AD5074">
        <v>-4.4564999999999903E-2</v>
      </c>
      <c r="AE5074">
        <v>-0.24135999999999599</v>
      </c>
      <c r="AF5074">
        <v>-0.57389439405953602</v>
      </c>
      <c r="AG5074">
        <v>-4.4564999999999903E-2</v>
      </c>
      <c r="AH5074">
        <v>0.271379688506516</v>
      </c>
      <c r="AI5074">
        <v>94.015606970120501</v>
      </c>
      <c r="AJ5074">
        <v>154.69175446402801</v>
      </c>
      <c r="AK5074">
        <v>0.63638647855831698</v>
      </c>
      <c r="AL5074">
        <v>65.877172702665902</v>
      </c>
      <c r="AM5074">
        <v>105.10981785660699</v>
      </c>
      <c r="AN5074">
        <v>0.99999997162652898</v>
      </c>
    </row>
    <row r="5075" spans="1:40" x14ac:dyDescent="0.25">
      <c r="A5075" t="str">
        <f>"20190304164748251"</f>
        <v>20190304164748251</v>
      </c>
      <c r="B5075" t="str">
        <f>"1551689268244294"</f>
        <v>1551689268244294</v>
      </c>
      <c r="C5075" t="s">
        <v>40</v>
      </c>
      <c r="D5075">
        <v>4.4830059999999996</v>
      </c>
      <c r="E5075">
        <v>0.3355167</v>
      </c>
      <c r="F5075" t="s">
        <v>53</v>
      </c>
      <c r="G5075">
        <v>-287.68189999999998</v>
      </c>
      <c r="H5075">
        <v>7.9987279999999994E-2</v>
      </c>
      <c r="I5075">
        <v>-48.487580000000001</v>
      </c>
      <c r="J5075">
        <v>-301.55419999999998</v>
      </c>
      <c r="K5075">
        <v>1.113505</v>
      </c>
      <c r="L5075">
        <v>-31.923919999999999</v>
      </c>
      <c r="M5075">
        <v>5.8413119999999999E-2</v>
      </c>
      <c r="N5075">
        <v>-1.271458E-2</v>
      </c>
      <c r="O5075">
        <v>-0.99821159999999998</v>
      </c>
      <c r="P5075">
        <v>0.28763529999999998</v>
      </c>
      <c r="Q5075">
        <v>0.39940399999999998</v>
      </c>
      <c r="R5075">
        <v>-0.87048419999999904</v>
      </c>
      <c r="S5075">
        <v>2.2808839999999999</v>
      </c>
      <c r="T5075">
        <v>-0.169614299999999</v>
      </c>
      <c r="U5075">
        <v>-2.7767940000000002</v>
      </c>
      <c r="V5075">
        <v>-0.23870040000000001</v>
      </c>
      <c r="W5075">
        <v>0.40923929999999997</v>
      </c>
      <c r="X5075">
        <v>0.880650499999999</v>
      </c>
      <c r="Y5075">
        <v>-0.5879124</v>
      </c>
      <c r="Z5075">
        <v>3.5524510000000002E-2</v>
      </c>
      <c r="AA5075">
        <v>0.80814419999999898</v>
      </c>
      <c r="AB5075">
        <v>26</v>
      </c>
      <c r="AC5075">
        <v>13.8722999999999</v>
      </c>
      <c r="AD5075">
        <v>-1.0335177200000001</v>
      </c>
      <c r="AE5075">
        <v>-16.563659999999999</v>
      </c>
      <c r="AF5075">
        <v>-12.85158792903</v>
      </c>
      <c r="AG5075">
        <v>-1.0335177200000001</v>
      </c>
      <c r="AH5075">
        <v>17.306161338202202</v>
      </c>
      <c r="AI5075">
        <v>92.744968806245794</v>
      </c>
      <c r="AJ5075">
        <v>126.597648997855</v>
      </c>
      <c r="AK5075">
        <v>21.580887179146</v>
      </c>
      <c r="AL5075">
        <v>65.842942084346006</v>
      </c>
      <c r="AM5075">
        <v>105.16563811737601</v>
      </c>
      <c r="AN5075">
        <v>0.99999999438744902</v>
      </c>
    </row>
    <row r="5076" spans="1:40" x14ac:dyDescent="0.25">
      <c r="A5076" t="str">
        <f>"20190304164748287"</f>
        <v>20190304164748287</v>
      </c>
      <c r="B5076" t="str">
        <f>"1551689268274551"</f>
        <v>1551689268274551</v>
      </c>
      <c r="C5076" t="s">
        <v>40</v>
      </c>
      <c r="D5076">
        <v>4.469868</v>
      </c>
      <c r="E5076">
        <v>0.33502379999999998</v>
      </c>
      <c r="F5076" t="s">
        <v>41</v>
      </c>
      <c r="G5076">
        <v>-300.9556</v>
      </c>
      <c r="H5076">
        <v>1.0688820000000001</v>
      </c>
      <c r="I5076">
        <v>-32.643219999999999</v>
      </c>
      <c r="J5076">
        <v>-301.52289999999999</v>
      </c>
      <c r="K5076">
        <v>1.1136520000000001</v>
      </c>
      <c r="L5076">
        <v>-32.339659999999903</v>
      </c>
      <c r="M5076">
        <v>6.4345520000000003E-2</v>
      </c>
      <c r="N5076">
        <v>-1.2538540000000001E-2</v>
      </c>
      <c r="O5076">
        <v>-0.99784890000000004</v>
      </c>
      <c r="P5076">
        <v>0.29360190000000003</v>
      </c>
      <c r="Q5076">
        <v>0.3985843</v>
      </c>
      <c r="R5076">
        <v>-0.86886600000000003</v>
      </c>
      <c r="S5076">
        <v>2.3012999999999999</v>
      </c>
      <c r="T5076">
        <v>-0.17151459999999999</v>
      </c>
      <c r="U5076">
        <v>-2.764618</v>
      </c>
      <c r="V5076">
        <v>-0.2396469</v>
      </c>
      <c r="W5076">
        <v>0.40816609999999998</v>
      </c>
      <c r="X5076">
        <v>0.88089150000000005</v>
      </c>
      <c r="Y5076">
        <v>-0.58837139999999999</v>
      </c>
      <c r="Z5076">
        <v>3.6288910000000001E-2</v>
      </c>
      <c r="AA5076">
        <v>0.8077761</v>
      </c>
      <c r="AB5076">
        <v>26</v>
      </c>
      <c r="AC5076">
        <v>0.56729999999998804</v>
      </c>
      <c r="AD5076">
        <v>-4.4770000000000199E-2</v>
      </c>
      <c r="AE5076">
        <v>-0.30356000000000399</v>
      </c>
      <c r="AF5076">
        <v>-0.54395625841780804</v>
      </c>
      <c r="AG5076">
        <v>-4.4770000000000199E-2</v>
      </c>
      <c r="AH5076">
        <v>0.337801381406793</v>
      </c>
      <c r="AI5076">
        <v>93.999563025592494</v>
      </c>
      <c r="AJ5076">
        <v>148.15937349802101</v>
      </c>
      <c r="AK5076">
        <v>0.64187423787860398</v>
      </c>
      <c r="AL5076">
        <v>65.910316447018701</v>
      </c>
      <c r="AM5076">
        <v>105.219016370801</v>
      </c>
      <c r="AN5076">
        <v>1.00000001832053</v>
      </c>
    </row>
    <row r="5077" spans="1:40" x14ac:dyDescent="0.25">
      <c r="A5077" t="str">
        <f>"20190304164748331"</f>
        <v>20190304164748331</v>
      </c>
      <c r="B5077" t="str">
        <f>"1551689268324326"</f>
        <v>1551689268324326</v>
      </c>
      <c r="C5077" t="s">
        <v>40</v>
      </c>
      <c r="D5077">
        <v>4.4513749999999996</v>
      </c>
      <c r="E5077">
        <v>0.33417329999999901</v>
      </c>
      <c r="F5077" t="s">
        <v>41</v>
      </c>
      <c r="G5077">
        <v>-300.88650000000001</v>
      </c>
      <c r="H5077">
        <v>1.0656589999999999</v>
      </c>
      <c r="I5077">
        <v>-33.091070000000002</v>
      </c>
      <c r="J5077">
        <v>-301.48009999999999</v>
      </c>
      <c r="K5077">
        <v>1.1139019999999999</v>
      </c>
      <c r="L5077">
        <v>-32.853389999999997</v>
      </c>
      <c r="M5077">
        <v>7.2360549999999996E-2</v>
      </c>
      <c r="N5077">
        <v>-1.232746E-2</v>
      </c>
      <c r="O5077">
        <v>-0.99730229999999997</v>
      </c>
      <c r="P5077">
        <v>0.30249500000000001</v>
      </c>
      <c r="Q5077">
        <v>0.39902749999999998</v>
      </c>
      <c r="R5077">
        <v>-0.86560599999999999</v>
      </c>
      <c r="S5077">
        <v>2.327423</v>
      </c>
      <c r="T5077">
        <v>-0.17544660000000001</v>
      </c>
      <c r="U5077">
        <v>-2.7467959999999998</v>
      </c>
      <c r="V5077">
        <v>-0.24189730000000001</v>
      </c>
      <c r="W5077">
        <v>0.40824270000000001</v>
      </c>
      <c r="X5077">
        <v>0.88024059999999904</v>
      </c>
      <c r="Y5077">
        <v>-0.58890810000000005</v>
      </c>
      <c r="Z5077">
        <v>3.7702930000000003E-2</v>
      </c>
      <c r="AA5077">
        <v>0.80732009999999998</v>
      </c>
      <c r="AB5077">
        <v>26</v>
      </c>
      <c r="AC5077">
        <v>0.59359999999998003</v>
      </c>
      <c r="AD5077">
        <v>-4.8243000000000001E-2</v>
      </c>
      <c r="AE5077">
        <v>-0.237679999999997</v>
      </c>
      <c r="AF5077">
        <v>-0.571589934926923</v>
      </c>
      <c r="AG5077">
        <v>-4.8243000000000001E-2</v>
      </c>
      <c r="AH5077">
        <v>0.27842837657804298</v>
      </c>
      <c r="AI5077">
        <v>94.339176116695896</v>
      </c>
      <c r="AJ5077">
        <v>154.02872626883999</v>
      </c>
      <c r="AK5077">
        <v>0.637624342103287</v>
      </c>
      <c r="AL5077">
        <v>65.905507301151104</v>
      </c>
      <c r="AM5077">
        <v>105.36603194550401</v>
      </c>
      <c r="AN5077">
        <v>0.99999995986946899</v>
      </c>
    </row>
    <row r="5078" spans="1:40" x14ac:dyDescent="0.25">
      <c r="A5078" t="str">
        <f>"20190304164748362"</f>
        <v>20190304164748362</v>
      </c>
      <c r="B5078" t="str">
        <f>"1551689268354585"</f>
        <v>1551689268354585</v>
      </c>
      <c r="C5078" t="s">
        <v>40</v>
      </c>
      <c r="D5078">
        <v>4.4222449999999904</v>
      </c>
      <c r="E5078">
        <v>0.33379750000000002</v>
      </c>
      <c r="F5078" t="s">
        <v>41</v>
      </c>
      <c r="G5078">
        <v>-300.87139999999999</v>
      </c>
      <c r="H5078">
        <v>1.0676270000000001</v>
      </c>
      <c r="I5078">
        <v>-33.555860000000003</v>
      </c>
      <c r="J5078">
        <v>-301.44729999999998</v>
      </c>
      <c r="K5078">
        <v>1.114085</v>
      </c>
      <c r="L5078">
        <v>-33.210999999999999</v>
      </c>
      <c r="M5078">
        <v>7.840569E-2</v>
      </c>
      <c r="N5078">
        <v>-1.220453E-2</v>
      </c>
      <c r="O5078">
        <v>-0.99684680000000003</v>
      </c>
      <c r="P5078">
        <v>0.30927460000000001</v>
      </c>
      <c r="Q5078">
        <v>0.39935619999999999</v>
      </c>
      <c r="R5078">
        <v>-0.86305480000000001</v>
      </c>
      <c r="S5078">
        <v>2.3607480000000001</v>
      </c>
      <c r="T5078">
        <v>-0.1794183</v>
      </c>
      <c r="U5078">
        <v>-2.7234799999999999</v>
      </c>
      <c r="V5078">
        <v>-0.24368580000000001</v>
      </c>
      <c r="W5078">
        <v>0.40832639999999998</v>
      </c>
      <c r="X5078">
        <v>0.87970839999999995</v>
      </c>
      <c r="Y5078">
        <v>-0.5930396</v>
      </c>
      <c r="Z5078">
        <v>3.9008050000000002E-2</v>
      </c>
      <c r="AA5078">
        <v>0.8042279</v>
      </c>
      <c r="AB5078">
        <v>26</v>
      </c>
      <c r="AC5078">
        <v>0.57589999999998998</v>
      </c>
      <c r="AD5078">
        <v>-4.6457999999999798E-2</v>
      </c>
      <c r="AE5078">
        <v>-0.344859999999997</v>
      </c>
      <c r="AF5078">
        <v>-0.54447776993865604</v>
      </c>
      <c r="AG5078">
        <v>-4.6457999999999798E-2</v>
      </c>
      <c r="AH5078">
        <v>0.387101168906333</v>
      </c>
      <c r="AI5078">
        <v>93.978042677522694</v>
      </c>
      <c r="AJ5078">
        <v>144.58874755613101</v>
      </c>
      <c r="AK5078">
        <v>0.66967283257574495</v>
      </c>
      <c r="AL5078">
        <v>65.900255973352898</v>
      </c>
      <c r="AM5078">
        <v>105.48312914628301</v>
      </c>
      <c r="AN5078">
        <v>1.0000000435445699</v>
      </c>
    </row>
    <row r="5079" spans="1:40" x14ac:dyDescent="0.25">
      <c r="A5079" t="str">
        <f>"20190304164748398"</f>
        <v>20190304164748398</v>
      </c>
      <c r="B5079" t="str">
        <f>"1551689268394598"</f>
        <v>1551689268394598</v>
      </c>
      <c r="C5079" t="s">
        <v>40</v>
      </c>
      <c r="D5079">
        <v>4.4054609999999998</v>
      </c>
      <c r="E5079">
        <v>0.33311980000000002</v>
      </c>
      <c r="F5079" t="s">
        <v>53</v>
      </c>
      <c r="G5079">
        <v>-287.80130000000003</v>
      </c>
      <c r="H5079">
        <v>7.9987230000000006E-2</v>
      </c>
      <c r="I5079">
        <v>-48.686959999999999</v>
      </c>
      <c r="J5079">
        <v>-301.40629999999999</v>
      </c>
      <c r="K5079">
        <v>1.114298</v>
      </c>
      <c r="L5079">
        <v>-33.62247</v>
      </c>
      <c r="M5079">
        <v>8.5859069999999996E-2</v>
      </c>
      <c r="N5079">
        <v>-1.207508E-2</v>
      </c>
      <c r="O5079">
        <v>-0.99623410000000001</v>
      </c>
      <c r="P5079">
        <v>0.31983440000000002</v>
      </c>
      <c r="Q5079">
        <v>0.39932469999999998</v>
      </c>
      <c r="R5079">
        <v>-0.85921229999999904</v>
      </c>
      <c r="S5079">
        <v>2.3851010000000001</v>
      </c>
      <c r="T5079">
        <v>-0.18074419999999999</v>
      </c>
      <c r="U5079">
        <v>-2.7049560000000001</v>
      </c>
      <c r="V5079">
        <v>-0.24814839999999999</v>
      </c>
      <c r="W5079">
        <v>0.40799200000000002</v>
      </c>
      <c r="X5079">
        <v>0.87861529999999999</v>
      </c>
      <c r="Y5079">
        <v>-0.59381609999999996</v>
      </c>
      <c r="Z5079">
        <v>3.9610930000000003E-2</v>
      </c>
      <c r="AA5079">
        <v>0.80362519999999904</v>
      </c>
      <c r="AB5079">
        <v>26</v>
      </c>
      <c r="AC5079">
        <v>13.604999999999899</v>
      </c>
      <c r="AD5079">
        <v>-1.03431077</v>
      </c>
      <c r="AE5079">
        <v>-15.064489999999999</v>
      </c>
      <c r="AF5079">
        <v>-12.229483563568801</v>
      </c>
      <c r="AG5079">
        <v>-1.03431077</v>
      </c>
      <c r="AH5079">
        <v>16.135157955429602</v>
      </c>
      <c r="AI5079">
        <v>92.924525591051193</v>
      </c>
      <c r="AJ5079">
        <v>127.159948349148</v>
      </c>
      <c r="AK5079">
        <v>20.272478616271901</v>
      </c>
      <c r="AL5079">
        <v>65.921241658064503</v>
      </c>
      <c r="AM5079">
        <v>105.771336880826</v>
      </c>
      <c r="AN5079">
        <v>0.99999997294032394</v>
      </c>
    </row>
    <row r="5080" spans="1:40" x14ac:dyDescent="0.25">
      <c r="A5080" t="str">
        <f>"20190304164748429"</f>
        <v>20190304164748429</v>
      </c>
      <c r="B5080" t="str">
        <f>"1551689268424854"</f>
        <v>1551689268424854</v>
      </c>
      <c r="C5080" t="s">
        <v>40</v>
      </c>
      <c r="D5080">
        <v>4.540953</v>
      </c>
      <c r="E5080">
        <v>0.36941040000000003</v>
      </c>
      <c r="F5080" t="s">
        <v>53</v>
      </c>
      <c r="G5080">
        <v>-287.62040000000002</v>
      </c>
      <c r="H5080">
        <v>7.9987210000000003E-2</v>
      </c>
      <c r="I5080">
        <v>-48.826909999999998</v>
      </c>
      <c r="J5080">
        <v>-301.36649999999997</v>
      </c>
      <c r="K5080">
        <v>1.1144969999999901</v>
      </c>
      <c r="L5080">
        <v>-33.990359999999903</v>
      </c>
      <c r="M5080">
        <v>9.2973910000000007E-2</v>
      </c>
      <c r="N5080">
        <v>-1.195892E-2</v>
      </c>
      <c r="O5080">
        <v>-0.99559679999999995</v>
      </c>
      <c r="P5080">
        <v>0.32758670000000001</v>
      </c>
      <c r="Q5080">
        <v>0.39905760000000001</v>
      </c>
      <c r="R5080">
        <v>-0.85641100000000003</v>
      </c>
      <c r="S5080">
        <v>2.424255</v>
      </c>
      <c r="T5080">
        <v>-0.18188389999999999</v>
      </c>
      <c r="U5080">
        <v>-2.6737060000000001</v>
      </c>
      <c r="V5080">
        <v>-0.2500098</v>
      </c>
      <c r="W5080">
        <v>0.40748079999999998</v>
      </c>
      <c r="X5080">
        <v>0.87832479999999902</v>
      </c>
      <c r="Y5080">
        <v>-0.59918499999999997</v>
      </c>
      <c r="Z5080">
        <v>4.014906E-2</v>
      </c>
      <c r="AA5080">
        <v>0.79960319999999996</v>
      </c>
      <c r="AB5080">
        <v>26</v>
      </c>
      <c r="AC5080">
        <v>13.746099999999901</v>
      </c>
      <c r="AD5080">
        <v>-1.03450978999999</v>
      </c>
      <c r="AE5080">
        <v>-14.836550000000001</v>
      </c>
      <c r="AF5080">
        <v>-12.274927209352001</v>
      </c>
      <c r="AG5080">
        <v>-1.03450978999999</v>
      </c>
      <c r="AH5080">
        <v>16.008516245897599</v>
      </c>
      <c r="AI5080">
        <v>92.935677458855395</v>
      </c>
      <c r="AJ5080">
        <v>127.48008223099799</v>
      </c>
      <c r="AK5080">
        <v>20.199421796072901</v>
      </c>
      <c r="AL5080">
        <v>65.953318912746795</v>
      </c>
      <c r="AM5080">
        <v>105.88868008071501</v>
      </c>
      <c r="AN5080">
        <v>0.99999997837985899</v>
      </c>
    </row>
    <row r="5081" spans="1:40" x14ac:dyDescent="0.25">
      <c r="A5081" t="str">
        <f>"20190304164748452"</f>
        <v>20190304164748452</v>
      </c>
      <c r="B5081" t="str">
        <f>"1551689268444374"</f>
        <v>1551689268444374</v>
      </c>
      <c r="C5081" t="s">
        <v>40</v>
      </c>
      <c r="D5081">
        <v>4.4499409999999999</v>
      </c>
      <c r="E5081">
        <v>0.41320990000000002</v>
      </c>
      <c r="F5081" t="s">
        <v>41</v>
      </c>
      <c r="G5081">
        <v>-300.79880000000003</v>
      </c>
      <c r="H5081">
        <v>1.045739</v>
      </c>
      <c r="I5081">
        <v>-34.712060000000001</v>
      </c>
      <c r="J5081">
        <v>-301.33620000000002</v>
      </c>
      <c r="K5081">
        <v>1.114614</v>
      </c>
      <c r="L5081">
        <v>-34.253019999999999</v>
      </c>
      <c r="M5081">
        <v>9.8278630000000006E-2</v>
      </c>
      <c r="N5081">
        <v>-1.1876950000000001E-2</v>
      </c>
      <c r="O5081">
        <v>-0.99508819999999998</v>
      </c>
      <c r="P5081">
        <v>0.33360509999999999</v>
      </c>
      <c r="Q5081">
        <v>0.39877089999999998</v>
      </c>
      <c r="R5081">
        <v>-0.85421879999999994</v>
      </c>
      <c r="S5081">
        <v>2.1924739999999998</v>
      </c>
      <c r="T5081">
        <v>-0.26562449999999999</v>
      </c>
      <c r="U5081">
        <v>-2.788116</v>
      </c>
      <c r="V5081">
        <v>-0.25163799999999997</v>
      </c>
      <c r="W5081">
        <v>0.40702189999999999</v>
      </c>
      <c r="X5081">
        <v>0.87807259999999998</v>
      </c>
      <c r="Y5081">
        <v>-0.53634459999999995</v>
      </c>
      <c r="Z5081">
        <v>6.5008460000000004E-2</v>
      </c>
      <c r="AA5081">
        <v>0.84149180000000001</v>
      </c>
      <c r="AB5081">
        <v>26</v>
      </c>
      <c r="AC5081">
        <v>0.537399999999991</v>
      </c>
      <c r="AD5081">
        <v>-6.8875000000000006E-2</v>
      </c>
      <c r="AE5081">
        <v>-0.459040000000001</v>
      </c>
      <c r="AF5081">
        <v>-0.48507443386246102</v>
      </c>
      <c r="AG5081">
        <v>-6.8875000000000006E-2</v>
      </c>
      <c r="AH5081">
        <v>0.50484176065678099</v>
      </c>
      <c r="AI5081">
        <v>95.618482827253402</v>
      </c>
      <c r="AJ5081">
        <v>133.85603053967299</v>
      </c>
      <c r="AK5081">
        <v>0.70349568251342198</v>
      </c>
      <c r="AL5081">
        <v>65.982108013752395</v>
      </c>
      <c r="AM5081">
        <v>105.991240895196</v>
      </c>
      <c r="AN5081">
        <v>1.0000000004971801</v>
      </c>
    </row>
    <row r="5082" spans="1:40" x14ac:dyDescent="0.25">
      <c r="A5082" t="str">
        <f>"20190304164748488"</f>
        <v>20190304164748488</v>
      </c>
      <c r="B5082" t="str">
        <f>"1551689268484392"</f>
        <v>1551689268484392</v>
      </c>
      <c r="C5082" t="s">
        <v>40</v>
      </c>
      <c r="D5082">
        <v>4.610487</v>
      </c>
      <c r="E5082">
        <v>0.4157536</v>
      </c>
      <c r="F5082" t="s">
        <v>53</v>
      </c>
      <c r="G5082">
        <v>-294.2346</v>
      </c>
      <c r="H5082" s="1">
        <v>-4.3410789999999999E-6</v>
      </c>
      <c r="I5082">
        <v>-45.192639999999997</v>
      </c>
      <c r="J5082">
        <v>-301.2867</v>
      </c>
      <c r="K5082">
        <v>1.1148209999999901</v>
      </c>
      <c r="L5082">
        <v>-34.653440000000003</v>
      </c>
      <c r="M5082">
        <v>0.10682</v>
      </c>
      <c r="N5082">
        <v>-1.1753E-2</v>
      </c>
      <c r="O5082">
        <v>-0.99420889999999995</v>
      </c>
      <c r="P5082">
        <v>0.34294580000000002</v>
      </c>
      <c r="Q5082">
        <v>0.39840199999999998</v>
      </c>
      <c r="R5082">
        <v>-0.85068480000000002</v>
      </c>
      <c r="S5082">
        <v>1.890503</v>
      </c>
      <c r="T5082">
        <v>-0.29671900000000001</v>
      </c>
      <c r="U5082">
        <v>-2.912201</v>
      </c>
      <c r="V5082">
        <v>-0.25393399999999999</v>
      </c>
      <c r="W5082">
        <v>0.40637970000000001</v>
      </c>
      <c r="X5082">
        <v>0.87770899999999996</v>
      </c>
      <c r="Y5082">
        <v>-0.44999850000000002</v>
      </c>
      <c r="Z5082">
        <v>7.5482090000000002E-2</v>
      </c>
      <c r="AA5082">
        <v>0.889833599999999</v>
      </c>
      <c r="AB5082">
        <v>26</v>
      </c>
      <c r="AC5082">
        <v>7.0520999999999896</v>
      </c>
      <c r="AD5082">
        <v>-1.1148253410790001</v>
      </c>
      <c r="AE5082">
        <v>-10.539199999999999</v>
      </c>
      <c r="AF5082">
        <v>-5.8407283083698296</v>
      </c>
      <c r="AG5082">
        <v>-1.1148253410790001</v>
      </c>
      <c r="AH5082">
        <v>11.1461022500386</v>
      </c>
      <c r="AI5082">
        <v>95.062773196527402</v>
      </c>
      <c r="AJ5082">
        <v>117.655227031335</v>
      </c>
      <c r="AK5082">
        <v>12.632994026818</v>
      </c>
      <c r="AL5082">
        <v>66.022385149691402</v>
      </c>
      <c r="AM5082">
        <v>106.135926594075</v>
      </c>
      <c r="AN5082">
        <v>1.0000000128045401</v>
      </c>
    </row>
    <row r="5083" spans="1:40" x14ac:dyDescent="0.25">
      <c r="A5083" t="str">
        <f>"20190304164748532"</f>
        <v>20190304164748532</v>
      </c>
      <c r="B5083" t="str">
        <f>"1551689268524410"</f>
        <v>1551689268524410</v>
      </c>
      <c r="C5083" t="s">
        <v>40</v>
      </c>
      <c r="D5083">
        <v>4.4450089999999998</v>
      </c>
      <c r="E5083">
        <v>0.41470459999999898</v>
      </c>
      <c r="F5083" t="s">
        <v>41</v>
      </c>
      <c r="G5083">
        <v>-300.7715</v>
      </c>
      <c r="H5083">
        <v>1.0373889999999999</v>
      </c>
      <c r="I5083">
        <v>-35.441940000000002</v>
      </c>
      <c r="J5083">
        <v>-301.2174</v>
      </c>
      <c r="K5083">
        <v>1.1150949999999999</v>
      </c>
      <c r="L5083">
        <v>-35.168239999999997</v>
      </c>
      <c r="M5083">
        <v>0.1184535</v>
      </c>
      <c r="N5083">
        <v>-1.1595039999999999E-2</v>
      </c>
      <c r="O5083">
        <v>-0.992892</v>
      </c>
      <c r="P5083">
        <v>0.35313870000000003</v>
      </c>
      <c r="Q5083">
        <v>0.3981788</v>
      </c>
      <c r="R5083">
        <v>-0.84660919999999895</v>
      </c>
      <c r="S5083">
        <v>1.893097</v>
      </c>
      <c r="T5083">
        <v>-0.28446159999999998</v>
      </c>
      <c r="U5083">
        <v>-2.8966059999999998</v>
      </c>
      <c r="V5083">
        <v>-0.25446990000000003</v>
      </c>
      <c r="W5083">
        <v>0.40583720000000001</v>
      </c>
      <c r="X5083">
        <v>0.87780480000000005</v>
      </c>
      <c r="Y5083">
        <v>-0.44241510000000001</v>
      </c>
      <c r="Z5083">
        <v>7.2463979999999997E-2</v>
      </c>
      <c r="AA5083">
        <v>0.89387799999999995</v>
      </c>
      <c r="AB5083">
        <v>26</v>
      </c>
      <c r="AC5083">
        <v>0.44589999999999402</v>
      </c>
      <c r="AD5083">
        <v>-7.7706000000000205E-2</v>
      </c>
      <c r="AE5083">
        <v>-0.273699999999998</v>
      </c>
      <c r="AF5083">
        <v>-0.40148134348548398</v>
      </c>
      <c r="AG5083">
        <v>-7.7706000000000205E-2</v>
      </c>
      <c r="AH5083">
        <v>0.317589246344745</v>
      </c>
      <c r="AI5083">
        <v>98.631416596107201</v>
      </c>
      <c r="AJ5083">
        <v>141.654466577991</v>
      </c>
      <c r="AK5083">
        <v>0.51777255720705395</v>
      </c>
      <c r="AL5083">
        <v>66.056399335446102</v>
      </c>
      <c r="AM5083">
        <v>106.166529874365</v>
      </c>
      <c r="AN5083">
        <v>1.0000000149064401</v>
      </c>
    </row>
    <row r="5084" spans="1:40" x14ac:dyDescent="0.25">
      <c r="A5084" t="str">
        <f>"20190304164748563"</f>
        <v>20190304164748563</v>
      </c>
      <c r="B5084" t="str">
        <f>"1551689268554662"</f>
        <v>1551689268554662</v>
      </c>
      <c r="C5084" t="s">
        <v>40</v>
      </c>
      <c r="D5084">
        <v>4.4561320000000002</v>
      </c>
      <c r="E5084">
        <v>0.41505130000000001</v>
      </c>
      <c r="F5084" t="s">
        <v>53</v>
      </c>
      <c r="G5084">
        <v>-293.3537</v>
      </c>
      <c r="H5084" s="1">
        <v>-5.3737050000000002E-6</v>
      </c>
      <c r="I5084">
        <v>-46.821910000000003</v>
      </c>
      <c r="J5084">
        <v>-301.1651</v>
      </c>
      <c r="K5084">
        <v>1.115246</v>
      </c>
      <c r="L5084">
        <v>-35.5246</v>
      </c>
      <c r="M5084">
        <v>0.1269303</v>
      </c>
      <c r="N5084">
        <v>-1.1483709999999999E-2</v>
      </c>
      <c r="O5084">
        <v>-0.99184530000000004</v>
      </c>
      <c r="P5084">
        <v>0.36120360000000001</v>
      </c>
      <c r="Q5084">
        <v>0.3981749</v>
      </c>
      <c r="R5084">
        <v>-0.84320169999999905</v>
      </c>
      <c r="S5084">
        <v>1.9338379999999999</v>
      </c>
      <c r="T5084">
        <v>-0.27422609999999997</v>
      </c>
      <c r="U5084">
        <v>-2.865875</v>
      </c>
      <c r="V5084">
        <v>-0.2555288</v>
      </c>
      <c r="W5084">
        <v>0.40561360000000002</v>
      </c>
      <c r="X5084">
        <v>0.87760049999999901</v>
      </c>
      <c r="Y5084">
        <v>-0.44803009999999899</v>
      </c>
      <c r="Z5084">
        <v>6.9796189999999994E-2</v>
      </c>
      <c r="AA5084">
        <v>0.89128980000000002</v>
      </c>
      <c r="AB5084">
        <v>26</v>
      </c>
      <c r="AC5084">
        <v>7.8113999999999901</v>
      </c>
      <c r="AD5084">
        <v>-1.115251373705</v>
      </c>
      <c r="AE5084">
        <v>-11.2973099999999</v>
      </c>
      <c r="AF5084">
        <v>-6.2727872708432404</v>
      </c>
      <c r="AG5084">
        <v>-1.115251373705</v>
      </c>
      <c r="AH5084">
        <v>12.1175962475857</v>
      </c>
      <c r="AI5084">
        <v>94.672614171835804</v>
      </c>
      <c r="AJ5084">
        <v>117.368766853569</v>
      </c>
      <c r="AK5084">
        <v>13.6904267497879</v>
      </c>
      <c r="AL5084">
        <v>66.070415783116303</v>
      </c>
      <c r="AM5084">
        <v>106.233846676444</v>
      </c>
      <c r="AN5084">
        <v>0.99999999886732405</v>
      </c>
    </row>
    <row r="5085" spans="1:40" x14ac:dyDescent="0.25">
      <c r="A5085" t="str">
        <f>"20190304164748598"</f>
        <v>20190304164748598</v>
      </c>
      <c r="B5085" t="str">
        <f>"1551689268594679"</f>
        <v>1551689268594679</v>
      </c>
      <c r="C5085" t="s">
        <v>40</v>
      </c>
      <c r="D5085">
        <v>4.4666949999999996</v>
      </c>
      <c r="E5085">
        <v>0.41417159999999897</v>
      </c>
      <c r="F5085" t="s">
        <v>41</v>
      </c>
      <c r="G5085">
        <v>-300.61739999999998</v>
      </c>
      <c r="H5085">
        <v>1.0383690000000001</v>
      </c>
      <c r="I5085">
        <v>-36.320970000000003</v>
      </c>
      <c r="J5085">
        <v>-301.10129999999998</v>
      </c>
      <c r="K5085">
        <v>1.1154379999999999</v>
      </c>
      <c r="L5085">
        <v>-35.931820000000002</v>
      </c>
      <c r="M5085">
        <v>0.1370355</v>
      </c>
      <c r="N5085">
        <v>-1.137463E-2</v>
      </c>
      <c r="O5085">
        <v>-0.99050090000000002</v>
      </c>
      <c r="P5085">
        <v>0.37045830000000002</v>
      </c>
      <c r="Q5085">
        <v>0.39971459999999998</v>
      </c>
      <c r="R5085">
        <v>-0.83844439999999998</v>
      </c>
      <c r="S5085">
        <v>1.959106</v>
      </c>
      <c r="T5085">
        <v>-0.27498299999999998</v>
      </c>
      <c r="U5085">
        <v>-2.8485109999999998</v>
      </c>
      <c r="V5085">
        <v>-0.25655889999999998</v>
      </c>
      <c r="W5085">
        <v>0.4069103</v>
      </c>
      <c r="X5085">
        <v>0.87669920000000001</v>
      </c>
      <c r="Y5085">
        <v>-0.44681110000000002</v>
      </c>
      <c r="Z5085">
        <v>7.0242520000000003E-2</v>
      </c>
      <c r="AA5085">
        <v>0.89186650000000001</v>
      </c>
      <c r="AB5085">
        <v>26</v>
      </c>
      <c r="AC5085">
        <v>0.48390000000000499</v>
      </c>
      <c r="AD5085">
        <v>-7.7068999999999804E-2</v>
      </c>
      <c r="AE5085">
        <v>-0.38915</v>
      </c>
      <c r="AF5085">
        <v>-0.41954105287452498</v>
      </c>
      <c r="AG5085">
        <v>-7.7068999999999804E-2</v>
      </c>
      <c r="AH5085">
        <v>0.44494035847129898</v>
      </c>
      <c r="AI5085">
        <v>97.1827516502712</v>
      </c>
      <c r="AJ5085">
        <v>133.31707835451499</v>
      </c>
      <c r="AK5085">
        <v>0.61638157695102502</v>
      </c>
      <c r="AL5085">
        <v>65.989107462571496</v>
      </c>
      <c r="AM5085">
        <v>106.311686034327</v>
      </c>
      <c r="AN5085">
        <v>0.99999997434796895</v>
      </c>
    </row>
    <row r="5086" spans="1:40" x14ac:dyDescent="0.25">
      <c r="A5086" t="str">
        <f>"20190304164748629"</f>
        <v>20190304164748629</v>
      </c>
      <c r="B5086" t="str">
        <f>"1551689268624935"</f>
        <v>1551689268624935</v>
      </c>
      <c r="C5086" t="s">
        <v>40</v>
      </c>
      <c r="D5086">
        <v>4.4800890000000004</v>
      </c>
      <c r="E5086">
        <v>0.41410999999999998</v>
      </c>
      <c r="F5086" t="s">
        <v>41</v>
      </c>
      <c r="G5086">
        <v>-300.51100000000002</v>
      </c>
      <c r="H5086">
        <v>1.0365789999999999</v>
      </c>
      <c r="I5086">
        <v>-36.764989999999997</v>
      </c>
      <c r="J5086">
        <v>-301.041</v>
      </c>
      <c r="K5086">
        <v>1.115612</v>
      </c>
      <c r="L5086">
        <v>-36.290709999999997</v>
      </c>
      <c r="M5086">
        <v>0.14631830000000001</v>
      </c>
      <c r="N5086">
        <v>-1.1289860000000001E-2</v>
      </c>
      <c r="O5086">
        <v>-0.98917310000000003</v>
      </c>
      <c r="P5086">
        <v>0.37876969999999999</v>
      </c>
      <c r="Q5086">
        <v>0.39972360000000001</v>
      </c>
      <c r="R5086">
        <v>-0.83471819999999897</v>
      </c>
      <c r="S5086">
        <v>1.9996339999999999</v>
      </c>
      <c r="T5086">
        <v>-0.2670959</v>
      </c>
      <c r="U5086">
        <v>-2.821869</v>
      </c>
      <c r="V5086">
        <v>-0.25723380000000001</v>
      </c>
      <c r="W5086">
        <v>0.40672170000000002</v>
      </c>
      <c r="X5086">
        <v>0.87658899999999995</v>
      </c>
      <c r="Y5086">
        <v>-0.45101819999999998</v>
      </c>
      <c r="Z5086">
        <v>6.811681E-2</v>
      </c>
      <c r="AA5086">
        <v>0.88991160000000002</v>
      </c>
      <c r="AB5086">
        <v>26</v>
      </c>
      <c r="AC5086">
        <v>0.530000000000029</v>
      </c>
      <c r="AD5086">
        <v>-7.9032999999999895E-2</v>
      </c>
      <c r="AE5086">
        <v>-0.47428000000000697</v>
      </c>
      <c r="AF5086">
        <v>-0.44934630492102901</v>
      </c>
      <c r="AG5086">
        <v>-7.9032999999999895E-2</v>
      </c>
      <c r="AH5086">
        <v>0.54005983252019696</v>
      </c>
      <c r="AI5086">
        <v>96.418473226805105</v>
      </c>
      <c r="AJ5086">
        <v>129.76149226387301</v>
      </c>
      <c r="AK5086">
        <v>0.70698156944642199</v>
      </c>
      <c r="AL5086">
        <v>66.000937758623095</v>
      </c>
      <c r="AM5086">
        <v>106.35425151853801</v>
      </c>
      <c r="AN5086">
        <v>1.0000000220171601</v>
      </c>
    </row>
    <row r="5087" spans="1:40" x14ac:dyDescent="0.25">
      <c r="A5087" t="str">
        <f>"20190304164748665"</f>
        <v>20190304164748665</v>
      </c>
      <c r="B5087" t="str">
        <f>"1551689268654215"</f>
        <v>1551689268654215</v>
      </c>
      <c r="C5087" t="s">
        <v>40</v>
      </c>
      <c r="D5087">
        <v>4.4796779999999998</v>
      </c>
      <c r="E5087">
        <v>0.41433900000000001</v>
      </c>
      <c r="F5087" t="s">
        <v>41</v>
      </c>
      <c r="G5087">
        <v>-300.49290000000002</v>
      </c>
      <c r="H5087">
        <v>1.043337</v>
      </c>
      <c r="I5087">
        <v>-37.047759999999997</v>
      </c>
      <c r="J5087">
        <v>-300.96660000000003</v>
      </c>
      <c r="K5087">
        <v>1.1158319999999999</v>
      </c>
      <c r="L5087">
        <v>-36.704680000000003</v>
      </c>
      <c r="M5087">
        <v>0.1575096</v>
      </c>
      <c r="N5087">
        <v>-1.119943E-2</v>
      </c>
      <c r="O5087">
        <v>-0.9874539</v>
      </c>
      <c r="P5087">
        <v>0.39122469999999998</v>
      </c>
      <c r="Q5087">
        <v>0.39946989999999999</v>
      </c>
      <c r="R5087">
        <v>-0.82907589999999998</v>
      </c>
      <c r="S5087">
        <v>2.028778</v>
      </c>
      <c r="T5087">
        <v>-0.26747259999999901</v>
      </c>
      <c r="U5087">
        <v>-2.8015140000000001</v>
      </c>
      <c r="V5087">
        <v>-0.2606639</v>
      </c>
      <c r="W5087">
        <v>0.40618939999999998</v>
      </c>
      <c r="X5087">
        <v>0.8758222</v>
      </c>
      <c r="Y5087">
        <v>-0.45005509999999899</v>
      </c>
      <c r="Z5087">
        <v>6.841875E-2</v>
      </c>
      <c r="AA5087">
        <v>0.8903759</v>
      </c>
      <c r="AB5087">
        <v>26</v>
      </c>
      <c r="AC5087">
        <v>0.473700000000007</v>
      </c>
      <c r="AD5087">
        <v>-7.2494999999999699E-2</v>
      </c>
      <c r="AE5087">
        <v>-0.34308</v>
      </c>
      <c r="AF5087">
        <v>-0.40748440994338903</v>
      </c>
      <c r="AG5087">
        <v>-7.2494999999999699E-2</v>
      </c>
      <c r="AH5087">
        <v>0.407158853308283</v>
      </c>
      <c r="AI5087">
        <v>97.173001515578505</v>
      </c>
      <c r="AJ5087">
        <v>135.02289716374301</v>
      </c>
      <c r="AK5087">
        <v>0.58058367286656298</v>
      </c>
      <c r="AL5087">
        <v>66.034317737416799</v>
      </c>
      <c r="AM5087">
        <v>106.57415985757601</v>
      </c>
      <c r="AN5087">
        <v>1.0000000117242001</v>
      </c>
    </row>
    <row r="5088" spans="1:40" x14ac:dyDescent="0.25">
      <c r="A5088" t="str">
        <f>"20190304164748711"</f>
        <v>20190304164748711</v>
      </c>
      <c r="B5088" t="str">
        <f>"1551689268703991"</f>
        <v>1551689268703991</v>
      </c>
      <c r="C5088" t="s">
        <v>40</v>
      </c>
      <c r="D5088">
        <v>4.5043350000000002</v>
      </c>
      <c r="E5088">
        <v>0.41473120000000002</v>
      </c>
      <c r="F5088" t="s">
        <v>41</v>
      </c>
      <c r="G5088">
        <v>-300.40750000000003</v>
      </c>
      <c r="H5088">
        <v>1.0425690000000001</v>
      </c>
      <c r="I5088">
        <v>-37.454830000000001</v>
      </c>
      <c r="J5088">
        <v>-300.8655</v>
      </c>
      <c r="K5088">
        <v>1.1161939999999999</v>
      </c>
      <c r="L5088">
        <v>-37.224269999999997</v>
      </c>
      <c r="M5088">
        <v>0.17243539999999999</v>
      </c>
      <c r="N5088">
        <v>-1.1113680000000001E-2</v>
      </c>
      <c r="O5088">
        <v>-0.98495820000000001</v>
      </c>
      <c r="P5088">
        <v>0.40595120000000001</v>
      </c>
      <c r="Q5088">
        <v>0.4000322</v>
      </c>
      <c r="R5088">
        <v>-0.82169219999999898</v>
      </c>
      <c r="S5088">
        <v>2.0677490000000001</v>
      </c>
      <c r="T5088">
        <v>-0.27087450000000002</v>
      </c>
      <c r="U5088">
        <v>-2.773285</v>
      </c>
      <c r="V5088">
        <v>-0.2634669</v>
      </c>
      <c r="W5088">
        <v>0.4063967</v>
      </c>
      <c r="X5088">
        <v>0.87488679999999996</v>
      </c>
      <c r="Y5088">
        <v>-0.44888600000000001</v>
      </c>
      <c r="Z5088">
        <v>6.9631999999999999E-2</v>
      </c>
      <c r="AA5088">
        <v>0.89087190000000005</v>
      </c>
      <c r="AB5088">
        <v>26</v>
      </c>
      <c r="AC5088">
        <v>0.45799999999996999</v>
      </c>
      <c r="AD5088">
        <v>-7.3624999999999996E-2</v>
      </c>
      <c r="AE5088">
        <v>-0.23055999999999699</v>
      </c>
      <c r="AF5088">
        <v>-0.40306947595318499</v>
      </c>
      <c r="AG5088">
        <v>-7.3624999999999996E-2</v>
      </c>
      <c r="AH5088">
        <v>0.299903177916235</v>
      </c>
      <c r="AI5088">
        <v>98.337136833063596</v>
      </c>
      <c r="AJ5088">
        <v>143.34896943801499</v>
      </c>
      <c r="AK5088">
        <v>0.50776722934276997</v>
      </c>
      <c r="AL5088">
        <v>66.021318771942006</v>
      </c>
      <c r="AM5088">
        <v>106.75935893947501</v>
      </c>
      <c r="AN5088">
        <v>0.99999999899036995</v>
      </c>
    </row>
    <row r="5089" spans="1:40" x14ac:dyDescent="0.25">
      <c r="A5089" t="str">
        <f>"20190304164748756"</f>
        <v>20190304164748756</v>
      </c>
      <c r="B5089" t="str">
        <f>"1551689268744007"</f>
        <v>1551689268744007</v>
      </c>
      <c r="C5089" t="s">
        <v>40</v>
      </c>
      <c r="D5089">
        <v>4.506653</v>
      </c>
      <c r="E5089">
        <v>0.4155739</v>
      </c>
      <c r="F5089" t="s">
        <v>41</v>
      </c>
      <c r="G5089">
        <v>-300.29809999999998</v>
      </c>
      <c r="H5089">
        <v>1.043585</v>
      </c>
      <c r="I5089">
        <v>-37.95722</v>
      </c>
      <c r="J5089">
        <v>-300.75839999999999</v>
      </c>
      <c r="K5089">
        <v>1.1165860000000001</v>
      </c>
      <c r="L5089">
        <v>-37.728029999999997</v>
      </c>
      <c r="M5089">
        <v>0.18796260000000001</v>
      </c>
      <c r="N5089">
        <v>-1.1051160000000001E-2</v>
      </c>
      <c r="O5089">
        <v>-0.98211400000000004</v>
      </c>
      <c r="P5089">
        <v>0.41978320000000002</v>
      </c>
      <c r="Q5089">
        <v>0.40085349999999997</v>
      </c>
      <c r="R5089">
        <v>-0.81430849999999999</v>
      </c>
      <c r="S5089">
        <v>2.118347</v>
      </c>
      <c r="T5089">
        <v>-0.27107379999999998</v>
      </c>
      <c r="U5089">
        <v>-2.7364199999999999</v>
      </c>
      <c r="V5089">
        <v>-0.26493949999999999</v>
      </c>
      <c r="W5089">
        <v>0.4068794</v>
      </c>
      <c r="X5089">
        <v>0.87421749999999998</v>
      </c>
      <c r="Y5089">
        <v>-0.45089489999999999</v>
      </c>
      <c r="Z5089">
        <v>6.9878949999999995E-2</v>
      </c>
      <c r="AA5089">
        <v>0.8898374</v>
      </c>
      <c r="AB5089">
        <v>26</v>
      </c>
      <c r="AC5089">
        <v>0.46030000000001697</v>
      </c>
      <c r="AD5089">
        <v>-7.3001000000000094E-2</v>
      </c>
      <c r="AE5089">
        <v>-0.229190000000002</v>
      </c>
      <c r="AF5089">
        <v>-0.40093200108986599</v>
      </c>
      <c r="AG5089">
        <v>-7.3001000000000094E-2</v>
      </c>
      <c r="AH5089">
        <v>0.30547204409178202</v>
      </c>
      <c r="AI5089">
        <v>98.240892954747395</v>
      </c>
      <c r="AJ5089">
        <v>142.696047810381</v>
      </c>
      <c r="AK5089">
        <v>0.50930225330400403</v>
      </c>
      <c r="AL5089">
        <v>65.991046536296494</v>
      </c>
      <c r="AM5089">
        <v>106.859905805979</v>
      </c>
      <c r="AN5089">
        <v>1.0000000110554299</v>
      </c>
    </row>
    <row r="5090" spans="1:40" x14ac:dyDescent="0.25">
      <c r="A5090" t="str">
        <f>"20190304164748788"</f>
        <v>20190304164748788</v>
      </c>
      <c r="B5090" t="str">
        <f>"1551689268784023"</f>
        <v>1551689268784023</v>
      </c>
      <c r="C5090" t="s">
        <v>40</v>
      </c>
      <c r="D5090">
        <v>4.524273</v>
      </c>
      <c r="E5090">
        <v>0.42579319999999998</v>
      </c>
      <c r="F5090" t="s">
        <v>41</v>
      </c>
      <c r="G5090">
        <v>-300.09570000000002</v>
      </c>
      <c r="H5090">
        <v>1.0334840000000001</v>
      </c>
      <c r="I5090">
        <v>-38.556950000000001</v>
      </c>
      <c r="J5090">
        <v>-300.67039999999997</v>
      </c>
      <c r="K5090">
        <v>1.116897</v>
      </c>
      <c r="L5090">
        <v>-38.10989</v>
      </c>
      <c r="M5090">
        <v>0.2005072</v>
      </c>
      <c r="N5090">
        <v>-1.10273E-2</v>
      </c>
      <c r="O5090">
        <v>-0.97963029999999995</v>
      </c>
      <c r="P5090">
        <v>0.43037880000000001</v>
      </c>
      <c r="Q5090">
        <v>0.40067940000000002</v>
      </c>
      <c r="R5090">
        <v>-0.80884540000000005</v>
      </c>
      <c r="S5090">
        <v>2.161835</v>
      </c>
      <c r="T5090">
        <v>-0.27102019999999999</v>
      </c>
      <c r="U5090">
        <v>-2.7030639999999999</v>
      </c>
      <c r="V5090">
        <v>-0.26546579999999997</v>
      </c>
      <c r="W5090">
        <v>0.4064777</v>
      </c>
      <c r="X5090">
        <v>0.87424469999999999</v>
      </c>
      <c r="Y5090">
        <v>-0.45357140000000001</v>
      </c>
      <c r="Z5090">
        <v>6.9998829999999998E-2</v>
      </c>
      <c r="AA5090">
        <v>0.88846669999999905</v>
      </c>
      <c r="AB5090">
        <v>26</v>
      </c>
      <c r="AC5090">
        <v>0.57469999999995003</v>
      </c>
      <c r="AD5090">
        <v>-8.3412999999999904E-2</v>
      </c>
      <c r="AE5090">
        <v>-0.44706000000000001</v>
      </c>
      <c r="AF5090">
        <v>-0.46725118138667499</v>
      </c>
      <c r="AG5090">
        <v>-8.3412999999999904E-2</v>
      </c>
      <c r="AH5090">
        <v>0.546052047546706</v>
      </c>
      <c r="AI5090">
        <v>96.620394091843295</v>
      </c>
      <c r="AJ5090">
        <v>130.55326751665299</v>
      </c>
      <c r="AK5090">
        <v>0.72350137090830302</v>
      </c>
      <c r="AL5090">
        <v>66.016239467262594</v>
      </c>
      <c r="AM5090">
        <v>106.89099680169799</v>
      </c>
      <c r="AN5090">
        <v>1.0000000035225001</v>
      </c>
    </row>
    <row r="5091" spans="1:40" x14ac:dyDescent="0.25">
      <c r="A5091" t="str">
        <f>"20190304164748823"</f>
        <v>20190304164748823</v>
      </c>
      <c r="B5091" t="str">
        <f>"1551689268814279"</f>
        <v>1551689268814279</v>
      </c>
      <c r="C5091" t="s">
        <v>40</v>
      </c>
      <c r="D5091">
        <v>4.5992749999999996</v>
      </c>
      <c r="E5091">
        <v>0.42807529999999999</v>
      </c>
      <c r="F5091" t="s">
        <v>41</v>
      </c>
      <c r="G5091">
        <v>-300.05599999999998</v>
      </c>
      <c r="H5091">
        <v>1.02725</v>
      </c>
      <c r="I5091">
        <v>-38.89555</v>
      </c>
      <c r="J5091">
        <v>-300.57650000000001</v>
      </c>
      <c r="K5091">
        <v>1.1172139999999999</v>
      </c>
      <c r="L5091">
        <v>-38.493040000000001</v>
      </c>
      <c r="M5091">
        <v>0.21373990000000001</v>
      </c>
      <c r="N5091">
        <v>-1.1008779999999999E-2</v>
      </c>
      <c r="O5091">
        <v>-0.97682880000000005</v>
      </c>
      <c r="P5091">
        <v>0.44091839999999999</v>
      </c>
      <c r="Q5091">
        <v>0.40082109999999999</v>
      </c>
      <c r="R5091">
        <v>-0.80307759999999995</v>
      </c>
      <c r="S5091">
        <v>2.133667</v>
      </c>
      <c r="T5091">
        <v>-0.31126690000000001</v>
      </c>
      <c r="U5091">
        <v>-2.727875</v>
      </c>
      <c r="V5091">
        <v>-0.26540320000000001</v>
      </c>
      <c r="W5091">
        <v>0.40640320000000002</v>
      </c>
      <c r="X5091">
        <v>0.87429829999999997</v>
      </c>
      <c r="Y5091">
        <v>-0.43120809999999998</v>
      </c>
      <c r="Z5091">
        <v>8.1621390000000002E-2</v>
      </c>
      <c r="AA5091">
        <v>0.89855300000000005</v>
      </c>
      <c r="AB5091">
        <v>26</v>
      </c>
      <c r="AC5091">
        <v>0.52050000000002605</v>
      </c>
      <c r="AD5091">
        <v>-8.9963999999999905E-2</v>
      </c>
      <c r="AE5091">
        <v>-0.40250999999999898</v>
      </c>
      <c r="AF5091">
        <v>-0.41468018456640598</v>
      </c>
      <c r="AG5091">
        <v>-8.9963999999999905E-2</v>
      </c>
      <c r="AH5091">
        <v>0.495207745089494</v>
      </c>
      <c r="AI5091">
        <v>97.929378320921899</v>
      </c>
      <c r="AJ5091">
        <v>129.942345042287</v>
      </c>
      <c r="AK5091">
        <v>0.65213793599563796</v>
      </c>
      <c r="AL5091">
        <v>66.020910393526094</v>
      </c>
      <c r="AM5091">
        <v>106.886264053716</v>
      </c>
      <c r="AN5091">
        <v>0.99999996846168404</v>
      </c>
    </row>
    <row r="5092" spans="1:40" x14ac:dyDescent="0.25">
      <c r="A5092" t="str">
        <f>"20190304164748866"</f>
        <v>20190304164748866</v>
      </c>
      <c r="B5092" t="str">
        <f>"1551689268854295"</f>
        <v>1551689268854295</v>
      </c>
      <c r="C5092" t="s">
        <v>40</v>
      </c>
      <c r="D5092">
        <v>4.5890510000000004</v>
      </c>
      <c r="E5092">
        <v>0.43083700000000003</v>
      </c>
      <c r="F5092" t="s">
        <v>41</v>
      </c>
      <c r="G5092">
        <v>-299.97039999999998</v>
      </c>
      <c r="H5092">
        <v>1.0259049999999901</v>
      </c>
      <c r="I5092">
        <v>-39.254199999999997</v>
      </c>
      <c r="J5092">
        <v>-300.44490000000002</v>
      </c>
      <c r="K5092">
        <v>1.1176779999999999</v>
      </c>
      <c r="L5092">
        <v>-38.990659999999998</v>
      </c>
      <c r="M5092">
        <v>0.23206170000000001</v>
      </c>
      <c r="N5092">
        <v>-1.1010580000000001E-2</v>
      </c>
      <c r="O5092">
        <v>-0.97263880000000003</v>
      </c>
      <c r="P5092">
        <v>0.45569090000000001</v>
      </c>
      <c r="Q5092">
        <v>0.40332750000000001</v>
      </c>
      <c r="R5092">
        <v>-0.79351939999999999</v>
      </c>
      <c r="S5092">
        <v>2.1596980000000001</v>
      </c>
      <c r="T5092">
        <v>-0.32535429999999999</v>
      </c>
      <c r="U5092">
        <v>-2.71225</v>
      </c>
      <c r="V5092">
        <v>-0.26594240000000002</v>
      </c>
      <c r="W5092">
        <v>0.40858870000000003</v>
      </c>
      <c r="X5092">
        <v>0.87311510000000003</v>
      </c>
      <c r="Y5092">
        <v>-0.42183540000000003</v>
      </c>
      <c r="Z5092">
        <v>8.5596899999999906E-2</v>
      </c>
      <c r="AA5092">
        <v>0.90262290000000001</v>
      </c>
      <c r="AB5092">
        <v>27</v>
      </c>
      <c r="AC5092">
        <v>0.47450000000003401</v>
      </c>
      <c r="AD5092">
        <v>-9.1773000000000299E-2</v>
      </c>
      <c r="AE5092">
        <v>-0.263539999999999</v>
      </c>
      <c r="AF5092">
        <v>-0.38925557562500701</v>
      </c>
      <c r="AG5092">
        <v>-9.1773000000000299E-2</v>
      </c>
      <c r="AH5092">
        <v>0.35627920307344402</v>
      </c>
      <c r="AI5092">
        <v>99.865928086690502</v>
      </c>
      <c r="AJ5092">
        <v>137.532646751123</v>
      </c>
      <c r="AK5092">
        <v>0.535609052599752</v>
      </c>
      <c r="AL5092">
        <v>65.883790888835804</v>
      </c>
      <c r="AM5092">
        <v>106.940227765423</v>
      </c>
      <c r="AN5092">
        <v>1.0000000318667199</v>
      </c>
    </row>
    <row r="5093" spans="1:40" x14ac:dyDescent="0.25">
      <c r="A5093" t="str">
        <f>"20190304164748903"</f>
        <v>20190304164748903</v>
      </c>
      <c r="B5093" t="str">
        <f>"1551689268894652"</f>
        <v>1551689268894652</v>
      </c>
      <c r="C5093" t="s">
        <v>40</v>
      </c>
      <c r="D5093">
        <v>4.5654949999999896</v>
      </c>
      <c r="E5093">
        <v>0.43182399999999999</v>
      </c>
      <c r="F5093" t="s">
        <v>53</v>
      </c>
      <c r="G5093">
        <v>-292.9864</v>
      </c>
      <c r="H5093" s="1">
        <v>-5.9564199999999898E-6</v>
      </c>
      <c r="I5093">
        <v>-48.120060000000002</v>
      </c>
      <c r="J5093">
        <v>-300.33019999999999</v>
      </c>
      <c r="K5093">
        <v>1.118047</v>
      </c>
      <c r="L5093">
        <v>-39.392910000000001</v>
      </c>
      <c r="M5093">
        <v>0.2477326</v>
      </c>
      <c r="N5093">
        <v>-1.102646E-2</v>
      </c>
      <c r="O5093">
        <v>-0.96876600000000002</v>
      </c>
      <c r="P5093">
        <v>0.46891749999999999</v>
      </c>
      <c r="Q5093">
        <v>0.40390579999999998</v>
      </c>
      <c r="R5093">
        <v>-0.78547909999999999</v>
      </c>
      <c r="S5093">
        <v>2.1953429999999998</v>
      </c>
      <c r="T5093">
        <v>-0.32897720000000003</v>
      </c>
      <c r="U5093">
        <v>-2.6871339999999999</v>
      </c>
      <c r="V5093">
        <v>-0.2669337</v>
      </c>
      <c r="W5093">
        <v>0.40892040000000002</v>
      </c>
      <c r="X5093">
        <v>0.87265720000000002</v>
      </c>
      <c r="Y5093">
        <v>-0.4184774</v>
      </c>
      <c r="Z5093">
        <v>8.6555579999999993E-2</v>
      </c>
      <c r="AA5093">
        <v>0.90409340000000005</v>
      </c>
      <c r="AB5093">
        <v>27</v>
      </c>
      <c r="AC5093">
        <v>7.3437999999999803</v>
      </c>
      <c r="AD5093">
        <v>-1.1180529564199999</v>
      </c>
      <c r="AE5093">
        <v>-8.7271499999999893</v>
      </c>
      <c r="AF5093">
        <v>-4.90558740098336</v>
      </c>
      <c r="AG5093">
        <v>-1.1180529564199999</v>
      </c>
      <c r="AH5093">
        <v>10.1767013687179</v>
      </c>
      <c r="AI5093">
        <v>95.651928684850802</v>
      </c>
      <c r="AJ5093">
        <v>115.735973382805</v>
      </c>
      <c r="AK5093">
        <v>11.352536320581001</v>
      </c>
      <c r="AL5093">
        <v>65.862967015650298</v>
      </c>
      <c r="AM5093">
        <v>107.00814282419501</v>
      </c>
      <c r="AN5093">
        <v>1.0000000412218399</v>
      </c>
    </row>
    <row r="5094" spans="1:40" x14ac:dyDescent="0.25">
      <c r="A5094" t="str">
        <f>"20190304164748933"</f>
        <v>20190304164748933</v>
      </c>
      <c r="B5094" t="str">
        <f>"1551689268923932"</f>
        <v>1551689268923932</v>
      </c>
      <c r="C5094" t="s">
        <v>40</v>
      </c>
      <c r="D5094">
        <v>4.5815260000000002</v>
      </c>
      <c r="E5094">
        <v>0.43768220000000002</v>
      </c>
      <c r="F5094" t="s">
        <v>41</v>
      </c>
      <c r="G5094">
        <v>-299.6814</v>
      </c>
      <c r="H5094">
        <v>1.021593</v>
      </c>
      <c r="I5094">
        <v>-40.164369999999998</v>
      </c>
      <c r="J5094">
        <v>-300.22269999999997</v>
      </c>
      <c r="K5094">
        <v>1.1183419999999999</v>
      </c>
      <c r="L5094">
        <v>-39.747799999999998</v>
      </c>
      <c r="M5094">
        <v>0.26214199999999999</v>
      </c>
      <c r="N5094">
        <v>-1.103668E-2</v>
      </c>
      <c r="O5094">
        <v>-0.9649662</v>
      </c>
      <c r="P5094">
        <v>0.4823442</v>
      </c>
      <c r="Q5094">
        <v>0.40308850000000002</v>
      </c>
      <c r="R5094">
        <v>-0.77773000000000003</v>
      </c>
      <c r="S5094">
        <v>2.2338870000000002</v>
      </c>
      <c r="T5094">
        <v>-0.3321228</v>
      </c>
      <c r="U5094">
        <v>-2.6565249999999998</v>
      </c>
      <c r="V5094">
        <v>-0.26911040000000003</v>
      </c>
      <c r="W5094">
        <v>0.40787709999999999</v>
      </c>
      <c r="X5094">
        <v>0.8724769</v>
      </c>
      <c r="Y5094">
        <v>-0.41772029999999899</v>
      </c>
      <c r="Z5094">
        <v>8.7439920000000004E-2</v>
      </c>
      <c r="AA5094">
        <v>0.90435829999999995</v>
      </c>
      <c r="AB5094">
        <v>27</v>
      </c>
      <c r="AC5094">
        <v>0.54129999999997802</v>
      </c>
      <c r="AD5094">
        <v>-9.6748999999999905E-2</v>
      </c>
      <c r="AE5094">
        <v>-0.41657</v>
      </c>
      <c r="AF5094">
        <v>-0.40503444931351701</v>
      </c>
      <c r="AG5094">
        <v>-9.6748999999999905E-2</v>
      </c>
      <c r="AH5094">
        <v>0.53320851023879101</v>
      </c>
      <c r="AI5094">
        <v>98.221639419444301</v>
      </c>
      <c r="AJ5094">
        <v>127.220935153092</v>
      </c>
      <c r="AK5094">
        <v>0.67655346390568105</v>
      </c>
      <c r="AL5094">
        <v>65.928453857668302</v>
      </c>
      <c r="AM5094">
        <v>107.14207267830101</v>
      </c>
      <c r="AN5094">
        <v>1.0000000385630801</v>
      </c>
    </row>
    <row r="5095" spans="1:40" x14ac:dyDescent="0.25">
      <c r="A5095" t="str">
        <f>"20190304164748966"</f>
        <v>20190304164748966</v>
      </c>
      <c r="B5095" t="str">
        <f>"1551689268954188"</f>
        <v>1551689268954188</v>
      </c>
      <c r="C5095" t="s">
        <v>40</v>
      </c>
      <c r="D5095">
        <v>4.6151679999999997</v>
      </c>
      <c r="E5095">
        <v>0.4388418</v>
      </c>
      <c r="F5095" t="s">
        <v>53</v>
      </c>
      <c r="G5095">
        <v>-293.52999999999997</v>
      </c>
      <c r="H5095" s="1">
        <v>-5.7071820000000001E-6</v>
      </c>
      <c r="I5095">
        <v>-47.685850000000002</v>
      </c>
      <c r="J5095">
        <v>-300.10309999999998</v>
      </c>
      <c r="K5095">
        <v>1.118608</v>
      </c>
      <c r="L5095">
        <v>-40.118290000000002</v>
      </c>
      <c r="M5095">
        <v>0.27777279999999999</v>
      </c>
      <c r="N5095">
        <v>-1.103647E-2</v>
      </c>
      <c r="O5095">
        <v>-0.96058359999999998</v>
      </c>
      <c r="P5095">
        <v>0.49514960000000002</v>
      </c>
      <c r="Q5095">
        <v>0.40359040000000002</v>
      </c>
      <c r="R5095">
        <v>-0.76937769999999905</v>
      </c>
      <c r="S5095">
        <v>2.243134</v>
      </c>
      <c r="T5095">
        <v>-0.37482660000000001</v>
      </c>
      <c r="U5095">
        <v>-2.6605219999999998</v>
      </c>
      <c r="V5095">
        <v>-0.2697428</v>
      </c>
      <c r="W5095">
        <v>0.4081883</v>
      </c>
      <c r="X5095">
        <v>0.87213589999999996</v>
      </c>
      <c r="Y5095">
        <v>-0.4033542</v>
      </c>
      <c r="Z5095">
        <v>9.9283869999999996E-2</v>
      </c>
      <c r="AA5095">
        <v>0.9096417</v>
      </c>
      <c r="AB5095">
        <v>27</v>
      </c>
      <c r="AC5095">
        <v>6.5731000000000099</v>
      </c>
      <c r="AD5095">
        <v>-1.1186137071819999</v>
      </c>
      <c r="AE5095">
        <v>-7.5675600000000003</v>
      </c>
      <c r="AF5095">
        <v>-4.1603920072486096</v>
      </c>
      <c r="AG5095">
        <v>-1.1186137071819999</v>
      </c>
      <c r="AH5095">
        <v>8.9837708972123895</v>
      </c>
      <c r="AI5095">
        <v>96.446353583380699</v>
      </c>
      <c r="AJ5095">
        <v>114.84889502760301</v>
      </c>
      <c r="AK5095">
        <v>9.9633477211966195</v>
      </c>
      <c r="AL5095">
        <v>65.908921305254907</v>
      </c>
      <c r="AM5095">
        <v>107.18630859096299</v>
      </c>
      <c r="AN5095">
        <v>0.99999994723876795</v>
      </c>
    </row>
    <row r="5096" spans="1:40" x14ac:dyDescent="0.25">
      <c r="A5096" t="str">
        <f>"20190304164749001"</f>
        <v>20190304164749001</v>
      </c>
      <c r="B5096" t="str">
        <f>"1551689268994205"</f>
        <v>1551689268994205</v>
      </c>
      <c r="C5096" t="s">
        <v>40</v>
      </c>
      <c r="D5096">
        <v>4.6290559999999896</v>
      </c>
      <c r="E5096">
        <v>0.4396214</v>
      </c>
      <c r="F5096" t="s">
        <v>53</v>
      </c>
      <c r="G5096">
        <v>-293.34179999999998</v>
      </c>
      <c r="H5096" s="1">
        <v>-5.8206879999999997E-6</v>
      </c>
      <c r="I5096">
        <v>-47.908090000000001</v>
      </c>
      <c r="J5096">
        <v>-299.97239999999999</v>
      </c>
      <c r="K5096">
        <v>1.118816</v>
      </c>
      <c r="L5096">
        <v>-40.500729999999997</v>
      </c>
      <c r="M5096">
        <v>0.29434500000000002</v>
      </c>
      <c r="N5096">
        <v>-1.101249E-2</v>
      </c>
      <c r="O5096">
        <v>-0.95563580000000004</v>
      </c>
      <c r="P5096">
        <v>0.5092624</v>
      </c>
      <c r="Q5096">
        <v>0.40501670000000001</v>
      </c>
      <c r="R5096">
        <v>-0.75935069999999905</v>
      </c>
      <c r="S5096">
        <v>2.2817379999999998</v>
      </c>
      <c r="T5096">
        <v>-0.37749709999999997</v>
      </c>
      <c r="U5096">
        <v>-2.6288149999999999</v>
      </c>
      <c r="V5096">
        <v>-0.27124330000000002</v>
      </c>
      <c r="W5096">
        <v>0.40940199999999999</v>
      </c>
      <c r="X5096">
        <v>0.87110109999999996</v>
      </c>
      <c r="Y5096">
        <v>-0.40054970000000001</v>
      </c>
      <c r="Z5096">
        <v>9.9927680000000005E-2</v>
      </c>
      <c r="AA5096">
        <v>0.9108098</v>
      </c>
      <c r="AB5096">
        <v>27</v>
      </c>
      <c r="AC5096">
        <v>6.63060000000001</v>
      </c>
      <c r="AD5096">
        <v>-1.1188218206880001</v>
      </c>
      <c r="AE5096">
        <v>-7.4073599999999997</v>
      </c>
      <c r="AF5096">
        <v>-4.1043879308660403</v>
      </c>
      <c r="AG5096">
        <v>-1.1188218206880001</v>
      </c>
      <c r="AH5096">
        <v>8.9180202379382898</v>
      </c>
      <c r="AI5096">
        <v>96.5017001228466</v>
      </c>
      <c r="AJ5096">
        <v>114.713557538326</v>
      </c>
      <c r="AK5096">
        <v>9.8807311226327492</v>
      </c>
      <c r="AL5096">
        <v>65.832725753793696</v>
      </c>
      <c r="AM5096">
        <v>107.295534299553</v>
      </c>
      <c r="AN5096">
        <v>1.0000000259100399</v>
      </c>
    </row>
    <row r="5097" spans="1:40" x14ac:dyDescent="0.25">
      <c r="A5097" t="str">
        <f>"20190304164749034"</f>
        <v>20190304164749034</v>
      </c>
      <c r="B5097" t="str">
        <f>"1551689269024460"</f>
        <v>1551689269024460</v>
      </c>
      <c r="C5097" t="s">
        <v>40</v>
      </c>
      <c r="D5097">
        <v>4.6472949999999997</v>
      </c>
      <c r="E5097">
        <v>0.44019180000000002</v>
      </c>
      <c r="F5097" t="s">
        <v>41</v>
      </c>
      <c r="G5097">
        <v>-299.25049999999999</v>
      </c>
      <c r="H5097">
        <v>1.0019119999999999</v>
      </c>
      <c r="I5097">
        <v>-41.30444</v>
      </c>
      <c r="J5097">
        <v>-299.8408</v>
      </c>
      <c r="K5097">
        <v>1.1189639999999901</v>
      </c>
      <c r="L5097">
        <v>-40.865259999999999</v>
      </c>
      <c r="M5097">
        <v>0.3104288</v>
      </c>
      <c r="N5097">
        <v>-1.097362E-2</v>
      </c>
      <c r="O5097">
        <v>-0.95053330000000003</v>
      </c>
      <c r="P5097">
        <v>0.52321019999999996</v>
      </c>
      <c r="Q5097">
        <v>0.40590779999999999</v>
      </c>
      <c r="R5097">
        <v>-0.74932619999999905</v>
      </c>
      <c r="S5097">
        <v>2.3274539999999999</v>
      </c>
      <c r="T5097">
        <v>-0.37687920000000003</v>
      </c>
      <c r="U5097">
        <v>-2.5908509999999998</v>
      </c>
      <c r="V5097">
        <v>-0.27298679999999997</v>
      </c>
      <c r="W5097">
        <v>0.41010619999999998</v>
      </c>
      <c r="X5097">
        <v>0.87022469999999996</v>
      </c>
      <c r="Y5097">
        <v>-0.40065879999999998</v>
      </c>
      <c r="Z5097">
        <v>9.9639829999999999E-2</v>
      </c>
      <c r="AA5097">
        <v>0.91079330000000003</v>
      </c>
      <c r="AB5097">
        <v>27</v>
      </c>
      <c r="AC5097">
        <v>0.59030000000001304</v>
      </c>
      <c r="AD5097">
        <v>-0.117051999999999</v>
      </c>
      <c r="AE5097">
        <v>-0.43918000000000001</v>
      </c>
      <c r="AF5097">
        <v>-0.41430517532953698</v>
      </c>
      <c r="AG5097">
        <v>-0.117051999999999</v>
      </c>
      <c r="AH5097">
        <v>0.58590813689497101</v>
      </c>
      <c r="AI5097">
        <v>99.264377544048202</v>
      </c>
      <c r="AJ5097">
        <v>125.26475206228901</v>
      </c>
      <c r="AK5097">
        <v>0.72707516385073601</v>
      </c>
      <c r="AL5097">
        <v>65.788492634278796</v>
      </c>
      <c r="AM5097">
        <v>107.416480021186</v>
      </c>
      <c r="AN5097">
        <v>0.999999958371384</v>
      </c>
    </row>
    <row r="5098" spans="1:40" x14ac:dyDescent="0.25">
      <c r="A5098" t="str">
        <f>"20190304164749068"</f>
        <v>20190304164749068</v>
      </c>
      <c r="B5098" t="str">
        <f>"1551689269064476"</f>
        <v>1551689269064476</v>
      </c>
      <c r="C5098" t="s">
        <v>40</v>
      </c>
      <c r="D5098">
        <v>4.644914</v>
      </c>
      <c r="E5098">
        <v>0.44524039999999998</v>
      </c>
      <c r="F5098" t="s">
        <v>53</v>
      </c>
      <c r="G5098">
        <v>-292.79939999999999</v>
      </c>
      <c r="H5098" s="1">
        <v>-6.1023389999999899E-6</v>
      </c>
      <c r="I5098">
        <v>-48.42848</v>
      </c>
      <c r="J5098">
        <v>-299.69839999999999</v>
      </c>
      <c r="K5098">
        <v>1.1190629999999999</v>
      </c>
      <c r="L5098">
        <v>-41.237520000000004</v>
      </c>
      <c r="M5098">
        <v>0.32705849999999997</v>
      </c>
      <c r="N5098">
        <v>-1.0907989999999999E-2</v>
      </c>
      <c r="O5098">
        <v>-0.94494109999999998</v>
      </c>
      <c r="P5098">
        <v>0.53853700000000004</v>
      </c>
      <c r="Q5098">
        <v>0.40767360000000002</v>
      </c>
      <c r="R5098">
        <v>-0.73741440000000003</v>
      </c>
      <c r="S5098">
        <v>2.3742369999999999</v>
      </c>
      <c r="T5098">
        <v>-0.37729970000000002</v>
      </c>
      <c r="U5098">
        <v>-2.5502009999999999</v>
      </c>
      <c r="V5098">
        <v>-0.27612320000000001</v>
      </c>
      <c r="W5098">
        <v>0.4116612</v>
      </c>
      <c r="X5098">
        <v>0.86849929999999997</v>
      </c>
      <c r="Y5098">
        <v>-0.4007945</v>
      </c>
      <c r="Z5098">
        <v>9.9647540000000007E-2</v>
      </c>
      <c r="AA5098">
        <v>0.91073269999999995</v>
      </c>
      <c r="AB5098">
        <v>27</v>
      </c>
      <c r="AC5098">
        <v>6.899</v>
      </c>
      <c r="AD5098">
        <v>-1.11906910233899</v>
      </c>
      <c r="AE5098">
        <v>-7.1909599999999898</v>
      </c>
      <c r="AF5098">
        <v>-4.1156313164268603</v>
      </c>
      <c r="AG5098">
        <v>-1.11906910233899</v>
      </c>
      <c r="AH5098">
        <v>8.9392196312278394</v>
      </c>
      <c r="AI5098">
        <v>96.487427948327806</v>
      </c>
      <c r="AJ5098">
        <v>114.72142029834301</v>
      </c>
      <c r="AK5098">
        <v>9.9045638169427992</v>
      </c>
      <c r="AL5098">
        <v>65.690768403888299</v>
      </c>
      <c r="AM5098">
        <v>107.63709450961299</v>
      </c>
      <c r="AN5098">
        <v>0.99999999963208497</v>
      </c>
    </row>
    <row r="5099" spans="1:40" x14ac:dyDescent="0.25">
      <c r="A5099" t="str">
        <f>"20190304164749102"</f>
        <v>20190304164749102</v>
      </c>
      <c r="B5099" t="str">
        <f>"1551689269094733"</f>
        <v>1551689269094733</v>
      </c>
      <c r="C5099" t="s">
        <v>40</v>
      </c>
      <c r="D5099">
        <v>4.697781</v>
      </c>
      <c r="E5099">
        <v>0.44572020000000001</v>
      </c>
      <c r="F5099" t="s">
        <v>53</v>
      </c>
      <c r="G5099">
        <v>-292.85329999999999</v>
      </c>
      <c r="H5099" s="1">
        <v>-6.1042010000000002E-6</v>
      </c>
      <c r="I5099">
        <v>-48.455620000000003</v>
      </c>
      <c r="J5099">
        <v>-299.54689999999999</v>
      </c>
      <c r="K5099">
        <v>1.1191139999999999</v>
      </c>
      <c r="L5099">
        <v>-41.614319999999999</v>
      </c>
      <c r="M5099">
        <v>0.34396840000000001</v>
      </c>
      <c r="N5099">
        <v>-1.082281E-2</v>
      </c>
      <c r="O5099">
        <v>-0.9389189</v>
      </c>
      <c r="P5099">
        <v>0.55323659999999997</v>
      </c>
      <c r="Q5099">
        <v>0.40826509999999999</v>
      </c>
      <c r="R5099">
        <v>-0.72611919999999996</v>
      </c>
      <c r="S5099">
        <v>2.4010009999999999</v>
      </c>
      <c r="T5099">
        <v>-0.39252579999999998</v>
      </c>
      <c r="U5099">
        <v>-2.5318299999999998</v>
      </c>
      <c r="V5099">
        <v>-0.27818100000000001</v>
      </c>
      <c r="W5099">
        <v>0.41207890000000003</v>
      </c>
      <c r="X5099">
        <v>0.86764409999999903</v>
      </c>
      <c r="Y5099">
        <v>-0.39243299999999998</v>
      </c>
      <c r="Z5099">
        <v>0.10355209999999999</v>
      </c>
      <c r="AA5099">
        <v>0.91393290000000005</v>
      </c>
      <c r="AB5099">
        <v>27</v>
      </c>
      <c r="AC5099">
        <v>6.6936</v>
      </c>
      <c r="AD5099">
        <v>-1.1191201042009999</v>
      </c>
      <c r="AE5099">
        <v>-6.8413000000000004</v>
      </c>
      <c r="AF5099">
        <v>-3.8787575332483502</v>
      </c>
      <c r="AG5099">
        <v>-1.1191201042009999</v>
      </c>
      <c r="AH5099">
        <v>8.6086290900181393</v>
      </c>
      <c r="AI5099">
        <v>96.759418540638507</v>
      </c>
      <c r="AJ5099">
        <v>114.254718766694</v>
      </c>
      <c r="AK5099">
        <v>9.5081903966456291</v>
      </c>
      <c r="AL5099">
        <v>65.664504531348101</v>
      </c>
      <c r="AM5099">
        <v>107.77670678593699</v>
      </c>
      <c r="AN5099">
        <v>0.99999998642550902</v>
      </c>
    </row>
    <row r="5100" spans="1:40" x14ac:dyDescent="0.25">
      <c r="A5100" t="str">
        <f>"20190304164749135"</f>
        <v>20190304164749135</v>
      </c>
      <c r="B5100" t="str">
        <f>"1551689269124013"</f>
        <v>1551689269124013</v>
      </c>
      <c r="C5100" t="s">
        <v>40</v>
      </c>
      <c r="D5100">
        <v>4.6955400000000003</v>
      </c>
      <c r="E5100">
        <v>0.44999689999999998</v>
      </c>
      <c r="F5100" t="s">
        <v>53</v>
      </c>
      <c r="G5100">
        <v>-292.57900000000001</v>
      </c>
      <c r="H5100" s="1">
        <v>-6.2283569999999901E-6</v>
      </c>
      <c r="I5100">
        <v>-48.670470000000002</v>
      </c>
      <c r="J5100">
        <v>-299.39229999999998</v>
      </c>
      <c r="K5100">
        <v>1.11913</v>
      </c>
      <c r="L5100">
        <v>-41.980260000000001</v>
      </c>
      <c r="M5100">
        <v>0.36041079999999998</v>
      </c>
      <c r="N5100">
        <v>-1.0734520000000001E-2</v>
      </c>
      <c r="O5100">
        <v>-0.93273200000000001</v>
      </c>
      <c r="P5100">
        <v>0.56679250000000003</v>
      </c>
      <c r="Q5100">
        <v>0.40821229999999997</v>
      </c>
      <c r="R5100">
        <v>-0.71561799999999998</v>
      </c>
      <c r="S5100">
        <v>2.4530029999999998</v>
      </c>
      <c r="T5100">
        <v>-0.39397860000000001</v>
      </c>
      <c r="U5100">
        <v>-2.48407</v>
      </c>
      <c r="V5100">
        <v>-0.27929549999999997</v>
      </c>
      <c r="W5100">
        <v>0.41188989999999998</v>
      </c>
      <c r="X5100">
        <v>0.86737580000000003</v>
      </c>
      <c r="Y5100">
        <v>-0.39474419999999999</v>
      </c>
      <c r="Z5100">
        <v>0.1038313</v>
      </c>
      <c r="AA5100">
        <v>0.91290530000000003</v>
      </c>
      <c r="AB5100">
        <v>27</v>
      </c>
      <c r="AC5100">
        <v>6.8132999999999697</v>
      </c>
      <c r="AD5100">
        <v>-1.1191362283570001</v>
      </c>
      <c r="AE5100">
        <v>-6.6902100000000004</v>
      </c>
      <c r="AF5100">
        <v>-3.8905446400269801</v>
      </c>
      <c r="AG5100">
        <v>-1.1191362283570001</v>
      </c>
      <c r="AH5100">
        <v>8.5784252858507006</v>
      </c>
      <c r="AI5100">
        <v>96.775630223529802</v>
      </c>
      <c r="AJ5100">
        <v>114.395559302528</v>
      </c>
      <c r="AK5100">
        <v>9.4856831002614896</v>
      </c>
      <c r="AL5100">
        <v>65.676389798829902</v>
      </c>
      <c r="AM5100">
        <v>107.848588020354</v>
      </c>
      <c r="AN5100">
        <v>1.00000002223394</v>
      </c>
    </row>
    <row r="5101" spans="1:40" x14ac:dyDescent="0.25">
      <c r="A5101" t="str">
        <f>"20190304164749168"</f>
        <v>20190304164749168</v>
      </c>
      <c r="B5101" t="str">
        <f>"1551689269164029"</f>
        <v>1551689269164029</v>
      </c>
      <c r="C5101" t="s">
        <v>40</v>
      </c>
      <c r="D5101">
        <v>4.7194250000000002</v>
      </c>
      <c r="E5101">
        <v>0.44891530000000002</v>
      </c>
      <c r="F5101" t="s">
        <v>41</v>
      </c>
      <c r="G5101">
        <v>-298.60649999999998</v>
      </c>
      <c r="H5101">
        <v>0.98576889999999995</v>
      </c>
      <c r="I5101">
        <v>-42.761009999999999</v>
      </c>
      <c r="J5101">
        <v>-299.23160000000001</v>
      </c>
      <c r="K5101">
        <v>1.119151</v>
      </c>
      <c r="L5101">
        <v>-42.342039999999997</v>
      </c>
      <c r="M5101">
        <v>0.37666620000000001</v>
      </c>
      <c r="N5101">
        <v>-1.064445E-2</v>
      </c>
      <c r="O5101">
        <v>-0.92628809999999995</v>
      </c>
      <c r="P5101">
        <v>0.57778149999999995</v>
      </c>
      <c r="Q5101">
        <v>0.40897070000000002</v>
      </c>
      <c r="R5101">
        <v>-0.70633699999999999</v>
      </c>
      <c r="S5101">
        <v>2.4822389999999999</v>
      </c>
      <c r="T5101">
        <v>-0.42128969999999999</v>
      </c>
      <c r="U5101">
        <v>-2.4664920000000001</v>
      </c>
      <c r="V5101">
        <v>-0.27774219999999999</v>
      </c>
      <c r="W5101">
        <v>0.41257579999999999</v>
      </c>
      <c r="X5101">
        <v>0.86754849999999994</v>
      </c>
      <c r="Y5101">
        <v>-0.38673980000000002</v>
      </c>
      <c r="Z5101">
        <v>0.110888899999999</v>
      </c>
      <c r="AA5101">
        <v>0.91549769999999997</v>
      </c>
      <c r="AB5101">
        <v>27</v>
      </c>
      <c r="AC5101">
        <v>0.62510000000003096</v>
      </c>
      <c r="AD5101">
        <v>-0.133382099999999</v>
      </c>
      <c r="AE5101">
        <v>-0.41896999999999401</v>
      </c>
      <c r="AF5101">
        <v>-0.40840396924814798</v>
      </c>
      <c r="AG5101">
        <v>-0.133382099999999</v>
      </c>
      <c r="AH5101">
        <v>0.60458225078427796</v>
      </c>
      <c r="AI5101">
        <v>100.360168894919</v>
      </c>
      <c r="AJ5101">
        <v>124.039589717547</v>
      </c>
      <c r="AK5101">
        <v>0.74169015408149797</v>
      </c>
      <c r="AL5101">
        <v>65.633253402901403</v>
      </c>
      <c r="AM5101">
        <v>107.752260533426</v>
      </c>
      <c r="AN5101">
        <v>0.99999996012936399</v>
      </c>
    </row>
    <row r="5102" spans="1:40" x14ac:dyDescent="0.25">
      <c r="A5102" t="str">
        <f>"20190304164749202"</f>
        <v>20190304164749202</v>
      </c>
      <c r="B5102" t="str">
        <f>"1551689269194284"</f>
        <v>1551689269194284</v>
      </c>
      <c r="C5102" t="s">
        <v>40</v>
      </c>
      <c r="D5102">
        <v>4.7394800000000004</v>
      </c>
      <c r="E5102">
        <v>0.44903739999999998</v>
      </c>
      <c r="F5102" t="s">
        <v>53</v>
      </c>
      <c r="G5102">
        <v>-292.55590000000001</v>
      </c>
      <c r="H5102" s="1">
        <v>-6.2496960000000004E-6</v>
      </c>
      <c r="I5102">
        <v>-48.71734</v>
      </c>
      <c r="J5102">
        <v>-299.06299999999999</v>
      </c>
      <c r="K5102">
        <v>1.1191739999999999</v>
      </c>
      <c r="L5102">
        <v>-42.704709999999999</v>
      </c>
      <c r="M5102">
        <v>0.39294259999999998</v>
      </c>
      <c r="N5102">
        <v>-1.0553299999999899E-2</v>
      </c>
      <c r="O5102">
        <v>-0.91950240000000005</v>
      </c>
      <c r="P5102">
        <v>0.58757459999999995</v>
      </c>
      <c r="Q5102">
        <v>0.40917029999999999</v>
      </c>
      <c r="R5102">
        <v>-0.69809449999999995</v>
      </c>
      <c r="S5102">
        <v>2.5342709999999999</v>
      </c>
      <c r="T5102">
        <v>-0.42486049999999997</v>
      </c>
      <c r="U5102">
        <v>-2.4202270000000001</v>
      </c>
      <c r="V5102">
        <v>-0.27461600000000003</v>
      </c>
      <c r="W5102">
        <v>0.41274179999999999</v>
      </c>
      <c r="X5102">
        <v>0.86846440000000003</v>
      </c>
      <c r="Y5102">
        <v>-0.38858389999999998</v>
      </c>
      <c r="Z5102">
        <v>0.1115435</v>
      </c>
      <c r="AA5102">
        <v>0.91463689999999997</v>
      </c>
      <c r="AB5102">
        <v>27</v>
      </c>
      <c r="AC5102">
        <v>6.5070999999999799</v>
      </c>
      <c r="AD5102">
        <v>-1.1191802496959999</v>
      </c>
      <c r="AE5102">
        <v>-6.0126299999999997</v>
      </c>
      <c r="AF5102">
        <v>-3.5640049835134602</v>
      </c>
      <c r="AG5102">
        <v>-1.1191802496959999</v>
      </c>
      <c r="AH5102">
        <v>7.95899000291148</v>
      </c>
      <c r="AI5102">
        <v>97.313280303722095</v>
      </c>
      <c r="AJ5102">
        <v>114.122650855234</v>
      </c>
      <c r="AK5102">
        <v>8.7920542434782103</v>
      </c>
      <c r="AL5102">
        <v>65.622814854463201</v>
      </c>
      <c r="AM5102">
        <v>107.547407580109</v>
      </c>
      <c r="AN5102">
        <v>1.00000007749529</v>
      </c>
    </row>
    <row r="5103" spans="1:40" x14ac:dyDescent="0.25">
      <c r="A5103" t="str">
        <f>"20190304164749235"</f>
        <v>20190304164749235</v>
      </c>
      <c r="B5103" t="str">
        <f>"1551689269224544"</f>
        <v>1551689269224544</v>
      </c>
      <c r="C5103" t="s">
        <v>40</v>
      </c>
      <c r="D5103">
        <v>4.7562309999999997</v>
      </c>
      <c r="E5103">
        <v>0.44960050000000001</v>
      </c>
      <c r="F5103" t="s">
        <v>53</v>
      </c>
      <c r="G5103">
        <v>-292.36239999999998</v>
      </c>
      <c r="H5103" s="1">
        <v>-6.350399E-6</v>
      </c>
      <c r="I5103">
        <v>-48.903559999999999</v>
      </c>
      <c r="J5103">
        <v>-298.89010000000002</v>
      </c>
      <c r="K5103">
        <v>1.119197</v>
      </c>
      <c r="L5103">
        <v>-43.061279999999996</v>
      </c>
      <c r="M5103">
        <v>0.40892319999999999</v>
      </c>
      <c r="N5103">
        <v>-1.046805E-2</v>
      </c>
      <c r="O5103">
        <v>-0.91250869999999995</v>
      </c>
      <c r="P5103">
        <v>0.59763219999999995</v>
      </c>
      <c r="Q5103">
        <v>0.410244</v>
      </c>
      <c r="R5103">
        <v>-0.68886539999999996</v>
      </c>
      <c r="S5103">
        <v>2.5749819999999999</v>
      </c>
      <c r="T5103">
        <v>-0.4300872</v>
      </c>
      <c r="U5103">
        <v>-2.3821409999999998</v>
      </c>
      <c r="V5103">
        <v>-0.272368</v>
      </c>
      <c r="W5103">
        <v>0.41376170000000001</v>
      </c>
      <c r="X5103">
        <v>0.86868690000000004</v>
      </c>
      <c r="Y5103">
        <v>-0.38693810000000001</v>
      </c>
      <c r="Z5103">
        <v>0.1125597</v>
      </c>
      <c r="AA5103">
        <v>0.91520990000000002</v>
      </c>
      <c r="AB5103">
        <v>27</v>
      </c>
      <c r="AC5103">
        <v>6.5277000000000296</v>
      </c>
      <c r="AD5103">
        <v>-1.119203350399</v>
      </c>
      <c r="AE5103">
        <v>-5.8422799999999997</v>
      </c>
      <c r="AF5103">
        <v>-3.5104368379562798</v>
      </c>
      <c r="AG5103">
        <v>-1.119203350399</v>
      </c>
      <c r="AH5103">
        <v>7.8724031918812596</v>
      </c>
      <c r="AI5103">
        <v>97.398102977450307</v>
      </c>
      <c r="AJ5103">
        <v>114.032895203503</v>
      </c>
      <c r="AK5103">
        <v>8.6919799210747808</v>
      </c>
      <c r="AL5103">
        <v>65.558641014051304</v>
      </c>
      <c r="AM5103">
        <v>107.408289330899</v>
      </c>
      <c r="AN5103">
        <v>1.00000000102125</v>
      </c>
    </row>
    <row r="5104" spans="1:40" x14ac:dyDescent="0.25">
      <c r="A5104" t="str">
        <f>"20190304164749270"</f>
        <v>20190304164749270</v>
      </c>
      <c r="B5104" t="str">
        <f>"1551689269264564"</f>
        <v>1551689269264564</v>
      </c>
      <c r="C5104" t="s">
        <v>40</v>
      </c>
      <c r="D5104">
        <v>4.7294140000000002</v>
      </c>
      <c r="E5104">
        <v>0.42863499999999999</v>
      </c>
      <c r="F5104" t="s">
        <v>41</v>
      </c>
      <c r="G5104">
        <v>-298.05959999999999</v>
      </c>
      <c r="H5104">
        <v>0.98207270000000002</v>
      </c>
      <c r="I5104">
        <v>-43.807380000000002</v>
      </c>
      <c r="J5104">
        <v>-298.7038</v>
      </c>
      <c r="K5104">
        <v>1.11924</v>
      </c>
      <c r="L5104">
        <v>-43.427799999999998</v>
      </c>
      <c r="M5104">
        <v>0.42535010000000001</v>
      </c>
      <c r="N5104">
        <v>-1.038446E-2</v>
      </c>
      <c r="O5104">
        <v>-0.90496949999999998</v>
      </c>
      <c r="P5104">
        <v>0.60819190000000001</v>
      </c>
      <c r="Q5104">
        <v>0.41063339999999998</v>
      </c>
      <c r="R5104">
        <v>-0.67932559999999997</v>
      </c>
      <c r="S5104">
        <v>2.6117859999999999</v>
      </c>
      <c r="T5104">
        <v>-0.43118499999999998</v>
      </c>
      <c r="U5104">
        <v>-2.345917</v>
      </c>
      <c r="V5104">
        <v>-0.27021319999999999</v>
      </c>
      <c r="W5104">
        <v>0.41409899999999999</v>
      </c>
      <c r="X5104">
        <v>0.86919899999999894</v>
      </c>
      <c r="Y5104">
        <v>-0.38374200000000003</v>
      </c>
      <c r="Z5104">
        <v>0.1123398</v>
      </c>
      <c r="AA5104">
        <v>0.9165816</v>
      </c>
      <c r="AB5104">
        <v>27</v>
      </c>
      <c r="AC5104">
        <v>0.64420000000001199</v>
      </c>
      <c r="AD5104">
        <v>-0.13716729999999999</v>
      </c>
      <c r="AE5104">
        <v>-0.37958000000000403</v>
      </c>
      <c r="AF5104">
        <v>-0.407824848659957</v>
      </c>
      <c r="AG5104">
        <v>-0.13716729999999999</v>
      </c>
      <c r="AH5104">
        <v>0.59744585241166803</v>
      </c>
      <c r="AI5104">
        <v>100.737110676406</v>
      </c>
      <c r="AJ5104">
        <v>124.317988769232</v>
      </c>
      <c r="AK5104">
        <v>0.73625914047820995</v>
      </c>
      <c r="AL5104">
        <v>65.537411710904806</v>
      </c>
      <c r="AM5104">
        <v>107.269220973949</v>
      </c>
      <c r="AN5104">
        <v>1.0000000284281101</v>
      </c>
    </row>
    <row r="5105" spans="1:40" x14ac:dyDescent="0.25">
      <c r="A5105" t="str">
        <f>"20190304164749304"</f>
        <v>20190304164749304</v>
      </c>
      <c r="B5105" t="str">
        <f>"1551689269294812"</f>
        <v>1551689269294812</v>
      </c>
      <c r="C5105" t="s">
        <v>40</v>
      </c>
      <c r="D5105">
        <v>4.706969</v>
      </c>
      <c r="E5105">
        <v>0.42752669999999998</v>
      </c>
      <c r="F5105" t="s">
        <v>53</v>
      </c>
      <c r="G5105">
        <v>-291.27749999999997</v>
      </c>
      <c r="H5105" s="1">
        <v>-6.6684649999999999E-6</v>
      </c>
      <c r="I5105">
        <v>-49.29627</v>
      </c>
      <c r="J5105">
        <v>-298.50839999999999</v>
      </c>
      <c r="K5105">
        <v>1.119273</v>
      </c>
      <c r="L5105">
        <v>-43.795650000000002</v>
      </c>
      <c r="M5105">
        <v>0.4418279</v>
      </c>
      <c r="N5105">
        <v>-1.030815E-2</v>
      </c>
      <c r="O5105">
        <v>-0.89704069999999902</v>
      </c>
      <c r="P5105">
        <v>0.61791619999999903</v>
      </c>
      <c r="Q5105">
        <v>0.409858</v>
      </c>
      <c r="R5105">
        <v>-0.67096669999999903</v>
      </c>
      <c r="S5105">
        <v>2.7697449999999999</v>
      </c>
      <c r="T5105">
        <v>-0.4174426</v>
      </c>
      <c r="U5105">
        <v>-2.1887509999999999</v>
      </c>
      <c r="V5105">
        <v>-0.26664070000000001</v>
      </c>
      <c r="W5105">
        <v>0.41331970000000001</v>
      </c>
      <c r="X5105">
        <v>0.87067190000000005</v>
      </c>
      <c r="Y5105">
        <v>-0.42461019999999999</v>
      </c>
      <c r="Z5105">
        <v>0.1088585</v>
      </c>
      <c r="AA5105">
        <v>0.8988081</v>
      </c>
      <c r="AB5105">
        <v>27</v>
      </c>
      <c r="AC5105">
        <v>7.2309000000000099</v>
      </c>
      <c r="AD5105">
        <v>-1.1192796684649999</v>
      </c>
      <c r="AE5105">
        <v>-5.5006199999999899</v>
      </c>
      <c r="AF5105">
        <v>-3.9956555832340799</v>
      </c>
      <c r="AG5105">
        <v>-1.1192796684649999</v>
      </c>
      <c r="AH5105">
        <v>8.0079839627208003</v>
      </c>
      <c r="AI5105">
        <v>97.128770249708396</v>
      </c>
      <c r="AJ5105">
        <v>116.51731488839</v>
      </c>
      <c r="AK5105">
        <v>9.0191938477483902</v>
      </c>
      <c r="AL5105">
        <v>65.586455454702801</v>
      </c>
      <c r="AM5105">
        <v>107.027052751816</v>
      </c>
      <c r="AN5105">
        <v>0.999999997377095</v>
      </c>
    </row>
    <row r="5106" spans="1:40" x14ac:dyDescent="0.25">
      <c r="A5106" t="str">
        <f>"20190304164749335"</f>
        <v>20190304164749335</v>
      </c>
      <c r="B5106" t="str">
        <f>"1551689269324093"</f>
        <v>1551689269324093</v>
      </c>
      <c r="C5106" t="s">
        <v>40</v>
      </c>
      <c r="D5106">
        <v>4.7361430000000002</v>
      </c>
      <c r="E5106">
        <v>0.427402</v>
      </c>
      <c r="F5106" t="s">
        <v>41</v>
      </c>
      <c r="G5106">
        <v>-297.73719999999997</v>
      </c>
      <c r="H5106">
        <v>1.001252</v>
      </c>
      <c r="I5106">
        <v>-44.383130000000001</v>
      </c>
      <c r="J5106">
        <v>-298.32190000000003</v>
      </c>
      <c r="K5106">
        <v>1.119292</v>
      </c>
      <c r="L5106">
        <v>-44.133150000000001</v>
      </c>
      <c r="M5106">
        <v>0.45691769999999998</v>
      </c>
      <c r="N5106">
        <v>-1.02477E-2</v>
      </c>
      <c r="O5106">
        <v>-0.88945019999999997</v>
      </c>
      <c r="P5106">
        <v>0.62695190000000001</v>
      </c>
      <c r="Q5106">
        <v>0.41006379999999998</v>
      </c>
      <c r="R5106">
        <v>-0.66240429999999995</v>
      </c>
      <c r="S5106">
        <v>2.8132929999999998</v>
      </c>
      <c r="T5106">
        <v>-0.43055529999999997</v>
      </c>
      <c r="U5106">
        <v>-2.1433110000000002</v>
      </c>
      <c r="V5106">
        <v>-0.26381139999999997</v>
      </c>
      <c r="W5106">
        <v>0.4135199</v>
      </c>
      <c r="X5106">
        <v>0.87143839999999995</v>
      </c>
      <c r="Y5106">
        <v>-0.42494280000000001</v>
      </c>
      <c r="Z5106">
        <v>0.11194030000000001</v>
      </c>
      <c r="AA5106">
        <v>0.89827219999999997</v>
      </c>
      <c r="AB5106">
        <v>27</v>
      </c>
      <c r="AC5106">
        <v>0.58470000000005395</v>
      </c>
      <c r="AD5106">
        <v>-0.11803999999999901</v>
      </c>
      <c r="AE5106">
        <v>-0.24998000000000001</v>
      </c>
      <c r="AF5106">
        <v>-0.39234323282003603</v>
      </c>
      <c r="AG5106">
        <v>-0.11803999999999901</v>
      </c>
      <c r="AH5106">
        <v>0.47322394163638998</v>
      </c>
      <c r="AI5106">
        <v>100.869854458939</v>
      </c>
      <c r="AJ5106">
        <v>129.66164381198899</v>
      </c>
      <c r="AK5106">
        <v>0.62594532738695197</v>
      </c>
      <c r="AL5106">
        <v>65.573858551814297</v>
      </c>
      <c r="AM5106">
        <v>106.84268985012299</v>
      </c>
      <c r="AN5106">
        <v>1.00000002373026</v>
      </c>
    </row>
    <row r="5107" spans="1:40" x14ac:dyDescent="0.25">
      <c r="A5107" t="str">
        <f>"20190304164749369"</f>
        <v>20190304164749369</v>
      </c>
      <c r="B5107" t="str">
        <f>"1551689269364108"</f>
        <v>1551689269364108</v>
      </c>
      <c r="C5107" t="s">
        <v>40</v>
      </c>
      <c r="D5107">
        <v>4.7221739999999999</v>
      </c>
      <c r="E5107">
        <v>0.42607129999999999</v>
      </c>
      <c r="F5107" t="s">
        <v>41</v>
      </c>
      <c r="G5107">
        <v>-297.46890000000002</v>
      </c>
      <c r="H5107">
        <v>0.9895391</v>
      </c>
      <c r="I5107">
        <v>-44.764060000000001</v>
      </c>
      <c r="J5107">
        <v>-298.11329999999998</v>
      </c>
      <c r="K5107">
        <v>1.1192959999999901</v>
      </c>
      <c r="L5107">
        <v>-44.49503</v>
      </c>
      <c r="M5107">
        <v>0.47304859999999999</v>
      </c>
      <c r="N5107">
        <v>-1.0191810000000001E-2</v>
      </c>
      <c r="O5107">
        <v>-0.88097760000000003</v>
      </c>
      <c r="P5107">
        <v>0.63888540000000005</v>
      </c>
      <c r="Q5107">
        <v>0.41025869999999998</v>
      </c>
      <c r="R5107">
        <v>-0.65077910000000005</v>
      </c>
      <c r="S5107">
        <v>2.8450929999999999</v>
      </c>
      <c r="T5107">
        <v>-0.43273070000000002</v>
      </c>
      <c r="U5107">
        <v>-2.1040040000000002</v>
      </c>
      <c r="V5107">
        <v>-0.2638469</v>
      </c>
      <c r="W5107">
        <v>0.41365400000000002</v>
      </c>
      <c r="X5107">
        <v>0.87136389999999997</v>
      </c>
      <c r="Y5107">
        <v>-0.42127969999999998</v>
      </c>
      <c r="Z5107">
        <v>0.11192680000000001</v>
      </c>
      <c r="AA5107">
        <v>0.89999769999999901</v>
      </c>
      <c r="AB5107">
        <v>28</v>
      </c>
      <c r="AC5107">
        <v>0.644399999999961</v>
      </c>
      <c r="AD5107">
        <v>-0.12975689999999901</v>
      </c>
      <c r="AE5107">
        <v>-0.26902999999999999</v>
      </c>
      <c r="AF5107">
        <v>-0.42575984285892299</v>
      </c>
      <c r="AG5107">
        <v>-0.12975689999999901</v>
      </c>
      <c r="AH5107">
        <v>0.52378470570601998</v>
      </c>
      <c r="AI5107">
        <v>100.881405950245</v>
      </c>
      <c r="AJ5107">
        <v>129.10603128287701</v>
      </c>
      <c r="AK5107">
        <v>0.68735632303806304</v>
      </c>
      <c r="AL5107">
        <v>65.565417223194999</v>
      </c>
      <c r="AM5107">
        <v>106.84618657362201</v>
      </c>
      <c r="AN5107">
        <v>0.99999993228940698</v>
      </c>
    </row>
    <row r="5108" spans="1:40" x14ac:dyDescent="0.25">
      <c r="A5108" t="str">
        <f>"20190304164749402"</f>
        <v>20190304164749402</v>
      </c>
      <c r="B5108" t="str">
        <f>"1551689269394921"</f>
        <v>1551689269394921</v>
      </c>
      <c r="C5108" t="s">
        <v>40</v>
      </c>
      <c r="D5108">
        <v>4.7450400000000004</v>
      </c>
      <c r="E5108">
        <v>0.42570360000000002</v>
      </c>
      <c r="F5108" t="s">
        <v>53</v>
      </c>
      <c r="G5108">
        <v>-290.46910000000003</v>
      </c>
      <c r="H5108" s="1">
        <v>-7.0292539999999998E-6</v>
      </c>
      <c r="I5108">
        <v>-49.915959999999998</v>
      </c>
      <c r="J5108">
        <v>-297.90769999999998</v>
      </c>
      <c r="K5108">
        <v>1.119278</v>
      </c>
      <c r="L5108">
        <v>-44.837769999999999</v>
      </c>
      <c r="M5108">
        <v>0.48821520000000002</v>
      </c>
      <c r="N5108">
        <v>-1.014346E-2</v>
      </c>
      <c r="O5108">
        <v>-0.87266449999999995</v>
      </c>
      <c r="P5108">
        <v>0.65064100000000002</v>
      </c>
      <c r="Q5108">
        <v>0.40945399999999998</v>
      </c>
      <c r="R5108">
        <v>-0.6395419</v>
      </c>
      <c r="S5108">
        <v>2.8836979999999999</v>
      </c>
      <c r="T5108">
        <v>-0.42224980000000001</v>
      </c>
      <c r="U5108">
        <v>-2.045013</v>
      </c>
      <c r="V5108">
        <v>-0.26437820000000001</v>
      </c>
      <c r="W5108">
        <v>0.41280650000000002</v>
      </c>
      <c r="X5108">
        <v>0.87160490000000002</v>
      </c>
      <c r="Y5108">
        <v>-0.42383199999999999</v>
      </c>
      <c r="Z5108">
        <v>0.1088326</v>
      </c>
      <c r="AA5108">
        <v>0.89917849999999999</v>
      </c>
      <c r="AB5108">
        <v>28</v>
      </c>
      <c r="AC5108">
        <v>7.4385999999999504</v>
      </c>
      <c r="AD5108">
        <v>-1.119285029254</v>
      </c>
      <c r="AE5108">
        <v>-5.0781899999999904</v>
      </c>
      <c r="AF5108">
        <v>-3.9513354762150801</v>
      </c>
      <c r="AG5108">
        <v>-1.119285029254</v>
      </c>
      <c r="AH5108">
        <v>7.9409699889358896</v>
      </c>
      <c r="AI5108">
        <v>97.1922296976838</v>
      </c>
      <c r="AJ5108">
        <v>116.45441032863501</v>
      </c>
      <c r="AK5108">
        <v>8.9400702115525092</v>
      </c>
      <c r="AL5108">
        <v>65.618744730785195</v>
      </c>
      <c r="AM5108">
        <v>106.873780657932</v>
      </c>
      <c r="AN5108">
        <v>1.0000000703907399</v>
      </c>
    </row>
    <row r="5109" spans="1:40" x14ac:dyDescent="0.25">
      <c r="A5109" t="str">
        <f>"20190304164749436"</f>
        <v>20190304164749436</v>
      </c>
      <c r="B5109" t="str">
        <f>"1551689269424187"</f>
        <v>1551689269424187</v>
      </c>
      <c r="C5109" t="s">
        <v>40</v>
      </c>
      <c r="D5109">
        <v>4.7467329999999999</v>
      </c>
      <c r="E5109">
        <v>0.42577290000000001</v>
      </c>
      <c r="F5109" t="s">
        <v>41</v>
      </c>
      <c r="G5109">
        <v>-297.10109999999997</v>
      </c>
      <c r="H5109">
        <v>1.0029570000000001</v>
      </c>
      <c r="I5109">
        <v>-45.38767</v>
      </c>
      <c r="J5109">
        <v>-297.69060000000002</v>
      </c>
      <c r="K5109">
        <v>1.119197</v>
      </c>
      <c r="L5109">
        <v>-45.186770000000003</v>
      </c>
      <c r="M5109">
        <v>0.50345689999999998</v>
      </c>
      <c r="N5109">
        <v>-1.0093799999999899E-2</v>
      </c>
      <c r="O5109">
        <v>-0.86396149999999905</v>
      </c>
      <c r="P5109">
        <v>0.66264219999999996</v>
      </c>
      <c r="Q5109">
        <v>0.40681620000000002</v>
      </c>
      <c r="R5109">
        <v>-0.62881359999999997</v>
      </c>
      <c r="S5109">
        <v>2.919708</v>
      </c>
      <c r="T5109">
        <v>-0.42102539999999999</v>
      </c>
      <c r="U5109">
        <v>-1.990051</v>
      </c>
      <c r="V5109">
        <v>-0.26462020000000003</v>
      </c>
      <c r="W5109">
        <v>0.41016940000000002</v>
      </c>
      <c r="X5109">
        <v>0.87277559999999998</v>
      </c>
      <c r="Y5109">
        <v>-0.4247185</v>
      </c>
      <c r="Z5109">
        <v>0.1081278</v>
      </c>
      <c r="AA5109">
        <v>0.89884509999999995</v>
      </c>
      <c r="AB5109">
        <v>28</v>
      </c>
      <c r="AC5109">
        <v>0.58950000000004299</v>
      </c>
      <c r="AD5109">
        <v>-0.11624</v>
      </c>
      <c r="AE5109">
        <v>-0.200899999999997</v>
      </c>
      <c r="AF5109">
        <v>-0.39444096047106397</v>
      </c>
      <c r="AG5109">
        <v>-0.11624</v>
      </c>
      <c r="AH5109">
        <v>0.45454717881222101</v>
      </c>
      <c r="AI5109">
        <v>100.93177875237799</v>
      </c>
      <c r="AJ5109">
        <v>130.95036032244599</v>
      </c>
      <c r="AK5109">
        <v>0.61295068860674695</v>
      </c>
      <c r="AL5109">
        <v>65.784523762027604</v>
      </c>
      <c r="AM5109">
        <v>106.86698116537499</v>
      </c>
      <c r="AN5109">
        <v>1.00000001744987</v>
      </c>
    </row>
    <row r="5110" spans="1:40" x14ac:dyDescent="0.25">
      <c r="A5110" t="str">
        <f>"20190304164749471"</f>
        <v>20190304164749471</v>
      </c>
      <c r="B5110" t="str">
        <f>"1551689269464203"</f>
        <v>1551689269464203</v>
      </c>
      <c r="C5110" t="s">
        <v>40</v>
      </c>
      <c r="D5110">
        <v>4.7764739999999897</v>
      </c>
      <c r="E5110">
        <v>0.42657450000000002</v>
      </c>
      <c r="F5110" t="s">
        <v>41</v>
      </c>
      <c r="G5110">
        <v>-296.80950000000001</v>
      </c>
      <c r="H5110">
        <v>0.99091010000000002</v>
      </c>
      <c r="I5110">
        <v>-45.7654</v>
      </c>
      <c r="J5110">
        <v>-297.4606</v>
      </c>
      <c r="K5110">
        <v>1.11907</v>
      </c>
      <c r="L5110">
        <v>-45.542389999999997</v>
      </c>
      <c r="M5110">
        <v>0.51871709999999904</v>
      </c>
      <c r="N5110">
        <v>-1.004445E-2</v>
      </c>
      <c r="O5110">
        <v>-0.85488690000000001</v>
      </c>
      <c r="P5110">
        <v>0.67372719999999997</v>
      </c>
      <c r="Q5110">
        <v>0.40687610000000002</v>
      </c>
      <c r="R5110">
        <v>-0.61688209999999999</v>
      </c>
      <c r="S5110">
        <v>2.952118</v>
      </c>
      <c r="T5110">
        <v>-0.42976560000000003</v>
      </c>
      <c r="U5110">
        <v>-1.937988</v>
      </c>
      <c r="V5110">
        <v>-0.26457560000000002</v>
      </c>
      <c r="W5110">
        <v>0.4102498</v>
      </c>
      <c r="X5110">
        <v>0.87275139999999995</v>
      </c>
      <c r="Y5110">
        <v>-0.42403800000000003</v>
      </c>
      <c r="Z5110">
        <v>0.1100265</v>
      </c>
      <c r="AA5110">
        <v>0.89893599999999996</v>
      </c>
      <c r="AB5110">
        <v>28</v>
      </c>
      <c r="AC5110">
        <v>0.65109999999998502</v>
      </c>
      <c r="AD5110">
        <v>-0.12815989999999999</v>
      </c>
      <c r="AE5110">
        <v>-0.22300999999999499</v>
      </c>
      <c r="AF5110">
        <v>-0.42618159940315398</v>
      </c>
      <c r="AG5110">
        <v>-0.12815989999999999</v>
      </c>
      <c r="AH5110">
        <v>0.51070241231554803</v>
      </c>
      <c r="AI5110">
        <v>100.905717777902</v>
      </c>
      <c r="AJ5110">
        <v>129.84502687337601</v>
      </c>
      <c r="AK5110">
        <v>0.67740140949274796</v>
      </c>
      <c r="AL5110">
        <v>65.779474156843406</v>
      </c>
      <c r="AM5110">
        <v>106.86474080317799</v>
      </c>
      <c r="AN5110">
        <v>1.0000000763586701</v>
      </c>
    </row>
    <row r="5111" spans="1:40" x14ac:dyDescent="0.25">
      <c r="A5111" t="str">
        <f>"20190304164749503"</f>
        <v>20190304164749503</v>
      </c>
      <c r="B5111" t="str">
        <f>"1551689269494459"</f>
        <v>1551689269494459</v>
      </c>
      <c r="C5111" t="s">
        <v>40</v>
      </c>
      <c r="D5111">
        <v>4.7616820000000004</v>
      </c>
      <c r="E5111">
        <v>0.42719430000000003</v>
      </c>
      <c r="F5111" t="s">
        <v>53</v>
      </c>
      <c r="G5111">
        <v>-289.72019999999998</v>
      </c>
      <c r="H5111" s="1">
        <v>-3.2026629999999999E-6</v>
      </c>
      <c r="I5111">
        <v>-50.460619999999999</v>
      </c>
      <c r="J5111">
        <v>-297.2364</v>
      </c>
      <c r="K5111">
        <v>1.1189439999999999</v>
      </c>
      <c r="L5111">
        <v>-45.876980000000003</v>
      </c>
      <c r="M5111">
        <v>0.53276780000000001</v>
      </c>
      <c r="N5111">
        <v>-1.0000419999999999E-2</v>
      </c>
      <c r="O5111">
        <v>-0.84620239999999902</v>
      </c>
      <c r="P5111">
        <v>0.68186729999999995</v>
      </c>
      <c r="Q5111">
        <v>0.40798590000000001</v>
      </c>
      <c r="R5111">
        <v>-0.607128</v>
      </c>
      <c r="S5111">
        <v>2.9795229999999999</v>
      </c>
      <c r="T5111">
        <v>-0.4307684</v>
      </c>
      <c r="U5111">
        <v>-1.8931880000000001</v>
      </c>
      <c r="V5111">
        <v>-0.26204309999999997</v>
      </c>
      <c r="W5111">
        <v>0.4114505</v>
      </c>
      <c r="X5111">
        <v>0.87295009999999995</v>
      </c>
      <c r="Y5111">
        <v>-0.42246850000000002</v>
      </c>
      <c r="Z5111">
        <v>0.1097593</v>
      </c>
      <c r="AA5111">
        <v>0.89970729999999999</v>
      </c>
      <c r="AB5111">
        <v>28</v>
      </c>
      <c r="AC5111">
        <v>7.51620000000002</v>
      </c>
      <c r="AD5111">
        <v>-1.1189472026629901</v>
      </c>
      <c r="AE5111">
        <v>-4.5836399999999999</v>
      </c>
      <c r="AF5111">
        <v>-3.85611197288776</v>
      </c>
      <c r="AG5111">
        <v>-1.1189472026629901</v>
      </c>
      <c r="AH5111">
        <v>7.7581396673443797</v>
      </c>
      <c r="AI5111">
        <v>97.359278585766404</v>
      </c>
      <c r="AJ5111">
        <v>116.429251105153</v>
      </c>
      <c r="AK5111">
        <v>8.7355808901193299</v>
      </c>
      <c r="AL5111">
        <v>65.704014143020402</v>
      </c>
      <c r="AM5111">
        <v>106.708761988991</v>
      </c>
      <c r="AN5111">
        <v>0.99999998864893502</v>
      </c>
    </row>
    <row r="5112" spans="1:40" x14ac:dyDescent="0.25">
      <c r="A5112" t="str">
        <f>"20190304164749537"</f>
        <v>20190304164749537</v>
      </c>
      <c r="B5112" t="str">
        <f>"1551689269524338"</f>
        <v>1551689269524338</v>
      </c>
      <c r="C5112" t="s">
        <v>40</v>
      </c>
      <c r="D5112">
        <v>4.7880909999999997</v>
      </c>
      <c r="E5112">
        <v>0.4279966</v>
      </c>
      <c r="F5112" t="s">
        <v>41</v>
      </c>
      <c r="G5112">
        <v>-296.39859999999999</v>
      </c>
      <c r="H5112">
        <v>1.0001519999999999</v>
      </c>
      <c r="I5112">
        <v>-46.392699999999998</v>
      </c>
      <c r="J5112">
        <v>-297.00490000000002</v>
      </c>
      <c r="K5112">
        <v>1.118787</v>
      </c>
      <c r="L5112">
        <v>-46.21161</v>
      </c>
      <c r="M5112">
        <v>0.54646519999999899</v>
      </c>
      <c r="N5112">
        <v>-9.9545180000000007E-3</v>
      </c>
      <c r="O5112">
        <v>-0.83742280000000002</v>
      </c>
      <c r="P5112">
        <v>0.69049659999999902</v>
      </c>
      <c r="Q5112">
        <v>0.40903919999999999</v>
      </c>
      <c r="R5112">
        <v>-0.59657510000000002</v>
      </c>
      <c r="S5112">
        <v>3.0067140000000001</v>
      </c>
      <c r="T5112">
        <v>-0.4263325</v>
      </c>
      <c r="U5112">
        <v>-1.850983</v>
      </c>
      <c r="V5112">
        <v>-0.26060499999999998</v>
      </c>
      <c r="W5112">
        <v>0.41258410000000001</v>
      </c>
      <c r="X5112">
        <v>0.8728456</v>
      </c>
      <c r="Y5112">
        <v>-0.42070600000000002</v>
      </c>
      <c r="Z5112">
        <v>0.10794040000000001</v>
      </c>
      <c r="AA5112">
        <v>0.90075269999999996</v>
      </c>
      <c r="AB5112">
        <v>28</v>
      </c>
      <c r="AC5112">
        <v>0.60630000000003204</v>
      </c>
      <c r="AD5112">
        <v>-0.11863499999999901</v>
      </c>
      <c r="AE5112">
        <v>-0.181089999999997</v>
      </c>
      <c r="AF5112">
        <v>-0.39490878602026402</v>
      </c>
      <c r="AG5112">
        <v>-0.11863499999999901</v>
      </c>
      <c r="AH5112">
        <v>0.46659334728683</v>
      </c>
      <c r="AI5112">
        <v>100.983231770736</v>
      </c>
      <c r="AJ5112">
        <v>130.24344423929901</v>
      </c>
      <c r="AK5112">
        <v>0.622684963872846</v>
      </c>
      <c r="AL5112">
        <v>65.6327329886103</v>
      </c>
      <c r="AM5112">
        <v>106.624016038235</v>
      </c>
      <c r="AN5112">
        <v>1.00000002351858</v>
      </c>
    </row>
    <row r="5113" spans="1:40" x14ac:dyDescent="0.25">
      <c r="A5113" t="str">
        <f>"20190304164749571"</f>
        <v>20190304164749571</v>
      </c>
      <c r="B5113" t="str">
        <f>"1551689269564355"</f>
        <v>1551689269564355</v>
      </c>
      <c r="C5113" t="s">
        <v>40</v>
      </c>
      <c r="D5113">
        <v>4.7890249999999996</v>
      </c>
      <c r="E5113">
        <v>0.42904310000000001</v>
      </c>
      <c r="F5113" t="s">
        <v>41</v>
      </c>
      <c r="G5113">
        <v>-296.10090000000002</v>
      </c>
      <c r="H5113">
        <v>0.99271920000000002</v>
      </c>
      <c r="I5113">
        <v>-46.750599999999999</v>
      </c>
      <c r="J5113">
        <v>-296.75729999999999</v>
      </c>
      <c r="K5113">
        <v>1.118617</v>
      </c>
      <c r="L5113">
        <v>-46.55762</v>
      </c>
      <c r="M5113">
        <v>0.56023959999999995</v>
      </c>
      <c r="N5113">
        <v>-9.9089490000000002E-3</v>
      </c>
      <c r="O5113">
        <v>-0.82827139999999999</v>
      </c>
      <c r="P5113">
        <v>0.70021060000000002</v>
      </c>
      <c r="Q5113">
        <v>0.40908450000000002</v>
      </c>
      <c r="R5113">
        <v>-0.5851111</v>
      </c>
      <c r="S5113">
        <v>3.032715</v>
      </c>
      <c r="T5113">
        <v>-0.42297030000000002</v>
      </c>
      <c r="U5113">
        <v>-1.8085329999999999</v>
      </c>
      <c r="V5113">
        <v>-0.26037399999999999</v>
      </c>
      <c r="W5113">
        <v>0.41269349999999999</v>
      </c>
      <c r="X5113">
        <v>0.87286280000000005</v>
      </c>
      <c r="Y5113">
        <v>-0.4185625</v>
      </c>
      <c r="Z5113">
        <v>0.1063766</v>
      </c>
      <c r="AA5113">
        <v>0.90193650000000003</v>
      </c>
      <c r="AB5113">
        <v>28</v>
      </c>
      <c r="AC5113">
        <v>0.65639999999996201</v>
      </c>
      <c r="AD5113">
        <v>-0.1258978</v>
      </c>
      <c r="AE5113">
        <v>-0.19297999999999799</v>
      </c>
      <c r="AF5113">
        <v>-0.42131757432927702</v>
      </c>
      <c r="AG5113">
        <v>-0.1258978</v>
      </c>
      <c r="AH5113">
        <v>0.51032694927692102</v>
      </c>
      <c r="AI5113">
        <v>100.771431150103</v>
      </c>
      <c r="AJ5113">
        <v>129.54252259207999</v>
      </c>
      <c r="AK5113">
        <v>0.67364111338444599</v>
      </c>
      <c r="AL5113">
        <v>65.625851219643295</v>
      </c>
      <c r="AM5113">
        <v>106.609783421546</v>
      </c>
      <c r="AN5113">
        <v>1.0000000062210399</v>
      </c>
    </row>
    <row r="5114" spans="1:40" x14ac:dyDescent="0.25">
      <c r="A5114" t="str">
        <f>"20190304164749603"</f>
        <v>20190304164749603</v>
      </c>
      <c r="B5114" t="str">
        <f>"1551689269594611"</f>
        <v>1551689269594611</v>
      </c>
      <c r="C5114" t="s">
        <v>40</v>
      </c>
      <c r="D5114">
        <v>4.7395149999999999</v>
      </c>
      <c r="E5114">
        <v>0.4291663</v>
      </c>
      <c r="F5114" t="s">
        <v>53</v>
      </c>
      <c r="G5114">
        <v>-288.71839999999997</v>
      </c>
      <c r="H5114" s="1">
        <v>-3.575272E-6</v>
      </c>
      <c r="I5114">
        <v>-51.199509999999997</v>
      </c>
      <c r="J5114">
        <v>-296.51510000000002</v>
      </c>
      <c r="K5114">
        <v>1.1184780000000001</v>
      </c>
      <c r="L5114">
        <v>-46.885469999999998</v>
      </c>
      <c r="M5114">
        <v>0.57294529999999999</v>
      </c>
      <c r="N5114">
        <v>-9.8702259999999993E-3</v>
      </c>
      <c r="O5114">
        <v>-0.81953419999999899</v>
      </c>
      <c r="P5114">
        <v>0.70959380000000005</v>
      </c>
      <c r="Q5114">
        <v>0.40938200000000002</v>
      </c>
      <c r="R5114">
        <v>-0.57348339999999998</v>
      </c>
      <c r="S5114">
        <v>3.0576479999999999</v>
      </c>
      <c r="T5114">
        <v>-0.42547249999999998</v>
      </c>
      <c r="U5114">
        <v>-1.7655639999999999</v>
      </c>
      <c r="V5114">
        <v>-0.2610305</v>
      </c>
      <c r="W5114">
        <v>0.41303099999999998</v>
      </c>
      <c r="X5114">
        <v>0.87250699999999903</v>
      </c>
      <c r="Y5114">
        <v>-0.4172305</v>
      </c>
      <c r="Z5114">
        <v>0.1064249</v>
      </c>
      <c r="AA5114">
        <v>0.90254780000000001</v>
      </c>
      <c r="AB5114">
        <v>28</v>
      </c>
      <c r="AC5114">
        <v>7.7967000000000404</v>
      </c>
      <c r="AD5114">
        <v>-1.1184815752720001</v>
      </c>
      <c r="AE5114">
        <v>-4.3140399999999897</v>
      </c>
      <c r="AF5114">
        <v>-3.8573682645462899</v>
      </c>
      <c r="AG5114">
        <v>-1.1184815752720001</v>
      </c>
      <c r="AH5114">
        <v>7.8788383229404104</v>
      </c>
      <c r="AI5114">
        <v>97.265994326922197</v>
      </c>
      <c r="AJ5114">
        <v>116.085719068103</v>
      </c>
      <c r="AK5114">
        <v>8.8434373566835607</v>
      </c>
      <c r="AL5114">
        <v>65.604619683633402</v>
      </c>
      <c r="AM5114">
        <v>106.65576093119201</v>
      </c>
      <c r="AN5114">
        <v>0.99999999697012398</v>
      </c>
    </row>
    <row r="5115" spans="1:40" x14ac:dyDescent="0.25">
      <c r="A5115" t="str">
        <f>"20190304164749637"</f>
        <v>20190304164749637</v>
      </c>
      <c r="B5115" t="str">
        <f>"1551689269634197"</f>
        <v>1551689269634197</v>
      </c>
      <c r="C5115" t="s">
        <v>40</v>
      </c>
      <c r="D5115">
        <v>4.7049760000000003</v>
      </c>
      <c r="E5115">
        <v>0.39482790000000001</v>
      </c>
      <c r="F5115" t="s">
        <v>41</v>
      </c>
      <c r="G5115">
        <v>-295.6404</v>
      </c>
      <c r="H5115">
        <v>0.99766580000000005</v>
      </c>
      <c r="I5115">
        <v>-47.373469999999998</v>
      </c>
      <c r="J5115">
        <v>-296.2627</v>
      </c>
      <c r="K5115">
        <v>1.1183399999999999</v>
      </c>
      <c r="L5115">
        <v>-47.217379999999999</v>
      </c>
      <c r="M5115">
        <v>0.5854762</v>
      </c>
      <c r="N5115">
        <v>-9.8325570000000004E-3</v>
      </c>
      <c r="O5115">
        <v>-0.81062999999999996</v>
      </c>
      <c r="P5115">
        <v>0.71843919999999994</v>
      </c>
      <c r="Q5115">
        <v>0.4092075</v>
      </c>
      <c r="R5115">
        <v>-0.56248940000000003</v>
      </c>
      <c r="S5115">
        <v>3.0836489999999999</v>
      </c>
      <c r="T5115">
        <v>-0.42586230000000003</v>
      </c>
      <c r="U5115">
        <v>-1.71963499999999</v>
      </c>
      <c r="V5115">
        <v>-0.26098320000000003</v>
      </c>
      <c r="W5115">
        <v>0.41291460000000002</v>
      </c>
      <c r="X5115">
        <v>0.87257619999999902</v>
      </c>
      <c r="Y5115">
        <v>-0.41679519999999998</v>
      </c>
      <c r="Z5115">
        <v>0.1059175</v>
      </c>
      <c r="AA5115">
        <v>0.90280850000000001</v>
      </c>
      <c r="AB5115">
        <v>28</v>
      </c>
      <c r="AC5115">
        <v>0.62229999999999497</v>
      </c>
      <c r="AD5115">
        <v>-0.120674199999999</v>
      </c>
      <c r="AE5115">
        <v>-0.156090000000006</v>
      </c>
      <c r="AF5115">
        <v>-0.39897322750064201</v>
      </c>
      <c r="AG5115">
        <v>-0.120674199999999</v>
      </c>
      <c r="AH5115">
        <v>0.47412334705647002</v>
      </c>
      <c r="AI5115">
        <v>101.020083700756</v>
      </c>
      <c r="AJ5115">
        <v>130.08050016703399</v>
      </c>
      <c r="AK5115">
        <v>0.63129616427786805</v>
      </c>
      <c r="AL5115">
        <v>65.611941595179303</v>
      </c>
      <c r="AM5115">
        <v>106.65166241980801</v>
      </c>
      <c r="AN5115">
        <v>0.99999996119091905</v>
      </c>
    </row>
    <row r="5116" spans="1:40" x14ac:dyDescent="0.25">
      <c r="A5116" t="str">
        <f>"20190304164749671"</f>
        <v>20190304164749671</v>
      </c>
      <c r="B5116" t="str">
        <f>"1551689269664453"</f>
        <v>1551689269664453</v>
      </c>
      <c r="C5116" t="s">
        <v>40</v>
      </c>
      <c r="D5116">
        <v>4.7078889999999998</v>
      </c>
      <c r="E5116">
        <v>0.39403470000000002</v>
      </c>
      <c r="F5116" t="s">
        <v>41</v>
      </c>
      <c r="G5116">
        <v>-295.28280000000001</v>
      </c>
      <c r="H5116">
        <v>1.0174780000000001</v>
      </c>
      <c r="I5116">
        <v>-47.64978</v>
      </c>
      <c r="J5116">
        <v>-295.99590000000001</v>
      </c>
      <c r="K5116">
        <v>1.1182110000000001</v>
      </c>
      <c r="L5116">
        <v>-47.557369999999999</v>
      </c>
      <c r="M5116">
        <v>0.59802330000000004</v>
      </c>
      <c r="N5116">
        <v>-9.7994880000000003E-3</v>
      </c>
      <c r="O5116">
        <v>-0.80141879999999999</v>
      </c>
      <c r="P5116">
        <v>0.72694239999999999</v>
      </c>
      <c r="Q5116">
        <v>0.40895290000000001</v>
      </c>
      <c r="R5116">
        <v>-0.55164519999999995</v>
      </c>
      <c r="S5116">
        <v>3.2453609999999999</v>
      </c>
      <c r="T5116">
        <v>-0.33400669999999999</v>
      </c>
      <c r="U5116">
        <v>-1.4313049999999901</v>
      </c>
      <c r="V5116">
        <v>-0.2604803</v>
      </c>
      <c r="W5116">
        <v>0.41271780000000002</v>
      </c>
      <c r="X5116">
        <v>0.87281960000000003</v>
      </c>
      <c r="Y5116">
        <v>-0.48798839999999999</v>
      </c>
      <c r="Z5116">
        <v>8.3559739999999993E-2</v>
      </c>
      <c r="AA5116">
        <v>0.86884119999999998</v>
      </c>
      <c r="AB5116">
        <v>28</v>
      </c>
      <c r="AC5116">
        <v>0.71309999999999696</v>
      </c>
      <c r="AD5116">
        <v>-0.100732999999999</v>
      </c>
      <c r="AE5116">
        <v>-9.2410000000001005E-2</v>
      </c>
      <c r="AF5116">
        <v>-0.50631673127728605</v>
      </c>
      <c r="AG5116">
        <v>-0.100732999999999</v>
      </c>
      <c r="AH5116">
        <v>0.49089965024361998</v>
      </c>
      <c r="AI5116">
        <v>98.129058987072497</v>
      </c>
      <c r="AJ5116">
        <v>135.885728840176</v>
      </c>
      <c r="AK5116">
        <v>0.71238068212832995</v>
      </c>
      <c r="AL5116">
        <v>65.624322826019096</v>
      </c>
      <c r="AM5116">
        <v>106.61696778366201</v>
      </c>
      <c r="AN5116">
        <v>1.00000001163454</v>
      </c>
    </row>
    <row r="5117" spans="1:40" x14ac:dyDescent="0.25">
      <c r="A5117" t="str">
        <f>"20190304164749693"</f>
        <v>20190304164749693</v>
      </c>
      <c r="B5117" t="str">
        <f>"1551689269684949"</f>
        <v>1551689269684949</v>
      </c>
      <c r="C5117" t="s">
        <v>40</v>
      </c>
      <c r="D5117">
        <v>4.7140589999999998</v>
      </c>
      <c r="E5117">
        <v>0.39503709999999997</v>
      </c>
      <c r="F5117" t="s">
        <v>41</v>
      </c>
      <c r="G5117">
        <v>-295.17869999999999</v>
      </c>
      <c r="H5117">
        <v>1.0355700000000001</v>
      </c>
      <c r="I5117">
        <v>-47.900390000000002</v>
      </c>
      <c r="J5117">
        <v>-295.82350000000002</v>
      </c>
      <c r="K5117">
        <v>1.118155</v>
      </c>
      <c r="L5117">
        <v>-47.771850000000001</v>
      </c>
      <c r="M5117">
        <v>0.60583160000000003</v>
      </c>
      <c r="N5117">
        <v>-9.7833480000000007E-3</v>
      </c>
      <c r="O5117">
        <v>-0.79553300000000005</v>
      </c>
      <c r="P5117">
        <v>0.73170829999999998</v>
      </c>
      <c r="Q5117">
        <v>0.40850589999999998</v>
      </c>
      <c r="R5117">
        <v>-0.54564290000000004</v>
      </c>
      <c r="S5117">
        <v>3.2709959999999998</v>
      </c>
      <c r="T5117">
        <v>-0.3307966</v>
      </c>
      <c r="U5117">
        <v>-1.373138</v>
      </c>
      <c r="V5117">
        <v>-0.25925969999999998</v>
      </c>
      <c r="W5117">
        <v>0.4123173</v>
      </c>
      <c r="X5117">
        <v>0.87337209999999998</v>
      </c>
      <c r="Y5117">
        <v>-0.49508950000000002</v>
      </c>
      <c r="Z5117">
        <v>8.2691630000000002E-2</v>
      </c>
      <c r="AA5117">
        <v>0.86489799999999994</v>
      </c>
      <c r="AB5117">
        <v>28</v>
      </c>
      <c r="AC5117">
        <v>0.64480000000003201</v>
      </c>
      <c r="AD5117">
        <v>-8.2584999999999895E-2</v>
      </c>
      <c r="AE5117">
        <v>-0.12854000000000099</v>
      </c>
      <c r="AF5117">
        <v>-0.42834871498536198</v>
      </c>
      <c r="AG5117">
        <v>-8.2584999999999895E-2</v>
      </c>
      <c r="AH5117">
        <v>0.48526543183656301</v>
      </c>
      <c r="AI5117">
        <v>97.271009320271304</v>
      </c>
      <c r="AJ5117">
        <v>131.43517057362499</v>
      </c>
      <c r="AK5117">
        <v>0.65252236987718504</v>
      </c>
      <c r="AL5117">
        <v>65.649512325407798</v>
      </c>
      <c r="AM5117">
        <v>106.533472764827</v>
      </c>
      <c r="AN5117">
        <v>0.99999998649089406</v>
      </c>
    </row>
    <row r="5118" spans="1:40" x14ac:dyDescent="0.25">
      <c r="A5118" t="str">
        <f>"20190304164749722"</f>
        <v>20190304164749722</v>
      </c>
      <c r="B5118" t="str">
        <f>"1551689269714875"</f>
        <v>1551689269714875</v>
      </c>
      <c r="C5118" t="s">
        <v>40</v>
      </c>
      <c r="D5118">
        <v>4.6936609999999996</v>
      </c>
      <c r="E5118">
        <v>0.39704010000000001</v>
      </c>
      <c r="F5118" t="s">
        <v>41</v>
      </c>
      <c r="G5118">
        <v>-295.02760000000001</v>
      </c>
      <c r="H5118">
        <v>1.0369029999999999</v>
      </c>
      <c r="I5118">
        <v>-48.099699999999999</v>
      </c>
      <c r="J5118">
        <v>-295.59339999999997</v>
      </c>
      <c r="K5118">
        <v>1.1181140000000001</v>
      </c>
      <c r="L5118">
        <v>-48.051209999999998</v>
      </c>
      <c r="M5118">
        <v>0.61592449999999999</v>
      </c>
      <c r="N5118">
        <v>-9.7677600000000003E-3</v>
      </c>
      <c r="O5118">
        <v>-0.78774480000000002</v>
      </c>
      <c r="P5118">
        <v>0.73836880000000005</v>
      </c>
      <c r="Q5118">
        <v>0.40798499999999999</v>
      </c>
      <c r="R5118">
        <v>-0.53699180000000002</v>
      </c>
      <c r="S5118">
        <v>3.2795719999999999</v>
      </c>
      <c r="T5118">
        <v>-0.33478809999999998</v>
      </c>
      <c r="U5118">
        <v>-1.3508</v>
      </c>
      <c r="V5118">
        <v>-0.25858330000000002</v>
      </c>
      <c r="W5118">
        <v>0.41182160000000001</v>
      </c>
      <c r="X5118">
        <v>0.87380639999999998</v>
      </c>
      <c r="Y5118">
        <v>-0.4897823</v>
      </c>
      <c r="Z5118">
        <v>8.3198770000000005E-2</v>
      </c>
      <c r="AA5118">
        <v>0.86786600000000003</v>
      </c>
      <c r="AB5118">
        <v>28</v>
      </c>
      <c r="AC5118">
        <v>0.565799999999967</v>
      </c>
      <c r="AD5118">
        <v>-8.1210999999999894E-2</v>
      </c>
      <c r="AE5118">
        <v>-4.8490000000000998E-2</v>
      </c>
      <c r="AF5118">
        <v>-0.40752510210996301</v>
      </c>
      <c r="AG5118">
        <v>-8.1210999999999894E-2</v>
      </c>
      <c r="AH5118">
        <v>0.378955995649916</v>
      </c>
      <c r="AI5118">
        <v>98.302768773059597</v>
      </c>
      <c r="AJ5118">
        <v>137.080367637747</v>
      </c>
      <c r="AK5118">
        <v>0.562387394959875</v>
      </c>
      <c r="AL5118">
        <v>65.680683374574699</v>
      </c>
      <c r="AM5118">
        <v>106.484931700516</v>
      </c>
      <c r="AN5118">
        <v>0.99999998897320497</v>
      </c>
    </row>
    <row r="5119" spans="1:40" x14ac:dyDescent="0.25">
      <c r="A5119" t="str">
        <f>"20190304164749744"</f>
        <v>20190304164749744</v>
      </c>
      <c r="B5119" t="str">
        <f>"1551689269734395"</f>
        <v>1551689269734395</v>
      </c>
      <c r="C5119" t="s">
        <v>40</v>
      </c>
      <c r="D5119">
        <v>4.6791830000000001</v>
      </c>
      <c r="E5119">
        <v>0.39825529999999998</v>
      </c>
      <c r="F5119" t="s">
        <v>41</v>
      </c>
      <c r="G5119">
        <v>-294.6617</v>
      </c>
      <c r="H5119">
        <v>1.021406</v>
      </c>
      <c r="I5119">
        <v>-48.426250000000003</v>
      </c>
      <c r="J5119">
        <v>-295.41370000000001</v>
      </c>
      <c r="K5119">
        <v>1.1181000000000001</v>
      </c>
      <c r="L5119">
        <v>-48.264890000000001</v>
      </c>
      <c r="M5119">
        <v>0.62360360000000004</v>
      </c>
      <c r="N5119">
        <v>-9.7592530000000007E-3</v>
      </c>
      <c r="O5119">
        <v>-0.78167980000000004</v>
      </c>
      <c r="P5119">
        <v>0.74285690000000004</v>
      </c>
      <c r="Q5119">
        <v>0.40724369999999999</v>
      </c>
      <c r="R5119">
        <v>-0.53133509999999995</v>
      </c>
      <c r="S5119">
        <v>3.2892459999999999</v>
      </c>
      <c r="T5119">
        <v>-0.34134550000000002</v>
      </c>
      <c r="U5119">
        <v>-1.323242</v>
      </c>
      <c r="V5119">
        <v>-0.25699519999999998</v>
      </c>
      <c r="W5119">
        <v>0.41111449999999999</v>
      </c>
      <c r="X5119">
        <v>0.87460749999999998</v>
      </c>
      <c r="Y5119">
        <v>-0.48824849999999997</v>
      </c>
      <c r="Z5119">
        <v>8.4609260000000006E-2</v>
      </c>
      <c r="AA5119">
        <v>0.86859349999999902</v>
      </c>
      <c r="AB5119">
        <v>29</v>
      </c>
      <c r="AC5119">
        <v>0.75200000000000899</v>
      </c>
      <c r="AD5119">
        <v>-9.6694000000000002E-2</v>
      </c>
      <c r="AE5119">
        <v>-0.161360000000001</v>
      </c>
      <c r="AF5119">
        <v>-0.47964067077295602</v>
      </c>
      <c r="AG5119">
        <v>-9.6694000000000002E-2</v>
      </c>
      <c r="AH5119">
        <v>0.58585031612585103</v>
      </c>
      <c r="AI5119">
        <v>97.277728912340706</v>
      </c>
      <c r="AJ5119">
        <v>129.30748048660601</v>
      </c>
      <c r="AK5119">
        <v>0.76329908659731205</v>
      </c>
      <c r="AL5119">
        <v>65.725134080080295</v>
      </c>
      <c r="AM5119">
        <v>106.37492988359099</v>
      </c>
      <c r="AN5119">
        <v>0.99999997199476898</v>
      </c>
    </row>
    <row r="5120" spans="1:40" x14ac:dyDescent="0.25">
      <c r="A5120" t="str">
        <f>"20190304164749783"</f>
        <v>20190304164749783</v>
      </c>
      <c r="B5120" t="str">
        <f>"1551689269774411"</f>
        <v>1551689269774411</v>
      </c>
      <c r="C5120" t="s">
        <v>40</v>
      </c>
      <c r="D5120">
        <v>4.7042109999999999</v>
      </c>
      <c r="E5120">
        <v>0.41256199999999998</v>
      </c>
      <c r="F5120" t="s">
        <v>41</v>
      </c>
      <c r="G5120">
        <v>-294.50650000000002</v>
      </c>
      <c r="H5120">
        <v>1.0223899999999999</v>
      </c>
      <c r="I5120">
        <v>-48.62444</v>
      </c>
      <c r="J5120">
        <v>-295.09480000000002</v>
      </c>
      <c r="K5120">
        <v>1.1181179999999999</v>
      </c>
      <c r="L5120">
        <v>-48.633760000000002</v>
      </c>
      <c r="M5120">
        <v>0.63683230000000002</v>
      </c>
      <c r="N5120">
        <v>-9.7500810000000007E-3</v>
      </c>
      <c r="O5120">
        <v>-0.77094069999999904</v>
      </c>
      <c r="P5120">
        <v>0.75006379999999995</v>
      </c>
      <c r="Q5120">
        <v>0.4079506</v>
      </c>
      <c r="R5120">
        <v>-0.52055790000000002</v>
      </c>
      <c r="S5120">
        <v>3.2949220000000001</v>
      </c>
      <c r="T5120">
        <v>-0.34763810000000001</v>
      </c>
      <c r="U5120">
        <v>-1.3059689999999999</v>
      </c>
      <c r="V5120">
        <v>-0.25443369999999998</v>
      </c>
      <c r="W5120">
        <v>0.41185769999999999</v>
      </c>
      <c r="X5120">
        <v>0.87500669999999903</v>
      </c>
      <c r="Y5120">
        <v>-0.4777071</v>
      </c>
      <c r="Z5120">
        <v>8.5293140000000003E-2</v>
      </c>
      <c r="AA5120">
        <v>0.8743689</v>
      </c>
      <c r="AB5120">
        <v>29</v>
      </c>
      <c r="AC5120">
        <v>0.58830000000000304</v>
      </c>
      <c r="AD5120">
        <v>-9.5727999999999994E-2</v>
      </c>
      <c r="AE5120">
        <v>9.3199999999953303E-3</v>
      </c>
      <c r="AF5120">
        <v>-0.44765171689072403</v>
      </c>
      <c r="AG5120">
        <v>-9.5727999999999994E-2</v>
      </c>
      <c r="AH5120">
        <v>0.358003996956686</v>
      </c>
      <c r="AI5120">
        <v>99.481244047836199</v>
      </c>
      <c r="AJ5120">
        <v>141.34935343269399</v>
      </c>
      <c r="AK5120">
        <v>0.58113920144503695</v>
      </c>
      <c r="AL5120">
        <v>65.678413822678905</v>
      </c>
      <c r="AM5120">
        <v>106.213329022019</v>
      </c>
      <c r="AN5120">
        <v>0.99999999889493496</v>
      </c>
    </row>
    <row r="5121" spans="1:40" x14ac:dyDescent="0.25">
      <c r="A5121" t="str">
        <f>"20190304164749803"</f>
        <v>20190304164749803</v>
      </c>
      <c r="B5121" t="str">
        <f>"1551689269794907"</f>
        <v>1551689269794907</v>
      </c>
      <c r="C5121" t="s">
        <v>40</v>
      </c>
      <c r="D5121">
        <v>4.6841189999999999</v>
      </c>
      <c r="E5121">
        <v>0.41403970000000001</v>
      </c>
      <c r="F5121" t="s">
        <v>41</v>
      </c>
      <c r="G5121">
        <v>-294.18680000000001</v>
      </c>
      <c r="H5121">
        <v>1.0120100000000001</v>
      </c>
      <c r="I5121">
        <v>-49.013869999999997</v>
      </c>
      <c r="J5121">
        <v>-294.91410000000002</v>
      </c>
      <c r="K5121">
        <v>1.1181380000000001</v>
      </c>
      <c r="L5121">
        <v>-48.837339999999998</v>
      </c>
      <c r="M5121">
        <v>0.64413359999999997</v>
      </c>
      <c r="N5121">
        <v>-9.7474789999999999E-3</v>
      </c>
      <c r="O5121">
        <v>-0.7648509</v>
      </c>
      <c r="P5121">
        <v>0.75425989999999998</v>
      </c>
      <c r="Q5121">
        <v>0.40904699999999999</v>
      </c>
      <c r="R5121">
        <v>-0.51358779999999904</v>
      </c>
      <c r="S5121">
        <v>3.2595209999999999</v>
      </c>
      <c r="T5121">
        <v>-0.38092959999999998</v>
      </c>
      <c r="U5121">
        <v>-1.36496</v>
      </c>
      <c r="V5121">
        <v>-0.25379960000000001</v>
      </c>
      <c r="W5121">
        <v>0.41295189999999998</v>
      </c>
      <c r="X5121">
        <v>0.87467510000000004</v>
      </c>
      <c r="Y5121">
        <v>-0.4515632</v>
      </c>
      <c r="Z5121">
        <v>9.2702229999999997E-2</v>
      </c>
      <c r="AA5121">
        <v>0.88741029999999999</v>
      </c>
      <c r="AB5121">
        <v>29</v>
      </c>
      <c r="AC5121">
        <v>0.72730000000001305</v>
      </c>
      <c r="AD5121">
        <v>-0.106127999999999</v>
      </c>
      <c r="AE5121">
        <v>-0.17652999999999899</v>
      </c>
      <c r="AF5121">
        <v>-0.43386396896262103</v>
      </c>
      <c r="AG5121">
        <v>-0.106127999999999</v>
      </c>
      <c r="AH5121">
        <v>0.59162957780444803</v>
      </c>
      <c r="AI5121">
        <v>98.231008792943896</v>
      </c>
      <c r="AJ5121">
        <v>126.25398123393001</v>
      </c>
      <c r="AK5121">
        <v>0.74130064972389398</v>
      </c>
      <c r="AL5121">
        <v>65.609596578652997</v>
      </c>
      <c r="AM5121">
        <v>106.180848814629</v>
      </c>
      <c r="AN5121">
        <v>1.0000000196168899</v>
      </c>
    </row>
    <row r="5122" spans="1:40" x14ac:dyDescent="0.25">
      <c r="A5122" t="str">
        <f>"20190304164749829"</f>
        <v>20190304164749829</v>
      </c>
      <c r="B5122" t="str">
        <f>"1551689269824187"</f>
        <v>1551689269824187</v>
      </c>
      <c r="C5122" t="s">
        <v>40</v>
      </c>
      <c r="D5122">
        <v>4.6857449999999998</v>
      </c>
      <c r="E5122">
        <v>0.41571580000000002</v>
      </c>
      <c r="F5122" t="s">
        <v>41</v>
      </c>
      <c r="G5122">
        <v>-294.0222</v>
      </c>
      <c r="H5122">
        <v>1.015193</v>
      </c>
      <c r="I5122">
        <v>-49.205039999999997</v>
      </c>
      <c r="J5122">
        <v>-294.70010000000002</v>
      </c>
      <c r="K5122">
        <v>1.118152</v>
      </c>
      <c r="L5122">
        <v>-49.07358</v>
      </c>
      <c r="M5122">
        <v>0.65261210000000003</v>
      </c>
      <c r="N5122">
        <v>-9.7464119999999994E-3</v>
      </c>
      <c r="O5122">
        <v>-0.75762959999999901</v>
      </c>
      <c r="P5122">
        <v>0.76002049999999999</v>
      </c>
      <c r="Q5122">
        <v>0.40921289999999999</v>
      </c>
      <c r="R5122">
        <v>-0.50489019999999996</v>
      </c>
      <c r="S5122">
        <v>3.265625</v>
      </c>
      <c r="T5122">
        <v>-0.37686069999999999</v>
      </c>
      <c r="U5122">
        <v>-1.345459</v>
      </c>
      <c r="V5122">
        <v>-0.25406339999999999</v>
      </c>
      <c r="W5122">
        <v>0.41309829999999997</v>
      </c>
      <c r="X5122">
        <v>0.87452940000000001</v>
      </c>
      <c r="Y5122">
        <v>-0.44689780000000001</v>
      </c>
      <c r="Z5122">
        <v>9.1038369999999993E-2</v>
      </c>
      <c r="AA5122">
        <v>0.88994069999999903</v>
      </c>
      <c r="AB5122">
        <v>29</v>
      </c>
      <c r="AC5122">
        <v>0.67790000000002204</v>
      </c>
      <c r="AD5122">
        <v>-0.10295899999999999</v>
      </c>
      <c r="AE5122">
        <v>-0.13146000000000399</v>
      </c>
      <c r="AF5122">
        <v>-0.41852074452328603</v>
      </c>
      <c r="AG5122">
        <v>-0.10295899999999999</v>
      </c>
      <c r="AH5122">
        <v>0.53024147319081605</v>
      </c>
      <c r="AI5122">
        <v>98.6661191955004</v>
      </c>
      <c r="AJ5122">
        <v>128.284108768615</v>
      </c>
      <c r="AK5122">
        <v>0.68331265842869704</v>
      </c>
      <c r="AL5122">
        <v>65.600386803579795</v>
      </c>
      <c r="AM5122">
        <v>106.199342803934</v>
      </c>
      <c r="AN5122">
        <v>1.0000000440734</v>
      </c>
    </row>
    <row r="5123" spans="1:40" x14ac:dyDescent="0.25">
      <c r="A5123" t="str">
        <f>"20190304164749849"</f>
        <v>20190304164749849</v>
      </c>
      <c r="B5123" t="str">
        <f>"1551689269844686"</f>
        <v>1551689269844686</v>
      </c>
      <c r="C5123" t="s">
        <v>40</v>
      </c>
      <c r="D5123">
        <v>4.6522709999999998</v>
      </c>
      <c r="E5123">
        <v>0.41285769999999999</v>
      </c>
      <c r="F5123" t="s">
        <v>41</v>
      </c>
      <c r="G5123">
        <v>-293.82139999999998</v>
      </c>
      <c r="H5123">
        <v>1.0165459999999999</v>
      </c>
      <c r="I5123">
        <v>-49.428319999999999</v>
      </c>
      <c r="J5123">
        <v>-294.52519999999998</v>
      </c>
      <c r="K5123">
        <v>1.11818</v>
      </c>
      <c r="L5123">
        <v>-49.26276</v>
      </c>
      <c r="M5123">
        <v>0.65940929999999998</v>
      </c>
      <c r="N5123">
        <v>-9.7467270000000002E-3</v>
      </c>
      <c r="O5123">
        <v>-0.75172099999999997</v>
      </c>
      <c r="P5123">
        <v>0.76554509999999998</v>
      </c>
      <c r="Q5123">
        <v>0.40929850000000001</v>
      </c>
      <c r="R5123">
        <v>-0.49640279999999998</v>
      </c>
      <c r="S5123">
        <v>3.2730709999999998</v>
      </c>
      <c r="T5123">
        <v>-0.37848169999999998</v>
      </c>
      <c r="U5123">
        <v>-1.321655</v>
      </c>
      <c r="V5123">
        <v>-0.25591170000000002</v>
      </c>
      <c r="W5123">
        <v>0.4131321</v>
      </c>
      <c r="X5123">
        <v>0.87397429999999998</v>
      </c>
      <c r="Y5123">
        <v>-0.44509149999999997</v>
      </c>
      <c r="Z5123">
        <v>9.104313E-2</v>
      </c>
      <c r="AA5123">
        <v>0.89084490000000005</v>
      </c>
      <c r="AB5123">
        <v>29</v>
      </c>
      <c r="AC5123">
        <v>0.70380000000000098</v>
      </c>
      <c r="AD5123">
        <v>-0.101634</v>
      </c>
      <c r="AE5123">
        <v>-0.16555999999999901</v>
      </c>
      <c r="AF5123">
        <v>-0.41177270577649</v>
      </c>
      <c r="AG5123">
        <v>-0.101634</v>
      </c>
      <c r="AH5123">
        <v>0.57717020186861301</v>
      </c>
      <c r="AI5123">
        <v>98.157673610342897</v>
      </c>
      <c r="AJ5123">
        <v>125.50534229046799</v>
      </c>
      <c r="AK5123">
        <v>0.71624833200751503</v>
      </c>
      <c r="AL5123">
        <v>65.598259210333097</v>
      </c>
      <c r="AM5123">
        <v>106.320756835187</v>
      </c>
      <c r="AN5123">
        <v>1.0000000036538901</v>
      </c>
    </row>
    <row r="5124" spans="1:40" x14ac:dyDescent="0.25">
      <c r="A5124" t="str">
        <f>"20190304164749872"</f>
        <v>20190304164749872</v>
      </c>
      <c r="B5124" t="str">
        <f>"1551689269864203"</f>
        <v>1551689269864203</v>
      </c>
      <c r="C5124" t="s">
        <v>40</v>
      </c>
      <c r="D5124">
        <v>4.6515440000000003</v>
      </c>
      <c r="E5124">
        <v>0.41327009999999997</v>
      </c>
      <c r="F5124" t="s">
        <v>41</v>
      </c>
      <c r="G5124">
        <v>-293.66730000000001</v>
      </c>
      <c r="H5124">
        <v>1.038141</v>
      </c>
      <c r="I5124">
        <v>-49.591740000000001</v>
      </c>
      <c r="J5124">
        <v>-294.33010000000002</v>
      </c>
      <c r="K5124">
        <v>1.1182019999999999</v>
      </c>
      <c r="L5124">
        <v>-49.469970000000004</v>
      </c>
      <c r="M5124">
        <v>0.66685930000000004</v>
      </c>
      <c r="N5124">
        <v>-9.7479109999999997E-3</v>
      </c>
      <c r="O5124">
        <v>-0.74512019999999901</v>
      </c>
      <c r="P5124">
        <v>0.77083359999999901</v>
      </c>
      <c r="Q5124">
        <v>0.40975640000000002</v>
      </c>
      <c r="R5124">
        <v>-0.48776619999999998</v>
      </c>
      <c r="S5124">
        <v>3.2693479999999999</v>
      </c>
      <c r="T5124">
        <v>-0.30497879999999999</v>
      </c>
      <c r="U5124">
        <v>-1.252991</v>
      </c>
      <c r="V5124">
        <v>-0.25689089999999998</v>
      </c>
      <c r="W5124">
        <v>0.41355459999999999</v>
      </c>
      <c r="X5124">
        <v>0.87348709999999996</v>
      </c>
      <c r="Y5124">
        <v>-0.45381480000000002</v>
      </c>
      <c r="Z5124">
        <v>7.2962559999999996E-2</v>
      </c>
      <c r="AA5124">
        <v>0.888104</v>
      </c>
      <c r="AB5124">
        <v>29</v>
      </c>
      <c r="AC5124">
        <v>0.66280000000000405</v>
      </c>
      <c r="AD5124">
        <v>-8.0061000000000104E-2</v>
      </c>
      <c r="AE5124">
        <v>-0.12176999999999701</v>
      </c>
      <c r="AF5124">
        <v>-0.40693806757671402</v>
      </c>
      <c r="AG5124">
        <v>-8.0061000000000104E-2</v>
      </c>
      <c r="AH5124">
        <v>0.52533802835984</v>
      </c>
      <c r="AI5124">
        <v>96.869915168633796</v>
      </c>
      <c r="AJ5124">
        <v>127.762128722741</v>
      </c>
      <c r="AK5124">
        <v>0.66931935472170201</v>
      </c>
      <c r="AL5124">
        <v>65.571675031117294</v>
      </c>
      <c r="AM5124">
        <v>106.38850974595201</v>
      </c>
      <c r="AN5124">
        <v>1.0000000277751799</v>
      </c>
    </row>
    <row r="5125" spans="1:40" x14ac:dyDescent="0.25">
      <c r="A5125" t="str">
        <f>"20190304164749894"</f>
        <v>20190304164749894</v>
      </c>
      <c r="B5125" t="str">
        <f>"1551689269884699"</f>
        <v>1551689269884699</v>
      </c>
      <c r="C5125" t="s">
        <v>40</v>
      </c>
      <c r="D5125">
        <v>4.657794</v>
      </c>
      <c r="E5125">
        <v>0.41473589999999999</v>
      </c>
      <c r="F5125" t="s">
        <v>41</v>
      </c>
      <c r="G5125">
        <v>-293.45269999999999</v>
      </c>
      <c r="H5125">
        <v>1.036206</v>
      </c>
      <c r="I5125">
        <v>-49.796660000000003</v>
      </c>
      <c r="J5125">
        <v>-294.13440000000003</v>
      </c>
      <c r="K5125">
        <v>1.118215</v>
      </c>
      <c r="L5125">
        <v>-49.673769999999998</v>
      </c>
      <c r="M5125">
        <v>0.67419249999999997</v>
      </c>
      <c r="N5125">
        <v>-9.7498710000000002E-3</v>
      </c>
      <c r="O5125">
        <v>-0.73849129999999996</v>
      </c>
      <c r="P5125">
        <v>0.77601229999999999</v>
      </c>
      <c r="Q5125">
        <v>0.40972979999999998</v>
      </c>
      <c r="R5125">
        <v>-0.47950609999999999</v>
      </c>
      <c r="S5125">
        <v>3.2818299999999998</v>
      </c>
      <c r="T5125">
        <v>-0.30668250000000002</v>
      </c>
      <c r="U5125">
        <v>-1.221741</v>
      </c>
      <c r="V5125">
        <v>-0.25762049999999997</v>
      </c>
      <c r="W5125">
        <v>0.41349940000000002</v>
      </c>
      <c r="X5125">
        <v>0.87329829999999997</v>
      </c>
      <c r="Y5125">
        <v>-0.4535247</v>
      </c>
      <c r="Z5125">
        <v>7.3031230000000003E-2</v>
      </c>
      <c r="AA5125">
        <v>0.88824650000000005</v>
      </c>
      <c r="AB5125">
        <v>29</v>
      </c>
      <c r="AC5125">
        <v>0.68170000000003395</v>
      </c>
      <c r="AD5125">
        <v>-8.2008999999999999E-2</v>
      </c>
      <c r="AE5125">
        <v>-0.12288999999999101</v>
      </c>
      <c r="AF5125">
        <v>-0.41478406955705599</v>
      </c>
      <c r="AG5125">
        <v>-8.2008999999999999E-2</v>
      </c>
      <c r="AH5125">
        <v>0.54276853201084596</v>
      </c>
      <c r="AI5125">
        <v>96.845702745509797</v>
      </c>
      <c r="AJ5125">
        <v>127.38708637060201</v>
      </c>
      <c r="AK5125">
        <v>0.68801815367076002</v>
      </c>
      <c r="AL5125">
        <v>65.575147910785503</v>
      </c>
      <c r="AM5125">
        <v>106.43590842504</v>
      </c>
      <c r="AN5125">
        <v>0.99999999830175001</v>
      </c>
    </row>
    <row r="5126" spans="1:40" x14ac:dyDescent="0.25">
      <c r="A5126" t="str">
        <f>"20190304164749918"</f>
        <v>20190304164749918</v>
      </c>
      <c r="B5126" t="str">
        <f>"1551689269914955"</f>
        <v>1551689269914955</v>
      </c>
      <c r="C5126" t="s">
        <v>40</v>
      </c>
      <c r="D5126">
        <v>4.7114799999999999</v>
      </c>
      <c r="E5126">
        <v>0.42661850000000001</v>
      </c>
      <c r="F5126" t="s">
        <v>53</v>
      </c>
      <c r="G5126">
        <v>-282.14960000000002</v>
      </c>
      <c r="H5126" s="1">
        <v>-6.1426189999999997E-6</v>
      </c>
      <c r="I5126">
        <v>-54.03163</v>
      </c>
      <c r="J5126">
        <v>-293.92079999999999</v>
      </c>
      <c r="K5126">
        <v>1.1182289999999999</v>
      </c>
      <c r="L5126">
        <v>-49.891390000000001</v>
      </c>
      <c r="M5126">
        <v>0.68203309999999995</v>
      </c>
      <c r="N5126">
        <v>-9.752564E-3</v>
      </c>
      <c r="O5126">
        <v>-0.73125640000000003</v>
      </c>
      <c r="P5126">
        <v>0.78097050000000001</v>
      </c>
      <c r="Q5126">
        <v>0.41038570000000002</v>
      </c>
      <c r="R5126">
        <v>-0.47081729999999999</v>
      </c>
      <c r="S5126">
        <v>3.2889710000000001</v>
      </c>
      <c r="T5126">
        <v>-0.30687199999999998</v>
      </c>
      <c r="U5126">
        <v>-1.1959229999999901</v>
      </c>
      <c r="V5126">
        <v>-0.2578355</v>
      </c>
      <c r="W5126">
        <v>0.41413529999999998</v>
      </c>
      <c r="X5126">
        <v>0.87293339999999997</v>
      </c>
      <c r="Y5126">
        <v>-0.45081199999999999</v>
      </c>
      <c r="Z5126">
        <v>7.2642819999999997E-2</v>
      </c>
      <c r="AA5126">
        <v>0.88965810000000001</v>
      </c>
      <c r="AB5126">
        <v>29</v>
      </c>
      <c r="AC5126">
        <v>11.771199999999901</v>
      </c>
      <c r="AD5126">
        <v>-1.118235142619</v>
      </c>
      <c r="AE5126">
        <v>-4.1402400000000004</v>
      </c>
      <c r="AF5126">
        <v>-5.7381758315259201</v>
      </c>
      <c r="AG5126">
        <v>-1.118235142619</v>
      </c>
      <c r="AH5126">
        <v>10.9683628166449</v>
      </c>
      <c r="AI5126">
        <v>95.161837614430198</v>
      </c>
      <c r="AJ5126">
        <v>117.61663030594799</v>
      </c>
      <c r="AK5126">
        <v>12.429082612375501</v>
      </c>
      <c r="AL5126">
        <v>65.535124857203101</v>
      </c>
      <c r="AM5126">
        <v>106.45538817124999</v>
      </c>
      <c r="AN5126">
        <v>0.99999995630094896</v>
      </c>
    </row>
    <row r="5127" spans="1:40" x14ac:dyDescent="0.25">
      <c r="A5127" t="str">
        <f>"20190304164749940"</f>
        <v>20190304164749940</v>
      </c>
      <c r="B5127" t="str">
        <f>"1551689269924715"</f>
        <v>1551689269924715</v>
      </c>
      <c r="C5127" t="s">
        <v>40</v>
      </c>
      <c r="D5127">
        <v>4.6910889999999998</v>
      </c>
      <c r="E5127">
        <v>0.42660890000000001</v>
      </c>
      <c r="F5127" t="s">
        <v>41</v>
      </c>
      <c r="G5127">
        <v>-292.94690000000003</v>
      </c>
      <c r="H5127">
        <v>1.016778</v>
      </c>
      <c r="I5127">
        <v>-50.263300000000001</v>
      </c>
      <c r="J5127">
        <v>-293.72230000000002</v>
      </c>
      <c r="K5127">
        <v>1.11825</v>
      </c>
      <c r="L5127">
        <v>-50.08963</v>
      </c>
      <c r="M5127">
        <v>0.68917150000000005</v>
      </c>
      <c r="N5127">
        <v>-9.7553099999999997E-3</v>
      </c>
      <c r="O5127">
        <v>-0.72453279999999998</v>
      </c>
      <c r="P5127">
        <v>0.78515059999999903</v>
      </c>
      <c r="Q5127">
        <v>0.41053790000000001</v>
      </c>
      <c r="R5127">
        <v>-0.46367829999999899</v>
      </c>
      <c r="S5127">
        <v>3.2681269999999998</v>
      </c>
      <c r="T5127">
        <v>-0.34043190000000001</v>
      </c>
      <c r="U5127">
        <v>-1.2476499999999999</v>
      </c>
      <c r="V5127">
        <v>-0.25719750000000002</v>
      </c>
      <c r="W5127">
        <v>0.41428989999999999</v>
      </c>
      <c r="X5127">
        <v>0.8730483</v>
      </c>
      <c r="Y5127">
        <v>-0.4270333</v>
      </c>
      <c r="Z5127">
        <v>7.9747600000000002E-2</v>
      </c>
      <c r="AA5127">
        <v>0.90071239999999997</v>
      </c>
      <c r="AB5127">
        <v>29</v>
      </c>
      <c r="AC5127">
        <v>0.77539999999998999</v>
      </c>
      <c r="AD5127">
        <v>-0.10147200000000001</v>
      </c>
      <c r="AE5127">
        <v>-0.17367000000000099</v>
      </c>
      <c r="AF5127">
        <v>-0.43504092543191503</v>
      </c>
      <c r="AG5127">
        <v>-0.10147200000000001</v>
      </c>
      <c r="AH5127">
        <v>0.64965043220477803</v>
      </c>
      <c r="AI5127">
        <v>97.394668040970103</v>
      </c>
      <c r="AJ5127">
        <v>123.80839550869101</v>
      </c>
      <c r="AK5127">
        <v>0.78841794604671001</v>
      </c>
      <c r="AL5127">
        <v>65.525394059144404</v>
      </c>
      <c r="AM5127">
        <v>106.414820689889</v>
      </c>
      <c r="AN5127">
        <v>1.0000000046905699</v>
      </c>
    </row>
    <row r="5128" spans="1:40" x14ac:dyDescent="0.25">
      <c r="A5128" t="str">
        <f>"20190304164749961"</f>
        <v>20190304164749961</v>
      </c>
      <c r="B5128" t="str">
        <f>"1551689269953995"</f>
        <v>1551689269953995</v>
      </c>
      <c r="C5128" t="s">
        <v>40</v>
      </c>
      <c r="D5128">
        <v>4.6794859999999998</v>
      </c>
      <c r="E5128">
        <v>0.41059800000000002</v>
      </c>
      <c r="F5128" t="s">
        <v>41</v>
      </c>
      <c r="G5128">
        <v>-292.76740000000001</v>
      </c>
      <c r="H5128">
        <v>1.0185789999999999</v>
      </c>
      <c r="I5128">
        <v>-50.444119999999998</v>
      </c>
      <c r="J5128">
        <v>-293.52089999999998</v>
      </c>
      <c r="K5128">
        <v>1.1182669999999999</v>
      </c>
      <c r="L5128">
        <v>-50.286929999999998</v>
      </c>
      <c r="M5128">
        <v>0.69627430000000001</v>
      </c>
      <c r="N5128">
        <v>-9.7585199999999997E-3</v>
      </c>
      <c r="O5128">
        <v>-0.7177095</v>
      </c>
      <c r="P5128">
        <v>0.78968819999999995</v>
      </c>
      <c r="Q5128">
        <v>0.41022130000000001</v>
      </c>
      <c r="R5128">
        <v>-0.45619219999999999</v>
      </c>
      <c r="S5128">
        <v>3.2807309999999998</v>
      </c>
      <c r="T5128">
        <v>-0.34243430000000002</v>
      </c>
      <c r="U5128">
        <v>-1.217957</v>
      </c>
      <c r="V5128">
        <v>-0.25703100000000001</v>
      </c>
      <c r="W5128">
        <v>0.41396870000000002</v>
      </c>
      <c r="X5128">
        <v>0.87324969999999902</v>
      </c>
      <c r="Y5128">
        <v>-0.42640859999999903</v>
      </c>
      <c r="Z5128">
        <v>7.9758839999999998E-2</v>
      </c>
      <c r="AA5128">
        <v>0.90100729999999996</v>
      </c>
      <c r="AB5128">
        <v>29</v>
      </c>
      <c r="AC5128">
        <v>0.75349999999997397</v>
      </c>
      <c r="AD5128">
        <v>-9.9687999999999694E-2</v>
      </c>
      <c r="AE5128">
        <v>-0.157189999999999</v>
      </c>
      <c r="AF5128">
        <v>-0.42425118319188099</v>
      </c>
      <c r="AG5128">
        <v>-9.9687999999999694E-2</v>
      </c>
      <c r="AH5128">
        <v>0.62697336095388401</v>
      </c>
      <c r="AI5128">
        <v>97.501782400748695</v>
      </c>
      <c r="AJ5128">
        <v>124.084852436963</v>
      </c>
      <c r="AK5128">
        <v>0.76355900828260903</v>
      </c>
      <c r="AL5128">
        <v>65.545613370085405</v>
      </c>
      <c r="AM5128">
        <v>106.401185687634</v>
      </c>
      <c r="AN5128">
        <v>1.0000000290453801</v>
      </c>
    </row>
    <row r="5129" spans="1:40" x14ac:dyDescent="0.25">
      <c r="A5129" t="str">
        <f>"20190304164749983"</f>
        <v>20190304164749983</v>
      </c>
      <c r="B5129" t="str">
        <f>"1551689269974491"</f>
        <v>1551689269974491</v>
      </c>
      <c r="C5129" t="s">
        <v>40</v>
      </c>
      <c r="D5129">
        <v>4.6713459999999998</v>
      </c>
      <c r="E5129">
        <v>0.41074250000000001</v>
      </c>
      <c r="F5129" t="s">
        <v>41</v>
      </c>
      <c r="G5129">
        <v>-292.5652</v>
      </c>
      <c r="H5129">
        <v>1.0298339999999999</v>
      </c>
      <c r="I5129">
        <v>-50.592590000000001</v>
      </c>
      <c r="J5129">
        <v>-293.31950000000001</v>
      </c>
      <c r="K5129">
        <v>1.1182859999999999</v>
      </c>
      <c r="L5129">
        <v>-50.480409999999999</v>
      </c>
      <c r="M5129">
        <v>0.70323230000000003</v>
      </c>
      <c r="N5129">
        <v>-9.7614910000000006E-3</v>
      </c>
      <c r="O5129">
        <v>-0.7108932</v>
      </c>
      <c r="P5129">
        <v>0.79424349999999999</v>
      </c>
      <c r="Q5129">
        <v>0.40937780000000001</v>
      </c>
      <c r="R5129">
        <v>-0.44898500000000002</v>
      </c>
      <c r="S5129">
        <v>3.342285</v>
      </c>
      <c r="T5129">
        <v>-0.30928349999999999</v>
      </c>
      <c r="U5129">
        <v>-1.068665</v>
      </c>
      <c r="V5129">
        <v>-0.25678289999999998</v>
      </c>
      <c r="W5129">
        <v>0.4131261</v>
      </c>
      <c r="X5129">
        <v>0.87372159999999999</v>
      </c>
      <c r="Y5129">
        <v>-0.45950800000000003</v>
      </c>
      <c r="Z5129">
        <v>7.230338E-2</v>
      </c>
      <c r="AA5129">
        <v>0.88522579999999995</v>
      </c>
      <c r="AB5129">
        <v>29</v>
      </c>
      <c r="AC5129">
        <v>0.75429999999999997</v>
      </c>
      <c r="AD5129">
        <v>-8.8452000000000197E-2</v>
      </c>
      <c r="AE5129">
        <v>-0.112180000000002</v>
      </c>
      <c r="AF5129">
        <v>-0.45128862640540401</v>
      </c>
      <c r="AG5129">
        <v>-8.8452000000000197E-2</v>
      </c>
      <c r="AH5129">
        <v>0.60212465421296402</v>
      </c>
      <c r="AI5129">
        <v>96.704261931829194</v>
      </c>
      <c r="AJ5129">
        <v>126.851326947015</v>
      </c>
      <c r="AK5129">
        <v>0.75765379946117695</v>
      </c>
      <c r="AL5129">
        <v>65.598637475530197</v>
      </c>
      <c r="AM5129">
        <v>106.377828153509</v>
      </c>
      <c r="AN5129">
        <v>1.00000003327008</v>
      </c>
    </row>
    <row r="5130" spans="1:40" x14ac:dyDescent="0.25">
      <c r="A5130" t="str">
        <f>"20190304164750005"</f>
        <v>20190304164750005</v>
      </c>
      <c r="B5130" t="str">
        <f>"1551689269994011"</f>
        <v>1551689269994011</v>
      </c>
      <c r="C5130" t="s">
        <v>40</v>
      </c>
      <c r="D5130">
        <v>4.6751950000000004</v>
      </c>
      <c r="E5130">
        <v>0.41109240000000002</v>
      </c>
      <c r="F5130" t="s">
        <v>41</v>
      </c>
      <c r="G5130">
        <v>-292.38229999999999</v>
      </c>
      <c r="H5130">
        <v>1.030343</v>
      </c>
      <c r="I5130">
        <v>-50.771090000000001</v>
      </c>
      <c r="J5130">
        <v>-293.1121</v>
      </c>
      <c r="K5130">
        <v>1.11829</v>
      </c>
      <c r="L5130">
        <v>-50.675960000000003</v>
      </c>
      <c r="M5130">
        <v>0.71024540000000003</v>
      </c>
      <c r="N5130">
        <v>-9.76372E-3</v>
      </c>
      <c r="O5130">
        <v>-0.70388660000000003</v>
      </c>
      <c r="P5130">
        <v>0.799153</v>
      </c>
      <c r="Q5130">
        <v>0.40765889999999999</v>
      </c>
      <c r="R5130">
        <v>-0.44177899999999998</v>
      </c>
      <c r="S5130">
        <v>3.3514710000000001</v>
      </c>
      <c r="T5130">
        <v>-0.31448219999999999</v>
      </c>
      <c r="U5130">
        <v>-1.039795</v>
      </c>
      <c r="V5130">
        <v>-0.25662119999999999</v>
      </c>
      <c r="W5130">
        <v>0.41141359999999899</v>
      </c>
      <c r="X5130">
        <v>0.87457669999999998</v>
      </c>
      <c r="Y5130">
        <v>-0.45825199999999999</v>
      </c>
      <c r="Z5130">
        <v>7.3157940000000005E-2</v>
      </c>
      <c r="AA5130">
        <v>0.88580639999999999</v>
      </c>
      <c r="AB5130">
        <v>29</v>
      </c>
      <c r="AC5130">
        <v>0.729800000000011</v>
      </c>
      <c r="AD5130">
        <v>-8.7946999999999997E-2</v>
      </c>
      <c r="AE5130">
        <v>-9.51300000000046E-2</v>
      </c>
      <c r="AF5130">
        <v>-0.43987082205815198</v>
      </c>
      <c r="AG5130">
        <v>-8.7946999999999997E-2</v>
      </c>
      <c r="AH5130">
        <v>0.57708510137912605</v>
      </c>
      <c r="AI5130">
        <v>96.910757496645999</v>
      </c>
      <c r="AJ5130">
        <v>127.315689466642</v>
      </c>
      <c r="AK5130">
        <v>0.73092286127940398</v>
      </c>
      <c r="AL5130">
        <v>65.706334009191906</v>
      </c>
      <c r="AM5130">
        <v>106.35291886907601</v>
      </c>
      <c r="AN5130">
        <v>0.99999999736864398</v>
      </c>
    </row>
    <row r="5131" spans="1:40" x14ac:dyDescent="0.25">
      <c r="A5131" t="str">
        <f>"20190304164750028"</f>
        <v>20190304164750028</v>
      </c>
      <c r="B5131" t="str">
        <f>"1551689270024267"</f>
        <v>1551689270024267</v>
      </c>
      <c r="C5131" t="s">
        <v>40</v>
      </c>
      <c r="D5131">
        <v>4.6752940000000001</v>
      </c>
      <c r="E5131">
        <v>0.41284579999999999</v>
      </c>
      <c r="F5131" t="s">
        <v>41</v>
      </c>
      <c r="G5131">
        <v>-292.19909999999999</v>
      </c>
      <c r="H5131">
        <v>1.0300210000000001</v>
      </c>
      <c r="I5131">
        <v>-50.950989999999997</v>
      </c>
      <c r="J5131">
        <v>-292.8965</v>
      </c>
      <c r="K5131">
        <v>1.1182780000000001</v>
      </c>
      <c r="L5131">
        <v>-50.875149999999998</v>
      </c>
      <c r="M5131">
        <v>0.71735530000000003</v>
      </c>
      <c r="N5131">
        <v>-9.7643379999999991E-3</v>
      </c>
      <c r="O5131">
        <v>-0.69663929999999996</v>
      </c>
      <c r="P5131">
        <v>0.80428459999999902</v>
      </c>
      <c r="Q5131">
        <v>0.40663569999999999</v>
      </c>
      <c r="R5131">
        <v>-0.43332890000000002</v>
      </c>
      <c r="S5131">
        <v>3.3600460000000001</v>
      </c>
      <c r="T5131">
        <v>-0.32486409999999999</v>
      </c>
      <c r="U5131">
        <v>-1.0123599999999999</v>
      </c>
      <c r="V5131">
        <v>-0.25730130000000001</v>
      </c>
      <c r="W5131">
        <v>0.4103832</v>
      </c>
      <c r="X5131">
        <v>0.87486090000000005</v>
      </c>
      <c r="Y5131">
        <v>-0.45626620000000001</v>
      </c>
      <c r="Z5131">
        <v>7.5219770000000005E-2</v>
      </c>
      <c r="AA5131">
        <v>0.88665839999999996</v>
      </c>
      <c r="AB5131">
        <v>29</v>
      </c>
      <c r="AC5131">
        <v>0.69740000000001501</v>
      </c>
      <c r="AD5131">
        <v>-8.8257000000000196E-2</v>
      </c>
      <c r="AE5131">
        <v>-7.5840000000006499E-2</v>
      </c>
      <c r="AF5131">
        <v>-0.42472986429890103</v>
      </c>
      <c r="AG5131">
        <v>-8.8257000000000196E-2</v>
      </c>
      <c r="AH5131">
        <v>0.54452422069527595</v>
      </c>
      <c r="AI5131">
        <v>97.282982917190395</v>
      </c>
      <c r="AJ5131">
        <v>127.954294473682</v>
      </c>
      <c r="AK5131">
        <v>0.696197804219577</v>
      </c>
      <c r="AL5131">
        <v>65.771089924761995</v>
      </c>
      <c r="AM5131">
        <v>106.38889359485</v>
      </c>
      <c r="AN5131">
        <v>0.99999996208636899</v>
      </c>
    </row>
    <row r="5132" spans="1:40" x14ac:dyDescent="0.25">
      <c r="A5132" t="str">
        <f>"20190304164750050"</f>
        <v>20190304164750050</v>
      </c>
      <c r="B5132" t="str">
        <f>"1551689270044763"</f>
        <v>1551689270044763</v>
      </c>
      <c r="C5132" t="s">
        <v>40</v>
      </c>
      <c r="D5132">
        <v>4.6945620000000003</v>
      </c>
      <c r="E5132">
        <v>0.4134137</v>
      </c>
      <c r="F5132" t="s">
        <v>41</v>
      </c>
      <c r="G5132">
        <v>-292.01589999999999</v>
      </c>
      <c r="H5132">
        <v>1.032529</v>
      </c>
      <c r="I5132">
        <v>-51.134909999999998</v>
      </c>
      <c r="J5132">
        <v>-292.67970000000003</v>
      </c>
      <c r="K5132">
        <v>1.1182479999999999</v>
      </c>
      <c r="L5132">
        <v>-51.071689999999997</v>
      </c>
      <c r="M5132">
        <v>0.72431239999999997</v>
      </c>
      <c r="N5132">
        <v>-9.7622690000000005E-3</v>
      </c>
      <c r="O5132">
        <v>-0.68940279999999998</v>
      </c>
      <c r="P5132">
        <v>0.81035699999999999</v>
      </c>
      <c r="Q5132">
        <v>0.40447070000000002</v>
      </c>
      <c r="R5132">
        <v>-0.42393989999999998</v>
      </c>
      <c r="S5132">
        <v>3.361389</v>
      </c>
      <c r="T5132">
        <v>-0.32731700000000002</v>
      </c>
      <c r="U5132">
        <v>-0.991394</v>
      </c>
      <c r="V5132">
        <v>-0.25938860000000002</v>
      </c>
      <c r="W5132">
        <v>0.40819440000000001</v>
      </c>
      <c r="X5132">
        <v>0.87526849999999901</v>
      </c>
      <c r="Y5132">
        <v>-0.4524783</v>
      </c>
      <c r="Z5132">
        <v>7.5335289999999999E-2</v>
      </c>
      <c r="AA5132">
        <v>0.88858769999999998</v>
      </c>
      <c r="AB5132">
        <v>29</v>
      </c>
      <c r="AC5132">
        <v>0.66380000000003703</v>
      </c>
      <c r="AD5132">
        <v>-8.5718999999999795E-2</v>
      </c>
      <c r="AE5132">
        <v>-6.3219999999994003E-2</v>
      </c>
      <c r="AF5132">
        <v>-0.40515867511502301</v>
      </c>
      <c r="AG5132">
        <v>-8.5718999999999795E-2</v>
      </c>
      <c r="AH5132">
        <v>0.51588232864741801</v>
      </c>
      <c r="AI5132">
        <v>97.445023890902704</v>
      </c>
      <c r="AJ5132">
        <v>128.14503968026901</v>
      </c>
      <c r="AK5132">
        <v>0.66154053238833699</v>
      </c>
      <c r="AL5132">
        <v>65.908540587481397</v>
      </c>
      <c r="AM5132">
        <v>106.507357293892</v>
      </c>
      <c r="AN5132">
        <v>1.00000003054678</v>
      </c>
    </row>
    <row r="5133" spans="1:40" x14ac:dyDescent="0.25">
      <c r="A5133" t="str">
        <f>"20190304164750073"</f>
        <v>20190304164750073</v>
      </c>
      <c r="B5133" t="str">
        <f>"1551689270064283"</f>
        <v>1551689270064283</v>
      </c>
      <c r="C5133" t="s">
        <v>40</v>
      </c>
      <c r="D5133">
        <v>4.6882419999999998</v>
      </c>
      <c r="E5133">
        <v>0.41346759999999999</v>
      </c>
      <c r="F5133" t="s">
        <v>41</v>
      </c>
      <c r="G5133">
        <v>-291.78300000000002</v>
      </c>
      <c r="H5133">
        <v>1.0294719999999999</v>
      </c>
      <c r="I5133">
        <v>-51.327350000000003</v>
      </c>
      <c r="J5133">
        <v>-292.46640000000002</v>
      </c>
      <c r="K5133">
        <v>1.1181970000000001</v>
      </c>
      <c r="L5133">
        <v>-51.261380000000003</v>
      </c>
      <c r="M5133">
        <v>0.73096000000000005</v>
      </c>
      <c r="N5133">
        <v>-9.7574979999999999E-3</v>
      </c>
      <c r="O5133">
        <v>-0.68235059999999903</v>
      </c>
      <c r="P5133">
        <v>0.81660239999999995</v>
      </c>
      <c r="Q5133">
        <v>0.40173389999999998</v>
      </c>
      <c r="R5133">
        <v>-0.41445219999999999</v>
      </c>
      <c r="S5133">
        <v>3.366638</v>
      </c>
      <c r="T5133">
        <v>-0.33324019999999999</v>
      </c>
      <c r="U5133">
        <v>-0.95907589999999998</v>
      </c>
      <c r="V5133">
        <v>-0.2619571</v>
      </c>
      <c r="W5133">
        <v>0.40543669999999998</v>
      </c>
      <c r="X5133">
        <v>0.87578509999999998</v>
      </c>
      <c r="Y5133">
        <v>-0.45195449999999998</v>
      </c>
      <c r="Z5133">
        <v>7.6420379999999996E-2</v>
      </c>
      <c r="AA5133">
        <v>0.88876149999999998</v>
      </c>
      <c r="AB5133">
        <v>29</v>
      </c>
      <c r="AC5133">
        <v>0.683400000000006</v>
      </c>
      <c r="AD5133">
        <v>-8.8724999999999901E-2</v>
      </c>
      <c r="AE5133">
        <v>-6.5970000000007106E-2</v>
      </c>
      <c r="AF5133">
        <v>-0.41124904081423103</v>
      </c>
      <c r="AG5133">
        <v>-8.8724999999999901E-2</v>
      </c>
      <c r="AH5133">
        <v>0.53563361096369599</v>
      </c>
      <c r="AI5133">
        <v>97.485001008605494</v>
      </c>
      <c r="AJ5133">
        <v>127.51635114386301</v>
      </c>
      <c r="AK5133">
        <v>0.68110297634765504</v>
      </c>
      <c r="AL5133">
        <v>66.081503860522702</v>
      </c>
      <c r="AM5133">
        <v>106.652511164491</v>
      </c>
      <c r="AN5133">
        <v>0.99999999066465495</v>
      </c>
    </row>
    <row r="5134" spans="1:40" x14ac:dyDescent="0.25">
      <c r="A5134" t="str">
        <f>"20190304164750096"</f>
        <v>20190304164750096</v>
      </c>
      <c r="B5134" t="str">
        <f>"1551689270084779"</f>
        <v>1551689270084779</v>
      </c>
      <c r="C5134" t="s">
        <v>40</v>
      </c>
      <c r="D5134">
        <v>4.669092</v>
      </c>
      <c r="E5134">
        <v>0.41404550000000001</v>
      </c>
      <c r="F5134" t="s">
        <v>41</v>
      </c>
      <c r="G5134">
        <v>-291.55829999999997</v>
      </c>
      <c r="H5134">
        <v>1.02752</v>
      </c>
      <c r="I5134">
        <v>-51.50911</v>
      </c>
      <c r="J5134">
        <v>-292.24450000000002</v>
      </c>
      <c r="K5134">
        <v>1.118117</v>
      </c>
      <c r="L5134">
        <v>-51.454990000000002</v>
      </c>
      <c r="M5134">
        <v>0.73765400000000003</v>
      </c>
      <c r="N5134">
        <v>-9.7503120000000006E-3</v>
      </c>
      <c r="O5134">
        <v>-0.67510859999999995</v>
      </c>
      <c r="P5134">
        <v>0.82255829999999996</v>
      </c>
      <c r="Q5134">
        <v>0.39840799999999998</v>
      </c>
      <c r="R5134">
        <v>-0.40579480000000001</v>
      </c>
      <c r="S5134">
        <v>3.372681</v>
      </c>
      <c r="T5134">
        <v>-0.33673199999999998</v>
      </c>
      <c r="U5134">
        <v>-0.91958620000000002</v>
      </c>
      <c r="V5134">
        <v>-0.26355000000000001</v>
      </c>
      <c r="W5134">
        <v>0.40212389999999998</v>
      </c>
      <c r="X5134">
        <v>0.876834</v>
      </c>
      <c r="Y5134">
        <v>-0.45315899999999998</v>
      </c>
      <c r="Z5134">
        <v>7.6986139999999995E-2</v>
      </c>
      <c r="AA5134">
        <v>0.88809910000000003</v>
      </c>
      <c r="AB5134">
        <v>29</v>
      </c>
      <c r="AC5134">
        <v>0.686200000000042</v>
      </c>
      <c r="AD5134">
        <v>-9.0596999999999997E-2</v>
      </c>
      <c r="AE5134">
        <v>-5.4119999999997503E-2</v>
      </c>
      <c r="AF5134">
        <v>-0.41614867750060802</v>
      </c>
      <c r="AG5134">
        <v>-9.0596999999999997E-2</v>
      </c>
      <c r="AH5134">
        <v>0.533498807847401</v>
      </c>
      <c r="AI5134">
        <v>97.626454954313502</v>
      </c>
      <c r="AJ5134">
        <v>127.955540077951</v>
      </c>
      <c r="AK5134">
        <v>0.68264816426113895</v>
      </c>
      <c r="AL5134">
        <v>66.2889801845607</v>
      </c>
      <c r="AM5134">
        <v>106.729201821553</v>
      </c>
      <c r="AN5134">
        <v>1.0000000485036</v>
      </c>
    </row>
    <row r="5135" spans="1:40" x14ac:dyDescent="0.25">
      <c r="A5135" t="str">
        <f>"20190304164750118"</f>
        <v>20190304164750118</v>
      </c>
      <c r="B5135" t="str">
        <f>"1551689270114059"</f>
        <v>1551689270114059</v>
      </c>
      <c r="C5135" t="s">
        <v>40</v>
      </c>
      <c r="D5135">
        <v>4.6937389999999999</v>
      </c>
      <c r="E5135">
        <v>0.41542400000000002</v>
      </c>
      <c r="F5135" t="s">
        <v>41</v>
      </c>
      <c r="G5135">
        <v>-291.19420000000002</v>
      </c>
      <c r="H5135">
        <v>1.0118149999999999</v>
      </c>
      <c r="I5135">
        <v>-51.729570000000002</v>
      </c>
      <c r="J5135">
        <v>-292.01749999999998</v>
      </c>
      <c r="K5135">
        <v>1.1180289999999999</v>
      </c>
      <c r="L5135">
        <v>-51.649140000000003</v>
      </c>
      <c r="M5135">
        <v>0.74426979999999998</v>
      </c>
      <c r="N5135">
        <v>-9.7415890000000002E-3</v>
      </c>
      <c r="O5135">
        <v>-0.66780830000000002</v>
      </c>
      <c r="P5135">
        <v>0.82835910000000001</v>
      </c>
      <c r="Q5135">
        <v>0.39545669999999999</v>
      </c>
      <c r="R5135">
        <v>-0.39678170000000001</v>
      </c>
      <c r="S5135">
        <v>3.377075</v>
      </c>
      <c r="T5135">
        <v>-0.34180359999999999</v>
      </c>
      <c r="U5135">
        <v>-0.88308719999999996</v>
      </c>
      <c r="V5135">
        <v>-0.26531179999999999</v>
      </c>
      <c r="W5135">
        <v>0.39918749999999997</v>
      </c>
      <c r="X5135">
        <v>0.87764399999999998</v>
      </c>
      <c r="Y5135">
        <v>-0.45351609999999998</v>
      </c>
      <c r="Z5135">
        <v>7.788639E-2</v>
      </c>
      <c r="AA5135">
        <v>0.88783829999999997</v>
      </c>
      <c r="AB5135">
        <v>29</v>
      </c>
      <c r="AC5135">
        <v>0.82329999999995995</v>
      </c>
      <c r="AD5135">
        <v>-0.106214</v>
      </c>
      <c r="AE5135">
        <v>-8.0429999999999696E-2</v>
      </c>
      <c r="AF5135">
        <v>-0.48202138464041899</v>
      </c>
      <c r="AG5135">
        <v>-0.106214</v>
      </c>
      <c r="AH5135">
        <v>0.65569076542498805</v>
      </c>
      <c r="AI5135">
        <v>97.435963688583996</v>
      </c>
      <c r="AJ5135">
        <v>126.32091677313799</v>
      </c>
      <c r="AK5135">
        <v>0.82070482447118198</v>
      </c>
      <c r="AL5135">
        <v>66.472605024255103</v>
      </c>
      <c r="AM5135">
        <v>106.820068046529</v>
      </c>
      <c r="AN5135">
        <v>1.0000000010557399</v>
      </c>
    </row>
    <row r="5136" spans="1:40" x14ac:dyDescent="0.25">
      <c r="A5136" t="str">
        <f>"20190304164750142"</f>
        <v>20190304164750142</v>
      </c>
      <c r="B5136" t="str">
        <f>"1551689270134555"</f>
        <v>1551689270134555</v>
      </c>
      <c r="C5136" t="s">
        <v>40</v>
      </c>
      <c r="D5136">
        <v>4.6974749999999998</v>
      </c>
      <c r="E5136">
        <v>0.41636800000000002</v>
      </c>
      <c r="F5136" t="s">
        <v>41</v>
      </c>
      <c r="G5136">
        <v>-291.00229999999999</v>
      </c>
      <c r="H5136">
        <v>1.01403</v>
      </c>
      <c r="I5136">
        <v>-51.905610000000003</v>
      </c>
      <c r="J5136">
        <v>-291.78160000000003</v>
      </c>
      <c r="K5136">
        <v>1.1179479999999999</v>
      </c>
      <c r="L5136">
        <v>-51.847110000000001</v>
      </c>
      <c r="M5136">
        <v>0.75092269999999905</v>
      </c>
      <c r="N5136">
        <v>-9.7349940000000003E-3</v>
      </c>
      <c r="O5136">
        <v>-0.66031859999999998</v>
      </c>
      <c r="P5136">
        <v>0.83357359999999903</v>
      </c>
      <c r="Q5136">
        <v>0.3944454</v>
      </c>
      <c r="R5136">
        <v>-0.38674049999999999</v>
      </c>
      <c r="S5136">
        <v>3.378479</v>
      </c>
      <c r="T5136">
        <v>-0.34606530000000002</v>
      </c>
      <c r="U5136">
        <v>-0.85247799999999996</v>
      </c>
      <c r="V5136">
        <v>-0.26736090000000001</v>
      </c>
      <c r="W5136">
        <v>0.39817740000000001</v>
      </c>
      <c r="X5136">
        <v>0.87748099999999996</v>
      </c>
      <c r="Y5136">
        <v>-0.45213579999999998</v>
      </c>
      <c r="Z5136">
        <v>7.850356E-2</v>
      </c>
      <c r="AA5136">
        <v>0.88848780000000005</v>
      </c>
      <c r="AB5136">
        <v>30</v>
      </c>
      <c r="AC5136">
        <v>0.77930000000003397</v>
      </c>
      <c r="AD5136">
        <v>-0.103917999999999</v>
      </c>
      <c r="AE5136">
        <v>-5.8499999999995098E-2</v>
      </c>
      <c r="AF5136">
        <v>-0.46250157400966402</v>
      </c>
      <c r="AG5136">
        <v>-0.103917999999999</v>
      </c>
      <c r="AH5136">
        <v>0.61301285567140795</v>
      </c>
      <c r="AI5136">
        <v>97.706734006359397</v>
      </c>
      <c r="AJ5136">
        <v>127.033563145469</v>
      </c>
      <c r="AK5136">
        <v>0.77491381321010899</v>
      </c>
      <c r="AL5136">
        <v>66.535711683494</v>
      </c>
      <c r="AM5136">
        <v>106.94552699049299</v>
      </c>
      <c r="AN5136">
        <v>0.99999999904028403</v>
      </c>
    </row>
    <row r="5137" spans="1:40" x14ac:dyDescent="0.25">
      <c r="A5137" t="str">
        <f>"20190304164750162"</f>
        <v>20190304164750162</v>
      </c>
      <c r="B5137" t="str">
        <f>"1551689270154075"</f>
        <v>1551689270154075</v>
      </c>
      <c r="C5137" t="s">
        <v>40</v>
      </c>
      <c r="D5137">
        <v>4.6859840000000004</v>
      </c>
      <c r="E5137">
        <v>0.41753669999999998</v>
      </c>
      <c r="F5137" t="s">
        <v>41</v>
      </c>
      <c r="G5137">
        <v>-290.80919999999998</v>
      </c>
      <c r="H5137">
        <v>1.0186710000000001</v>
      </c>
      <c r="I5137">
        <v>-52.081710000000001</v>
      </c>
      <c r="J5137">
        <v>-291.57350000000002</v>
      </c>
      <c r="K5137">
        <v>1.117885</v>
      </c>
      <c r="L5137">
        <v>-52.018680000000003</v>
      </c>
      <c r="M5137">
        <v>0.75661080000000003</v>
      </c>
      <c r="N5137">
        <v>-9.7346450000000001E-3</v>
      </c>
      <c r="O5137">
        <v>-0.65379299999999996</v>
      </c>
      <c r="P5137">
        <v>0.83730389999999999</v>
      </c>
      <c r="Q5137">
        <v>0.39391900000000002</v>
      </c>
      <c r="R5137">
        <v>-0.37914369999999997</v>
      </c>
      <c r="S5137">
        <v>3.3836059999999999</v>
      </c>
      <c r="T5137">
        <v>-0.34546769999999999</v>
      </c>
      <c r="U5137">
        <v>-0.81655880000000003</v>
      </c>
      <c r="V5137">
        <v>-0.26784229999999998</v>
      </c>
      <c r="W5137">
        <v>0.39767910000000001</v>
      </c>
      <c r="X5137">
        <v>0.87756009999999995</v>
      </c>
      <c r="Y5137">
        <v>-0.45365460000000002</v>
      </c>
      <c r="Z5137">
        <v>7.8088669999999999E-2</v>
      </c>
      <c r="AA5137">
        <v>0.88774979999999903</v>
      </c>
      <c r="AB5137">
        <v>30</v>
      </c>
      <c r="AC5137">
        <v>0.76430000000004805</v>
      </c>
      <c r="AD5137">
        <v>-9.9214000000000094E-2</v>
      </c>
      <c r="AE5137">
        <v>-6.3030000000004804E-2</v>
      </c>
      <c r="AF5137">
        <v>-0.44458526812083299</v>
      </c>
      <c r="AG5137">
        <v>-9.9214000000000094E-2</v>
      </c>
      <c r="AH5137">
        <v>0.60931750001056595</v>
      </c>
      <c r="AI5137">
        <v>97.493460093863902</v>
      </c>
      <c r="AJ5137">
        <v>126.11616070933</v>
      </c>
      <c r="AK5137">
        <v>0.76076756913343802</v>
      </c>
      <c r="AL5137">
        <v>66.566830911609699</v>
      </c>
      <c r="AM5137">
        <v>106.972843643041</v>
      </c>
      <c r="AN5137">
        <v>0.99999994667905301</v>
      </c>
    </row>
    <row r="5138" spans="1:40" x14ac:dyDescent="0.25">
      <c r="A5138" t="str">
        <f>"20190304164750184"</f>
        <v>20190304164750184</v>
      </c>
      <c r="B5138" t="str">
        <f>"1551689270174571"</f>
        <v>1551689270174571</v>
      </c>
      <c r="C5138" t="s">
        <v>40</v>
      </c>
      <c r="D5138">
        <v>4.6990509999999999</v>
      </c>
      <c r="E5138">
        <v>0.4182362</v>
      </c>
      <c r="F5138" t="s">
        <v>41</v>
      </c>
      <c r="G5138">
        <v>-290.60759999999999</v>
      </c>
      <c r="H5138">
        <v>1.019819</v>
      </c>
      <c r="I5138">
        <v>-52.244439999999997</v>
      </c>
      <c r="J5138">
        <v>-291.3492</v>
      </c>
      <c r="K5138">
        <v>1.117826</v>
      </c>
      <c r="L5138">
        <v>-52.20044</v>
      </c>
      <c r="M5138">
        <v>0.76256259999999998</v>
      </c>
      <c r="N5138">
        <v>-9.7373440000000002E-3</v>
      </c>
      <c r="O5138">
        <v>-0.64684129999999995</v>
      </c>
      <c r="P5138">
        <v>0.84054289999999998</v>
      </c>
      <c r="Q5138">
        <v>0.39413130000000002</v>
      </c>
      <c r="R5138">
        <v>-0.37168309999999999</v>
      </c>
      <c r="S5138">
        <v>3.3867189999999998</v>
      </c>
      <c r="T5138">
        <v>-0.34377429999999998</v>
      </c>
      <c r="U5138">
        <v>-0.79058839999999997</v>
      </c>
      <c r="V5138">
        <v>-0.26749899999999999</v>
      </c>
      <c r="W5138">
        <v>0.39793590000000001</v>
      </c>
      <c r="X5138">
        <v>0.87754849999999995</v>
      </c>
      <c r="Y5138">
        <v>-0.452206</v>
      </c>
      <c r="Z5138">
        <v>7.7221860000000003E-2</v>
      </c>
      <c r="AA5138">
        <v>0.88856429999999997</v>
      </c>
      <c r="AB5138">
        <v>30</v>
      </c>
      <c r="AC5138">
        <v>0.74160000000000503</v>
      </c>
      <c r="AD5138">
        <v>-9.80069999999999E-2</v>
      </c>
      <c r="AE5138">
        <v>-4.4000000000004001E-2</v>
      </c>
      <c r="AF5138">
        <v>-0.43853362931935602</v>
      </c>
      <c r="AG5138">
        <v>-9.80069999999999E-2</v>
      </c>
      <c r="AH5138">
        <v>0.58384432618534998</v>
      </c>
      <c r="AI5138">
        <v>97.644561421469405</v>
      </c>
      <c r="AJ5138">
        <v>126.910724283495</v>
      </c>
      <c r="AK5138">
        <v>0.73674372295380397</v>
      </c>
      <c r="AL5138">
        <v>66.550795930885698</v>
      </c>
      <c r="AM5138">
        <v>106.952548670038</v>
      </c>
      <c r="AN5138">
        <v>1.0000000326810199</v>
      </c>
    </row>
    <row r="5139" spans="1:40" x14ac:dyDescent="0.25">
      <c r="A5139" t="str">
        <f>"20190304164750207"</f>
        <v>20190304164750207</v>
      </c>
      <c r="B5139" t="str">
        <f>"1551689270204828"</f>
        <v>1551689270204828</v>
      </c>
      <c r="C5139" t="s">
        <v>40</v>
      </c>
      <c r="D5139">
        <v>4.6926930000000002</v>
      </c>
      <c r="E5139">
        <v>0.43677060000000001</v>
      </c>
      <c r="F5139" t="s">
        <v>41</v>
      </c>
      <c r="G5139">
        <v>-290.40730000000002</v>
      </c>
      <c r="H5139">
        <v>1.0234449999999999</v>
      </c>
      <c r="I5139">
        <v>-52.411580000000001</v>
      </c>
      <c r="J5139">
        <v>-291.12029999999999</v>
      </c>
      <c r="K5139">
        <v>1.1177779999999999</v>
      </c>
      <c r="L5139">
        <v>-52.382660000000001</v>
      </c>
      <c r="M5139">
        <v>0.76845810000000003</v>
      </c>
      <c r="N5139">
        <v>-9.7406279999999994E-3</v>
      </c>
      <c r="O5139">
        <v>-0.63982600000000001</v>
      </c>
      <c r="P5139">
        <v>0.84307209999999999</v>
      </c>
      <c r="Q5139">
        <v>0.39526869999999997</v>
      </c>
      <c r="R5139">
        <v>-0.36468099999999998</v>
      </c>
      <c r="S5139">
        <v>3.3923649999999999</v>
      </c>
      <c r="T5139">
        <v>-0.33986319999999998</v>
      </c>
      <c r="U5139">
        <v>-0.76013180000000002</v>
      </c>
      <c r="V5139">
        <v>-0.2663819</v>
      </c>
      <c r="W5139">
        <v>0.39912639999999999</v>
      </c>
      <c r="X5139">
        <v>0.87734760000000001</v>
      </c>
      <c r="Y5139">
        <v>-0.45207449999999999</v>
      </c>
      <c r="Z5139">
        <v>7.5855850000000002E-2</v>
      </c>
      <c r="AA5139">
        <v>0.88874889999999995</v>
      </c>
      <c r="AB5139">
        <v>30</v>
      </c>
      <c r="AC5139">
        <v>0.712999999999965</v>
      </c>
      <c r="AD5139">
        <v>-9.4333E-2</v>
      </c>
      <c r="AE5139">
        <v>-2.8920000000006399E-2</v>
      </c>
      <c r="AF5139">
        <v>-0.426538652727875</v>
      </c>
      <c r="AG5139">
        <v>-9.4333E-2</v>
      </c>
      <c r="AH5139">
        <v>0.55671232230980505</v>
      </c>
      <c r="AI5139">
        <v>97.660640498508599</v>
      </c>
      <c r="AJ5139">
        <v>127.45840666236801</v>
      </c>
      <c r="AK5139">
        <v>0.70764577789420002</v>
      </c>
      <c r="AL5139">
        <v>66.476423260390007</v>
      </c>
      <c r="AM5139">
        <v>106.88943617083601</v>
      </c>
      <c r="AN5139">
        <v>1.0000000055251601</v>
      </c>
    </row>
    <row r="5140" spans="1:40" x14ac:dyDescent="0.25">
      <c r="A5140" t="str">
        <f>"20190304164750229"</f>
        <v>20190304164750229</v>
      </c>
      <c r="B5140" t="str">
        <f>"1551689270224347"</f>
        <v>1551689270224347</v>
      </c>
      <c r="C5140" t="s">
        <v>40</v>
      </c>
      <c r="D5140">
        <v>4.7224940000000002</v>
      </c>
      <c r="E5140">
        <v>0.43933689999999997</v>
      </c>
      <c r="F5140" t="s">
        <v>42</v>
      </c>
      <c r="G5140">
        <v>-279.1069</v>
      </c>
      <c r="H5140" s="1">
        <v>-4.1443329999999997E-6</v>
      </c>
      <c r="I5140">
        <v>-55.484259999999999</v>
      </c>
      <c r="J5140">
        <v>-290.88780000000003</v>
      </c>
      <c r="K5140">
        <v>1.1177509999999999</v>
      </c>
      <c r="L5140">
        <v>-52.564390000000003</v>
      </c>
      <c r="M5140">
        <v>0.77428229999999998</v>
      </c>
      <c r="N5140">
        <v>-9.7443010000000004E-3</v>
      </c>
      <c r="O5140">
        <v>-0.63276560000000004</v>
      </c>
      <c r="P5140">
        <v>0.84520819999999997</v>
      </c>
      <c r="Q5140">
        <v>0.39750459999999999</v>
      </c>
      <c r="R5140">
        <v>-0.35722989999999999</v>
      </c>
      <c r="S5140">
        <v>3.331696</v>
      </c>
      <c r="T5140">
        <v>-0.30999569999999999</v>
      </c>
      <c r="U5140">
        <v>-0.8601685</v>
      </c>
      <c r="V5140">
        <v>-0.2654244</v>
      </c>
      <c r="W5140">
        <v>0.4014026</v>
      </c>
      <c r="X5140">
        <v>0.87659909999999996</v>
      </c>
      <c r="Y5140">
        <v>-0.41571599999999997</v>
      </c>
      <c r="Z5140">
        <v>6.7513729999999994E-2</v>
      </c>
      <c r="AA5140">
        <v>0.90698520000000005</v>
      </c>
      <c r="AB5140">
        <v>30</v>
      </c>
      <c r="AC5140">
        <v>11.780900000000001</v>
      </c>
      <c r="AD5140">
        <v>-1.1177551443329901</v>
      </c>
      <c r="AE5140">
        <v>-2.9198699999999902</v>
      </c>
      <c r="AF5140">
        <v>-5.1503106754386501</v>
      </c>
      <c r="AG5140">
        <v>-1.1177551443329901</v>
      </c>
      <c r="AH5140">
        <v>10.8776019669021</v>
      </c>
      <c r="AI5140">
        <v>95.306023315672903</v>
      </c>
      <c r="AJ5140">
        <v>115.336548825956</v>
      </c>
      <c r="AK5140">
        <v>12.087071653902401</v>
      </c>
      <c r="AL5140">
        <v>66.334110675346906</v>
      </c>
      <c r="AM5140">
        <v>106.845725198339</v>
      </c>
      <c r="AN5140">
        <v>1.00000007076146</v>
      </c>
    </row>
    <row r="5141" spans="1:40" x14ac:dyDescent="0.25">
      <c r="A5141" t="str">
        <f>"20190304164750251"</f>
        <v>20190304164750251</v>
      </c>
      <c r="B5141" t="str">
        <f>"1551689270244847"</f>
        <v>1551689270244847</v>
      </c>
      <c r="C5141" t="s">
        <v>40</v>
      </c>
      <c r="D5141">
        <v>4.7389349999999997</v>
      </c>
      <c r="E5141">
        <v>0.44061630000000002</v>
      </c>
      <c r="F5141" t="s">
        <v>42</v>
      </c>
      <c r="G5141">
        <v>-278.7398</v>
      </c>
      <c r="H5141" s="1">
        <v>-3.9482380000000004E-6</v>
      </c>
      <c r="I5141">
        <v>-55.658990000000003</v>
      </c>
      <c r="J5141">
        <v>-290.65260000000001</v>
      </c>
      <c r="K5141">
        <v>1.1177349999999999</v>
      </c>
      <c r="L5141">
        <v>-52.744810000000001</v>
      </c>
      <c r="M5141">
        <v>0.78001929999999997</v>
      </c>
      <c r="N5141">
        <v>-9.7489470000000009E-3</v>
      </c>
      <c r="O5141">
        <v>-0.625679599999999</v>
      </c>
      <c r="P5141">
        <v>0.84699559999999996</v>
      </c>
      <c r="Q5141">
        <v>0.39957609999999999</v>
      </c>
      <c r="R5141">
        <v>-0.3506242</v>
      </c>
      <c r="S5141">
        <v>3.334686</v>
      </c>
      <c r="T5141">
        <v>-0.30683100000000002</v>
      </c>
      <c r="U5141">
        <v>-0.84948729999999995</v>
      </c>
      <c r="V5141">
        <v>-0.26366230000000002</v>
      </c>
      <c r="W5141">
        <v>0.40352579999999999</v>
      </c>
      <c r="X5141">
        <v>0.87615589999999999</v>
      </c>
      <c r="Y5141">
        <v>-0.41045739999999997</v>
      </c>
      <c r="Z5141">
        <v>6.6104250000000003E-2</v>
      </c>
      <c r="AA5141">
        <v>0.90948059999999997</v>
      </c>
      <c r="AB5141">
        <v>30</v>
      </c>
      <c r="AC5141">
        <v>11.912800000000001</v>
      </c>
      <c r="AD5141">
        <v>-1.117738948238</v>
      </c>
      <c r="AE5141">
        <v>-2.91418</v>
      </c>
      <c r="AF5141">
        <v>-5.1380466156943196</v>
      </c>
      <c r="AG5141">
        <v>-1.117738948238</v>
      </c>
      <c r="AH5141">
        <v>11.0245107112837</v>
      </c>
      <c r="AI5141">
        <v>95.250529091097903</v>
      </c>
      <c r="AJ5141">
        <v>114.988186184488</v>
      </c>
      <c r="AK5141">
        <v>12.2142826152282</v>
      </c>
      <c r="AL5141">
        <v>66.201221392902895</v>
      </c>
      <c r="AM5141">
        <v>106.748159377875</v>
      </c>
      <c r="AN5141">
        <v>1.0000000204058599</v>
      </c>
    </row>
    <row r="5142" spans="1:40" x14ac:dyDescent="0.25">
      <c r="A5142" t="str">
        <f>"20190304164750273"</f>
        <v>20190304164750273</v>
      </c>
      <c r="B5142" t="str">
        <f>"1551689270264363"</f>
        <v>1551689270264363</v>
      </c>
      <c r="C5142" t="s">
        <v>40</v>
      </c>
      <c r="D5142">
        <v>4.7541789999999997</v>
      </c>
      <c r="E5142">
        <v>0.44918249999999998</v>
      </c>
      <c r="F5142" t="s">
        <v>42</v>
      </c>
      <c r="G5142">
        <v>-278.23110000000003</v>
      </c>
      <c r="H5142" s="1">
        <v>-3.6896039999999999E-6</v>
      </c>
      <c r="I5142">
        <v>-55.841740000000001</v>
      </c>
      <c r="J5142">
        <v>-290.42320000000001</v>
      </c>
      <c r="K5142">
        <v>1.1177250000000001</v>
      </c>
      <c r="L5142">
        <v>-52.917789999999997</v>
      </c>
      <c r="M5142">
        <v>0.78549060000000004</v>
      </c>
      <c r="N5142">
        <v>-9.7546909999999994E-3</v>
      </c>
      <c r="O5142">
        <v>-0.61879689999999998</v>
      </c>
      <c r="P5142">
        <v>0.8491301</v>
      </c>
      <c r="Q5142">
        <v>0.4005609</v>
      </c>
      <c r="R5142">
        <v>-0.3442807</v>
      </c>
      <c r="S5142">
        <v>3.3390499999999999</v>
      </c>
      <c r="T5142">
        <v>-0.30046129999999999</v>
      </c>
      <c r="U5142">
        <v>-0.83248899999999904</v>
      </c>
      <c r="V5142">
        <v>-0.26221670000000002</v>
      </c>
      <c r="W5142">
        <v>0.40455340000000001</v>
      </c>
      <c r="X5142">
        <v>0.87611589999999995</v>
      </c>
      <c r="Y5142">
        <v>-0.40725309999999998</v>
      </c>
      <c r="Z5142">
        <v>6.4083580000000001E-2</v>
      </c>
      <c r="AA5142">
        <v>0.91106430000000005</v>
      </c>
      <c r="AB5142">
        <v>30</v>
      </c>
      <c r="AC5142">
        <v>12.1920999999999</v>
      </c>
      <c r="AD5142">
        <v>-1.117728689604</v>
      </c>
      <c r="AE5142">
        <v>-2.9239499999999898</v>
      </c>
      <c r="AF5142">
        <v>-5.2065684329786803</v>
      </c>
      <c r="AG5142">
        <v>-1.117728689604</v>
      </c>
      <c r="AH5142">
        <v>11.296869944340299</v>
      </c>
      <c r="AI5142">
        <v>95.134643496172998</v>
      </c>
      <c r="AJ5142">
        <v>114.744311284023</v>
      </c>
      <c r="AK5142">
        <v>12.4890729363789</v>
      </c>
      <c r="AL5142">
        <v>66.1368576222211</v>
      </c>
      <c r="AM5142">
        <v>106.662154261701</v>
      </c>
      <c r="AN5142">
        <v>1.00000006072162</v>
      </c>
    </row>
    <row r="5143" spans="1:40" x14ac:dyDescent="0.25">
      <c r="A5143" t="str">
        <f>"20190304164750296"</f>
        <v>20190304164750296</v>
      </c>
      <c r="B5143" t="str">
        <f>"1551689270284860"</f>
        <v>1551689270284860</v>
      </c>
      <c r="C5143" t="s">
        <v>40</v>
      </c>
      <c r="D5143">
        <v>4.7657939999999996</v>
      </c>
      <c r="E5143">
        <v>0.44934479999999999</v>
      </c>
      <c r="F5143" t="s">
        <v>42</v>
      </c>
      <c r="G5143">
        <v>-278.79270000000002</v>
      </c>
      <c r="H5143" s="1">
        <v>-3.9034310000000004E-6</v>
      </c>
      <c r="I5143">
        <v>-55.964179999999999</v>
      </c>
      <c r="J5143">
        <v>-290.18610000000001</v>
      </c>
      <c r="K5143">
        <v>1.117718</v>
      </c>
      <c r="L5143">
        <v>-53.093049999999998</v>
      </c>
      <c r="M5143">
        <v>0.79101999999999995</v>
      </c>
      <c r="N5143">
        <v>-9.7614840000000008E-3</v>
      </c>
      <c r="O5143">
        <v>-0.61171249999999999</v>
      </c>
      <c r="P5143">
        <v>0.85136639999999997</v>
      </c>
      <c r="Q5143">
        <v>0.40118389999999998</v>
      </c>
      <c r="R5143">
        <v>-0.33797450000000001</v>
      </c>
      <c r="S5143">
        <v>3.3303219999999998</v>
      </c>
      <c r="T5143">
        <v>-0.32005329999999999</v>
      </c>
      <c r="U5143">
        <v>-0.87231449999999999</v>
      </c>
      <c r="V5143">
        <v>-0.26065759999999999</v>
      </c>
      <c r="W5143">
        <v>0.40521610000000002</v>
      </c>
      <c r="X5143">
        <v>0.87627479999999902</v>
      </c>
      <c r="Y5143">
        <v>-0.3878356</v>
      </c>
      <c r="Z5143">
        <v>6.7132579999999997E-2</v>
      </c>
      <c r="AA5143">
        <v>0.9192806</v>
      </c>
      <c r="AB5143">
        <v>30</v>
      </c>
      <c r="AC5143">
        <v>11.3933999999999</v>
      </c>
      <c r="AD5143">
        <v>-1.117721903431</v>
      </c>
      <c r="AE5143">
        <v>-2.87113</v>
      </c>
      <c r="AF5143">
        <v>-4.6564492784499496</v>
      </c>
      <c r="AG5143">
        <v>-1.117721903431</v>
      </c>
      <c r="AH5143">
        <v>10.672644398660299</v>
      </c>
      <c r="AI5143">
        <v>95.4829897105177</v>
      </c>
      <c r="AJ5143">
        <v>113.571528367607</v>
      </c>
      <c r="AK5143">
        <v>11.6977416878832</v>
      </c>
      <c r="AL5143">
        <v>66.095330179309101</v>
      </c>
      <c r="AM5143">
        <v>106.565690079931</v>
      </c>
      <c r="AN5143">
        <v>0.99999999862600397</v>
      </c>
    </row>
    <row r="5144" spans="1:40" x14ac:dyDescent="0.25">
      <c r="A5144" t="str">
        <f>"20190304164750319"</f>
        <v>20190304164750319</v>
      </c>
      <c r="B5144" t="str">
        <f>"1551689270314139"</f>
        <v>1551689270314139</v>
      </c>
      <c r="C5144" t="s">
        <v>40</v>
      </c>
      <c r="D5144">
        <v>4.7766080000000004</v>
      </c>
      <c r="E5144">
        <v>0.44992130000000002</v>
      </c>
      <c r="F5144" t="s">
        <v>41</v>
      </c>
      <c r="G5144">
        <v>-289.10509999999999</v>
      </c>
      <c r="H5144">
        <v>1.015312</v>
      </c>
      <c r="I5144">
        <v>-53.367559999999997</v>
      </c>
      <c r="J5144">
        <v>-289.93700000000001</v>
      </c>
      <c r="K5144">
        <v>1.1177269999999999</v>
      </c>
      <c r="L5144">
        <v>-53.273679999999999</v>
      </c>
      <c r="M5144">
        <v>0.79670790000000002</v>
      </c>
      <c r="N5144">
        <v>-9.7694040000000006E-3</v>
      </c>
      <c r="O5144">
        <v>-0.60428549999999903</v>
      </c>
      <c r="P5144">
        <v>0.85333130000000001</v>
      </c>
      <c r="Q5144">
        <v>0.40221570000000001</v>
      </c>
      <c r="R5144">
        <v>-0.33173530000000001</v>
      </c>
      <c r="S5144">
        <v>3.3362729999999998</v>
      </c>
      <c r="T5144">
        <v>-0.31606590000000001</v>
      </c>
      <c r="U5144">
        <v>-0.847412099999999</v>
      </c>
      <c r="V5144">
        <v>-0.25858950000000003</v>
      </c>
      <c r="W5144">
        <v>0.4062926</v>
      </c>
      <c r="X5144">
        <v>0.87638909999999903</v>
      </c>
      <c r="Y5144">
        <v>-0.38617269999999998</v>
      </c>
      <c r="Z5144">
        <v>6.5685110000000005E-2</v>
      </c>
      <c r="AA5144">
        <v>0.92008480000000004</v>
      </c>
      <c r="AB5144">
        <v>30</v>
      </c>
      <c r="AC5144">
        <v>0.83190000000001796</v>
      </c>
      <c r="AD5144">
        <v>-0.10241500000000001</v>
      </c>
      <c r="AE5144">
        <v>-9.3879999999991498E-2</v>
      </c>
      <c r="AF5144">
        <v>-0.42162088107875201</v>
      </c>
      <c r="AG5144">
        <v>-0.10241500000000001</v>
      </c>
      <c r="AH5144">
        <v>0.70893646981256797</v>
      </c>
      <c r="AI5144">
        <v>97.077850057724802</v>
      </c>
      <c r="AJ5144">
        <v>120.740926225701</v>
      </c>
      <c r="AK5144">
        <v>0.831170209895019</v>
      </c>
      <c r="AL5144">
        <v>66.027847275228893</v>
      </c>
      <c r="AM5144">
        <v>106.439349931113</v>
      </c>
      <c r="AN5144">
        <v>1.0000000304618999</v>
      </c>
    </row>
    <row r="5145" spans="1:40" x14ac:dyDescent="0.25">
      <c r="A5145" t="str">
        <f>"20190304164750342"</f>
        <v>20190304164750342</v>
      </c>
      <c r="B5145" t="str">
        <f>"1551689270334635"</f>
        <v>1551689270334635</v>
      </c>
      <c r="C5145" t="s">
        <v>40</v>
      </c>
      <c r="D5145">
        <v>4.7643529999999998</v>
      </c>
      <c r="E5145">
        <v>0.45062249999999998</v>
      </c>
      <c r="F5145" t="s">
        <v>42</v>
      </c>
      <c r="G5145">
        <v>-278.06400000000002</v>
      </c>
      <c r="H5145" s="1">
        <v>-3.538213E-6</v>
      </c>
      <c r="I5145">
        <v>-56.202260000000003</v>
      </c>
      <c r="J5145">
        <v>-289.68849999999998</v>
      </c>
      <c r="K5145">
        <v>1.1177410000000001</v>
      </c>
      <c r="L5145">
        <v>-53.450409999999998</v>
      </c>
      <c r="M5145">
        <v>0.80226919999999902</v>
      </c>
      <c r="N5145">
        <v>-9.7773200000000008E-3</v>
      </c>
      <c r="O5145">
        <v>-0.59688260000000004</v>
      </c>
      <c r="P5145">
        <v>0.85538210000000003</v>
      </c>
      <c r="Q5145">
        <v>0.40328629999999999</v>
      </c>
      <c r="R5145">
        <v>-0.32508749999999997</v>
      </c>
      <c r="S5145">
        <v>3.3433839999999901</v>
      </c>
      <c r="T5145">
        <v>-0.31474859999999999</v>
      </c>
      <c r="U5145">
        <v>-0.82467649999999904</v>
      </c>
      <c r="V5145">
        <v>-0.2570112</v>
      </c>
      <c r="W5145">
        <v>0.4073929</v>
      </c>
      <c r="X5145">
        <v>0.87634249999999903</v>
      </c>
      <c r="Y5145">
        <v>-0.38405450000000002</v>
      </c>
      <c r="Z5145">
        <v>6.477774E-2</v>
      </c>
      <c r="AA5145">
        <v>0.9210353</v>
      </c>
      <c r="AB5145">
        <v>30</v>
      </c>
      <c r="AC5145">
        <v>11.6244999999999</v>
      </c>
      <c r="AD5145">
        <v>-1.117744538213</v>
      </c>
      <c r="AE5145">
        <v>-2.7518499999999899</v>
      </c>
      <c r="AF5145">
        <v>-4.6899026176870802</v>
      </c>
      <c r="AG5145">
        <v>-1.117744538213</v>
      </c>
      <c r="AH5145">
        <v>10.873831971493001</v>
      </c>
      <c r="AI5145">
        <v>95.392021233911095</v>
      </c>
      <c r="AJ5145">
        <v>113.330620492496</v>
      </c>
      <c r="AK5145">
        <v>11.8947366999172</v>
      </c>
      <c r="AL5145">
        <v>65.958833104640803</v>
      </c>
      <c r="AM5145">
        <v>106.345205617102</v>
      </c>
      <c r="AN5145">
        <v>0.99999995460104796</v>
      </c>
    </row>
    <row r="5146" spans="1:40" x14ac:dyDescent="0.25">
      <c r="A5146" t="str">
        <f>"20190304164750362"</f>
        <v>20190304164750362</v>
      </c>
      <c r="B5146" t="str">
        <f>"1551689270354159"</f>
        <v>1551689270354159</v>
      </c>
      <c r="C5146" t="s">
        <v>40</v>
      </c>
      <c r="D5146">
        <v>4.7564789999999997</v>
      </c>
      <c r="E5146">
        <v>0.45611829999999998</v>
      </c>
      <c r="F5146" t="s">
        <v>42</v>
      </c>
      <c r="G5146">
        <v>-277.76260000000002</v>
      </c>
      <c r="H5146" s="1">
        <v>-3.3839579999999998E-6</v>
      </c>
      <c r="I5146">
        <v>-56.31503</v>
      </c>
      <c r="J5146">
        <v>-289.46069999999997</v>
      </c>
      <c r="K5146">
        <v>1.117748</v>
      </c>
      <c r="L5146">
        <v>-53.609499999999997</v>
      </c>
      <c r="M5146">
        <v>0.80727329999999997</v>
      </c>
      <c r="N5146">
        <v>-9.7842850000000002E-3</v>
      </c>
      <c r="O5146">
        <v>-0.59009709999999904</v>
      </c>
      <c r="P5146">
        <v>0.85768489999999997</v>
      </c>
      <c r="Q5146">
        <v>0.40326790000000001</v>
      </c>
      <c r="R5146">
        <v>-0.3189862</v>
      </c>
      <c r="S5146">
        <v>3.3494259999999998</v>
      </c>
      <c r="T5146">
        <v>-0.31392130000000001</v>
      </c>
      <c r="U5146">
        <v>-0.80453490000000005</v>
      </c>
      <c r="V5146">
        <v>-0.25587369999999998</v>
      </c>
      <c r="W5146">
        <v>0.4073986</v>
      </c>
      <c r="X5146">
        <v>0.87667269999999897</v>
      </c>
      <c r="Y5146">
        <v>-0.38193820000000001</v>
      </c>
      <c r="Z5146">
        <v>6.4026070000000004E-2</v>
      </c>
      <c r="AA5146">
        <v>0.92196739999999999</v>
      </c>
      <c r="AB5146">
        <v>30</v>
      </c>
      <c r="AC5146">
        <v>11.698099999999901</v>
      </c>
      <c r="AD5146">
        <v>-1.117751383958</v>
      </c>
      <c r="AE5146">
        <v>-2.70553</v>
      </c>
      <c r="AF5146">
        <v>-4.6785917992993902</v>
      </c>
      <c r="AG5146">
        <v>-1.117751383958</v>
      </c>
      <c r="AH5146">
        <v>10.945756676326599</v>
      </c>
      <c r="AI5146">
        <v>95.364301701393401</v>
      </c>
      <c r="AJ5146">
        <v>113.14352489490901</v>
      </c>
      <c r="AK5146">
        <v>11.956093785102199</v>
      </c>
      <c r="AL5146">
        <v>65.958476562095299</v>
      </c>
      <c r="AM5146">
        <v>106.27089506358899</v>
      </c>
      <c r="AN5146">
        <v>0.99999999627946901</v>
      </c>
    </row>
    <row r="5147" spans="1:40" x14ac:dyDescent="0.25">
      <c r="A5147" t="str">
        <f>"20190304164750385"</f>
        <v>20190304164750385</v>
      </c>
      <c r="B5147" t="str">
        <f>"1551689270374652"</f>
        <v>1551689270374652</v>
      </c>
      <c r="C5147" t="s">
        <v>40</v>
      </c>
      <c r="D5147">
        <v>4.7646040000000003</v>
      </c>
      <c r="E5147">
        <v>0.45664640000000001</v>
      </c>
      <c r="F5147" t="s">
        <v>42</v>
      </c>
      <c r="G5147">
        <v>-278.25389999999999</v>
      </c>
      <c r="H5147" s="1">
        <v>-3.5826229999999998E-6</v>
      </c>
      <c r="I5147">
        <v>-56.369779999999999</v>
      </c>
      <c r="J5147">
        <v>-289.21440000000001</v>
      </c>
      <c r="K5147">
        <v>1.1177490000000001</v>
      </c>
      <c r="L5147">
        <v>-53.778350000000003</v>
      </c>
      <c r="M5147">
        <v>0.81258649999999999</v>
      </c>
      <c r="N5147">
        <v>-9.7916459999999993E-3</v>
      </c>
      <c r="O5147">
        <v>-0.58275869999999996</v>
      </c>
      <c r="P5147">
        <v>0.86015059999999999</v>
      </c>
      <c r="Q5147">
        <v>0.40295930000000002</v>
      </c>
      <c r="R5147">
        <v>-0.31267410000000001</v>
      </c>
      <c r="S5147">
        <v>3.3480829999999999</v>
      </c>
      <c r="T5147">
        <v>-0.33393279999999997</v>
      </c>
      <c r="U5147">
        <v>-0.82464599999999899</v>
      </c>
      <c r="V5147">
        <v>-0.25445839999999997</v>
      </c>
      <c r="W5147">
        <v>0.40711890000000001</v>
      </c>
      <c r="X5147">
        <v>0.87721439999999995</v>
      </c>
      <c r="Y5147">
        <v>-0.36785610000000002</v>
      </c>
      <c r="Z5147">
        <v>6.7071679999999995E-2</v>
      </c>
      <c r="AA5147">
        <v>0.92746070000000003</v>
      </c>
      <c r="AB5147">
        <v>30</v>
      </c>
      <c r="AC5147">
        <v>10.9605</v>
      </c>
      <c r="AD5147">
        <v>-1.1177525826229999</v>
      </c>
      <c r="AE5147">
        <v>-2.5914299999999999</v>
      </c>
      <c r="AF5147">
        <v>-4.2400087852169204</v>
      </c>
      <c r="AG5147">
        <v>-1.1177525826229999</v>
      </c>
      <c r="AH5147">
        <v>10.315429757655901</v>
      </c>
      <c r="AI5147">
        <v>95.723150915458007</v>
      </c>
      <c r="AJ5147">
        <v>112.344406935701</v>
      </c>
      <c r="AK5147">
        <v>11.2087080620297</v>
      </c>
      <c r="AL5147">
        <v>65.976023101021099</v>
      </c>
      <c r="AM5147">
        <v>106.17614884378099</v>
      </c>
      <c r="AN5147">
        <v>0.99999998981756499</v>
      </c>
    </row>
    <row r="5148" spans="1:40" x14ac:dyDescent="0.25">
      <c r="A5148" t="str">
        <f>"20190304164750407"</f>
        <v>20190304164750407</v>
      </c>
      <c r="B5148" t="str">
        <f>"1551689270404907"</f>
        <v>1551689270404907</v>
      </c>
      <c r="C5148" t="s">
        <v>40</v>
      </c>
      <c r="D5148">
        <v>4.8010970000000004</v>
      </c>
      <c r="E5148">
        <v>0.48647940000000001</v>
      </c>
      <c r="F5148" t="s">
        <v>42</v>
      </c>
      <c r="G5148">
        <v>-278.09230000000002</v>
      </c>
      <c r="H5148" s="1">
        <v>-3.4960320000000001E-6</v>
      </c>
      <c r="I5148">
        <v>-56.447890000000001</v>
      </c>
      <c r="J5148">
        <v>-288.9624</v>
      </c>
      <c r="K5148">
        <v>1.1177600000000001</v>
      </c>
      <c r="L5148">
        <v>-53.947809999999997</v>
      </c>
      <c r="M5148">
        <v>0.81792159999999903</v>
      </c>
      <c r="N5148">
        <v>-9.7992010000000004E-3</v>
      </c>
      <c r="O5148">
        <v>-0.57524649999999999</v>
      </c>
      <c r="P5148">
        <v>0.86267190000000005</v>
      </c>
      <c r="Q5148">
        <v>0.40256439999999999</v>
      </c>
      <c r="R5148">
        <v>-0.30616929999999998</v>
      </c>
      <c r="S5148">
        <v>3.3530880000000001</v>
      </c>
      <c r="T5148">
        <v>-0.33697949999999999</v>
      </c>
      <c r="U5148">
        <v>-0.80480959999999901</v>
      </c>
      <c r="V5148">
        <v>-0.25310749999999999</v>
      </c>
      <c r="W5148">
        <v>0.4067518</v>
      </c>
      <c r="X5148">
        <v>0.87777539999999998</v>
      </c>
      <c r="Y5148">
        <v>-0.36476439999999999</v>
      </c>
      <c r="Z5148">
        <v>6.7012050000000004E-2</v>
      </c>
      <c r="AA5148">
        <v>0.92868519999999999</v>
      </c>
      <c r="AB5148">
        <v>30</v>
      </c>
      <c r="AC5148">
        <v>10.8700999999999</v>
      </c>
      <c r="AD5148">
        <v>-1.117763496032</v>
      </c>
      <c r="AE5148">
        <v>-2.5000800000000001</v>
      </c>
      <c r="AF5148">
        <v>-4.1664766814546601</v>
      </c>
      <c r="AG5148">
        <v>-1.117763496032</v>
      </c>
      <c r="AH5148">
        <v>10.226842102457899</v>
      </c>
      <c r="AI5148">
        <v>95.779747981307295</v>
      </c>
      <c r="AJ5148">
        <v>112.166275931648</v>
      </c>
      <c r="AK5148">
        <v>11.0994244246615</v>
      </c>
      <c r="AL5148">
        <v>65.9990504835053</v>
      </c>
      <c r="AM5148">
        <v>106.084974468364</v>
      </c>
      <c r="AN5148">
        <v>1.0000000431023199</v>
      </c>
    </row>
    <row r="5149" spans="1:40" x14ac:dyDescent="0.25">
      <c r="A5149" t="str">
        <f>"20190304164750431"</f>
        <v>20190304164750431</v>
      </c>
      <c r="B5149" t="str">
        <f>"1551689270424445"</f>
        <v>1551689270424445</v>
      </c>
      <c r="C5149" t="s">
        <v>40</v>
      </c>
      <c r="D5149">
        <v>4.8037460000000003</v>
      </c>
      <c r="E5149">
        <v>0.49459589999999998</v>
      </c>
      <c r="F5149" t="s">
        <v>53</v>
      </c>
      <c r="G5149">
        <v>-280.2133</v>
      </c>
      <c r="H5149" s="1">
        <v>-6.49900099999999E-6</v>
      </c>
      <c r="I5149">
        <v>-56.625999999999998</v>
      </c>
      <c r="J5149">
        <v>-288.7063</v>
      </c>
      <c r="K5149">
        <v>1.11778</v>
      </c>
      <c r="L5149">
        <v>-54.116700000000002</v>
      </c>
      <c r="M5149">
        <v>0.82323880000000005</v>
      </c>
      <c r="N5149">
        <v>-9.8067989999999997E-3</v>
      </c>
      <c r="O5149">
        <v>-0.56761090000000003</v>
      </c>
      <c r="P5149">
        <v>0.86512789999999995</v>
      </c>
      <c r="Q5149">
        <v>0.4025183</v>
      </c>
      <c r="R5149">
        <v>-0.29922110000000002</v>
      </c>
      <c r="S5149">
        <v>3.3150629999999999</v>
      </c>
      <c r="T5149">
        <v>-0.4235237</v>
      </c>
      <c r="U5149">
        <v>-1.0147710000000001</v>
      </c>
      <c r="V5149">
        <v>-0.25202160000000001</v>
      </c>
      <c r="W5149">
        <v>0.40672520000000001</v>
      </c>
      <c r="X5149">
        <v>0.87810010000000005</v>
      </c>
      <c r="Y5149">
        <v>-0.29649379999999997</v>
      </c>
      <c r="Z5149">
        <v>7.9902989999999993E-2</v>
      </c>
      <c r="AA5149">
        <v>0.95168640000000004</v>
      </c>
      <c r="AB5149">
        <v>30</v>
      </c>
      <c r="AC5149">
        <v>8.4929999999999897</v>
      </c>
      <c r="AD5149">
        <v>-1.117786499001</v>
      </c>
      <c r="AE5149">
        <v>-2.5093000000000001</v>
      </c>
      <c r="AF5149">
        <v>-2.7118944056893999</v>
      </c>
      <c r="AG5149">
        <v>-1.117786499001</v>
      </c>
      <c r="AH5149">
        <v>8.2844941189967098</v>
      </c>
      <c r="AI5149">
        <v>97.307144164078096</v>
      </c>
      <c r="AJ5149">
        <v>108.125642192623</v>
      </c>
      <c r="AK5149">
        <v>8.7884390384555502</v>
      </c>
      <c r="AL5149">
        <v>66.000718460761405</v>
      </c>
      <c r="AM5149">
        <v>106.013893279971</v>
      </c>
      <c r="AN5149">
        <v>1.0000000304008001</v>
      </c>
    </row>
    <row r="5150" spans="1:40" x14ac:dyDescent="0.25">
      <c r="A5150" t="str">
        <f>"20190304164750452"</f>
        <v>20190304164750452</v>
      </c>
      <c r="B5150" t="str">
        <f>"1551689270444926"</f>
        <v>1551689270444926</v>
      </c>
      <c r="C5150" t="s">
        <v>40</v>
      </c>
      <c r="D5150">
        <v>4.7667260000000002</v>
      </c>
      <c r="E5150">
        <v>0.49880330000000001</v>
      </c>
      <c r="F5150" t="s">
        <v>53</v>
      </c>
      <c r="G5150">
        <v>-280.36590000000001</v>
      </c>
      <c r="H5150" s="1">
        <v>-6.4320770000000002E-6</v>
      </c>
      <c r="I5150">
        <v>-56.766680000000001</v>
      </c>
      <c r="J5150">
        <v>-288.46570000000003</v>
      </c>
      <c r="K5150">
        <v>1.1177889999999999</v>
      </c>
      <c r="L5150">
        <v>-54.272219999999997</v>
      </c>
      <c r="M5150">
        <v>0.82813890000000001</v>
      </c>
      <c r="N5150">
        <v>-9.8137989999999998E-3</v>
      </c>
      <c r="O5150">
        <v>-0.56043719999999997</v>
      </c>
      <c r="P5150">
        <v>0.86750119999999897</v>
      </c>
      <c r="Q5150">
        <v>0.40216020000000002</v>
      </c>
      <c r="R5150">
        <v>-0.2927611</v>
      </c>
      <c r="S5150">
        <v>3.310333</v>
      </c>
      <c r="T5150">
        <v>-0.4436543</v>
      </c>
      <c r="U5150">
        <v>-1.0517879999999999</v>
      </c>
      <c r="V5150">
        <v>-0.2510387</v>
      </c>
      <c r="W5150">
        <v>0.40638540000000001</v>
      </c>
      <c r="X5150">
        <v>0.87853879999999995</v>
      </c>
      <c r="Y5150">
        <v>-0.27773730000000002</v>
      </c>
      <c r="Z5150">
        <v>8.1828289999999998E-2</v>
      </c>
      <c r="AA5150">
        <v>0.95716570000000001</v>
      </c>
      <c r="AB5150">
        <v>30</v>
      </c>
      <c r="AC5150">
        <v>8.0998000000000108</v>
      </c>
      <c r="AD5150">
        <v>-1.1177954320769901</v>
      </c>
      <c r="AE5150">
        <v>-2.4944600000000099</v>
      </c>
      <c r="AF5150">
        <v>-2.4314929433027501</v>
      </c>
      <c r="AG5150">
        <v>-1.1177954320769901</v>
      </c>
      <c r="AH5150">
        <v>7.9675418331844803</v>
      </c>
      <c r="AI5150">
        <v>97.642543824724498</v>
      </c>
      <c r="AJ5150">
        <v>106.97086808387</v>
      </c>
      <c r="AK5150">
        <v>8.4049596920418299</v>
      </c>
      <c r="AL5150">
        <v>66.022026695716505</v>
      </c>
      <c r="AM5150">
        <v>105.947060892743</v>
      </c>
      <c r="AN5150">
        <v>0.999999972668144</v>
      </c>
    </row>
    <row r="5151" spans="1:40" x14ac:dyDescent="0.25">
      <c r="A5151" t="str">
        <f>"20190304164750475"</f>
        <v>20190304164750475</v>
      </c>
      <c r="B5151" t="str">
        <f>"1551689270464444"</f>
        <v>1551689270464444</v>
      </c>
      <c r="C5151" t="s">
        <v>40</v>
      </c>
      <c r="D5151">
        <v>4.8070149999999998</v>
      </c>
      <c r="E5151">
        <v>0.50194910000000004</v>
      </c>
      <c r="F5151" t="s">
        <v>53</v>
      </c>
      <c r="G5151">
        <v>-280.23759999999999</v>
      </c>
      <c r="H5151" s="1">
        <v>-6.459441E-6</v>
      </c>
      <c r="I5151">
        <v>-56.90531</v>
      </c>
      <c r="J5151">
        <v>-288.20999999999998</v>
      </c>
      <c r="K5151">
        <v>1.1177999999999999</v>
      </c>
      <c r="L5151">
        <v>-54.434359999999998</v>
      </c>
      <c r="M5151">
        <v>0.83324830000000005</v>
      </c>
      <c r="N5151">
        <v>-9.8209089999999992E-3</v>
      </c>
      <c r="O5151">
        <v>-0.55281210000000003</v>
      </c>
      <c r="P5151">
        <v>0.87023869999999903</v>
      </c>
      <c r="Q5151">
        <v>0.4016033</v>
      </c>
      <c r="R5151">
        <v>-0.28530650000000002</v>
      </c>
      <c r="S5151">
        <v>3.3092350000000001</v>
      </c>
      <c r="T5151">
        <v>-0.44956049999999997</v>
      </c>
      <c r="U5151">
        <v>-1.0589900000000001</v>
      </c>
      <c r="V5151">
        <v>-0.25066040000000001</v>
      </c>
      <c r="W5151">
        <v>0.405835</v>
      </c>
      <c r="X5151">
        <v>0.87890119999999905</v>
      </c>
      <c r="Y5151">
        <v>-0.26690140000000001</v>
      </c>
      <c r="Z5151">
        <v>8.1464040000000001E-2</v>
      </c>
      <c r="AA5151">
        <v>0.96027459999999998</v>
      </c>
      <c r="AB5151">
        <v>30</v>
      </c>
      <c r="AC5151">
        <v>7.9723999999999897</v>
      </c>
      <c r="AD5151">
        <v>-1.117806459441</v>
      </c>
      <c r="AE5151">
        <v>-2.4709500000000002</v>
      </c>
      <c r="AF5151">
        <v>-2.3070582149848802</v>
      </c>
      <c r="AG5151">
        <v>-1.117806459441</v>
      </c>
      <c r="AH5151">
        <v>7.8682218291635104</v>
      </c>
      <c r="AI5151">
        <v>97.763079708313199</v>
      </c>
      <c r="AJ5151">
        <v>106.341777981039</v>
      </c>
      <c r="AK5151">
        <v>8.2753201533851595</v>
      </c>
      <c r="AL5151">
        <v>66.0565369099603</v>
      </c>
      <c r="AM5151">
        <v>105.91801570867</v>
      </c>
      <c r="AN5151">
        <v>1.0000000013572901</v>
      </c>
    </row>
    <row r="5152" spans="1:40" x14ac:dyDescent="0.25">
      <c r="A5152" t="str">
        <f>"20190304164750497"</f>
        <v>20190304164750497</v>
      </c>
      <c r="B5152" t="str">
        <f>"1551689270494699"</f>
        <v>1551689270494699</v>
      </c>
      <c r="C5152" t="s">
        <v>40</v>
      </c>
      <c r="D5152">
        <v>4.7935930000000004</v>
      </c>
      <c r="E5152">
        <v>0.50381049999999905</v>
      </c>
      <c r="F5152" t="s">
        <v>53</v>
      </c>
      <c r="G5152">
        <v>-280.21269999999998</v>
      </c>
      <c r="H5152" s="1">
        <v>-6.459593E-6</v>
      </c>
      <c r="I5152">
        <v>-56.977910000000001</v>
      </c>
      <c r="J5152">
        <v>-287.95859999999999</v>
      </c>
      <c r="K5152">
        <v>1.1178110000000001</v>
      </c>
      <c r="L5152">
        <v>-54.590389999999999</v>
      </c>
      <c r="M5152">
        <v>0.83816409999999997</v>
      </c>
      <c r="N5152">
        <v>-9.8273560000000006E-3</v>
      </c>
      <c r="O5152">
        <v>-0.54532950000000002</v>
      </c>
      <c r="P5152">
        <v>0.87267510000000004</v>
      </c>
      <c r="Q5152">
        <v>0.4015746</v>
      </c>
      <c r="R5152">
        <v>-0.277806</v>
      </c>
      <c r="S5152">
        <v>3.3154910000000002</v>
      </c>
      <c r="T5152">
        <v>-0.46341880000000002</v>
      </c>
      <c r="U5152">
        <v>-1.0545040000000001</v>
      </c>
      <c r="V5152">
        <v>-0.25037530000000002</v>
      </c>
      <c r="W5152">
        <v>0.40580889999999997</v>
      </c>
      <c r="X5152">
        <v>0.87899450000000001</v>
      </c>
      <c r="Y5152">
        <v>-0.2597334</v>
      </c>
      <c r="Z5152">
        <v>8.2690529999999998E-2</v>
      </c>
      <c r="AA5152">
        <v>0.96213349999999997</v>
      </c>
      <c r="AB5152">
        <v>30</v>
      </c>
      <c r="AC5152">
        <v>7.7458999999999998</v>
      </c>
      <c r="AD5152">
        <v>-1.1178174595929999</v>
      </c>
      <c r="AE5152">
        <v>-2.3875199999999901</v>
      </c>
      <c r="AF5152">
        <v>-2.1815513423790298</v>
      </c>
      <c r="AG5152">
        <v>-1.1178174595929999</v>
      </c>
      <c r="AH5152">
        <v>7.6492187404295002</v>
      </c>
      <c r="AI5152">
        <v>97.999462295086204</v>
      </c>
      <c r="AJ5152">
        <v>105.91810920991</v>
      </c>
      <c r="AK5152">
        <v>8.0323862874829803</v>
      </c>
      <c r="AL5152">
        <v>66.0581728995585</v>
      </c>
      <c r="AM5152">
        <v>105.899224054432</v>
      </c>
      <c r="AN5152">
        <v>0.99999999259977501</v>
      </c>
    </row>
    <row r="5153" spans="1:40" x14ac:dyDescent="0.25">
      <c r="A5153" t="str">
        <f>"20190304164750521"</f>
        <v>20190304164750521</v>
      </c>
      <c r="B5153" t="str">
        <f>"1551689270514219"</f>
        <v>1551689270514219</v>
      </c>
      <c r="C5153" t="s">
        <v>40</v>
      </c>
      <c r="D5153">
        <v>4.8020440000000004</v>
      </c>
      <c r="E5153">
        <v>0.50528260000000003</v>
      </c>
      <c r="F5153" t="s">
        <v>42</v>
      </c>
      <c r="G5153">
        <v>-279.60140000000001</v>
      </c>
      <c r="H5153" s="1">
        <v>-3.9754610000000003E-6</v>
      </c>
      <c r="I5153">
        <v>-57.207659999999997</v>
      </c>
      <c r="J5153">
        <v>-287.68299999999999</v>
      </c>
      <c r="K5153">
        <v>1.117818</v>
      </c>
      <c r="L5153">
        <v>-54.758029999999998</v>
      </c>
      <c r="M5153">
        <v>0.84344079999999999</v>
      </c>
      <c r="N5153">
        <v>-9.8336210000000007E-3</v>
      </c>
      <c r="O5153">
        <v>-0.53713230000000001</v>
      </c>
      <c r="P5153">
        <v>0.87537450000000006</v>
      </c>
      <c r="Q5153">
        <v>0.40165509999999999</v>
      </c>
      <c r="R5153">
        <v>-0.26905970000000001</v>
      </c>
      <c r="S5153">
        <v>3.311401</v>
      </c>
      <c r="T5153">
        <v>-0.44291520000000001</v>
      </c>
      <c r="U5153">
        <v>-1.037048</v>
      </c>
      <c r="V5153">
        <v>-0.25059680000000001</v>
      </c>
      <c r="W5153">
        <v>0.40588299999999999</v>
      </c>
      <c r="X5153">
        <v>0.87889719999999905</v>
      </c>
      <c r="Y5153">
        <v>-0.25517529999999999</v>
      </c>
      <c r="Z5153">
        <v>7.7953190000000006E-2</v>
      </c>
      <c r="AA5153">
        <v>0.96374729999999997</v>
      </c>
      <c r="AB5153">
        <v>30</v>
      </c>
      <c r="AC5153">
        <v>8.0815999999999804</v>
      </c>
      <c r="AD5153">
        <v>-1.1178219754609999</v>
      </c>
      <c r="AE5153">
        <v>-2.4496299999999902</v>
      </c>
      <c r="AF5153">
        <v>-2.2357068398672202</v>
      </c>
      <c r="AG5153">
        <v>-1.1178219754609999</v>
      </c>
      <c r="AH5153">
        <v>7.9924770057594898</v>
      </c>
      <c r="AI5153">
        <v>97.670947316496495</v>
      </c>
      <c r="AJ5153">
        <v>105.627709091207</v>
      </c>
      <c r="AK5153">
        <v>8.3742223358498595</v>
      </c>
      <c r="AL5153">
        <v>66.0535283823951</v>
      </c>
      <c r="AM5153">
        <v>105.914250163383</v>
      </c>
      <c r="AN5153">
        <v>1.0000000270135301</v>
      </c>
    </row>
    <row r="5154" spans="1:40" x14ac:dyDescent="0.25">
      <c r="A5154" t="str">
        <f>"20190304164750542"</f>
        <v>20190304164750542</v>
      </c>
      <c r="B5154" t="str">
        <f>"1551689270534716"</f>
        <v>1551689270534716</v>
      </c>
      <c r="C5154" t="s">
        <v>40</v>
      </c>
      <c r="D5154">
        <v>4.8445679999999998</v>
      </c>
      <c r="E5154">
        <v>0.50662559999999901</v>
      </c>
      <c r="F5154" t="s">
        <v>42</v>
      </c>
      <c r="G5154">
        <v>-279.21179999999998</v>
      </c>
      <c r="H5154" s="1">
        <v>-3.7764859999999998E-6</v>
      </c>
      <c r="I5154">
        <v>-57.351660000000003</v>
      </c>
      <c r="J5154">
        <v>-287.42809999999997</v>
      </c>
      <c r="K5154">
        <v>1.117828</v>
      </c>
      <c r="L5154">
        <v>-54.909880000000001</v>
      </c>
      <c r="M5154">
        <v>0.84820490000000004</v>
      </c>
      <c r="N5154">
        <v>-9.8383169999999992E-3</v>
      </c>
      <c r="O5154">
        <v>-0.52957690000000002</v>
      </c>
      <c r="P5154">
        <v>0.87797119999999995</v>
      </c>
      <c r="Q5154">
        <v>0.40148470000000003</v>
      </c>
      <c r="R5154">
        <v>-0.2607235</v>
      </c>
      <c r="S5154">
        <v>3.3158569999999998</v>
      </c>
      <c r="T5154">
        <v>-0.43754979999999899</v>
      </c>
      <c r="U5154">
        <v>-1.015228</v>
      </c>
      <c r="V5154">
        <v>-0.25114750000000002</v>
      </c>
      <c r="W5154">
        <v>0.4057038</v>
      </c>
      <c r="X5154">
        <v>0.87882269999999896</v>
      </c>
      <c r="Y5154">
        <v>-0.25288949999999999</v>
      </c>
      <c r="Z5154">
        <v>7.6088790000000003E-2</v>
      </c>
      <c r="AA5154">
        <v>0.96449850000000004</v>
      </c>
      <c r="AB5154">
        <v>30</v>
      </c>
      <c r="AC5154">
        <v>8.2162999999999897</v>
      </c>
      <c r="AD5154">
        <v>-1.117831776486</v>
      </c>
      <c r="AE5154">
        <v>-2.4417799999999898</v>
      </c>
      <c r="AF5154">
        <v>-2.2420119405682701</v>
      </c>
      <c r="AG5154">
        <v>-1.117831776486</v>
      </c>
      <c r="AH5154">
        <v>8.1244385540716895</v>
      </c>
      <c r="AI5154">
        <v>97.555118465570899</v>
      </c>
      <c r="AJ5154">
        <v>105.427322189698</v>
      </c>
      <c r="AK5154">
        <v>8.5019213852551605</v>
      </c>
      <c r="AL5154">
        <v>66.064761332375497</v>
      </c>
      <c r="AM5154">
        <v>105.94872908646001</v>
      </c>
      <c r="AN5154">
        <v>0.99999998906298904</v>
      </c>
    </row>
    <row r="5155" spans="1:40" x14ac:dyDescent="0.25">
      <c r="A5155" t="str">
        <f>"20190304164750563"</f>
        <v>20190304164750563</v>
      </c>
      <c r="B5155" t="str">
        <f>"1551689270554236"</f>
        <v>1551689270554236</v>
      </c>
      <c r="C5155" t="s">
        <v>40</v>
      </c>
      <c r="D5155">
        <v>4.834835</v>
      </c>
      <c r="E5155">
        <v>0.50775379999999903</v>
      </c>
      <c r="F5155" t="s">
        <v>42</v>
      </c>
      <c r="G5155">
        <v>-278.87349999999998</v>
      </c>
      <c r="H5155" s="1">
        <v>-3.6040230000000001E-6</v>
      </c>
      <c r="I5155">
        <v>-57.475230000000003</v>
      </c>
      <c r="J5155">
        <v>-287.18040000000002</v>
      </c>
      <c r="K5155">
        <v>1.117815</v>
      </c>
      <c r="L5155">
        <v>-55.054569999999998</v>
      </c>
      <c r="M5155">
        <v>0.85272029999999999</v>
      </c>
      <c r="N5155">
        <v>-9.8411829999999999E-3</v>
      </c>
      <c r="O5155">
        <v>-0.52227509999999999</v>
      </c>
      <c r="P5155">
        <v>0.88057369999999902</v>
      </c>
      <c r="Q5155">
        <v>0.40130559999999998</v>
      </c>
      <c r="R5155">
        <v>-0.252079</v>
      </c>
      <c r="S5155">
        <v>3.3197019999999902</v>
      </c>
      <c r="T5155">
        <v>-0.43378810000000001</v>
      </c>
      <c r="U5155">
        <v>-0.99551389999999995</v>
      </c>
      <c r="V5155">
        <v>-0.25227719999999998</v>
      </c>
      <c r="W5155">
        <v>0.4055108</v>
      </c>
      <c r="X5155">
        <v>0.87858819999999904</v>
      </c>
      <c r="Y5155">
        <v>-0.25029449999999998</v>
      </c>
      <c r="Z5155">
        <v>7.4535710000000005E-2</v>
      </c>
      <c r="AA5155">
        <v>0.96529640000000005</v>
      </c>
      <c r="AB5155">
        <v>30</v>
      </c>
      <c r="AC5155">
        <v>8.3069000000000397</v>
      </c>
      <c r="AD5155">
        <v>-1.117818604023</v>
      </c>
      <c r="AE5155">
        <v>-2.4206599999999998</v>
      </c>
      <c r="AF5155">
        <v>-2.2371127398636799</v>
      </c>
      <c r="AG5155">
        <v>-1.117818604023</v>
      </c>
      <c r="AH5155">
        <v>8.2110701786360707</v>
      </c>
      <c r="AI5155">
        <v>97.482842960864204</v>
      </c>
      <c r="AJ5155">
        <v>105.240374268401</v>
      </c>
      <c r="AK5155">
        <v>8.5834646455173793</v>
      </c>
      <c r="AL5155">
        <v>66.076859795242399</v>
      </c>
      <c r="AM5155">
        <v>106.020852653177</v>
      </c>
      <c r="AN5155">
        <v>1.0000000098678501</v>
      </c>
    </row>
    <row r="5156" spans="1:40" x14ac:dyDescent="0.25">
      <c r="A5156" t="str">
        <f>"20190304164750586"</f>
        <v>20190304164750586</v>
      </c>
      <c r="B5156" t="str">
        <f>"1551689270574735"</f>
        <v>1551689270574735</v>
      </c>
      <c r="C5156" t="s">
        <v>40</v>
      </c>
      <c r="D5156">
        <v>4.8086419999999999</v>
      </c>
      <c r="E5156">
        <v>0.50894700000000004</v>
      </c>
      <c r="F5156" t="s">
        <v>42</v>
      </c>
      <c r="G5156">
        <v>-278.56420000000003</v>
      </c>
      <c r="H5156" s="1">
        <v>-3.4489219999999999E-6</v>
      </c>
      <c r="I5156">
        <v>-57.576520000000002</v>
      </c>
      <c r="J5156">
        <v>-286.9171</v>
      </c>
      <c r="K5156">
        <v>1.1177840000000001</v>
      </c>
      <c r="L5156">
        <v>-55.205410000000001</v>
      </c>
      <c r="M5156">
        <v>0.85738890000000001</v>
      </c>
      <c r="N5156">
        <v>-9.8415559999999996E-3</v>
      </c>
      <c r="O5156">
        <v>-0.51457509999999995</v>
      </c>
      <c r="P5156">
        <v>0.88338099999999997</v>
      </c>
      <c r="Q5156">
        <v>0.40045399999999998</v>
      </c>
      <c r="R5156">
        <v>-0.24346370000000001</v>
      </c>
      <c r="S5156">
        <v>3.3248600000000001</v>
      </c>
      <c r="T5156">
        <v>-0.4313459</v>
      </c>
      <c r="U5156">
        <v>-0.97317500000000001</v>
      </c>
      <c r="V5156">
        <v>-0.25310759999999999</v>
      </c>
      <c r="W5156">
        <v>0.40466279999999999</v>
      </c>
      <c r="X5156">
        <v>0.87874030000000003</v>
      </c>
      <c r="Y5156">
        <v>-0.2480714</v>
      </c>
      <c r="Z5156">
        <v>7.3196750000000005E-2</v>
      </c>
      <c r="AA5156">
        <v>0.96597250000000001</v>
      </c>
      <c r="AB5156">
        <v>31</v>
      </c>
      <c r="AC5156">
        <v>8.3528999999999698</v>
      </c>
      <c r="AD5156">
        <v>-1.1177874489219899</v>
      </c>
      <c r="AE5156">
        <v>-2.3711099999999901</v>
      </c>
      <c r="AF5156">
        <v>-2.2284103062632901</v>
      </c>
      <c r="AG5156">
        <v>-1.1177874489219899</v>
      </c>
      <c r="AH5156">
        <v>8.2455542895988998</v>
      </c>
      <c r="AI5156">
        <v>97.455784021021699</v>
      </c>
      <c r="AJ5156">
        <v>105.12324395333</v>
      </c>
      <c r="AK5156">
        <v>8.6141991396037998</v>
      </c>
      <c r="AL5156">
        <v>66.130001231263506</v>
      </c>
      <c r="AM5156">
        <v>106.068230464187</v>
      </c>
      <c r="AN5156">
        <v>0.99999997686284403</v>
      </c>
    </row>
    <row r="5157" spans="1:40" x14ac:dyDescent="0.25">
      <c r="A5157" t="str">
        <f>"20190304164750608"</f>
        <v>20190304164750608</v>
      </c>
      <c r="B5157" t="str">
        <f>"1551689270605080"</f>
        <v>1551689270605080</v>
      </c>
      <c r="C5157" t="s">
        <v>40</v>
      </c>
      <c r="D5157">
        <v>4.8106999999999998</v>
      </c>
      <c r="E5157">
        <v>0.51057580000000002</v>
      </c>
      <c r="F5157" t="s">
        <v>42</v>
      </c>
      <c r="G5157">
        <v>-278.40379999999999</v>
      </c>
      <c r="H5157" s="1">
        <v>-3.3669930000000001E-6</v>
      </c>
      <c r="I5157">
        <v>-57.635919999999999</v>
      </c>
      <c r="J5157">
        <v>-286.65280000000001</v>
      </c>
      <c r="K5157">
        <v>1.117731</v>
      </c>
      <c r="L5157">
        <v>-55.353909999999999</v>
      </c>
      <c r="M5157">
        <v>0.86193390000000003</v>
      </c>
      <c r="N5157">
        <v>-9.8394380000000007E-3</v>
      </c>
      <c r="O5157">
        <v>-0.50692510000000002</v>
      </c>
      <c r="P5157">
        <v>0.88580759999999903</v>
      </c>
      <c r="Q5157">
        <v>0.39953630000000001</v>
      </c>
      <c r="R5157">
        <v>-0.23604120000000001</v>
      </c>
      <c r="S5157">
        <v>3.332214</v>
      </c>
      <c r="T5157">
        <v>-0.4375136</v>
      </c>
      <c r="U5157">
        <v>-0.95132450000000002</v>
      </c>
      <c r="V5157">
        <v>-0.25280789999999997</v>
      </c>
      <c r="W5157">
        <v>0.40378180000000002</v>
      </c>
      <c r="X5157">
        <v>0.87923180000000001</v>
      </c>
      <c r="Y5157">
        <v>-0.24579519999999999</v>
      </c>
      <c r="Z5157">
        <v>7.3323059999999995E-2</v>
      </c>
      <c r="AA5157">
        <v>0.96654459999999998</v>
      </c>
      <c r="AB5157">
        <v>31</v>
      </c>
      <c r="AC5157">
        <v>8.2490000000000201</v>
      </c>
      <c r="AD5157">
        <v>-1.117734366993</v>
      </c>
      <c r="AE5157">
        <v>-2.2820100000000001</v>
      </c>
      <c r="AF5157">
        <v>-2.17765111800355</v>
      </c>
      <c r="AG5157">
        <v>-1.117734366993</v>
      </c>
      <c r="AH5157">
        <v>8.1286680525314505</v>
      </c>
      <c r="AI5157">
        <v>97.565831376073405</v>
      </c>
      <c r="AJ5157">
        <v>104.997244948103</v>
      </c>
      <c r="AK5157">
        <v>8.48921308574268</v>
      </c>
      <c r="AL5157">
        <v>66.185190737230997</v>
      </c>
      <c r="AM5157">
        <v>106.041674222136</v>
      </c>
      <c r="AN5157">
        <v>1.0000000672224401</v>
      </c>
    </row>
    <row r="5158" spans="1:40" x14ac:dyDescent="0.25">
      <c r="A5158" t="str">
        <f>"20190304164750631"</f>
        <v>20190304164750631</v>
      </c>
      <c r="B5158" t="str">
        <f>"1551689270624604"</f>
        <v>1551689270624604</v>
      </c>
      <c r="C5158" t="s">
        <v>40</v>
      </c>
      <c r="D5158">
        <v>4.8363719999999999</v>
      </c>
      <c r="E5158">
        <v>0.51149800000000001</v>
      </c>
      <c r="F5158" t="s">
        <v>42</v>
      </c>
      <c r="G5158">
        <v>-278.38729999999998</v>
      </c>
      <c r="H5158" s="1">
        <v>-3.352061E-6</v>
      </c>
      <c r="I5158">
        <v>-57.671419999999998</v>
      </c>
      <c r="J5158">
        <v>-286.38319999999999</v>
      </c>
      <c r="K5158">
        <v>1.1176649999999999</v>
      </c>
      <c r="L5158">
        <v>-55.502380000000002</v>
      </c>
      <c r="M5158">
        <v>0.86641679999999999</v>
      </c>
      <c r="N5158">
        <v>-9.8353639999999992E-3</v>
      </c>
      <c r="O5158">
        <v>-0.49922490000000003</v>
      </c>
      <c r="P5158">
        <v>0.8876193</v>
      </c>
      <c r="Q5158">
        <v>0.39935989999999999</v>
      </c>
      <c r="R5158">
        <v>-0.2294428</v>
      </c>
      <c r="S5158">
        <v>3.3409119999999999</v>
      </c>
      <c r="T5158">
        <v>-0.45178839999999998</v>
      </c>
      <c r="U5158">
        <v>-0.93673709999999999</v>
      </c>
      <c r="V5158">
        <v>-0.25148350000000003</v>
      </c>
      <c r="W5158">
        <v>0.40366839999999998</v>
      </c>
      <c r="X5158">
        <v>0.87966350000000004</v>
      </c>
      <c r="Y5158">
        <v>-0.24148430000000001</v>
      </c>
      <c r="Z5158">
        <v>7.4606430000000001E-2</v>
      </c>
      <c r="AA5158">
        <v>0.96753250000000002</v>
      </c>
      <c r="AB5158">
        <v>31</v>
      </c>
      <c r="AC5158">
        <v>7.9958999999999998</v>
      </c>
      <c r="AD5158">
        <v>-1.117668352061</v>
      </c>
      <c r="AE5158">
        <v>-2.1690399999999901</v>
      </c>
      <c r="AF5158">
        <v>-2.0748016608566799</v>
      </c>
      <c r="AG5158">
        <v>-1.117668352061</v>
      </c>
      <c r="AH5158">
        <v>7.8678185544507597</v>
      </c>
      <c r="AI5158">
        <v>97.821194914320401</v>
      </c>
      <c r="AJ5158">
        <v>104.773001907257</v>
      </c>
      <c r="AK5158">
        <v>8.2131938539676597</v>
      </c>
      <c r="AL5158">
        <v>66.192290900288597</v>
      </c>
      <c r="AM5158">
        <v>105.95449270627201</v>
      </c>
      <c r="AN5158">
        <v>1.0000000005815299</v>
      </c>
    </row>
    <row r="5159" spans="1:40" x14ac:dyDescent="0.25">
      <c r="A5159" t="str">
        <f>"20190304164750653"</f>
        <v>20190304164750653</v>
      </c>
      <c r="B5159" t="str">
        <f>"1551689270644120"</f>
        <v>1551689270644120</v>
      </c>
      <c r="C5159" t="s">
        <v>40</v>
      </c>
      <c r="D5159">
        <v>4.8290940000000004</v>
      </c>
      <c r="E5159">
        <v>0.51251629999999904</v>
      </c>
      <c r="F5159" t="s">
        <v>42</v>
      </c>
      <c r="G5159">
        <v>-278.1884</v>
      </c>
      <c r="H5159" s="1">
        <v>-3.2489840000000001E-6</v>
      </c>
      <c r="I5159">
        <v>-57.751829999999998</v>
      </c>
      <c r="J5159">
        <v>-286.12549999999999</v>
      </c>
      <c r="K5159">
        <v>1.117597</v>
      </c>
      <c r="L5159">
        <v>-55.641509999999997</v>
      </c>
      <c r="M5159">
        <v>0.87055559999999998</v>
      </c>
      <c r="N5159">
        <v>-9.8303330000000001E-3</v>
      </c>
      <c r="O5159">
        <v>-0.49197229999999997</v>
      </c>
      <c r="P5159">
        <v>0.88907459999999905</v>
      </c>
      <c r="Q5159">
        <v>0.39948280000000003</v>
      </c>
      <c r="R5159">
        <v>-0.2235183</v>
      </c>
      <c r="S5159">
        <v>3.3477169999999998</v>
      </c>
      <c r="T5159">
        <v>-0.45658929999999998</v>
      </c>
      <c r="U5159">
        <v>-0.91894529999999996</v>
      </c>
      <c r="V5159">
        <v>-0.24990119999999999</v>
      </c>
      <c r="W5159">
        <v>0.40386080000000002</v>
      </c>
      <c r="X5159">
        <v>0.88002599999999997</v>
      </c>
      <c r="Y5159">
        <v>-0.23863090000000001</v>
      </c>
      <c r="Z5159">
        <v>7.4405799999999994E-2</v>
      </c>
      <c r="AA5159">
        <v>0.96825570000000005</v>
      </c>
      <c r="AB5159">
        <v>31</v>
      </c>
      <c r="AC5159">
        <v>7.9370999999999796</v>
      </c>
      <c r="AD5159">
        <v>-1.117600248984</v>
      </c>
      <c r="AE5159">
        <v>-2.1103200000000002</v>
      </c>
      <c r="AF5159">
        <v>-2.03018772401327</v>
      </c>
      <c r="AG5159">
        <v>-1.117600248984</v>
      </c>
      <c r="AH5159">
        <v>7.8037809302336996</v>
      </c>
      <c r="AI5159">
        <v>97.890879714416002</v>
      </c>
      <c r="AJ5159">
        <v>104.582500675947</v>
      </c>
      <c r="AK5159">
        <v>8.1406197134089506</v>
      </c>
      <c r="AL5159">
        <v>66.180240252324793</v>
      </c>
      <c r="AM5159">
        <v>105.852968897216</v>
      </c>
      <c r="AN5159">
        <v>0.99999995810703901</v>
      </c>
    </row>
    <row r="5160" spans="1:40" x14ac:dyDescent="0.25">
      <c r="A5160" t="str">
        <f>"20190304164750676"</f>
        <v>20190304164750676</v>
      </c>
      <c r="B5160" t="str">
        <f>"1551689270664617"</f>
        <v>1551689270664617</v>
      </c>
      <c r="C5160" t="s">
        <v>40</v>
      </c>
      <c r="D5160">
        <v>4.8018619999999999</v>
      </c>
      <c r="E5160">
        <v>0.51345929999999995</v>
      </c>
      <c r="F5160" t="s">
        <v>42</v>
      </c>
      <c r="G5160">
        <v>-278.02280000000002</v>
      </c>
      <c r="H5160" s="1">
        <v>-3.1614459999999999E-6</v>
      </c>
      <c r="I5160">
        <v>-57.826300000000003</v>
      </c>
      <c r="J5160">
        <v>-285.85399999999998</v>
      </c>
      <c r="K5160">
        <v>1.1175219999999999</v>
      </c>
      <c r="L5160">
        <v>-55.785220000000002</v>
      </c>
      <c r="M5160">
        <v>0.8747625</v>
      </c>
      <c r="N5160">
        <v>-9.8245120000000005E-3</v>
      </c>
      <c r="O5160">
        <v>-0.48445280000000002</v>
      </c>
      <c r="P5160">
        <v>0.89015789999999995</v>
      </c>
      <c r="Q5160">
        <v>0.40006320000000001</v>
      </c>
      <c r="R5160">
        <v>-0.2181024</v>
      </c>
      <c r="S5160">
        <v>3.354797</v>
      </c>
      <c r="T5160">
        <v>-0.46272089999999999</v>
      </c>
      <c r="U5160">
        <v>-0.90457149999999997</v>
      </c>
      <c r="V5160">
        <v>-0.2474693</v>
      </c>
      <c r="W5160">
        <v>0.40452900000000003</v>
      </c>
      <c r="X5160">
        <v>0.88040629999999998</v>
      </c>
      <c r="Y5160">
        <v>-0.2345959</v>
      </c>
      <c r="Z5160">
        <v>7.4268029999999999E-2</v>
      </c>
      <c r="AA5160">
        <v>0.9692518</v>
      </c>
      <c r="AB5160">
        <v>31</v>
      </c>
      <c r="AC5160">
        <v>7.8312000000000204</v>
      </c>
      <c r="AD5160">
        <v>-1.117525161446</v>
      </c>
      <c r="AE5160">
        <v>-2.04108</v>
      </c>
      <c r="AF5160">
        <v>-1.9709009862168201</v>
      </c>
      <c r="AG5160">
        <v>-1.117525161446</v>
      </c>
      <c r="AH5160">
        <v>7.6929313564252402</v>
      </c>
      <c r="AI5160">
        <v>98.0101585920075</v>
      </c>
      <c r="AJ5160">
        <v>104.36989450005601</v>
      </c>
      <c r="AK5160">
        <v>8.0196325376295192</v>
      </c>
      <c r="AL5160">
        <v>66.138385018313599</v>
      </c>
      <c r="AM5160">
        <v>105.69989444484401</v>
      </c>
      <c r="AN5160">
        <v>1.00000000968159</v>
      </c>
    </row>
    <row r="5161" spans="1:40" x14ac:dyDescent="0.25">
      <c r="A5161" t="str">
        <f>"20190304164750699"</f>
        <v>20190304164750699</v>
      </c>
      <c r="B5161" t="str">
        <f>"1551689270694873"</f>
        <v>1551689270694873</v>
      </c>
      <c r="C5161" t="s">
        <v>40</v>
      </c>
      <c r="D5161">
        <v>4.8087809999999998</v>
      </c>
      <c r="E5161">
        <v>0.51464489999999996</v>
      </c>
      <c r="F5161" t="s">
        <v>42</v>
      </c>
      <c r="G5161">
        <v>-277.79689999999999</v>
      </c>
      <c r="H5161" s="1">
        <v>-3.0438750000000001E-6</v>
      </c>
      <c r="I5161">
        <v>-57.919759999999997</v>
      </c>
      <c r="J5161">
        <v>-285.56959999999998</v>
      </c>
      <c r="K5161">
        <v>1.1174440000000001</v>
      </c>
      <c r="L5161">
        <v>-55.932619999999901</v>
      </c>
      <c r="M5161">
        <v>0.87900739999999999</v>
      </c>
      <c r="N5161">
        <v>-9.8183909999999992E-3</v>
      </c>
      <c r="O5161">
        <v>-0.4767073</v>
      </c>
      <c r="P5161">
        <v>0.89130100000000001</v>
      </c>
      <c r="Q5161">
        <v>0.40088829999999998</v>
      </c>
      <c r="R5161">
        <v>-0.21182889999999999</v>
      </c>
      <c r="S5161">
        <v>3.361542</v>
      </c>
      <c r="T5161">
        <v>-0.46624880000000002</v>
      </c>
      <c r="U5161">
        <v>-0.89056399999999902</v>
      </c>
      <c r="V5161">
        <v>-0.24564349999999999</v>
      </c>
      <c r="W5161">
        <v>0.40542800000000001</v>
      </c>
      <c r="X5161">
        <v>0.88050409999999901</v>
      </c>
      <c r="Y5161">
        <v>-0.2302855</v>
      </c>
      <c r="Z5161">
        <v>7.3627910000000005E-2</v>
      </c>
      <c r="AA5161">
        <v>0.97033369999999997</v>
      </c>
      <c r="AB5161">
        <v>31</v>
      </c>
      <c r="AC5161">
        <v>7.77269999999998</v>
      </c>
      <c r="AD5161">
        <v>-1.1174470438749999</v>
      </c>
      <c r="AE5161">
        <v>-1.9871399999999999</v>
      </c>
      <c r="AF5161">
        <v>-1.9214098498957799</v>
      </c>
      <c r="AG5161">
        <v>-1.1174470438749999</v>
      </c>
      <c r="AH5161">
        <v>7.6318568722577398</v>
      </c>
      <c r="AI5161">
        <v>98.081294776663299</v>
      </c>
      <c r="AJ5161">
        <v>104.13120862718</v>
      </c>
      <c r="AK5161">
        <v>7.9489460323849999</v>
      </c>
      <c r="AL5161">
        <v>66.082050191478402</v>
      </c>
      <c r="AM5161">
        <v>105.58806729545201</v>
      </c>
      <c r="AN5161">
        <v>1.00000003119652</v>
      </c>
    </row>
    <row r="5162" spans="1:40" x14ac:dyDescent="0.25">
      <c r="A5162" t="str">
        <f>"20190304164750722"</f>
        <v>20190304164750722</v>
      </c>
      <c r="B5162" t="str">
        <f>"1551689270714392"</f>
        <v>1551689270714392</v>
      </c>
      <c r="C5162" t="s">
        <v>40</v>
      </c>
      <c r="D5162">
        <v>4.7814550000000002</v>
      </c>
      <c r="E5162">
        <v>0.51546389999999997</v>
      </c>
      <c r="F5162" t="s">
        <v>42</v>
      </c>
      <c r="G5162">
        <v>-277.52910000000003</v>
      </c>
      <c r="H5162" s="1">
        <v>-2.9055529999999999E-6</v>
      </c>
      <c r="I5162">
        <v>-58.025759999999998</v>
      </c>
      <c r="J5162">
        <v>-285.29230000000001</v>
      </c>
      <c r="K5162">
        <v>1.1173690000000001</v>
      </c>
      <c r="L5162">
        <v>-56.073549999999997</v>
      </c>
      <c r="M5162">
        <v>0.88300970000000001</v>
      </c>
      <c r="N5162">
        <v>-9.8134390000000002E-3</v>
      </c>
      <c r="O5162">
        <v>-0.46925240000000001</v>
      </c>
      <c r="P5162">
        <v>0.89279519999999901</v>
      </c>
      <c r="Q5162">
        <v>0.40066819999999997</v>
      </c>
      <c r="R5162">
        <v>-0.20586860000000001</v>
      </c>
      <c r="S5162">
        <v>3.3680110000000001</v>
      </c>
      <c r="T5162">
        <v>-0.46807379999999998</v>
      </c>
      <c r="U5162">
        <v>-0.87677000000000005</v>
      </c>
      <c r="V5162">
        <v>-0.2440474</v>
      </c>
      <c r="W5162">
        <v>0.40527360000000001</v>
      </c>
      <c r="X5162">
        <v>0.88101879999999999</v>
      </c>
      <c r="Y5162">
        <v>-0.22628529999999999</v>
      </c>
      <c r="Z5162">
        <v>7.2748389999999996E-2</v>
      </c>
      <c r="AA5162">
        <v>0.97134069999999995</v>
      </c>
      <c r="AB5162">
        <v>31</v>
      </c>
      <c r="AC5162">
        <v>7.7631999999999799</v>
      </c>
      <c r="AD5162">
        <v>-1.117371905553</v>
      </c>
      <c r="AE5162">
        <v>-1.95221</v>
      </c>
      <c r="AF5162">
        <v>-1.88249306173945</v>
      </c>
      <c r="AG5162">
        <v>-1.117371905553</v>
      </c>
      <c r="AH5162">
        <v>7.6229067083779798</v>
      </c>
      <c r="AI5162">
        <v>98.0991393247254</v>
      </c>
      <c r="AJ5162">
        <v>103.871768331562</v>
      </c>
      <c r="AK5162">
        <v>7.9310154953480199</v>
      </c>
      <c r="AL5162">
        <v>66.091725909516697</v>
      </c>
      <c r="AM5162">
        <v>105.483045155995</v>
      </c>
      <c r="AN5162">
        <v>0.99999997512857897</v>
      </c>
    </row>
    <row r="5163" spans="1:40" x14ac:dyDescent="0.25">
      <c r="A5163" t="str">
        <f>"20190304164750744"</f>
        <v>20190304164750744</v>
      </c>
      <c r="B5163" t="str">
        <f>"1551689270734888"</f>
        <v>1551689270734888</v>
      </c>
      <c r="C5163" t="s">
        <v>40</v>
      </c>
      <c r="D5163">
        <v>4.7617779999999996</v>
      </c>
      <c r="E5163">
        <v>0.51624550000000002</v>
      </c>
      <c r="F5163" t="s">
        <v>42</v>
      </c>
      <c r="G5163">
        <v>-277.3295</v>
      </c>
      <c r="H5163" s="1">
        <v>-2.80272E-6</v>
      </c>
      <c r="I5163">
        <v>-58.103639999999999</v>
      </c>
      <c r="J5163">
        <v>-285.02440000000001</v>
      </c>
      <c r="K5163">
        <v>1.117318</v>
      </c>
      <c r="L5163">
        <v>-56.207030000000003</v>
      </c>
      <c r="M5163">
        <v>0.88675149999999903</v>
      </c>
      <c r="N5163">
        <v>-9.8096720000000002E-3</v>
      </c>
      <c r="O5163">
        <v>-0.46214240000000001</v>
      </c>
      <c r="P5163">
        <v>0.89352259999999994</v>
      </c>
      <c r="Q5163">
        <v>0.40174070000000001</v>
      </c>
      <c r="R5163">
        <v>-0.20055439999999999</v>
      </c>
      <c r="S5163">
        <v>3.3743590000000001</v>
      </c>
      <c r="T5163">
        <v>-0.4735065</v>
      </c>
      <c r="U5163">
        <v>-0.86029049999999996</v>
      </c>
      <c r="V5163">
        <v>-0.24194209999999999</v>
      </c>
      <c r="W5163">
        <v>0.4064102</v>
      </c>
      <c r="X5163">
        <v>0.88107590000000002</v>
      </c>
      <c r="Y5163">
        <v>-0.22331119999999999</v>
      </c>
      <c r="Z5163">
        <v>7.2555069999999999E-2</v>
      </c>
      <c r="AA5163">
        <v>0.9720432</v>
      </c>
      <c r="AB5163">
        <v>31</v>
      </c>
      <c r="AC5163">
        <v>7.6949000000000103</v>
      </c>
      <c r="AD5163">
        <v>-1.1173208027199999</v>
      </c>
      <c r="AE5163">
        <v>-1.8966099999999999</v>
      </c>
      <c r="AF5163">
        <v>-1.83787764121832</v>
      </c>
      <c r="AG5163">
        <v>-1.1173208027199999</v>
      </c>
      <c r="AH5163">
        <v>7.5502666183412899</v>
      </c>
      <c r="AI5163">
        <v>98.182235737952894</v>
      </c>
      <c r="AJ5163">
        <v>103.68080925343099</v>
      </c>
      <c r="AK5163">
        <v>7.8506513110900498</v>
      </c>
      <c r="AL5163">
        <v>66.020471884466005</v>
      </c>
      <c r="AM5163">
        <v>105.354860939841</v>
      </c>
      <c r="AN5163">
        <v>0.99999998598862905</v>
      </c>
    </row>
    <row r="5164" spans="1:40" x14ac:dyDescent="0.25">
      <c r="A5164" t="str">
        <f>"20190304164750765"</f>
        <v>20190304164750765</v>
      </c>
      <c r="B5164" t="str">
        <f>"1551689270754408"</f>
        <v>1551689270754408</v>
      </c>
      <c r="C5164" t="s">
        <v>40</v>
      </c>
      <c r="D5164">
        <v>4.8578400000000004</v>
      </c>
      <c r="E5164">
        <v>0.51692380000000004</v>
      </c>
      <c r="F5164" t="s">
        <v>42</v>
      </c>
      <c r="G5164">
        <v>-277.0591</v>
      </c>
      <c r="H5164" s="1">
        <v>-2.666828E-6</v>
      </c>
      <c r="I5164">
        <v>-58.193689999999997</v>
      </c>
      <c r="J5164">
        <v>-284.76080000000002</v>
      </c>
      <c r="K5164">
        <v>1.117273</v>
      </c>
      <c r="L5164">
        <v>-56.335850000000001</v>
      </c>
      <c r="M5164">
        <v>0.89032160000000005</v>
      </c>
      <c r="N5164">
        <v>-9.8062400000000008E-3</v>
      </c>
      <c r="O5164">
        <v>-0.4552271</v>
      </c>
      <c r="P5164">
        <v>0.89434769999999897</v>
      </c>
      <c r="Q5164">
        <v>0.40214529999999998</v>
      </c>
      <c r="R5164">
        <v>-0.1960151</v>
      </c>
      <c r="S5164">
        <v>3.3814389999999999</v>
      </c>
      <c r="T5164">
        <v>-0.474329</v>
      </c>
      <c r="U5164">
        <v>-0.84338380000000002</v>
      </c>
      <c r="V5164">
        <v>-0.23942279999999999</v>
      </c>
      <c r="W5164">
        <v>0.40688590000000002</v>
      </c>
      <c r="X5164">
        <v>0.88154440000000001</v>
      </c>
      <c r="Y5164">
        <v>-0.2208475</v>
      </c>
      <c r="Z5164">
        <v>7.1653980000000006E-2</v>
      </c>
      <c r="AA5164">
        <v>0.9726726</v>
      </c>
      <c r="AB5164">
        <v>31</v>
      </c>
      <c r="AC5164">
        <v>7.7017000000000104</v>
      </c>
      <c r="AD5164">
        <v>-1.1172756668279999</v>
      </c>
      <c r="AE5164">
        <v>-1.8578399999999999</v>
      </c>
      <c r="AF5164">
        <v>-1.81592166283987</v>
      </c>
      <c r="AG5164">
        <v>-1.1172756668279999</v>
      </c>
      <c r="AH5164">
        <v>7.5528883041361103</v>
      </c>
      <c r="AI5164">
        <v>98.184626189588698</v>
      </c>
      <c r="AJ5164">
        <v>103.518888170379</v>
      </c>
      <c r="AK5164">
        <v>7.8480569656452603</v>
      </c>
      <c r="AL5164">
        <v>65.990637817141803</v>
      </c>
      <c r="AM5164">
        <v>105.194703012134</v>
      </c>
      <c r="AN5164">
        <v>0.99999997097500404</v>
      </c>
    </row>
    <row r="5165" spans="1:40" x14ac:dyDescent="0.25">
      <c r="A5165" t="str">
        <f>"20190304164750788"</f>
        <v>20190304164750788</v>
      </c>
      <c r="B5165" t="str">
        <f>"1551689270784666"</f>
        <v>1551689270784666</v>
      </c>
      <c r="C5165" t="s">
        <v>40</v>
      </c>
      <c r="D5165">
        <v>4.7754440000000002</v>
      </c>
      <c r="E5165">
        <v>0.5307482</v>
      </c>
      <c r="F5165" t="s">
        <v>42</v>
      </c>
      <c r="G5165">
        <v>-276.8381</v>
      </c>
      <c r="H5165" s="1">
        <v>-2.555495E-6</v>
      </c>
      <c r="I5165">
        <v>-58.268389999999997</v>
      </c>
      <c r="J5165">
        <v>-284.4794</v>
      </c>
      <c r="K5165">
        <v>1.117229</v>
      </c>
      <c r="L5165">
        <v>-56.470759999999999</v>
      </c>
      <c r="M5165">
        <v>0.89402159999999997</v>
      </c>
      <c r="N5165">
        <v>-9.802669E-3</v>
      </c>
      <c r="O5165">
        <v>-0.4479167</v>
      </c>
      <c r="P5165">
        <v>0.89565280000000003</v>
      </c>
      <c r="Q5165">
        <v>0.40177750000000001</v>
      </c>
      <c r="R5165">
        <v>-0.1907374</v>
      </c>
      <c r="S5165">
        <v>3.3881230000000002</v>
      </c>
      <c r="T5165">
        <v>-0.47780030000000001</v>
      </c>
      <c r="U5165">
        <v>-0.82644649999999997</v>
      </c>
      <c r="V5165">
        <v>-0.23740939999999999</v>
      </c>
      <c r="W5165">
        <v>0.4065819</v>
      </c>
      <c r="X5165">
        <v>0.88222900000000004</v>
      </c>
      <c r="Y5165">
        <v>-0.21790090000000001</v>
      </c>
      <c r="Z5165">
        <v>7.1084690000000006E-2</v>
      </c>
      <c r="AA5165">
        <v>0.97337870000000004</v>
      </c>
      <c r="AB5165">
        <v>31</v>
      </c>
      <c r="AC5165">
        <v>7.6413000000000002</v>
      </c>
      <c r="AD5165">
        <v>-1.1172315554950001</v>
      </c>
      <c r="AE5165">
        <v>-1.7976300000000001</v>
      </c>
      <c r="AF5165">
        <v>-1.7795853464620299</v>
      </c>
      <c r="AG5165">
        <v>-1.1172315554950001</v>
      </c>
      <c r="AH5165">
        <v>7.4854162468276098</v>
      </c>
      <c r="AI5165">
        <v>98.262016548014799</v>
      </c>
      <c r="AJ5165">
        <v>103.373252527415</v>
      </c>
      <c r="AK5165">
        <v>7.7747403006278502</v>
      </c>
      <c r="AL5165">
        <v>66.009705747758503</v>
      </c>
      <c r="AM5165">
        <v>105.061597243468</v>
      </c>
      <c r="AN5165">
        <v>1.00000003652848</v>
      </c>
    </row>
    <row r="5166" spans="1:40" x14ac:dyDescent="0.25">
      <c r="A5166" t="str">
        <f>"20190304164750811"</f>
        <v>20190304164750811</v>
      </c>
      <c r="B5166" t="str">
        <f>"1551689270804184"</f>
        <v>1551689270804184</v>
      </c>
      <c r="C5166" t="s">
        <v>40</v>
      </c>
      <c r="D5166">
        <v>4.7515650000000003</v>
      </c>
      <c r="E5166">
        <v>0.53082289999999999</v>
      </c>
      <c r="F5166" t="s">
        <v>42</v>
      </c>
      <c r="G5166">
        <v>-277.82490000000001</v>
      </c>
      <c r="H5166" s="1">
        <v>-2.9815839999999902E-6</v>
      </c>
      <c r="I5166">
        <v>-58.25591</v>
      </c>
      <c r="J5166">
        <v>-284.18900000000002</v>
      </c>
      <c r="K5166">
        <v>1.117194</v>
      </c>
      <c r="L5166">
        <v>-56.607120000000002</v>
      </c>
      <c r="M5166">
        <v>0.8977309</v>
      </c>
      <c r="N5166">
        <v>-9.8035269999999994E-3</v>
      </c>
      <c r="O5166">
        <v>-0.44043520000000003</v>
      </c>
      <c r="P5166">
        <v>0.89701469999999905</v>
      </c>
      <c r="Q5166">
        <v>0.40175159999999999</v>
      </c>
      <c r="R5166">
        <v>-0.18428369999999999</v>
      </c>
      <c r="S5166">
        <v>3.41153</v>
      </c>
      <c r="T5166">
        <v>-0.57277080000000002</v>
      </c>
      <c r="U5166">
        <v>-0.91519170000000005</v>
      </c>
      <c r="V5166">
        <v>-0.2363537</v>
      </c>
      <c r="W5166">
        <v>0.40660010000000002</v>
      </c>
      <c r="X5166">
        <v>0.88250399999999996</v>
      </c>
      <c r="Y5166">
        <v>-0.18566679999999999</v>
      </c>
      <c r="Z5166">
        <v>8.0970039999999993E-2</v>
      </c>
      <c r="AA5166">
        <v>0.979271</v>
      </c>
      <c r="AB5166">
        <v>31</v>
      </c>
      <c r="AC5166">
        <v>6.3640999999999996</v>
      </c>
      <c r="AD5166">
        <v>-1.1171969815839999</v>
      </c>
      <c r="AE5166">
        <v>-1.64879</v>
      </c>
      <c r="AF5166">
        <v>-1.28573752576487</v>
      </c>
      <c r="AG5166">
        <v>-1.1171969815839999</v>
      </c>
      <c r="AH5166">
        <v>6.2589944424608799</v>
      </c>
      <c r="AI5166">
        <v>99.9175562322975</v>
      </c>
      <c r="AJ5166">
        <v>101.608348793161</v>
      </c>
      <c r="AK5166">
        <v>6.4866217333506198</v>
      </c>
      <c r="AL5166">
        <v>66.008563720244098</v>
      </c>
      <c r="AM5166">
        <v>104.993183027253</v>
      </c>
      <c r="AN5166">
        <v>1.00000001141985</v>
      </c>
    </row>
    <row r="5167" spans="1:40" x14ac:dyDescent="0.25">
      <c r="A5167" t="str">
        <f>"20190304164750832"</f>
        <v>20190304164750832</v>
      </c>
      <c r="B5167" t="str">
        <f>"1551689270824684"</f>
        <v>1551689270824684</v>
      </c>
      <c r="C5167" t="s">
        <v>40</v>
      </c>
      <c r="D5167">
        <v>4.9305919999999999</v>
      </c>
      <c r="E5167">
        <v>0.53051819999999905</v>
      </c>
      <c r="F5167" t="s">
        <v>42</v>
      </c>
      <c r="G5167">
        <v>-277.56670000000003</v>
      </c>
      <c r="H5167" s="1">
        <v>-2.8546799999999998E-6</v>
      </c>
      <c r="I5167">
        <v>-58.328830000000004</v>
      </c>
      <c r="J5167">
        <v>-283.9264</v>
      </c>
      <c r="K5167">
        <v>1.11717</v>
      </c>
      <c r="L5167">
        <v>-56.727910000000001</v>
      </c>
      <c r="M5167">
        <v>0.90100000000000002</v>
      </c>
      <c r="N5167">
        <v>-9.8098920000000006E-3</v>
      </c>
      <c r="O5167">
        <v>-0.43370809999999999</v>
      </c>
      <c r="P5167">
        <v>0.89787659999999903</v>
      </c>
      <c r="Q5167">
        <v>0.40202199999999999</v>
      </c>
      <c r="R5167">
        <v>-0.1794328</v>
      </c>
      <c r="S5167">
        <v>3.4201350000000001</v>
      </c>
      <c r="T5167">
        <v>-0.57698190000000005</v>
      </c>
      <c r="U5167">
        <v>-0.889190699999999</v>
      </c>
      <c r="V5167">
        <v>-0.23444090000000001</v>
      </c>
      <c r="W5167">
        <v>0.4069256</v>
      </c>
      <c r="X5167">
        <v>0.88286409999999904</v>
      </c>
      <c r="Y5167">
        <v>-0.18586910000000001</v>
      </c>
      <c r="Z5167">
        <v>8.0587130000000007E-2</v>
      </c>
      <c r="AA5167">
        <v>0.97926420000000003</v>
      </c>
      <c r="AB5167">
        <v>31</v>
      </c>
      <c r="AC5167">
        <v>6.3596999999999699</v>
      </c>
      <c r="AD5167">
        <v>-1.1171728546799999</v>
      </c>
      <c r="AE5167">
        <v>-1.6009199999999999</v>
      </c>
      <c r="AF5167">
        <v>-1.27877880719408</v>
      </c>
      <c r="AG5167">
        <v>-1.1171728546799999</v>
      </c>
      <c r="AH5167">
        <v>6.24354872896257</v>
      </c>
      <c r="AI5167">
        <v>99.942554573968295</v>
      </c>
      <c r="AJ5167">
        <v>101.57500976387399</v>
      </c>
      <c r="AK5167">
        <v>6.4703362475139397</v>
      </c>
      <c r="AL5167">
        <v>65.988148428561203</v>
      </c>
      <c r="AM5167">
        <v>104.871445970095</v>
      </c>
      <c r="AN5167">
        <v>0.99999999929849004</v>
      </c>
    </row>
    <row r="5168" spans="1:40" x14ac:dyDescent="0.25">
      <c r="A5168" t="str">
        <f>"20190304164750845"</f>
        <v>20190304164750845</v>
      </c>
      <c r="B5168" t="str">
        <f>"1551689270834441"</f>
        <v>1551689270834441</v>
      </c>
      <c r="C5168" t="s">
        <v>40</v>
      </c>
      <c r="D5168">
        <v>4.7477499999999999</v>
      </c>
      <c r="E5168">
        <v>0.53071590000000002</v>
      </c>
      <c r="F5168" t="s">
        <v>42</v>
      </c>
      <c r="G5168">
        <v>-277.33920000000001</v>
      </c>
      <c r="H5168" s="1">
        <v>-2.743528E-6</v>
      </c>
      <c r="I5168">
        <v>-58.390210000000003</v>
      </c>
      <c r="J5168">
        <v>-283.76609999999999</v>
      </c>
      <c r="K5168">
        <v>1.117157</v>
      </c>
      <c r="L5168">
        <v>-56.8003199999999</v>
      </c>
      <c r="M5168">
        <v>0.90295769999999997</v>
      </c>
      <c r="N5168">
        <v>-9.8152010000000008E-3</v>
      </c>
      <c r="O5168">
        <v>-0.42961739999999998</v>
      </c>
      <c r="P5168">
        <v>0.89832670000000003</v>
      </c>
      <c r="Q5168">
        <v>0.40228520000000001</v>
      </c>
      <c r="R5168">
        <v>-0.1765679</v>
      </c>
      <c r="S5168">
        <v>3.4286500000000002</v>
      </c>
      <c r="T5168">
        <v>-0.58149119999999999</v>
      </c>
      <c r="U5168">
        <v>-0.86523439999999996</v>
      </c>
      <c r="V5168">
        <v>-0.23319129999999999</v>
      </c>
      <c r="W5168">
        <v>0.4072209</v>
      </c>
      <c r="X5168">
        <v>0.88305889999999998</v>
      </c>
      <c r="Y5168">
        <v>-0.1883378</v>
      </c>
      <c r="Z5168">
        <v>8.0782640000000003E-2</v>
      </c>
      <c r="AA5168">
        <v>0.97877630000000004</v>
      </c>
      <c r="AB5168">
        <v>31</v>
      </c>
      <c r="AC5168">
        <v>6.4268999999999803</v>
      </c>
      <c r="AD5168">
        <v>-1.1171597435279901</v>
      </c>
      <c r="AE5168">
        <v>-1.58989</v>
      </c>
      <c r="AF5168">
        <v>-1.28887060733814</v>
      </c>
      <c r="AG5168">
        <v>-1.1171597435279901</v>
      </c>
      <c r="AH5168">
        <v>6.3069971516841496</v>
      </c>
      <c r="AI5168">
        <v>99.845258285176797</v>
      </c>
      <c r="AJ5168">
        <v>101.549693045654</v>
      </c>
      <c r="AK5168">
        <v>6.5335630712783201</v>
      </c>
      <c r="AL5168">
        <v>65.969625595075797</v>
      </c>
      <c r="AM5168">
        <v>104.792544379034</v>
      </c>
      <c r="AN5168">
        <v>1.00000003233085</v>
      </c>
    </row>
    <row r="5169" spans="1:40" x14ac:dyDescent="0.25">
      <c r="A5169" t="str">
        <f>"20190304164750857"</f>
        <v>20190304164750857</v>
      </c>
      <c r="B5169" t="str">
        <f>"1551689270844201"</f>
        <v>1551689270844201</v>
      </c>
      <c r="C5169" t="s">
        <v>40</v>
      </c>
      <c r="D5169">
        <v>4.8051760000000003</v>
      </c>
      <c r="E5169">
        <v>0.53105480000000005</v>
      </c>
      <c r="F5169" t="s">
        <v>42</v>
      </c>
      <c r="G5169">
        <v>-277.1712</v>
      </c>
      <c r="H5169" s="1">
        <v>-2.6601140000000001E-6</v>
      </c>
      <c r="I5169">
        <v>-58.441470000000002</v>
      </c>
      <c r="J5169">
        <v>-283.61419999999998</v>
      </c>
      <c r="K5169">
        <v>1.1171500000000001</v>
      </c>
      <c r="L5169">
        <v>-56.86844</v>
      </c>
      <c r="M5169">
        <v>0.90479140000000002</v>
      </c>
      <c r="N5169">
        <v>-9.8205640000000004E-3</v>
      </c>
      <c r="O5169">
        <v>-0.4257416</v>
      </c>
      <c r="P5169">
        <v>0.89874050000000005</v>
      </c>
      <c r="Q5169">
        <v>0.40263539999999998</v>
      </c>
      <c r="R5169">
        <v>-0.173638299999999</v>
      </c>
      <c r="S5169">
        <v>3.4320369999999998</v>
      </c>
      <c r="T5169">
        <v>-0.58137830000000001</v>
      </c>
      <c r="U5169">
        <v>-0.85406489999999902</v>
      </c>
      <c r="V5169">
        <v>-0.23221069999999999</v>
      </c>
      <c r="W5169">
        <v>0.40759709999999899</v>
      </c>
      <c r="X5169">
        <v>0.88314369999999998</v>
      </c>
      <c r="Y5169">
        <v>-0.1874161</v>
      </c>
      <c r="Z5169">
        <v>8.0114260000000007E-2</v>
      </c>
      <c r="AA5169">
        <v>0.97900810000000005</v>
      </c>
      <c r="AB5169">
        <v>31</v>
      </c>
      <c r="AC5169">
        <v>6.4429999999999801</v>
      </c>
      <c r="AD5169">
        <v>-1.1171526601140001</v>
      </c>
      <c r="AE5169">
        <v>-1.5730299999999899</v>
      </c>
      <c r="AF5169">
        <v>-1.2834379958629001</v>
      </c>
      <c r="AG5169">
        <v>-1.1171526601140001</v>
      </c>
      <c r="AH5169">
        <v>6.3202649448780504</v>
      </c>
      <c r="AI5169">
        <v>99.827361003994795</v>
      </c>
      <c r="AJ5169">
        <v>101.47880641020799</v>
      </c>
      <c r="AK5169">
        <v>6.5453030585816796</v>
      </c>
      <c r="AL5169">
        <v>65.946022500606105</v>
      </c>
      <c r="AM5169">
        <v>104.731697954792</v>
      </c>
      <c r="AN5169">
        <v>0.99999999998629396</v>
      </c>
    </row>
    <row r="5170" spans="1:40" x14ac:dyDescent="0.25">
      <c r="A5170" t="str">
        <f>"20190304164750869"</f>
        <v>20190304164750869</v>
      </c>
      <c r="B5170" t="str">
        <f>"1551689270864696"</f>
        <v>1551689270864696</v>
      </c>
      <c r="C5170" t="s">
        <v>40</v>
      </c>
      <c r="D5170">
        <v>4.7777820000000002</v>
      </c>
      <c r="E5170">
        <v>0.53143130000000005</v>
      </c>
      <c r="F5170" t="s">
        <v>42</v>
      </c>
      <c r="G5170">
        <v>-277.02370000000002</v>
      </c>
      <c r="H5170" s="1">
        <v>-2.5866310000000002E-6</v>
      </c>
      <c r="I5170">
        <v>-58.4876</v>
      </c>
      <c r="J5170">
        <v>-283.4545</v>
      </c>
      <c r="K5170">
        <v>1.117146</v>
      </c>
      <c r="L5170">
        <v>-56.938960000000002</v>
      </c>
      <c r="M5170">
        <v>0.90669239999999995</v>
      </c>
      <c r="N5170">
        <v>-9.8265479999999992E-3</v>
      </c>
      <c r="O5170">
        <v>-0.421678</v>
      </c>
      <c r="P5170">
        <v>0.89916779999999996</v>
      </c>
      <c r="Q5170">
        <v>0.40299560000000001</v>
      </c>
      <c r="R5170">
        <v>-0.1705634</v>
      </c>
      <c r="S5170">
        <v>3.4358219999999999</v>
      </c>
      <c r="T5170">
        <v>-0.58240380000000003</v>
      </c>
      <c r="U5170">
        <v>-0.84411619999999998</v>
      </c>
      <c r="V5170">
        <v>-0.23119890000000001</v>
      </c>
      <c r="W5170">
        <v>0.40798240000000002</v>
      </c>
      <c r="X5170">
        <v>0.88323130000000005</v>
      </c>
      <c r="Y5170">
        <v>-0.18597920000000001</v>
      </c>
      <c r="Z5170">
        <v>7.9519709999999993E-2</v>
      </c>
      <c r="AA5170">
        <v>0.97933049999999999</v>
      </c>
      <c r="AB5170">
        <v>31</v>
      </c>
      <c r="AC5170">
        <v>6.4307999999999703</v>
      </c>
      <c r="AD5170">
        <v>-1.117148586631</v>
      </c>
      <c r="AE5170">
        <v>-1.54864</v>
      </c>
      <c r="AF5170">
        <v>-1.27138500187262</v>
      </c>
      <c r="AG5170">
        <v>-1.117148586631</v>
      </c>
      <c r="AH5170">
        <v>6.30427525626658</v>
      </c>
      <c r="AI5170">
        <v>99.854386571731595</v>
      </c>
      <c r="AJ5170">
        <v>101.401922472263</v>
      </c>
      <c r="AK5170">
        <v>6.5275054419259799</v>
      </c>
      <c r="AL5170">
        <v>65.921846084054494</v>
      </c>
      <c r="AM5170">
        <v>104.66889056489801</v>
      </c>
      <c r="AN5170">
        <v>1.0000000496853201</v>
      </c>
    </row>
    <row r="5171" spans="1:40" x14ac:dyDescent="0.25">
      <c r="A5171" t="str">
        <f>"20190304164750882"</f>
        <v>20190304164750882</v>
      </c>
      <c r="B5171" t="str">
        <f>"1551689270874457"</f>
        <v>1551689270874457</v>
      </c>
      <c r="C5171" t="s">
        <v>40</v>
      </c>
      <c r="D5171">
        <v>4.7499029999999998</v>
      </c>
      <c r="E5171">
        <v>0.53158269999999996</v>
      </c>
      <c r="F5171" t="s">
        <v>42</v>
      </c>
      <c r="G5171">
        <v>-276.9119</v>
      </c>
      <c r="H5171" s="1">
        <v>-2.5304029999999998E-6</v>
      </c>
      <c r="I5171">
        <v>-58.5250699999999</v>
      </c>
      <c r="J5171">
        <v>-283.29790000000003</v>
      </c>
      <c r="K5171">
        <v>1.1171469999999999</v>
      </c>
      <c r="L5171">
        <v>-57.007390000000001</v>
      </c>
      <c r="M5171">
        <v>0.90853430000000002</v>
      </c>
      <c r="N5171">
        <v>-9.8323950000000007E-3</v>
      </c>
      <c r="O5171">
        <v>-0.41769469999999997</v>
      </c>
      <c r="P5171">
        <v>0.89961119999999895</v>
      </c>
      <c r="Q5171">
        <v>0.40352660000000001</v>
      </c>
      <c r="R5171">
        <v>-0.16693279999999999</v>
      </c>
      <c r="S5171">
        <v>3.4415279999999999</v>
      </c>
      <c r="T5171">
        <v>-0.58764119999999997</v>
      </c>
      <c r="U5171">
        <v>-0.83432009999999901</v>
      </c>
      <c r="V5171">
        <v>-0.23079340000000001</v>
      </c>
      <c r="W5171">
        <v>0.40852480000000002</v>
      </c>
      <c r="X5171">
        <v>0.88308659999999894</v>
      </c>
      <c r="Y5171">
        <v>-0.18462029999999999</v>
      </c>
      <c r="Z5171">
        <v>7.9480679999999998E-2</v>
      </c>
      <c r="AA5171">
        <v>0.97959079999999998</v>
      </c>
      <c r="AB5171">
        <v>31</v>
      </c>
      <c r="AC5171">
        <v>6.3860000000000197</v>
      </c>
      <c r="AD5171">
        <v>-1.1171495304029999</v>
      </c>
      <c r="AE5171">
        <v>-1.5176799999999899</v>
      </c>
      <c r="AF5171">
        <v>-1.2523203088485699</v>
      </c>
      <c r="AG5171">
        <v>-1.1171495304029999</v>
      </c>
      <c r="AH5171">
        <v>6.25495071151426</v>
      </c>
      <c r="AI5171">
        <v>99.933302740523203</v>
      </c>
      <c r="AJ5171">
        <v>101.321647780532</v>
      </c>
      <c r="AK5171">
        <v>6.4761668935186503</v>
      </c>
      <c r="AL5171">
        <v>65.887801947606505</v>
      </c>
      <c r="AM5171">
        <v>104.646566007883</v>
      </c>
      <c r="AN5171">
        <v>1.0000000243990701</v>
      </c>
    </row>
    <row r="5172" spans="1:40" x14ac:dyDescent="0.25">
      <c r="A5172" t="str">
        <f>"20190304164750899"</f>
        <v>20190304164750899</v>
      </c>
      <c r="B5172" t="str">
        <f>"1551689270894953"</f>
        <v>1551689270894953</v>
      </c>
      <c r="C5172" t="s">
        <v>40</v>
      </c>
      <c r="D5172">
        <v>4.7093879999999997</v>
      </c>
      <c r="E5172">
        <v>0.53197430000000001</v>
      </c>
      <c r="F5172" t="s">
        <v>42</v>
      </c>
      <c r="G5172">
        <v>-276.7439</v>
      </c>
      <c r="H5172" s="1">
        <v>-2.4481189999999998E-6</v>
      </c>
      <c r="I5172">
        <v>-58.571179999999998</v>
      </c>
      <c r="J5172">
        <v>-283.07249999999999</v>
      </c>
      <c r="K5172">
        <v>1.1171530000000001</v>
      </c>
      <c r="L5172">
        <v>-57.104489999999998</v>
      </c>
      <c r="M5172">
        <v>0.91114519999999999</v>
      </c>
      <c r="N5172">
        <v>-9.8408239999999998E-3</v>
      </c>
      <c r="O5172">
        <v>-0.41196830000000001</v>
      </c>
      <c r="P5172">
        <v>0.90021969999999996</v>
      </c>
      <c r="Q5172">
        <v>0.40413189999999999</v>
      </c>
      <c r="R5172">
        <v>-0.16211800000000001</v>
      </c>
      <c r="S5172">
        <v>3.4456479999999998</v>
      </c>
      <c r="T5172">
        <v>-0.58732510000000004</v>
      </c>
      <c r="U5172">
        <v>-0.82214359999999997</v>
      </c>
      <c r="V5172">
        <v>-0.22985420000000001</v>
      </c>
      <c r="W5172">
        <v>0.40915230000000002</v>
      </c>
      <c r="X5172">
        <v>0.88304099999999996</v>
      </c>
      <c r="Y5172">
        <v>-0.1820899</v>
      </c>
      <c r="Z5172">
        <v>7.835889E-2</v>
      </c>
      <c r="AA5172">
        <v>0.98015459999999999</v>
      </c>
      <c r="AB5172">
        <v>31</v>
      </c>
      <c r="AC5172">
        <v>6.32859999999999</v>
      </c>
      <c r="AD5172">
        <v>-1.117155448119</v>
      </c>
      <c r="AE5172">
        <v>-1.4666899999999901</v>
      </c>
      <c r="AF5172">
        <v>-1.23437268614217</v>
      </c>
      <c r="AG5172">
        <v>-1.117155448119</v>
      </c>
      <c r="AH5172">
        <v>6.1878204799623697</v>
      </c>
      <c r="AI5172">
        <v>100.040315091762</v>
      </c>
      <c r="AJ5172">
        <v>101.281515540562</v>
      </c>
      <c r="AK5172">
        <v>6.4078728542159498</v>
      </c>
      <c r="AL5172">
        <v>65.848404826435498</v>
      </c>
      <c r="AM5172">
        <v>104.590231980621</v>
      </c>
      <c r="AN5172">
        <v>0.999999982766964</v>
      </c>
    </row>
    <row r="5173" spans="1:40" x14ac:dyDescent="0.25">
      <c r="A5173" t="str">
        <f>"20190304164750910"</f>
        <v>20190304164750910</v>
      </c>
      <c r="B5173" t="str">
        <f>"1551689270904713"</f>
        <v>1551689270904713</v>
      </c>
      <c r="C5173" t="s">
        <v>40</v>
      </c>
      <c r="D5173">
        <v>4.8026359999999997</v>
      </c>
      <c r="E5173">
        <v>0.53212919999999997</v>
      </c>
      <c r="F5173" t="s">
        <v>42</v>
      </c>
      <c r="G5173">
        <v>-276.50150000000002</v>
      </c>
      <c r="H5173" s="1">
        <v>-2.3282739999999999E-6</v>
      </c>
      <c r="I5173">
        <v>-58.642989999999998</v>
      </c>
      <c r="J5173">
        <v>-282.9246</v>
      </c>
      <c r="K5173">
        <v>1.117154</v>
      </c>
      <c r="L5173">
        <v>-57.167389999999997</v>
      </c>
      <c r="M5173">
        <v>0.91283389999999998</v>
      </c>
      <c r="N5173">
        <v>-9.8464269999999996E-3</v>
      </c>
      <c r="O5173">
        <v>-0.40821249999999998</v>
      </c>
      <c r="P5173">
        <v>0.90084129999999996</v>
      </c>
      <c r="Q5173">
        <v>0.40408959999999999</v>
      </c>
      <c r="R5173">
        <v>-0.1587344</v>
      </c>
      <c r="S5173">
        <v>3.4503780000000002</v>
      </c>
      <c r="T5173">
        <v>-0.58661470000000004</v>
      </c>
      <c r="U5173">
        <v>-0.8078613</v>
      </c>
      <c r="V5173">
        <v>-0.22954330000000001</v>
      </c>
      <c r="W5173">
        <v>0.40912009999999899</v>
      </c>
      <c r="X5173">
        <v>0.88313680000000006</v>
      </c>
      <c r="Y5173">
        <v>-0.18225340000000001</v>
      </c>
      <c r="Z5173">
        <v>7.769152E-2</v>
      </c>
      <c r="AA5173">
        <v>0.98017739999999998</v>
      </c>
      <c r="AB5173">
        <v>31</v>
      </c>
      <c r="AC5173">
        <v>6.4230999999999696</v>
      </c>
      <c r="AD5173">
        <v>-1.117156328274</v>
      </c>
      <c r="AE5173">
        <v>-1.4756</v>
      </c>
      <c r="AF5173">
        <v>-1.2394586491695301</v>
      </c>
      <c r="AG5173">
        <v>-1.117156328274</v>
      </c>
      <c r="AH5173">
        <v>6.2852908302158097</v>
      </c>
      <c r="AI5173">
        <v>99.891943233266304</v>
      </c>
      <c r="AJ5173">
        <v>101.155585708131</v>
      </c>
      <c r="AK5173">
        <v>6.5030129036623299</v>
      </c>
      <c r="AL5173">
        <v>65.850427038491105</v>
      </c>
      <c r="AM5173">
        <v>104.569824416028</v>
      </c>
      <c r="AN5173">
        <v>0.99999999515657001</v>
      </c>
    </row>
    <row r="5174" spans="1:40" x14ac:dyDescent="0.25">
      <c r="A5174" t="str">
        <f>"20190304164750924"</f>
        <v>20190304164750924</v>
      </c>
      <c r="B5174" t="str">
        <f>"1551689270914473"</f>
        <v>1551689270914473</v>
      </c>
      <c r="C5174" t="s">
        <v>40</v>
      </c>
      <c r="D5174">
        <v>4.8486320000000003</v>
      </c>
      <c r="E5174">
        <v>0.53212919999999997</v>
      </c>
      <c r="F5174" t="s">
        <v>42</v>
      </c>
      <c r="G5174">
        <v>-276.35430000000002</v>
      </c>
      <c r="H5174" s="1">
        <v>-2.256525E-6</v>
      </c>
      <c r="I5174">
        <v>-58.681809999999999</v>
      </c>
      <c r="J5174">
        <v>-282.76749999999998</v>
      </c>
      <c r="K5174">
        <v>1.1171580000000001</v>
      </c>
      <c r="L5174">
        <v>-57.2331199999999</v>
      </c>
      <c r="M5174">
        <v>0.91460580000000002</v>
      </c>
      <c r="N5174">
        <v>-9.8523699999999992E-3</v>
      </c>
      <c r="O5174">
        <v>-0.40422659999999999</v>
      </c>
      <c r="P5174">
        <v>0.90143419999999996</v>
      </c>
      <c r="Q5174">
        <v>0.40414280000000002</v>
      </c>
      <c r="R5174">
        <v>-0.1551941</v>
      </c>
      <c r="S5174">
        <v>3.4533689999999999</v>
      </c>
      <c r="T5174">
        <v>-0.58718380000000003</v>
      </c>
      <c r="U5174">
        <v>-0.79598999999999998</v>
      </c>
      <c r="V5174">
        <v>-0.2291533</v>
      </c>
      <c r="W5174">
        <v>0.40918359999999998</v>
      </c>
      <c r="X5174">
        <v>0.88320859999999901</v>
      </c>
      <c r="Y5174">
        <v>-0.1813959</v>
      </c>
      <c r="Z5174">
        <v>7.7105049999999994E-2</v>
      </c>
      <c r="AA5174">
        <v>0.98038270000000005</v>
      </c>
      <c r="AB5174">
        <v>31</v>
      </c>
      <c r="AC5174">
        <v>6.4131999999999598</v>
      </c>
      <c r="AD5174">
        <v>-1.1171602565250001</v>
      </c>
      <c r="AE5174">
        <v>-1.44869</v>
      </c>
      <c r="AF5174">
        <v>-1.2319006199010001</v>
      </c>
      <c r="AG5174">
        <v>-1.1171602565250001</v>
      </c>
      <c r="AH5174">
        <v>6.2704263103135203</v>
      </c>
      <c r="AI5174">
        <v>99.916321063765395</v>
      </c>
      <c r="AJ5174">
        <v>101.11488579454</v>
      </c>
      <c r="AK5174">
        <v>6.4872083586966403</v>
      </c>
      <c r="AL5174">
        <v>65.846438373817406</v>
      </c>
      <c r="AM5174">
        <v>104.544988431839</v>
      </c>
      <c r="AN5174">
        <v>0.99999994226190303</v>
      </c>
    </row>
    <row r="5175" spans="1:40" x14ac:dyDescent="0.25">
      <c r="A5175" t="str">
        <f>"20190304164750945"</f>
        <v>20190304164750945</v>
      </c>
      <c r="B5175" t="str">
        <f>"1551689270934969"</f>
        <v>1551689270934969</v>
      </c>
      <c r="C5175" t="s">
        <v>40</v>
      </c>
      <c r="D5175">
        <v>4.7275830000000001</v>
      </c>
      <c r="E5175">
        <v>0.51139709999999905</v>
      </c>
      <c r="F5175" t="s">
        <v>42</v>
      </c>
      <c r="G5175">
        <v>-276.18889999999999</v>
      </c>
      <c r="H5175" s="1">
        <v>-2.176428E-6</v>
      </c>
      <c r="I5175">
        <v>-58.723109999999998</v>
      </c>
      <c r="J5175">
        <v>-282.4932</v>
      </c>
      <c r="K5175">
        <v>1.1171690000000001</v>
      </c>
      <c r="L5175">
        <v>-57.34628</v>
      </c>
      <c r="M5175">
        <v>0.9176512</v>
      </c>
      <c r="N5175">
        <v>-9.8625250000000005E-3</v>
      </c>
      <c r="O5175">
        <v>-0.39726470000000003</v>
      </c>
      <c r="P5175">
        <v>0.9026189</v>
      </c>
      <c r="Q5175">
        <v>0.40391110000000002</v>
      </c>
      <c r="R5175">
        <v>-0.14877889999999999</v>
      </c>
      <c r="S5175">
        <v>3.4563899999999999</v>
      </c>
      <c r="T5175">
        <v>-0.58695659999999905</v>
      </c>
      <c r="U5175">
        <v>-0.78283689999999995</v>
      </c>
      <c r="V5175">
        <v>-0.228765</v>
      </c>
      <c r="W5175">
        <v>0.4089661</v>
      </c>
      <c r="X5175">
        <v>0.88341009999999998</v>
      </c>
      <c r="Y5175">
        <v>-0.1777918</v>
      </c>
      <c r="Z5175">
        <v>7.5749590000000006E-2</v>
      </c>
      <c r="AA5175">
        <v>0.98114840000000003</v>
      </c>
      <c r="AB5175">
        <v>31</v>
      </c>
      <c r="AC5175">
        <v>6.3043000000000102</v>
      </c>
      <c r="AD5175">
        <v>-1.1171711764279999</v>
      </c>
      <c r="AE5175">
        <v>-1.37682999999999</v>
      </c>
      <c r="AF5175">
        <v>-1.2049698033203999</v>
      </c>
      <c r="AG5175">
        <v>-1.1171711764279999</v>
      </c>
      <c r="AH5175">
        <v>6.1481433611698399</v>
      </c>
      <c r="AI5175">
        <v>100.110502470166</v>
      </c>
      <c r="AJ5175">
        <v>101.088800569966</v>
      </c>
      <c r="AK5175">
        <v>6.3639367103902202</v>
      </c>
      <c r="AL5175">
        <v>65.860097943341401</v>
      </c>
      <c r="AM5175">
        <v>104.518212508025</v>
      </c>
      <c r="AN5175">
        <v>1.0000000504780999</v>
      </c>
    </row>
    <row r="5176" spans="1:40" x14ac:dyDescent="0.25">
      <c r="A5176" t="str">
        <f>"20190304164750960"</f>
        <v>20190304164750960</v>
      </c>
      <c r="B5176" t="str">
        <f>"1551689270954489"</f>
        <v>1551689270954489</v>
      </c>
      <c r="C5176" t="s">
        <v>40</v>
      </c>
      <c r="D5176">
        <v>4.6591879999999897</v>
      </c>
      <c r="E5176">
        <v>0.5068918</v>
      </c>
      <c r="F5176" t="s">
        <v>42</v>
      </c>
      <c r="G5176">
        <v>-274.0727</v>
      </c>
      <c r="H5176" s="1">
        <v>-1.252319E-6</v>
      </c>
      <c r="I5176">
        <v>-58.796680000000002</v>
      </c>
      <c r="J5176">
        <v>-282.29829999999998</v>
      </c>
      <c r="K5176">
        <v>1.1171759999999999</v>
      </c>
      <c r="L5176">
        <v>-57.425289999999997</v>
      </c>
      <c r="M5176">
        <v>0.91977690000000001</v>
      </c>
      <c r="N5176">
        <v>-9.8694779999999992E-3</v>
      </c>
      <c r="O5176">
        <v>-0.39231749999999999</v>
      </c>
      <c r="P5176">
        <v>0.90320060000000002</v>
      </c>
      <c r="Q5176">
        <v>0.40427760000000001</v>
      </c>
      <c r="R5176">
        <v>-0.14418149999999999</v>
      </c>
      <c r="S5176">
        <v>3.429932</v>
      </c>
      <c r="T5176">
        <v>-0.45505669999999998</v>
      </c>
      <c r="U5176">
        <v>-0.59078980000000003</v>
      </c>
      <c r="V5176">
        <v>-0.22845209999999999</v>
      </c>
      <c r="W5176">
        <v>0.40933979999999998</v>
      </c>
      <c r="X5176">
        <v>0.88331789999999999</v>
      </c>
      <c r="Y5176">
        <v>-0.22580810000000001</v>
      </c>
      <c r="Z5176">
        <v>6.1940700000000001E-2</v>
      </c>
      <c r="AA5176">
        <v>0.97220059999999997</v>
      </c>
      <c r="AB5176">
        <v>31</v>
      </c>
      <c r="AC5176">
        <v>8.2255999999999805</v>
      </c>
      <c r="AD5176">
        <v>-1.117177252319</v>
      </c>
      <c r="AE5176">
        <v>-1.3713899999999899</v>
      </c>
      <c r="AF5176">
        <v>-1.9311112938278401</v>
      </c>
      <c r="AG5176">
        <v>-1.117177252319</v>
      </c>
      <c r="AH5176">
        <v>7.9612481418726002</v>
      </c>
      <c r="AI5176">
        <v>97.765656081679595</v>
      </c>
      <c r="AJ5176">
        <v>103.63455154039499</v>
      </c>
      <c r="AK5176">
        <v>8.26793491863104</v>
      </c>
      <c r="AL5176">
        <v>65.836630493985993</v>
      </c>
      <c r="AM5176">
        <v>104.500641932078</v>
      </c>
      <c r="AN5176">
        <v>0.99999997315942901</v>
      </c>
    </row>
    <row r="5177" spans="1:40" x14ac:dyDescent="0.25">
      <c r="A5177" t="str">
        <f>"20190304164750974"</f>
        <v>20190304164750974</v>
      </c>
      <c r="B5177" t="str">
        <f>"1551689270964249"</f>
        <v>1551689270964249</v>
      </c>
      <c r="C5177" t="s">
        <v>40</v>
      </c>
      <c r="D5177">
        <v>4.6410770000000001</v>
      </c>
      <c r="E5177">
        <v>0.50581030000000005</v>
      </c>
      <c r="F5177" t="s">
        <v>42</v>
      </c>
      <c r="G5177">
        <v>-273.39420000000001</v>
      </c>
      <c r="H5177" s="1">
        <v>-9.5568379999999991E-7</v>
      </c>
      <c r="I5177">
        <v>-58.821919999999999</v>
      </c>
      <c r="J5177">
        <v>-282.10219999999998</v>
      </c>
      <c r="K5177">
        <v>1.117186</v>
      </c>
      <c r="L5177">
        <v>-57.503630000000001</v>
      </c>
      <c r="M5177">
        <v>0.92188429999999999</v>
      </c>
      <c r="N5177">
        <v>-9.8762680000000005E-3</v>
      </c>
      <c r="O5177">
        <v>-0.3873395</v>
      </c>
      <c r="P5177">
        <v>0.90373720000000002</v>
      </c>
      <c r="Q5177">
        <v>0.40473999999999999</v>
      </c>
      <c r="R5177">
        <v>-0.13944400000000001</v>
      </c>
      <c r="S5177">
        <v>3.4281920000000001</v>
      </c>
      <c r="T5177">
        <v>-0.4301275</v>
      </c>
      <c r="U5177">
        <v>-0.53771969999999902</v>
      </c>
      <c r="V5177">
        <v>-0.228241</v>
      </c>
      <c r="W5177">
        <v>0.40980660000000002</v>
      </c>
      <c r="X5177">
        <v>0.8831561</v>
      </c>
      <c r="Y5177">
        <v>-0.23555129999999999</v>
      </c>
      <c r="Z5177">
        <v>5.8692340000000003E-2</v>
      </c>
      <c r="AA5177">
        <v>0.97008810000000001</v>
      </c>
      <c r="AB5177">
        <v>31</v>
      </c>
      <c r="AC5177">
        <v>8.70799999999997</v>
      </c>
      <c r="AD5177">
        <v>-1.1171869556837899</v>
      </c>
      <c r="AE5177">
        <v>-1.31828999999999</v>
      </c>
      <c r="AF5177">
        <v>-2.1235768957679801</v>
      </c>
      <c r="AG5177">
        <v>-1.1171869556837899</v>
      </c>
      <c r="AH5177">
        <v>8.4035910065631008</v>
      </c>
      <c r="AI5177">
        <v>97.344364712687394</v>
      </c>
      <c r="AJ5177">
        <v>104.181681779934</v>
      </c>
      <c r="AK5177">
        <v>8.7394523473600998</v>
      </c>
      <c r="AL5177">
        <v>65.8073149966892</v>
      </c>
      <c r="AM5177">
        <v>104.49034935154801</v>
      </c>
      <c r="AN5177">
        <v>1.0000000502258799</v>
      </c>
    </row>
    <row r="5178" spans="1:40" x14ac:dyDescent="0.25">
      <c r="A5178" t="str">
        <f>"20190304164750989"</f>
        <v>20190304164750989</v>
      </c>
      <c r="B5178" t="str">
        <f>"1551689270984745"</f>
        <v>1551689270984745</v>
      </c>
      <c r="C5178" t="s">
        <v>40</v>
      </c>
      <c r="D5178">
        <v>4.6842269999999999</v>
      </c>
      <c r="E5178">
        <v>0.50509420000000005</v>
      </c>
      <c r="F5178" t="s">
        <v>42</v>
      </c>
      <c r="G5178">
        <v>-273.07870000000003</v>
      </c>
      <c r="H5178" s="1">
        <v>-8.1400539999999996E-7</v>
      </c>
      <c r="I5178">
        <v>-58.8506</v>
      </c>
      <c r="J5178">
        <v>-281.91829999999999</v>
      </c>
      <c r="K5178">
        <v>1.1171960000000001</v>
      </c>
      <c r="L5178">
        <v>-57.575710000000001</v>
      </c>
      <c r="M5178">
        <v>0.92383130000000002</v>
      </c>
      <c r="N5178">
        <v>-9.8825279999999998E-3</v>
      </c>
      <c r="O5178">
        <v>-0.38267289999999998</v>
      </c>
      <c r="P5178">
        <v>0.90385340000000003</v>
      </c>
      <c r="Q5178">
        <v>0.40570600000000001</v>
      </c>
      <c r="R5178">
        <v>-0.13583909999999999</v>
      </c>
      <c r="S5178">
        <v>3.4307249999999998</v>
      </c>
      <c r="T5178">
        <v>-0.42475350000000001</v>
      </c>
      <c r="U5178">
        <v>-0.51211549999999995</v>
      </c>
      <c r="V5178">
        <v>-0.2271492</v>
      </c>
      <c r="W5178">
        <v>0.41079110000000002</v>
      </c>
      <c r="X5178">
        <v>0.88298009999999905</v>
      </c>
      <c r="Y5178">
        <v>-0.23793900000000001</v>
      </c>
      <c r="Z5178">
        <v>5.76131E-2</v>
      </c>
      <c r="AA5178">
        <v>0.96956989999999998</v>
      </c>
      <c r="AB5178">
        <v>31</v>
      </c>
      <c r="AC5178">
        <v>8.8395999999999599</v>
      </c>
      <c r="AD5178">
        <v>-1.1171968140053901</v>
      </c>
      <c r="AE5178">
        <v>-1.2748899999999901</v>
      </c>
      <c r="AF5178">
        <v>-2.1710274330922998</v>
      </c>
      <c r="AG5178">
        <v>-1.1171968140053901</v>
      </c>
      <c r="AH5178">
        <v>8.5212468299010204</v>
      </c>
      <c r="AI5178">
        <v>97.240554421058604</v>
      </c>
      <c r="AJ5178">
        <v>104.293615775707</v>
      </c>
      <c r="AK5178">
        <v>8.8641489367316808</v>
      </c>
      <c r="AL5178">
        <v>65.745459117302403</v>
      </c>
      <c r="AM5178">
        <v>104.42668744257</v>
      </c>
      <c r="AN5178">
        <v>0.999999971947929</v>
      </c>
    </row>
    <row r="5179" spans="1:40" x14ac:dyDescent="0.25">
      <c r="A5179" t="str">
        <f>"20190304164751002"</f>
        <v>20190304164751002</v>
      </c>
      <c r="B5179" t="str">
        <f>"1551689270994505"</f>
        <v>1551689270994505</v>
      </c>
      <c r="C5179" t="s">
        <v>40</v>
      </c>
      <c r="D5179">
        <v>4.6844330000000003</v>
      </c>
      <c r="E5179">
        <v>0.50516280000000002</v>
      </c>
      <c r="F5179" t="s">
        <v>42</v>
      </c>
      <c r="G5179">
        <v>-272.80470000000003</v>
      </c>
      <c r="H5179" s="1">
        <v>-6.8960680000000003E-7</v>
      </c>
      <c r="I5179">
        <v>-58.881419999999999</v>
      </c>
      <c r="J5179">
        <v>-281.75630000000001</v>
      </c>
      <c r="K5179">
        <v>1.1172010000000001</v>
      </c>
      <c r="L5179">
        <v>-57.638460000000002</v>
      </c>
      <c r="M5179">
        <v>0.92552350000000005</v>
      </c>
      <c r="N5179">
        <v>-9.8877800000000005E-3</v>
      </c>
      <c r="O5179">
        <v>-0.37856139999999999</v>
      </c>
      <c r="P5179">
        <v>0.90426640000000003</v>
      </c>
      <c r="Q5179">
        <v>0.40585909999999997</v>
      </c>
      <c r="R5179">
        <v>-0.13259219999999999</v>
      </c>
      <c r="S5179">
        <v>3.4341430000000002</v>
      </c>
      <c r="T5179">
        <v>-0.42097259999999997</v>
      </c>
      <c r="U5179">
        <v>-0.49200440000000001</v>
      </c>
      <c r="V5179">
        <v>-0.2263732</v>
      </c>
      <c r="W5179">
        <v>0.4109602</v>
      </c>
      <c r="X5179">
        <v>0.88310069999999996</v>
      </c>
      <c r="Y5179">
        <v>-0.23941299999999999</v>
      </c>
      <c r="Z5179">
        <v>5.67352E-2</v>
      </c>
      <c r="AA5179">
        <v>0.96925870000000003</v>
      </c>
      <c r="AB5179">
        <v>31</v>
      </c>
      <c r="AC5179">
        <v>8.9515999999999796</v>
      </c>
      <c r="AD5179">
        <v>-1.1172016896068</v>
      </c>
      <c r="AE5179">
        <v>-1.2429600000000001</v>
      </c>
      <c r="AF5179">
        <v>-2.2047584951916099</v>
      </c>
      <c r="AG5179">
        <v>-1.1172016896068</v>
      </c>
      <c r="AH5179">
        <v>8.6240900664256195</v>
      </c>
      <c r="AI5179">
        <v>97.153660078545101</v>
      </c>
      <c r="AJ5179">
        <v>104.340576383876</v>
      </c>
      <c r="AK5179">
        <v>8.9712891554782104</v>
      </c>
      <c r="AL5179">
        <v>65.734832110592095</v>
      </c>
      <c r="AM5179">
        <v>104.37756671983399</v>
      </c>
      <c r="AN5179">
        <v>0.99999997900138404</v>
      </c>
    </row>
    <row r="5180" spans="1:40" x14ac:dyDescent="0.25">
      <c r="A5180" t="str">
        <f>"20190304164751015"</f>
        <v>20190304164751015</v>
      </c>
      <c r="B5180" t="str">
        <f>"1551689271004265"</f>
        <v>1551689271004265</v>
      </c>
      <c r="C5180" t="s">
        <v>40</v>
      </c>
      <c r="D5180">
        <v>4.6666319999999999</v>
      </c>
      <c r="E5180">
        <v>0.50496540000000001</v>
      </c>
      <c r="F5180" t="s">
        <v>42</v>
      </c>
      <c r="G5180">
        <v>-272.62979999999999</v>
      </c>
      <c r="H5180" s="1">
        <v>-6.0747490000000001E-7</v>
      </c>
      <c r="I5180">
        <v>-58.913670000000003</v>
      </c>
      <c r="J5180">
        <v>-281.59399999999999</v>
      </c>
      <c r="K5180">
        <v>1.117211</v>
      </c>
      <c r="L5180">
        <v>-57.700740000000003</v>
      </c>
      <c r="M5180">
        <v>0.92719790000000002</v>
      </c>
      <c r="N5180">
        <v>-9.8928469999999998E-3</v>
      </c>
      <c r="O5180">
        <v>-0.37444149999999998</v>
      </c>
      <c r="P5180">
        <v>0.90477600000000002</v>
      </c>
      <c r="Q5180">
        <v>0.4059101</v>
      </c>
      <c r="R5180">
        <v>-0.12890960000000001</v>
      </c>
      <c r="S5180">
        <v>3.4360050000000002</v>
      </c>
      <c r="T5180">
        <v>-0.42061290000000001</v>
      </c>
      <c r="U5180">
        <v>-0.48010249999999999</v>
      </c>
      <c r="V5180">
        <v>-0.2260374</v>
      </c>
      <c r="W5180">
        <v>0.41101850000000001</v>
      </c>
      <c r="X5180">
        <v>0.88315959999999905</v>
      </c>
      <c r="Y5180">
        <v>-0.2385012</v>
      </c>
      <c r="Z5180">
        <v>5.6192930000000002E-2</v>
      </c>
      <c r="AA5180">
        <v>0.96951509999999996</v>
      </c>
      <c r="AB5180">
        <v>32</v>
      </c>
      <c r="AC5180">
        <v>8.9641999999999999</v>
      </c>
      <c r="AD5180">
        <v>-1.1172116074748999</v>
      </c>
      <c r="AE5180">
        <v>-1.2129299999999901</v>
      </c>
      <c r="AF5180">
        <v>-2.1985162998633601</v>
      </c>
      <c r="AG5180">
        <v>-1.1172116074748999</v>
      </c>
      <c r="AH5180">
        <v>8.6344808673575706</v>
      </c>
      <c r="AI5180">
        <v>97.146949031207299</v>
      </c>
      <c r="AJ5180">
        <v>104.285136698979</v>
      </c>
      <c r="AK5180">
        <v>8.97974919167598</v>
      </c>
      <c r="AL5180">
        <v>65.731168453926699</v>
      </c>
      <c r="AM5180">
        <v>104.35620346833799</v>
      </c>
      <c r="AN5180">
        <v>0.99999999630658498</v>
      </c>
    </row>
    <row r="5181" spans="1:40" x14ac:dyDescent="0.25">
      <c r="A5181" t="str">
        <f>"20190304164751033"</f>
        <v>20190304164751033</v>
      </c>
      <c r="B5181" t="str">
        <f>"1551689271024761"</f>
        <v>1551689271024761</v>
      </c>
      <c r="C5181" t="s">
        <v>40</v>
      </c>
      <c r="D5181">
        <v>4.6617749999999996</v>
      </c>
      <c r="E5181">
        <v>0.50499170000000004</v>
      </c>
      <c r="F5181" t="s">
        <v>42</v>
      </c>
      <c r="G5181">
        <v>-272.42219999999998</v>
      </c>
      <c r="H5181" s="1">
        <v>-5.1181360000000001E-7</v>
      </c>
      <c r="I5181">
        <v>-58.943579999999997</v>
      </c>
      <c r="J5181">
        <v>-281.339</v>
      </c>
      <c r="K5181">
        <v>1.117211</v>
      </c>
      <c r="L5181">
        <v>-57.796599999999998</v>
      </c>
      <c r="M5181">
        <v>0.92977989999999999</v>
      </c>
      <c r="N5181">
        <v>-9.8999989999999996E-3</v>
      </c>
      <c r="O5181">
        <v>-0.3679828</v>
      </c>
      <c r="P5181">
        <v>0.90588340000000001</v>
      </c>
      <c r="Q5181">
        <v>0.40544160000000001</v>
      </c>
      <c r="R5181">
        <v>-0.1224427</v>
      </c>
      <c r="S5181">
        <v>3.4371640000000001</v>
      </c>
      <c r="T5181">
        <v>-0.41868109999999997</v>
      </c>
      <c r="U5181">
        <v>-0.46575929999999999</v>
      </c>
      <c r="V5181">
        <v>-0.22627820000000001</v>
      </c>
      <c r="W5181">
        <v>0.41055150000000001</v>
      </c>
      <c r="X5181">
        <v>0.88331510000000002</v>
      </c>
      <c r="Y5181">
        <v>-0.23585790000000001</v>
      </c>
      <c r="Z5181">
        <v>5.5097840000000002E-2</v>
      </c>
      <c r="AA5181">
        <v>0.97022430000000004</v>
      </c>
      <c r="AB5181">
        <v>32</v>
      </c>
      <c r="AC5181">
        <v>8.9168000000000198</v>
      </c>
      <c r="AD5181">
        <v>-1.1172115118135999</v>
      </c>
      <c r="AE5181">
        <v>-1.1469800000000001</v>
      </c>
      <c r="AF5181">
        <v>-2.1812145760339501</v>
      </c>
      <c r="AG5181">
        <v>-1.1172115118135999</v>
      </c>
      <c r="AH5181">
        <v>8.5806481347689498</v>
      </c>
      <c r="AI5181">
        <v>97.192030905861003</v>
      </c>
      <c r="AJ5181">
        <v>104.262592217177</v>
      </c>
      <c r="AK5181">
        <v>8.9237537506111</v>
      </c>
      <c r="AL5181">
        <v>65.760515140942701</v>
      </c>
      <c r="AM5181">
        <v>104.36843907795399</v>
      </c>
      <c r="AN5181">
        <v>0.99999996191774898</v>
      </c>
    </row>
    <row r="5182" spans="1:40" x14ac:dyDescent="0.25">
      <c r="A5182" t="str">
        <f>"20190304164751045"</f>
        <v>20190304164751045</v>
      </c>
      <c r="B5182" t="str">
        <f>"1551689271034521"</f>
        <v>1551689271034521</v>
      </c>
      <c r="C5182" t="s">
        <v>40</v>
      </c>
      <c r="D5182">
        <v>4.667923</v>
      </c>
      <c r="E5182">
        <v>0.50517100000000004</v>
      </c>
      <c r="F5182" t="s">
        <v>42</v>
      </c>
      <c r="G5182">
        <v>-272.20780000000002</v>
      </c>
      <c r="H5182" s="1">
        <v>-4.1243699999999998E-7</v>
      </c>
      <c r="I5182">
        <v>-58.976880000000001</v>
      </c>
      <c r="J5182">
        <v>-281.18810000000002</v>
      </c>
      <c r="K5182">
        <v>1.117202</v>
      </c>
      <c r="L5182">
        <v>-57.852080000000001</v>
      </c>
      <c r="M5182">
        <v>0.93127789999999999</v>
      </c>
      <c r="N5182">
        <v>-9.9036190000000007E-3</v>
      </c>
      <c r="O5182">
        <v>-0.36417519999999998</v>
      </c>
      <c r="P5182">
        <v>0.90654679999999999</v>
      </c>
      <c r="Q5182">
        <v>0.40513660000000001</v>
      </c>
      <c r="R5182">
        <v>-0.11848019999999999</v>
      </c>
      <c r="S5182">
        <v>3.4399410000000001</v>
      </c>
      <c r="T5182">
        <v>-0.42088029999999998</v>
      </c>
      <c r="U5182">
        <v>-0.44464110000000001</v>
      </c>
      <c r="V5182">
        <v>-0.22657279999999999</v>
      </c>
      <c r="W5182">
        <v>0.41024539999999998</v>
      </c>
      <c r="X5182">
        <v>0.88338179999999999</v>
      </c>
      <c r="Y5182">
        <v>-0.23780599999999999</v>
      </c>
      <c r="Z5182">
        <v>5.5123190000000002E-2</v>
      </c>
      <c r="AA5182">
        <v>0.96974720000000003</v>
      </c>
      <c r="AB5182">
        <v>32</v>
      </c>
      <c r="AC5182">
        <v>8.9802999999999997</v>
      </c>
      <c r="AD5182">
        <v>-1.1172024124369999</v>
      </c>
      <c r="AE5182">
        <v>-1.12479999999999</v>
      </c>
      <c r="AF5182">
        <v>-2.1896446585078699</v>
      </c>
      <c r="AG5182">
        <v>-1.1172024124369999</v>
      </c>
      <c r="AH5182">
        <v>8.6415308888476403</v>
      </c>
      <c r="AI5182">
        <v>97.143202231865899</v>
      </c>
      <c r="AJ5182">
        <v>104.218699704245</v>
      </c>
      <c r="AK5182">
        <v>8.9843609157132001</v>
      </c>
      <c r="AL5182">
        <v>65.779747676277395</v>
      </c>
      <c r="AM5182">
        <v>104.385328781982</v>
      </c>
      <c r="AN5182">
        <v>0.99999996324611895</v>
      </c>
    </row>
    <row r="5183" spans="1:40" x14ac:dyDescent="0.25">
      <c r="A5183" t="str">
        <f>"20190304164751057"</f>
        <v>20190304164751057</v>
      </c>
      <c r="B5183" t="str">
        <f>"1551689271055017"</f>
        <v>1551689271055017</v>
      </c>
      <c r="C5183" t="s">
        <v>40</v>
      </c>
      <c r="D5183">
        <v>4.7149929999999998</v>
      </c>
      <c r="E5183">
        <v>0.50568930000000001</v>
      </c>
      <c r="F5183" t="s">
        <v>42</v>
      </c>
      <c r="G5183">
        <v>-272.08330000000001</v>
      </c>
      <c r="H5183" s="1">
        <v>-3.5451690000000001E-7</v>
      </c>
      <c r="I5183">
        <v>-58.997439999999997</v>
      </c>
      <c r="J5183">
        <v>-281.0222</v>
      </c>
      <c r="K5183">
        <v>1.1171960000000001</v>
      </c>
      <c r="L5183">
        <v>-57.912750000000003</v>
      </c>
      <c r="M5183">
        <v>0.93290360000000006</v>
      </c>
      <c r="N5183">
        <v>-9.9073149999999999E-3</v>
      </c>
      <c r="O5183">
        <v>-0.35999029999999999</v>
      </c>
      <c r="P5183">
        <v>0.90725800000000001</v>
      </c>
      <c r="Q5183">
        <v>0.40476129999999999</v>
      </c>
      <c r="R5183">
        <v>-0.1142441</v>
      </c>
      <c r="S5183">
        <v>3.4414060000000002</v>
      </c>
      <c r="T5183">
        <v>-0.42227949999999997</v>
      </c>
      <c r="U5183">
        <v>-0.43292239999999999</v>
      </c>
      <c r="V5183">
        <v>-0.2267856</v>
      </c>
      <c r="W5183">
        <v>0.40987180000000001</v>
      </c>
      <c r="X5183">
        <v>0.88350069999999903</v>
      </c>
      <c r="Y5183">
        <v>-0.23675470000000001</v>
      </c>
      <c r="Z5183">
        <v>5.4805640000000003E-2</v>
      </c>
      <c r="AA5183">
        <v>0.97002239999999995</v>
      </c>
      <c r="AB5183">
        <v>32</v>
      </c>
      <c r="AC5183">
        <v>8.9388999999999896</v>
      </c>
      <c r="AD5183">
        <v>-1.1171963545168999</v>
      </c>
      <c r="AE5183">
        <v>-1.0846899999999999</v>
      </c>
      <c r="AF5183">
        <v>-2.1726686480961601</v>
      </c>
      <c r="AG5183">
        <v>-1.1171963545168999</v>
      </c>
      <c r="AH5183">
        <v>8.5976869171453298</v>
      </c>
      <c r="AI5183">
        <v>97.180364312313102</v>
      </c>
      <c r="AJ5183">
        <v>104.18195714537499</v>
      </c>
      <c r="AK5183">
        <v>8.9380555533190709</v>
      </c>
      <c r="AL5183">
        <v>65.803219395745799</v>
      </c>
      <c r="AM5183">
        <v>104.396421080538</v>
      </c>
      <c r="AN5183">
        <v>1.00000004385154</v>
      </c>
    </row>
    <row r="5184" spans="1:40" x14ac:dyDescent="0.25">
      <c r="A5184" t="str">
        <f>"20190304164751069"</f>
        <v>20190304164751069</v>
      </c>
      <c r="B5184" t="str">
        <f>"1551689271064777"</f>
        <v>1551689271064777</v>
      </c>
      <c r="C5184" t="s">
        <v>40</v>
      </c>
      <c r="D5184">
        <v>4.886749</v>
      </c>
      <c r="E5184">
        <v>0.50544230000000001</v>
      </c>
      <c r="F5184" t="s">
        <v>42</v>
      </c>
      <c r="G5184">
        <v>-271.98910000000001</v>
      </c>
      <c r="H5184" s="1">
        <v>-3.087332E-7</v>
      </c>
      <c r="I5184">
        <v>-59.02176</v>
      </c>
      <c r="J5184">
        <v>-280.85930000000002</v>
      </c>
      <c r="K5184">
        <v>1.117186</v>
      </c>
      <c r="L5184">
        <v>-57.971339999999998</v>
      </c>
      <c r="M5184">
        <v>0.93447210000000003</v>
      </c>
      <c r="N5184">
        <v>-9.9103639999999996E-3</v>
      </c>
      <c r="O5184">
        <v>-0.35589850000000001</v>
      </c>
      <c r="P5184">
        <v>0.9080376</v>
      </c>
      <c r="Q5184">
        <v>0.40427229999999997</v>
      </c>
      <c r="R5184">
        <v>-0.1096896</v>
      </c>
      <c r="S5184">
        <v>3.4434200000000001</v>
      </c>
      <c r="T5184">
        <v>-0.42587999999999998</v>
      </c>
      <c r="U5184">
        <v>-0.42276000000000002</v>
      </c>
      <c r="V5184">
        <v>-0.22741349999999999</v>
      </c>
      <c r="W5184">
        <v>0.4093794</v>
      </c>
      <c r="X5184">
        <v>0.88356749999999995</v>
      </c>
      <c r="Y5184">
        <v>-0.2353557</v>
      </c>
      <c r="Z5184">
        <v>5.4752309999999998E-2</v>
      </c>
      <c r="AA5184">
        <v>0.97036579999999995</v>
      </c>
      <c r="AB5184">
        <v>32</v>
      </c>
      <c r="AC5184">
        <v>8.8702000000000094</v>
      </c>
      <c r="AD5184">
        <v>-1.1171863087331999</v>
      </c>
      <c r="AE5184">
        <v>-1.0504199999999899</v>
      </c>
      <c r="AF5184">
        <v>-2.1419024187148898</v>
      </c>
      <c r="AG5184">
        <v>-1.1171863087331999</v>
      </c>
      <c r="AH5184">
        <v>8.5297860448871301</v>
      </c>
      <c r="AI5184">
        <v>97.239561345249697</v>
      </c>
      <c r="AJ5184">
        <v>104.096008250816</v>
      </c>
      <c r="AK5184">
        <v>8.8652750206222493</v>
      </c>
      <c r="AL5184">
        <v>65.834143332314895</v>
      </c>
      <c r="AM5184">
        <v>104.433571524127</v>
      </c>
      <c r="AN5184">
        <v>0.999999960091429</v>
      </c>
    </row>
    <row r="5185" spans="1:40" x14ac:dyDescent="0.25">
      <c r="A5185" t="str">
        <f>"20190304164751083"</f>
        <v>20190304164751083</v>
      </c>
      <c r="B5185" t="str">
        <f>"1551689271074538"</f>
        <v>1551689271074538</v>
      </c>
      <c r="C5185" t="s">
        <v>40</v>
      </c>
      <c r="D5185">
        <v>4.6569399999999996</v>
      </c>
      <c r="E5185">
        <v>0.50563820000000004</v>
      </c>
      <c r="F5185" t="s">
        <v>42</v>
      </c>
      <c r="G5185">
        <v>-271.88650000000001</v>
      </c>
      <c r="H5185" s="1">
        <v>-2.6387580000000002E-7</v>
      </c>
      <c r="I5185">
        <v>-59.025519999999901</v>
      </c>
      <c r="J5185">
        <v>-280.69170000000003</v>
      </c>
      <c r="K5185">
        <v>1.11717</v>
      </c>
      <c r="L5185">
        <v>-58.030729999999998</v>
      </c>
      <c r="M5185">
        <v>0.93605799999999995</v>
      </c>
      <c r="N5185">
        <v>-9.9127780000000006E-3</v>
      </c>
      <c r="O5185">
        <v>-0.35170580000000001</v>
      </c>
      <c r="P5185">
        <v>0.90874630000000001</v>
      </c>
      <c r="Q5185">
        <v>0.40391389999999999</v>
      </c>
      <c r="R5185">
        <v>-0.10504189999999999</v>
      </c>
      <c r="S5185">
        <v>3.4459230000000001</v>
      </c>
      <c r="T5185">
        <v>-0.42904419999999999</v>
      </c>
      <c r="U5185">
        <v>-0.40484619999999999</v>
      </c>
      <c r="V5185">
        <v>-0.22801550000000001</v>
      </c>
      <c r="W5185">
        <v>0.40901920000000003</v>
      </c>
      <c r="X5185">
        <v>0.88357919999999901</v>
      </c>
      <c r="Y5185">
        <v>-0.2360188</v>
      </c>
      <c r="Z5185">
        <v>5.4761570000000002E-2</v>
      </c>
      <c r="AA5185">
        <v>0.97020419999999996</v>
      </c>
      <c r="AB5185">
        <v>32</v>
      </c>
      <c r="AC5185">
        <v>8.8052000000000099</v>
      </c>
      <c r="AD5185">
        <v>-1.1171702638758001</v>
      </c>
      <c r="AE5185">
        <v>-0.99478999999998696</v>
      </c>
      <c r="AF5185">
        <v>-2.1318798170662299</v>
      </c>
      <c r="AG5185">
        <v>-1.1171702638758001</v>
      </c>
      <c r="AH5185">
        <v>8.4580364267342496</v>
      </c>
      <c r="AI5185">
        <v>97.298596339165101</v>
      </c>
      <c r="AJ5185">
        <v>104.14693932460401</v>
      </c>
      <c r="AK5185">
        <v>8.7938251716114006</v>
      </c>
      <c r="AL5185">
        <v>65.856762344545601</v>
      </c>
      <c r="AM5185">
        <v>104.46999384471501</v>
      </c>
      <c r="AN5185">
        <v>0.99999998844076399</v>
      </c>
    </row>
    <row r="5186" spans="1:40" x14ac:dyDescent="0.25">
      <c r="A5186" t="str">
        <f>"20190304164751096"</f>
        <v>20190304164751096</v>
      </c>
      <c r="B5186" t="str">
        <f>"1551689271084298"</f>
        <v>1551689271084298</v>
      </c>
      <c r="C5186" t="s">
        <v>40</v>
      </c>
      <c r="D5186">
        <v>4.6929530000000002</v>
      </c>
      <c r="E5186">
        <v>0.5058994</v>
      </c>
      <c r="F5186" t="s">
        <v>42</v>
      </c>
      <c r="G5186">
        <v>-271.76100000000002</v>
      </c>
      <c r="H5186" s="1">
        <v>-2.0617549999999999E-7</v>
      </c>
      <c r="I5186">
        <v>-59.043039999999998</v>
      </c>
      <c r="J5186">
        <v>-280.5222</v>
      </c>
      <c r="K5186">
        <v>1.117154</v>
      </c>
      <c r="L5186">
        <v>-58.090269999999997</v>
      </c>
      <c r="M5186">
        <v>0.93763700000000005</v>
      </c>
      <c r="N5186">
        <v>-9.9148469999999992E-3</v>
      </c>
      <c r="O5186">
        <v>-0.34747509999999998</v>
      </c>
      <c r="P5186">
        <v>0.90939300000000001</v>
      </c>
      <c r="Q5186">
        <v>0.40360570000000001</v>
      </c>
      <c r="R5186">
        <v>-0.1005349</v>
      </c>
      <c r="S5186">
        <v>3.4477540000000002</v>
      </c>
      <c r="T5186">
        <v>-0.43129269999999997</v>
      </c>
      <c r="U5186">
        <v>-0.39080809999999999</v>
      </c>
      <c r="V5186">
        <v>-0.2284378</v>
      </c>
      <c r="W5186">
        <v>0.4087132</v>
      </c>
      <c r="X5186">
        <v>0.8836117</v>
      </c>
      <c r="Y5186">
        <v>-0.2355775</v>
      </c>
      <c r="Z5186">
        <v>5.4569720000000002E-2</v>
      </c>
      <c r="AA5186">
        <v>0.97032229999999997</v>
      </c>
      <c r="AB5186">
        <v>32</v>
      </c>
      <c r="AC5186">
        <v>8.7612000000000201</v>
      </c>
      <c r="AD5186">
        <v>-1.1171542061755</v>
      </c>
      <c r="AE5186">
        <v>-0.952770000000008</v>
      </c>
      <c r="AF5186">
        <v>-2.1170328172195298</v>
      </c>
      <c r="AG5186">
        <v>-1.1171542061755</v>
      </c>
      <c r="AH5186">
        <v>8.4111474845969205</v>
      </c>
      <c r="AI5186">
        <v>97.339355586341497</v>
      </c>
      <c r="AJ5186">
        <v>104.127540431687</v>
      </c>
      <c r="AK5186">
        <v>8.7451279851813002</v>
      </c>
      <c r="AL5186">
        <v>65.875973653829206</v>
      </c>
      <c r="AM5186">
        <v>104.495154490348</v>
      </c>
      <c r="AN5186">
        <v>0.99999997234998395</v>
      </c>
    </row>
    <row r="5187" spans="1:40" x14ac:dyDescent="0.25">
      <c r="A5187" t="str">
        <f>"20190304164751106"</f>
        <v>20190304164751106</v>
      </c>
      <c r="B5187" t="str">
        <f>"1551689271095034"</f>
        <v>1551689271095034</v>
      </c>
      <c r="C5187" t="s">
        <v>40</v>
      </c>
      <c r="D5187">
        <v>4.6797579999999996</v>
      </c>
      <c r="E5187">
        <v>0.50612809999999997</v>
      </c>
      <c r="F5187" t="s">
        <v>42</v>
      </c>
      <c r="G5187">
        <v>-271.63569999999999</v>
      </c>
      <c r="H5187" s="1">
        <v>-1.479726E-7</v>
      </c>
      <c r="I5187">
        <v>-59.062989999999999</v>
      </c>
      <c r="J5187">
        <v>-280.36610000000002</v>
      </c>
      <c r="K5187">
        <v>1.1171340000000001</v>
      </c>
      <c r="L5187">
        <v>-58.143979999999999</v>
      </c>
      <c r="M5187">
        <v>0.93906029999999996</v>
      </c>
      <c r="N5187">
        <v>-9.9160229999999995E-3</v>
      </c>
      <c r="O5187">
        <v>-0.34361009999999997</v>
      </c>
      <c r="P5187">
        <v>0.90997030000000001</v>
      </c>
      <c r="Q5187">
        <v>0.4033428</v>
      </c>
      <c r="R5187">
        <v>-9.6273810000000001E-2</v>
      </c>
      <c r="S5187">
        <v>3.4496150000000001</v>
      </c>
      <c r="T5187">
        <v>-0.43366100000000002</v>
      </c>
      <c r="U5187">
        <v>-0.37759399999999999</v>
      </c>
      <c r="V5187">
        <v>-0.22895799999999999</v>
      </c>
      <c r="W5187">
        <v>0.40845209999999998</v>
      </c>
      <c r="X5187">
        <v>0.88359789999999905</v>
      </c>
      <c r="Y5187">
        <v>-0.2352881</v>
      </c>
      <c r="Z5187">
        <v>5.4434580000000003E-2</v>
      </c>
      <c r="AA5187">
        <v>0.97040009999999999</v>
      </c>
      <c r="AB5187">
        <v>32</v>
      </c>
      <c r="AC5187">
        <v>8.7304000000000297</v>
      </c>
      <c r="AD5187">
        <v>-1.1171341479726</v>
      </c>
      <c r="AE5187">
        <v>-0.919009999999992</v>
      </c>
      <c r="AF5187">
        <v>-2.1028978530811999</v>
      </c>
      <c r="AG5187">
        <v>-1.1171341479726</v>
      </c>
      <c r="AH5187">
        <v>8.3788814127809097</v>
      </c>
      <c r="AI5187">
        <v>97.368414208637503</v>
      </c>
      <c r="AJ5187">
        <v>104.08886074321499</v>
      </c>
      <c r="AK5187">
        <v>8.7106728680685492</v>
      </c>
      <c r="AL5187">
        <v>65.892366529971298</v>
      </c>
      <c r="AM5187">
        <v>104.52698520600801</v>
      </c>
      <c r="AN5187">
        <v>1.0000000663213999</v>
      </c>
    </row>
    <row r="5188" spans="1:40" x14ac:dyDescent="0.25">
      <c r="A5188" t="str">
        <f>"20190304164751123"</f>
        <v>20190304164751123</v>
      </c>
      <c r="B5188" t="str">
        <f>"1551689271114556"</f>
        <v>1551689271114556</v>
      </c>
      <c r="C5188" t="s">
        <v>40</v>
      </c>
      <c r="D5188">
        <v>4.6052169999999997</v>
      </c>
      <c r="E5188">
        <v>0.50632319999999997</v>
      </c>
      <c r="F5188" t="s">
        <v>42</v>
      </c>
      <c r="G5188">
        <v>-271.51369999999997</v>
      </c>
      <c r="H5188" s="1">
        <v>-9.2111119999999995E-8</v>
      </c>
      <c r="I5188">
        <v>-59.079070000000002</v>
      </c>
      <c r="J5188">
        <v>-280.16180000000003</v>
      </c>
      <c r="K5188">
        <v>1.1171070000000001</v>
      </c>
      <c r="L5188">
        <v>-58.213500000000003</v>
      </c>
      <c r="M5188">
        <v>0.94088760000000005</v>
      </c>
      <c r="N5188">
        <v>-9.9171099999999998E-3</v>
      </c>
      <c r="O5188">
        <v>-0.33857389999999998</v>
      </c>
      <c r="P5188">
        <v>0.91065660000000004</v>
      </c>
      <c r="Q5188">
        <v>0.4029027</v>
      </c>
      <c r="R5188">
        <v>-9.1508419999999993E-2</v>
      </c>
      <c r="S5188">
        <v>3.4512939999999999</v>
      </c>
      <c r="T5188">
        <v>-0.43553730000000002</v>
      </c>
      <c r="U5188">
        <v>-0.36456300000000003</v>
      </c>
      <c r="V5188">
        <v>-0.2288821</v>
      </c>
      <c r="W5188">
        <v>0.40803070000000002</v>
      </c>
      <c r="X5188">
        <v>0.88381209999999899</v>
      </c>
      <c r="Y5188">
        <v>-0.23376520000000001</v>
      </c>
      <c r="Z5188">
        <v>5.4022750000000001E-2</v>
      </c>
      <c r="AA5188">
        <v>0.97079110000000002</v>
      </c>
      <c r="AB5188">
        <v>32</v>
      </c>
      <c r="AC5188">
        <v>8.6481000000000492</v>
      </c>
      <c r="AD5188">
        <v>-1.1171070921111199</v>
      </c>
      <c r="AE5188">
        <v>-0.86556999999999096</v>
      </c>
      <c r="AF5188">
        <v>-2.07936878865398</v>
      </c>
      <c r="AG5188">
        <v>-1.1171070921111199</v>
      </c>
      <c r="AH5188">
        <v>8.2933544384775093</v>
      </c>
      <c r="AI5188">
        <v>97.443808691768695</v>
      </c>
      <c r="AJ5188">
        <v>104.075446468694</v>
      </c>
      <c r="AK5188">
        <v>8.62272756479571</v>
      </c>
      <c r="AL5188">
        <v>65.918812318929994</v>
      </c>
      <c r="AM5188">
        <v>104.519002269338</v>
      </c>
      <c r="AN5188">
        <v>0.99999994797465297</v>
      </c>
    </row>
    <row r="5189" spans="1:40" x14ac:dyDescent="0.25">
      <c r="A5189" t="str">
        <f>"20190304164751137"</f>
        <v>20190304164751137</v>
      </c>
      <c r="B5189" t="str">
        <f>"1551689271124315"</f>
        <v>1551689271124315</v>
      </c>
      <c r="C5189" t="s">
        <v>40</v>
      </c>
      <c r="D5189">
        <v>4.6691770000000004</v>
      </c>
      <c r="E5189">
        <v>0.50663970000000003</v>
      </c>
      <c r="F5189" t="s">
        <v>42</v>
      </c>
      <c r="G5189">
        <v>-271.28109999999998</v>
      </c>
      <c r="H5189" s="1">
        <v>1.446045E-8</v>
      </c>
      <c r="I5189">
        <v>-59.1096199999999</v>
      </c>
      <c r="J5189">
        <v>-279.97820000000002</v>
      </c>
      <c r="K5189">
        <v>1.1170739999999999</v>
      </c>
      <c r="L5189">
        <v>-58.275120000000001</v>
      </c>
      <c r="M5189">
        <v>0.9424941</v>
      </c>
      <c r="N5189">
        <v>-9.9176560000000004E-3</v>
      </c>
      <c r="O5189">
        <v>-0.33407599999999998</v>
      </c>
      <c r="P5189">
        <v>0.91114859999999998</v>
      </c>
      <c r="Q5189">
        <v>0.40265279999999998</v>
      </c>
      <c r="R5189">
        <v>-8.7631050000000002E-2</v>
      </c>
      <c r="S5189">
        <v>3.451416</v>
      </c>
      <c r="T5189">
        <v>-0.4341526</v>
      </c>
      <c r="U5189">
        <v>-0.34826659999999998</v>
      </c>
      <c r="V5189">
        <v>-0.22842689999999999</v>
      </c>
      <c r="W5189">
        <v>0.40780569999999999</v>
      </c>
      <c r="X5189">
        <v>0.88403379999999998</v>
      </c>
      <c r="Y5189">
        <v>-0.2337148</v>
      </c>
      <c r="Z5189">
        <v>5.3376630000000001E-2</v>
      </c>
      <c r="AA5189">
        <v>0.97083900000000001</v>
      </c>
      <c r="AB5189">
        <v>32</v>
      </c>
      <c r="AC5189">
        <v>8.6971000000000291</v>
      </c>
      <c r="AD5189">
        <v>-1.11707398553955</v>
      </c>
      <c r="AE5189">
        <v>-0.83449999999999802</v>
      </c>
      <c r="AF5189">
        <v>-2.08500172518657</v>
      </c>
      <c r="AG5189">
        <v>-1.11707398553955</v>
      </c>
      <c r="AH5189">
        <v>8.3398373110637696</v>
      </c>
      <c r="AI5189">
        <v>97.403809788024901</v>
      </c>
      <c r="AJ5189">
        <v>104.03651760958201</v>
      </c>
      <c r="AK5189">
        <v>8.6687930450675506</v>
      </c>
      <c r="AL5189">
        <v>65.932934597798706</v>
      </c>
      <c r="AM5189">
        <v>104.487862606132</v>
      </c>
      <c r="AN5189">
        <v>1.0000000485692599</v>
      </c>
    </row>
    <row r="5190" spans="1:40" x14ac:dyDescent="0.25">
      <c r="A5190" t="str">
        <f>"20190304164751151"</f>
        <v>20190304164751151</v>
      </c>
      <c r="B5190" t="str">
        <f>"1551689271144809"</f>
        <v>1551689271144809</v>
      </c>
      <c r="C5190" t="s">
        <v>40</v>
      </c>
      <c r="D5190">
        <v>4.660164</v>
      </c>
      <c r="E5190">
        <v>0.50731619999999999</v>
      </c>
      <c r="F5190" t="s">
        <v>42</v>
      </c>
      <c r="G5190">
        <v>-271.1379</v>
      </c>
      <c r="H5190" s="1">
        <v>7.4811569999999997E-8</v>
      </c>
      <c r="I5190">
        <v>-59.133110000000002</v>
      </c>
      <c r="J5190">
        <v>-279.77109999999999</v>
      </c>
      <c r="K5190">
        <v>1.117043</v>
      </c>
      <c r="L5190">
        <v>-58.343350000000001</v>
      </c>
      <c r="M5190">
        <v>0.94425950000000003</v>
      </c>
      <c r="N5190">
        <v>-9.9173690000000005E-3</v>
      </c>
      <c r="O5190">
        <v>-0.32905259999999997</v>
      </c>
      <c r="P5190">
        <v>0.91151850000000001</v>
      </c>
      <c r="Q5190">
        <v>0.40274569999999998</v>
      </c>
      <c r="R5190">
        <v>-8.3246680000000003E-2</v>
      </c>
      <c r="S5190">
        <v>3.453125</v>
      </c>
      <c r="T5190">
        <v>-0.4363436</v>
      </c>
      <c r="U5190">
        <v>-0.335144</v>
      </c>
      <c r="V5190">
        <v>-0.2279214</v>
      </c>
      <c r="W5190">
        <v>0.40792709999999999</v>
      </c>
      <c r="X5190">
        <v>0.88410820000000001</v>
      </c>
      <c r="Y5190">
        <v>-0.2322448</v>
      </c>
      <c r="Z5190">
        <v>5.29998E-2</v>
      </c>
      <c r="AA5190">
        <v>0.97121230000000003</v>
      </c>
      <c r="AB5190">
        <v>32</v>
      </c>
      <c r="AC5190">
        <v>8.6331999999999791</v>
      </c>
      <c r="AD5190">
        <v>-1.11704292518843</v>
      </c>
      <c r="AE5190">
        <v>-0.78975999999999402</v>
      </c>
      <c r="AF5190">
        <v>-2.0609248196368601</v>
      </c>
      <c r="AG5190">
        <v>-1.11704292518843</v>
      </c>
      <c r="AH5190">
        <v>8.2748827133976395</v>
      </c>
      <c r="AI5190">
        <v>97.462710932978197</v>
      </c>
      <c r="AJ5190">
        <v>103.985428462689</v>
      </c>
      <c r="AK5190">
        <v>8.6005162594693108</v>
      </c>
      <c r="AL5190">
        <v>65.925315091249601</v>
      </c>
      <c r="AM5190">
        <v>104.455980899598</v>
      </c>
      <c r="AN5190">
        <v>0.99999999639980497</v>
      </c>
    </row>
    <row r="5191" spans="1:40" x14ac:dyDescent="0.25">
      <c r="A5191" t="str">
        <f>"20190304164751169"</f>
        <v>20190304164751169</v>
      </c>
      <c r="B5191" t="str">
        <f>"1551689271154569"</f>
        <v>1551689271154569</v>
      </c>
      <c r="C5191" t="s">
        <v>40</v>
      </c>
      <c r="D5191">
        <v>4.6295989999999998</v>
      </c>
      <c r="E5191">
        <v>0.50759699999999996</v>
      </c>
      <c r="F5191" t="s">
        <v>42</v>
      </c>
      <c r="G5191">
        <v>-270.96629999999999</v>
      </c>
      <c r="H5191" s="1">
        <v>1.4322470000000001E-7</v>
      </c>
      <c r="I5191">
        <v>-59.16545</v>
      </c>
      <c r="J5191">
        <v>-279.55270000000002</v>
      </c>
      <c r="K5191">
        <v>1.1169960000000001</v>
      </c>
      <c r="L5191">
        <v>-58.413939999999997</v>
      </c>
      <c r="M5191">
        <v>0.94606800000000002</v>
      </c>
      <c r="N5191">
        <v>-9.9161700000000002E-3</v>
      </c>
      <c r="O5191">
        <v>-0.32381670000000001</v>
      </c>
      <c r="P5191">
        <v>0.91205040000000004</v>
      </c>
      <c r="Q5191">
        <v>0.40227930000000001</v>
      </c>
      <c r="R5191">
        <v>-7.9595860000000004E-2</v>
      </c>
      <c r="S5191">
        <v>3.455444</v>
      </c>
      <c r="T5191">
        <v>-0.4383843</v>
      </c>
      <c r="U5191">
        <v>-0.32263180000000002</v>
      </c>
      <c r="V5191">
        <v>-0.2265722</v>
      </c>
      <c r="W5191">
        <v>0.40751090000000001</v>
      </c>
      <c r="X5191">
        <v>0.88464679999999996</v>
      </c>
      <c r="Y5191">
        <v>-0.23041990000000001</v>
      </c>
      <c r="Z5191">
        <v>5.253849E-2</v>
      </c>
      <c r="AA5191">
        <v>0.97167190000000003</v>
      </c>
      <c r="AB5191">
        <v>32</v>
      </c>
      <c r="AC5191">
        <v>8.5864000000000207</v>
      </c>
      <c r="AD5191">
        <v>-1.11699585677529</v>
      </c>
      <c r="AE5191">
        <v>-0.75150999999999601</v>
      </c>
      <c r="AF5191">
        <v>-2.0353588405974601</v>
      </c>
      <c r="AG5191">
        <v>-1.11699585677529</v>
      </c>
      <c r="AH5191">
        <v>8.2288802929064992</v>
      </c>
      <c r="AI5191">
        <v>97.506617635202204</v>
      </c>
      <c r="AJ5191">
        <v>103.892893286112</v>
      </c>
      <c r="AK5191">
        <v>8.5501366204895497</v>
      </c>
      <c r="AL5191">
        <v>65.951431671188502</v>
      </c>
      <c r="AM5191">
        <v>104.365573908594</v>
      </c>
      <c r="AN5191">
        <v>1.00000002809094</v>
      </c>
    </row>
    <row r="5192" spans="1:40" x14ac:dyDescent="0.25">
      <c r="A5192" t="str">
        <f>"20190304164751191"</f>
        <v>20190304164751191</v>
      </c>
      <c r="B5192" t="str">
        <f>"1551689271184828"</f>
        <v>1551689271184828</v>
      </c>
      <c r="C5192" t="s">
        <v>40</v>
      </c>
      <c r="D5192">
        <v>4.6304259999999999</v>
      </c>
      <c r="E5192">
        <v>0.50758429999999999</v>
      </c>
      <c r="F5192" t="s">
        <v>42</v>
      </c>
      <c r="G5192">
        <v>-270.79860000000002</v>
      </c>
      <c r="H5192" s="1">
        <v>2.0987329999999999E-7</v>
      </c>
      <c r="I5192">
        <v>-59.196339999999999</v>
      </c>
      <c r="J5192">
        <v>-279.24079999999998</v>
      </c>
      <c r="K5192">
        <v>1.116924</v>
      </c>
      <c r="L5192">
        <v>-58.51276</v>
      </c>
      <c r="M5192">
        <v>0.94856099999999999</v>
      </c>
      <c r="N5192">
        <v>-9.9133959999999997E-3</v>
      </c>
      <c r="O5192">
        <v>-0.31643949999999998</v>
      </c>
      <c r="P5192">
        <v>0.91269239999999996</v>
      </c>
      <c r="Q5192">
        <v>0.4018698</v>
      </c>
      <c r="R5192">
        <v>-7.4119749999999998E-2</v>
      </c>
      <c r="S5192">
        <v>3.4568789999999998</v>
      </c>
      <c r="T5192">
        <v>-0.44108560000000002</v>
      </c>
      <c r="U5192">
        <v>-0.30896000000000001</v>
      </c>
      <c r="V5192">
        <v>-0.224962</v>
      </c>
      <c r="W5192">
        <v>0.40717039999999999</v>
      </c>
      <c r="X5192">
        <v>0.88521430000000001</v>
      </c>
      <c r="Y5192">
        <v>-0.2267219</v>
      </c>
      <c r="Z5192">
        <v>5.1800409999999998E-2</v>
      </c>
      <c r="AA5192">
        <v>0.97258100000000003</v>
      </c>
      <c r="AB5192">
        <v>32</v>
      </c>
      <c r="AC5192">
        <v>8.44219999999995</v>
      </c>
      <c r="AD5192">
        <v>-1.1169237901267</v>
      </c>
      <c r="AE5192">
        <v>-0.68357999999999897</v>
      </c>
      <c r="AF5192">
        <v>-1.9885467504402701</v>
      </c>
      <c r="AG5192">
        <v>-1.1169237901267</v>
      </c>
      <c r="AH5192">
        <v>8.0840752486852399</v>
      </c>
      <c r="AI5192">
        <v>97.641405418464402</v>
      </c>
      <c r="AJ5192">
        <v>103.81943222695701</v>
      </c>
      <c r="AK5192">
        <v>8.3996493711370501</v>
      </c>
      <c r="AL5192">
        <v>65.972792649936295</v>
      </c>
      <c r="AM5192">
        <v>104.25888958656699</v>
      </c>
      <c r="AN5192">
        <v>0.99999999650232496</v>
      </c>
    </row>
    <row r="5193" spans="1:40" x14ac:dyDescent="0.25">
      <c r="A5193" t="str">
        <f>"20190304164751213"</f>
        <v>20190304164751213</v>
      </c>
      <c r="B5193" t="str">
        <f>"1551689271204345"</f>
        <v>1551689271204345</v>
      </c>
      <c r="C5193" t="s">
        <v>40</v>
      </c>
      <c r="D5193">
        <v>4.6127409999999998</v>
      </c>
      <c r="E5193">
        <v>0.49685750000000001</v>
      </c>
      <c r="F5193" t="s">
        <v>42</v>
      </c>
      <c r="G5193">
        <v>-270.45639999999997</v>
      </c>
      <c r="H5193" s="1">
        <v>3.4071819999999998E-7</v>
      </c>
      <c r="I5193">
        <v>-59.242820000000002</v>
      </c>
      <c r="J5193">
        <v>-278.95</v>
      </c>
      <c r="K5193">
        <v>1.1168359999999999</v>
      </c>
      <c r="L5193">
        <v>-58.602690000000003</v>
      </c>
      <c r="M5193">
        <v>0.95078649999999998</v>
      </c>
      <c r="N5193">
        <v>-9.9091809999999995E-3</v>
      </c>
      <c r="O5193">
        <v>-0.30968820000000002</v>
      </c>
      <c r="P5193">
        <v>0.91313900000000003</v>
      </c>
      <c r="Q5193">
        <v>0.40177580000000002</v>
      </c>
      <c r="R5193">
        <v>-6.8944740000000004E-2</v>
      </c>
      <c r="S5193">
        <v>3.4571839999999998</v>
      </c>
      <c r="T5193">
        <v>-0.43957499999999999</v>
      </c>
      <c r="U5193">
        <v>-0.287323</v>
      </c>
      <c r="V5193">
        <v>-0.2236108</v>
      </c>
      <c r="W5193">
        <v>0.40714070000000002</v>
      </c>
      <c r="X5193">
        <v>0.88557019999999997</v>
      </c>
      <c r="Y5193">
        <v>-0.22592680000000001</v>
      </c>
      <c r="Z5193">
        <v>5.0838759999999997E-2</v>
      </c>
      <c r="AA5193">
        <v>0.97281680000000004</v>
      </c>
      <c r="AB5193">
        <v>32</v>
      </c>
      <c r="AC5193">
        <v>8.4936000000000096</v>
      </c>
      <c r="AD5193">
        <v>-1.1168356592818001</v>
      </c>
      <c r="AE5193">
        <v>-0.64012999999999198</v>
      </c>
      <c r="AF5193">
        <v>-1.9876673967959</v>
      </c>
      <c r="AG5193">
        <v>-1.1168356592818001</v>
      </c>
      <c r="AH5193">
        <v>8.1343980362921702</v>
      </c>
      <c r="AI5193">
        <v>97.596923265447401</v>
      </c>
      <c r="AJ5193">
        <v>103.7313430709</v>
      </c>
      <c r="AK5193">
        <v>8.4478739918965893</v>
      </c>
      <c r="AL5193">
        <v>65.974654806168601</v>
      </c>
      <c r="AM5193">
        <v>104.17124058543899</v>
      </c>
      <c r="AN5193">
        <v>0.99999995930058405</v>
      </c>
    </row>
    <row r="5194" spans="1:40" x14ac:dyDescent="0.25">
      <c r="A5194" t="str">
        <f>"20190304164751223"</f>
        <v>20190304164751223</v>
      </c>
      <c r="B5194" t="str">
        <f>"1551689271215119"</f>
        <v>1551689271215119</v>
      </c>
      <c r="C5194" t="s">
        <v>40</v>
      </c>
      <c r="D5194">
        <v>4.6115089999999999</v>
      </c>
      <c r="E5194">
        <v>0.49695650000000002</v>
      </c>
      <c r="F5194" t="s">
        <v>42</v>
      </c>
      <c r="G5194">
        <v>-267.31790000000001</v>
      </c>
      <c r="H5194" s="1">
        <v>-2.3506739999999999E-6</v>
      </c>
      <c r="I5194">
        <v>-59.222079999999998</v>
      </c>
      <c r="J5194">
        <v>-278.80399999999997</v>
      </c>
      <c r="K5194">
        <v>1.1167899999999999</v>
      </c>
      <c r="L5194">
        <v>-58.646790000000003</v>
      </c>
      <c r="M5194">
        <v>0.9518626</v>
      </c>
      <c r="N5194">
        <v>-9.9064310000000003E-3</v>
      </c>
      <c r="O5194">
        <v>-0.3063649</v>
      </c>
      <c r="P5194">
        <v>0.91319939999999999</v>
      </c>
      <c r="Q5194">
        <v>0.40206979999999998</v>
      </c>
      <c r="R5194">
        <v>-6.6382330000000003E-2</v>
      </c>
      <c r="S5194">
        <v>3.4159549999999999</v>
      </c>
      <c r="T5194">
        <v>-0.32797749999999998</v>
      </c>
      <c r="U5194">
        <v>-0.1819153</v>
      </c>
      <c r="V5194">
        <v>-0.22291900000000001</v>
      </c>
      <c r="W5194">
        <v>0.40746690000000002</v>
      </c>
      <c r="X5194">
        <v>0.88559460000000001</v>
      </c>
      <c r="Y5194">
        <v>-0.25296190000000002</v>
      </c>
      <c r="Z5194">
        <v>3.9199949999999997E-2</v>
      </c>
      <c r="AA5194">
        <v>0.96668180000000004</v>
      </c>
      <c r="AB5194">
        <v>32</v>
      </c>
      <c r="AC5194">
        <v>11.4861</v>
      </c>
      <c r="AD5194">
        <v>-1.1167923506739901</v>
      </c>
      <c r="AE5194">
        <v>-0.57529000000000197</v>
      </c>
      <c r="AF5194">
        <v>-2.9437273142378202</v>
      </c>
      <c r="AG5194">
        <v>-1.1167923506739901</v>
      </c>
      <c r="AH5194">
        <v>11.006194460764901</v>
      </c>
      <c r="AI5194">
        <v>95.598470383641995</v>
      </c>
      <c r="AJ5194">
        <v>104.973896929971</v>
      </c>
      <c r="AK5194">
        <v>11.4476666689455</v>
      </c>
      <c r="AL5194">
        <v>65.954190929799296</v>
      </c>
      <c r="AM5194">
        <v>104.128782838269</v>
      </c>
      <c r="AN5194">
        <v>0.99999997535288399</v>
      </c>
    </row>
    <row r="5195" spans="1:40" x14ac:dyDescent="0.25">
      <c r="A5195" t="str">
        <f>"20190304164751246"</f>
        <v>20190304164751246</v>
      </c>
      <c r="B5195" t="str">
        <f>"1551689271234638"</f>
        <v>1551689271234638</v>
      </c>
      <c r="C5195" t="s">
        <v>40</v>
      </c>
      <c r="D5195">
        <v>4.6021789999999996</v>
      </c>
      <c r="E5195">
        <v>0.4976062</v>
      </c>
      <c r="F5195" t="s">
        <v>42</v>
      </c>
      <c r="G5195">
        <v>-267.11529999999999</v>
      </c>
      <c r="H5195" s="1">
        <v>-2.2605709999999998E-6</v>
      </c>
      <c r="I5195">
        <v>-59.239910000000002</v>
      </c>
      <c r="J5195">
        <v>-278.50319999999999</v>
      </c>
      <c r="K5195">
        <v>1.1166929999999999</v>
      </c>
      <c r="L5195">
        <v>-58.736449999999998</v>
      </c>
      <c r="M5195">
        <v>0.95401389999999997</v>
      </c>
      <c r="N5195">
        <v>-9.9005269999999992E-3</v>
      </c>
      <c r="O5195">
        <v>-0.29959910000000001</v>
      </c>
      <c r="P5195">
        <v>0.91358019999999995</v>
      </c>
      <c r="Q5195">
        <v>0.40199760000000001</v>
      </c>
      <c r="R5195">
        <v>-6.1397409999999999E-2</v>
      </c>
      <c r="S5195">
        <v>3.4162599999999999</v>
      </c>
      <c r="T5195">
        <v>-0.32640249999999998</v>
      </c>
      <c r="U5195">
        <v>-0.17337040000000001</v>
      </c>
      <c r="V5195">
        <v>-0.22136910000000001</v>
      </c>
      <c r="W5195">
        <v>0.40746909999999997</v>
      </c>
      <c r="X5195">
        <v>0.8859823</v>
      </c>
      <c r="Y5195">
        <v>-0.2485774</v>
      </c>
      <c r="Z5195">
        <v>3.82276E-2</v>
      </c>
      <c r="AA5195">
        <v>0.96785739999999998</v>
      </c>
      <c r="AB5195">
        <v>32</v>
      </c>
      <c r="AC5195">
        <v>11.3879</v>
      </c>
      <c r="AD5195">
        <v>-1.1166952605710001</v>
      </c>
      <c r="AE5195">
        <v>-0.50345999999999602</v>
      </c>
      <c r="AF5195">
        <v>-2.90377278414676</v>
      </c>
      <c r="AG5195">
        <v>-1.1166952605710001</v>
      </c>
      <c r="AH5195">
        <v>10.9108786963883</v>
      </c>
      <c r="AI5195">
        <v>95.648427523819606</v>
      </c>
      <c r="AJ5195">
        <v>104.90300337688601</v>
      </c>
      <c r="AK5195">
        <v>11.3457559736772</v>
      </c>
      <c r="AL5195">
        <v>65.954053298354196</v>
      </c>
      <c r="AM5195">
        <v>104.028545290419</v>
      </c>
      <c r="AN5195">
        <v>0.99999999090145497</v>
      </c>
    </row>
    <row r="5196" spans="1:40" x14ac:dyDescent="0.25">
      <c r="A5196" t="str">
        <f>"20190304164751257"</f>
        <v>20190304164751257</v>
      </c>
      <c r="B5196" t="str">
        <f>"1551689271244399"</f>
        <v>1551689271244399</v>
      </c>
      <c r="C5196" t="s">
        <v>40</v>
      </c>
      <c r="D5196">
        <v>4.5862379999999998</v>
      </c>
      <c r="E5196">
        <v>0.49818960000000001</v>
      </c>
      <c r="F5196" t="s">
        <v>42</v>
      </c>
      <c r="G5196">
        <v>-266.85840000000002</v>
      </c>
      <c r="H5196" s="1">
        <v>-2.1432609999999999E-6</v>
      </c>
      <c r="I5196">
        <v>-59.280059999999999</v>
      </c>
      <c r="J5196">
        <v>-278.34910000000002</v>
      </c>
      <c r="K5196">
        <v>1.1166419999999999</v>
      </c>
      <c r="L5196">
        <v>-58.781649999999999</v>
      </c>
      <c r="M5196">
        <v>0.95508059999999995</v>
      </c>
      <c r="N5196">
        <v>-9.8974149999999997E-3</v>
      </c>
      <c r="O5196">
        <v>-0.29618100000000003</v>
      </c>
      <c r="P5196">
        <v>0.91381880000000004</v>
      </c>
      <c r="Q5196">
        <v>0.40182709999999999</v>
      </c>
      <c r="R5196">
        <v>-5.8911079999999998E-2</v>
      </c>
      <c r="S5196">
        <v>3.4172669999999998</v>
      </c>
      <c r="T5196">
        <v>-0.32770290000000002</v>
      </c>
      <c r="U5196">
        <v>-0.15954589999999999</v>
      </c>
      <c r="V5196">
        <v>-0.22057199999999999</v>
      </c>
      <c r="W5196">
        <v>0.40733750000000002</v>
      </c>
      <c r="X5196">
        <v>0.88624159999999996</v>
      </c>
      <c r="Y5196">
        <v>-0.2490222</v>
      </c>
      <c r="Z5196">
        <v>3.8127910000000001E-2</v>
      </c>
      <c r="AA5196">
        <v>0.96774700000000002</v>
      </c>
      <c r="AB5196">
        <v>32</v>
      </c>
      <c r="AC5196">
        <v>11.4907</v>
      </c>
      <c r="AD5196">
        <v>-1.1166441432609999</v>
      </c>
      <c r="AE5196">
        <v>-0.49840999999999902</v>
      </c>
      <c r="AF5196">
        <v>-2.9001125308712501</v>
      </c>
      <c r="AG5196">
        <v>-1.1166441432609999</v>
      </c>
      <c r="AH5196">
        <v>11.0188465443492</v>
      </c>
      <c r="AI5196">
        <v>95.597222603741301</v>
      </c>
      <c r="AJ5196">
        <v>104.74558618488599</v>
      </c>
      <c r="AK5196">
        <v>11.4486910169814</v>
      </c>
      <c r="AL5196">
        <v>65.962310161264597</v>
      </c>
      <c r="AM5196">
        <v>103.976086197814</v>
      </c>
      <c r="AN5196">
        <v>1.0000000098304</v>
      </c>
    </row>
    <row r="5197" spans="1:40" x14ac:dyDescent="0.25">
      <c r="A5197" t="str">
        <f>"20190304164751268"</f>
        <v>20190304164751268</v>
      </c>
      <c r="B5197" t="str">
        <f>"1551689271264895"</f>
        <v>1551689271264895</v>
      </c>
      <c r="C5197" t="s">
        <v>40</v>
      </c>
      <c r="D5197">
        <v>4.5643510000000003</v>
      </c>
      <c r="E5197">
        <v>0.49865280000000001</v>
      </c>
      <c r="F5197" t="s">
        <v>42</v>
      </c>
      <c r="G5197">
        <v>-266.78300000000002</v>
      </c>
      <c r="H5197" s="1">
        <v>-2.1065009999999999E-6</v>
      </c>
      <c r="I5197">
        <v>-59.304830000000003</v>
      </c>
      <c r="J5197">
        <v>-278.19130000000001</v>
      </c>
      <c r="K5197">
        <v>1.1165849999999999</v>
      </c>
      <c r="L5197">
        <v>-58.827150000000003</v>
      </c>
      <c r="M5197">
        <v>0.95614290000000002</v>
      </c>
      <c r="N5197">
        <v>-9.8941020000000001E-3</v>
      </c>
      <c r="O5197">
        <v>-0.29273379999999999</v>
      </c>
      <c r="P5197">
        <v>0.91393409999999997</v>
      </c>
      <c r="Q5197">
        <v>0.40190769999999998</v>
      </c>
      <c r="R5197">
        <v>-5.6524930000000001E-2</v>
      </c>
      <c r="S5197">
        <v>3.4180600000000001</v>
      </c>
      <c r="T5197">
        <v>-0.3299938</v>
      </c>
      <c r="U5197">
        <v>-0.15463260000000001</v>
      </c>
      <c r="V5197">
        <v>-0.21962290000000001</v>
      </c>
      <c r="W5197">
        <v>0.40745910000000002</v>
      </c>
      <c r="X5197">
        <v>0.88642140000000003</v>
      </c>
      <c r="Y5197">
        <v>-0.24691850000000001</v>
      </c>
      <c r="Z5197">
        <v>3.8004040000000003E-2</v>
      </c>
      <c r="AA5197">
        <v>0.96829069999999995</v>
      </c>
      <c r="AB5197">
        <v>32</v>
      </c>
      <c r="AC5197">
        <v>11.408299999999899</v>
      </c>
      <c r="AD5197">
        <v>-1.116587106501</v>
      </c>
      <c r="AE5197">
        <v>-0.47767999999999899</v>
      </c>
      <c r="AF5197">
        <v>-2.8556971692382298</v>
      </c>
      <c r="AG5197">
        <v>-1.116587106501</v>
      </c>
      <c r="AH5197">
        <v>10.943686038066</v>
      </c>
      <c r="AI5197">
        <v>95.638222699943896</v>
      </c>
      <c r="AJ5197">
        <v>104.624905992016</v>
      </c>
      <c r="AK5197">
        <v>11.3651237207766</v>
      </c>
      <c r="AL5197">
        <v>65.954681378262094</v>
      </c>
      <c r="AM5197">
        <v>103.91557781711199</v>
      </c>
      <c r="AN5197">
        <v>1.00000001737758</v>
      </c>
    </row>
    <row r="5198" spans="1:40" x14ac:dyDescent="0.25">
      <c r="A5198" t="str">
        <f>"20190304164751279"</f>
        <v>20190304164751279</v>
      </c>
      <c r="B5198" t="str">
        <f>"1551689271274655"</f>
        <v>1551689271274655</v>
      </c>
      <c r="C5198" t="s">
        <v>40</v>
      </c>
      <c r="D5198">
        <v>4.5388199999999896</v>
      </c>
      <c r="E5198">
        <v>0.50421990000000005</v>
      </c>
      <c r="F5198" t="s">
        <v>42</v>
      </c>
      <c r="G5198">
        <v>-266.62720000000002</v>
      </c>
      <c r="H5198" s="1">
        <v>-2.0351019999999998E-6</v>
      </c>
      <c r="I5198">
        <v>-59.330669999999998</v>
      </c>
      <c r="J5198">
        <v>-278.04160000000002</v>
      </c>
      <c r="K5198">
        <v>1.116538</v>
      </c>
      <c r="L5198">
        <v>-58.869869999999999</v>
      </c>
      <c r="M5198">
        <v>0.9571288</v>
      </c>
      <c r="N5198">
        <v>-9.8910290000000008E-3</v>
      </c>
      <c r="O5198">
        <v>-0.28949380000000002</v>
      </c>
      <c r="P5198">
        <v>0.91417090000000001</v>
      </c>
      <c r="Q5198">
        <v>0.4016672</v>
      </c>
      <c r="R5198">
        <v>-5.435972E-2</v>
      </c>
      <c r="S5198">
        <v>3.4184570000000001</v>
      </c>
      <c r="T5198">
        <v>-0.33007239999999999</v>
      </c>
      <c r="U5198">
        <v>-0.14886469999999999</v>
      </c>
      <c r="V5198">
        <v>-0.218693</v>
      </c>
      <c r="W5198">
        <v>0.40725919999999999</v>
      </c>
      <c r="X5198">
        <v>0.88674310000000001</v>
      </c>
      <c r="Y5198">
        <v>-0.24529190000000001</v>
      </c>
      <c r="Z5198">
        <v>3.7659119999999997E-2</v>
      </c>
      <c r="AA5198">
        <v>0.96871750000000001</v>
      </c>
      <c r="AB5198">
        <v>32</v>
      </c>
      <c r="AC5198">
        <v>11.414400000000001</v>
      </c>
      <c r="AD5198">
        <v>-1.1165400351019901</v>
      </c>
      <c r="AE5198">
        <v>-0.46079999999999799</v>
      </c>
      <c r="AF5198">
        <v>-2.8363972893787102</v>
      </c>
      <c r="AG5198">
        <v>-1.1165400351019901</v>
      </c>
      <c r="AH5198">
        <v>10.954344759917101</v>
      </c>
      <c r="AI5198">
        <v>95.635283361904101</v>
      </c>
      <c r="AJ5198">
        <v>104.516721770587</v>
      </c>
      <c r="AK5198">
        <v>11.370553212236601</v>
      </c>
      <c r="AL5198">
        <v>65.967222201374895</v>
      </c>
      <c r="AM5198">
        <v>103.85410004233999</v>
      </c>
      <c r="AN5198">
        <v>1.0000000048156199</v>
      </c>
    </row>
    <row r="5199" spans="1:40" x14ac:dyDescent="0.25">
      <c r="A5199" t="str">
        <f>"20190304164751291"</f>
        <v>20190304164751291</v>
      </c>
      <c r="B5199" t="str">
        <f>"1551689271284414"</f>
        <v>1551689271284414</v>
      </c>
      <c r="C5199" t="s">
        <v>40</v>
      </c>
      <c r="D5199">
        <v>4.5373669999999997</v>
      </c>
      <c r="E5199">
        <v>0.50460199999999999</v>
      </c>
      <c r="F5199" t="s">
        <v>42</v>
      </c>
      <c r="G5199">
        <v>-266.90109999999999</v>
      </c>
      <c r="H5199" s="1">
        <v>-2.1279150000000002E-6</v>
      </c>
      <c r="I5199">
        <v>-59.469799999999999</v>
      </c>
      <c r="J5199">
        <v>-277.87299999999999</v>
      </c>
      <c r="K5199">
        <v>1.1164810000000001</v>
      </c>
      <c r="L5199">
        <v>-58.9174199999999</v>
      </c>
      <c r="M5199">
        <v>0.95821389999999995</v>
      </c>
      <c r="N5199">
        <v>-9.887636E-3</v>
      </c>
      <c r="O5199">
        <v>-0.28588209999999997</v>
      </c>
      <c r="P5199">
        <v>0.91436309999999998</v>
      </c>
      <c r="Q5199">
        <v>0.40158509999999997</v>
      </c>
      <c r="R5199">
        <v>-5.1668749999999999E-2</v>
      </c>
      <c r="S5199">
        <v>3.4213559999999998</v>
      </c>
      <c r="T5199">
        <v>-0.34289979999999998</v>
      </c>
      <c r="U5199">
        <v>-0.18426509999999999</v>
      </c>
      <c r="V5199">
        <v>-0.21790880000000001</v>
      </c>
      <c r="W5199">
        <v>0.40721689999999999</v>
      </c>
      <c r="X5199">
        <v>0.88695550000000001</v>
      </c>
      <c r="Y5199">
        <v>-0.2315584</v>
      </c>
      <c r="Z5199">
        <v>3.8061629999999999E-2</v>
      </c>
      <c r="AA5199">
        <v>0.9720761</v>
      </c>
      <c r="AB5199">
        <v>32</v>
      </c>
      <c r="AC5199">
        <v>10.9719</v>
      </c>
      <c r="AD5199">
        <v>-1.116483127915</v>
      </c>
      <c r="AE5199">
        <v>-0.55238000000000598</v>
      </c>
      <c r="AF5199">
        <v>-2.5808423220701302</v>
      </c>
      <c r="AG5199">
        <v>-1.116483127915</v>
      </c>
      <c r="AH5199">
        <v>10.5627646357469</v>
      </c>
      <c r="AI5199">
        <v>95.862550234433598</v>
      </c>
      <c r="AJ5199">
        <v>103.730295863352</v>
      </c>
      <c r="AK5199">
        <v>10.9306577302783</v>
      </c>
      <c r="AL5199">
        <v>65.969874521935395</v>
      </c>
      <c r="AM5199">
        <v>103.803145635221</v>
      </c>
      <c r="AN5199">
        <v>0.99999995387164897</v>
      </c>
    </row>
    <row r="5200" spans="1:40" x14ac:dyDescent="0.25">
      <c r="A5200" t="str">
        <f>"20190304164751301"</f>
        <v>20190304164751301</v>
      </c>
      <c r="B5200" t="str">
        <f>"1551689271294175"</f>
        <v>1551689271294175</v>
      </c>
      <c r="C5200" t="s">
        <v>40</v>
      </c>
      <c r="D5200">
        <v>4.5314560000000004</v>
      </c>
      <c r="E5200">
        <v>0.5047857</v>
      </c>
      <c r="F5200" t="s">
        <v>42</v>
      </c>
      <c r="G5200">
        <v>-266.7928</v>
      </c>
      <c r="H5200" s="1">
        <v>-2.0783090000000001E-6</v>
      </c>
      <c r="I5200">
        <v>-59.487630000000003</v>
      </c>
      <c r="J5200">
        <v>-277.73309999999998</v>
      </c>
      <c r="K5200">
        <v>1.116433</v>
      </c>
      <c r="L5200">
        <v>-58.956240000000001</v>
      </c>
      <c r="M5200">
        <v>0.95908939999999998</v>
      </c>
      <c r="N5200">
        <v>-9.8847109999999992E-3</v>
      </c>
      <c r="O5200">
        <v>-0.28293099999999999</v>
      </c>
      <c r="P5200">
        <v>0.91444259999999999</v>
      </c>
      <c r="Q5200">
        <v>0.40163880000000002</v>
      </c>
      <c r="R5200">
        <v>-4.9811849999999998E-2</v>
      </c>
      <c r="S5200">
        <v>3.422485</v>
      </c>
      <c r="T5200">
        <v>-0.34486159999999999</v>
      </c>
      <c r="U5200">
        <v>-0.17614749999999901</v>
      </c>
      <c r="V5200">
        <v>-0.21692330000000001</v>
      </c>
      <c r="W5200">
        <v>0.40730840000000001</v>
      </c>
      <c r="X5200">
        <v>0.88715509999999997</v>
      </c>
      <c r="Y5200">
        <v>-0.23086950000000001</v>
      </c>
      <c r="Z5200">
        <v>3.7986829999999999E-2</v>
      </c>
      <c r="AA5200">
        <v>0.97224290000000002</v>
      </c>
      <c r="AB5200">
        <v>32</v>
      </c>
      <c r="AC5200">
        <v>10.940299999999899</v>
      </c>
      <c r="AD5200">
        <v>-1.116435078309</v>
      </c>
      <c r="AE5200">
        <v>-0.53139000000000103</v>
      </c>
      <c r="AF5200">
        <v>-2.5592370497308501</v>
      </c>
      <c r="AG5200">
        <v>-1.116435078309</v>
      </c>
      <c r="AH5200">
        <v>10.5341495979428</v>
      </c>
      <c r="AI5200">
        <v>95.879975320433203</v>
      </c>
      <c r="AJ5200">
        <v>103.655265358919</v>
      </c>
      <c r="AK5200">
        <v>10.8979094010104</v>
      </c>
      <c r="AL5200">
        <v>65.964135811358403</v>
      </c>
      <c r="AM5200">
        <v>103.740117624916</v>
      </c>
      <c r="AN5200">
        <v>1.00000001112472</v>
      </c>
    </row>
    <row r="5201" spans="1:40" x14ac:dyDescent="0.25">
      <c r="A5201" t="str">
        <f>"20190304164751312"</f>
        <v>20190304164751312</v>
      </c>
      <c r="B5201" t="str">
        <f>"1551689271304911"</f>
        <v>1551689271304911</v>
      </c>
      <c r="C5201" t="s">
        <v>40</v>
      </c>
      <c r="D5201">
        <v>4.5248160000000004</v>
      </c>
      <c r="E5201">
        <v>0.50514579999999998</v>
      </c>
      <c r="F5201" t="s">
        <v>42</v>
      </c>
      <c r="G5201">
        <v>-266.63900000000001</v>
      </c>
      <c r="H5201" s="1">
        <v>-2.009047E-6</v>
      </c>
      <c r="I5201">
        <v>-59.506149999999998</v>
      </c>
      <c r="J5201">
        <v>-277.58319999999998</v>
      </c>
      <c r="K5201">
        <v>1.1163860000000001</v>
      </c>
      <c r="L5201">
        <v>-58.997590000000002</v>
      </c>
      <c r="M5201">
        <v>0.96001219999999998</v>
      </c>
      <c r="N5201">
        <v>-9.8818029999999998E-3</v>
      </c>
      <c r="O5201">
        <v>-0.27978360000000002</v>
      </c>
      <c r="P5201">
        <v>0.91468430000000001</v>
      </c>
      <c r="Q5201">
        <v>0.40136260000000001</v>
      </c>
      <c r="R5201">
        <v>-4.7548609999999998E-2</v>
      </c>
      <c r="S5201">
        <v>3.4227289999999999</v>
      </c>
      <c r="T5201">
        <v>-0.3444412</v>
      </c>
      <c r="U5201">
        <v>-0.16967769999999999</v>
      </c>
      <c r="V5201">
        <v>-0.2161863</v>
      </c>
      <c r="W5201">
        <v>0.4070684</v>
      </c>
      <c r="X5201">
        <v>0.88744509999999899</v>
      </c>
      <c r="Y5201">
        <v>-0.2295412</v>
      </c>
      <c r="Z5201">
        <v>3.759444E-2</v>
      </c>
      <c r="AA5201">
        <v>0.97257260000000001</v>
      </c>
      <c r="AB5201">
        <v>32</v>
      </c>
      <c r="AC5201">
        <v>10.944199999999899</v>
      </c>
      <c r="AD5201">
        <v>-1.116388009047</v>
      </c>
      <c r="AE5201">
        <v>-0.50855999999999502</v>
      </c>
      <c r="AF5201">
        <v>-2.5474591950539298</v>
      </c>
      <c r="AG5201">
        <v>-1.116388009047</v>
      </c>
      <c r="AH5201">
        <v>10.539935747099699</v>
      </c>
      <c r="AI5201">
        <v>95.878194782604993</v>
      </c>
      <c r="AJ5201">
        <v>103.587573405459</v>
      </c>
      <c r="AK5201">
        <v>10.900739245124599</v>
      </c>
      <c r="AL5201">
        <v>65.979191225841603</v>
      </c>
      <c r="AM5201">
        <v>103.69088918896399</v>
      </c>
      <c r="AN5201">
        <v>1.0000000020501201</v>
      </c>
    </row>
    <row r="5202" spans="1:40" x14ac:dyDescent="0.25">
      <c r="A5202" t="str">
        <f>"20190304164751324"</f>
        <v>20190304164751324</v>
      </c>
      <c r="B5202" t="str">
        <f>"1551689271314670"</f>
        <v>1551689271314670</v>
      </c>
      <c r="C5202" t="s">
        <v>40</v>
      </c>
      <c r="D5202">
        <v>4.5326110000000002</v>
      </c>
      <c r="E5202">
        <v>0.50545960000000001</v>
      </c>
      <c r="F5202" t="s">
        <v>42</v>
      </c>
      <c r="G5202">
        <v>-266.51929999999999</v>
      </c>
      <c r="H5202" s="1">
        <v>-1.9547460000000001E-6</v>
      </c>
      <c r="I5202">
        <v>-59.522779999999997</v>
      </c>
      <c r="J5202">
        <v>-277.42720000000003</v>
      </c>
      <c r="K5202">
        <v>1.1163339999999999</v>
      </c>
      <c r="L5202">
        <v>-59.039790000000004</v>
      </c>
      <c r="M5202">
        <v>0.96094329999999994</v>
      </c>
      <c r="N5202">
        <v>-9.8785079999999994E-3</v>
      </c>
      <c r="O5202">
        <v>-0.27656930000000002</v>
      </c>
      <c r="P5202">
        <v>0.91476829999999998</v>
      </c>
      <c r="Q5202">
        <v>0.40144740000000001</v>
      </c>
      <c r="R5202">
        <v>-4.5154760000000002E-2</v>
      </c>
      <c r="S5202">
        <v>3.4229430000000001</v>
      </c>
      <c r="T5202">
        <v>-0.34538849999999999</v>
      </c>
      <c r="U5202">
        <v>-0.16250609999999999</v>
      </c>
      <c r="V5202">
        <v>-0.2154749</v>
      </c>
      <c r="W5202">
        <v>0.4071882</v>
      </c>
      <c r="X5202">
        <v>0.8875632</v>
      </c>
      <c r="Y5202">
        <v>-0.22832669999999999</v>
      </c>
      <c r="Z5202">
        <v>3.7357460000000002E-2</v>
      </c>
      <c r="AA5202">
        <v>0.97286760000000005</v>
      </c>
      <c r="AB5202">
        <v>32</v>
      </c>
      <c r="AC5202">
        <v>10.9079</v>
      </c>
      <c r="AD5202">
        <v>-1.1163359547459999</v>
      </c>
      <c r="AE5202">
        <v>-0.48298999999999997</v>
      </c>
      <c r="AF5202">
        <v>-2.5263793703915698</v>
      </c>
      <c r="AG5202">
        <v>-1.1163359547459999</v>
      </c>
      <c r="AH5202">
        <v>10.5061458502487</v>
      </c>
      <c r="AI5202">
        <v>95.898334074936301</v>
      </c>
      <c r="AJ5202">
        <v>103.521020125151</v>
      </c>
      <c r="AK5202">
        <v>10.863144080499801</v>
      </c>
      <c r="AL5202">
        <v>65.971677352723702</v>
      </c>
      <c r="AM5202">
        <v>103.645776254021</v>
      </c>
      <c r="AN5202">
        <v>1.0000000483717399</v>
      </c>
    </row>
    <row r="5203" spans="1:40" x14ac:dyDescent="0.25">
      <c r="A5203" t="str">
        <f>"20190304164751338"</f>
        <v>20190304164751338</v>
      </c>
      <c r="B5203" t="str">
        <f>"1551689271324432"</f>
        <v>1551689271324432</v>
      </c>
      <c r="C5203" t="s">
        <v>40</v>
      </c>
      <c r="D5203">
        <v>4.5209950000000001</v>
      </c>
      <c r="E5203">
        <v>0.50570059999999994</v>
      </c>
      <c r="F5203" t="s">
        <v>42</v>
      </c>
      <c r="G5203">
        <v>-266.3476</v>
      </c>
      <c r="H5203" s="1">
        <v>-1.878275E-6</v>
      </c>
      <c r="I5203">
        <v>-59.538620000000002</v>
      </c>
      <c r="J5203">
        <v>-277.24639999999999</v>
      </c>
      <c r="K5203">
        <v>1.116277</v>
      </c>
      <c r="L5203">
        <v>-59.088349999999998</v>
      </c>
      <c r="M5203">
        <v>0.96200140000000001</v>
      </c>
      <c r="N5203">
        <v>-9.8748819999999998E-3</v>
      </c>
      <c r="O5203">
        <v>-0.272866</v>
      </c>
      <c r="P5203">
        <v>0.91490729999999998</v>
      </c>
      <c r="Q5203">
        <v>0.40142630000000001</v>
      </c>
      <c r="R5203">
        <v>-4.244531E-2</v>
      </c>
      <c r="S5203">
        <v>3.423279</v>
      </c>
      <c r="T5203">
        <v>-0.34491490000000002</v>
      </c>
      <c r="U5203">
        <v>-0.15414430000000001</v>
      </c>
      <c r="V5203">
        <v>-0.2146245</v>
      </c>
      <c r="W5203">
        <v>0.40720869999999998</v>
      </c>
      <c r="X5203">
        <v>0.88775969999999904</v>
      </c>
      <c r="Y5203">
        <v>-0.2269823</v>
      </c>
      <c r="Z5203">
        <v>3.690947E-2</v>
      </c>
      <c r="AA5203">
        <v>0.97319920000000004</v>
      </c>
      <c r="AB5203">
        <v>32</v>
      </c>
      <c r="AC5203">
        <v>10.8987999999999</v>
      </c>
      <c r="AD5203">
        <v>-1.1162788782749999</v>
      </c>
      <c r="AE5203">
        <v>-0.45026999999999601</v>
      </c>
      <c r="AF5203">
        <v>-2.5145420382428401</v>
      </c>
      <c r="AG5203">
        <v>-1.1162788782749999</v>
      </c>
      <c r="AH5203">
        <v>10.498100524248899</v>
      </c>
      <c r="AI5203">
        <v>95.903777420949297</v>
      </c>
      <c r="AJ5203">
        <v>103.469917296627</v>
      </c>
      <c r="AK5203">
        <v>10.852608663976101</v>
      </c>
      <c r="AL5203">
        <v>65.970388655453903</v>
      </c>
      <c r="AM5203">
        <v>103.591026242316</v>
      </c>
      <c r="AN5203">
        <v>0.99999994315001295</v>
      </c>
    </row>
    <row r="5204" spans="1:40" x14ac:dyDescent="0.25">
      <c r="A5204" t="str">
        <f>"20190304164751351"</f>
        <v>20190304164751351</v>
      </c>
      <c r="B5204" t="str">
        <f>"1551689271344927"</f>
        <v>1551689271344927</v>
      </c>
      <c r="C5204" t="s">
        <v>40</v>
      </c>
      <c r="D5204">
        <v>4.5237379999999998</v>
      </c>
      <c r="E5204">
        <v>0.50593220000000005</v>
      </c>
      <c r="F5204" t="s">
        <v>42</v>
      </c>
      <c r="G5204">
        <v>-266.15559999999999</v>
      </c>
      <c r="H5204" s="1">
        <v>-1.7927499999999999E-6</v>
      </c>
      <c r="I5204">
        <v>-59.55641</v>
      </c>
      <c r="J5204">
        <v>-277.041</v>
      </c>
      <c r="K5204">
        <v>1.1162049999999999</v>
      </c>
      <c r="L5204">
        <v>-59.14255</v>
      </c>
      <c r="M5204">
        <v>0.963167</v>
      </c>
      <c r="N5204">
        <v>-9.8706260000000004E-3</v>
      </c>
      <c r="O5204">
        <v>-0.26872269999999998</v>
      </c>
      <c r="P5204">
        <v>0.91511480000000001</v>
      </c>
      <c r="Q5204">
        <v>0.40127479999999999</v>
      </c>
      <c r="R5204">
        <v>-3.929026E-2</v>
      </c>
      <c r="S5204">
        <v>3.423492</v>
      </c>
      <c r="T5204">
        <v>-0.34457179999999998</v>
      </c>
      <c r="U5204">
        <v>-0.14450070000000001</v>
      </c>
      <c r="V5204">
        <v>-0.21381069999999999</v>
      </c>
      <c r="W5204">
        <v>0.40710069999999998</v>
      </c>
      <c r="X5204">
        <v>0.88800559999999995</v>
      </c>
      <c r="Y5204">
        <v>-0.22555919999999999</v>
      </c>
      <c r="Z5204">
        <v>3.6435879999999997E-2</v>
      </c>
      <c r="AA5204">
        <v>0.97354790000000002</v>
      </c>
      <c r="AB5204">
        <v>32</v>
      </c>
      <c r="AC5204">
        <v>10.885400000000001</v>
      </c>
      <c r="AD5204">
        <v>-1.1162067927499999</v>
      </c>
      <c r="AE5204">
        <v>-0.41385999999999901</v>
      </c>
      <c r="AF5204">
        <v>-2.5004075792063598</v>
      </c>
      <c r="AG5204">
        <v>-1.1162067927499999</v>
      </c>
      <c r="AH5204">
        <v>10.4860880528639</v>
      </c>
      <c r="AI5204">
        <v>95.911538134637993</v>
      </c>
      <c r="AJ5204">
        <v>103.41173150055501</v>
      </c>
      <c r="AK5204">
        <v>10.8377118580791</v>
      </c>
      <c r="AL5204">
        <v>65.977164283851707</v>
      </c>
      <c r="AM5204">
        <v>103.537781970514</v>
      </c>
      <c r="AN5204">
        <v>0.99999997050316902</v>
      </c>
    </row>
    <row r="5205" spans="1:40" x14ac:dyDescent="0.25">
      <c r="A5205" t="str">
        <f>"20190304164751366"</f>
        <v>20190304164751366</v>
      </c>
      <c r="B5205" t="str">
        <f>"1551689271354688"</f>
        <v>1551689271354688</v>
      </c>
      <c r="C5205" t="s">
        <v>40</v>
      </c>
      <c r="D5205">
        <v>4.5131500000000004</v>
      </c>
      <c r="E5205">
        <v>0.50925509999999996</v>
      </c>
      <c r="F5205" t="s">
        <v>42</v>
      </c>
      <c r="G5205">
        <v>-265.92419999999998</v>
      </c>
      <c r="H5205" s="1">
        <v>-1.690654E-6</v>
      </c>
      <c r="I5205">
        <v>-59.572189999999999</v>
      </c>
      <c r="J5205">
        <v>-276.85239999999999</v>
      </c>
      <c r="K5205">
        <v>1.11615</v>
      </c>
      <c r="L5205">
        <v>-59.191380000000002</v>
      </c>
      <c r="M5205">
        <v>0.96420490000000003</v>
      </c>
      <c r="N5205">
        <v>-9.8668569999999997E-3</v>
      </c>
      <c r="O5205">
        <v>-0.26497490000000001</v>
      </c>
      <c r="P5205">
        <v>0.91529240000000001</v>
      </c>
      <c r="Q5205">
        <v>0.4011112</v>
      </c>
      <c r="R5205">
        <v>-3.6744359999999997E-2</v>
      </c>
      <c r="S5205">
        <v>3.4233090000000002</v>
      </c>
      <c r="T5205">
        <v>-0.3437231</v>
      </c>
      <c r="U5205">
        <v>-0.1323242</v>
      </c>
      <c r="V5205">
        <v>-0.21278259999999999</v>
      </c>
      <c r="W5205">
        <v>0.40698040000000002</v>
      </c>
      <c r="X5205">
        <v>0.88830759999999898</v>
      </c>
      <c r="Y5205">
        <v>-0.2252538</v>
      </c>
      <c r="Z5205">
        <v>3.6008900000000003E-2</v>
      </c>
      <c r="AA5205">
        <v>0.97363449999999996</v>
      </c>
      <c r="AB5205">
        <v>32</v>
      </c>
      <c r="AC5205">
        <v>10.9282</v>
      </c>
      <c r="AD5205">
        <v>-1.1161516906540001</v>
      </c>
      <c r="AE5205">
        <v>-0.38080999999999599</v>
      </c>
      <c r="AF5205">
        <v>-2.5025687166066999</v>
      </c>
      <c r="AG5205">
        <v>-1.1161516906540001</v>
      </c>
      <c r="AH5205">
        <v>10.528748149218201</v>
      </c>
      <c r="AI5205">
        <v>95.888468184575203</v>
      </c>
      <c r="AJ5205">
        <v>103.370474362382</v>
      </c>
      <c r="AK5205">
        <v>10.8794844715894</v>
      </c>
      <c r="AL5205">
        <v>65.984709515169698</v>
      </c>
      <c r="AM5205">
        <v>103.47065129809999</v>
      </c>
      <c r="AN5205">
        <v>0.99999993653233799</v>
      </c>
    </row>
    <row r="5206" spans="1:40" x14ac:dyDescent="0.25">
      <c r="A5206" t="str">
        <f>"20190304164751382"</f>
        <v>20190304164751382</v>
      </c>
      <c r="B5206" t="str">
        <f>"1551689271374207"</f>
        <v>1551689271374207</v>
      </c>
      <c r="C5206" t="s">
        <v>40</v>
      </c>
      <c r="D5206">
        <v>4.5376810000000001</v>
      </c>
      <c r="E5206">
        <v>0.50939380000000001</v>
      </c>
      <c r="F5206" t="s">
        <v>42</v>
      </c>
      <c r="G5206">
        <v>-265.84699999999998</v>
      </c>
      <c r="H5206" s="1">
        <v>-1.640913E-6</v>
      </c>
      <c r="I5206">
        <v>-59.665979999999998</v>
      </c>
      <c r="J5206">
        <v>-276.64019999999999</v>
      </c>
      <c r="K5206">
        <v>1.1160870000000001</v>
      </c>
      <c r="L5206">
        <v>-59.245640000000002</v>
      </c>
      <c r="M5206">
        <v>0.96534200000000003</v>
      </c>
      <c r="N5206">
        <v>-9.8629210000000002E-3</v>
      </c>
      <c r="O5206">
        <v>-0.26080209999999998</v>
      </c>
      <c r="P5206">
        <v>0.91530909999999999</v>
      </c>
      <c r="Q5206">
        <v>0.40126780000000001</v>
      </c>
      <c r="R5206">
        <v>-3.455047E-2</v>
      </c>
      <c r="S5206">
        <v>3.423889</v>
      </c>
      <c r="T5206">
        <v>-0.34724379999999999</v>
      </c>
      <c r="U5206">
        <v>-0.14767459999999999</v>
      </c>
      <c r="V5206">
        <v>-0.21098210000000001</v>
      </c>
      <c r="W5206">
        <v>0.4071939</v>
      </c>
      <c r="X5206">
        <v>0.88863930000000002</v>
      </c>
      <c r="Y5206">
        <v>-0.21669920000000001</v>
      </c>
      <c r="Z5206">
        <v>3.5536709999999999E-2</v>
      </c>
      <c r="AA5206">
        <v>0.9755914</v>
      </c>
      <c r="AB5206">
        <v>32</v>
      </c>
      <c r="AC5206">
        <v>10.793200000000001</v>
      </c>
      <c r="AD5206">
        <v>-1.116088640913</v>
      </c>
      <c r="AE5206">
        <v>-0.42034000000000299</v>
      </c>
      <c r="AF5206">
        <v>-2.3837832877135301</v>
      </c>
      <c r="AG5206">
        <v>-1.116088640913</v>
      </c>
      <c r="AH5206">
        <v>10.418035302244</v>
      </c>
      <c r="AI5206">
        <v>95.961875234716899</v>
      </c>
      <c r="AJ5206">
        <v>102.888161864913</v>
      </c>
      <c r="AK5206">
        <v>10.745396045561</v>
      </c>
      <c r="AL5206">
        <v>65.9713201316398</v>
      </c>
      <c r="AM5206">
        <v>103.35596229564</v>
      </c>
      <c r="AN5206">
        <v>1.0000000621110501</v>
      </c>
    </row>
    <row r="5207" spans="1:40" x14ac:dyDescent="0.25">
      <c r="A5207" t="str">
        <f>"20190304164751392"</f>
        <v>20190304164751392</v>
      </c>
      <c r="B5207" t="str">
        <f>"1551689271384943"</f>
        <v>1551689271384943</v>
      </c>
      <c r="C5207" t="s">
        <v>40</v>
      </c>
      <c r="D5207">
        <v>4.5370509999999999</v>
      </c>
      <c r="E5207">
        <v>0.50963709999999995</v>
      </c>
      <c r="F5207" t="s">
        <v>42</v>
      </c>
      <c r="G5207">
        <v>-265.54730000000001</v>
      </c>
      <c r="H5207" s="1">
        <v>-1.5078870000000001E-6</v>
      </c>
      <c r="I5207">
        <v>-59.691049999999997</v>
      </c>
      <c r="J5207">
        <v>-276.47480000000002</v>
      </c>
      <c r="K5207">
        <v>1.1160380000000001</v>
      </c>
      <c r="L5207">
        <v>-59.287379999999999</v>
      </c>
      <c r="M5207">
        <v>0.9662056</v>
      </c>
      <c r="N5207">
        <v>-9.8600830000000004E-3</v>
      </c>
      <c r="O5207">
        <v>-0.25758350000000002</v>
      </c>
      <c r="P5207">
        <v>0.91541830000000002</v>
      </c>
      <c r="Q5207">
        <v>0.40117649999999999</v>
      </c>
      <c r="R5207">
        <v>-3.2657909999999998E-2</v>
      </c>
      <c r="S5207">
        <v>3.4234010000000001</v>
      </c>
      <c r="T5207">
        <v>-0.34443699999999999</v>
      </c>
      <c r="U5207">
        <v>-0.13748170000000001</v>
      </c>
      <c r="V5207">
        <v>-0.20981240000000001</v>
      </c>
      <c r="W5207">
        <v>0.4071438</v>
      </c>
      <c r="X5207">
        <v>0.88893909999999998</v>
      </c>
      <c r="Y5207">
        <v>-0.21639130000000001</v>
      </c>
      <c r="Z5207">
        <v>3.4951199999999898E-2</v>
      </c>
      <c r="AA5207">
        <v>0.97568089999999996</v>
      </c>
      <c r="AB5207">
        <v>32</v>
      </c>
      <c r="AC5207">
        <v>10.9275</v>
      </c>
      <c r="AD5207">
        <v>-1.11603950788699</v>
      </c>
      <c r="AE5207">
        <v>-0.40366999999999098</v>
      </c>
      <c r="AF5207">
        <v>-2.3998355840579801</v>
      </c>
      <c r="AG5207">
        <v>-1.11603950788699</v>
      </c>
      <c r="AH5207">
        <v>10.5527861640354</v>
      </c>
      <c r="AI5207">
        <v>95.887802655345695</v>
      </c>
      <c r="AJ5207">
        <v>102.81188140230699</v>
      </c>
      <c r="AK5207">
        <v>10.879616300105999</v>
      </c>
      <c r="AL5207">
        <v>65.974461899477205</v>
      </c>
      <c r="AM5207">
        <v>103.280226632916</v>
      </c>
      <c r="AN5207">
        <v>1.0000000202904999</v>
      </c>
    </row>
    <row r="5208" spans="1:40" x14ac:dyDescent="0.25">
      <c r="A5208" t="str">
        <f>"20190304164751403"</f>
        <v>20190304164751403</v>
      </c>
      <c r="B5208" t="str">
        <f>"1551689271394704"</f>
        <v>1551689271394704</v>
      </c>
      <c r="C5208" t="s">
        <v>40</v>
      </c>
      <c r="D5208">
        <v>4.5284190000000004</v>
      </c>
      <c r="E5208">
        <v>0.51000129999999999</v>
      </c>
      <c r="F5208" t="s">
        <v>42</v>
      </c>
      <c r="G5208">
        <v>-265.4776</v>
      </c>
      <c r="H5208" s="1">
        <v>-1.47472E-6</v>
      </c>
      <c r="I5208">
        <v>-59.7095699999999</v>
      </c>
      <c r="J5208">
        <v>-276.32229999999998</v>
      </c>
      <c r="K5208">
        <v>1.115991</v>
      </c>
      <c r="L5208">
        <v>-59.325099999999999</v>
      </c>
      <c r="M5208">
        <v>0.96697949999999999</v>
      </c>
      <c r="N5208">
        <v>-9.857233E-3</v>
      </c>
      <c r="O5208">
        <v>-0.2546641</v>
      </c>
      <c r="P5208">
        <v>0.91555909999999996</v>
      </c>
      <c r="Q5208">
        <v>0.40098689999999998</v>
      </c>
      <c r="R5208">
        <v>-3.1001089999999999E-2</v>
      </c>
      <c r="S5208">
        <v>3.4248050000000001</v>
      </c>
      <c r="T5208">
        <v>-0.34756209999999998</v>
      </c>
      <c r="U5208">
        <v>-0.13150020000000001</v>
      </c>
      <c r="V5208">
        <v>-0.2087048</v>
      </c>
      <c r="W5208">
        <v>0.40699259999999998</v>
      </c>
      <c r="X5208">
        <v>0.88926899999999998</v>
      </c>
      <c r="Y5208">
        <v>-0.21513950000000001</v>
      </c>
      <c r="Z5208">
        <v>3.4941479999999997E-2</v>
      </c>
      <c r="AA5208">
        <v>0.97595799999999999</v>
      </c>
      <c r="AB5208">
        <v>32</v>
      </c>
      <c r="AC5208">
        <v>10.8446999999999</v>
      </c>
      <c r="AD5208">
        <v>-1.1159924747199901</v>
      </c>
      <c r="AE5208">
        <v>-0.38446999999999298</v>
      </c>
      <c r="AF5208">
        <v>-2.3650825974003502</v>
      </c>
      <c r="AG5208">
        <v>-1.1159924747199901</v>
      </c>
      <c r="AH5208">
        <v>10.474245000729599</v>
      </c>
      <c r="AI5208">
        <v>95.933437928178506</v>
      </c>
      <c r="AJ5208">
        <v>102.72399395548</v>
      </c>
      <c r="AK5208">
        <v>10.795779880650899</v>
      </c>
      <c r="AL5208">
        <v>65.983946193008506</v>
      </c>
      <c r="AM5208">
        <v>103.207855805991</v>
      </c>
      <c r="AN5208">
        <v>1.0000000121793999</v>
      </c>
    </row>
    <row r="5209" spans="1:40" x14ac:dyDescent="0.25">
      <c r="A5209" t="str">
        <f>"20190304164751428"</f>
        <v>20190304164751428</v>
      </c>
      <c r="B5209" t="str">
        <f>"1551689271424959"</f>
        <v>1551689271424959</v>
      </c>
      <c r="C5209" t="s">
        <v>40</v>
      </c>
      <c r="D5209">
        <v>4.5052209999999997</v>
      </c>
      <c r="E5209">
        <v>0.50997700000000001</v>
      </c>
      <c r="F5209" t="s">
        <v>42</v>
      </c>
      <c r="G5209">
        <v>-265.38869999999997</v>
      </c>
      <c r="H5209" s="1">
        <v>-1.432904E-6</v>
      </c>
      <c r="I5209">
        <v>-59.730339999999998</v>
      </c>
      <c r="J5209">
        <v>-275.96850000000001</v>
      </c>
      <c r="K5209">
        <v>1.115883</v>
      </c>
      <c r="L5209">
        <v>-59.411250000000003</v>
      </c>
      <c r="M5209">
        <v>0.9687133</v>
      </c>
      <c r="N5209">
        <v>-9.8506679999999999E-3</v>
      </c>
      <c r="O5209">
        <v>-0.24798729999999999</v>
      </c>
      <c r="P5209">
        <v>0.91559140000000006</v>
      </c>
      <c r="Q5209">
        <v>0.40116679999999999</v>
      </c>
      <c r="R5209">
        <v>-2.7526060000000001E-2</v>
      </c>
      <c r="S5209">
        <v>3.4255070000000001</v>
      </c>
      <c r="T5209">
        <v>-0.34964220000000001</v>
      </c>
      <c r="U5209">
        <v>-0.1269836</v>
      </c>
      <c r="V5209">
        <v>-0.20580509999999999</v>
      </c>
      <c r="W5209">
        <v>0.40726570000000001</v>
      </c>
      <c r="X5209">
        <v>0.88981960000000004</v>
      </c>
      <c r="Y5209">
        <v>-0.2097251</v>
      </c>
      <c r="Z5209">
        <v>3.4258089999999998E-2</v>
      </c>
      <c r="AA5209">
        <v>0.97716000000000003</v>
      </c>
      <c r="AB5209">
        <v>32</v>
      </c>
      <c r="AC5209">
        <v>10.579800000000001</v>
      </c>
      <c r="AD5209">
        <v>-1.1158844329040001</v>
      </c>
      <c r="AE5209">
        <v>-0.31909000000000198</v>
      </c>
      <c r="AF5209">
        <v>-2.2892179520934102</v>
      </c>
      <c r="AG5209">
        <v>-1.1158844329040001</v>
      </c>
      <c r="AH5209">
        <v>10.2148902975726</v>
      </c>
      <c r="AI5209">
        <v>96.0845767832311</v>
      </c>
      <c r="AJ5209">
        <v>102.63161857324999</v>
      </c>
      <c r="AK5209">
        <v>10.527568603016899</v>
      </c>
      <c r="AL5209">
        <v>65.966814435877197</v>
      </c>
      <c r="AM5209">
        <v>103.022864833553</v>
      </c>
      <c r="AN5209">
        <v>1.00000000506333</v>
      </c>
    </row>
    <row r="5210" spans="1:40" x14ac:dyDescent="0.25">
      <c r="A5210" t="str">
        <f>"20190304164751441"</f>
        <v>20190304164751441</v>
      </c>
      <c r="B5210" t="str">
        <f>"1551689271434720"</f>
        <v>1551689271434720</v>
      </c>
      <c r="C5210" t="s">
        <v>40</v>
      </c>
      <c r="D5210">
        <v>4.5411789999999996</v>
      </c>
      <c r="E5210">
        <v>0.51050180000000001</v>
      </c>
      <c r="F5210" t="s">
        <v>42</v>
      </c>
      <c r="G5210">
        <v>-264.97899999999998</v>
      </c>
      <c r="H5210" s="1">
        <v>-1.25074E-6</v>
      </c>
      <c r="I5210">
        <v>-59.766469999999998</v>
      </c>
      <c r="J5210">
        <v>-275.79520000000002</v>
      </c>
      <c r="K5210">
        <v>1.115826</v>
      </c>
      <c r="L5210">
        <v>-59.452579999999998</v>
      </c>
      <c r="M5210">
        <v>0.96952769999999999</v>
      </c>
      <c r="N5210">
        <v>-9.8470750000000003E-3</v>
      </c>
      <c r="O5210">
        <v>-0.244784</v>
      </c>
      <c r="P5210">
        <v>0.91540449999999995</v>
      </c>
      <c r="Q5210">
        <v>0.40168989999999999</v>
      </c>
      <c r="R5210">
        <v>-2.6075419999999998E-2</v>
      </c>
      <c r="S5210">
        <v>3.425659</v>
      </c>
      <c r="T5210">
        <v>-0.3478446</v>
      </c>
      <c r="U5210">
        <v>-0.11074829999999999</v>
      </c>
      <c r="V5210">
        <v>-0.2041606</v>
      </c>
      <c r="W5210">
        <v>0.40783619999999998</v>
      </c>
      <c r="X5210">
        <v>0.88993719999999998</v>
      </c>
      <c r="Y5210">
        <v>-0.2111489</v>
      </c>
      <c r="Z5210">
        <v>3.387656E-2</v>
      </c>
      <c r="AA5210">
        <v>0.97686669999999998</v>
      </c>
      <c r="AB5210">
        <v>32</v>
      </c>
      <c r="AC5210">
        <v>10.816199999999901</v>
      </c>
      <c r="AD5210">
        <v>-1.11582725074</v>
      </c>
      <c r="AE5210">
        <v>-0.31388999999999301</v>
      </c>
      <c r="AF5210">
        <v>-2.31876438041354</v>
      </c>
      <c r="AG5210">
        <v>-1.11582725074</v>
      </c>
      <c r="AH5210">
        <v>10.452801685888</v>
      </c>
      <c r="AI5210">
        <v>95.949642587657905</v>
      </c>
      <c r="AJ5210">
        <v>102.50749205071</v>
      </c>
      <c r="AK5210">
        <v>10.7648874490108</v>
      </c>
      <c r="AL5210">
        <v>65.931021189228403</v>
      </c>
      <c r="AM5210">
        <v>102.920660822187</v>
      </c>
      <c r="AN5210">
        <v>1.0000000682833099</v>
      </c>
    </row>
    <row r="5211" spans="1:40" x14ac:dyDescent="0.25">
      <c r="A5211" t="str">
        <f>"20190304164751452"</f>
        <v>20190304164751452</v>
      </c>
      <c r="B5211" t="str">
        <f>"1551689271444479"</f>
        <v>1551689271444479</v>
      </c>
      <c r="C5211" t="s">
        <v>40</v>
      </c>
      <c r="D5211">
        <v>4.5387079999999997</v>
      </c>
      <c r="E5211">
        <v>0.51098549999999998</v>
      </c>
      <c r="F5211" t="s">
        <v>42</v>
      </c>
      <c r="G5211">
        <v>-264.78519999999997</v>
      </c>
      <c r="H5211" s="1">
        <v>-1.162196E-6</v>
      </c>
      <c r="I5211">
        <v>-59.796979999999998</v>
      </c>
      <c r="J5211">
        <v>-275.6336</v>
      </c>
      <c r="K5211">
        <v>1.1157709999999901</v>
      </c>
      <c r="L5211">
        <v>-59.490720000000003</v>
      </c>
      <c r="M5211">
        <v>0.97027079999999999</v>
      </c>
      <c r="N5211">
        <v>-9.843681E-3</v>
      </c>
      <c r="O5211">
        <v>-0.2418218</v>
      </c>
      <c r="P5211">
        <v>0.9153675</v>
      </c>
      <c r="Q5211">
        <v>0.40182210000000002</v>
      </c>
      <c r="R5211">
        <v>-2.5327510000000001E-2</v>
      </c>
      <c r="S5211">
        <v>3.4265750000000001</v>
      </c>
      <c r="T5211">
        <v>-0.34727449999999999</v>
      </c>
      <c r="U5211">
        <v>-0.10720830000000001</v>
      </c>
      <c r="V5211">
        <v>-0.20209369999999999</v>
      </c>
      <c r="W5211">
        <v>0.40802250000000001</v>
      </c>
      <c r="X5211">
        <v>0.89032350000000005</v>
      </c>
      <c r="Y5211">
        <v>-0.20921200000000001</v>
      </c>
      <c r="Z5211">
        <v>3.344213E-2</v>
      </c>
      <c r="AA5211">
        <v>0.97729829999999995</v>
      </c>
      <c r="AB5211">
        <v>32</v>
      </c>
      <c r="AC5211">
        <v>10.8484</v>
      </c>
      <c r="AD5211">
        <v>-1.115772162196</v>
      </c>
      <c r="AE5211">
        <v>-0.30626000000000803</v>
      </c>
      <c r="AF5211">
        <v>-2.3020049488665899</v>
      </c>
      <c r="AG5211">
        <v>-1.115772162196</v>
      </c>
      <c r="AH5211">
        <v>10.489584547986899</v>
      </c>
      <c r="AI5211">
        <v>95.931580679172001</v>
      </c>
      <c r="AJ5211">
        <v>102.37769914048999</v>
      </c>
      <c r="AK5211">
        <v>10.797016175402501</v>
      </c>
      <c r="AL5211">
        <v>65.919330295565899</v>
      </c>
      <c r="AM5211">
        <v>102.788810803657</v>
      </c>
      <c r="AN5211">
        <v>1.00000007936909</v>
      </c>
    </row>
    <row r="5212" spans="1:40" x14ac:dyDescent="0.25">
      <c r="A5212" t="str">
        <f>"20190304164751463"</f>
        <v>20190304164751463</v>
      </c>
      <c r="B5212" t="str">
        <f>"1551689271454240"</f>
        <v>1551689271454240</v>
      </c>
      <c r="C5212" t="s">
        <v>40</v>
      </c>
      <c r="D5212">
        <v>4.5437909999999997</v>
      </c>
      <c r="E5212">
        <v>0.51098549999999998</v>
      </c>
      <c r="F5212" t="s">
        <v>42</v>
      </c>
      <c r="G5212">
        <v>-264.61810000000003</v>
      </c>
      <c r="H5212" s="1">
        <v>-1.0845979999999999E-6</v>
      </c>
      <c r="I5212">
        <v>-59.830170000000003</v>
      </c>
      <c r="J5212">
        <v>-275.47340000000003</v>
      </c>
      <c r="K5212">
        <v>1.115713</v>
      </c>
      <c r="L5212">
        <v>-59.527769999999997</v>
      </c>
      <c r="M5212">
        <v>0.97098229999999996</v>
      </c>
      <c r="N5212">
        <v>-9.8398759999999991E-3</v>
      </c>
      <c r="O5212">
        <v>-0.23894950000000001</v>
      </c>
      <c r="P5212">
        <v>0.91549959999999997</v>
      </c>
      <c r="Q5212">
        <v>0.40158460000000001</v>
      </c>
      <c r="R5212">
        <v>-2.430624E-2</v>
      </c>
      <c r="S5212">
        <v>3.4268190000000001</v>
      </c>
      <c r="T5212">
        <v>-0.34710679999999999</v>
      </c>
      <c r="U5212">
        <v>-0.1056213</v>
      </c>
      <c r="V5212">
        <v>-0.20040830000000001</v>
      </c>
      <c r="W5212">
        <v>0.40783570000000002</v>
      </c>
      <c r="X5212">
        <v>0.89078989999999902</v>
      </c>
      <c r="Y5212">
        <v>-0.20680019999999999</v>
      </c>
      <c r="Z5212">
        <v>3.3036259999999998E-2</v>
      </c>
      <c r="AA5212">
        <v>0.97782530000000001</v>
      </c>
      <c r="AB5212">
        <v>32</v>
      </c>
      <c r="AC5212">
        <v>10.8553</v>
      </c>
      <c r="AD5212">
        <v>-1.115714084598</v>
      </c>
      <c r="AE5212">
        <v>-0.302399999999998</v>
      </c>
      <c r="AF5212">
        <v>-2.2763263451765998</v>
      </c>
      <c r="AG5212">
        <v>-1.115714084598</v>
      </c>
      <c r="AH5212">
        <v>10.5022168338574</v>
      </c>
      <c r="AI5212">
        <v>95.927509121914397</v>
      </c>
      <c r="AJ5212">
        <v>102.229531239634</v>
      </c>
      <c r="AK5212">
        <v>10.8038436666621</v>
      </c>
      <c r="AL5212">
        <v>65.931051980024606</v>
      </c>
      <c r="AM5212">
        <v>102.67919411748299</v>
      </c>
      <c r="AN5212">
        <v>1.0000000454226901</v>
      </c>
    </row>
    <row r="5213" spans="1:40" x14ac:dyDescent="0.25">
      <c r="A5213" t="str">
        <f>"20190304164751475"</f>
        <v>20190304164751475</v>
      </c>
      <c r="B5213" t="str">
        <f>"1551689271464976"</f>
        <v>1551689271464976</v>
      </c>
      <c r="C5213" t="s">
        <v>40</v>
      </c>
      <c r="D5213">
        <v>4.5477809999999996</v>
      </c>
      <c r="E5213">
        <v>0.5114339</v>
      </c>
      <c r="F5213" t="s">
        <v>42</v>
      </c>
      <c r="G5213">
        <v>-264.48680000000002</v>
      </c>
      <c r="H5213" s="1">
        <v>-1.0259100000000001E-6</v>
      </c>
      <c r="I5213">
        <v>-59.843519999999998</v>
      </c>
      <c r="J5213">
        <v>-275.31270000000001</v>
      </c>
      <c r="K5213">
        <v>1.1156520000000001</v>
      </c>
      <c r="L5213">
        <v>-59.564729999999997</v>
      </c>
      <c r="M5213">
        <v>0.97168310000000002</v>
      </c>
      <c r="N5213">
        <v>-9.8362290000000002E-3</v>
      </c>
      <c r="O5213">
        <v>-0.2360835</v>
      </c>
      <c r="P5213">
        <v>0.91562679999999996</v>
      </c>
      <c r="Q5213">
        <v>0.40133380000000002</v>
      </c>
      <c r="R5213">
        <v>-2.3649659999999999E-2</v>
      </c>
      <c r="S5213">
        <v>3.4269409999999998</v>
      </c>
      <c r="T5213">
        <v>-0.34801330000000003</v>
      </c>
      <c r="U5213">
        <v>-9.8510739999999999E-2</v>
      </c>
      <c r="V5213">
        <v>-0.19837299999999999</v>
      </c>
      <c r="W5213">
        <v>0.40764109999999998</v>
      </c>
      <c r="X5213">
        <v>0.89133439999999997</v>
      </c>
      <c r="Y5213">
        <v>-0.2059474</v>
      </c>
      <c r="Z5213">
        <v>3.2825609999999998E-2</v>
      </c>
      <c r="AA5213">
        <v>0.9780124</v>
      </c>
      <c r="AB5213">
        <v>32</v>
      </c>
      <c r="AC5213">
        <v>10.825899999999899</v>
      </c>
      <c r="AD5213">
        <v>-1.1156530259099999</v>
      </c>
      <c r="AE5213">
        <v>-0.27878999999999299</v>
      </c>
      <c r="AF5213">
        <v>-2.26103453453866</v>
      </c>
      <c r="AG5213">
        <v>-1.1156530259099999</v>
      </c>
      <c r="AH5213">
        <v>10.474505740808</v>
      </c>
      <c r="AI5213">
        <v>95.943836687030299</v>
      </c>
      <c r="AJ5213">
        <v>102.18100951210801</v>
      </c>
      <c r="AK5213">
        <v>10.773682256072799</v>
      </c>
      <c r="AL5213">
        <v>65.943263331816198</v>
      </c>
      <c r="AM5213">
        <v>102.547102872542</v>
      </c>
      <c r="AN5213">
        <v>1.0000000630807799</v>
      </c>
    </row>
    <row r="5214" spans="1:40" x14ac:dyDescent="0.25">
      <c r="A5214" t="str">
        <f>"20190304164751486"</f>
        <v>20190304164751486</v>
      </c>
      <c r="B5214" t="str">
        <f>"1551689271474736"</f>
        <v>1551689271474736</v>
      </c>
      <c r="C5214" t="s">
        <v>40</v>
      </c>
      <c r="D5214">
        <v>4.5385439999999999</v>
      </c>
      <c r="E5214">
        <v>0.51191149999999996</v>
      </c>
      <c r="F5214" t="s">
        <v>42</v>
      </c>
      <c r="G5214">
        <v>-264.36989999999997</v>
      </c>
      <c r="H5214" s="1">
        <v>-9.7016619999999899E-7</v>
      </c>
      <c r="I5214">
        <v>-59.875120000000003</v>
      </c>
      <c r="J5214">
        <v>-275.15870000000001</v>
      </c>
      <c r="K5214">
        <v>1.1155809999999999</v>
      </c>
      <c r="L5214">
        <v>-59.599519999999998</v>
      </c>
      <c r="M5214">
        <v>0.97233009999999997</v>
      </c>
      <c r="N5214">
        <v>-9.832258E-3</v>
      </c>
      <c r="O5214">
        <v>-0.2334041</v>
      </c>
      <c r="P5214">
        <v>0.91588630000000004</v>
      </c>
      <c r="Q5214">
        <v>0.4007773</v>
      </c>
      <c r="R5214">
        <v>-2.30168E-2</v>
      </c>
      <c r="S5214">
        <v>3.4270629999999902</v>
      </c>
      <c r="T5214">
        <v>-0.3494025</v>
      </c>
      <c r="U5214">
        <v>-9.7228999999999996E-2</v>
      </c>
      <c r="V5214">
        <v>-0.1965105</v>
      </c>
      <c r="W5214">
        <v>0.40714070000000002</v>
      </c>
      <c r="X5214">
        <v>0.89197539999999997</v>
      </c>
      <c r="Y5214">
        <v>-0.20362340000000001</v>
      </c>
      <c r="Z5214">
        <v>3.2592299999999998E-2</v>
      </c>
      <c r="AA5214">
        <v>0.9785066</v>
      </c>
      <c r="AB5214">
        <v>33</v>
      </c>
      <c r="AC5214">
        <v>10.7888</v>
      </c>
      <c r="AD5214">
        <v>-1.1155819701662</v>
      </c>
      <c r="AE5214">
        <v>-0.27559999999999701</v>
      </c>
      <c r="AF5214">
        <v>-2.2264947517008</v>
      </c>
      <c r="AG5214">
        <v>-1.1155819701662</v>
      </c>
      <c r="AH5214">
        <v>10.4435227721833</v>
      </c>
      <c r="AI5214">
        <v>95.964204356899401</v>
      </c>
      <c r="AJ5214">
        <v>102.034930605418</v>
      </c>
      <c r="AK5214">
        <v>10.736338756979601</v>
      </c>
      <c r="AL5214">
        <v>65.974656361697697</v>
      </c>
      <c r="AM5214">
        <v>102.42432235795</v>
      </c>
      <c r="AN5214">
        <v>1.00000002020594</v>
      </c>
    </row>
    <row r="5215" spans="1:40" x14ac:dyDescent="0.25">
      <c r="A5215" t="str">
        <f>"20190304164751498"</f>
        <v>20190304164751498</v>
      </c>
      <c r="B5215" t="str">
        <f>"1551689271494255"</f>
        <v>1551689271494255</v>
      </c>
      <c r="C5215" t="s">
        <v>40</v>
      </c>
      <c r="D5215">
        <v>4.5420559999999996</v>
      </c>
      <c r="E5215">
        <v>0.51262649999999998</v>
      </c>
      <c r="F5215" t="s">
        <v>42</v>
      </c>
      <c r="G5215">
        <v>-264.36689999999999</v>
      </c>
      <c r="H5215" s="1">
        <v>-9.6409169999999997E-7</v>
      </c>
      <c r="I5215">
        <v>-59.902070000000002</v>
      </c>
      <c r="J5215">
        <v>-274.99160000000001</v>
      </c>
      <c r="K5215">
        <v>1.1155109999999999</v>
      </c>
      <c r="L5215">
        <v>-59.636960000000002</v>
      </c>
      <c r="M5215">
        <v>0.97301729999999997</v>
      </c>
      <c r="N5215">
        <v>-9.8280329999999999E-3</v>
      </c>
      <c r="O5215">
        <v>-0.23052320000000001</v>
      </c>
      <c r="P5215">
        <v>0.91620159999999995</v>
      </c>
      <c r="Q5215">
        <v>0.40012379999999997</v>
      </c>
      <c r="R5215">
        <v>-2.181657E-2</v>
      </c>
      <c r="S5215">
        <v>3.4281619999999999</v>
      </c>
      <c r="T5215">
        <v>-0.35437950000000001</v>
      </c>
      <c r="U5215">
        <v>-9.6130370000000007E-2</v>
      </c>
      <c r="V5215">
        <v>-0.19502050000000001</v>
      </c>
      <c r="W5215">
        <v>0.4065396</v>
      </c>
      <c r="X5215">
        <v>0.89257640000000005</v>
      </c>
      <c r="Y5215">
        <v>-0.20101240000000001</v>
      </c>
      <c r="Z5215">
        <v>3.2654049999999997E-2</v>
      </c>
      <c r="AA5215">
        <v>0.97904429999999998</v>
      </c>
      <c r="AB5215">
        <v>33</v>
      </c>
      <c r="AC5215">
        <v>10.624700000000001</v>
      </c>
      <c r="AD5215">
        <v>-1.1155119640916999</v>
      </c>
      <c r="AE5215">
        <v>-0.26511000000000001</v>
      </c>
      <c r="AF5215">
        <v>-2.1675103990423401</v>
      </c>
      <c r="AG5215">
        <v>-1.1155119640916999</v>
      </c>
      <c r="AH5215">
        <v>10.2863126594657</v>
      </c>
      <c r="AI5215">
        <v>96.057327427870405</v>
      </c>
      <c r="AJ5215">
        <v>101.899169783331</v>
      </c>
      <c r="AK5215">
        <v>10.571220194484299</v>
      </c>
      <c r="AL5215">
        <v>66.012358475092697</v>
      </c>
      <c r="AM5215">
        <v>102.324960711057</v>
      </c>
      <c r="AN5215">
        <v>1.0000000358126799</v>
      </c>
    </row>
    <row r="5216" spans="1:40" x14ac:dyDescent="0.25">
      <c r="A5216" t="str">
        <f>"20190304164751509"</f>
        <v>20190304164751509</v>
      </c>
      <c r="B5216" t="str">
        <f>"1551689271504992"</f>
        <v>1551689271504992</v>
      </c>
      <c r="C5216" t="s">
        <v>40</v>
      </c>
      <c r="D5216">
        <v>4.5378530000000001</v>
      </c>
      <c r="E5216">
        <v>0.51295550000000001</v>
      </c>
      <c r="F5216" t="s">
        <v>42</v>
      </c>
      <c r="G5216">
        <v>-264.32740000000001</v>
      </c>
      <c r="H5216" s="1">
        <v>-9.4145430000000004E-7</v>
      </c>
      <c r="I5216">
        <v>-59.934080000000002</v>
      </c>
      <c r="J5216">
        <v>-274.8263</v>
      </c>
      <c r="K5216">
        <v>1.1154389999999901</v>
      </c>
      <c r="L5216">
        <v>-59.673490000000001</v>
      </c>
      <c r="M5216">
        <v>0.97367649999999994</v>
      </c>
      <c r="N5216">
        <v>-9.8236629999999998E-3</v>
      </c>
      <c r="O5216">
        <v>-0.2277226</v>
      </c>
      <c r="P5216">
        <v>0.91646879999999997</v>
      </c>
      <c r="Q5216">
        <v>0.39959509999999998</v>
      </c>
      <c r="R5216">
        <v>-2.021829E-2</v>
      </c>
      <c r="S5216">
        <v>3.428741</v>
      </c>
      <c r="T5216">
        <v>-0.35865819999999998</v>
      </c>
      <c r="U5216">
        <v>-9.5550540000000003E-2</v>
      </c>
      <c r="V5216">
        <v>-0.19398099999999999</v>
      </c>
      <c r="W5216">
        <v>0.40605639999999998</v>
      </c>
      <c r="X5216">
        <v>0.89302269999999995</v>
      </c>
      <c r="Y5216">
        <v>-0.1983393</v>
      </c>
      <c r="Z5216">
        <v>3.2646679999999997E-2</v>
      </c>
      <c r="AA5216">
        <v>0.97958959999999995</v>
      </c>
      <c r="AB5216">
        <v>33</v>
      </c>
      <c r="AC5216">
        <v>10.4988999999999</v>
      </c>
      <c r="AD5216">
        <v>-1.1154399414542999</v>
      </c>
      <c r="AE5216">
        <v>-0.26058999999999999</v>
      </c>
      <c r="AF5216">
        <v>-2.1133692056891702</v>
      </c>
      <c r="AG5216">
        <v>-1.1154399414542999</v>
      </c>
      <c r="AH5216">
        <v>10.1676717390659</v>
      </c>
      <c r="AI5216">
        <v>96.130574962973</v>
      </c>
      <c r="AJ5216">
        <v>101.741846025337</v>
      </c>
      <c r="AK5216">
        <v>10.4447156139335</v>
      </c>
      <c r="AL5216">
        <v>66.042656077500496</v>
      </c>
      <c r="AM5216">
        <v>102.25531607649199</v>
      </c>
      <c r="AN5216">
        <v>0.99999998552862401</v>
      </c>
    </row>
    <row r="5217" spans="1:40" x14ac:dyDescent="0.25">
      <c r="A5217" t="str">
        <f>"20190304164751521"</f>
        <v>20190304164751521</v>
      </c>
      <c r="B5217" t="str">
        <f>"1551689271514751"</f>
        <v>1551689271514751</v>
      </c>
      <c r="C5217" t="s">
        <v>40</v>
      </c>
      <c r="D5217">
        <v>4.5508920000000002</v>
      </c>
      <c r="E5217">
        <v>0.51329670000000005</v>
      </c>
      <c r="F5217" t="s">
        <v>42</v>
      </c>
      <c r="G5217">
        <v>-264.22840000000002</v>
      </c>
      <c r="H5217" s="1">
        <v>-8.947864E-7</v>
      </c>
      <c r="I5217">
        <v>-59.957729999999998</v>
      </c>
      <c r="J5217">
        <v>-274.66879999999998</v>
      </c>
      <c r="K5217">
        <v>1.1153649999999999</v>
      </c>
      <c r="L5217">
        <v>-59.707819999999998</v>
      </c>
      <c r="M5217">
        <v>0.97428490000000001</v>
      </c>
      <c r="N5217">
        <v>-9.8194690000000008E-3</v>
      </c>
      <c r="O5217">
        <v>-0.22510569999999999</v>
      </c>
      <c r="P5217">
        <v>0.91674009999999995</v>
      </c>
      <c r="Q5217">
        <v>0.39903929999999999</v>
      </c>
      <c r="R5217">
        <v>-1.8856749999999999E-2</v>
      </c>
      <c r="S5217">
        <v>3.4287719999999999</v>
      </c>
      <c r="T5217">
        <v>-0.36088110000000001</v>
      </c>
      <c r="U5217">
        <v>-9.1979980000000003E-2</v>
      </c>
      <c r="V5217">
        <v>-0.19288359999999999</v>
      </c>
      <c r="W5217">
        <v>0.40554610000000002</v>
      </c>
      <c r="X5217">
        <v>0.89349219999999896</v>
      </c>
      <c r="Y5217">
        <v>-0.19671939999999999</v>
      </c>
      <c r="Z5217">
        <v>3.252182E-2</v>
      </c>
      <c r="AA5217">
        <v>0.97992029999999997</v>
      </c>
      <c r="AB5217">
        <v>33</v>
      </c>
      <c r="AC5217">
        <v>10.440399999999901</v>
      </c>
      <c r="AD5217">
        <v>-1.11536589478639</v>
      </c>
      <c r="AE5217">
        <v>-0.24991000000000599</v>
      </c>
      <c r="AF5217">
        <v>-2.0830512327305102</v>
      </c>
      <c r="AG5217">
        <v>-1.11536589478639</v>
      </c>
      <c r="AH5217">
        <v>10.1133157091343</v>
      </c>
      <c r="AI5217">
        <v>96.165148496636704</v>
      </c>
      <c r="AJ5217">
        <v>101.63851453860801</v>
      </c>
      <c r="AK5217">
        <v>10.385677548915901</v>
      </c>
      <c r="AL5217">
        <v>66.074647328254201</v>
      </c>
      <c r="AM5217">
        <v>102.181849820281</v>
      </c>
      <c r="AN5217">
        <v>1.0000000169175001</v>
      </c>
    </row>
    <row r="5218" spans="1:40" x14ac:dyDescent="0.25">
      <c r="A5218" t="str">
        <f>"20190304164751537"</f>
        <v>20190304164751537</v>
      </c>
      <c r="B5218" t="str">
        <f>"1551689271534271"</f>
        <v>1551689271534271</v>
      </c>
      <c r="C5218" t="s">
        <v>40</v>
      </c>
      <c r="D5218">
        <v>4.5370710000000001</v>
      </c>
      <c r="E5218">
        <v>0.51382759999999905</v>
      </c>
      <c r="F5218" t="s">
        <v>42</v>
      </c>
      <c r="G5218">
        <v>-264.15660000000003</v>
      </c>
      <c r="H5218" s="1">
        <v>-8.5941079999999998E-7</v>
      </c>
      <c r="I5218">
        <v>-59.98366</v>
      </c>
      <c r="J5218">
        <v>-274.44639999999998</v>
      </c>
      <c r="K5218">
        <v>1.115267</v>
      </c>
      <c r="L5218">
        <v>-59.755769999999998</v>
      </c>
      <c r="M5218">
        <v>0.97511729999999996</v>
      </c>
      <c r="N5218">
        <v>-9.8136869999999998E-3</v>
      </c>
      <c r="O5218">
        <v>-0.22147220000000001</v>
      </c>
      <c r="P5218">
        <v>0.9168269</v>
      </c>
      <c r="Q5218">
        <v>0.39890120000000001</v>
      </c>
      <c r="R5218">
        <v>-1.7497059999999998E-2</v>
      </c>
      <c r="S5218">
        <v>3.4289860000000001</v>
      </c>
      <c r="T5218">
        <v>-0.36382399999999998</v>
      </c>
      <c r="U5218">
        <v>-8.9996339999999994E-2</v>
      </c>
      <c r="V5218">
        <v>-0.1907826</v>
      </c>
      <c r="W5218">
        <v>0.40547759999999999</v>
      </c>
      <c r="X5218">
        <v>0.89397420000000005</v>
      </c>
      <c r="Y5218">
        <v>-0.19363150000000001</v>
      </c>
      <c r="Z5218">
        <v>3.2276600000000003E-2</v>
      </c>
      <c r="AA5218">
        <v>0.98054330000000001</v>
      </c>
      <c r="AB5218">
        <v>33</v>
      </c>
      <c r="AC5218">
        <v>10.2897999999999</v>
      </c>
      <c r="AD5218">
        <v>-1.1152678594108001</v>
      </c>
      <c r="AE5218">
        <v>-0.22789000000000201</v>
      </c>
      <c r="AF5218">
        <v>-2.0329143142574302</v>
      </c>
      <c r="AG5218">
        <v>-1.1152678594108001</v>
      </c>
      <c r="AH5218">
        <v>9.9676812903586605</v>
      </c>
      <c r="AI5218">
        <v>96.256437571728597</v>
      </c>
      <c r="AJ5218">
        <v>101.527411569995</v>
      </c>
      <c r="AK5218">
        <v>10.2338278915327</v>
      </c>
      <c r="AL5218">
        <v>66.078939951540605</v>
      </c>
      <c r="AM5218">
        <v>102.046749935083</v>
      </c>
      <c r="AN5218">
        <v>0.99999997741507896</v>
      </c>
    </row>
    <row r="5219" spans="1:40" x14ac:dyDescent="0.25">
      <c r="A5219" t="str">
        <f>"20190304164751550"</f>
        <v>20190304164751550</v>
      </c>
      <c r="B5219" t="str">
        <f>"1551689271545007"</f>
        <v>1551689271545007</v>
      </c>
      <c r="C5219" t="s">
        <v>40</v>
      </c>
      <c r="D5219">
        <v>4.50387</v>
      </c>
      <c r="E5219">
        <v>0.51402109999999901</v>
      </c>
      <c r="F5219" t="s">
        <v>42</v>
      </c>
      <c r="G5219">
        <v>-263.95460000000003</v>
      </c>
      <c r="H5219" s="1">
        <v>-7.6415899999999995E-7</v>
      </c>
      <c r="I5219">
        <v>-60.032089999999997</v>
      </c>
      <c r="J5219">
        <v>-274.24209999999999</v>
      </c>
      <c r="K5219">
        <v>1.1151740000000001</v>
      </c>
      <c r="L5219">
        <v>-59.799069999999901</v>
      </c>
      <c r="M5219">
        <v>0.9758481</v>
      </c>
      <c r="N5219">
        <v>-9.8081569999999996E-3</v>
      </c>
      <c r="O5219">
        <v>-0.2182298</v>
      </c>
      <c r="P5219">
        <v>0.91661610000000004</v>
      </c>
      <c r="Q5219">
        <v>0.3994684</v>
      </c>
      <c r="R5219">
        <v>-1.548793E-2</v>
      </c>
      <c r="S5219">
        <v>3.4290159999999998</v>
      </c>
      <c r="T5219">
        <v>-0.36450389999999999</v>
      </c>
      <c r="U5219">
        <v>-9.0332029999999994E-2</v>
      </c>
      <c r="V5219">
        <v>-0.18962309999999999</v>
      </c>
      <c r="W5219">
        <v>0.40609610000000002</v>
      </c>
      <c r="X5219">
        <v>0.89394019999999996</v>
      </c>
      <c r="Y5219">
        <v>-0.19030140000000001</v>
      </c>
      <c r="Z5219">
        <v>3.184207E-2</v>
      </c>
      <c r="AA5219">
        <v>0.9812092</v>
      </c>
      <c r="AB5219">
        <v>33</v>
      </c>
      <c r="AC5219">
        <v>10.2874999999999</v>
      </c>
      <c r="AD5219">
        <v>-1.115174764159</v>
      </c>
      <c r="AE5219">
        <v>-0.23302000000001</v>
      </c>
      <c r="AF5219">
        <v>-1.99432125485057</v>
      </c>
      <c r="AG5219">
        <v>-1.115174764159</v>
      </c>
      <c r="AH5219">
        <v>9.9732416671656701</v>
      </c>
      <c r="AI5219">
        <v>96.257255593091401</v>
      </c>
      <c r="AJ5219">
        <v>101.308125683529</v>
      </c>
      <c r="AK5219">
        <v>10.231641186723399</v>
      </c>
      <c r="AL5219">
        <v>66.0401678960109</v>
      </c>
      <c r="AM5219">
        <v>101.97609694494599</v>
      </c>
      <c r="AN5219">
        <v>1.0000000218324201</v>
      </c>
    </row>
    <row r="5220" spans="1:40" x14ac:dyDescent="0.25">
      <c r="A5220" t="str">
        <f>"20190304164751564"</f>
        <v>20190304164751564</v>
      </c>
      <c r="B5220" t="str">
        <f>"1551689271554767"</f>
        <v>1551689271554767</v>
      </c>
      <c r="C5220" t="s">
        <v>40</v>
      </c>
      <c r="D5220">
        <v>4.5120040000000001</v>
      </c>
      <c r="E5220">
        <v>0.514293</v>
      </c>
      <c r="F5220" t="s">
        <v>42</v>
      </c>
      <c r="G5220">
        <v>-263.72410000000002</v>
      </c>
      <c r="H5220" s="1">
        <v>-6.6020799999999995E-7</v>
      </c>
      <c r="I5220">
        <v>-60.060470000000002</v>
      </c>
      <c r="J5220">
        <v>-274.06650000000002</v>
      </c>
      <c r="K5220">
        <v>1.115094</v>
      </c>
      <c r="L5220">
        <v>-59.835720000000002</v>
      </c>
      <c r="M5220">
        <v>0.97645150000000003</v>
      </c>
      <c r="N5220">
        <v>-9.8032280000000006E-3</v>
      </c>
      <c r="O5220">
        <v>-0.21551490000000001</v>
      </c>
      <c r="P5220">
        <v>0.91650310000000001</v>
      </c>
      <c r="Q5220">
        <v>0.39977940000000001</v>
      </c>
      <c r="R5220">
        <v>-1.4092830000000001E-2</v>
      </c>
      <c r="S5220">
        <v>3.4299620000000002</v>
      </c>
      <c r="T5220">
        <v>-0.36366130000000002</v>
      </c>
      <c r="U5220">
        <v>-8.5266110000000006E-2</v>
      </c>
      <c r="V5220">
        <v>-0.18838450000000001</v>
      </c>
      <c r="W5220">
        <v>0.40645550000000003</v>
      </c>
      <c r="X5220">
        <v>0.89403869999999896</v>
      </c>
      <c r="Y5220">
        <v>-0.189058</v>
      </c>
      <c r="Z5220">
        <v>3.1433080000000002E-2</v>
      </c>
      <c r="AA5220">
        <v>0.98146270000000002</v>
      </c>
      <c r="AB5220">
        <v>33</v>
      </c>
      <c r="AC5220">
        <v>10.3423999999999</v>
      </c>
      <c r="AD5220">
        <v>-1.1150946602079901</v>
      </c>
      <c r="AE5220">
        <v>-0.22475000000000001</v>
      </c>
      <c r="AF5220">
        <v>-1.9864985842063001</v>
      </c>
      <c r="AG5220">
        <v>-1.1150946602079901</v>
      </c>
      <c r="AH5220">
        <v>10.0312204034815</v>
      </c>
      <c r="AI5220">
        <v>96.223218033107401</v>
      </c>
      <c r="AJ5220">
        <v>101.20144802481001</v>
      </c>
      <c r="AK5220">
        <v>10.2866416049895</v>
      </c>
      <c r="AL5220">
        <v>66.017631412674405</v>
      </c>
      <c r="AM5220">
        <v>101.898833858656</v>
      </c>
      <c r="AN5220">
        <v>0.99999999520909399</v>
      </c>
    </row>
    <row r="5221" spans="1:40" x14ac:dyDescent="0.25">
      <c r="A5221" t="str">
        <f>"20190304164751578"</f>
        <v>20190304164751578</v>
      </c>
      <c r="B5221" t="str">
        <f>"1551689271574288"</f>
        <v>1551689271574288</v>
      </c>
      <c r="C5221" t="s">
        <v>40</v>
      </c>
      <c r="D5221">
        <v>4.5272759999999996</v>
      </c>
      <c r="E5221">
        <v>0.51476199999999905</v>
      </c>
      <c r="F5221" t="s">
        <v>42</v>
      </c>
      <c r="G5221">
        <v>-263.52699999999999</v>
      </c>
      <c r="H5221" s="1">
        <v>-5.7051239999999996E-7</v>
      </c>
      <c r="I5221">
        <v>-60.089559999999999</v>
      </c>
      <c r="J5221">
        <v>-273.8646</v>
      </c>
      <c r="K5221">
        <v>1.1149979999999999</v>
      </c>
      <c r="L5221">
        <v>-59.877409999999998</v>
      </c>
      <c r="M5221">
        <v>0.97712299999999996</v>
      </c>
      <c r="N5221">
        <v>-9.7969029999999992E-3</v>
      </c>
      <c r="O5221">
        <v>-0.2124492</v>
      </c>
      <c r="P5221">
        <v>0.91653169999999995</v>
      </c>
      <c r="Q5221">
        <v>0.3997735</v>
      </c>
      <c r="R5221">
        <v>-1.2288540000000001E-2</v>
      </c>
      <c r="S5221">
        <v>3.4303889999999999</v>
      </c>
      <c r="T5221">
        <v>-0.36294130000000002</v>
      </c>
      <c r="U5221">
        <v>-8.2641599999999996E-2</v>
      </c>
      <c r="V5221">
        <v>-0.18723890000000001</v>
      </c>
      <c r="W5221">
        <v>0.40650219999999998</v>
      </c>
      <c r="X5221">
        <v>0.89425809999999994</v>
      </c>
      <c r="Y5221">
        <v>-0.1867666</v>
      </c>
      <c r="Z5221">
        <v>3.0947539999999999E-2</v>
      </c>
      <c r="AA5221">
        <v>0.98191669999999998</v>
      </c>
      <c r="AB5221">
        <v>33</v>
      </c>
      <c r="AC5221">
        <v>10.3376</v>
      </c>
      <c r="AD5221">
        <v>-1.1149985705123999</v>
      </c>
      <c r="AE5221">
        <v>-0.212150000000001</v>
      </c>
      <c r="AF5221">
        <v>-1.96615014654602</v>
      </c>
      <c r="AG5221">
        <v>-1.1149985705123999</v>
      </c>
      <c r="AH5221">
        <v>10.030029871456399</v>
      </c>
      <c r="AI5221">
        <v>96.225767587168406</v>
      </c>
      <c r="AJ5221">
        <v>101.090849422144</v>
      </c>
      <c r="AK5221">
        <v>10.2815595817617</v>
      </c>
      <c r="AL5221">
        <v>66.014702889793696</v>
      </c>
      <c r="AM5221">
        <v>101.82569906471301</v>
      </c>
      <c r="AN5221">
        <v>0.99999999684683005</v>
      </c>
    </row>
    <row r="5222" spans="1:40" x14ac:dyDescent="0.25">
      <c r="A5222" t="str">
        <f>"20190304164751592"</f>
        <v>20190304164751592</v>
      </c>
      <c r="B5222" t="str">
        <f>"1551689271585024"</f>
        <v>1551689271585024</v>
      </c>
      <c r="C5222" t="s">
        <v>40</v>
      </c>
      <c r="D5222">
        <v>4.5095499999999999</v>
      </c>
      <c r="E5222">
        <v>0.51496179999999903</v>
      </c>
      <c r="F5222" t="s">
        <v>42</v>
      </c>
      <c r="G5222">
        <v>-263.37189999999998</v>
      </c>
      <c r="H5222" s="1">
        <v>-4.9810749999999898E-7</v>
      </c>
      <c r="I5222">
        <v>-60.122689999999999</v>
      </c>
      <c r="J5222">
        <v>-273.64589999999998</v>
      </c>
      <c r="K5222">
        <v>1.114887</v>
      </c>
      <c r="L5222">
        <v>-59.921939999999999</v>
      </c>
      <c r="M5222">
        <v>0.97781879999999999</v>
      </c>
      <c r="N5222">
        <v>-9.7875280000000002E-3</v>
      </c>
      <c r="O5222">
        <v>-0.20922399999999999</v>
      </c>
      <c r="P5222">
        <v>0.91675280000000003</v>
      </c>
      <c r="Q5222">
        <v>0.39928730000000001</v>
      </c>
      <c r="R5222">
        <v>-1.15896E-2</v>
      </c>
      <c r="S5222">
        <v>3.4311829999999999</v>
      </c>
      <c r="T5222">
        <v>-0.36461169999999998</v>
      </c>
      <c r="U5222">
        <v>-8.0230709999999997E-2</v>
      </c>
      <c r="V5222">
        <v>-0.184891</v>
      </c>
      <c r="W5222">
        <v>0.4060878</v>
      </c>
      <c r="X5222">
        <v>0.89493469999999997</v>
      </c>
      <c r="Y5222">
        <v>-0.1842317</v>
      </c>
      <c r="Z5222">
        <v>3.0638990000000001E-2</v>
      </c>
      <c r="AA5222">
        <v>0.98240519999999998</v>
      </c>
      <c r="AB5222">
        <v>33</v>
      </c>
      <c r="AC5222">
        <v>10.273999999999999</v>
      </c>
      <c r="AD5222">
        <v>-1.1148874981074901</v>
      </c>
      <c r="AE5222">
        <v>-0.20075000000000601</v>
      </c>
      <c r="AF5222">
        <v>-1.93063799435535</v>
      </c>
      <c r="AG5222">
        <v>-1.1148874981074901</v>
      </c>
      <c r="AH5222">
        <v>9.9712225859002697</v>
      </c>
      <c r="AI5222">
        <v>96.264380731449506</v>
      </c>
      <c r="AJ5222">
        <v>100.95807225608399</v>
      </c>
      <c r="AK5222">
        <v>10.217417337872201</v>
      </c>
      <c r="AL5222">
        <v>66.040689015319401</v>
      </c>
      <c r="AM5222">
        <v>101.672920468092</v>
      </c>
      <c r="AN5222">
        <v>1.0000000502269599</v>
      </c>
    </row>
    <row r="5223" spans="1:40" x14ac:dyDescent="0.25">
      <c r="A5223" t="str">
        <f>"20190304164751603"</f>
        <v>20190304164751603</v>
      </c>
      <c r="B5223" t="str">
        <f>"1551689271594783"</f>
        <v>1551689271594783</v>
      </c>
      <c r="C5223" t="s">
        <v>40</v>
      </c>
      <c r="D5223">
        <v>4.5272969999999999</v>
      </c>
      <c r="E5223">
        <v>0.51518719999999996</v>
      </c>
      <c r="F5223" t="s">
        <v>42</v>
      </c>
      <c r="G5223">
        <v>-263.2199</v>
      </c>
      <c r="H5223" s="1">
        <v>-4.2619980000000001E-7</v>
      </c>
      <c r="I5223">
        <v>-60.16046</v>
      </c>
      <c r="J5223">
        <v>-273.49529999999999</v>
      </c>
      <c r="K5223">
        <v>1.114811</v>
      </c>
      <c r="L5223">
        <v>-59.952060000000003</v>
      </c>
      <c r="M5223">
        <v>0.97827600000000003</v>
      </c>
      <c r="N5223">
        <v>-9.7795039999999996E-3</v>
      </c>
      <c r="O5223">
        <v>-0.20707629999999999</v>
      </c>
      <c r="P5223">
        <v>0.91700139999999997</v>
      </c>
      <c r="Q5223">
        <v>0.39872990000000003</v>
      </c>
      <c r="R5223">
        <v>-1.109562E-2</v>
      </c>
      <c r="S5223">
        <v>3.431244</v>
      </c>
      <c r="T5223">
        <v>-0.36691400000000002</v>
      </c>
      <c r="U5223">
        <v>-7.8521729999999998E-2</v>
      </c>
      <c r="V5223">
        <v>-0.18337220000000001</v>
      </c>
      <c r="W5223">
        <v>0.40557749999999998</v>
      </c>
      <c r="X5223">
        <v>0.89547840000000001</v>
      </c>
      <c r="Y5223">
        <v>-0.1825563</v>
      </c>
      <c r="Z5223">
        <v>3.0538490000000001E-2</v>
      </c>
      <c r="AA5223">
        <v>0.98272099999999996</v>
      </c>
      <c r="AB5223">
        <v>33</v>
      </c>
      <c r="AC5223">
        <v>10.2753999999999</v>
      </c>
      <c r="AD5223">
        <v>-1.1148114261997999</v>
      </c>
      <c r="AE5223">
        <v>-0.208400000000004</v>
      </c>
      <c r="AF5223">
        <v>-1.90163639748187</v>
      </c>
      <c r="AG5223">
        <v>-1.1148114261997999</v>
      </c>
      <c r="AH5223">
        <v>9.9784084792911507</v>
      </c>
      <c r="AI5223">
        <v>96.262986598682403</v>
      </c>
      <c r="AJ5223">
        <v>100.7897675846</v>
      </c>
      <c r="AK5223">
        <v>10.2189853353355</v>
      </c>
      <c r="AL5223">
        <v>66.072679148454398</v>
      </c>
      <c r="AM5223">
        <v>101.572791543284</v>
      </c>
      <c r="AN5223">
        <v>1.0000000185528199</v>
      </c>
    </row>
    <row r="5224" spans="1:40" x14ac:dyDescent="0.25">
      <c r="A5224" t="str">
        <f>"20190304164751615"</f>
        <v>20190304164751615</v>
      </c>
      <c r="B5224" t="str">
        <f>"1551689271604543"</f>
        <v>1551689271604543</v>
      </c>
      <c r="C5224" t="s">
        <v>40</v>
      </c>
      <c r="D5224">
        <v>4.5309540000000004</v>
      </c>
      <c r="E5224">
        <v>0.51540339999999996</v>
      </c>
      <c r="F5224" t="s">
        <v>57</v>
      </c>
      <c r="G5224">
        <v>-263.15460000000002</v>
      </c>
      <c r="H5224" s="1">
        <v>-3.9371219999999998E-7</v>
      </c>
      <c r="I5224">
        <v>-60.185580000000002</v>
      </c>
      <c r="J5224">
        <v>-273.33100000000002</v>
      </c>
      <c r="K5224">
        <v>1.1147339999999999</v>
      </c>
      <c r="L5224">
        <v>-59.9848</v>
      </c>
      <c r="M5224">
        <v>0.97876589999999997</v>
      </c>
      <c r="N5224">
        <v>-9.7708589999999998E-3</v>
      </c>
      <c r="O5224">
        <v>-0.2047485</v>
      </c>
      <c r="P5224">
        <v>0.91737230000000003</v>
      </c>
      <c r="Q5224">
        <v>0.397895</v>
      </c>
      <c r="R5224">
        <v>-1.0385429999999999E-2</v>
      </c>
      <c r="S5224">
        <v>3.4314580000000001</v>
      </c>
      <c r="T5224">
        <v>-0.36993680000000001</v>
      </c>
      <c r="U5224">
        <v>-7.7514650000000004E-2</v>
      </c>
      <c r="V5224">
        <v>-0.1819143</v>
      </c>
      <c r="W5224">
        <v>0.40479150000000003</v>
      </c>
      <c r="X5224">
        <v>0.89613120000000002</v>
      </c>
      <c r="Y5224">
        <v>-0.18049589999999999</v>
      </c>
      <c r="Z5224">
        <v>3.0453879999999999E-2</v>
      </c>
      <c r="AA5224">
        <v>0.98310419999999998</v>
      </c>
      <c r="AB5224">
        <v>33</v>
      </c>
      <c r="AC5224">
        <v>10.1763999999999</v>
      </c>
      <c r="AD5224">
        <v>-1.1147343937121901</v>
      </c>
      <c r="AE5224">
        <v>-0.20078000000000101</v>
      </c>
      <c r="AF5224">
        <v>-1.8648083915285401</v>
      </c>
      <c r="AG5224">
        <v>-1.1147343937121901</v>
      </c>
      <c r="AH5224">
        <v>9.8833528606127405</v>
      </c>
      <c r="AI5224">
        <v>96.324477305003896</v>
      </c>
      <c r="AJ5224">
        <v>100.685051412543</v>
      </c>
      <c r="AK5224">
        <v>10.119328380531099</v>
      </c>
      <c r="AL5224">
        <v>66.121939131181804</v>
      </c>
      <c r="AM5224">
        <v>101.47509252157199</v>
      </c>
      <c r="AN5224">
        <v>1.00000004931508</v>
      </c>
    </row>
    <row r="5225" spans="1:40" x14ac:dyDescent="0.25">
      <c r="A5225" t="str">
        <f>"20190304164751626"</f>
        <v>20190304164751626</v>
      </c>
      <c r="B5225" t="str">
        <f>"1551689271614304"</f>
        <v>1551689271614304</v>
      </c>
      <c r="C5225" t="s">
        <v>40</v>
      </c>
      <c r="D5225">
        <v>4.5390009999999998</v>
      </c>
      <c r="E5225">
        <v>0.51540339999999996</v>
      </c>
      <c r="F5225" t="s">
        <v>42</v>
      </c>
      <c r="G5225">
        <v>-263.09620000000001</v>
      </c>
      <c r="H5225" s="1">
        <v>-3.6463110000000002E-7</v>
      </c>
      <c r="I5225">
        <v>-60.208379999999998</v>
      </c>
      <c r="J5225">
        <v>-273.17329999999998</v>
      </c>
      <c r="K5225">
        <v>1.114652</v>
      </c>
      <c r="L5225">
        <v>-60.015659999999997</v>
      </c>
      <c r="M5225">
        <v>0.97921440000000004</v>
      </c>
      <c r="N5225">
        <v>-9.7621210000000003E-3</v>
      </c>
      <c r="O5225">
        <v>-0.20259340000000001</v>
      </c>
      <c r="P5225">
        <v>0.91790079999999996</v>
      </c>
      <c r="Q5225">
        <v>0.39668239999999999</v>
      </c>
      <c r="R5225">
        <v>-1.0076450000000001E-2</v>
      </c>
      <c r="S5225">
        <v>3.4314580000000001</v>
      </c>
      <c r="T5225">
        <v>-0.37374039999999997</v>
      </c>
      <c r="U5225">
        <v>-7.4981690000000004E-2</v>
      </c>
      <c r="V5225">
        <v>-0.18025459999999999</v>
      </c>
      <c r="W5225">
        <v>0.40362920000000002</v>
      </c>
      <c r="X5225">
        <v>0.89699039999999997</v>
      </c>
      <c r="Y5225">
        <v>-0.17903150000000001</v>
      </c>
      <c r="Z5225">
        <v>3.048319E-2</v>
      </c>
      <c r="AA5225">
        <v>0.983371</v>
      </c>
      <c r="AB5225">
        <v>33</v>
      </c>
      <c r="AC5225">
        <v>10.0770999999999</v>
      </c>
      <c r="AD5225">
        <v>-1.1146523646311</v>
      </c>
      <c r="AE5225">
        <v>-0.192720000000008</v>
      </c>
      <c r="AF5225">
        <v>-1.8305391830020901</v>
      </c>
      <c r="AG5225">
        <v>-1.1146523646311</v>
      </c>
      <c r="AH5225">
        <v>9.7874494911983394</v>
      </c>
      <c r="AI5225">
        <v>96.387372013201201</v>
      </c>
      <c r="AJ5225">
        <v>100.59359622231899</v>
      </c>
      <c r="AK5225">
        <v>10.019355824465</v>
      </c>
      <c r="AL5225">
        <v>66.194746129322098</v>
      </c>
      <c r="AM5225">
        <v>101.362529252138</v>
      </c>
      <c r="AN5225">
        <v>1.00000001480298</v>
      </c>
    </row>
    <row r="5226" spans="1:40" x14ac:dyDescent="0.25">
      <c r="A5226" t="str">
        <f>"20190304164751636"</f>
        <v>20190304164751636</v>
      </c>
      <c r="B5226" t="str">
        <f>"1551689271625040"</f>
        <v>1551689271625040</v>
      </c>
      <c r="C5226" t="s">
        <v>40</v>
      </c>
      <c r="D5226">
        <v>4.5026229999999998</v>
      </c>
      <c r="E5226">
        <v>0.51553570000000004</v>
      </c>
      <c r="F5226" t="s">
        <v>42</v>
      </c>
      <c r="G5226">
        <v>-263.06389999999999</v>
      </c>
      <c r="H5226" s="1">
        <v>-3.4769569999999999E-7</v>
      </c>
      <c r="I5226">
        <v>-60.225819999999999</v>
      </c>
      <c r="J5226">
        <v>-273.02359999999999</v>
      </c>
      <c r="K5226">
        <v>1.114579</v>
      </c>
      <c r="L5226">
        <v>-60.04486</v>
      </c>
      <c r="M5226">
        <v>0.97963250000000002</v>
      </c>
      <c r="N5226">
        <v>-9.7541629999999997E-3</v>
      </c>
      <c r="O5226">
        <v>-0.2005624</v>
      </c>
      <c r="P5226">
        <v>0.91840849999999996</v>
      </c>
      <c r="Q5226">
        <v>0.39551649999999999</v>
      </c>
      <c r="R5226">
        <v>-9.6403359999999994E-3</v>
      </c>
      <c r="S5226">
        <v>3.4310299999999998</v>
      </c>
      <c r="T5226">
        <v>-0.37830340000000001</v>
      </c>
      <c r="U5226">
        <v>-7.13501E-2</v>
      </c>
      <c r="V5226">
        <v>-0.1788332</v>
      </c>
      <c r="W5226">
        <v>0.4025089</v>
      </c>
      <c r="X5226">
        <v>0.89777799999999996</v>
      </c>
      <c r="Y5226">
        <v>-0.17799219999999999</v>
      </c>
      <c r="Z5226">
        <v>3.0611010000000001E-2</v>
      </c>
      <c r="AA5226">
        <v>0.98355570000000003</v>
      </c>
      <c r="AB5226">
        <v>33</v>
      </c>
      <c r="AC5226">
        <v>9.9596999999999891</v>
      </c>
      <c r="AD5226">
        <v>-1.1145793476957</v>
      </c>
      <c r="AE5226">
        <v>-0.18095999999999801</v>
      </c>
      <c r="AF5226">
        <v>-1.7978453256484499</v>
      </c>
      <c r="AG5226">
        <v>-1.1145793476957</v>
      </c>
      <c r="AH5226">
        <v>9.6725095015562204</v>
      </c>
      <c r="AI5226">
        <v>96.463552624443906</v>
      </c>
      <c r="AJ5226">
        <v>100.52949991694901</v>
      </c>
      <c r="AK5226">
        <v>9.9011097860270798</v>
      </c>
      <c r="AL5226">
        <v>66.264884910641001</v>
      </c>
      <c r="AM5226">
        <v>101.26559558739901</v>
      </c>
      <c r="AN5226">
        <v>1.0000000326427201</v>
      </c>
    </row>
    <row r="5227" spans="1:40" x14ac:dyDescent="0.25">
      <c r="A5227" t="str">
        <f>"20190304164751647"</f>
        <v>20190304164751647</v>
      </c>
      <c r="B5227" t="str">
        <f>"1551689271644560"</f>
        <v>1551689271644560</v>
      </c>
      <c r="C5227" t="s">
        <v>40</v>
      </c>
      <c r="D5227">
        <v>4.5184959999999998</v>
      </c>
      <c r="E5227">
        <v>0.51584090000000005</v>
      </c>
      <c r="F5227" t="s">
        <v>42</v>
      </c>
      <c r="G5227">
        <v>-263.02800000000002</v>
      </c>
      <c r="H5227" s="1">
        <v>-3.2859460000000002E-7</v>
      </c>
      <c r="I5227">
        <v>-60.246459999999999</v>
      </c>
      <c r="J5227">
        <v>-272.8596</v>
      </c>
      <c r="K5227">
        <v>1.114498</v>
      </c>
      <c r="L5227">
        <v>-60.076390000000004</v>
      </c>
      <c r="M5227">
        <v>0.98007339999999998</v>
      </c>
      <c r="N5227">
        <v>-9.7456839999999993E-3</v>
      </c>
      <c r="O5227">
        <v>-0.19839709999999999</v>
      </c>
      <c r="P5227">
        <v>0.91882059999999999</v>
      </c>
      <c r="Q5227">
        <v>0.39456930000000001</v>
      </c>
      <c r="R5227">
        <v>-9.175941E-3</v>
      </c>
      <c r="S5227">
        <v>3.430542</v>
      </c>
      <c r="T5227">
        <v>-0.38252910000000001</v>
      </c>
      <c r="U5227">
        <v>-6.9213869999999997E-2</v>
      </c>
      <c r="V5227">
        <v>-0.17729610000000001</v>
      </c>
      <c r="W5227">
        <v>0.40160689999999999</v>
      </c>
      <c r="X5227">
        <v>0.89848649999999997</v>
      </c>
      <c r="Y5227">
        <v>-0.17639850000000001</v>
      </c>
      <c r="Z5227">
        <v>3.0657489999999999E-2</v>
      </c>
      <c r="AA5227">
        <v>0.98384130000000003</v>
      </c>
      <c r="AB5227">
        <v>33</v>
      </c>
      <c r="AC5227">
        <v>9.8315999999999804</v>
      </c>
      <c r="AD5227">
        <v>-1.1144983285946</v>
      </c>
      <c r="AE5227">
        <v>-0.170069999999995</v>
      </c>
      <c r="AF5227">
        <v>-1.7613375390769499</v>
      </c>
      <c r="AG5227">
        <v>-1.1144983285946</v>
      </c>
      <c r="AH5227">
        <v>9.5472415968676607</v>
      </c>
      <c r="AI5227">
        <v>96.548766103856707</v>
      </c>
      <c r="AJ5227">
        <v>100.452769819119</v>
      </c>
      <c r="AK5227">
        <v>9.7721153574833508</v>
      </c>
      <c r="AL5227">
        <v>66.321327940472301</v>
      </c>
      <c r="AM5227">
        <v>101.16262378178899</v>
      </c>
      <c r="AN5227">
        <v>0.99999999994253497</v>
      </c>
    </row>
    <row r="5228" spans="1:40" x14ac:dyDescent="0.25">
      <c r="A5228" t="str">
        <f>"20190304164751660"</f>
        <v>20190304164751660</v>
      </c>
      <c r="B5228" t="str">
        <f>"1551689271654319"</f>
        <v>1551689271654319</v>
      </c>
      <c r="C5228" t="s">
        <v>40</v>
      </c>
      <c r="D5228">
        <v>4.5144880000000001</v>
      </c>
      <c r="E5228">
        <v>0.51591209999999998</v>
      </c>
      <c r="F5228" t="s">
        <v>42</v>
      </c>
      <c r="G5228">
        <v>-262.9409</v>
      </c>
      <c r="H5228" s="1">
        <v>-2.8649309999999999E-7</v>
      </c>
      <c r="I5228">
        <v>-60.273380000000003</v>
      </c>
      <c r="J5228">
        <v>-272.6934</v>
      </c>
      <c r="K5228">
        <v>1.114425</v>
      </c>
      <c r="L5228">
        <v>-60.108060000000002</v>
      </c>
      <c r="M5228">
        <v>0.98050890000000002</v>
      </c>
      <c r="N5228">
        <v>-9.7375459999999997E-3</v>
      </c>
      <c r="O5228">
        <v>-0.19623280000000001</v>
      </c>
      <c r="P5228">
        <v>0.91913560000000005</v>
      </c>
      <c r="Q5228">
        <v>0.3938431</v>
      </c>
      <c r="R5228">
        <v>-8.8122189999999996E-3</v>
      </c>
      <c r="S5228">
        <v>3.4298709999999999</v>
      </c>
      <c r="T5228">
        <v>-0.38539400000000001</v>
      </c>
      <c r="U5228">
        <v>-6.8145750000000005E-2</v>
      </c>
      <c r="V5228">
        <v>-0.17564660000000001</v>
      </c>
      <c r="W5228">
        <v>0.40092559999999999</v>
      </c>
      <c r="X5228">
        <v>0.89911450000000004</v>
      </c>
      <c r="Y5228">
        <v>-0.17451729999999999</v>
      </c>
      <c r="Z5228">
        <v>3.0569499999999999E-2</v>
      </c>
      <c r="AA5228">
        <v>0.98417940000000004</v>
      </c>
      <c r="AB5228">
        <v>33</v>
      </c>
      <c r="AC5228">
        <v>9.7524999999999906</v>
      </c>
      <c r="AD5228">
        <v>-1.1144252864930999</v>
      </c>
      <c r="AE5228">
        <v>-0.16532000000000799</v>
      </c>
      <c r="AF5228">
        <v>-1.7291731377747499</v>
      </c>
      <c r="AG5228">
        <v>-1.1144252864930999</v>
      </c>
      <c r="AH5228">
        <v>9.4716663795200393</v>
      </c>
      <c r="AI5228">
        <v>96.602366042931706</v>
      </c>
      <c r="AJ5228">
        <v>100.34613463142</v>
      </c>
      <c r="AK5228">
        <v>9.6924943881596999</v>
      </c>
      <c r="AL5228">
        <v>66.363944396101203</v>
      </c>
      <c r="AM5228">
        <v>101.05380793244299</v>
      </c>
      <c r="AN5228">
        <v>0.99999997446858402</v>
      </c>
    </row>
    <row r="5229" spans="1:40" x14ac:dyDescent="0.25">
      <c r="A5229" t="str">
        <f>"20190304164751670"</f>
        <v>20190304164751670</v>
      </c>
      <c r="B5229" t="str">
        <f>"1551689271664079"</f>
        <v>1551689271664079</v>
      </c>
      <c r="C5229" t="s">
        <v>40</v>
      </c>
      <c r="D5229">
        <v>4.5012660000000002</v>
      </c>
      <c r="E5229">
        <v>0.51591209999999998</v>
      </c>
      <c r="F5229" t="s">
        <v>57</v>
      </c>
      <c r="G5229">
        <v>-262.83670000000001</v>
      </c>
      <c r="H5229" s="1">
        <v>-2.379495E-7</v>
      </c>
      <c r="I5229">
        <v>-60.294910000000002</v>
      </c>
      <c r="J5229">
        <v>-272.52350000000001</v>
      </c>
      <c r="K5229">
        <v>1.1143559999999999</v>
      </c>
      <c r="L5229">
        <v>-60.140079999999998</v>
      </c>
      <c r="M5229">
        <v>0.98094179999999997</v>
      </c>
      <c r="N5229">
        <v>-9.729672E-3</v>
      </c>
      <c r="O5229">
        <v>-0.1940588</v>
      </c>
      <c r="P5229">
        <v>0.91941580000000001</v>
      </c>
      <c r="Q5229">
        <v>0.3931963</v>
      </c>
      <c r="R5229">
        <v>-8.4494429999999992E-3</v>
      </c>
      <c r="S5229">
        <v>3.429443</v>
      </c>
      <c r="T5229">
        <v>-0.38774340000000002</v>
      </c>
      <c r="U5229">
        <v>-6.5032960000000001E-2</v>
      </c>
      <c r="V5229">
        <v>-0.17398229999999901</v>
      </c>
      <c r="W5229">
        <v>0.40032129999999999</v>
      </c>
      <c r="X5229">
        <v>0.89970720000000004</v>
      </c>
      <c r="Y5229">
        <v>-0.1732176</v>
      </c>
      <c r="Z5229">
        <v>3.0467500000000002E-2</v>
      </c>
      <c r="AA5229">
        <v>0.98441219999999996</v>
      </c>
      <c r="AB5229">
        <v>33</v>
      </c>
      <c r="AC5229">
        <v>9.6867999999999999</v>
      </c>
      <c r="AD5229">
        <v>-1.1143562379495</v>
      </c>
      <c r="AE5229">
        <v>-0.154829999999989</v>
      </c>
      <c r="AF5229">
        <v>-1.70544716956778</v>
      </c>
      <c r="AG5229">
        <v>-1.1143562379495</v>
      </c>
      <c r="AH5229">
        <v>9.4082075907200799</v>
      </c>
      <c r="AI5229">
        <v>96.647590924647403</v>
      </c>
      <c r="AJ5229">
        <v>100.27456616465599</v>
      </c>
      <c r="AK5229">
        <v>9.6262510845773495</v>
      </c>
      <c r="AL5229">
        <v>66.401734344133203</v>
      </c>
      <c r="AM5229">
        <v>100.944573879624</v>
      </c>
      <c r="AN5229">
        <v>1.0000000148394099</v>
      </c>
    </row>
    <row r="5230" spans="1:40" x14ac:dyDescent="0.25">
      <c r="A5230" t="str">
        <f>"20190304164751681"</f>
        <v>20190304164751681</v>
      </c>
      <c r="B5230" t="str">
        <f>"1551689271674815"</f>
        <v>1551689271674815</v>
      </c>
      <c r="C5230" t="s">
        <v>40</v>
      </c>
      <c r="D5230">
        <v>4.4936220000000002</v>
      </c>
      <c r="E5230">
        <v>0.51287229999999995</v>
      </c>
      <c r="F5230" t="s">
        <v>42</v>
      </c>
      <c r="G5230">
        <v>-262.72980000000001</v>
      </c>
      <c r="H5230" s="1">
        <v>-1.8852360000000001E-7</v>
      </c>
      <c r="I5230">
        <v>-60.315109999999997</v>
      </c>
      <c r="J5230">
        <v>-272.3673</v>
      </c>
      <c r="K5230">
        <v>1.114303</v>
      </c>
      <c r="L5230">
        <v>-60.169130000000003</v>
      </c>
      <c r="M5230">
        <v>0.98132649999999999</v>
      </c>
      <c r="N5230">
        <v>-9.7229699999999992E-3</v>
      </c>
      <c r="O5230">
        <v>-0.192103</v>
      </c>
      <c r="P5230">
        <v>0.91973229999999995</v>
      </c>
      <c r="Q5230">
        <v>0.39245780000000002</v>
      </c>
      <c r="R5230">
        <v>-8.3342009999999994E-3</v>
      </c>
      <c r="S5230">
        <v>3.4292600000000002</v>
      </c>
      <c r="T5230">
        <v>-0.39019379999999998</v>
      </c>
      <c r="U5230">
        <v>-6.1309809999999999E-2</v>
      </c>
      <c r="V5230">
        <v>-0.1722928</v>
      </c>
      <c r="W5230">
        <v>0.39962249999999999</v>
      </c>
      <c r="X5230">
        <v>0.9003428</v>
      </c>
      <c r="Y5230">
        <v>-0.17230989999999999</v>
      </c>
      <c r="Z5230">
        <v>3.0413760000000001E-2</v>
      </c>
      <c r="AA5230">
        <v>0.98457320000000004</v>
      </c>
      <c r="AB5230">
        <v>33</v>
      </c>
      <c r="AC5230">
        <v>9.6374999999999797</v>
      </c>
      <c r="AD5230">
        <v>-1.1143031885236001</v>
      </c>
      <c r="AE5230">
        <v>-0.145979999999994</v>
      </c>
      <c r="AF5230">
        <v>-1.6856898080169</v>
      </c>
      <c r="AG5230">
        <v>-1.1143031885236001</v>
      </c>
      <c r="AH5230">
        <v>9.3609153596624797</v>
      </c>
      <c r="AI5230">
        <v>96.681941260957203</v>
      </c>
      <c r="AJ5230">
        <v>100.208272196509</v>
      </c>
      <c r="AK5230">
        <v>9.5765316318368097</v>
      </c>
      <c r="AL5230">
        <v>66.445420107167195</v>
      </c>
      <c r="AM5230">
        <v>100.833352127891</v>
      </c>
      <c r="AN5230">
        <v>1.0000000544749601</v>
      </c>
    </row>
    <row r="5231" spans="1:40" x14ac:dyDescent="0.25">
      <c r="A5231" t="str">
        <f>"20190304164751692"</f>
        <v>20190304164751692</v>
      </c>
      <c r="B5231" t="str">
        <f>"1551689271684575"</f>
        <v>1551689271684575</v>
      </c>
      <c r="C5231" t="s">
        <v>40</v>
      </c>
      <c r="D5231">
        <v>4.4977109999999998</v>
      </c>
      <c r="E5231">
        <v>0.51288440000000002</v>
      </c>
      <c r="F5231" t="s">
        <v>42</v>
      </c>
      <c r="G5231">
        <v>-260.86259999999999</v>
      </c>
      <c r="H5231" s="1">
        <v>6.0879280000000003E-7</v>
      </c>
      <c r="I5231">
        <v>-60.294139999999999</v>
      </c>
      <c r="J5231">
        <v>-272.20960000000002</v>
      </c>
      <c r="K5231">
        <v>1.1142459999999901</v>
      </c>
      <c r="L5231">
        <v>-60.198300000000003</v>
      </c>
      <c r="M5231">
        <v>0.98170849999999998</v>
      </c>
      <c r="N5231">
        <v>-9.716545E-3</v>
      </c>
      <c r="O5231">
        <v>-0.19014239999999999</v>
      </c>
      <c r="P5231">
        <v>0.9199193</v>
      </c>
      <c r="Q5231">
        <v>0.3920208</v>
      </c>
      <c r="R5231">
        <v>-8.2573519999999904E-3</v>
      </c>
      <c r="S5231">
        <v>3.4020999999999999</v>
      </c>
      <c r="T5231">
        <v>-0.32951350000000001</v>
      </c>
      <c r="U5231">
        <v>-3.6987300000000001E-2</v>
      </c>
      <c r="V5231">
        <v>-0.17053879999999999</v>
      </c>
      <c r="W5231">
        <v>0.39922380000000002</v>
      </c>
      <c r="X5231">
        <v>0.90085340000000003</v>
      </c>
      <c r="Y5231">
        <v>-0.1778409</v>
      </c>
      <c r="Z5231">
        <v>2.5889160000000001E-2</v>
      </c>
      <c r="AA5231">
        <v>0.9837186</v>
      </c>
      <c r="AB5231">
        <v>33</v>
      </c>
      <c r="AC5231">
        <v>11.347</v>
      </c>
      <c r="AD5231">
        <v>-1.1142453912071999</v>
      </c>
      <c r="AE5231">
        <v>-9.5840000000002604E-2</v>
      </c>
      <c r="AF5231">
        <v>-2.0438492956969001</v>
      </c>
      <c r="AG5231">
        <v>-1.1142453912071999</v>
      </c>
      <c r="AH5231">
        <v>11.0516354250937</v>
      </c>
      <c r="AI5231">
        <v>95.661838869939203</v>
      </c>
      <c r="AJ5231">
        <v>100.47769280711201</v>
      </c>
      <c r="AK5231">
        <v>11.2941360140798</v>
      </c>
      <c r="AL5231">
        <v>66.470336231217402</v>
      </c>
      <c r="AM5231">
        <v>100.719697740654</v>
      </c>
      <c r="AN5231">
        <v>0.99999998654171995</v>
      </c>
    </row>
    <row r="5232" spans="1:40" x14ac:dyDescent="0.25">
      <c r="A5232" t="str">
        <f>"20190304164751704"</f>
        <v>20190304164751704</v>
      </c>
      <c r="B5232" t="str">
        <f>"1551689271694336"</f>
        <v>1551689271694336</v>
      </c>
      <c r="C5232" t="s">
        <v>40</v>
      </c>
      <c r="D5232">
        <v>4.4840600000000004</v>
      </c>
      <c r="E5232">
        <v>0.51284220000000003</v>
      </c>
      <c r="F5232" t="s">
        <v>42</v>
      </c>
      <c r="G5232">
        <v>-260.673</v>
      </c>
      <c r="H5232" s="1">
        <v>6.9372630000000003E-7</v>
      </c>
      <c r="I5232">
        <v>-60.314390000000003</v>
      </c>
      <c r="J5232">
        <v>-272.04880000000003</v>
      </c>
      <c r="K5232">
        <v>1.114193</v>
      </c>
      <c r="L5232">
        <v>-60.227539999999998</v>
      </c>
      <c r="M5232">
        <v>0.98208430000000002</v>
      </c>
      <c r="N5232">
        <v>-9.7103469999999994E-3</v>
      </c>
      <c r="O5232">
        <v>-0.18819230000000001</v>
      </c>
      <c r="P5232">
        <v>0.92010780000000003</v>
      </c>
      <c r="Q5232">
        <v>0.39158470000000001</v>
      </c>
      <c r="R5232">
        <v>-7.9563889999999995E-3</v>
      </c>
      <c r="S5232">
        <v>3.4008180000000001</v>
      </c>
      <c r="T5232">
        <v>-0.32846360000000002</v>
      </c>
      <c r="U5232">
        <v>-3.4240720000000002E-2</v>
      </c>
      <c r="V5232">
        <v>-0.16901969999999999</v>
      </c>
      <c r="W5232">
        <v>0.39882109999999998</v>
      </c>
      <c r="X5232">
        <v>0.90131799999999995</v>
      </c>
      <c r="Y5232">
        <v>-0.17669949999999901</v>
      </c>
      <c r="Z5232">
        <v>2.5588449999999999E-2</v>
      </c>
      <c r="AA5232">
        <v>0.98393220000000003</v>
      </c>
      <c r="AB5232">
        <v>33</v>
      </c>
      <c r="AC5232">
        <v>11.3758</v>
      </c>
      <c r="AD5232">
        <v>-1.1141923062737</v>
      </c>
      <c r="AE5232">
        <v>-8.6849999999998304E-2</v>
      </c>
      <c r="AF5232">
        <v>-2.0361093038592899</v>
      </c>
      <c r="AG5232">
        <v>-1.1141923062737</v>
      </c>
      <c r="AH5232">
        <v>11.082556203500699</v>
      </c>
      <c r="AI5232">
        <v>95.647091566502098</v>
      </c>
      <c r="AJ5232">
        <v>100.41040070887701</v>
      </c>
      <c r="AK5232">
        <v>11.3229950806478</v>
      </c>
      <c r="AL5232">
        <v>66.495500410476595</v>
      </c>
      <c r="AM5232">
        <v>100.621041599281</v>
      </c>
      <c r="AN5232">
        <v>1.00000003295864</v>
      </c>
    </row>
    <row r="5233" spans="1:40" x14ac:dyDescent="0.25">
      <c r="A5233" t="str">
        <f>"20190304164751717"</f>
        <v>20190304164751717</v>
      </c>
      <c r="B5233" t="str">
        <f>"1551689271714832"</f>
        <v>1551689271714832</v>
      </c>
      <c r="C5233" t="s">
        <v>40</v>
      </c>
      <c r="D5233">
        <v>4.4949120000000002</v>
      </c>
      <c r="E5233">
        <v>0.51296609999999998</v>
      </c>
      <c r="F5233" t="s">
        <v>42</v>
      </c>
      <c r="G5233">
        <v>-260.54849999999999</v>
      </c>
      <c r="H5233" s="1">
        <v>7.500739E-7</v>
      </c>
      <c r="I5233">
        <v>-60.33099</v>
      </c>
      <c r="J5233">
        <v>-271.86329999999998</v>
      </c>
      <c r="K5233">
        <v>1.114134</v>
      </c>
      <c r="L5233">
        <v>-60.261049999999997</v>
      </c>
      <c r="M5233">
        <v>0.98250979999999999</v>
      </c>
      <c r="N5233">
        <v>-9.7035219999999991E-3</v>
      </c>
      <c r="O5233">
        <v>-0.1859584</v>
      </c>
      <c r="P5233">
        <v>0.92012329999999998</v>
      </c>
      <c r="Q5233">
        <v>0.39156419999999997</v>
      </c>
      <c r="R5233">
        <v>-7.1294829999999998E-3</v>
      </c>
      <c r="S5233">
        <v>3.4004210000000001</v>
      </c>
      <c r="T5233">
        <v>-0.32944499999999999</v>
      </c>
      <c r="U5233">
        <v>-3.0609129999999998E-2</v>
      </c>
      <c r="V5233">
        <v>-0.16772029999999999</v>
      </c>
      <c r="W5233">
        <v>0.39883160000000001</v>
      </c>
      <c r="X5233">
        <v>0.90155600000000002</v>
      </c>
      <c r="Y5233">
        <v>-0.17551520000000001</v>
      </c>
      <c r="Z5233">
        <v>2.541792E-2</v>
      </c>
      <c r="AA5233">
        <v>0.98414860000000004</v>
      </c>
      <c r="AB5233">
        <v>33</v>
      </c>
      <c r="AC5233">
        <v>11.3147999999999</v>
      </c>
      <c r="AD5233">
        <v>-1.1141332499261001</v>
      </c>
      <c r="AE5233">
        <v>-6.99400000000025E-2</v>
      </c>
      <c r="AF5233">
        <v>-2.0159159736596002</v>
      </c>
      <c r="AG5233">
        <v>-1.1141332499261001</v>
      </c>
      <c r="AH5233">
        <v>11.0235534579895</v>
      </c>
      <c r="AI5233">
        <v>95.677670001228606</v>
      </c>
      <c r="AJ5233">
        <v>100.363366825011</v>
      </c>
      <c r="AK5233">
        <v>11.261613603414</v>
      </c>
      <c r="AL5233">
        <v>66.494843117582306</v>
      </c>
      <c r="AM5233">
        <v>100.538505041836</v>
      </c>
      <c r="AN5233">
        <v>0.99999998266332402</v>
      </c>
    </row>
    <row r="5234" spans="1:40" x14ac:dyDescent="0.25">
      <c r="A5234" t="str">
        <f>"20190304164751738"</f>
        <v>20190304164751738</v>
      </c>
      <c r="B5234" t="str">
        <f>"1551689271734351"</f>
        <v>1551689271734351</v>
      </c>
      <c r="C5234" t="s">
        <v>40</v>
      </c>
      <c r="D5234">
        <v>4.5038400000000003</v>
      </c>
      <c r="E5234">
        <v>0.51318929999999996</v>
      </c>
      <c r="F5234" t="s">
        <v>42</v>
      </c>
      <c r="G5234">
        <v>-260.3263</v>
      </c>
      <c r="H5234" s="1">
        <v>8.4936789999999999E-7</v>
      </c>
      <c r="I5234">
        <v>-60.353250000000003</v>
      </c>
      <c r="J5234">
        <v>-271.56270000000001</v>
      </c>
      <c r="K5234">
        <v>1.114045</v>
      </c>
      <c r="L5234">
        <v>-60.314419999999998</v>
      </c>
      <c r="M5234">
        <v>0.9831725</v>
      </c>
      <c r="N5234">
        <v>-9.6933230000000002E-3</v>
      </c>
      <c r="O5234">
        <v>-0.18242259999999999</v>
      </c>
      <c r="P5234">
        <v>0.91990019999999995</v>
      </c>
      <c r="Q5234">
        <v>0.39210610000000001</v>
      </c>
      <c r="R5234">
        <v>-6.0603990000000002E-3</v>
      </c>
      <c r="S5234">
        <v>3.3999329999999999</v>
      </c>
      <c r="T5234">
        <v>-0.32833309999999999</v>
      </c>
      <c r="U5234">
        <v>-2.7191159999999999E-2</v>
      </c>
      <c r="V5234">
        <v>-0.16539470000000001</v>
      </c>
      <c r="W5234">
        <v>0.3994201</v>
      </c>
      <c r="X5234">
        <v>0.90172509999999995</v>
      </c>
      <c r="Y5234">
        <v>-0.17299800000000001</v>
      </c>
      <c r="Z5234">
        <v>2.489972E-2</v>
      </c>
      <c r="AA5234">
        <v>0.98460740000000002</v>
      </c>
      <c r="AB5234">
        <v>33</v>
      </c>
      <c r="AC5234">
        <v>11.2364</v>
      </c>
      <c r="AD5234">
        <v>-1.1140441506320999</v>
      </c>
      <c r="AE5234">
        <v>-3.8830000000004299E-2</v>
      </c>
      <c r="AF5234">
        <v>-1.9921090369749599</v>
      </c>
      <c r="AG5234">
        <v>-1.1140441506320999</v>
      </c>
      <c r="AH5234">
        <v>10.9473115827999</v>
      </c>
      <c r="AI5234">
        <v>95.717400024031306</v>
      </c>
      <c r="AJ5234">
        <v>100.313401938729</v>
      </c>
      <c r="AK5234">
        <v>11.1827198693189</v>
      </c>
      <c r="AL5234">
        <v>66.458068603080307</v>
      </c>
      <c r="AM5234">
        <v>100.393679247482</v>
      </c>
      <c r="AN5234">
        <v>0.99999998952105495</v>
      </c>
    </row>
    <row r="5235" spans="1:40" x14ac:dyDescent="0.25">
      <c r="A5235" t="str">
        <f>"20190304164751750"</f>
        <v>20190304164751750</v>
      </c>
      <c r="B5235" t="str">
        <f>"1551689271745089"</f>
        <v>1551689271745089</v>
      </c>
      <c r="C5235" t="s">
        <v>40</v>
      </c>
      <c r="D5235">
        <v>4.5167229999999998</v>
      </c>
      <c r="E5235">
        <v>0.51332709999999904</v>
      </c>
      <c r="F5235" t="s">
        <v>42</v>
      </c>
      <c r="G5235">
        <v>-259.96620000000001</v>
      </c>
      <c r="H5235" s="1">
        <v>1.0074679999999901E-6</v>
      </c>
      <c r="I5235">
        <v>-60.390340000000002</v>
      </c>
      <c r="J5235">
        <v>-271.37299999999999</v>
      </c>
      <c r="K5235">
        <v>1.1139920000000001</v>
      </c>
      <c r="L5235">
        <v>-60.347529999999999</v>
      </c>
      <c r="M5235">
        <v>0.98357729999999999</v>
      </c>
      <c r="N5235">
        <v>-9.6876600000000007E-3</v>
      </c>
      <c r="O5235">
        <v>-0.18022750000000001</v>
      </c>
      <c r="P5235">
        <v>0.91986650000000003</v>
      </c>
      <c r="Q5235">
        <v>0.39220169999999999</v>
      </c>
      <c r="R5235">
        <v>-4.8445429999999998E-3</v>
      </c>
      <c r="S5235">
        <v>3.4003299999999999</v>
      </c>
      <c r="T5235">
        <v>-0.326659599999999</v>
      </c>
      <c r="U5235">
        <v>-2.2277829999999998E-2</v>
      </c>
      <c r="V5235">
        <v>-0.16451589999999999</v>
      </c>
      <c r="W5235">
        <v>0.39953899999999998</v>
      </c>
      <c r="X5235">
        <v>0.9018332</v>
      </c>
      <c r="Y5235">
        <v>-0.17225179999999901</v>
      </c>
      <c r="Z5235">
        <v>2.454137E-2</v>
      </c>
      <c r="AA5235">
        <v>0.98474720000000004</v>
      </c>
      <c r="AB5235">
        <v>33</v>
      </c>
      <c r="AC5235">
        <v>11.406799999999899</v>
      </c>
      <c r="AD5235">
        <v>-1.113990992532</v>
      </c>
      <c r="AE5235">
        <v>-4.2809999999995803E-2</v>
      </c>
      <c r="AF5235">
        <v>-1.99478148432694</v>
      </c>
      <c r="AG5235">
        <v>-1.113990992532</v>
      </c>
      <c r="AH5235">
        <v>11.1216399293146</v>
      </c>
      <c r="AI5235">
        <v>95.630650699154401</v>
      </c>
      <c r="AJ5235">
        <v>100.168471959435</v>
      </c>
      <c r="AK5235">
        <v>11.353898177233299</v>
      </c>
      <c r="AL5235">
        <v>66.450637873744796</v>
      </c>
      <c r="AM5235">
        <v>100.338435602799</v>
      </c>
      <c r="AN5235">
        <v>1.00000000724802</v>
      </c>
    </row>
    <row r="5236" spans="1:40" x14ac:dyDescent="0.25">
      <c r="A5236" t="str">
        <f>"20190304164751765"</f>
        <v>20190304164751765</v>
      </c>
      <c r="B5236" t="str">
        <f>"1551689271754848"</f>
        <v>1551689271754848</v>
      </c>
      <c r="C5236" t="s">
        <v>40</v>
      </c>
      <c r="D5236">
        <v>4.5113659999999998</v>
      </c>
      <c r="E5236">
        <v>0.51333329999999999</v>
      </c>
      <c r="F5236" t="s">
        <v>58</v>
      </c>
      <c r="G5236">
        <v>-259.75979999999998</v>
      </c>
      <c r="H5236" s="1">
        <v>-3.3287239999999998E-6</v>
      </c>
      <c r="I5236">
        <v>-60.409030000000001</v>
      </c>
      <c r="J5236">
        <v>-271.15980000000002</v>
      </c>
      <c r="K5236">
        <v>1.1139429999999999</v>
      </c>
      <c r="L5236">
        <v>-60.384250000000002</v>
      </c>
      <c r="M5236">
        <v>0.98402080000000003</v>
      </c>
      <c r="N5236">
        <v>-9.6818110000000002E-3</v>
      </c>
      <c r="O5236">
        <v>-0.17779049999999999</v>
      </c>
      <c r="P5236">
        <v>0.91977129999999996</v>
      </c>
      <c r="Q5236">
        <v>0.39244119999999999</v>
      </c>
      <c r="R5236">
        <v>-3.29978E-3</v>
      </c>
      <c r="S5236">
        <v>3.4003299999999999</v>
      </c>
      <c r="T5236">
        <v>-0.32617600000000002</v>
      </c>
      <c r="U5236">
        <v>-1.800537E-2</v>
      </c>
      <c r="V5236">
        <v>-0.1637284</v>
      </c>
      <c r="W5236">
        <v>0.39979959999999998</v>
      </c>
      <c r="X5236">
        <v>0.90186100000000002</v>
      </c>
      <c r="Y5236">
        <v>-0.17106869999999999</v>
      </c>
      <c r="Z5236">
        <v>2.4236210000000001E-2</v>
      </c>
      <c r="AA5236">
        <v>0.98496099999999998</v>
      </c>
      <c r="AB5236">
        <v>33</v>
      </c>
      <c r="AC5236">
        <v>11.4</v>
      </c>
      <c r="AD5236">
        <v>-1.1139463287239999</v>
      </c>
      <c r="AE5236">
        <v>-2.4779999999999799E-2</v>
      </c>
      <c r="AF5236">
        <v>-1.98358195703883</v>
      </c>
      <c r="AG5236">
        <v>-1.1139463287239999</v>
      </c>
      <c r="AH5236">
        <v>11.1166254177766</v>
      </c>
      <c r="AI5236">
        <v>95.633848850783906</v>
      </c>
      <c r="AJ5236">
        <v>100.117030820385</v>
      </c>
      <c r="AK5236">
        <v>11.3470187486725</v>
      </c>
      <c r="AL5236">
        <v>66.434348549965094</v>
      </c>
      <c r="AM5236">
        <v>100.28969719726599</v>
      </c>
      <c r="AN5236">
        <v>0.99999998622385899</v>
      </c>
    </row>
    <row r="5237" spans="1:40" x14ac:dyDescent="0.25">
      <c r="A5237" t="str">
        <f>"20190304164751783"</f>
        <v>20190304164751783</v>
      </c>
      <c r="B5237" t="str">
        <f>"1551689271774368"</f>
        <v>1551689271774368</v>
      </c>
      <c r="C5237" t="s">
        <v>40</v>
      </c>
      <c r="D5237">
        <v>4.5089090000000001</v>
      </c>
      <c r="E5237">
        <v>0.51360629999999996</v>
      </c>
      <c r="F5237" t="s">
        <v>58</v>
      </c>
      <c r="G5237">
        <v>-259.47519999999997</v>
      </c>
      <c r="H5237" s="1">
        <v>-3.2100850000000002E-6</v>
      </c>
      <c r="I5237">
        <v>-60.424520000000001</v>
      </c>
      <c r="J5237">
        <v>-270.89850000000001</v>
      </c>
      <c r="K5237">
        <v>1.113885</v>
      </c>
      <c r="L5237">
        <v>-60.428620000000002</v>
      </c>
      <c r="M5237">
        <v>0.98454819999999998</v>
      </c>
      <c r="N5237">
        <v>-9.6735129999999999E-3</v>
      </c>
      <c r="O5237">
        <v>-0.17484640000000001</v>
      </c>
      <c r="P5237">
        <v>0.91990899999999998</v>
      </c>
      <c r="Q5237">
        <v>0.39212570000000002</v>
      </c>
      <c r="R5237">
        <v>-2.2047939999999999E-3</v>
      </c>
      <c r="S5237">
        <v>3.3999329999999999</v>
      </c>
      <c r="T5237">
        <v>-0.3241329</v>
      </c>
      <c r="U5237">
        <v>-1.171875E-2</v>
      </c>
      <c r="V5237">
        <v>-0.1620606</v>
      </c>
      <c r="W5237">
        <v>0.39951799999999998</v>
      </c>
      <c r="X5237">
        <v>0.9022869</v>
      </c>
      <c r="Y5237">
        <v>-0.16997770000000001</v>
      </c>
      <c r="Z5237">
        <v>2.3778919999999999E-2</v>
      </c>
      <c r="AA5237">
        <v>0.98516099999999995</v>
      </c>
      <c r="AB5237">
        <v>33</v>
      </c>
      <c r="AC5237">
        <v>11.423299999999999</v>
      </c>
      <c r="AD5237">
        <v>-1.1138882100850001</v>
      </c>
      <c r="AE5237">
        <v>4.1000000000011002E-3</v>
      </c>
      <c r="AF5237">
        <v>-1.9826021265176801</v>
      </c>
      <c r="AG5237">
        <v>-1.1138882100850001</v>
      </c>
      <c r="AH5237">
        <v>11.1406706778508</v>
      </c>
      <c r="AI5237">
        <v>95.621932064972896</v>
      </c>
      <c r="AJ5237">
        <v>100.090760108156</v>
      </c>
      <c r="AK5237">
        <v>11.3704002255402</v>
      </c>
      <c r="AL5237">
        <v>66.451949214540605</v>
      </c>
      <c r="AM5237">
        <v>100.18238044728901</v>
      </c>
      <c r="AN5237">
        <v>0.99999996015398396</v>
      </c>
    </row>
    <row r="5238" spans="1:40" x14ac:dyDescent="0.25">
      <c r="A5238" t="str">
        <f>"20190304164751795"</f>
        <v>20190304164751795</v>
      </c>
      <c r="B5238" t="str">
        <f>"1551689271784128"</f>
        <v>1551689271784128</v>
      </c>
      <c r="C5238" t="s">
        <v>40</v>
      </c>
      <c r="D5238">
        <v>4.493824</v>
      </c>
      <c r="E5238">
        <v>0.5135651</v>
      </c>
      <c r="F5238" t="s">
        <v>58</v>
      </c>
      <c r="G5238">
        <v>-259.24520000000001</v>
      </c>
      <c r="H5238" s="1">
        <v>-3.1190609999999999E-6</v>
      </c>
      <c r="I5238">
        <v>-60.458849999999998</v>
      </c>
      <c r="J5238">
        <v>-270.72289999999998</v>
      </c>
      <c r="K5238">
        <v>1.113842</v>
      </c>
      <c r="L5238">
        <v>-60.458100000000002</v>
      </c>
      <c r="M5238">
        <v>0.98489380000000004</v>
      </c>
      <c r="N5238">
        <v>-9.6669600000000005E-3</v>
      </c>
      <c r="O5238">
        <v>-0.172890299999999</v>
      </c>
      <c r="P5238">
        <v>0.9199948</v>
      </c>
      <c r="Q5238">
        <v>0.39192939999999998</v>
      </c>
      <c r="R5238">
        <v>-1.072094E-3</v>
      </c>
      <c r="S5238">
        <v>3.399689</v>
      </c>
      <c r="T5238">
        <v>-0.32496360000000002</v>
      </c>
      <c r="U5238">
        <v>-8.8195800000000005E-3</v>
      </c>
      <c r="V5238">
        <v>-0.16135060000000001</v>
      </c>
      <c r="W5238">
        <v>0.39933930000000001</v>
      </c>
      <c r="X5238">
        <v>0.90249330000000005</v>
      </c>
      <c r="Y5238">
        <v>-0.16886489999999901</v>
      </c>
      <c r="Z5238">
        <v>2.3620829999999999E-2</v>
      </c>
      <c r="AA5238">
        <v>0.98535620000000002</v>
      </c>
      <c r="AB5238">
        <v>33</v>
      </c>
      <c r="AC5238">
        <v>11.477699999999899</v>
      </c>
      <c r="AD5238">
        <v>-1.1138451190609999</v>
      </c>
      <c r="AE5238">
        <v>-7.4999999999647495E-4</v>
      </c>
      <c r="AF5238">
        <v>-1.96522899269796</v>
      </c>
      <c r="AG5238">
        <v>-1.1138451190609999</v>
      </c>
      <c r="AH5238">
        <v>11.199499443214201</v>
      </c>
      <c r="AI5238">
        <v>95.594741750572098</v>
      </c>
      <c r="AJ5238">
        <v>99.952634419063799</v>
      </c>
      <c r="AK5238">
        <v>11.4250410818321</v>
      </c>
      <c r="AL5238">
        <v>66.463119185770793</v>
      </c>
      <c r="AM5238">
        <v>100.13642740620701</v>
      </c>
      <c r="AN5238">
        <v>1.0000000245948699</v>
      </c>
    </row>
    <row r="5239" spans="1:40" x14ac:dyDescent="0.25">
      <c r="A5239" t="str">
        <f>"20190304164751805"</f>
        <v>20190304164751805</v>
      </c>
      <c r="B5239" t="str">
        <f>"1551689271794864"</f>
        <v>1551689271794864</v>
      </c>
      <c r="C5239" t="s">
        <v>40</v>
      </c>
      <c r="D5239">
        <v>4.5166779999999997</v>
      </c>
      <c r="E5239">
        <v>0.513602</v>
      </c>
      <c r="F5239" t="s">
        <v>58</v>
      </c>
      <c r="G5239">
        <v>-259.05290000000002</v>
      </c>
      <c r="H5239" s="1">
        <v>-3.0384879999999999E-6</v>
      </c>
      <c r="I5239">
        <v>-60.467529999999996</v>
      </c>
      <c r="J5239">
        <v>-270.56240000000003</v>
      </c>
      <c r="K5239">
        <v>1.1138049999999999</v>
      </c>
      <c r="L5239">
        <v>-60.484560000000002</v>
      </c>
      <c r="M5239">
        <v>0.98520079999999999</v>
      </c>
      <c r="N5239">
        <v>-9.6596200000000007E-3</v>
      </c>
      <c r="O5239">
        <v>-0.17113200000000001</v>
      </c>
      <c r="P5239">
        <v>0.92017320000000002</v>
      </c>
      <c r="Q5239">
        <v>0.39151190000000002</v>
      </c>
      <c r="R5239" s="1">
        <v>1.811236E-5</v>
      </c>
      <c r="S5239">
        <v>3.3991090000000002</v>
      </c>
      <c r="T5239">
        <v>-0.32442929999999998</v>
      </c>
      <c r="U5239">
        <v>-2.746582E-3</v>
      </c>
      <c r="V5239">
        <v>-0.16079959999999999</v>
      </c>
      <c r="W5239">
        <v>0.39893529999999999</v>
      </c>
      <c r="X5239">
        <v>0.90277030000000003</v>
      </c>
      <c r="Y5239">
        <v>-0.16887639999999901</v>
      </c>
      <c r="Z5239">
        <v>2.3438509999999999E-2</v>
      </c>
      <c r="AA5239">
        <v>0.98535850000000003</v>
      </c>
      <c r="AB5239">
        <v>33</v>
      </c>
      <c r="AC5239">
        <v>11.509499999999999</v>
      </c>
      <c r="AD5239">
        <v>-1.113808038488</v>
      </c>
      <c r="AE5239">
        <v>1.7029999999991201E-2</v>
      </c>
      <c r="AF5239">
        <v>-1.96808326009221</v>
      </c>
      <c r="AG5239">
        <v>-1.113808038488</v>
      </c>
      <c r="AH5239">
        <v>11.231598968219499</v>
      </c>
      <c r="AI5239">
        <v>95.578901923979004</v>
      </c>
      <c r="AJ5239">
        <v>99.938883827247693</v>
      </c>
      <c r="AK5239">
        <v>11.4569950444331</v>
      </c>
      <c r="AL5239">
        <v>66.488365442187799</v>
      </c>
      <c r="AM5239">
        <v>100.09949048799901</v>
      </c>
      <c r="AN5239">
        <v>1.0000000497541599</v>
      </c>
    </row>
    <row r="5240" spans="1:40" x14ac:dyDescent="0.25">
      <c r="A5240" t="str">
        <f>"20190304164751817"</f>
        <v>20190304164751817</v>
      </c>
      <c r="B5240" t="str">
        <f>"1551689271814385"</f>
        <v>1551689271814385</v>
      </c>
      <c r="C5240" t="s">
        <v>40</v>
      </c>
      <c r="D5240">
        <v>4.7140589999999998</v>
      </c>
      <c r="E5240">
        <v>0.51363899999999996</v>
      </c>
      <c r="F5240" t="s">
        <v>58</v>
      </c>
      <c r="G5240">
        <v>-258.92</v>
      </c>
      <c r="H5240" s="1">
        <v>-2.9839430000000001E-6</v>
      </c>
      <c r="I5240">
        <v>-60.478700000000003</v>
      </c>
      <c r="J5240">
        <v>-270.4042</v>
      </c>
      <c r="K5240">
        <v>1.113766</v>
      </c>
      <c r="L5240">
        <v>-60.5105</v>
      </c>
      <c r="M5240">
        <v>0.98549900000000001</v>
      </c>
      <c r="N5240">
        <v>-9.6524920000000004E-3</v>
      </c>
      <c r="O5240">
        <v>-0.16940639999999901</v>
      </c>
      <c r="P5240">
        <v>0.9203943</v>
      </c>
      <c r="Q5240">
        <v>0.39099089999999997</v>
      </c>
      <c r="R5240">
        <v>7.6500699999999995E-4</v>
      </c>
      <c r="S5240">
        <v>3.3985599999999998</v>
      </c>
      <c r="T5240">
        <v>-0.325134599999999</v>
      </c>
      <c r="U5240">
        <v>1.708984E-3</v>
      </c>
      <c r="V5240">
        <v>-0.15994829999999999</v>
      </c>
      <c r="W5240">
        <v>0.39843149999999999</v>
      </c>
      <c r="X5240">
        <v>0.9031439</v>
      </c>
      <c r="Y5240">
        <v>-0.16844379999999901</v>
      </c>
      <c r="Z5240">
        <v>2.332731E-2</v>
      </c>
      <c r="AA5240">
        <v>0.98543519999999896</v>
      </c>
      <c r="AB5240">
        <v>33</v>
      </c>
      <c r="AC5240">
        <v>11.4841999999999</v>
      </c>
      <c r="AD5240">
        <v>-1.1137689839430001</v>
      </c>
      <c r="AE5240">
        <v>3.17999999999969E-2</v>
      </c>
      <c r="AF5240">
        <v>-1.9585070788641501</v>
      </c>
      <c r="AG5240">
        <v>-1.1137689839430001</v>
      </c>
      <c r="AH5240">
        <v>11.207395624149999</v>
      </c>
      <c r="AI5240">
        <v>95.591128024668294</v>
      </c>
      <c r="AJ5240">
        <v>99.912419499873096</v>
      </c>
      <c r="AK5240">
        <v>11.431620532705301</v>
      </c>
      <c r="AL5240">
        <v>66.519839760253305</v>
      </c>
      <c r="AM5240">
        <v>100.04304273622201</v>
      </c>
      <c r="AN5240">
        <v>1.00000001148617</v>
      </c>
    </row>
    <row r="5241" spans="1:40" x14ac:dyDescent="0.25">
      <c r="A5241" t="str">
        <f>"20190304164751829"</f>
        <v>20190304164751829</v>
      </c>
      <c r="B5241" t="str">
        <f>"1551689271824144"</f>
        <v>1551689271824144</v>
      </c>
      <c r="C5241" t="s">
        <v>40</v>
      </c>
      <c r="D5241">
        <v>4.5160289999999996</v>
      </c>
      <c r="E5241">
        <v>0.51419820000000005</v>
      </c>
      <c r="F5241" t="s">
        <v>58</v>
      </c>
      <c r="G5241">
        <v>-258.8159</v>
      </c>
      <c r="H5241" s="1">
        <v>-2.9421589999999999E-6</v>
      </c>
      <c r="I5241">
        <v>-60.491660000000003</v>
      </c>
      <c r="J5241">
        <v>-270.21879999999999</v>
      </c>
      <c r="K5241">
        <v>1.113729</v>
      </c>
      <c r="L5241">
        <v>-60.540500000000002</v>
      </c>
      <c r="M5241">
        <v>0.98584110000000003</v>
      </c>
      <c r="N5241">
        <v>-9.6441670000000004E-3</v>
      </c>
      <c r="O5241">
        <v>-0.16740550000000001</v>
      </c>
      <c r="P5241">
        <v>0.92060229999999998</v>
      </c>
      <c r="Q5241">
        <v>0.39049630000000002</v>
      </c>
      <c r="R5241">
        <v>2.063021E-3</v>
      </c>
      <c r="S5241">
        <v>3.3982239999999999</v>
      </c>
      <c r="T5241">
        <v>-0.32660689999999998</v>
      </c>
      <c r="U5241">
        <v>5.5236819999999898E-3</v>
      </c>
      <c r="V5241">
        <v>-0.1593812</v>
      </c>
      <c r="W5241">
        <v>0.39795079999999999</v>
      </c>
      <c r="X5241">
        <v>0.90345600000000004</v>
      </c>
      <c r="Y5241">
        <v>-0.16754720000000001</v>
      </c>
      <c r="Z5241">
        <v>2.3222079999999999E-2</v>
      </c>
      <c r="AA5241">
        <v>0.98559050000000004</v>
      </c>
      <c r="AB5241">
        <v>33</v>
      </c>
      <c r="AC5241">
        <v>11.402899999999899</v>
      </c>
      <c r="AD5241">
        <v>-1.113731942159</v>
      </c>
      <c r="AE5241">
        <v>4.8840000000005497E-2</v>
      </c>
      <c r="AF5241">
        <v>-1.9386537292925601</v>
      </c>
      <c r="AG5241">
        <v>-1.113731942159</v>
      </c>
      <c r="AH5241">
        <v>11.127640798007199</v>
      </c>
      <c r="AI5241">
        <v>95.631262134837797</v>
      </c>
      <c r="AJ5241">
        <v>99.882857804256901</v>
      </c>
      <c r="AK5241">
        <v>11.3500293766386</v>
      </c>
      <c r="AL5241">
        <v>66.549863935947997</v>
      </c>
      <c r="AM5241">
        <v>100.00476858283299</v>
      </c>
      <c r="AN5241">
        <v>0.99999997503503901</v>
      </c>
    </row>
    <row r="5242" spans="1:40" x14ac:dyDescent="0.25">
      <c r="A5242" t="str">
        <f>"20190304164751840"</f>
        <v>20190304164751840</v>
      </c>
      <c r="B5242" t="str">
        <f>"1551689271834879"</f>
        <v>1551689271834879</v>
      </c>
      <c r="C5242" t="s">
        <v>40</v>
      </c>
      <c r="D5242">
        <v>4.5155329999999996</v>
      </c>
      <c r="E5242">
        <v>0.51429309999999995</v>
      </c>
      <c r="F5242" t="s">
        <v>58</v>
      </c>
      <c r="G5242">
        <v>-255.28380000000001</v>
      </c>
      <c r="H5242" s="1">
        <v>-1.437141E-6</v>
      </c>
      <c r="I5242">
        <v>-60.537649999999999</v>
      </c>
      <c r="J5242">
        <v>-270.05840000000001</v>
      </c>
      <c r="K5242">
        <v>1.1137010000000001</v>
      </c>
      <c r="L5242">
        <v>-60.566160000000004</v>
      </c>
      <c r="M5242">
        <v>0.9861316</v>
      </c>
      <c r="N5242">
        <v>-9.6374310000000001E-3</v>
      </c>
      <c r="O5242">
        <v>-0.1656859</v>
      </c>
      <c r="P5242">
        <v>0.92088040000000004</v>
      </c>
      <c r="Q5242">
        <v>0.38983119999999999</v>
      </c>
      <c r="R5242">
        <v>3.307272E-3</v>
      </c>
      <c r="S5242">
        <v>3.365173</v>
      </c>
      <c r="T5242">
        <v>-0.25094709999999998</v>
      </c>
      <c r="U5242">
        <v>6.408691E-4</v>
      </c>
      <c r="V5242">
        <v>-0.15903870000000001</v>
      </c>
      <c r="W5242">
        <v>0.39729710000000001</v>
      </c>
      <c r="X5242">
        <v>0.90380400000000005</v>
      </c>
      <c r="Y5242">
        <v>-0.16501859999999999</v>
      </c>
      <c r="Z5242">
        <v>1.763576E-2</v>
      </c>
      <c r="AA5242">
        <v>0.98613269999999997</v>
      </c>
      <c r="AB5242">
        <v>33</v>
      </c>
      <c r="AC5242">
        <v>14.7745999999999</v>
      </c>
      <c r="AD5242">
        <v>-1.113702437141</v>
      </c>
      <c r="AE5242">
        <v>2.85099999999971E-2</v>
      </c>
      <c r="AF5242">
        <v>-2.4621819736286601</v>
      </c>
      <c r="AG5242">
        <v>-1.113702437141</v>
      </c>
      <c r="AH5242">
        <v>14.48335581059</v>
      </c>
      <c r="AI5242">
        <v>94.335169581829803</v>
      </c>
      <c r="AJ5242">
        <v>99.648089477467394</v>
      </c>
      <c r="AK5242">
        <v>14.733304745572401</v>
      </c>
      <c r="AL5242">
        <v>66.590684029103699</v>
      </c>
      <c r="AM5242">
        <v>99.979935159143594</v>
      </c>
      <c r="AN5242">
        <v>0.99999998209104901</v>
      </c>
    </row>
    <row r="5243" spans="1:40" x14ac:dyDescent="0.25">
      <c r="A5243" t="str">
        <f>"20190304164751852"</f>
        <v>20190304164751852</v>
      </c>
      <c r="B5243" t="str">
        <f>"1551689271844639"</f>
        <v>1551689271844639</v>
      </c>
      <c r="C5243" t="s">
        <v>40</v>
      </c>
      <c r="D5243">
        <v>4.5205769999999896</v>
      </c>
      <c r="E5243">
        <v>0.51442779999999999</v>
      </c>
      <c r="F5243" t="s">
        <v>58</v>
      </c>
      <c r="G5243">
        <v>-255.1859</v>
      </c>
      <c r="H5243" s="1">
        <v>-1.3970539999999999E-6</v>
      </c>
      <c r="I5243">
        <v>-60.546329999999998</v>
      </c>
      <c r="J5243">
        <v>-269.8845</v>
      </c>
      <c r="K5243">
        <v>1.1136760000000001</v>
      </c>
      <c r="L5243">
        <v>-60.59375</v>
      </c>
      <c r="M5243">
        <v>0.98644169999999998</v>
      </c>
      <c r="N5243">
        <v>-9.630497E-3</v>
      </c>
      <c r="O5243">
        <v>-0.16383039999999999</v>
      </c>
      <c r="P5243">
        <v>0.92115139999999995</v>
      </c>
      <c r="Q5243">
        <v>0.38917489999999999</v>
      </c>
      <c r="R5243">
        <v>4.8452690000000001E-3</v>
      </c>
      <c r="S5243">
        <v>3.3643489999999998</v>
      </c>
      <c r="T5243">
        <v>-0.25193290000000002</v>
      </c>
      <c r="U5243">
        <v>4.4860840000000004E-3</v>
      </c>
      <c r="V5243">
        <v>-0.15885959999999999</v>
      </c>
      <c r="W5243">
        <v>0.3966499</v>
      </c>
      <c r="X5243">
        <v>0.90411969999999997</v>
      </c>
      <c r="Y5243">
        <v>-0.1642892</v>
      </c>
      <c r="Z5243">
        <v>1.756338E-2</v>
      </c>
      <c r="AA5243">
        <v>0.98625580000000002</v>
      </c>
      <c r="AB5243">
        <v>33</v>
      </c>
      <c r="AC5243">
        <v>14.698600000000001</v>
      </c>
      <c r="AD5243">
        <v>-1.1136773970539999</v>
      </c>
      <c r="AE5243">
        <v>4.7419999999995299E-2</v>
      </c>
      <c r="AF5243">
        <v>-2.4409552602145599</v>
      </c>
      <c r="AG5243">
        <v>-1.1136773970539999</v>
      </c>
      <c r="AH5243">
        <v>14.4094923946842</v>
      </c>
      <c r="AI5243">
        <v>94.357639606479694</v>
      </c>
      <c r="AJ5243">
        <v>99.614580853889194</v>
      </c>
      <c r="AK5243">
        <v>14.6571488018489</v>
      </c>
      <c r="AL5243">
        <v>66.631085453459406</v>
      </c>
      <c r="AM5243">
        <v>99.965510767610297</v>
      </c>
      <c r="AN5243">
        <v>0.99999997380512895</v>
      </c>
    </row>
    <row r="5244" spans="1:40" x14ac:dyDescent="0.25">
      <c r="A5244" t="str">
        <f>"20190304164751863"</f>
        <v>20190304164751863</v>
      </c>
      <c r="B5244" t="str">
        <f>"1551689271854399"</f>
        <v>1551689271854399</v>
      </c>
      <c r="C5244" t="s">
        <v>40</v>
      </c>
      <c r="D5244">
        <v>4.4979339999999999</v>
      </c>
      <c r="E5244">
        <v>0.51454339999999998</v>
      </c>
      <c r="F5244" t="s">
        <v>58</v>
      </c>
      <c r="G5244">
        <v>-255.0204</v>
      </c>
      <c r="H5244" s="1">
        <v>-1.327407E-6</v>
      </c>
      <c r="I5244">
        <v>-60.552340000000001</v>
      </c>
      <c r="J5244">
        <v>-269.7355</v>
      </c>
      <c r="K5244">
        <v>1.1136569999999999</v>
      </c>
      <c r="L5244">
        <v>-60.616999999999997</v>
      </c>
      <c r="M5244">
        <v>0.98670239999999998</v>
      </c>
      <c r="N5244">
        <v>-9.6251889999999993E-3</v>
      </c>
      <c r="O5244">
        <v>-0.16225149999999999</v>
      </c>
      <c r="P5244">
        <v>0.92134329999999998</v>
      </c>
      <c r="Q5244">
        <v>0.38870169999999998</v>
      </c>
      <c r="R5244">
        <v>6.1056460000000002E-3</v>
      </c>
      <c r="S5244">
        <v>3.3631899999999999</v>
      </c>
      <c r="T5244">
        <v>-0.25198320000000002</v>
      </c>
      <c r="U5244">
        <v>9.3688959999999998E-3</v>
      </c>
      <c r="V5244">
        <v>-0.15865899999999999</v>
      </c>
      <c r="W5244">
        <v>0.3961827</v>
      </c>
      <c r="X5244">
        <v>0.90435980000000005</v>
      </c>
      <c r="Y5244">
        <v>-0.16414579999999901</v>
      </c>
      <c r="Z5244">
        <v>1.7466499999999999E-2</v>
      </c>
      <c r="AA5244">
        <v>0.98628150000000003</v>
      </c>
      <c r="AB5244">
        <v>33</v>
      </c>
      <c r="AC5244">
        <v>14.7151</v>
      </c>
      <c r="AD5244">
        <v>-1.113658327407</v>
      </c>
      <c r="AE5244">
        <v>6.4659999999996304E-2</v>
      </c>
      <c r="AF5244">
        <v>-2.4375000944154999</v>
      </c>
      <c r="AG5244">
        <v>-1.113658327407</v>
      </c>
      <c r="AH5244">
        <v>14.4269754772796</v>
      </c>
      <c r="AI5244">
        <v>94.352622108104597</v>
      </c>
      <c r="AJ5244">
        <v>99.589806091323794</v>
      </c>
      <c r="AK5244">
        <v>14.673761038074201</v>
      </c>
      <c r="AL5244">
        <v>66.660244249629898</v>
      </c>
      <c r="AM5244">
        <v>99.950588947318096</v>
      </c>
      <c r="AN5244">
        <v>1.0000000289581601</v>
      </c>
    </row>
    <row r="5245" spans="1:40" x14ac:dyDescent="0.25">
      <c r="A5245" t="str">
        <f>"20190304164751872"</f>
        <v>20190304164751872</v>
      </c>
      <c r="B5245" t="str">
        <f>"1551689271864160"</f>
        <v>1551689271864160</v>
      </c>
      <c r="C5245" t="s">
        <v>40</v>
      </c>
      <c r="D5245">
        <v>4.5060449999999896</v>
      </c>
      <c r="E5245">
        <v>0.51487669999999996</v>
      </c>
      <c r="F5245" t="s">
        <v>58</v>
      </c>
      <c r="G5245">
        <v>-254.94370000000001</v>
      </c>
      <c r="H5245" s="1">
        <v>-1.2962359999999999E-6</v>
      </c>
      <c r="I5245">
        <v>-60.560090000000002</v>
      </c>
      <c r="J5245">
        <v>-269.5754</v>
      </c>
      <c r="K5245">
        <v>1.113637</v>
      </c>
      <c r="L5245">
        <v>-60.64188</v>
      </c>
      <c r="M5245">
        <v>0.98697979999999996</v>
      </c>
      <c r="N5245">
        <v>-9.6196770000000001E-3</v>
      </c>
      <c r="O5245">
        <v>-0.16055720000000001</v>
      </c>
      <c r="P5245">
        <v>0.92157279999999997</v>
      </c>
      <c r="Q5245">
        <v>0.3881329</v>
      </c>
      <c r="R5245">
        <v>7.5261740000000001E-3</v>
      </c>
      <c r="S5245">
        <v>3.362854</v>
      </c>
      <c r="T5245">
        <v>-0.2531854</v>
      </c>
      <c r="U5245">
        <v>1.293945E-2</v>
      </c>
      <c r="V5245">
        <v>-0.1585155</v>
      </c>
      <c r="W5245">
        <v>0.39561960000000002</v>
      </c>
      <c r="X5245">
        <v>0.90463139999999997</v>
      </c>
      <c r="Y5245">
        <v>-0.16349669999999999</v>
      </c>
      <c r="Z5245">
        <v>1.7418630000000001E-2</v>
      </c>
      <c r="AA5245">
        <v>0.98639010000000005</v>
      </c>
      <c r="AB5245">
        <v>33</v>
      </c>
      <c r="AC5245">
        <v>14.631699999999899</v>
      </c>
      <c r="AD5245">
        <v>-1.1136382962360001</v>
      </c>
      <c r="AE5245">
        <v>8.1790000000005095E-2</v>
      </c>
      <c r="AF5245">
        <v>-2.4160662820563901</v>
      </c>
      <c r="AG5245">
        <v>-1.1136382962360001</v>
      </c>
      <c r="AH5245">
        <v>14.345625284178499</v>
      </c>
      <c r="AI5245">
        <v>94.377513914031894</v>
      </c>
      <c r="AJ5245">
        <v>99.559944900574905</v>
      </c>
      <c r="AK5245">
        <v>14.590220400261</v>
      </c>
      <c r="AL5245">
        <v>66.695377490571005</v>
      </c>
      <c r="AM5245">
        <v>99.938843403168804</v>
      </c>
      <c r="AN5245">
        <v>1.0000000007551799</v>
      </c>
    </row>
    <row r="5246" spans="1:40" x14ac:dyDescent="0.25">
      <c r="A5246" t="str">
        <f>"20190304164751883"</f>
        <v>20190304164751883</v>
      </c>
      <c r="B5246" t="str">
        <f>"1551689271874895"</f>
        <v>1551689271874895</v>
      </c>
      <c r="C5246" t="s">
        <v>40</v>
      </c>
      <c r="D5246">
        <v>4.5163070000000003</v>
      </c>
      <c r="E5246">
        <v>0.51493329999999904</v>
      </c>
      <c r="F5246" t="s">
        <v>58</v>
      </c>
      <c r="G5246">
        <v>-254.8776</v>
      </c>
      <c r="H5246" s="1">
        <v>-1.2705510000000001E-6</v>
      </c>
      <c r="I5246">
        <v>-60.572110000000002</v>
      </c>
      <c r="J5246">
        <v>-269.4228</v>
      </c>
      <c r="K5246">
        <v>1.1136170000000001</v>
      </c>
      <c r="L5246">
        <v>-60.665190000000003</v>
      </c>
      <c r="M5246">
        <v>0.98723939999999999</v>
      </c>
      <c r="N5246">
        <v>-9.6150969999999995E-3</v>
      </c>
      <c r="O5246">
        <v>-0.15895239999999999</v>
      </c>
      <c r="P5246">
        <v>0.9216628</v>
      </c>
      <c r="Q5246">
        <v>0.38789279999999998</v>
      </c>
      <c r="R5246">
        <v>8.7733489999999997E-3</v>
      </c>
      <c r="S5246">
        <v>3.3624879999999999</v>
      </c>
      <c r="T5246">
        <v>-0.25477270000000002</v>
      </c>
      <c r="U5246">
        <v>1.596069E-2</v>
      </c>
      <c r="V5246">
        <v>-0.15826989999999999</v>
      </c>
      <c r="W5246">
        <v>0.3953835</v>
      </c>
      <c r="X5246">
        <v>0.90477759999999996</v>
      </c>
      <c r="Y5246">
        <v>-0.1627741</v>
      </c>
      <c r="Z5246">
        <v>1.7399370000000001E-2</v>
      </c>
      <c r="AA5246">
        <v>0.98650990000000005</v>
      </c>
      <c r="AB5246">
        <v>33</v>
      </c>
      <c r="AC5246">
        <v>14.5451999999999</v>
      </c>
      <c r="AD5246">
        <v>-1.113618270551</v>
      </c>
      <c r="AE5246">
        <v>9.3080000000007601E-2</v>
      </c>
      <c r="AF5246">
        <v>-2.3899887446077899</v>
      </c>
      <c r="AG5246">
        <v>-1.113618270551</v>
      </c>
      <c r="AH5246">
        <v>14.2618655127987</v>
      </c>
      <c r="AI5246">
        <v>94.403644831355507</v>
      </c>
      <c r="AJ5246">
        <v>99.513173114814194</v>
      </c>
      <c r="AK5246">
        <v>14.503551280876501</v>
      </c>
      <c r="AL5246">
        <v>66.710105620207699</v>
      </c>
      <c r="AM5246">
        <v>99.922179086251205</v>
      </c>
      <c r="AN5246">
        <v>0.999999989390009</v>
      </c>
    </row>
    <row r="5247" spans="1:40" x14ac:dyDescent="0.25">
      <c r="A5247" t="str">
        <f>"20190304164751896"</f>
        <v>20190304164751896</v>
      </c>
      <c r="B5247" t="str">
        <f>"1551689271884656"</f>
        <v>1551689271884656</v>
      </c>
      <c r="C5247" t="s">
        <v>40</v>
      </c>
      <c r="D5247">
        <v>4.5229330000000001</v>
      </c>
      <c r="E5247">
        <v>0.51498299999999997</v>
      </c>
      <c r="F5247" t="s">
        <v>58</v>
      </c>
      <c r="G5247">
        <v>-254.77189999999999</v>
      </c>
      <c r="H5247" s="1">
        <v>-1.2263330000000001E-6</v>
      </c>
      <c r="I5247">
        <v>-60.577300000000001</v>
      </c>
      <c r="J5247">
        <v>-269.24619999999999</v>
      </c>
      <c r="K5247">
        <v>1.113602</v>
      </c>
      <c r="L5247">
        <v>-60.6920199999999</v>
      </c>
      <c r="M5247">
        <v>0.98753659999999999</v>
      </c>
      <c r="N5247">
        <v>-9.6100079999999997E-3</v>
      </c>
      <c r="O5247">
        <v>-0.15709670000000001</v>
      </c>
      <c r="P5247">
        <v>0.92171060000000005</v>
      </c>
      <c r="Q5247">
        <v>0.38773960000000002</v>
      </c>
      <c r="R5247">
        <v>1.0392139999999999E-2</v>
      </c>
      <c r="S5247">
        <v>3.3623660000000002</v>
      </c>
      <c r="T5247">
        <v>-0.25557410000000003</v>
      </c>
      <c r="U5247">
        <v>2.0172120000000002E-2</v>
      </c>
      <c r="V5247">
        <v>-0.15815379999999901</v>
      </c>
      <c r="W5247">
        <v>0.3952329</v>
      </c>
      <c r="X5247">
        <v>0.90486369999999905</v>
      </c>
      <c r="Y5247">
        <v>-0.16215599999999999</v>
      </c>
      <c r="Z5247">
        <v>1.7309660000000001E-2</v>
      </c>
      <c r="AA5247">
        <v>0.98661330000000003</v>
      </c>
      <c r="AB5247">
        <v>33</v>
      </c>
      <c r="AC5247">
        <v>14.474299999999999</v>
      </c>
      <c r="AD5247">
        <v>-1.113603226333</v>
      </c>
      <c r="AE5247">
        <v>0.114719999999991</v>
      </c>
      <c r="AF5247">
        <v>-2.3732181271602601</v>
      </c>
      <c r="AG5247">
        <v>-1.113603226333</v>
      </c>
      <c r="AH5247">
        <v>14.192532553064501</v>
      </c>
      <c r="AI5247">
        <v>94.425273139323295</v>
      </c>
      <c r="AJ5247">
        <v>99.492941741135795</v>
      </c>
      <c r="AK5247">
        <v>14.432610875880201</v>
      </c>
      <c r="AL5247">
        <v>66.719499590847803</v>
      </c>
      <c r="AM5247">
        <v>99.914120373979898</v>
      </c>
      <c r="AN5247">
        <v>0.99999999263726902</v>
      </c>
    </row>
    <row r="5248" spans="1:40" x14ac:dyDescent="0.25">
      <c r="A5248" t="str">
        <f>"20190304164751906"</f>
        <v>20190304164751906</v>
      </c>
      <c r="B5248" t="str">
        <f>"1551689271894416"</f>
        <v>1551689271894416</v>
      </c>
      <c r="C5248" t="s">
        <v>40</v>
      </c>
      <c r="D5248">
        <v>4.5287179999999996</v>
      </c>
      <c r="E5248">
        <v>0.51498299999999997</v>
      </c>
      <c r="F5248" t="s">
        <v>58</v>
      </c>
      <c r="G5248">
        <v>-254.56280000000001</v>
      </c>
      <c r="H5248" s="1">
        <v>-1.137105E-6</v>
      </c>
      <c r="I5248">
        <v>-60.57938</v>
      </c>
      <c r="J5248">
        <v>-269.09269999999998</v>
      </c>
      <c r="K5248">
        <v>1.1135900000000001</v>
      </c>
      <c r="L5248">
        <v>-60.7149</v>
      </c>
      <c r="M5248">
        <v>0.98779079999999997</v>
      </c>
      <c r="N5248">
        <v>-9.6061629999999992E-3</v>
      </c>
      <c r="O5248">
        <v>-0.15549009999999999</v>
      </c>
      <c r="P5248">
        <v>0.92156859999999996</v>
      </c>
      <c r="Q5248">
        <v>0.38803860000000001</v>
      </c>
      <c r="R5248">
        <v>1.173329E-2</v>
      </c>
      <c r="S5248">
        <v>3.3617859999999999</v>
      </c>
      <c r="T5248">
        <v>-0.25496099999999999</v>
      </c>
      <c r="U5248">
        <v>2.5787350000000001E-2</v>
      </c>
      <c r="V5248">
        <v>-0.157973799999999</v>
      </c>
      <c r="W5248">
        <v>0.39553159999999998</v>
      </c>
      <c r="X5248">
        <v>0.90476469999999998</v>
      </c>
      <c r="Y5248">
        <v>-0.1622072</v>
      </c>
      <c r="Z5248">
        <v>1.7167399999999999E-2</v>
      </c>
      <c r="AA5248">
        <v>0.98660740000000002</v>
      </c>
      <c r="AB5248">
        <v>33</v>
      </c>
      <c r="AC5248">
        <v>14.5298999999999</v>
      </c>
      <c r="AD5248">
        <v>-1.11359113710499</v>
      </c>
      <c r="AE5248">
        <v>0.13551999999999201</v>
      </c>
      <c r="AF5248">
        <v>-2.3792570074522601</v>
      </c>
      <c r="AG5248">
        <v>-1.11359113710499</v>
      </c>
      <c r="AH5248">
        <v>14.248403628454501</v>
      </c>
      <c r="AI5248">
        <v>94.408107035244299</v>
      </c>
      <c r="AJ5248">
        <v>99.480017921569697</v>
      </c>
      <c r="AK5248">
        <v>14.488545651220701</v>
      </c>
      <c r="AL5248">
        <v>66.700868895291705</v>
      </c>
      <c r="AM5248">
        <v>99.904122442537698</v>
      </c>
      <c r="AN5248">
        <v>1.0000000652255401</v>
      </c>
    </row>
    <row r="5249" spans="1:40" x14ac:dyDescent="0.25">
      <c r="A5249" t="str">
        <f>"20190304164751917"</f>
        <v>20190304164751917</v>
      </c>
      <c r="B5249" t="str">
        <f>"1551689271914911"</f>
        <v>1551689271914911</v>
      </c>
      <c r="C5249" t="s">
        <v>40</v>
      </c>
      <c r="D5249">
        <v>4.5055420000000002</v>
      </c>
      <c r="E5249">
        <v>0.5163816</v>
      </c>
      <c r="F5249" t="s">
        <v>58</v>
      </c>
      <c r="G5249">
        <v>-254.34620000000001</v>
      </c>
      <c r="H5249" s="1">
        <v>-1.044872E-6</v>
      </c>
      <c r="I5249">
        <v>-60.582369999999997</v>
      </c>
      <c r="J5249">
        <v>-268.93090000000001</v>
      </c>
      <c r="K5249">
        <v>1.113585</v>
      </c>
      <c r="L5249">
        <v>-60.738889999999998</v>
      </c>
      <c r="M5249">
        <v>0.98805560000000003</v>
      </c>
      <c r="N5249">
        <v>-9.6023199999999993E-3</v>
      </c>
      <c r="O5249">
        <v>-0.1537984</v>
      </c>
      <c r="P5249">
        <v>0.92147520000000005</v>
      </c>
      <c r="Q5249">
        <v>0.38820339999999998</v>
      </c>
      <c r="R5249">
        <v>1.3466769999999999E-2</v>
      </c>
      <c r="S5249">
        <v>3.3617859999999999</v>
      </c>
      <c r="T5249">
        <v>-0.25386829999999999</v>
      </c>
      <c r="U5249">
        <v>3.02124E-2</v>
      </c>
      <c r="V5249">
        <v>-0.1581101</v>
      </c>
      <c r="W5249">
        <v>0.39569359999999998</v>
      </c>
      <c r="X5249">
        <v>0.90466990000000003</v>
      </c>
      <c r="Y5249">
        <v>-0.16182859999999999</v>
      </c>
      <c r="Z5249">
        <v>1.6965330000000001E-2</v>
      </c>
      <c r="AA5249">
        <v>0.98667309999999997</v>
      </c>
      <c r="AB5249">
        <v>33</v>
      </c>
      <c r="AC5249">
        <v>14.5846999999999</v>
      </c>
      <c r="AD5249">
        <v>-1.1135860448720001</v>
      </c>
      <c r="AE5249">
        <v>0.15652000000000699</v>
      </c>
      <c r="AF5249">
        <v>-2.3839680896720701</v>
      </c>
      <c r="AG5249">
        <v>-1.1135860448720001</v>
      </c>
      <c r="AH5249">
        <v>14.3037071859265</v>
      </c>
      <c r="AI5249">
        <v>94.3913349380271</v>
      </c>
      <c r="AJ5249">
        <v>99.462388042934904</v>
      </c>
      <c r="AK5249">
        <v>14.543707126886</v>
      </c>
      <c r="AL5249">
        <v>66.690759094153506</v>
      </c>
      <c r="AM5249">
        <v>99.913516428791993</v>
      </c>
      <c r="AN5249">
        <v>0.99999992838448704</v>
      </c>
    </row>
    <row r="5250" spans="1:40" x14ac:dyDescent="0.25">
      <c r="A5250" t="str">
        <f>"20190304164751928"</f>
        <v>20190304164751928</v>
      </c>
      <c r="B5250" t="str">
        <f>"1551689271924672"</f>
        <v>1551689271924672</v>
      </c>
      <c r="C5250" t="s">
        <v>40</v>
      </c>
      <c r="D5250">
        <v>4.5166659999999998</v>
      </c>
      <c r="E5250">
        <v>0.51624599999999998</v>
      </c>
      <c r="F5250" t="s">
        <v>58</v>
      </c>
      <c r="G5250">
        <v>-257.05549999999999</v>
      </c>
      <c r="H5250" s="1">
        <v>-2.2184589999999999E-6</v>
      </c>
      <c r="I5250">
        <v>-60.633240000000001</v>
      </c>
      <c r="J5250">
        <v>-268.76569999999998</v>
      </c>
      <c r="K5250">
        <v>1.1135790000000001</v>
      </c>
      <c r="L5250">
        <v>-60.763030000000001</v>
      </c>
      <c r="M5250">
        <v>0.98832260000000005</v>
      </c>
      <c r="N5250">
        <v>-9.5988740000000003E-3</v>
      </c>
      <c r="O5250">
        <v>-0.15207309999999999</v>
      </c>
      <c r="P5250">
        <v>0.92149389999999998</v>
      </c>
      <c r="Q5250">
        <v>0.38810499999999998</v>
      </c>
      <c r="R5250">
        <v>1.495544E-2</v>
      </c>
      <c r="S5250">
        <v>3.3890989999999999</v>
      </c>
      <c r="T5250">
        <v>-0.31780449999999999</v>
      </c>
      <c r="U5250">
        <v>3.015137E-2</v>
      </c>
      <c r="V5250">
        <v>-0.15799279999999999</v>
      </c>
      <c r="W5250">
        <v>0.39559509999999998</v>
      </c>
      <c r="X5250">
        <v>0.90473349999999997</v>
      </c>
      <c r="Y5250">
        <v>-0.15956129999999999</v>
      </c>
      <c r="Z5250">
        <v>2.0960989999999999E-2</v>
      </c>
      <c r="AA5250">
        <v>0.98696550000000005</v>
      </c>
      <c r="AB5250">
        <v>34</v>
      </c>
      <c r="AC5250">
        <v>11.710199999999899</v>
      </c>
      <c r="AD5250">
        <v>-1.1135812184589999</v>
      </c>
      <c r="AE5250">
        <v>0.12979000000000601</v>
      </c>
      <c r="AF5250">
        <v>-1.8920609214026101</v>
      </c>
      <c r="AG5250">
        <v>-1.1135812184589999</v>
      </c>
      <c r="AH5250">
        <v>11.450713752367401</v>
      </c>
      <c r="AI5250">
        <v>95.4806909932922</v>
      </c>
      <c r="AJ5250">
        <v>99.382503137582404</v>
      </c>
      <c r="AK5250">
        <v>11.659279698980599</v>
      </c>
      <c r="AL5250">
        <v>66.696904847823603</v>
      </c>
      <c r="AM5250">
        <v>99.905624871296396</v>
      </c>
      <c r="AN5250">
        <v>0.99999995700904898</v>
      </c>
    </row>
    <row r="5251" spans="1:40" x14ac:dyDescent="0.25">
      <c r="A5251" t="str">
        <f>"20190304164751940"</f>
        <v>20190304164751940</v>
      </c>
      <c r="B5251" t="str">
        <f>"1551689271934431"</f>
        <v>1551689271934431</v>
      </c>
      <c r="C5251" t="s">
        <v>40</v>
      </c>
      <c r="D5251">
        <v>4.5341699999999996</v>
      </c>
      <c r="E5251">
        <v>0.51648450000000001</v>
      </c>
      <c r="F5251" t="s">
        <v>58</v>
      </c>
      <c r="G5251">
        <v>-256.8272</v>
      </c>
      <c r="H5251" s="1">
        <v>-2.121527E-6</v>
      </c>
      <c r="I5251">
        <v>-60.637860000000003</v>
      </c>
      <c r="J5251">
        <v>-268.60379999999998</v>
      </c>
      <c r="K5251">
        <v>1.113575</v>
      </c>
      <c r="L5251">
        <v>-60.786439999999999</v>
      </c>
      <c r="M5251">
        <v>0.98858120000000005</v>
      </c>
      <c r="N5251">
        <v>-9.5979580000000002E-3</v>
      </c>
      <c r="O5251">
        <v>-0.15038319999999999</v>
      </c>
      <c r="P5251">
        <v>0.92152149999999999</v>
      </c>
      <c r="Q5251">
        <v>0.38796439999999999</v>
      </c>
      <c r="R5251">
        <v>1.6779949999999998E-2</v>
      </c>
      <c r="S5251">
        <v>3.3881230000000002</v>
      </c>
      <c r="T5251">
        <v>-0.31603189999999998</v>
      </c>
      <c r="U5251">
        <v>3.5522459999999999E-2</v>
      </c>
      <c r="V5251">
        <v>-0.15824269999999999</v>
      </c>
      <c r="W5251">
        <v>0.3954532</v>
      </c>
      <c r="X5251">
        <v>0.90475190000000005</v>
      </c>
      <c r="Y5251">
        <v>-0.1594612</v>
      </c>
      <c r="Z5251">
        <v>2.0702479999999999E-2</v>
      </c>
      <c r="AA5251">
        <v>0.98698710000000001</v>
      </c>
      <c r="AB5251">
        <v>34</v>
      </c>
      <c r="AC5251">
        <v>11.776599999999901</v>
      </c>
      <c r="AD5251">
        <v>-1.1135771215270001</v>
      </c>
      <c r="AE5251">
        <v>0.14858000000000199</v>
      </c>
      <c r="AF5251">
        <v>-1.90097998605625</v>
      </c>
      <c r="AG5251">
        <v>-1.1135771215270001</v>
      </c>
      <c r="AH5251">
        <v>11.5173528386727</v>
      </c>
      <c r="AI5251">
        <v>95.449309530279805</v>
      </c>
      <c r="AJ5251">
        <v>99.372372007254199</v>
      </c>
      <c r="AK5251">
        <v>11.726175647817</v>
      </c>
      <c r="AL5251">
        <v>66.705757848150398</v>
      </c>
      <c r="AM5251">
        <v>99.920783956067694</v>
      </c>
      <c r="AN5251">
        <v>0.99999999302357001</v>
      </c>
    </row>
    <row r="5252" spans="1:40" x14ac:dyDescent="0.25">
      <c r="A5252" t="str">
        <f>"20190304164751951"</f>
        <v>20190304164751951</v>
      </c>
      <c r="B5252" t="str">
        <f>"1551689271944192"</f>
        <v>1551689271944192</v>
      </c>
      <c r="C5252" t="s">
        <v>40</v>
      </c>
      <c r="D5252">
        <v>4.4968680000000001</v>
      </c>
      <c r="E5252">
        <v>0.51644880000000004</v>
      </c>
      <c r="F5252" t="s">
        <v>58</v>
      </c>
      <c r="G5252">
        <v>-256.70650000000001</v>
      </c>
      <c r="H5252" s="1">
        <v>-2.071967E-6</v>
      </c>
      <c r="I5252">
        <v>-60.647880000000001</v>
      </c>
      <c r="J5252">
        <v>-268.40949999999998</v>
      </c>
      <c r="K5252">
        <v>1.1135759999999999</v>
      </c>
      <c r="L5252">
        <v>-60.814149999999998</v>
      </c>
      <c r="M5252">
        <v>0.98888710000000002</v>
      </c>
      <c r="N5252">
        <v>-9.6000679999999998E-3</v>
      </c>
      <c r="O5252">
        <v>-0.1483582</v>
      </c>
      <c r="P5252">
        <v>0.92157690000000003</v>
      </c>
      <c r="Q5252">
        <v>0.38774819999999999</v>
      </c>
      <c r="R5252">
        <v>1.8641000000000001E-2</v>
      </c>
      <c r="S5252">
        <v>3.3882750000000001</v>
      </c>
      <c r="T5252">
        <v>-0.31713970000000002</v>
      </c>
      <c r="U5252">
        <v>3.9459229999999998E-2</v>
      </c>
      <c r="V5252">
        <v>-0.15822559999999999</v>
      </c>
      <c r="W5252">
        <v>0.39524169999999997</v>
      </c>
      <c r="X5252">
        <v>0.90484730000000002</v>
      </c>
      <c r="Y5252">
        <v>-0.1585879</v>
      </c>
      <c r="Z5252">
        <v>2.056322E-2</v>
      </c>
      <c r="AA5252">
        <v>0.98713070000000003</v>
      </c>
      <c r="AB5252">
        <v>34</v>
      </c>
      <c r="AC5252">
        <v>11.7029999999999</v>
      </c>
      <c r="AD5252">
        <v>-1.1135780719670001</v>
      </c>
      <c r="AE5252">
        <v>0.16626999999999001</v>
      </c>
      <c r="AF5252">
        <v>-1.88369407252355</v>
      </c>
      <c r="AG5252">
        <v>-1.1135780719670001</v>
      </c>
      <c r="AH5252">
        <v>11.445204817019301</v>
      </c>
      <c r="AI5252">
        <v>95.483867604439297</v>
      </c>
      <c r="AJ5252">
        <v>99.346163071178495</v>
      </c>
      <c r="AK5252">
        <v>11.652513582259701</v>
      </c>
      <c r="AL5252">
        <v>66.718950609669307</v>
      </c>
      <c r="AM5252">
        <v>99.918708106410307</v>
      </c>
      <c r="AN5252">
        <v>0.99999998911576904</v>
      </c>
    </row>
    <row r="5253" spans="1:40" x14ac:dyDescent="0.25">
      <c r="A5253" t="str">
        <f>"20190304164751965"</f>
        <v>20190304164751965</v>
      </c>
      <c r="B5253" t="str">
        <f>"1551689271954927"</f>
        <v>1551689271954927</v>
      </c>
      <c r="C5253" t="s">
        <v>40</v>
      </c>
      <c r="D5253">
        <v>4.4933399999999999</v>
      </c>
      <c r="E5253">
        <v>0.51640180000000002</v>
      </c>
      <c r="F5253" t="s">
        <v>58</v>
      </c>
      <c r="G5253">
        <v>-256.4468</v>
      </c>
      <c r="H5253" s="1">
        <v>-1.9618130000000002E-6</v>
      </c>
      <c r="I5253">
        <v>-60.653440000000003</v>
      </c>
      <c r="J5253">
        <v>-268.22359999999998</v>
      </c>
      <c r="K5253">
        <v>1.1135759999999999</v>
      </c>
      <c r="L5253">
        <v>-60.840179999999997</v>
      </c>
      <c r="M5253">
        <v>0.98917600000000006</v>
      </c>
      <c r="N5253">
        <v>-9.6060999999999994E-3</v>
      </c>
      <c r="O5253">
        <v>-0.1464193</v>
      </c>
      <c r="P5253">
        <v>0.92153739999999995</v>
      </c>
      <c r="Q5253">
        <v>0.38773760000000002</v>
      </c>
      <c r="R5253">
        <v>2.069526E-2</v>
      </c>
      <c r="S5253">
        <v>3.3870239999999998</v>
      </c>
      <c r="T5253">
        <v>-0.31528869999999998</v>
      </c>
      <c r="U5253">
        <v>4.5501710000000001E-2</v>
      </c>
      <c r="V5253">
        <v>-0.15846859999999999</v>
      </c>
      <c r="W5253">
        <v>0.39523469999999999</v>
      </c>
      <c r="X5253">
        <v>0.9048079</v>
      </c>
      <c r="Y5253">
        <v>-0.1584392</v>
      </c>
      <c r="Z5253">
        <v>2.0279889999999998E-2</v>
      </c>
      <c r="AA5253">
        <v>0.98716040000000005</v>
      </c>
      <c r="AB5253">
        <v>34</v>
      </c>
      <c r="AC5253">
        <v>11.7767999999999</v>
      </c>
      <c r="AD5253">
        <v>-1.113577961813</v>
      </c>
      <c r="AE5253">
        <v>0.18673999999999999</v>
      </c>
      <c r="AF5253">
        <v>-1.8922432648635199</v>
      </c>
      <c r="AG5253">
        <v>-1.113577961813</v>
      </c>
      <c r="AH5253">
        <v>11.5195510109052</v>
      </c>
      <c r="AI5253">
        <v>95.448965859841195</v>
      </c>
      <c r="AJ5253">
        <v>99.328307554876403</v>
      </c>
      <c r="AK5253">
        <v>11.7269218443419</v>
      </c>
      <c r="AL5253">
        <v>66.719388745770402</v>
      </c>
      <c r="AM5253">
        <v>99.934061821799105</v>
      </c>
      <c r="AN5253">
        <v>1.0000000505862201</v>
      </c>
    </row>
    <row r="5254" spans="1:40" x14ac:dyDescent="0.25">
      <c r="A5254" t="str">
        <f>"20190304164751978"</f>
        <v>20190304164751978</v>
      </c>
      <c r="B5254" t="str">
        <f>"1551689271974447"</f>
        <v>1551689271974447</v>
      </c>
      <c r="C5254" t="s">
        <v>40</v>
      </c>
      <c r="D5254">
        <v>4.5504509999999998</v>
      </c>
      <c r="E5254">
        <v>0.5170981</v>
      </c>
      <c r="F5254" t="s">
        <v>58</v>
      </c>
      <c r="G5254">
        <v>-256.22269999999997</v>
      </c>
      <c r="H5254" s="1">
        <v>-1.865753E-6</v>
      </c>
      <c r="I5254">
        <v>-60.653840000000002</v>
      </c>
      <c r="J5254">
        <v>-268.03120000000001</v>
      </c>
      <c r="K5254">
        <v>1.113577</v>
      </c>
      <c r="L5254">
        <v>-60.866909999999997</v>
      </c>
      <c r="M5254">
        <v>0.98947110000000005</v>
      </c>
      <c r="N5254">
        <v>-9.6135390000000008E-3</v>
      </c>
      <c r="O5254">
        <v>-0.14441129999999999</v>
      </c>
      <c r="P5254">
        <v>0.92156190000000004</v>
      </c>
      <c r="Q5254">
        <v>0.38756869999999999</v>
      </c>
      <c r="R5254">
        <v>2.2682770000000001E-2</v>
      </c>
      <c r="S5254">
        <v>3.386444</v>
      </c>
      <c r="T5254">
        <v>-0.31423089999999998</v>
      </c>
      <c r="U5254">
        <v>5.2581790000000003E-2</v>
      </c>
      <c r="V5254">
        <v>-0.15859200000000001</v>
      </c>
      <c r="W5254">
        <v>0.3950726</v>
      </c>
      <c r="X5254">
        <v>0.90485700000000002</v>
      </c>
      <c r="Y5254">
        <v>-0.15851599999999999</v>
      </c>
      <c r="Z5254">
        <v>2.005214E-2</v>
      </c>
      <c r="AA5254">
        <v>0.98715280000000005</v>
      </c>
      <c r="AB5254">
        <v>34</v>
      </c>
      <c r="AC5254">
        <v>11.8085</v>
      </c>
      <c r="AD5254">
        <v>-1.1135788657529999</v>
      </c>
      <c r="AE5254">
        <v>0.21306999999999399</v>
      </c>
      <c r="AF5254">
        <v>-1.8993106601433001</v>
      </c>
      <c r="AG5254">
        <v>-1.1135788657529999</v>
      </c>
      <c r="AH5254">
        <v>11.5512449391118</v>
      </c>
      <c r="AI5254">
        <v>95.433969893899402</v>
      </c>
      <c r="AJ5254">
        <v>99.337296752537895</v>
      </c>
      <c r="AK5254">
        <v>11.7591963380727</v>
      </c>
      <c r="AL5254">
        <v>66.729497643482802</v>
      </c>
      <c r="AM5254">
        <v>99.941114532079197</v>
      </c>
      <c r="AN5254">
        <v>0.99999998609187901</v>
      </c>
    </row>
    <row r="5255" spans="1:40" x14ac:dyDescent="0.25">
      <c r="A5255" t="str">
        <f>"20190304164751991"</f>
        <v>20190304164751991</v>
      </c>
      <c r="B5255" t="str">
        <f>"1551689271984208"</f>
        <v>1551689271984208</v>
      </c>
      <c r="C5255" t="s">
        <v>40</v>
      </c>
      <c r="D5255">
        <v>4.5085360000000003</v>
      </c>
      <c r="E5255">
        <v>0.51727319999999999</v>
      </c>
      <c r="F5255" t="s">
        <v>58</v>
      </c>
      <c r="G5255">
        <v>-256.11869999999999</v>
      </c>
      <c r="H5255" s="1">
        <v>-1.8262650000000001E-6</v>
      </c>
      <c r="I5255">
        <v>-60.676940000000002</v>
      </c>
      <c r="J5255">
        <v>-267.83120000000002</v>
      </c>
      <c r="K5255">
        <v>1.113578</v>
      </c>
      <c r="L5255">
        <v>-60.894170000000003</v>
      </c>
      <c r="M5255">
        <v>0.98977329999999997</v>
      </c>
      <c r="N5255">
        <v>-9.6226509999999994E-3</v>
      </c>
      <c r="O5255">
        <v>-0.1423247</v>
      </c>
      <c r="P5255">
        <v>0.92152540000000005</v>
      </c>
      <c r="Q5255">
        <v>0.3875267</v>
      </c>
      <c r="R5255">
        <v>2.4781480000000002E-2</v>
      </c>
      <c r="S5255">
        <v>3.3871769999999999</v>
      </c>
      <c r="T5255">
        <v>-0.31663229999999998</v>
      </c>
      <c r="U5255">
        <v>5.4016109999999999E-2</v>
      </c>
      <c r="V5255">
        <v>-0.1587469</v>
      </c>
      <c r="W5255">
        <v>0.395038</v>
      </c>
      <c r="X5255">
        <v>0.90484500000000001</v>
      </c>
      <c r="Y5255">
        <v>-0.15684529999999999</v>
      </c>
      <c r="Z5255">
        <v>1.9945520000000001E-2</v>
      </c>
      <c r="AA5255">
        <v>0.98742180000000002</v>
      </c>
      <c r="AB5255">
        <v>34</v>
      </c>
      <c r="AC5255">
        <v>11.7125</v>
      </c>
      <c r="AD5255">
        <v>-1.1135798262650001</v>
      </c>
      <c r="AE5255">
        <v>0.21722999999999301</v>
      </c>
      <c r="AF5255">
        <v>-1.8652187336418</v>
      </c>
      <c r="AG5255">
        <v>-1.1135798262650001</v>
      </c>
      <c r="AH5255">
        <v>11.4587914094789</v>
      </c>
      <c r="AI5255">
        <v>95.478982391322106</v>
      </c>
      <c r="AJ5255">
        <v>99.245304562707204</v>
      </c>
      <c r="AK5255">
        <v>11.6628899300191</v>
      </c>
      <c r="AL5255">
        <v>66.731656863346402</v>
      </c>
      <c r="AM5255">
        <v>99.950759571448799</v>
      </c>
      <c r="AN5255">
        <v>1.0000000368643001</v>
      </c>
    </row>
    <row r="5256" spans="1:40" x14ac:dyDescent="0.25">
      <c r="A5256" t="str">
        <f>"20190304164752005"</f>
        <v>20190304164752005</v>
      </c>
      <c r="B5256" t="str">
        <f>"1551689271994944"</f>
        <v>1551689271994944</v>
      </c>
      <c r="C5256" t="s">
        <v>40</v>
      </c>
      <c r="D5256">
        <v>4.4983370000000003</v>
      </c>
      <c r="E5256">
        <v>0.51739559999999996</v>
      </c>
      <c r="F5256" t="s">
        <v>58</v>
      </c>
      <c r="G5256">
        <v>-255.905</v>
      </c>
      <c r="H5256" s="1">
        <v>-1.736271E-6</v>
      </c>
      <c r="I5256">
        <v>-60.684399999999997</v>
      </c>
      <c r="J5256">
        <v>-267.62599999999998</v>
      </c>
      <c r="K5256">
        <v>1.113583</v>
      </c>
      <c r="L5256">
        <v>-60.921689999999998</v>
      </c>
      <c r="M5256">
        <v>0.99007889999999998</v>
      </c>
      <c r="N5256">
        <v>-9.6345140000000003E-3</v>
      </c>
      <c r="O5256">
        <v>-0.14018229999999901</v>
      </c>
      <c r="P5256">
        <v>0.92150880000000002</v>
      </c>
      <c r="Q5256">
        <v>0.38741779999999998</v>
      </c>
      <c r="R5256">
        <v>2.7002669999999999E-2</v>
      </c>
      <c r="S5256">
        <v>3.3868710000000002</v>
      </c>
      <c r="T5256">
        <v>-0.31624039999999998</v>
      </c>
      <c r="U5256">
        <v>5.9570310000000001E-2</v>
      </c>
      <c r="V5256">
        <v>-0.15897649999999999</v>
      </c>
      <c r="W5256">
        <v>0.39493810000000001</v>
      </c>
      <c r="X5256">
        <v>0.90484830000000005</v>
      </c>
      <c r="Y5256">
        <v>-0.15634129999999999</v>
      </c>
      <c r="Z5256">
        <v>1.9718079999999999E-2</v>
      </c>
      <c r="AA5256">
        <v>0.98750629999999995</v>
      </c>
      <c r="AB5256">
        <v>34</v>
      </c>
      <c r="AC5256">
        <v>11.720999999999901</v>
      </c>
      <c r="AD5256">
        <v>-1.1135847362710001</v>
      </c>
      <c r="AE5256">
        <v>0.23729000000000799</v>
      </c>
      <c r="AF5256">
        <v>-1.8613055006360999</v>
      </c>
      <c r="AG5256">
        <v>-1.1135847362710001</v>
      </c>
      <c r="AH5256">
        <v>11.468509698810101</v>
      </c>
      <c r="AI5256">
        <v>95.474804630726993</v>
      </c>
      <c r="AJ5256">
        <v>99.218557873887406</v>
      </c>
      <c r="AK5256">
        <v>11.6718140767944</v>
      </c>
      <c r="AL5256">
        <v>66.737887367248902</v>
      </c>
      <c r="AM5256">
        <v>99.964827745806701</v>
      </c>
      <c r="AN5256">
        <v>1.00000003819837</v>
      </c>
    </row>
    <row r="5257" spans="1:40" x14ac:dyDescent="0.25">
      <c r="A5257" t="str">
        <f>"20190304164752016"</f>
        <v>20190304164752016</v>
      </c>
      <c r="B5257" t="str">
        <f>"1551689272004704"</f>
        <v>1551689272004704</v>
      </c>
      <c r="C5257" t="s">
        <v>40</v>
      </c>
      <c r="D5257">
        <v>4.4944009999999999</v>
      </c>
      <c r="E5257">
        <v>0.51766939999999995</v>
      </c>
      <c r="F5257" t="s">
        <v>58</v>
      </c>
      <c r="G5257">
        <v>-255.673</v>
      </c>
      <c r="H5257" s="1">
        <v>-1.6379E-6</v>
      </c>
      <c r="I5257">
        <v>-60.689549999999997</v>
      </c>
      <c r="J5257">
        <v>-267.46210000000002</v>
      </c>
      <c r="K5257">
        <v>1.113583</v>
      </c>
      <c r="L5257">
        <v>-60.943449999999999</v>
      </c>
      <c r="M5257">
        <v>0.99031950000000002</v>
      </c>
      <c r="N5257">
        <v>-9.6452859999999994E-3</v>
      </c>
      <c r="O5257">
        <v>-0.1384715</v>
      </c>
      <c r="P5257">
        <v>0.92145569999999999</v>
      </c>
      <c r="Q5257">
        <v>0.38742500000000002</v>
      </c>
      <c r="R5257">
        <v>2.8659509999999999E-2</v>
      </c>
      <c r="S5257">
        <v>3.3862299999999999</v>
      </c>
      <c r="T5257">
        <v>-0.31547520000000001</v>
      </c>
      <c r="U5257">
        <v>6.5765379999999998E-2</v>
      </c>
      <c r="V5257">
        <v>-0.15904090000000001</v>
      </c>
      <c r="W5257">
        <v>0.39495380000000002</v>
      </c>
      <c r="X5257">
        <v>0.90483009999999997</v>
      </c>
      <c r="Y5257">
        <v>-0.1564555</v>
      </c>
      <c r="Z5257">
        <v>1.9536910000000001E-2</v>
      </c>
      <c r="AA5257">
        <v>0.98749180000000003</v>
      </c>
      <c r="AB5257">
        <v>34</v>
      </c>
      <c r="AC5257">
        <v>11.789099999999999</v>
      </c>
      <c r="AD5257">
        <v>-1.1135846379000001</v>
      </c>
      <c r="AE5257">
        <v>0.25390000000000101</v>
      </c>
      <c r="AF5257">
        <v>-1.8673305458610501</v>
      </c>
      <c r="AG5257">
        <v>-1.1135846379000001</v>
      </c>
      <c r="AH5257">
        <v>11.5374636331253</v>
      </c>
      <c r="AI5257">
        <v>95.442663423596798</v>
      </c>
      <c r="AJ5257">
        <v>99.193559946067893</v>
      </c>
      <c r="AK5257">
        <v>11.7405307034632</v>
      </c>
      <c r="AL5257">
        <v>66.736907551921405</v>
      </c>
      <c r="AM5257">
        <v>99.968979946295605</v>
      </c>
      <c r="AN5257">
        <v>1.0000000109366201</v>
      </c>
    </row>
    <row r="5258" spans="1:40" x14ac:dyDescent="0.25">
      <c r="A5258" t="str">
        <f>"20190304164752030"</f>
        <v>20190304164752030</v>
      </c>
      <c r="B5258" t="str">
        <f>"1551689272024223"</f>
        <v>1551689272024223</v>
      </c>
      <c r="C5258" t="s">
        <v>40</v>
      </c>
      <c r="D5258">
        <v>4.4786570000000001</v>
      </c>
      <c r="E5258">
        <v>0.518119</v>
      </c>
      <c r="F5258" t="s">
        <v>58</v>
      </c>
      <c r="G5258">
        <v>-255.57640000000001</v>
      </c>
      <c r="H5258" s="1">
        <v>-1.598469E-6</v>
      </c>
      <c r="I5258">
        <v>-60.698639999999997</v>
      </c>
      <c r="J5258">
        <v>-267.24400000000003</v>
      </c>
      <c r="K5258">
        <v>1.1135870000000001</v>
      </c>
      <c r="L5258">
        <v>-60.971829999999997</v>
      </c>
      <c r="M5258">
        <v>0.99063489999999998</v>
      </c>
      <c r="N5258">
        <v>-9.6641650000000006E-3</v>
      </c>
      <c r="O5258">
        <v>-0.13619500000000001</v>
      </c>
      <c r="P5258">
        <v>0.92132849999999999</v>
      </c>
      <c r="Q5258">
        <v>0.38756439999999998</v>
      </c>
      <c r="R5258">
        <v>3.0782230000000001E-2</v>
      </c>
      <c r="S5258">
        <v>3.3869630000000002</v>
      </c>
      <c r="T5258">
        <v>-0.31732890000000002</v>
      </c>
      <c r="U5258">
        <v>6.9763179999999994E-2</v>
      </c>
      <c r="V5258">
        <v>-0.15903970000000001</v>
      </c>
      <c r="W5258">
        <v>0.3951093</v>
      </c>
      <c r="X5258">
        <v>0.90476239999999997</v>
      </c>
      <c r="Y5258">
        <v>-0.15534589999999901</v>
      </c>
      <c r="Z5258">
        <v>1.9402679999999999E-2</v>
      </c>
      <c r="AA5258">
        <v>0.98766960000000004</v>
      </c>
      <c r="AB5258">
        <v>34</v>
      </c>
      <c r="AC5258">
        <v>11.6676</v>
      </c>
      <c r="AD5258">
        <v>-1.1135885984689999</v>
      </c>
      <c r="AE5258">
        <v>0.27318999999999899</v>
      </c>
      <c r="AF5258">
        <v>-1.8430078305970199</v>
      </c>
      <c r="AG5258">
        <v>-1.1135885984689999</v>
      </c>
      <c r="AH5258">
        <v>11.417712088203</v>
      </c>
      <c r="AI5258">
        <v>95.499791180688504</v>
      </c>
      <c r="AJ5258">
        <v>99.169396496720296</v>
      </c>
      <c r="AK5258">
        <v>11.6189890592676</v>
      </c>
      <c r="AL5258">
        <v>66.727208826370997</v>
      </c>
      <c r="AM5258">
        <v>99.969637208012998</v>
      </c>
      <c r="AN5258">
        <v>0.99999999278816898</v>
      </c>
    </row>
    <row r="5259" spans="1:40" x14ac:dyDescent="0.25">
      <c r="A5259" t="str">
        <f>"20190304164752040"</f>
        <v>20190304164752040</v>
      </c>
      <c r="B5259" t="str">
        <f>"1551689272034960"</f>
        <v>1551689272034960</v>
      </c>
      <c r="C5259" t="s">
        <v>40</v>
      </c>
      <c r="D5259">
        <v>4.5138030000000002</v>
      </c>
      <c r="E5259">
        <v>0.51833660000000004</v>
      </c>
      <c r="F5259" t="s">
        <v>58</v>
      </c>
      <c r="G5259">
        <v>-255.43279999999999</v>
      </c>
      <c r="H5259" s="1">
        <v>-1.5400399999999999E-6</v>
      </c>
      <c r="I5259">
        <v>-60.712879999999998</v>
      </c>
      <c r="J5259">
        <v>-267.09519999999998</v>
      </c>
      <c r="K5259">
        <v>1.1135930000000001</v>
      </c>
      <c r="L5259">
        <v>-60.990839999999999</v>
      </c>
      <c r="M5259">
        <v>0.99084709999999998</v>
      </c>
      <c r="N5259">
        <v>-9.6797080000000004E-3</v>
      </c>
      <c r="O5259">
        <v>-0.1346424</v>
      </c>
      <c r="P5259">
        <v>0.92130080000000003</v>
      </c>
      <c r="Q5259">
        <v>0.38751780000000002</v>
      </c>
      <c r="R5259">
        <v>3.2173859999999999E-2</v>
      </c>
      <c r="S5259">
        <v>3.3880309999999998</v>
      </c>
      <c r="T5259">
        <v>-0.31943240000000001</v>
      </c>
      <c r="U5259">
        <v>7.4279789999999998E-2</v>
      </c>
      <c r="V5259">
        <v>-0.15899250000000001</v>
      </c>
      <c r="W5259">
        <v>0.39507700000000001</v>
      </c>
      <c r="X5259">
        <v>0.9047849</v>
      </c>
      <c r="Y5259">
        <v>-0.15509879999999901</v>
      </c>
      <c r="Z5259">
        <v>1.9384490000000001E-2</v>
      </c>
      <c r="AA5259">
        <v>0.9877087</v>
      </c>
      <c r="AB5259">
        <v>34</v>
      </c>
      <c r="AC5259">
        <v>11.6623999999999</v>
      </c>
      <c r="AD5259">
        <v>-1.11359454004</v>
      </c>
      <c r="AE5259">
        <v>0.27795999999999998</v>
      </c>
      <c r="AF5259">
        <v>-1.8290882869082901</v>
      </c>
      <c r="AG5259">
        <v>-1.11359454004</v>
      </c>
      <c r="AH5259">
        <v>11.414752704084201</v>
      </c>
      <c r="AI5259">
        <v>95.502246942928394</v>
      </c>
      <c r="AJ5259">
        <v>99.103626976506604</v>
      </c>
      <c r="AK5259">
        <v>11.613881179705199</v>
      </c>
      <c r="AL5259">
        <v>66.729225608198504</v>
      </c>
      <c r="AM5259">
        <v>99.966494861588103</v>
      </c>
      <c r="AN5259">
        <v>1.00000008312662</v>
      </c>
    </row>
    <row r="5260" spans="1:40" x14ac:dyDescent="0.25">
      <c r="A5260" t="str">
        <f>"20190304164752051"</f>
        <v>20190304164752051</v>
      </c>
      <c r="B5260" t="str">
        <f>"1551689272044719"</f>
        <v>1551689272044719</v>
      </c>
      <c r="C5260" t="s">
        <v>40</v>
      </c>
      <c r="D5260">
        <v>4.5219519999999997</v>
      </c>
      <c r="E5260">
        <v>0.51858879999999996</v>
      </c>
      <c r="F5260" t="s">
        <v>58</v>
      </c>
      <c r="G5260">
        <v>-255.31209999999999</v>
      </c>
      <c r="H5260" s="1">
        <v>-1.490124E-6</v>
      </c>
      <c r="I5260">
        <v>-60.721380000000003</v>
      </c>
      <c r="J5260">
        <v>-266.92469999999997</v>
      </c>
      <c r="K5260">
        <v>1.1136060000000001</v>
      </c>
      <c r="L5260">
        <v>-61.012540000000001</v>
      </c>
      <c r="M5260">
        <v>0.99108719999999995</v>
      </c>
      <c r="N5260">
        <v>-9.6989869999999992E-3</v>
      </c>
      <c r="O5260">
        <v>-0.13286249999999999</v>
      </c>
      <c r="P5260">
        <v>0.92109319999999895</v>
      </c>
      <c r="Q5260">
        <v>0.38789059999999997</v>
      </c>
      <c r="R5260">
        <v>3.3596330000000001E-2</v>
      </c>
      <c r="S5260">
        <v>3.3882449999999902</v>
      </c>
      <c r="T5260">
        <v>-0.32021369999999999</v>
      </c>
      <c r="U5260">
        <v>7.7484129999999998E-2</v>
      </c>
      <c r="V5260">
        <v>-0.15874730000000001</v>
      </c>
      <c r="W5260">
        <v>0.39546720000000002</v>
      </c>
      <c r="X5260">
        <v>0.90465739999999994</v>
      </c>
      <c r="Y5260">
        <v>-0.1542615</v>
      </c>
      <c r="Z5260">
        <v>1.9237730000000001E-2</v>
      </c>
      <c r="AA5260">
        <v>0.98784269999999996</v>
      </c>
      <c r="AB5260">
        <v>34</v>
      </c>
      <c r="AC5260">
        <v>11.612599999999899</v>
      </c>
      <c r="AD5260">
        <v>-1.1136074901239901</v>
      </c>
      <c r="AE5260">
        <v>0.29115999999999698</v>
      </c>
      <c r="AF5260">
        <v>-1.81485071488048</v>
      </c>
      <c r="AG5260">
        <v>-1.1136074901239901</v>
      </c>
      <c r="AH5260">
        <v>11.366490389468201</v>
      </c>
      <c r="AI5260">
        <v>95.526019247322793</v>
      </c>
      <c r="AJ5260">
        <v>99.071659401770702</v>
      </c>
      <c r="AK5260">
        <v>11.564208080678799</v>
      </c>
      <c r="AL5260">
        <v>66.704884970576501</v>
      </c>
      <c r="AM5260">
        <v>99.952806394007993</v>
      </c>
      <c r="AN5260">
        <v>1.00000001145394</v>
      </c>
    </row>
    <row r="5261" spans="1:40" x14ac:dyDescent="0.25">
      <c r="A5261" t="str">
        <f>"20190304164752062"</f>
        <v>20190304164752062</v>
      </c>
      <c r="B5261" t="str">
        <f>"1551689272054480"</f>
        <v>1551689272054480</v>
      </c>
      <c r="C5261" t="s">
        <v>40</v>
      </c>
      <c r="D5261">
        <v>4.5170820000000003</v>
      </c>
      <c r="E5261">
        <v>0.51858879999999996</v>
      </c>
      <c r="F5261" t="s">
        <v>58</v>
      </c>
      <c r="G5261">
        <v>-255.0977</v>
      </c>
      <c r="H5261" s="1">
        <v>-1.4002740000000001E-6</v>
      </c>
      <c r="I5261">
        <v>-60.730910000000002</v>
      </c>
      <c r="J5261">
        <v>-266.77760000000001</v>
      </c>
      <c r="K5261">
        <v>1.1136109999999999</v>
      </c>
      <c r="L5261">
        <v>-61.030819999999999</v>
      </c>
      <c r="M5261">
        <v>0.99129129999999999</v>
      </c>
      <c r="N5261">
        <v>-9.7204419999999993E-3</v>
      </c>
      <c r="O5261">
        <v>-0.1313279</v>
      </c>
      <c r="P5261">
        <v>0.92093619999999998</v>
      </c>
      <c r="Q5261">
        <v>0.38814850000000001</v>
      </c>
      <c r="R5261">
        <v>3.4895179999999998E-2</v>
      </c>
      <c r="S5261">
        <v>3.3884280000000002</v>
      </c>
      <c r="T5261">
        <v>-0.31904640000000001</v>
      </c>
      <c r="U5261">
        <v>8.0688480000000007E-2</v>
      </c>
      <c r="V5261">
        <v>-0.15861149999999999</v>
      </c>
      <c r="W5261">
        <v>0.39574409999999999</v>
      </c>
      <c r="X5261">
        <v>0.90456009999999998</v>
      </c>
      <c r="Y5261">
        <v>-0.15368209999999999</v>
      </c>
      <c r="Z5261">
        <v>1.9005319999999999E-2</v>
      </c>
      <c r="AA5261">
        <v>0.98793759999999997</v>
      </c>
      <c r="AB5261">
        <v>34</v>
      </c>
      <c r="AC5261">
        <v>11.6799</v>
      </c>
      <c r="AD5261">
        <v>-1.113612400274</v>
      </c>
      <c r="AE5261">
        <v>0.29991000000000401</v>
      </c>
      <c r="AF5261">
        <v>-1.8147948784921499</v>
      </c>
      <c r="AG5261">
        <v>-1.113612400274</v>
      </c>
      <c r="AH5261">
        <v>11.4354561682603</v>
      </c>
      <c r="AI5261">
        <v>95.493741374067298</v>
      </c>
      <c r="AJ5261">
        <v>99.0175781996046</v>
      </c>
      <c r="AK5261">
        <v>11.6319934149417</v>
      </c>
      <c r="AL5261">
        <v>66.687609938753397</v>
      </c>
      <c r="AM5261">
        <v>99.9455106507572</v>
      </c>
      <c r="AN5261">
        <v>0.99999998756453401</v>
      </c>
    </row>
    <row r="5262" spans="1:40" x14ac:dyDescent="0.25">
      <c r="A5262" t="str">
        <f>"20190304164752072"</f>
        <v>20190304164752072</v>
      </c>
      <c r="B5262" t="str">
        <f>"1551689272064240"</f>
        <v>1551689272064240</v>
      </c>
      <c r="C5262" t="s">
        <v>40</v>
      </c>
      <c r="D5262">
        <v>4.5210629999999998</v>
      </c>
      <c r="E5262">
        <v>0.52372319999999895</v>
      </c>
      <c r="F5262" t="s">
        <v>58</v>
      </c>
      <c r="G5262">
        <v>-254.9145</v>
      </c>
      <c r="H5262" s="1">
        <v>-1.321963E-6</v>
      </c>
      <c r="I5262">
        <v>-60.732089999999999</v>
      </c>
      <c r="J5262">
        <v>-266.62299999999999</v>
      </c>
      <c r="K5262">
        <v>1.113615</v>
      </c>
      <c r="L5262">
        <v>-61.049959999999999</v>
      </c>
      <c r="M5262">
        <v>0.99150349999999998</v>
      </c>
      <c r="N5262">
        <v>-9.7441409999999996E-3</v>
      </c>
      <c r="O5262">
        <v>-0.12971450000000001</v>
      </c>
      <c r="P5262">
        <v>0.92069889999999999</v>
      </c>
      <c r="Q5262">
        <v>0.38858039999999999</v>
      </c>
      <c r="R5262">
        <v>3.6318000000000003E-2</v>
      </c>
      <c r="S5262">
        <v>3.3883969999999999</v>
      </c>
      <c r="T5262">
        <v>-0.3180751</v>
      </c>
      <c r="U5262">
        <v>8.5327150000000004E-2</v>
      </c>
      <c r="V5262">
        <v>-0.1585184</v>
      </c>
      <c r="W5262">
        <v>0.39619589999999999</v>
      </c>
      <c r="X5262">
        <v>0.90437869999999998</v>
      </c>
      <c r="Y5262">
        <v>-0.15344059999999901</v>
      </c>
      <c r="Z5262">
        <v>1.879805E-2</v>
      </c>
      <c r="AA5262">
        <v>0.9879791</v>
      </c>
      <c r="AB5262">
        <v>34</v>
      </c>
      <c r="AC5262">
        <v>11.7084999999999</v>
      </c>
      <c r="AD5262">
        <v>-1.113616321963</v>
      </c>
      <c r="AE5262">
        <v>0.31786999999999899</v>
      </c>
      <c r="AF5262">
        <v>-1.8175882696121399</v>
      </c>
      <c r="AG5262">
        <v>-1.113616321963</v>
      </c>
      <c r="AH5262">
        <v>11.464699478364601</v>
      </c>
      <c r="AI5262">
        <v>95.479968729532601</v>
      </c>
      <c r="AJ5262">
        <v>99.008571807833206</v>
      </c>
      <c r="AK5262">
        <v>11.6611792954052</v>
      </c>
      <c r="AL5262">
        <v>66.659421151113705</v>
      </c>
      <c r="AM5262">
        <v>99.941743350583394</v>
      </c>
      <c r="AN5262">
        <v>1.0000000536645199</v>
      </c>
    </row>
    <row r="5263" spans="1:40" x14ac:dyDescent="0.25">
      <c r="A5263" t="str">
        <f>"20190304164752083"</f>
        <v>20190304164752083</v>
      </c>
      <c r="B5263" t="str">
        <f>"1551689272074976"</f>
        <v>1551689272074976</v>
      </c>
      <c r="C5263" t="s">
        <v>40</v>
      </c>
      <c r="D5263">
        <v>4.4821819999999999</v>
      </c>
      <c r="E5263">
        <v>0.5235109</v>
      </c>
      <c r="F5263" t="s">
        <v>58</v>
      </c>
      <c r="G5263">
        <v>-254.89949999999999</v>
      </c>
      <c r="H5263" s="1">
        <v>-1.348282E-6</v>
      </c>
      <c r="I5263">
        <v>-60.879429999999999</v>
      </c>
      <c r="J5263">
        <v>-266.46140000000003</v>
      </c>
      <c r="K5263">
        <v>1.113623</v>
      </c>
      <c r="L5263">
        <v>-61.069519999999997</v>
      </c>
      <c r="M5263">
        <v>0.9917222</v>
      </c>
      <c r="N5263">
        <v>-9.7737369999999994E-3</v>
      </c>
      <c r="O5263">
        <v>-0.12802949999999999</v>
      </c>
      <c r="P5263">
        <v>0.92058010000000001</v>
      </c>
      <c r="Q5263">
        <v>0.38872610000000002</v>
      </c>
      <c r="R5263">
        <v>3.7740969999999999E-2</v>
      </c>
      <c r="S5263">
        <v>3.3924560000000001</v>
      </c>
      <c r="T5263">
        <v>-0.32224989999999998</v>
      </c>
      <c r="U5263">
        <v>4.9346920000000002E-2</v>
      </c>
      <c r="V5263">
        <v>-0.1583744</v>
      </c>
      <c r="W5263">
        <v>0.396368</v>
      </c>
      <c r="X5263">
        <v>0.90432849999999998</v>
      </c>
      <c r="Y5263">
        <v>-0.14128379999999999</v>
      </c>
      <c r="Z5263">
        <v>1.8247289999999999E-2</v>
      </c>
      <c r="AA5263">
        <v>0.98980089999999998</v>
      </c>
      <c r="AB5263">
        <v>34</v>
      </c>
      <c r="AC5263">
        <v>11.5619</v>
      </c>
      <c r="AD5263">
        <v>-1.1136243482820001</v>
      </c>
      <c r="AE5263">
        <v>0.19008999999998999</v>
      </c>
      <c r="AF5263">
        <v>-1.6535244542912899</v>
      </c>
      <c r="AG5263">
        <v>-1.1136243482820001</v>
      </c>
      <c r="AH5263">
        <v>11.337252266213699</v>
      </c>
      <c r="AI5263">
        <v>95.551632961428297</v>
      </c>
      <c r="AJ5263">
        <v>98.298011777827895</v>
      </c>
      <c r="AK5263">
        <v>11.511194171665901</v>
      </c>
      <c r="AL5263">
        <v>66.648680897259396</v>
      </c>
      <c r="AM5263">
        <v>99.933432498514094</v>
      </c>
      <c r="AN5263">
        <v>1.0000000389557999</v>
      </c>
    </row>
    <row r="5264" spans="1:40" x14ac:dyDescent="0.25">
      <c r="A5264" t="str">
        <f>"20190304164752094"</f>
        <v>20190304164752094</v>
      </c>
      <c r="B5264" t="str">
        <f>"1551689272084736"</f>
        <v>1551689272084736</v>
      </c>
      <c r="C5264" t="s">
        <v>40</v>
      </c>
      <c r="D5264">
        <v>4.4735779999999998</v>
      </c>
      <c r="E5264">
        <v>0.52348159999999999</v>
      </c>
      <c r="F5264" t="s">
        <v>58</v>
      </c>
      <c r="G5264">
        <v>-254.88040000000001</v>
      </c>
      <c r="H5264" s="1">
        <v>-1.3402929999999999E-6</v>
      </c>
      <c r="I5264">
        <v>-60.880429999999997</v>
      </c>
      <c r="J5264">
        <v>-266.29390000000001</v>
      </c>
      <c r="K5264">
        <v>1.113629</v>
      </c>
      <c r="L5264">
        <v>-61.089689999999997</v>
      </c>
      <c r="M5264">
        <v>0.99194590000000005</v>
      </c>
      <c r="N5264">
        <v>-9.8053510000000003E-3</v>
      </c>
      <c r="O5264">
        <v>-0.1262829</v>
      </c>
      <c r="P5264">
        <v>0.9206107</v>
      </c>
      <c r="Q5264">
        <v>0.38847540000000003</v>
      </c>
      <c r="R5264">
        <v>3.9535639999999997E-2</v>
      </c>
      <c r="S5264">
        <v>3.3943479999999999</v>
      </c>
      <c r="T5264">
        <v>-0.32639780000000002</v>
      </c>
      <c r="U5264">
        <v>5.5419919999999998E-2</v>
      </c>
      <c r="V5264">
        <v>-0.1585597</v>
      </c>
      <c r="W5264">
        <v>0.39614470000000002</v>
      </c>
      <c r="X5264">
        <v>0.90439389999999997</v>
      </c>
      <c r="Y5264">
        <v>-0.1412805</v>
      </c>
      <c r="Z5264">
        <v>1.8326530000000001E-2</v>
      </c>
      <c r="AA5264">
        <v>0.98980000000000001</v>
      </c>
      <c r="AB5264">
        <v>34</v>
      </c>
      <c r="AC5264">
        <v>11.413500000000001</v>
      </c>
      <c r="AD5264">
        <v>-1.1136303402929999</v>
      </c>
      <c r="AE5264">
        <v>0.20926</v>
      </c>
      <c r="AF5264">
        <v>-1.6334382249083701</v>
      </c>
      <c r="AG5264">
        <v>-1.1136303402929999</v>
      </c>
      <c r="AH5264">
        <v>11.189203300951799</v>
      </c>
      <c r="AI5264">
        <v>95.624543495965995</v>
      </c>
      <c r="AJ5264">
        <v>98.305565345883096</v>
      </c>
      <c r="AK5264">
        <v>11.3625069187853</v>
      </c>
      <c r="AL5264">
        <v>66.662616373780594</v>
      </c>
      <c r="AM5264">
        <v>99.944118054777206</v>
      </c>
      <c r="AN5264">
        <v>1.00000006407969</v>
      </c>
    </row>
    <row r="5265" spans="1:40" x14ac:dyDescent="0.25">
      <c r="A5265" t="str">
        <f>"20190304164752107"</f>
        <v>20190304164752107</v>
      </c>
      <c r="B5265" t="str">
        <f>"1551689272094496"</f>
        <v>1551689272094496</v>
      </c>
      <c r="C5265" t="s">
        <v>40</v>
      </c>
      <c r="D5265">
        <v>4.4861800000000001</v>
      </c>
      <c r="E5265">
        <v>0.523451</v>
      </c>
      <c r="F5265" t="s">
        <v>58</v>
      </c>
      <c r="G5265">
        <v>-254.8134</v>
      </c>
      <c r="H5265" s="1">
        <v>-1.311274E-6</v>
      </c>
      <c r="I5265">
        <v>-60.879060000000003</v>
      </c>
      <c r="J5265">
        <v>-266.11009999999999</v>
      </c>
      <c r="K5265">
        <v>1.113637</v>
      </c>
      <c r="L5265">
        <v>-61.111269999999998</v>
      </c>
      <c r="M5265">
        <v>0.99218720000000005</v>
      </c>
      <c r="N5265">
        <v>-9.8420469999999996E-3</v>
      </c>
      <c r="O5265">
        <v>-0.1243691</v>
      </c>
      <c r="P5265">
        <v>0.92041410000000001</v>
      </c>
      <c r="Q5265">
        <v>0.3887466</v>
      </c>
      <c r="R5265">
        <v>4.1398339999999999E-2</v>
      </c>
      <c r="S5265">
        <v>3.3949889999999998</v>
      </c>
      <c r="T5265">
        <v>-0.32932030000000001</v>
      </c>
      <c r="U5265">
        <v>6.2286380000000002E-2</v>
      </c>
      <c r="V5265">
        <v>-0.15863550000000001</v>
      </c>
      <c r="W5265">
        <v>0.39644629999999997</v>
      </c>
      <c r="X5265">
        <v>0.90424839999999995</v>
      </c>
      <c r="Y5265">
        <v>-0.14135510000000001</v>
      </c>
      <c r="Z5265">
        <v>1.8327989999999999E-2</v>
      </c>
      <c r="AA5265">
        <v>0.98978929999999998</v>
      </c>
      <c r="AB5265">
        <v>34</v>
      </c>
      <c r="AC5265">
        <v>11.2966999999999</v>
      </c>
      <c r="AD5265">
        <v>-1.113638311274</v>
      </c>
      <c r="AE5265">
        <v>0.232210000000002</v>
      </c>
      <c r="AF5265">
        <v>-1.6197015199554099</v>
      </c>
      <c r="AG5265">
        <v>-1.113638311274</v>
      </c>
      <c r="AH5265">
        <v>11.072543439105001</v>
      </c>
      <c r="AI5265">
        <v>95.683217605987394</v>
      </c>
      <c r="AJ5265">
        <v>98.322252523672404</v>
      </c>
      <c r="AK5265">
        <v>11.245658785191299</v>
      </c>
      <c r="AL5265">
        <v>66.643794075591302</v>
      </c>
      <c r="AM5265">
        <v>99.950345754993094</v>
      </c>
      <c r="AN5265">
        <v>1.0000000297732401</v>
      </c>
    </row>
    <row r="5266" spans="1:40" x14ac:dyDescent="0.25">
      <c r="A5266" t="str">
        <f>"20190304164752116"</f>
        <v>20190304164752116</v>
      </c>
      <c r="B5266" t="str">
        <f>"1551689272114992"</f>
        <v>1551689272114992</v>
      </c>
      <c r="C5266" t="s">
        <v>40</v>
      </c>
      <c r="D5266">
        <v>4.4893580000000002</v>
      </c>
      <c r="E5266">
        <v>0.52381060000000002</v>
      </c>
      <c r="F5266" t="s">
        <v>58</v>
      </c>
      <c r="G5266">
        <v>-254.60220000000001</v>
      </c>
      <c r="H5266" s="1">
        <v>-1.220698E-6</v>
      </c>
      <c r="I5266">
        <v>-60.879350000000002</v>
      </c>
      <c r="J5266">
        <v>-265.95460000000003</v>
      </c>
      <c r="K5266">
        <v>1.113642</v>
      </c>
      <c r="L5266">
        <v>-61.129359999999998</v>
      </c>
      <c r="M5266">
        <v>0.99238839999999995</v>
      </c>
      <c r="N5266">
        <v>-9.8734830000000006E-3</v>
      </c>
      <c r="O5266">
        <v>-0.1227504</v>
      </c>
      <c r="P5266">
        <v>0.92025140000000005</v>
      </c>
      <c r="Q5266">
        <v>0.38896320000000001</v>
      </c>
      <c r="R5266">
        <v>4.2955350000000003E-2</v>
      </c>
      <c r="S5266">
        <v>3.3950809999999998</v>
      </c>
      <c r="T5266">
        <v>-0.32854509999999998</v>
      </c>
      <c r="U5266">
        <v>6.8420410000000001E-2</v>
      </c>
      <c r="V5266">
        <v>-0.1586825</v>
      </c>
      <c r="W5266">
        <v>0.39668920000000002</v>
      </c>
      <c r="X5266">
        <v>0.90413359999999998</v>
      </c>
      <c r="Y5266">
        <v>-0.14153859999999999</v>
      </c>
      <c r="Z5266">
        <v>1.815203E-2</v>
      </c>
      <c r="AA5266">
        <v>0.98976629999999999</v>
      </c>
      <c r="AB5266">
        <v>34</v>
      </c>
      <c r="AC5266">
        <v>11.352399999999999</v>
      </c>
      <c r="AD5266">
        <v>-1.113643220698</v>
      </c>
      <c r="AE5266">
        <v>0.25000999999999601</v>
      </c>
      <c r="AF5266">
        <v>-1.62605858079957</v>
      </c>
      <c r="AG5266">
        <v>-1.113643220698</v>
      </c>
      <c r="AH5266">
        <v>11.128807431339199</v>
      </c>
      <c r="AI5266">
        <v>95.654831731682606</v>
      </c>
      <c r="AJ5266">
        <v>98.312809881567503</v>
      </c>
      <c r="AK5266">
        <v>11.301974277754701</v>
      </c>
      <c r="AL5266">
        <v>66.628633435779605</v>
      </c>
      <c r="AM5266">
        <v>99.954473374898896</v>
      </c>
      <c r="AN5266">
        <v>1.00000001192592</v>
      </c>
    </row>
    <row r="5267" spans="1:40" x14ac:dyDescent="0.25">
      <c r="A5267" t="str">
        <f>"20190304164752127"</f>
        <v>20190304164752127</v>
      </c>
      <c r="B5267" t="str">
        <f>"1551689272124752"</f>
        <v>1551689272124752</v>
      </c>
      <c r="C5267" t="s">
        <v>40</v>
      </c>
      <c r="D5267">
        <v>4.512613</v>
      </c>
      <c r="E5267">
        <v>0.52393679999999998</v>
      </c>
      <c r="F5267" t="s">
        <v>58</v>
      </c>
      <c r="G5267">
        <v>-254.44730000000001</v>
      </c>
      <c r="H5267" s="1">
        <v>-1.1566869999999999E-6</v>
      </c>
      <c r="I5267">
        <v>-60.890149999999998</v>
      </c>
      <c r="J5267">
        <v>-265.78769999999997</v>
      </c>
      <c r="K5267">
        <v>1.1136520000000001</v>
      </c>
      <c r="L5267">
        <v>-61.148470000000003</v>
      </c>
      <c r="M5267">
        <v>0.99260090000000001</v>
      </c>
      <c r="N5267">
        <v>-9.9082179999999999E-3</v>
      </c>
      <c r="O5267">
        <v>-0.12101770000000001</v>
      </c>
      <c r="P5267">
        <v>0.92004989999999998</v>
      </c>
      <c r="Q5267">
        <v>0.38927590000000001</v>
      </c>
      <c r="R5267">
        <v>4.4416200000000003E-2</v>
      </c>
      <c r="S5267">
        <v>3.3955690000000001</v>
      </c>
      <c r="T5267">
        <v>-0.32861590000000002</v>
      </c>
      <c r="U5267">
        <v>7.0587159999999996E-2</v>
      </c>
      <c r="V5267">
        <v>-0.15852569999999999</v>
      </c>
      <c r="W5267">
        <v>0.39703369999999999</v>
      </c>
      <c r="X5267">
        <v>0.90400990000000003</v>
      </c>
      <c r="Y5267">
        <v>-0.1404511</v>
      </c>
      <c r="Z5267">
        <v>1.7944459999999999E-2</v>
      </c>
      <c r="AA5267">
        <v>0.98992500000000005</v>
      </c>
      <c r="AB5267">
        <v>34</v>
      </c>
      <c r="AC5267">
        <v>11.340399999999899</v>
      </c>
      <c r="AD5267">
        <v>-1.113653156687</v>
      </c>
      <c r="AE5267">
        <v>0.258319999999997</v>
      </c>
      <c r="AF5267">
        <v>-1.61332738709087</v>
      </c>
      <c r="AG5267">
        <v>-1.113653156687</v>
      </c>
      <c r="AH5267">
        <v>11.118612161267199</v>
      </c>
      <c r="AI5267">
        <v>95.660844189643797</v>
      </c>
      <c r="AJ5267">
        <v>98.256083341711701</v>
      </c>
      <c r="AK5267">
        <v>11.290110052785799</v>
      </c>
      <c r="AL5267">
        <v>66.607129465455202</v>
      </c>
      <c r="AM5267">
        <v>99.946167086367495</v>
      </c>
      <c r="AN5267">
        <v>1.00000002789709</v>
      </c>
    </row>
    <row r="5268" spans="1:40" x14ac:dyDescent="0.25">
      <c r="A5268" t="str">
        <f>"20190304164752139"</f>
        <v>20190304164752139</v>
      </c>
      <c r="B5268" t="str">
        <f>"1551689272134512"</f>
        <v>1551689272134512</v>
      </c>
      <c r="C5268" t="s">
        <v>40</v>
      </c>
      <c r="D5268">
        <v>4.5241179999999996</v>
      </c>
      <c r="E5268">
        <v>0.52412349999999996</v>
      </c>
      <c r="F5268" t="s">
        <v>58</v>
      </c>
      <c r="G5268">
        <v>-254.25450000000001</v>
      </c>
      <c r="H5268" s="1">
        <v>-1.075126E-6</v>
      </c>
      <c r="I5268">
        <v>-60.895470000000003</v>
      </c>
      <c r="J5268">
        <v>-265.61799999999999</v>
      </c>
      <c r="K5268">
        <v>1.1136569999999999</v>
      </c>
      <c r="L5268">
        <v>-61.167569999999998</v>
      </c>
      <c r="M5268">
        <v>0.99281339999999996</v>
      </c>
      <c r="N5268">
        <v>-9.9435579999999999E-3</v>
      </c>
      <c r="O5268">
        <v>-0.11925959999999999</v>
      </c>
      <c r="P5268">
        <v>0.91987450000000004</v>
      </c>
      <c r="Q5268">
        <v>0.38950499999999999</v>
      </c>
      <c r="R5268">
        <v>4.6011389999999999E-2</v>
      </c>
      <c r="S5268">
        <v>3.3958439999999999</v>
      </c>
      <c r="T5268">
        <v>-0.32790419999999998</v>
      </c>
      <c r="U5268">
        <v>7.4493409999999996E-2</v>
      </c>
      <c r="V5268">
        <v>-0.15848119999999999</v>
      </c>
      <c r="W5268">
        <v>0.39729449999999999</v>
      </c>
      <c r="X5268">
        <v>0.90390309999999996</v>
      </c>
      <c r="Y5268">
        <v>-0.13984949999999999</v>
      </c>
      <c r="Z5268">
        <v>1.771845E-2</v>
      </c>
      <c r="AA5268">
        <v>0.99001430000000001</v>
      </c>
      <c r="AB5268">
        <v>34</v>
      </c>
      <c r="AC5268">
        <v>11.363499999999901</v>
      </c>
      <c r="AD5268">
        <v>-1.1136580751259999</v>
      </c>
      <c r="AE5268">
        <v>0.27210000000000101</v>
      </c>
      <c r="AF5268">
        <v>-1.6099768772808001</v>
      </c>
      <c r="AG5268">
        <v>-1.1136580751259999</v>
      </c>
      <c r="AH5268">
        <v>11.142977169943901</v>
      </c>
      <c r="AI5268">
        <v>95.649063072890399</v>
      </c>
      <c r="AJ5268">
        <v>98.221403917686203</v>
      </c>
      <c r="AK5268">
        <v>11.3136289520014</v>
      </c>
      <c r="AL5268">
        <v>66.590847109686806</v>
      </c>
      <c r="AM5268">
        <v>99.944582219462106</v>
      </c>
      <c r="AN5268">
        <v>1.0000000123366499</v>
      </c>
    </row>
    <row r="5269" spans="1:40" x14ac:dyDescent="0.25">
      <c r="A5269" t="str">
        <f>"20190304164752152"</f>
        <v>20190304164752152</v>
      </c>
      <c r="B5269" t="str">
        <f>"1551689272144272"</f>
        <v>1551689272144272</v>
      </c>
      <c r="C5269" t="s">
        <v>40</v>
      </c>
      <c r="D5269">
        <v>4.4642730000000004</v>
      </c>
      <c r="E5269">
        <v>0.52414159999999999</v>
      </c>
      <c r="F5269" t="s">
        <v>58</v>
      </c>
      <c r="G5269">
        <v>-254.08609999999999</v>
      </c>
      <c r="H5269" s="1">
        <v>-1.0042090000000001E-6</v>
      </c>
      <c r="I5269">
        <v>-60.901369999999901</v>
      </c>
      <c r="J5269">
        <v>-265.42579999999998</v>
      </c>
      <c r="K5269">
        <v>1.113664</v>
      </c>
      <c r="L5269">
        <v>-61.188929999999999</v>
      </c>
      <c r="M5269">
        <v>0.99304950000000003</v>
      </c>
      <c r="N5269">
        <v>-9.9836030000000006E-3</v>
      </c>
      <c r="O5269">
        <v>-0.1172743</v>
      </c>
      <c r="P5269">
        <v>0.91976670000000005</v>
      </c>
      <c r="Q5269">
        <v>0.3895614</v>
      </c>
      <c r="R5269">
        <v>4.7659649999999998E-2</v>
      </c>
      <c r="S5269">
        <v>3.396271</v>
      </c>
      <c r="T5269">
        <v>-0.327986</v>
      </c>
      <c r="U5269">
        <v>7.8399659999999996E-2</v>
      </c>
      <c r="V5269">
        <v>-0.15828829999999999</v>
      </c>
      <c r="W5269">
        <v>0.39738990000000002</v>
      </c>
      <c r="X5269">
        <v>0.903895</v>
      </c>
      <c r="Y5269">
        <v>-0.1390169</v>
      </c>
      <c r="Z5269">
        <v>1.7503970000000001E-2</v>
      </c>
      <c r="AA5269">
        <v>0.99013530000000005</v>
      </c>
      <c r="AB5269">
        <v>34</v>
      </c>
      <c r="AC5269">
        <v>11.339699999999899</v>
      </c>
      <c r="AD5269">
        <v>-1.1136650042089999</v>
      </c>
      <c r="AE5269">
        <v>0.28756000000001303</v>
      </c>
      <c r="AF5269">
        <v>-1.6000740786460701</v>
      </c>
      <c r="AG5269">
        <v>-1.1136650042089999</v>
      </c>
      <c r="AH5269">
        <v>11.120528708302899</v>
      </c>
      <c r="AI5269">
        <v>95.660903260005298</v>
      </c>
      <c r="AJ5269">
        <v>98.187791944211497</v>
      </c>
      <c r="AK5269">
        <v>11.290112734199999</v>
      </c>
      <c r="AL5269">
        <v>66.5848915096784</v>
      </c>
      <c r="AM5269">
        <v>99.932806323620497</v>
      </c>
      <c r="AN5269">
        <v>1.0000000447819399</v>
      </c>
    </row>
    <row r="5270" spans="1:40" x14ac:dyDescent="0.25">
      <c r="A5270" t="str">
        <f>"20190304164752166"</f>
        <v>20190304164752166</v>
      </c>
      <c r="B5270" t="str">
        <f>"1551689272155008"</f>
        <v>1551689272155008</v>
      </c>
      <c r="C5270" t="s">
        <v>40</v>
      </c>
      <c r="D5270">
        <v>4.4894780000000001</v>
      </c>
      <c r="E5270">
        <v>0.52430429999999995</v>
      </c>
      <c r="F5270" t="s">
        <v>58</v>
      </c>
      <c r="G5270">
        <v>-253.79689999999999</v>
      </c>
      <c r="H5270" s="1">
        <v>-8.8045459999999898E-7</v>
      </c>
      <c r="I5270">
        <v>-60.902839999999998</v>
      </c>
      <c r="J5270">
        <v>-265.23070000000001</v>
      </c>
      <c r="K5270">
        <v>1.1136619999999999</v>
      </c>
      <c r="L5270">
        <v>-61.210050000000003</v>
      </c>
      <c r="M5270">
        <v>0.99328340000000004</v>
      </c>
      <c r="N5270">
        <v>-1.0022390000000001E-2</v>
      </c>
      <c r="O5270">
        <v>-0.11527279999999999</v>
      </c>
      <c r="P5270">
        <v>0.91959789999999997</v>
      </c>
      <c r="Q5270">
        <v>0.3897505</v>
      </c>
      <c r="R5270">
        <v>4.9339090000000002E-2</v>
      </c>
      <c r="S5270">
        <v>3.3950809999999998</v>
      </c>
      <c r="T5270">
        <v>-0.32513639999999999</v>
      </c>
      <c r="U5270">
        <v>8.3526610000000001E-2</v>
      </c>
      <c r="V5270">
        <v>-0.15810150000000001</v>
      </c>
      <c r="W5270">
        <v>0.39761730000000001</v>
      </c>
      <c r="X5270">
        <v>0.90382759999999995</v>
      </c>
      <c r="Y5270">
        <v>-0.13855309999999901</v>
      </c>
      <c r="Z5270">
        <v>1.7158039999999999E-2</v>
      </c>
      <c r="AA5270">
        <v>0.99020640000000004</v>
      </c>
      <c r="AB5270">
        <v>34</v>
      </c>
      <c r="AC5270">
        <v>11.4338</v>
      </c>
      <c r="AD5270">
        <v>-1.1136628804546</v>
      </c>
      <c r="AE5270">
        <v>0.30720999999999699</v>
      </c>
      <c r="AF5270">
        <v>-1.6079902088228999</v>
      </c>
      <c r="AG5270">
        <v>-1.1136628804546</v>
      </c>
      <c r="AH5270">
        <v>11.2158312307799</v>
      </c>
      <c r="AI5270">
        <v>95.613505236233493</v>
      </c>
      <c r="AJ5270">
        <v>98.158779438033406</v>
      </c>
      <c r="AK5270">
        <v>11.385110790866699</v>
      </c>
      <c r="AL5270">
        <v>66.570690501795397</v>
      </c>
      <c r="AM5270">
        <v>99.922042565053999</v>
      </c>
      <c r="AN5270">
        <v>0.99999996604164898</v>
      </c>
    </row>
    <row r="5271" spans="1:40" x14ac:dyDescent="0.25">
      <c r="A5271" t="str">
        <f>"20190304164752182"</f>
        <v>20190304164752182</v>
      </c>
      <c r="B5271" t="str">
        <f>"1551689272174528"</f>
        <v>1551689272174528</v>
      </c>
      <c r="C5271" t="s">
        <v>40</v>
      </c>
      <c r="D5271">
        <v>4.5049929999999998</v>
      </c>
      <c r="E5271">
        <v>0.52453260000000002</v>
      </c>
      <c r="F5271" t="s">
        <v>58</v>
      </c>
      <c r="G5271">
        <v>-253.577</v>
      </c>
      <c r="H5271" s="1">
        <v>-7.8791740000000002E-7</v>
      </c>
      <c r="I5271">
        <v>-60.910879999999999</v>
      </c>
      <c r="J5271">
        <v>-264.98680000000002</v>
      </c>
      <c r="K5271">
        <v>1.1136539999999999</v>
      </c>
      <c r="L5271">
        <v>-61.236049999999999</v>
      </c>
      <c r="M5271">
        <v>0.99356809999999995</v>
      </c>
      <c r="N5271">
        <v>-1.0069E-2</v>
      </c>
      <c r="O5271">
        <v>-0.1127872</v>
      </c>
      <c r="P5271">
        <v>0.91951919999999998</v>
      </c>
      <c r="Q5271">
        <v>0.3896116</v>
      </c>
      <c r="R5271">
        <v>5.1836609999999998E-2</v>
      </c>
      <c r="S5271">
        <v>3.3951419999999999</v>
      </c>
      <c r="T5271">
        <v>-0.32445030000000002</v>
      </c>
      <c r="U5271">
        <v>8.7158200000000005E-2</v>
      </c>
      <c r="V5271">
        <v>-0.1582877</v>
      </c>
      <c r="W5271">
        <v>0.39752510000000002</v>
      </c>
      <c r="X5271">
        <v>0.90383559999999996</v>
      </c>
      <c r="Y5271">
        <v>-0.13715459999999999</v>
      </c>
      <c r="Z5271">
        <v>1.683395E-2</v>
      </c>
      <c r="AA5271">
        <v>0.99040660000000003</v>
      </c>
      <c r="AB5271">
        <v>34</v>
      </c>
      <c r="AC5271">
        <v>11.409800000000001</v>
      </c>
      <c r="AD5271">
        <v>-1.1136547879173999</v>
      </c>
      <c r="AE5271">
        <v>0.32516999999999202</v>
      </c>
      <c r="AF5271">
        <v>-1.5948581313529799</v>
      </c>
      <c r="AG5271">
        <v>-1.1136547879173999</v>
      </c>
      <c r="AH5271">
        <v>11.193758000202401</v>
      </c>
      <c r="AI5271">
        <v>95.625160136312303</v>
      </c>
      <c r="AJ5271">
        <v>98.1087816979568</v>
      </c>
      <c r="AK5271">
        <v>11.3615147587322</v>
      </c>
      <c r="AL5271">
        <v>66.5764484890353</v>
      </c>
      <c r="AM5271">
        <v>99.933409201646995</v>
      </c>
      <c r="AN5271">
        <v>0.99999999646433002</v>
      </c>
    </row>
    <row r="5272" spans="1:40" x14ac:dyDescent="0.25">
      <c r="A5272" t="str">
        <f>"20190304164752196"</f>
        <v>20190304164752196</v>
      </c>
      <c r="B5272" t="str">
        <f>"1551689272184287"</f>
        <v>1551689272184287</v>
      </c>
      <c r="C5272" t="s">
        <v>40</v>
      </c>
      <c r="D5272">
        <v>4.4762339999999998</v>
      </c>
      <c r="E5272">
        <v>0.52464290000000002</v>
      </c>
      <c r="F5272" t="s">
        <v>58</v>
      </c>
      <c r="G5272">
        <v>-253.37610000000001</v>
      </c>
      <c r="H5272" s="1">
        <v>-7.0304739999999998E-7</v>
      </c>
      <c r="I5272">
        <v>-60.916820000000001</v>
      </c>
      <c r="J5272">
        <v>-264.77179999999998</v>
      </c>
      <c r="K5272">
        <v>1.1136360000000001</v>
      </c>
      <c r="L5272">
        <v>-61.258540000000004</v>
      </c>
      <c r="M5272">
        <v>0.99381220000000003</v>
      </c>
      <c r="N5272">
        <v>-1.010812E-2</v>
      </c>
      <c r="O5272">
        <v>-0.1106135</v>
      </c>
      <c r="P5272">
        <v>0.91947279999999998</v>
      </c>
      <c r="Q5272">
        <v>0.3894243</v>
      </c>
      <c r="R5272">
        <v>5.4025469999999999E-2</v>
      </c>
      <c r="S5272">
        <v>3.3952939999999998</v>
      </c>
      <c r="T5272">
        <v>-0.32566299999999998</v>
      </c>
      <c r="U5272">
        <v>9.3353270000000002E-2</v>
      </c>
      <c r="V5272">
        <v>-0.1584537</v>
      </c>
      <c r="W5272">
        <v>0.39737899999999998</v>
      </c>
      <c r="X5272">
        <v>0.90387079999999997</v>
      </c>
      <c r="Y5272">
        <v>-0.13679439999999901</v>
      </c>
      <c r="Z5272">
        <v>1.6691499999999901E-2</v>
      </c>
      <c r="AA5272">
        <v>0.99045879999999997</v>
      </c>
      <c r="AB5272">
        <v>34</v>
      </c>
      <c r="AC5272">
        <v>11.3956999999999</v>
      </c>
      <c r="AD5272">
        <v>-1.1136367030473999</v>
      </c>
      <c r="AE5272">
        <v>0.34172000000000902</v>
      </c>
      <c r="AF5272">
        <v>-1.5850813650795099</v>
      </c>
      <c r="AG5272">
        <v>-1.1136367030473999</v>
      </c>
      <c r="AH5272">
        <v>11.1812766699208</v>
      </c>
      <c r="AI5272">
        <v>95.631865726760793</v>
      </c>
      <c r="AJ5272">
        <v>98.068606963425296</v>
      </c>
      <c r="AK5272">
        <v>11.3478463864124</v>
      </c>
      <c r="AL5272">
        <v>66.585571806559898</v>
      </c>
      <c r="AM5272">
        <v>99.943239273307697</v>
      </c>
      <c r="AN5272">
        <v>1.0000000338886601</v>
      </c>
    </row>
    <row r="5273" spans="1:40" x14ac:dyDescent="0.25">
      <c r="A5273" t="str">
        <f>"20190304164752218"</f>
        <v>20190304164752218</v>
      </c>
      <c r="B5273" t="str">
        <f>"1551689272214625"</f>
        <v>1551689272214625</v>
      </c>
      <c r="C5273" t="s">
        <v>40</v>
      </c>
      <c r="D5273">
        <v>4.523199</v>
      </c>
      <c r="E5273">
        <v>0.52515149999999999</v>
      </c>
      <c r="F5273" t="s">
        <v>58</v>
      </c>
      <c r="G5273">
        <v>-253.21190000000001</v>
      </c>
      <c r="H5273" s="1">
        <v>-6.3533569999999999E-7</v>
      </c>
      <c r="I5273">
        <v>-60.928989999999999</v>
      </c>
      <c r="J5273">
        <v>-264.43520000000001</v>
      </c>
      <c r="K5273">
        <v>1.113599</v>
      </c>
      <c r="L5273">
        <v>-61.292720000000003</v>
      </c>
      <c r="M5273">
        <v>0.99417900000000003</v>
      </c>
      <c r="N5273">
        <v>-1.01645E-2</v>
      </c>
      <c r="O5273">
        <v>-0.1072611</v>
      </c>
      <c r="P5273">
        <v>0.91939530000000003</v>
      </c>
      <c r="Q5273">
        <v>0.38918049999999998</v>
      </c>
      <c r="R5273">
        <v>5.7015650000000001E-2</v>
      </c>
      <c r="S5273">
        <v>3.3955989999999998</v>
      </c>
      <c r="T5273">
        <v>-0.3271194</v>
      </c>
      <c r="U5273">
        <v>9.6801760000000001E-2</v>
      </c>
      <c r="V5273">
        <v>-0.15831870000000001</v>
      </c>
      <c r="W5273">
        <v>0.39720260000000002</v>
      </c>
      <c r="X5273">
        <v>0.903972</v>
      </c>
      <c r="Y5273">
        <v>-0.13447089999999901</v>
      </c>
      <c r="Z5273">
        <v>1.6353469999999998E-2</v>
      </c>
      <c r="AA5273">
        <v>0.99078259999999996</v>
      </c>
      <c r="AB5273">
        <v>34</v>
      </c>
      <c r="AC5273">
        <v>11.223299999999901</v>
      </c>
      <c r="AD5273">
        <v>-1.1135996353356901</v>
      </c>
      <c r="AE5273">
        <v>0.363729999999996</v>
      </c>
      <c r="AF5273">
        <v>-1.55027054684496</v>
      </c>
      <c r="AG5273">
        <v>-1.1135996353356901</v>
      </c>
      <c r="AH5273">
        <v>11.011236513058</v>
      </c>
      <c r="AI5273">
        <v>95.7188392554297</v>
      </c>
      <c r="AJ5273">
        <v>98.013991766034906</v>
      </c>
      <c r="AK5273">
        <v>11.1754540159555</v>
      </c>
      <c r="AL5273">
        <v>66.596585582036496</v>
      </c>
      <c r="AM5273">
        <v>99.933846587749997</v>
      </c>
      <c r="AN5273">
        <v>1.0000000465002199</v>
      </c>
    </row>
    <row r="5274" spans="1:40" x14ac:dyDescent="0.25">
      <c r="A5274" t="str">
        <f>"20190304164752229"</f>
        <v>20190304164752229</v>
      </c>
      <c r="B5274" t="str">
        <f>"1551689272224385"</f>
        <v>1551689272224385</v>
      </c>
      <c r="C5274" t="s">
        <v>40</v>
      </c>
      <c r="D5274">
        <v>4.5000679999999997</v>
      </c>
      <c r="E5274">
        <v>0.52532209999999901</v>
      </c>
      <c r="F5274" t="s">
        <v>58</v>
      </c>
      <c r="G5274">
        <v>-252.97569999999999</v>
      </c>
      <c r="H5274" s="1">
        <v>-5.3873940000000001E-7</v>
      </c>
      <c r="I5274">
        <v>-60.9503699999999</v>
      </c>
      <c r="J5274">
        <v>-264.27449999999999</v>
      </c>
      <c r="K5274">
        <v>1.1135820000000001</v>
      </c>
      <c r="L5274">
        <v>-61.308619999999998</v>
      </c>
      <c r="M5274">
        <v>0.99434769999999995</v>
      </c>
      <c r="N5274">
        <v>-1.0191230000000001E-2</v>
      </c>
      <c r="O5274">
        <v>-0.105682</v>
      </c>
      <c r="P5274">
        <v>0.91938900000000001</v>
      </c>
      <c r="Q5274">
        <v>0.38899879999999998</v>
      </c>
      <c r="R5274">
        <v>5.8343069999999997E-2</v>
      </c>
      <c r="S5274">
        <v>3.3964539999999999</v>
      </c>
      <c r="T5274">
        <v>-0.33005810000000002</v>
      </c>
      <c r="U5274">
        <v>0.1014709</v>
      </c>
      <c r="V5274">
        <v>-0.15817490000000001</v>
      </c>
      <c r="W5274">
        <v>0.39705469999999998</v>
      </c>
      <c r="X5274">
        <v>0.90406209999999998</v>
      </c>
      <c r="Y5274">
        <v>-0.1342392</v>
      </c>
      <c r="Z5274">
        <v>1.634917E-2</v>
      </c>
      <c r="AA5274">
        <v>0.99081410000000003</v>
      </c>
      <c r="AB5274">
        <v>34</v>
      </c>
      <c r="AC5274">
        <v>11.2988</v>
      </c>
      <c r="AD5274">
        <v>-1.1135825387393901</v>
      </c>
      <c r="AE5274">
        <v>0.35825000000000501</v>
      </c>
      <c r="AF5274">
        <v>-1.53548533151928</v>
      </c>
      <c r="AG5274">
        <v>-1.1135825387393901</v>
      </c>
      <c r="AH5274">
        <v>11.0900412938456</v>
      </c>
      <c r="AI5274">
        <v>95.680184865863495</v>
      </c>
      <c r="AJ5274">
        <v>97.882841004240106</v>
      </c>
      <c r="AK5274">
        <v>11.2510798225369</v>
      </c>
      <c r="AL5274">
        <v>66.605817978842296</v>
      </c>
      <c r="AM5274">
        <v>99.924033752342197</v>
      </c>
      <c r="AN5274">
        <v>1.0000000072192501</v>
      </c>
    </row>
    <row r="5275" spans="1:40" x14ac:dyDescent="0.25">
      <c r="A5275" t="str">
        <f>"20190304164752240"</f>
        <v>20190304164752240</v>
      </c>
      <c r="B5275" t="str">
        <f>"1551689272234145"</f>
        <v>1551689272234145</v>
      </c>
      <c r="C5275" t="s">
        <v>40</v>
      </c>
      <c r="D5275">
        <v>4.5042400000000002</v>
      </c>
      <c r="E5275">
        <v>0.52544709999999994</v>
      </c>
      <c r="F5275" t="s">
        <v>58</v>
      </c>
      <c r="G5275">
        <v>-252.8647</v>
      </c>
      <c r="H5275" s="1">
        <v>-4.929484E-7</v>
      </c>
      <c r="I5275">
        <v>-60.958640000000003</v>
      </c>
      <c r="J5275">
        <v>-264.09879999999998</v>
      </c>
      <c r="K5275">
        <v>1.113559</v>
      </c>
      <c r="L5275">
        <v>-61.325780000000002</v>
      </c>
      <c r="M5275">
        <v>0.99452790000000002</v>
      </c>
      <c r="N5275">
        <v>-1.0220129999999999E-2</v>
      </c>
      <c r="O5275">
        <v>-0.1039717</v>
      </c>
      <c r="P5275">
        <v>0.91929079999999996</v>
      </c>
      <c r="Q5275">
        <v>0.38900289999999998</v>
      </c>
      <c r="R5275">
        <v>5.9845089999999997E-2</v>
      </c>
      <c r="S5275">
        <v>3.3966669999999999</v>
      </c>
      <c r="T5275">
        <v>-0.33150980000000002</v>
      </c>
      <c r="U5275">
        <v>0.104187</v>
      </c>
      <c r="V5275">
        <v>-0.15807460000000001</v>
      </c>
      <c r="W5275">
        <v>0.39709450000000002</v>
      </c>
      <c r="X5275">
        <v>0.90406220000000004</v>
      </c>
      <c r="Y5275">
        <v>-0.13332649999999999</v>
      </c>
      <c r="Z5275">
        <v>1.6222730000000001E-2</v>
      </c>
      <c r="AA5275">
        <v>0.99093940000000003</v>
      </c>
      <c r="AB5275">
        <v>34</v>
      </c>
      <c r="AC5275">
        <v>11.2340999999999</v>
      </c>
      <c r="AD5275">
        <v>-1.1135594929483901</v>
      </c>
      <c r="AE5275">
        <v>0.36713999999999902</v>
      </c>
      <c r="AF5275">
        <v>-1.5183369345901501</v>
      </c>
      <c r="AG5275">
        <v>-1.1135594929483901</v>
      </c>
      <c r="AH5275">
        <v>11.026806335567301</v>
      </c>
      <c r="AI5275">
        <v>95.713011768405195</v>
      </c>
      <c r="AJ5275">
        <v>97.840045848647094</v>
      </c>
      <c r="AK5275">
        <v>11.1864122824694</v>
      </c>
      <c r="AL5275">
        <v>66.603334179605994</v>
      </c>
      <c r="AM5275">
        <v>99.917864757913406</v>
      </c>
      <c r="AN5275">
        <v>1.0000000412821199</v>
      </c>
    </row>
    <row r="5276" spans="1:40" x14ac:dyDescent="0.25">
      <c r="A5276" t="str">
        <f>"20190304164752251"</f>
        <v>20190304164752251</v>
      </c>
      <c r="B5276" t="str">
        <f>"1551689272244880"</f>
        <v>1551689272244880</v>
      </c>
      <c r="C5276" t="s">
        <v>40</v>
      </c>
      <c r="D5276">
        <v>4.4944089999999903</v>
      </c>
      <c r="E5276">
        <v>0.52560039999999997</v>
      </c>
      <c r="F5276" t="s">
        <v>58</v>
      </c>
      <c r="G5276">
        <v>-252.70740000000001</v>
      </c>
      <c r="H5276" s="1">
        <v>-4.2664979999999999E-7</v>
      </c>
      <c r="I5276">
        <v>-60.963799999999999</v>
      </c>
      <c r="J5276">
        <v>-263.9282</v>
      </c>
      <c r="K5276">
        <v>1.1135409999999999</v>
      </c>
      <c r="L5276">
        <v>-61.342190000000002</v>
      </c>
      <c r="M5276">
        <v>0.99469859999999999</v>
      </c>
      <c r="N5276">
        <v>-1.024798E-2</v>
      </c>
      <c r="O5276">
        <v>-0.10232239999999999</v>
      </c>
      <c r="P5276">
        <v>0.91929539999999998</v>
      </c>
      <c r="Q5276">
        <v>0.38877830000000002</v>
      </c>
      <c r="R5276">
        <v>6.1218799999999997E-2</v>
      </c>
      <c r="S5276">
        <v>3.396881</v>
      </c>
      <c r="T5276">
        <v>-0.33206000000000002</v>
      </c>
      <c r="U5276">
        <v>0.1079407</v>
      </c>
      <c r="V5276">
        <v>-0.15791179999999999</v>
      </c>
      <c r="W5276">
        <v>0.39690629999999999</v>
      </c>
      <c r="X5276">
        <v>0.90417329999999996</v>
      </c>
      <c r="Y5276">
        <v>-0.13278099999999901</v>
      </c>
      <c r="Z5276">
        <v>1.6075240000000001E-2</v>
      </c>
      <c r="AA5276">
        <v>0.99101499999999998</v>
      </c>
      <c r="AB5276">
        <v>34</v>
      </c>
      <c r="AC5276">
        <v>11.220799999999899</v>
      </c>
      <c r="AD5276">
        <v>-1.1135414266497901</v>
      </c>
      <c r="AE5276">
        <v>0.378390000000003</v>
      </c>
      <c r="AF5276">
        <v>-1.5097513700962999</v>
      </c>
      <c r="AG5276">
        <v>-1.1135414266497901</v>
      </c>
      <c r="AH5276">
        <v>11.0148242341608</v>
      </c>
      <c r="AI5276">
        <v>95.719575485902098</v>
      </c>
      <c r="AJ5276">
        <v>97.804636787658495</v>
      </c>
      <c r="AK5276">
        <v>11.173436204580501</v>
      </c>
      <c r="AL5276">
        <v>66.615083027099601</v>
      </c>
      <c r="AM5276">
        <v>99.906659622711999</v>
      </c>
      <c r="AN5276">
        <v>1.0000000519959</v>
      </c>
    </row>
    <row r="5277" spans="1:40" x14ac:dyDescent="0.25">
      <c r="A5277" t="str">
        <f>"20190304164752263"</f>
        <v>20190304164752263</v>
      </c>
      <c r="B5277" t="str">
        <f>"1551689272254641"</f>
        <v>1551689272254641</v>
      </c>
      <c r="C5277" t="s">
        <v>40</v>
      </c>
      <c r="D5277">
        <v>4.5130239999999997</v>
      </c>
      <c r="E5277">
        <v>0.52579609999999999</v>
      </c>
      <c r="F5277" t="s">
        <v>58</v>
      </c>
      <c r="G5277">
        <v>-252.57939999999999</v>
      </c>
      <c r="H5277" s="1">
        <v>-3.7300909999999999E-7</v>
      </c>
      <c r="I5277">
        <v>-60.969650000000001</v>
      </c>
      <c r="J5277">
        <v>-263.75990000000002</v>
      </c>
      <c r="K5277">
        <v>1.1135139999999999</v>
      </c>
      <c r="L5277">
        <v>-61.358029999999999</v>
      </c>
      <c r="M5277">
        <v>0.9948612</v>
      </c>
      <c r="N5277">
        <v>-1.027572E-2</v>
      </c>
      <c r="O5277">
        <v>-0.10072589999999999</v>
      </c>
      <c r="P5277">
        <v>0.9191802</v>
      </c>
      <c r="Q5277">
        <v>0.3888259</v>
      </c>
      <c r="R5277">
        <v>6.26303E-2</v>
      </c>
      <c r="S5277">
        <v>3.3969119999999999</v>
      </c>
      <c r="T5277">
        <v>-0.33330369999999998</v>
      </c>
      <c r="U5277">
        <v>0.1115112</v>
      </c>
      <c r="V5277">
        <v>-0.15782199999999999</v>
      </c>
      <c r="W5277">
        <v>0.3969895</v>
      </c>
      <c r="X5277">
        <v>0.90415239999999997</v>
      </c>
      <c r="Y5277">
        <v>-0.13223170000000001</v>
      </c>
      <c r="Z5277">
        <v>1.5966259999999999E-2</v>
      </c>
      <c r="AA5277">
        <v>0.99109020000000003</v>
      </c>
      <c r="AB5277">
        <v>34</v>
      </c>
      <c r="AC5277">
        <v>11.1805</v>
      </c>
      <c r="AD5277">
        <v>-1.1135143730090999</v>
      </c>
      <c r="AE5277">
        <v>0.388380000000005</v>
      </c>
      <c r="AF5277">
        <v>-1.49779117045495</v>
      </c>
      <c r="AG5277">
        <v>-1.1135143730090999</v>
      </c>
      <c r="AH5277">
        <v>10.975772560719401</v>
      </c>
      <c r="AI5277">
        <v>95.740112324476598</v>
      </c>
      <c r="AJ5277">
        <v>97.770777266371098</v>
      </c>
      <c r="AK5277">
        <v>11.133322772372701</v>
      </c>
      <c r="AL5277">
        <v>66.609888134225102</v>
      </c>
      <c r="AM5277">
        <v>99.901361843802206</v>
      </c>
      <c r="AN5277">
        <v>1.0000000046099999</v>
      </c>
    </row>
    <row r="5278" spans="1:40" x14ac:dyDescent="0.25">
      <c r="A5278" t="str">
        <f>"20190304164752273"</f>
        <v>20190304164752273</v>
      </c>
      <c r="B5278" t="str">
        <f>"1551689272264401"</f>
        <v>1551689272264401</v>
      </c>
      <c r="C5278" t="s">
        <v>40</v>
      </c>
      <c r="D5278">
        <v>4.5163000000000002</v>
      </c>
      <c r="E5278">
        <v>0.525981699999999</v>
      </c>
      <c r="F5278" t="s">
        <v>58</v>
      </c>
      <c r="G5278">
        <v>-252.4316</v>
      </c>
      <c r="H5278" s="1">
        <v>-3.1048239999999998E-7</v>
      </c>
      <c r="I5278">
        <v>-60.973559999999999</v>
      </c>
      <c r="J5278">
        <v>-263.60309999999998</v>
      </c>
      <c r="K5278">
        <v>1.1134900000000001</v>
      </c>
      <c r="L5278">
        <v>-61.372680000000003</v>
      </c>
      <c r="M5278">
        <v>0.99500980000000006</v>
      </c>
      <c r="N5278">
        <v>-1.030173E-2</v>
      </c>
      <c r="O5278">
        <v>-9.9245150000000004E-2</v>
      </c>
      <c r="P5278">
        <v>0.91911989999999999</v>
      </c>
      <c r="Q5278">
        <v>0.38876840000000001</v>
      </c>
      <c r="R5278">
        <v>6.385789E-2</v>
      </c>
      <c r="S5278">
        <v>3.3971559999999998</v>
      </c>
      <c r="T5278">
        <v>-0.33392139999999998</v>
      </c>
      <c r="U5278">
        <v>0.11529540000000001</v>
      </c>
      <c r="V5278">
        <v>-0.1576612</v>
      </c>
      <c r="W5278">
        <v>0.39696629999999999</v>
      </c>
      <c r="X5278">
        <v>0.90419070000000001</v>
      </c>
      <c r="Y5278">
        <v>-0.13186099999999901</v>
      </c>
      <c r="Z5278">
        <v>1.5844649999999998E-2</v>
      </c>
      <c r="AA5278">
        <v>0.99114159999999996</v>
      </c>
      <c r="AB5278">
        <v>34</v>
      </c>
      <c r="AC5278">
        <v>11.171499999999901</v>
      </c>
      <c r="AD5278">
        <v>-1.1134903104824001</v>
      </c>
      <c r="AE5278">
        <v>0.39912000000000297</v>
      </c>
      <c r="AF5278">
        <v>-1.4911303608190301</v>
      </c>
      <c r="AG5278">
        <v>-1.1134903104824001</v>
      </c>
      <c r="AH5278">
        <v>10.967905045851399</v>
      </c>
      <c r="AI5278">
        <v>95.744467703382</v>
      </c>
      <c r="AJ5278">
        <v>97.742121752583202</v>
      </c>
      <c r="AK5278">
        <v>11.1246695015765</v>
      </c>
      <c r="AL5278">
        <v>66.611337766990999</v>
      </c>
      <c r="AM5278">
        <v>99.8910622920789</v>
      </c>
      <c r="AN5278">
        <v>1.0000000596437999</v>
      </c>
    </row>
    <row r="5279" spans="1:40" x14ac:dyDescent="0.25">
      <c r="A5279" t="str">
        <f>"20190304164752283"</f>
        <v>20190304164752283</v>
      </c>
      <c r="B5279" t="str">
        <f>"1551689272275136"</f>
        <v>1551689272275136</v>
      </c>
      <c r="C5279" t="s">
        <v>40</v>
      </c>
      <c r="D5279">
        <v>4.5253620000000003</v>
      </c>
      <c r="E5279">
        <v>0.52615619999999996</v>
      </c>
      <c r="F5279" t="s">
        <v>58</v>
      </c>
      <c r="G5279">
        <v>-252.32140000000001</v>
      </c>
      <c r="H5279" s="1">
        <v>-2.6437370000000001E-7</v>
      </c>
      <c r="I5279">
        <v>-60.978789999999996</v>
      </c>
      <c r="J5279">
        <v>-263.43720000000002</v>
      </c>
      <c r="K5279">
        <v>1.1134649999999999</v>
      </c>
      <c r="L5279">
        <v>-61.387790000000003</v>
      </c>
      <c r="M5279">
        <v>0.99516079999999996</v>
      </c>
      <c r="N5279">
        <v>-1.0332849999999999E-2</v>
      </c>
      <c r="O5279">
        <v>-9.771618E-2</v>
      </c>
      <c r="P5279">
        <v>0.91914119999999999</v>
      </c>
      <c r="Q5279">
        <v>0.38848749999999999</v>
      </c>
      <c r="R5279">
        <v>6.5247739999999999E-2</v>
      </c>
      <c r="S5279">
        <v>3.397583</v>
      </c>
      <c r="T5279">
        <v>-0.33533669999999999</v>
      </c>
      <c r="U5279">
        <v>0.1186218</v>
      </c>
      <c r="V5279">
        <v>-0.15762029999999999</v>
      </c>
      <c r="W5279">
        <v>0.39672649999999998</v>
      </c>
      <c r="X5279">
        <v>0.90430299999999997</v>
      </c>
      <c r="Y5279">
        <v>-0.13130320000000001</v>
      </c>
      <c r="Z5279">
        <v>1.5745169999999999E-2</v>
      </c>
      <c r="AA5279">
        <v>0.99121720000000002</v>
      </c>
      <c r="AB5279">
        <v>34</v>
      </c>
      <c r="AC5279">
        <v>11.1158</v>
      </c>
      <c r="AD5279">
        <v>-1.1134652643737</v>
      </c>
      <c r="AE5279">
        <v>0.40899999999999798</v>
      </c>
      <c r="AF5279">
        <v>-1.47847889825513</v>
      </c>
      <c r="AG5279">
        <v>-1.1134652643737</v>
      </c>
      <c r="AH5279">
        <v>10.913274447908</v>
      </c>
      <c r="AI5279">
        <v>95.773266907106205</v>
      </c>
      <c r="AJ5279">
        <v>97.715190140659701</v>
      </c>
      <c r="AK5279">
        <v>11.069113059451301</v>
      </c>
      <c r="AL5279">
        <v>66.626304853089493</v>
      </c>
      <c r="AM5279">
        <v>99.887343275018097</v>
      </c>
      <c r="AN5279">
        <v>0.99999999529166905</v>
      </c>
    </row>
    <row r="5280" spans="1:40" x14ac:dyDescent="0.25">
      <c r="A5280" t="str">
        <f>"20190304164752295"</f>
        <v>20190304164752295</v>
      </c>
      <c r="B5280" t="str">
        <f>"1551689272284897"</f>
        <v>1551689272284897</v>
      </c>
      <c r="C5280" t="s">
        <v>40</v>
      </c>
      <c r="D5280">
        <v>4.490602</v>
      </c>
      <c r="E5280">
        <v>0.52628330000000001</v>
      </c>
      <c r="F5280" t="s">
        <v>58</v>
      </c>
      <c r="G5280">
        <v>-252.21770000000001</v>
      </c>
      <c r="H5280" s="1">
        <v>-2.2122790000000001E-7</v>
      </c>
      <c r="I5280">
        <v>-60.984810000000003</v>
      </c>
      <c r="J5280">
        <v>-263.26229999999998</v>
      </c>
      <c r="K5280">
        <v>1.113437</v>
      </c>
      <c r="L5280">
        <v>-61.403590000000001</v>
      </c>
      <c r="M5280">
        <v>0.99531639999999999</v>
      </c>
      <c r="N5280">
        <v>-1.0366999999999999E-2</v>
      </c>
      <c r="O5280">
        <v>-9.6113790000000004E-2</v>
      </c>
      <c r="P5280">
        <v>0.91900809999999999</v>
      </c>
      <c r="Q5280">
        <v>0.38860549999999999</v>
      </c>
      <c r="R5280">
        <v>6.6407729999999998E-2</v>
      </c>
      <c r="S5280">
        <v>3.3977970000000002</v>
      </c>
      <c r="T5280">
        <v>-0.33721020000000002</v>
      </c>
      <c r="U5280">
        <v>0.1220398</v>
      </c>
      <c r="V5280">
        <v>-0.1572693</v>
      </c>
      <c r="W5280">
        <v>0.39689010000000002</v>
      </c>
      <c r="X5280">
        <v>0.90429230000000005</v>
      </c>
      <c r="Y5280">
        <v>-0.1306985</v>
      </c>
      <c r="Z5280">
        <v>1.565774E-2</v>
      </c>
      <c r="AA5280">
        <v>0.99129849999999997</v>
      </c>
      <c r="AB5280">
        <v>34</v>
      </c>
      <c r="AC5280">
        <v>11.0445999999999</v>
      </c>
      <c r="AD5280">
        <v>-1.1134372212279</v>
      </c>
      <c r="AE5280">
        <v>0.41878000000000498</v>
      </c>
      <c r="AF5280">
        <v>-1.4635829969848799</v>
      </c>
      <c r="AG5280">
        <v>-1.1134372212279</v>
      </c>
      <c r="AH5280">
        <v>10.8431658889172</v>
      </c>
      <c r="AI5280">
        <v>95.810576641428398</v>
      </c>
      <c r="AJ5280">
        <v>97.687179470600697</v>
      </c>
      <c r="AK5280">
        <v>10.9980027336447</v>
      </c>
      <c r="AL5280">
        <v>66.616092348491094</v>
      </c>
      <c r="AM5280">
        <v>99.865872988396802</v>
      </c>
      <c r="AN5280">
        <v>0.99999997401989404</v>
      </c>
    </row>
    <row r="5281" spans="1:40" x14ac:dyDescent="0.25">
      <c r="A5281" t="str">
        <f>"20190304164752307"</f>
        <v>20190304164752307</v>
      </c>
      <c r="B5281" t="str">
        <f>"1551689272294656"</f>
        <v>1551689272294656</v>
      </c>
      <c r="C5281" t="s">
        <v>40</v>
      </c>
      <c r="D5281">
        <v>4.4944680000000004</v>
      </c>
      <c r="E5281">
        <v>0.52641930000000003</v>
      </c>
      <c r="F5281" t="s">
        <v>58</v>
      </c>
      <c r="G5281">
        <v>-252.03489999999999</v>
      </c>
      <c r="H5281" s="1">
        <v>-1.4328649999999999E-7</v>
      </c>
      <c r="I5281">
        <v>-60.987020000000001</v>
      </c>
      <c r="J5281">
        <v>-263.0942</v>
      </c>
      <c r="K5281">
        <v>1.1134090000000001</v>
      </c>
      <c r="L5281">
        <v>-61.418430000000001</v>
      </c>
      <c r="M5281">
        <v>0.99546029999999996</v>
      </c>
      <c r="N5281">
        <v>-1.040515E-2</v>
      </c>
      <c r="O5281">
        <v>-9.4608349999999994E-2</v>
      </c>
      <c r="P5281">
        <v>0.91898199999999997</v>
      </c>
      <c r="Q5281">
        <v>0.3884435</v>
      </c>
      <c r="R5281">
        <v>6.770495E-2</v>
      </c>
      <c r="S5281">
        <v>3.3977360000000001</v>
      </c>
      <c r="T5281">
        <v>-0.3369566</v>
      </c>
      <c r="U5281">
        <v>0.12606809999999999</v>
      </c>
      <c r="V5281">
        <v>-0.15715129999999999</v>
      </c>
      <c r="W5281">
        <v>0.39677679999999999</v>
      </c>
      <c r="X5281">
        <v>0.90436260000000002</v>
      </c>
      <c r="Y5281">
        <v>-0.130383</v>
      </c>
      <c r="Z5281">
        <v>1.549467E-2</v>
      </c>
      <c r="AA5281">
        <v>0.99134259999999996</v>
      </c>
      <c r="AB5281">
        <v>34</v>
      </c>
      <c r="AC5281">
        <v>11.0593</v>
      </c>
      <c r="AD5281">
        <v>-1.1134091432864901</v>
      </c>
      <c r="AE5281">
        <v>0.43141000000001301</v>
      </c>
      <c r="AF5281">
        <v>-1.461047134298</v>
      </c>
      <c r="AG5281">
        <v>-1.1134091432864901</v>
      </c>
      <c r="AH5281">
        <v>10.8589754961525</v>
      </c>
      <c r="AI5281">
        <v>95.802357456746407</v>
      </c>
      <c r="AJ5281">
        <v>97.662979438517496</v>
      </c>
      <c r="AK5281">
        <v>11.0132505408274</v>
      </c>
      <c r="AL5281">
        <v>66.623166203708905</v>
      </c>
      <c r="AM5281">
        <v>99.857864549655602</v>
      </c>
      <c r="AN5281">
        <v>1.00000003619434</v>
      </c>
    </row>
    <row r="5282" spans="1:40" x14ac:dyDescent="0.25">
      <c r="A5282" t="str">
        <f>"20190304164752318"</f>
        <v>20190304164752318</v>
      </c>
      <c r="B5282" t="str">
        <f>"1551689272314177"</f>
        <v>1551689272314177</v>
      </c>
      <c r="C5282" t="s">
        <v>40</v>
      </c>
      <c r="D5282">
        <v>4.4950169999999998</v>
      </c>
      <c r="E5282">
        <v>0.52664460000000002</v>
      </c>
      <c r="F5282" t="s">
        <v>58</v>
      </c>
      <c r="G5282">
        <v>-251.87989999999999</v>
      </c>
      <c r="H5282" s="1">
        <v>-7.7546469999999996E-8</v>
      </c>
      <c r="I5282">
        <v>-60.990419999999901</v>
      </c>
      <c r="J5282">
        <v>-262.92840000000001</v>
      </c>
      <c r="K5282">
        <v>1.113383</v>
      </c>
      <c r="L5282">
        <v>-61.432920000000003</v>
      </c>
      <c r="M5282">
        <v>0.99559869999999995</v>
      </c>
      <c r="N5282">
        <v>-1.0444429999999999E-2</v>
      </c>
      <c r="O5282">
        <v>-9.3135330000000002E-2</v>
      </c>
      <c r="P5282">
        <v>0.91897439999999997</v>
      </c>
      <c r="Q5282">
        <v>0.38826559999999999</v>
      </c>
      <c r="R5282">
        <v>6.8818779999999996E-2</v>
      </c>
      <c r="S5282">
        <v>3.3975219999999999</v>
      </c>
      <c r="T5282">
        <v>-0.33732099999999998</v>
      </c>
      <c r="U5282">
        <v>0.12966920000000001</v>
      </c>
      <c r="V5282">
        <v>-0.15688250000000001</v>
      </c>
      <c r="W5282">
        <v>0.3966498</v>
      </c>
      <c r="X5282">
        <v>0.90446490000000002</v>
      </c>
      <c r="Y5282">
        <v>-0.12997339999999999</v>
      </c>
      <c r="Z5282">
        <v>1.535886E-2</v>
      </c>
      <c r="AA5282">
        <v>0.99139849999999996</v>
      </c>
      <c r="AB5282">
        <v>34</v>
      </c>
      <c r="AC5282">
        <v>11.048500000000001</v>
      </c>
      <c r="AD5282">
        <v>-1.1133830775464699</v>
      </c>
      <c r="AE5282">
        <v>0.442500000000002</v>
      </c>
      <c r="AF5282">
        <v>-1.4548874329053001</v>
      </c>
      <c r="AG5282">
        <v>-1.1133830775464699</v>
      </c>
      <c r="AH5282">
        <v>10.849258905911</v>
      </c>
      <c r="AI5282">
        <v>95.8077238840185</v>
      </c>
      <c r="AJ5282">
        <v>97.637807919325496</v>
      </c>
      <c r="AK5282">
        <v>11.0028513635003</v>
      </c>
      <c r="AL5282">
        <v>66.631091575803893</v>
      </c>
      <c r="AM5282">
        <v>99.840241742731905</v>
      </c>
      <c r="AN5282">
        <v>0.999999968989149</v>
      </c>
    </row>
    <row r="5283" spans="1:40" x14ac:dyDescent="0.25">
      <c r="A5283" t="str">
        <f>"20190304164752329"</f>
        <v>20190304164752329</v>
      </c>
      <c r="B5283" t="str">
        <f>"1551689272324912"</f>
        <v>1551689272324912</v>
      </c>
      <c r="C5283" t="s">
        <v>40</v>
      </c>
      <c r="D5283">
        <v>4.4624579999999998</v>
      </c>
      <c r="E5283">
        <v>0.52666610000000003</v>
      </c>
      <c r="F5283" t="s">
        <v>58</v>
      </c>
      <c r="G5283">
        <v>-251.75729999999999</v>
      </c>
      <c r="H5283" s="1">
        <v>-2.6544170000000001E-8</v>
      </c>
      <c r="I5283">
        <v>-60.997459999999997</v>
      </c>
      <c r="J5283">
        <v>-262.74970000000002</v>
      </c>
      <c r="K5283">
        <v>1.1133580000000001</v>
      </c>
      <c r="L5283">
        <v>-61.448210000000003</v>
      </c>
      <c r="M5283">
        <v>0.99574320000000005</v>
      </c>
      <c r="N5283">
        <v>-1.049017E-2</v>
      </c>
      <c r="O5283">
        <v>-9.1572819999999999E-2</v>
      </c>
      <c r="P5283">
        <v>0.91885570000000005</v>
      </c>
      <c r="Q5283">
        <v>0.38829989999999998</v>
      </c>
      <c r="R5283">
        <v>7.01957E-2</v>
      </c>
      <c r="S5283">
        <v>3.397675</v>
      </c>
      <c r="T5283">
        <v>-0.33863470000000001</v>
      </c>
      <c r="U5283">
        <v>0.13244629999999999</v>
      </c>
      <c r="V5283">
        <v>-0.15678410000000001</v>
      </c>
      <c r="W5283">
        <v>0.39673910000000001</v>
      </c>
      <c r="X5283">
        <v>0.90444279999999999</v>
      </c>
      <c r="Y5283">
        <v>-0.12922709999999901</v>
      </c>
      <c r="Z5283">
        <v>1.523789E-2</v>
      </c>
      <c r="AA5283">
        <v>0.99149790000000004</v>
      </c>
      <c r="AB5283">
        <v>34</v>
      </c>
      <c r="AC5283">
        <v>10.9924</v>
      </c>
      <c r="AD5283">
        <v>-1.11335802654417</v>
      </c>
      <c r="AE5283">
        <v>0.45074999999999898</v>
      </c>
      <c r="AF5283">
        <v>-1.44076103235269</v>
      </c>
      <c r="AG5283">
        <v>-1.11335802654417</v>
      </c>
      <c r="AH5283">
        <v>10.7943818540128</v>
      </c>
      <c r="AI5283">
        <v>95.837393380399703</v>
      </c>
      <c r="AJ5283">
        <v>97.6025188108609</v>
      </c>
      <c r="AK5283">
        <v>10.9468734375554</v>
      </c>
      <c r="AL5283">
        <v>66.625517831398597</v>
      </c>
      <c r="AM5283">
        <v>99.834425884692394</v>
      </c>
      <c r="AN5283">
        <v>0.99999997297672905</v>
      </c>
    </row>
    <row r="5284" spans="1:40" x14ac:dyDescent="0.25">
      <c r="A5284" t="str">
        <f>"20190304164752341"</f>
        <v>20190304164752341</v>
      </c>
      <c r="B5284" t="str">
        <f>"1551689272334673"</f>
        <v>1551689272334673</v>
      </c>
      <c r="C5284" t="s">
        <v>40</v>
      </c>
      <c r="D5284">
        <v>4.6029119999999999</v>
      </c>
      <c r="E5284">
        <v>0.52666610000000003</v>
      </c>
      <c r="F5284" t="s">
        <v>58</v>
      </c>
      <c r="G5284">
        <v>-251.5916</v>
      </c>
      <c r="H5284" s="1">
        <v>4.4964849999999998E-8</v>
      </c>
      <c r="I5284">
        <v>-60.995620000000002</v>
      </c>
      <c r="J5284">
        <v>-262.57440000000003</v>
      </c>
      <c r="K5284">
        <v>1.113335</v>
      </c>
      <c r="L5284">
        <v>-61.462980000000002</v>
      </c>
      <c r="M5284">
        <v>0.99588030000000005</v>
      </c>
      <c r="N5284">
        <v>-1.054425E-2</v>
      </c>
      <c r="O5284">
        <v>-9.0062290000000003E-2</v>
      </c>
      <c r="P5284">
        <v>0.91859329999999995</v>
      </c>
      <c r="Q5284">
        <v>0.38876880000000003</v>
      </c>
      <c r="R5284">
        <v>7.1026939999999997E-2</v>
      </c>
      <c r="S5284">
        <v>3.397675</v>
      </c>
      <c r="T5284">
        <v>-0.33901999999999999</v>
      </c>
      <c r="U5284">
        <v>0.13781740000000001</v>
      </c>
      <c r="V5284">
        <v>-0.1561816</v>
      </c>
      <c r="W5284">
        <v>0.39727259999999998</v>
      </c>
      <c r="X5284">
        <v>0.90431280000000003</v>
      </c>
      <c r="Y5284">
        <v>-0.1292913</v>
      </c>
      <c r="Z5284">
        <v>1.5123279999999999E-2</v>
      </c>
      <c r="AA5284">
        <v>0.99149129999999996</v>
      </c>
      <c r="AB5284">
        <v>34</v>
      </c>
      <c r="AC5284">
        <v>10.982799999999999</v>
      </c>
      <c r="AD5284">
        <v>-1.1133349550351499</v>
      </c>
      <c r="AE5284">
        <v>0.46736000000000599</v>
      </c>
      <c r="AF5284">
        <v>-1.43988209271644</v>
      </c>
      <c r="AG5284">
        <v>-1.1133349550351499</v>
      </c>
      <c r="AH5284">
        <v>10.785437361744</v>
      </c>
      <c r="AI5284">
        <v>95.842058485574498</v>
      </c>
      <c r="AJ5284">
        <v>97.604162431824605</v>
      </c>
      <c r="AK5284">
        <v>10.9379355569107</v>
      </c>
      <c r="AL5284">
        <v>66.592212270506394</v>
      </c>
      <c r="AM5284">
        <v>99.798748412983898</v>
      </c>
      <c r="AN5284">
        <v>0.99999992556657702</v>
      </c>
    </row>
    <row r="5285" spans="1:40" x14ac:dyDescent="0.25">
      <c r="A5285" t="str">
        <f>"20190304164752352"</f>
        <v>20190304164752352</v>
      </c>
      <c r="B5285" t="str">
        <f>"1551689272344433"</f>
        <v>1551689272344433</v>
      </c>
      <c r="C5285" t="s">
        <v>40</v>
      </c>
      <c r="D5285">
        <v>4.5839460000000001</v>
      </c>
      <c r="E5285">
        <v>0.49691790000000002</v>
      </c>
      <c r="F5285" t="s">
        <v>58</v>
      </c>
      <c r="G5285">
        <v>-251.35890000000001</v>
      </c>
      <c r="H5285" s="1">
        <v>1.4446920000000001E-7</v>
      </c>
      <c r="I5285">
        <v>-60.997079999999997</v>
      </c>
      <c r="J5285">
        <v>-262.40159999999997</v>
      </c>
      <c r="K5285">
        <v>1.1133150000000001</v>
      </c>
      <c r="L5285">
        <v>-61.477330000000002</v>
      </c>
      <c r="M5285">
        <v>0.99601189999999995</v>
      </c>
      <c r="N5285">
        <v>-1.0603410000000001E-2</v>
      </c>
      <c r="O5285">
        <v>-8.8587899999999997E-2</v>
      </c>
      <c r="P5285">
        <v>0.91847009999999996</v>
      </c>
      <c r="Q5285">
        <v>0.38886710000000002</v>
      </c>
      <c r="R5285">
        <v>7.207479E-2</v>
      </c>
      <c r="S5285">
        <v>3.3977050000000002</v>
      </c>
      <c r="T5285">
        <v>-0.33728160000000001</v>
      </c>
      <c r="U5285">
        <v>0.14114380000000001</v>
      </c>
      <c r="V5285">
        <v>-0.1558398</v>
      </c>
      <c r="W5285">
        <v>0.39743889999999998</v>
      </c>
      <c r="X5285">
        <v>0.90429879999999996</v>
      </c>
      <c r="Y5285">
        <v>-0.1288118</v>
      </c>
      <c r="Z5285">
        <v>1.488665E-2</v>
      </c>
      <c r="AA5285">
        <v>0.99155729999999997</v>
      </c>
      <c r="AB5285">
        <v>34</v>
      </c>
      <c r="AC5285">
        <v>11.0426999999999</v>
      </c>
      <c r="AD5285">
        <v>-1.1133148555307999</v>
      </c>
      <c r="AE5285">
        <v>0.48024999999999801</v>
      </c>
      <c r="AF5285">
        <v>-1.4420363541949399</v>
      </c>
      <c r="AG5285">
        <v>-1.1133148555307999</v>
      </c>
      <c r="AH5285">
        <v>10.846689589033399</v>
      </c>
      <c r="AI5285">
        <v>95.809609354246902</v>
      </c>
      <c r="AJ5285">
        <v>97.572901497070404</v>
      </c>
      <c r="AK5285">
        <v>10.998618724876801</v>
      </c>
      <c r="AL5285">
        <v>66.581831448146701</v>
      </c>
      <c r="AM5285">
        <v>99.777866884966102</v>
      </c>
      <c r="AN5285">
        <v>1.0000000210893401</v>
      </c>
    </row>
    <row r="5286" spans="1:40" x14ac:dyDescent="0.25">
      <c r="A5286" t="str">
        <f>"20190304164752365"</f>
        <v>20190304164752365</v>
      </c>
      <c r="B5286" t="str">
        <f>"1551689272355169"</f>
        <v>1551689272355169</v>
      </c>
      <c r="C5286" t="s">
        <v>40</v>
      </c>
      <c r="D5286">
        <v>4.5413610000000002</v>
      </c>
      <c r="E5286">
        <v>0.49061359999999898</v>
      </c>
      <c r="F5286" t="s">
        <v>59</v>
      </c>
      <c r="G5286">
        <v>-249.35839999999999</v>
      </c>
      <c r="H5286" s="1">
        <v>-3.0681010000000001E-6</v>
      </c>
      <c r="I5286">
        <v>-60.010260000000002</v>
      </c>
      <c r="J5286">
        <v>-262.20870000000002</v>
      </c>
      <c r="K5286">
        <v>1.1133010000000001</v>
      </c>
      <c r="L5286">
        <v>-61.49295</v>
      </c>
      <c r="M5286">
        <v>0.99615260000000005</v>
      </c>
      <c r="N5286">
        <v>-1.069487E-2</v>
      </c>
      <c r="O5286">
        <v>-8.6980660000000001E-2</v>
      </c>
      <c r="P5286">
        <v>0.9183133</v>
      </c>
      <c r="Q5286">
        <v>0.38904490000000003</v>
      </c>
      <c r="R5286">
        <v>7.3107939999999996E-2</v>
      </c>
      <c r="S5286">
        <v>3.3580019999999902</v>
      </c>
      <c r="T5286">
        <v>-0.28662729999999997</v>
      </c>
      <c r="U5286">
        <v>0.37768550000000001</v>
      </c>
      <c r="V5286">
        <v>-0.15535689999999999</v>
      </c>
      <c r="W5286">
        <v>0.3977154</v>
      </c>
      <c r="X5286">
        <v>0.90426030000000002</v>
      </c>
      <c r="Y5286">
        <v>-0.1967486</v>
      </c>
      <c r="Z5286">
        <v>1.5877079999999998E-2</v>
      </c>
      <c r="AA5286">
        <v>0.98032540000000001</v>
      </c>
      <c r="AB5286">
        <v>34</v>
      </c>
      <c r="AC5286">
        <v>12.850300000000001</v>
      </c>
      <c r="AD5286">
        <v>-1.113304068101</v>
      </c>
      <c r="AE5286">
        <v>1.4826900000000001</v>
      </c>
      <c r="AF5286">
        <v>-2.5757819736611798</v>
      </c>
      <c r="AG5286">
        <v>-1.113304068101</v>
      </c>
      <c r="AH5286">
        <v>12.579439900768</v>
      </c>
      <c r="AI5286">
        <v>94.955320114610998</v>
      </c>
      <c r="AJ5286">
        <v>101.571998523075</v>
      </c>
      <c r="AK5286">
        <v>12.888615400458001</v>
      </c>
      <c r="AL5286">
        <v>66.5645653743927</v>
      </c>
      <c r="AM5286">
        <v>99.748557531350201</v>
      </c>
      <c r="AN5286">
        <v>0.99999999796543004</v>
      </c>
    </row>
    <row r="5287" spans="1:40" x14ac:dyDescent="0.25">
      <c r="A5287" t="str">
        <f>"20190304164752382"</f>
        <v>20190304164752382</v>
      </c>
      <c r="B5287" t="str">
        <f>"1551689272374688"</f>
        <v>1551689272374688</v>
      </c>
      <c r="C5287" t="s">
        <v>40</v>
      </c>
      <c r="D5287">
        <v>4.5010700000000003</v>
      </c>
      <c r="E5287">
        <v>0.48514249999999998</v>
      </c>
      <c r="F5287" t="s">
        <v>59</v>
      </c>
      <c r="G5287">
        <v>-247.69749999999999</v>
      </c>
      <c r="H5287" s="1">
        <v>-2.4237869999999998E-6</v>
      </c>
      <c r="I5287">
        <v>-59.625810000000001</v>
      </c>
      <c r="J5287">
        <v>-261.95600000000002</v>
      </c>
      <c r="K5287">
        <v>1.1132839999999999</v>
      </c>
      <c r="L5287">
        <v>-61.513060000000003</v>
      </c>
      <c r="M5287">
        <v>0.99632969999999998</v>
      </c>
      <c r="N5287">
        <v>-1.0840209999999999E-2</v>
      </c>
      <c r="O5287">
        <v>-8.4909520000000002E-2</v>
      </c>
      <c r="P5287">
        <v>0.91807720000000004</v>
      </c>
      <c r="Q5287">
        <v>0.38932420000000001</v>
      </c>
      <c r="R5287">
        <v>7.4572150000000004E-2</v>
      </c>
      <c r="S5287">
        <v>3.3412480000000002</v>
      </c>
      <c r="T5287">
        <v>-0.2563416</v>
      </c>
      <c r="U5287">
        <v>0.42990109999999898</v>
      </c>
      <c r="V5287">
        <v>-0.1548648</v>
      </c>
      <c r="W5287">
        <v>0.3981459</v>
      </c>
      <c r="X5287">
        <v>0.9041553</v>
      </c>
      <c r="Y5287">
        <v>-0.21049370000000001</v>
      </c>
      <c r="Z5287">
        <v>1.4743239999999999E-2</v>
      </c>
      <c r="AA5287">
        <v>0.97748400000000002</v>
      </c>
      <c r="AB5287">
        <v>34</v>
      </c>
      <c r="AC5287">
        <v>14.2584999999999</v>
      </c>
      <c r="AD5287">
        <v>-1.1132864237869999</v>
      </c>
      <c r="AE5287">
        <v>1.8872500000000001</v>
      </c>
      <c r="AF5287">
        <v>-3.0727771965647901</v>
      </c>
      <c r="AG5287">
        <v>-1.1132864237869999</v>
      </c>
      <c r="AH5287">
        <v>13.963089280473399</v>
      </c>
      <c r="AI5287">
        <v>94.452492581210194</v>
      </c>
      <c r="AJ5287">
        <v>102.410931455409</v>
      </c>
      <c r="AK5287">
        <v>14.3404751879283</v>
      </c>
      <c r="AL5287">
        <v>66.537680082963405</v>
      </c>
      <c r="AM5287">
        <v>99.719375354575504</v>
      </c>
      <c r="AN5287">
        <v>1.00000003524196</v>
      </c>
    </row>
    <row r="5288" spans="1:40" x14ac:dyDescent="0.25">
      <c r="A5288" t="str">
        <f>"20190304164752396"</f>
        <v>20190304164752396</v>
      </c>
      <c r="B5288" t="str">
        <f>"1551689272384448"</f>
        <v>1551689272384448</v>
      </c>
      <c r="C5288" t="s">
        <v>40</v>
      </c>
      <c r="D5288">
        <v>4.4954729999999996</v>
      </c>
      <c r="E5288">
        <v>0.48376469999999999</v>
      </c>
      <c r="F5288" t="s">
        <v>59</v>
      </c>
      <c r="G5288">
        <v>-246.05959999999999</v>
      </c>
      <c r="H5288" s="1">
        <v>-1.7902649999999999E-6</v>
      </c>
      <c r="I5288">
        <v>-59.236109999999996</v>
      </c>
      <c r="J5288">
        <v>-261.74439999999998</v>
      </c>
      <c r="K5288">
        <v>1.1132770000000001</v>
      </c>
      <c r="L5288">
        <v>-61.529600000000002</v>
      </c>
      <c r="M5288">
        <v>0.99647180000000002</v>
      </c>
      <c r="N5288">
        <v>-1.098527E-2</v>
      </c>
      <c r="O5288">
        <v>-8.3206489999999994E-2</v>
      </c>
      <c r="P5288">
        <v>0.91795139999999997</v>
      </c>
      <c r="Q5288">
        <v>0.38948129999999997</v>
      </c>
      <c r="R5288">
        <v>7.5296219999999997E-2</v>
      </c>
      <c r="S5288">
        <v>3.32782</v>
      </c>
      <c r="T5288">
        <v>-0.2330605</v>
      </c>
      <c r="U5288">
        <v>0.47665410000000002</v>
      </c>
      <c r="V5288">
        <v>-0.1539855</v>
      </c>
      <c r="W5288">
        <v>0.39845560000000002</v>
      </c>
      <c r="X5288">
        <v>0.904169</v>
      </c>
      <c r="Y5288">
        <v>-0.22290109999999999</v>
      </c>
      <c r="Z5288">
        <v>1.387495E-2</v>
      </c>
      <c r="AA5288">
        <v>0.97474229999999995</v>
      </c>
      <c r="AB5288">
        <v>34</v>
      </c>
      <c r="AC5288">
        <v>15.6847999999999</v>
      </c>
      <c r="AD5288">
        <v>-1.1132787902650001</v>
      </c>
      <c r="AE5288">
        <v>2.2934899999999998</v>
      </c>
      <c r="AF5288">
        <v>-3.5730678961270801</v>
      </c>
      <c r="AG5288">
        <v>-1.1132787902650001</v>
      </c>
      <c r="AH5288">
        <v>15.363777975448601</v>
      </c>
      <c r="AI5288">
        <v>94.037113199362807</v>
      </c>
      <c r="AJ5288">
        <v>103.09223367465</v>
      </c>
      <c r="AK5288">
        <v>15.813028727415499</v>
      </c>
      <c r="AL5288">
        <v>66.5183337308071</v>
      </c>
      <c r="AM5288">
        <v>99.665090311518099</v>
      </c>
      <c r="AN5288">
        <v>0.99999998997130501</v>
      </c>
    </row>
    <row r="5289" spans="1:40" x14ac:dyDescent="0.25">
      <c r="A5289" t="str">
        <f>"20190304164752408"</f>
        <v>20190304164752408</v>
      </c>
      <c r="B5289" t="str">
        <f>"1551689272404944"</f>
        <v>1551689272404944</v>
      </c>
      <c r="C5289" t="s">
        <v>40</v>
      </c>
      <c r="D5289">
        <v>4.4987719999999998</v>
      </c>
      <c r="E5289">
        <v>0.48234739999999998</v>
      </c>
      <c r="F5289" t="s">
        <v>59</v>
      </c>
      <c r="G5289">
        <v>-245.38980000000001</v>
      </c>
      <c r="H5289" s="1">
        <v>-1.523757E-6</v>
      </c>
      <c r="I5289">
        <v>-59.118679999999998</v>
      </c>
      <c r="J5289">
        <v>-261.55</v>
      </c>
      <c r="K5289">
        <v>1.11327</v>
      </c>
      <c r="L5289">
        <v>-61.544339999999998</v>
      </c>
      <c r="M5289">
        <v>0.99659660000000005</v>
      </c>
      <c r="N5289">
        <v>-1.114103E-2</v>
      </c>
      <c r="O5289">
        <v>-8.1677669999999994E-2</v>
      </c>
      <c r="P5289">
        <v>0.91786290000000004</v>
      </c>
      <c r="Q5289">
        <v>0.38948719999999998</v>
      </c>
      <c r="R5289">
        <v>7.6339290000000004E-2</v>
      </c>
      <c r="S5289">
        <v>3.323944</v>
      </c>
      <c r="T5289">
        <v>-0.22626579999999999</v>
      </c>
      <c r="U5289">
        <v>0.48999019999999999</v>
      </c>
      <c r="V5289">
        <v>-0.15358859999999999</v>
      </c>
      <c r="W5289">
        <v>0.3986191</v>
      </c>
      <c r="X5289">
        <v>0.90416439999999998</v>
      </c>
      <c r="Y5289">
        <v>-0.22543160000000001</v>
      </c>
      <c r="Z5289">
        <v>1.351079E-2</v>
      </c>
      <c r="AA5289">
        <v>0.97416530000000001</v>
      </c>
      <c r="AB5289">
        <v>34</v>
      </c>
      <c r="AC5289">
        <v>16.1602</v>
      </c>
      <c r="AD5289">
        <v>-1.1132715237569999</v>
      </c>
      <c r="AE5289">
        <v>2.4256600000000001</v>
      </c>
      <c r="AF5289">
        <v>-3.7202969481691799</v>
      </c>
      <c r="AG5289">
        <v>-1.1132715237569999</v>
      </c>
      <c r="AH5289">
        <v>15.834572447024099</v>
      </c>
      <c r="AI5289">
        <v>93.915373032703002</v>
      </c>
      <c r="AJ5289">
        <v>103.221713373659</v>
      </c>
      <c r="AK5289">
        <v>16.303793038683299</v>
      </c>
      <c r="AL5289">
        <v>66.508118749885796</v>
      </c>
      <c r="AM5289">
        <v>99.640694650315993</v>
      </c>
      <c r="AN5289">
        <v>0.99999995358106397</v>
      </c>
    </row>
    <row r="5290" spans="1:40" x14ac:dyDescent="0.25">
      <c r="A5290" t="str">
        <f>"20190304164752419"</f>
        <v>20190304164752419</v>
      </c>
      <c r="B5290" t="str">
        <f>"1551689272414705"</f>
        <v>1551689272414705</v>
      </c>
      <c r="C5290" t="s">
        <v>40</v>
      </c>
      <c r="D5290">
        <v>4.4780280000000001</v>
      </c>
      <c r="E5290">
        <v>0.48183989999999999</v>
      </c>
      <c r="F5290" t="s">
        <v>59</v>
      </c>
      <c r="G5290">
        <v>-244.5822</v>
      </c>
      <c r="H5290" s="1">
        <v>-1.203938E-6</v>
      </c>
      <c r="I5290">
        <v>-58.968429999999998</v>
      </c>
      <c r="J5290">
        <v>-261.38600000000002</v>
      </c>
      <c r="K5290">
        <v>1.1132629999999999</v>
      </c>
      <c r="L5290">
        <v>-61.556640000000002</v>
      </c>
      <c r="M5290">
        <v>0.99669870000000005</v>
      </c>
      <c r="N5290">
        <v>-1.128145E-2</v>
      </c>
      <c r="O5290">
        <v>-8.0402609999999999E-2</v>
      </c>
      <c r="P5290">
        <v>0.91773680000000002</v>
      </c>
      <c r="Q5290">
        <v>0.38961689999999999</v>
      </c>
      <c r="R5290">
        <v>7.7188220000000002E-2</v>
      </c>
      <c r="S5290">
        <v>3.3189700000000002</v>
      </c>
      <c r="T5290">
        <v>-0.2177597</v>
      </c>
      <c r="U5290">
        <v>0.50384519999999999</v>
      </c>
      <c r="V5290">
        <v>-0.1532326</v>
      </c>
      <c r="W5290">
        <v>0.39889029999999998</v>
      </c>
      <c r="X5290">
        <v>0.90410520000000005</v>
      </c>
      <c r="Y5290">
        <v>-0.22841739999999999</v>
      </c>
      <c r="Z5290">
        <v>1.308308E-2</v>
      </c>
      <c r="AA5290">
        <v>0.97347539999999999</v>
      </c>
      <c r="AB5290">
        <v>34</v>
      </c>
      <c r="AC5290">
        <v>16.803799999999899</v>
      </c>
      <c r="AD5290">
        <v>-1.1132642039380001</v>
      </c>
      <c r="AE5290">
        <v>2.5882099999999899</v>
      </c>
      <c r="AF5290">
        <v>-3.9142028506698501</v>
      </c>
      <c r="AG5290">
        <v>-1.1132642039380001</v>
      </c>
      <c r="AH5290">
        <v>16.470661113075401</v>
      </c>
      <c r="AI5290">
        <v>93.762315182132198</v>
      </c>
      <c r="AJ5290">
        <v>103.36818979169701</v>
      </c>
      <c r="AK5290">
        <v>16.965937010543701</v>
      </c>
      <c r="AL5290">
        <v>66.491174841445698</v>
      </c>
      <c r="AM5290">
        <v>99.619384700775001</v>
      </c>
      <c r="AN5290">
        <v>0.99999995690194399</v>
      </c>
    </row>
    <row r="5291" spans="1:40" x14ac:dyDescent="0.25">
      <c r="A5291" t="str">
        <f>"20190304164752430"</f>
        <v>20190304164752430</v>
      </c>
      <c r="B5291" t="str">
        <f>"1551689272424465"</f>
        <v>1551689272424465</v>
      </c>
      <c r="C5291" t="s">
        <v>40</v>
      </c>
      <c r="D5291">
        <v>4.4658660000000001</v>
      </c>
      <c r="E5291">
        <v>0.4815547</v>
      </c>
      <c r="F5291" t="s">
        <v>59</v>
      </c>
      <c r="G5291">
        <v>-244.2972</v>
      </c>
      <c r="H5291" s="1">
        <v>-1.0889949999999999E-6</v>
      </c>
      <c r="I5291">
        <v>-58.927120000000002</v>
      </c>
      <c r="J5291">
        <v>-261.21749999999997</v>
      </c>
      <c r="K5291">
        <v>1.1132580000000001</v>
      </c>
      <c r="L5291">
        <v>-61.56906</v>
      </c>
      <c r="M5291">
        <v>0.99680029999999997</v>
      </c>
      <c r="N5291">
        <v>-1.143461E-2</v>
      </c>
      <c r="O5291">
        <v>-7.9110199999999894E-2</v>
      </c>
      <c r="P5291">
        <v>0.91767759999999998</v>
      </c>
      <c r="Q5291">
        <v>0.38955489999999998</v>
      </c>
      <c r="R5291">
        <v>7.8199009999999999E-2</v>
      </c>
      <c r="S5291">
        <v>3.3177189999999999</v>
      </c>
      <c r="T5291">
        <v>-0.21613550000000001</v>
      </c>
      <c r="U5291">
        <v>0.51049800000000001</v>
      </c>
      <c r="V5291">
        <v>-0.153026</v>
      </c>
      <c r="W5291">
        <v>0.39898070000000002</v>
      </c>
      <c r="X5291">
        <v>0.90410040000000003</v>
      </c>
      <c r="Y5291">
        <v>-0.22912650000000001</v>
      </c>
      <c r="Z5291">
        <v>1.295529E-2</v>
      </c>
      <c r="AA5291">
        <v>0.97331049999999997</v>
      </c>
      <c r="AB5291">
        <v>34</v>
      </c>
      <c r="AC5291">
        <v>16.920299999999902</v>
      </c>
      <c r="AD5291">
        <v>-1.113259088995</v>
      </c>
      <c r="AE5291">
        <v>2.64194</v>
      </c>
      <c r="AF5291">
        <v>-3.9555987594073398</v>
      </c>
      <c r="AG5291">
        <v>-1.113259088995</v>
      </c>
      <c r="AH5291">
        <v>16.588145458792599</v>
      </c>
      <c r="AI5291">
        <v>93.735045743289504</v>
      </c>
      <c r="AJ5291">
        <v>103.412240226233</v>
      </c>
      <c r="AK5291">
        <v>17.0895487683764</v>
      </c>
      <c r="AL5291">
        <v>66.485528543017907</v>
      </c>
      <c r="AM5291">
        <v>99.606707024665795</v>
      </c>
      <c r="AN5291">
        <v>1.00000004446432</v>
      </c>
    </row>
    <row r="5292" spans="1:40" x14ac:dyDescent="0.25">
      <c r="A5292" t="str">
        <f>"20190304164752442"</f>
        <v>20190304164752442</v>
      </c>
      <c r="B5292" t="str">
        <f>"1551689272434225"</f>
        <v>1551689272434225</v>
      </c>
      <c r="C5292" t="s">
        <v>40</v>
      </c>
      <c r="D5292">
        <v>4.4837230000000003</v>
      </c>
      <c r="E5292">
        <v>0.4813038</v>
      </c>
      <c r="F5292" t="s">
        <v>59</v>
      </c>
      <c r="G5292">
        <v>-244.03319999999999</v>
      </c>
      <c r="H5292" s="1">
        <v>-9.8119340000000001E-7</v>
      </c>
      <c r="I5292">
        <v>-58.8964199999999</v>
      </c>
      <c r="J5292">
        <v>-261.0489</v>
      </c>
      <c r="K5292">
        <v>1.113251</v>
      </c>
      <c r="L5292">
        <v>-61.581209999999999</v>
      </c>
      <c r="M5292">
        <v>0.99689839999999996</v>
      </c>
      <c r="N5292">
        <v>-1.159322E-2</v>
      </c>
      <c r="O5292">
        <v>-7.784133E-2</v>
      </c>
      <c r="P5292">
        <v>0.91764190000000001</v>
      </c>
      <c r="Q5292">
        <v>0.38947019999999999</v>
      </c>
      <c r="R5292">
        <v>7.9035549999999996E-2</v>
      </c>
      <c r="S5292">
        <v>3.316376</v>
      </c>
      <c r="T5292">
        <v>-0.2148465</v>
      </c>
      <c r="U5292">
        <v>0.51577759999999995</v>
      </c>
      <c r="V5292">
        <v>-0.1526671</v>
      </c>
      <c r="W5292">
        <v>0.39905560000000001</v>
      </c>
      <c r="X5292">
        <v>0.90412800000000004</v>
      </c>
      <c r="Y5292">
        <v>-0.22946810000000001</v>
      </c>
      <c r="Z5292">
        <v>1.283626E-2</v>
      </c>
      <c r="AA5292">
        <v>0.97323159999999997</v>
      </c>
      <c r="AB5292">
        <v>34</v>
      </c>
      <c r="AC5292">
        <v>17.015699999999999</v>
      </c>
      <c r="AD5292">
        <v>-1.1132519811933901</v>
      </c>
      <c r="AE5292">
        <v>2.68479</v>
      </c>
      <c r="AF5292">
        <v>-3.9846147215476901</v>
      </c>
      <c r="AG5292">
        <v>-1.1132519811933901</v>
      </c>
      <c r="AH5292">
        <v>16.685375974249698</v>
      </c>
      <c r="AI5292">
        <v>93.713025854651093</v>
      </c>
      <c r="AJ5292">
        <v>103.431182610981</v>
      </c>
      <c r="AK5292">
        <v>17.190644428143901</v>
      </c>
      <c r="AL5292">
        <v>66.480847953890304</v>
      </c>
      <c r="AM5292">
        <v>99.584307210669195</v>
      </c>
      <c r="AN5292">
        <v>1.0000000278488801</v>
      </c>
    </row>
    <row r="5293" spans="1:40" x14ac:dyDescent="0.25">
      <c r="A5293" t="str">
        <f>"20190304164752451"</f>
        <v>20190304164752451</v>
      </c>
      <c r="B5293" t="str">
        <f>"1551689272444961"</f>
        <v>1551689272444961</v>
      </c>
      <c r="C5293" t="s">
        <v>40</v>
      </c>
      <c r="D5293">
        <v>4.4686890000000004</v>
      </c>
      <c r="E5293">
        <v>0.4808904</v>
      </c>
      <c r="F5293" t="s">
        <v>59</v>
      </c>
      <c r="G5293">
        <v>-243.8819</v>
      </c>
      <c r="H5293" s="1">
        <v>-9.181736E-7</v>
      </c>
      <c r="I5293">
        <v>-58.885730000000002</v>
      </c>
      <c r="J5293">
        <v>-260.89330000000001</v>
      </c>
      <c r="K5293">
        <v>1.113243</v>
      </c>
      <c r="L5293">
        <v>-61.592350000000003</v>
      </c>
      <c r="M5293">
        <v>0.9969865</v>
      </c>
      <c r="N5293">
        <v>-1.1741659999999999E-2</v>
      </c>
      <c r="O5293">
        <v>-7.6681410000000005E-2</v>
      </c>
      <c r="P5293">
        <v>0.91748479999999999</v>
      </c>
      <c r="Q5293">
        <v>0.38966790000000001</v>
      </c>
      <c r="R5293">
        <v>7.9877999999999894E-2</v>
      </c>
      <c r="S5293">
        <v>3.315674</v>
      </c>
      <c r="T5293">
        <v>-0.2150164</v>
      </c>
      <c r="U5293">
        <v>0.52059940000000005</v>
      </c>
      <c r="V5293">
        <v>-0.15240799999999999</v>
      </c>
      <c r="W5293">
        <v>0.39939999999999998</v>
      </c>
      <c r="X5293">
        <v>0.90401960000000003</v>
      </c>
      <c r="Y5293">
        <v>-0.22974810000000001</v>
      </c>
      <c r="Z5293">
        <v>1.280272E-2</v>
      </c>
      <c r="AA5293">
        <v>0.97316590000000003</v>
      </c>
      <c r="AB5293">
        <v>34</v>
      </c>
      <c r="AC5293">
        <v>17.011399999999998</v>
      </c>
      <c r="AD5293">
        <v>-1.1132439181736</v>
      </c>
      <c r="AE5293">
        <v>2.70662</v>
      </c>
      <c r="AF5293">
        <v>-3.9865467342825598</v>
      </c>
      <c r="AG5293">
        <v>-1.1132439181736</v>
      </c>
      <c r="AH5293">
        <v>16.684057836948799</v>
      </c>
      <c r="AI5293">
        <v>93.713178879063904</v>
      </c>
      <c r="AJ5293">
        <v>103.438481959726</v>
      </c>
      <c r="AK5293">
        <v>17.1898124711301</v>
      </c>
      <c r="AL5293">
        <v>66.459325005653398</v>
      </c>
      <c r="AM5293">
        <v>99.569468243644295</v>
      </c>
      <c r="AN5293">
        <v>0.99999999782408</v>
      </c>
    </row>
    <row r="5294" spans="1:40" x14ac:dyDescent="0.25">
      <c r="A5294" t="str">
        <f>"20190304164752463"</f>
        <v>20190304164752463</v>
      </c>
      <c r="B5294" t="str">
        <f>"1551689272454721"</f>
        <v>1551689272454721</v>
      </c>
      <c r="C5294" t="s">
        <v>40</v>
      </c>
      <c r="D5294">
        <v>4.479177</v>
      </c>
      <c r="E5294">
        <v>0.48058210000000001</v>
      </c>
      <c r="F5294" t="s">
        <v>59</v>
      </c>
      <c r="G5294">
        <v>-243.98269999999999</v>
      </c>
      <c r="H5294" s="1">
        <v>-9.576447000000001E-7</v>
      </c>
      <c r="I5294">
        <v>-58.9071199999999</v>
      </c>
      <c r="J5294">
        <v>-260.72340000000003</v>
      </c>
      <c r="K5294">
        <v>1.1132340000000001</v>
      </c>
      <c r="L5294">
        <v>-61.604219999999998</v>
      </c>
      <c r="M5294">
        <v>0.99707889999999999</v>
      </c>
      <c r="N5294">
        <v>-1.190134E-2</v>
      </c>
      <c r="O5294">
        <v>-7.5446349999999995E-2</v>
      </c>
      <c r="P5294">
        <v>0.91747339999999999</v>
      </c>
      <c r="Q5294">
        <v>0.38951930000000001</v>
      </c>
      <c r="R5294">
        <v>8.0730930000000006E-2</v>
      </c>
      <c r="S5294">
        <v>3.3166809999999902</v>
      </c>
      <c r="T5294">
        <v>-0.2183408</v>
      </c>
      <c r="U5294">
        <v>0.52664180000000005</v>
      </c>
      <c r="V5294">
        <v>-0.15209539999999999</v>
      </c>
      <c r="W5294">
        <v>0.39941270000000001</v>
      </c>
      <c r="X5294">
        <v>0.90406660000000005</v>
      </c>
      <c r="Y5294">
        <v>-0.230208</v>
      </c>
      <c r="Z5294">
        <v>1.2945949999999999E-2</v>
      </c>
      <c r="AA5294">
        <v>0.97305540000000001</v>
      </c>
      <c r="AB5294">
        <v>34</v>
      </c>
      <c r="AC5294">
        <v>16.7407</v>
      </c>
      <c r="AD5294">
        <v>-1.1132349576447</v>
      </c>
      <c r="AE5294">
        <v>2.6970999999999998</v>
      </c>
      <c r="AF5294">
        <v>-3.9355628292090499</v>
      </c>
      <c r="AG5294">
        <v>-1.1132349576447</v>
      </c>
      <c r="AH5294">
        <v>16.418711251733001</v>
      </c>
      <c r="AI5294">
        <v>93.772342109715794</v>
      </c>
      <c r="AJ5294">
        <v>103.479472138773</v>
      </c>
      <c r="AK5294">
        <v>16.9204617555597</v>
      </c>
      <c r="AL5294">
        <v>66.458530507915199</v>
      </c>
      <c r="AM5294">
        <v>99.549715106870096</v>
      </c>
      <c r="AN5294">
        <v>0.99999996642900402</v>
      </c>
    </row>
    <row r="5295" spans="1:40" x14ac:dyDescent="0.25">
      <c r="A5295" t="str">
        <f>"20190304164752474"</f>
        <v>20190304164752474</v>
      </c>
      <c r="B5295" t="str">
        <f>"1551689272464481"</f>
        <v>1551689272464481</v>
      </c>
      <c r="C5295" t="s">
        <v>40</v>
      </c>
      <c r="D5295">
        <v>4.4662240000000004</v>
      </c>
      <c r="E5295">
        <v>0.48038730000000002</v>
      </c>
      <c r="F5295" t="s">
        <v>59</v>
      </c>
      <c r="G5295">
        <v>-244.1241</v>
      </c>
      <c r="H5295" s="1">
        <v>-1.012661E-6</v>
      </c>
      <c r="I5295">
        <v>-58.938949999999998</v>
      </c>
      <c r="J5295">
        <v>-260.56110000000001</v>
      </c>
      <c r="K5295">
        <v>1.1132200000000001</v>
      </c>
      <c r="L5295">
        <v>-61.615450000000003</v>
      </c>
      <c r="M5295">
        <v>0.99716510000000003</v>
      </c>
      <c r="N5295">
        <v>-1.205352E-2</v>
      </c>
      <c r="O5295">
        <v>-7.4272459999999998E-2</v>
      </c>
      <c r="P5295">
        <v>0.91734539999999998</v>
      </c>
      <c r="Q5295">
        <v>0.38961679999999999</v>
      </c>
      <c r="R5295">
        <v>8.1707810000000006E-2</v>
      </c>
      <c r="S5295">
        <v>3.3174440000000001</v>
      </c>
      <c r="T5295">
        <v>-0.22248480000000001</v>
      </c>
      <c r="U5295">
        <v>0.53265379999999996</v>
      </c>
      <c r="V5295">
        <v>-0.15195539999999999</v>
      </c>
      <c r="W5295">
        <v>0.39966180000000001</v>
      </c>
      <c r="X5295">
        <v>0.90398009999999995</v>
      </c>
      <c r="Y5295">
        <v>-0.2307225</v>
      </c>
      <c r="Z5295">
        <v>1.314003E-2</v>
      </c>
      <c r="AA5295">
        <v>0.97293079999999998</v>
      </c>
      <c r="AB5295">
        <v>34</v>
      </c>
      <c r="AC5295">
        <v>16.437000000000001</v>
      </c>
      <c r="AD5295">
        <v>-1.113221012661</v>
      </c>
      <c r="AE5295">
        <v>2.6764999999999999</v>
      </c>
      <c r="AF5295">
        <v>-3.87270674270657</v>
      </c>
      <c r="AG5295">
        <v>-1.113221012661</v>
      </c>
      <c r="AH5295">
        <v>16.120755435782399</v>
      </c>
      <c r="AI5295">
        <v>93.841348786326407</v>
      </c>
      <c r="AJ5295">
        <v>103.508252301943</v>
      </c>
      <c r="AK5295">
        <v>16.616734768249199</v>
      </c>
      <c r="AL5295">
        <v>66.442962571782004</v>
      </c>
      <c r="AM5295">
        <v>99.541982690385097</v>
      </c>
      <c r="AN5295">
        <v>1.0000000095821999</v>
      </c>
    </row>
    <row r="5296" spans="1:40" x14ac:dyDescent="0.25">
      <c r="A5296" t="str">
        <f>"20190304164752484"</f>
        <v>20190304164752484</v>
      </c>
      <c r="B5296" t="str">
        <f>"1551689272475217"</f>
        <v>1551689272475217</v>
      </c>
      <c r="C5296" t="s">
        <v>40</v>
      </c>
      <c r="D5296">
        <v>4.4736609999999999</v>
      </c>
      <c r="E5296">
        <v>0.48019849999999997</v>
      </c>
      <c r="F5296" t="s">
        <v>59</v>
      </c>
      <c r="G5296">
        <v>-244.16149999999999</v>
      </c>
      <c r="H5296" s="1">
        <v>-1.0253970000000001E-6</v>
      </c>
      <c r="I5296">
        <v>-58.957520000000002</v>
      </c>
      <c r="J5296">
        <v>-260.39359999999999</v>
      </c>
      <c r="K5296">
        <v>1.1131960000000001</v>
      </c>
      <c r="L5296">
        <v>-61.626739999999998</v>
      </c>
      <c r="M5296">
        <v>0.99724979999999996</v>
      </c>
      <c r="N5296">
        <v>-1.220103E-2</v>
      </c>
      <c r="O5296">
        <v>-7.3104580000000002E-2</v>
      </c>
      <c r="P5296">
        <v>0.91741980000000001</v>
      </c>
      <c r="Q5296">
        <v>0.38931209999999999</v>
      </c>
      <c r="R5296">
        <v>8.2324129999999995E-2</v>
      </c>
      <c r="S5296">
        <v>3.3180239999999999</v>
      </c>
      <c r="T5296">
        <v>-0.22523090000000001</v>
      </c>
      <c r="U5296">
        <v>0.53775019999999996</v>
      </c>
      <c r="V5296">
        <v>-0.1514701</v>
      </c>
      <c r="W5296">
        <v>0.39951100000000001</v>
      </c>
      <c r="X5296">
        <v>0.90412820000000005</v>
      </c>
      <c r="Y5296">
        <v>-0.23099700000000001</v>
      </c>
      <c r="Z5296">
        <v>1.3244799999999999E-2</v>
      </c>
      <c r="AA5296">
        <v>0.97286430000000002</v>
      </c>
      <c r="AB5296">
        <v>34</v>
      </c>
      <c r="AC5296">
        <v>16.232099999999999</v>
      </c>
      <c r="AD5296">
        <v>-1.1131970253969901</v>
      </c>
      <c r="AE5296">
        <v>2.6692200000000099</v>
      </c>
      <c r="AF5296">
        <v>-3.8312610463311101</v>
      </c>
      <c r="AG5296">
        <v>-1.1131970253969901</v>
      </c>
      <c r="AH5296">
        <v>15.9206077283703</v>
      </c>
      <c r="AI5296">
        <v>93.889042527398203</v>
      </c>
      <c r="AJ5296">
        <v>103.530829064128</v>
      </c>
      <c r="AK5296">
        <v>16.4129070935996</v>
      </c>
      <c r="AL5296">
        <v>66.452388116054905</v>
      </c>
      <c r="AM5296">
        <v>99.510536539918903</v>
      </c>
      <c r="AN5296">
        <v>1.0000000161751199</v>
      </c>
    </row>
    <row r="5297" spans="1:40" x14ac:dyDescent="0.25">
      <c r="A5297" t="str">
        <f>"20190304164752496"</f>
        <v>20190304164752496</v>
      </c>
      <c r="B5297" t="str">
        <f>"1551689272484977"</f>
        <v>1551689272484977</v>
      </c>
      <c r="C5297" t="s">
        <v>40</v>
      </c>
      <c r="D5297">
        <v>4.4697699999999996</v>
      </c>
      <c r="E5297">
        <v>0.48001880000000002</v>
      </c>
      <c r="F5297" t="s">
        <v>59</v>
      </c>
      <c r="G5297">
        <v>-244.2484</v>
      </c>
      <c r="H5297" s="1">
        <v>-1.0569659999999999E-6</v>
      </c>
      <c r="I5297">
        <v>-58.989789999999999</v>
      </c>
      <c r="J5297">
        <v>-260.22239999999999</v>
      </c>
      <c r="K5297">
        <v>1.1131709999999999</v>
      </c>
      <c r="L5297">
        <v>-61.638179999999998</v>
      </c>
      <c r="M5297">
        <v>0.99733400000000005</v>
      </c>
      <c r="N5297">
        <v>-1.234943E-2</v>
      </c>
      <c r="O5297">
        <v>-7.1920070000000003E-2</v>
      </c>
      <c r="P5297">
        <v>0.91733189999999998</v>
      </c>
      <c r="Q5297">
        <v>0.3893721</v>
      </c>
      <c r="R5297">
        <v>8.3017709999999995E-2</v>
      </c>
      <c r="S5297">
        <v>3.3185120000000001</v>
      </c>
      <c r="T5297">
        <v>-0.22880919999999999</v>
      </c>
      <c r="U5297">
        <v>0.54199219999999904</v>
      </c>
      <c r="V5297">
        <v>-0.1510349</v>
      </c>
      <c r="W5297">
        <v>0.39972390000000002</v>
      </c>
      <c r="X5297">
        <v>0.90410690000000005</v>
      </c>
      <c r="Y5297">
        <v>-0.23100989999999999</v>
      </c>
      <c r="Z5297">
        <v>1.3383870000000001E-2</v>
      </c>
      <c r="AA5297">
        <v>0.97285929999999998</v>
      </c>
      <c r="AB5297">
        <v>34</v>
      </c>
      <c r="AC5297">
        <v>15.973999999999901</v>
      </c>
      <c r="AD5297">
        <v>-1.113172056966</v>
      </c>
      <c r="AE5297">
        <v>2.64839</v>
      </c>
      <c r="AF5297">
        <v>-3.7726388307184799</v>
      </c>
      <c r="AG5297">
        <v>-1.113172056966</v>
      </c>
      <c r="AH5297">
        <v>15.6680885083584</v>
      </c>
      <c r="AI5297">
        <v>93.9513132921156</v>
      </c>
      <c r="AJ5297">
        <v>103.538246864174</v>
      </c>
      <c r="AK5297">
        <v>16.1542859105937</v>
      </c>
      <c r="AL5297">
        <v>66.439081027806395</v>
      </c>
      <c r="AM5297">
        <v>99.483927545967603</v>
      </c>
      <c r="AN5297">
        <v>1.00000001193841</v>
      </c>
    </row>
    <row r="5298" spans="1:40" x14ac:dyDescent="0.25">
      <c r="A5298" t="str">
        <f>"20190304164752508"</f>
        <v>20190304164752508</v>
      </c>
      <c r="B5298" t="str">
        <f>"1551689272494737"</f>
        <v>1551689272494737</v>
      </c>
      <c r="C5298" t="s">
        <v>40</v>
      </c>
      <c r="D5298">
        <v>4.4747820000000003</v>
      </c>
      <c r="E5298">
        <v>0.47995470000000001</v>
      </c>
      <c r="F5298" t="s">
        <v>59</v>
      </c>
      <c r="G5298">
        <v>-244.2159</v>
      </c>
      <c r="H5298" s="1">
        <v>-1.041005E-6</v>
      </c>
      <c r="I5298">
        <v>-59.001190000000001</v>
      </c>
      <c r="J5298">
        <v>-260.05149999999998</v>
      </c>
      <c r="K5298">
        <v>1.113137</v>
      </c>
      <c r="L5298">
        <v>-61.649380000000001</v>
      </c>
      <c r="M5298">
        <v>0.99741460000000004</v>
      </c>
      <c r="N5298">
        <v>-1.248873E-2</v>
      </c>
      <c r="O5298">
        <v>-7.0771100000000003E-2</v>
      </c>
      <c r="P5298">
        <v>0.91740750000000004</v>
      </c>
      <c r="Q5298">
        <v>0.38900430000000003</v>
      </c>
      <c r="R5298">
        <v>8.3902149999999995E-2</v>
      </c>
      <c r="S5298">
        <v>3.318848</v>
      </c>
      <c r="T5298">
        <v>-0.23081019999999999</v>
      </c>
      <c r="U5298">
        <v>0.54675289999999999</v>
      </c>
      <c r="V5298">
        <v>-0.15082960000000001</v>
      </c>
      <c r="W5298">
        <v>0.39950219999999997</v>
      </c>
      <c r="X5298">
        <v>0.90423909999999996</v>
      </c>
      <c r="Y5298">
        <v>-0.23122100000000001</v>
      </c>
      <c r="Z5298">
        <v>1.3443159999999999E-2</v>
      </c>
      <c r="AA5298">
        <v>0.97280840000000002</v>
      </c>
      <c r="AB5298">
        <v>34</v>
      </c>
      <c r="AC5298">
        <v>15.8355999999999</v>
      </c>
      <c r="AD5298">
        <v>-1.113138041005</v>
      </c>
      <c r="AE5298">
        <v>2.64819</v>
      </c>
      <c r="AF5298">
        <v>-3.7443408019389</v>
      </c>
      <c r="AG5298">
        <v>-1.113138041005</v>
      </c>
      <c r="AH5298">
        <v>15.533790616168099</v>
      </c>
      <c r="AI5298">
        <v>93.985008325376697</v>
      </c>
      <c r="AJ5298">
        <v>103.552326885993</v>
      </c>
      <c r="AK5298">
        <v>16.017422240995899</v>
      </c>
      <c r="AL5298">
        <v>66.452936789734906</v>
      </c>
      <c r="AM5298">
        <v>99.469910251096195</v>
      </c>
      <c r="AN5298">
        <v>0.99999996300490401</v>
      </c>
    </row>
    <row r="5299" spans="1:40" x14ac:dyDescent="0.25">
      <c r="A5299" t="str">
        <f>"20190304164752520"</f>
        <v>20190304164752520</v>
      </c>
      <c r="B5299" t="str">
        <f>"1551689272514257"</f>
        <v>1551689272514257</v>
      </c>
      <c r="C5299" t="s">
        <v>40</v>
      </c>
      <c r="D5299">
        <v>4.4415699999999996</v>
      </c>
      <c r="E5299">
        <v>0.47989949999999998</v>
      </c>
      <c r="F5299" t="s">
        <v>59</v>
      </c>
      <c r="G5299">
        <v>-244.3339</v>
      </c>
      <c r="H5299" s="1">
        <v>-1.0841929999999999E-6</v>
      </c>
      <c r="I5299">
        <v>-59.042940000000002</v>
      </c>
      <c r="J5299">
        <v>-259.87970000000001</v>
      </c>
      <c r="K5299">
        <v>1.113103</v>
      </c>
      <c r="L5299">
        <v>-61.660490000000003</v>
      </c>
      <c r="M5299">
        <v>0.99749259999999995</v>
      </c>
      <c r="N5299">
        <v>-1.26234E-2</v>
      </c>
      <c r="O5299">
        <v>-6.9637539999999998E-2</v>
      </c>
      <c r="P5299">
        <v>0.91758839999999997</v>
      </c>
      <c r="Q5299">
        <v>0.38842310000000002</v>
      </c>
      <c r="R5299">
        <v>8.4612380000000001E-2</v>
      </c>
      <c r="S5299">
        <v>3.3194270000000001</v>
      </c>
      <c r="T5299">
        <v>-0.2350855</v>
      </c>
      <c r="U5299">
        <v>0.55044559999999998</v>
      </c>
      <c r="V5299">
        <v>-0.15046889999999999</v>
      </c>
      <c r="W5299">
        <v>0.39906560000000002</v>
      </c>
      <c r="X5299">
        <v>0.90449199999999996</v>
      </c>
      <c r="Y5299">
        <v>-0.2311165</v>
      </c>
      <c r="Z5299">
        <v>1.361417E-2</v>
      </c>
      <c r="AA5299">
        <v>0.9728308</v>
      </c>
      <c r="AB5299">
        <v>34</v>
      </c>
      <c r="AC5299">
        <v>15.5458</v>
      </c>
      <c r="AD5299">
        <v>-1.113104084193</v>
      </c>
      <c r="AE5299">
        <v>2.61755</v>
      </c>
      <c r="AF5299">
        <v>-3.6755277790849799</v>
      </c>
      <c r="AG5299">
        <v>-1.113104084193</v>
      </c>
      <c r="AH5299">
        <v>15.2497333840754</v>
      </c>
      <c r="AI5299">
        <v>94.058888631445001</v>
      </c>
      <c r="AJ5299">
        <v>103.551110785802</v>
      </c>
      <c r="AK5299">
        <v>15.7258663812986</v>
      </c>
      <c r="AL5299">
        <v>66.480222652650596</v>
      </c>
      <c r="AM5299">
        <v>99.4450782713905</v>
      </c>
      <c r="AN5299">
        <v>1.0000000105172799</v>
      </c>
    </row>
    <row r="5300" spans="1:40" x14ac:dyDescent="0.25">
      <c r="A5300" t="str">
        <f>"20190304164752530"</f>
        <v>20190304164752530</v>
      </c>
      <c r="B5300" t="str">
        <f>"1551689272524992"</f>
        <v>1551689272524992</v>
      </c>
      <c r="C5300" t="s">
        <v>40</v>
      </c>
      <c r="D5300">
        <v>4.4548160000000001</v>
      </c>
      <c r="E5300">
        <v>0.4799215</v>
      </c>
      <c r="F5300" t="s">
        <v>59</v>
      </c>
      <c r="G5300">
        <v>-244.6121</v>
      </c>
      <c r="H5300" s="1">
        <v>-1.191087E-6</v>
      </c>
      <c r="I5300">
        <v>-59.113190000000003</v>
      </c>
      <c r="J5300">
        <v>-259.70549999999997</v>
      </c>
      <c r="K5300">
        <v>1.1130629999999999</v>
      </c>
      <c r="L5300">
        <v>-61.67154</v>
      </c>
      <c r="M5300">
        <v>0.99756869999999997</v>
      </c>
      <c r="N5300">
        <v>-1.275341E-2</v>
      </c>
      <c r="O5300">
        <v>-6.8514999999999895E-2</v>
      </c>
      <c r="P5300">
        <v>0.91760790000000003</v>
      </c>
      <c r="Q5300">
        <v>0.38820840000000001</v>
      </c>
      <c r="R5300">
        <v>8.5381700000000005E-2</v>
      </c>
      <c r="S5300">
        <v>3.3208310000000001</v>
      </c>
      <c r="T5300">
        <v>-0.2421094</v>
      </c>
      <c r="U5300">
        <v>0.55404659999999994</v>
      </c>
      <c r="V5300">
        <v>-0.15016450000000001</v>
      </c>
      <c r="W5300">
        <v>0.39899030000000002</v>
      </c>
      <c r="X5300">
        <v>0.90457580000000004</v>
      </c>
      <c r="Y5300">
        <v>-0.23093910000000001</v>
      </c>
      <c r="Z5300">
        <v>1.392725E-2</v>
      </c>
      <c r="AA5300">
        <v>0.97286850000000002</v>
      </c>
      <c r="AB5300">
        <v>34</v>
      </c>
      <c r="AC5300">
        <v>15.0933999999999</v>
      </c>
      <c r="AD5300">
        <v>-1.1130641910869901</v>
      </c>
      <c r="AE5300">
        <v>2.5583499999999901</v>
      </c>
      <c r="AF5300">
        <v>-3.5676849869716301</v>
      </c>
      <c r="AG5300">
        <v>-1.1130641910869901</v>
      </c>
      <c r="AH5300">
        <v>14.8043638533528</v>
      </c>
      <c r="AI5300">
        <v>94.180450911310899</v>
      </c>
      <c r="AJ5300">
        <v>103.549286502131</v>
      </c>
      <c r="AK5300">
        <v>15.2688073261209</v>
      </c>
      <c r="AL5300">
        <v>66.484927762336</v>
      </c>
      <c r="AM5300">
        <v>99.4254564676298</v>
      </c>
      <c r="AN5300">
        <v>1.0000000072499899</v>
      </c>
    </row>
    <row r="5301" spans="1:40" x14ac:dyDescent="0.25">
      <c r="A5301" t="str">
        <f>"20190304164752541"</f>
        <v>20190304164752541</v>
      </c>
      <c r="B5301" t="str">
        <f>"1551689272534753"</f>
        <v>1551689272534753</v>
      </c>
      <c r="C5301" t="s">
        <v>40</v>
      </c>
      <c r="D5301">
        <v>4.4547720000000002</v>
      </c>
      <c r="E5301">
        <v>0.47992800000000002</v>
      </c>
      <c r="F5301" t="s">
        <v>59</v>
      </c>
      <c r="G5301">
        <v>-244.61359999999999</v>
      </c>
      <c r="H5301" s="1">
        <v>-1.186653E-6</v>
      </c>
      <c r="I5301">
        <v>-59.141750000000002</v>
      </c>
      <c r="J5301">
        <v>-259.53789999999998</v>
      </c>
      <c r="K5301">
        <v>1.1130180000000001</v>
      </c>
      <c r="L5301">
        <v>-61.682009999999998</v>
      </c>
      <c r="M5301">
        <v>0.99763820000000003</v>
      </c>
      <c r="N5301">
        <v>-1.2870410000000001E-2</v>
      </c>
      <c r="O5301">
        <v>-6.7471489999999995E-2</v>
      </c>
      <c r="P5301">
        <v>0.91770370000000001</v>
      </c>
      <c r="Q5301">
        <v>0.38783840000000003</v>
      </c>
      <c r="R5301">
        <v>8.603065E-2</v>
      </c>
      <c r="S5301">
        <v>3.3211979999999999</v>
      </c>
      <c r="T5301">
        <v>-0.2449453</v>
      </c>
      <c r="U5301">
        <v>0.55670169999999997</v>
      </c>
      <c r="V5301">
        <v>-0.14981510000000001</v>
      </c>
      <c r="W5301">
        <v>0.39874900000000002</v>
      </c>
      <c r="X5301">
        <v>0.90474019999999999</v>
      </c>
      <c r="Y5301">
        <v>-0.23064470000000001</v>
      </c>
      <c r="Z5301">
        <v>1.401055E-2</v>
      </c>
      <c r="AA5301">
        <v>0.97293719999999995</v>
      </c>
      <c r="AB5301">
        <v>34</v>
      </c>
      <c r="AC5301">
        <v>14.924299999999899</v>
      </c>
      <c r="AD5301">
        <v>-1.1130191866529999</v>
      </c>
      <c r="AE5301">
        <v>2.5402599999999902</v>
      </c>
      <c r="AF5301">
        <v>-3.5224786540005399</v>
      </c>
      <c r="AG5301">
        <v>-1.1130191866529999</v>
      </c>
      <c r="AH5301">
        <v>14.639744412022999</v>
      </c>
      <c r="AI5301">
        <v>94.227481477263595</v>
      </c>
      <c r="AJ5301">
        <v>103.528811700207</v>
      </c>
      <c r="AK5301">
        <v>15.098635171004901</v>
      </c>
      <c r="AL5301">
        <v>66.500006282941698</v>
      </c>
      <c r="AM5301">
        <v>99.402239405987999</v>
      </c>
      <c r="AN5301">
        <v>1.0000000793425201</v>
      </c>
    </row>
    <row r="5302" spans="1:40" x14ac:dyDescent="0.25">
      <c r="A5302" t="str">
        <f>"20190304164752552"</f>
        <v>20190304164752552</v>
      </c>
      <c r="B5302" t="str">
        <f>"1551689272544513"</f>
        <v>1551689272544513</v>
      </c>
      <c r="C5302" t="s">
        <v>40</v>
      </c>
      <c r="D5302">
        <v>4.4576070000000003</v>
      </c>
      <c r="E5302">
        <v>0.47989949999999998</v>
      </c>
      <c r="F5302" t="s">
        <v>59</v>
      </c>
      <c r="G5302">
        <v>-244.64080000000001</v>
      </c>
      <c r="H5302" s="1">
        <v>-1.1920810000000001E-6</v>
      </c>
      <c r="I5302">
        <v>-59.177059999999997</v>
      </c>
      <c r="J5302">
        <v>-259.38130000000001</v>
      </c>
      <c r="K5302">
        <v>1.1129770000000001</v>
      </c>
      <c r="L5302">
        <v>-61.69171</v>
      </c>
      <c r="M5302">
        <v>0.99770130000000001</v>
      </c>
      <c r="N5302">
        <v>-1.2976730000000001E-2</v>
      </c>
      <c r="O5302">
        <v>-6.6510219999999995E-2</v>
      </c>
      <c r="P5302">
        <v>0.91775680000000004</v>
      </c>
      <c r="Q5302">
        <v>0.38752809999999999</v>
      </c>
      <c r="R5302">
        <v>8.6859069999999997E-2</v>
      </c>
      <c r="S5302">
        <v>3.3215330000000001</v>
      </c>
      <c r="T5302">
        <v>-0.2481643</v>
      </c>
      <c r="U5302">
        <v>0.55850219999999995</v>
      </c>
      <c r="V5302">
        <v>-0.14971870000000001</v>
      </c>
      <c r="W5302">
        <v>0.39855560000000001</v>
      </c>
      <c r="X5302">
        <v>0.90484120000000001</v>
      </c>
      <c r="Y5302">
        <v>-0.2301859</v>
      </c>
      <c r="Z5302">
        <v>1.411041E-2</v>
      </c>
      <c r="AA5302">
        <v>0.97304440000000003</v>
      </c>
      <c r="AB5302">
        <v>34</v>
      </c>
      <c r="AC5302">
        <v>14.7404999999999</v>
      </c>
      <c r="AD5302">
        <v>-1.112978192081</v>
      </c>
      <c r="AE5302">
        <v>2.5146500000000001</v>
      </c>
      <c r="AF5302">
        <v>-3.4703327123757499</v>
      </c>
      <c r="AG5302">
        <v>-1.112978192081</v>
      </c>
      <c r="AH5302">
        <v>14.460483754719</v>
      </c>
      <c r="AI5302">
        <v>94.280141081968097</v>
      </c>
      <c r="AJ5302">
        <v>103.495046224498</v>
      </c>
      <c r="AK5302">
        <v>14.9126630757596</v>
      </c>
      <c r="AL5302">
        <v>66.512085099459895</v>
      </c>
      <c r="AM5302">
        <v>99.395267239174899</v>
      </c>
      <c r="AN5302">
        <v>0.99999992631924195</v>
      </c>
    </row>
    <row r="5303" spans="1:40" x14ac:dyDescent="0.25">
      <c r="A5303" t="str">
        <f>"20190304164752576"</f>
        <v>20190304164752576</v>
      </c>
      <c r="B5303" t="str">
        <f>"1551689272565009"</f>
        <v>1551689272565009</v>
      </c>
      <c r="C5303" t="s">
        <v>40</v>
      </c>
      <c r="D5303">
        <v>4.4884620000000002</v>
      </c>
      <c r="E5303">
        <v>0.47987740000000001</v>
      </c>
      <c r="F5303" t="s">
        <v>59</v>
      </c>
      <c r="G5303">
        <v>-244.64320000000001</v>
      </c>
      <c r="H5303" s="1">
        <v>-1.1888829999999999E-6</v>
      </c>
      <c r="I5303">
        <v>-59.200870000000002</v>
      </c>
      <c r="J5303">
        <v>-259.02910000000003</v>
      </c>
      <c r="K5303">
        <v>1.1128750000000001</v>
      </c>
      <c r="L5303">
        <v>-61.713009999999997</v>
      </c>
      <c r="M5303">
        <v>0.99783230000000001</v>
      </c>
      <c r="N5303">
        <v>-1.319156E-2</v>
      </c>
      <c r="O5303">
        <v>-6.4474160000000003E-2</v>
      </c>
      <c r="P5303">
        <v>0.91761479999999995</v>
      </c>
      <c r="Q5303">
        <v>0.38758900000000002</v>
      </c>
      <c r="R5303">
        <v>8.8080179999999994E-2</v>
      </c>
      <c r="S5303">
        <v>3.3216549999999998</v>
      </c>
      <c r="T5303">
        <v>-0.25084279999999998</v>
      </c>
      <c r="U5303">
        <v>0.56137079999999995</v>
      </c>
      <c r="V5303">
        <v>-0.1489499</v>
      </c>
      <c r="W5303">
        <v>0.39886090000000002</v>
      </c>
      <c r="X5303">
        <v>0.90483360000000002</v>
      </c>
      <c r="Y5303">
        <v>-0.2290008</v>
      </c>
      <c r="Z5303">
        <v>1.4086599999999999E-2</v>
      </c>
      <c r="AA5303">
        <v>0.97332430000000003</v>
      </c>
      <c r="AB5303">
        <v>34</v>
      </c>
      <c r="AC5303">
        <v>14.385899999999999</v>
      </c>
      <c r="AD5303">
        <v>-1.1128761888830001</v>
      </c>
      <c r="AE5303">
        <v>2.51214</v>
      </c>
      <c r="AF5303">
        <v>-3.4146816196809602</v>
      </c>
      <c r="AG5303">
        <v>-1.1128761888830001</v>
      </c>
      <c r="AH5303">
        <v>14.1120281972398</v>
      </c>
      <c r="AI5303">
        <v>94.383047514595305</v>
      </c>
      <c r="AJ5303">
        <v>103.60238836359299</v>
      </c>
      <c r="AK5303">
        <v>14.5618640226882</v>
      </c>
      <c r="AL5303">
        <v>66.4930120463588</v>
      </c>
      <c r="AM5303">
        <v>99.347953730463004</v>
      </c>
      <c r="AN5303">
        <v>0.99999996697388904</v>
      </c>
    </row>
    <row r="5304" spans="1:40" x14ac:dyDescent="0.25">
      <c r="A5304" t="str">
        <f>"20190304164752590"</f>
        <v>20190304164752590</v>
      </c>
      <c r="B5304" t="str">
        <f>"1551689272584529"</f>
        <v>1551689272584529</v>
      </c>
      <c r="C5304" t="s">
        <v>40</v>
      </c>
      <c r="D5304">
        <v>4.4847830000000002</v>
      </c>
      <c r="E5304">
        <v>0.47988189999999997</v>
      </c>
      <c r="F5304" t="s">
        <v>59</v>
      </c>
      <c r="G5304">
        <v>-244.46190000000001</v>
      </c>
      <c r="H5304" s="1">
        <v>-1.1053630000000001E-6</v>
      </c>
      <c r="I5304">
        <v>-59.233170000000001</v>
      </c>
      <c r="J5304">
        <v>-258.81569999999999</v>
      </c>
      <c r="K5304">
        <v>1.112798</v>
      </c>
      <c r="L5304">
        <v>-61.7256199999999</v>
      </c>
      <c r="M5304">
        <v>0.99790440000000002</v>
      </c>
      <c r="N5304">
        <v>-1.3307930000000001E-2</v>
      </c>
      <c r="O5304">
        <v>-6.3323110000000002E-2</v>
      </c>
      <c r="P5304">
        <v>0.91750100000000001</v>
      </c>
      <c r="Q5304">
        <v>0.38761879999999999</v>
      </c>
      <c r="R5304">
        <v>8.912863E-2</v>
      </c>
      <c r="S5304">
        <v>3.3222659999999999</v>
      </c>
      <c r="T5304">
        <v>-0.25380839999999999</v>
      </c>
      <c r="U5304">
        <v>0.56555180000000005</v>
      </c>
      <c r="V5304">
        <v>-0.1488583</v>
      </c>
      <c r="W5304">
        <v>0.39902670000000001</v>
      </c>
      <c r="X5304">
        <v>0.90477560000000001</v>
      </c>
      <c r="Y5304">
        <v>-0.22902169999999999</v>
      </c>
      <c r="Z5304">
        <v>1.4175979999999999E-2</v>
      </c>
      <c r="AA5304">
        <v>0.97331809999999996</v>
      </c>
      <c r="AB5304">
        <v>34</v>
      </c>
      <c r="AC5304">
        <v>14.3537999999999</v>
      </c>
      <c r="AD5304">
        <v>-1.112799105363</v>
      </c>
      <c r="AE5304">
        <v>2.4924499999999901</v>
      </c>
      <c r="AF5304">
        <v>-3.3767532375050799</v>
      </c>
      <c r="AG5304">
        <v>-1.112799105363</v>
      </c>
      <c r="AH5304">
        <v>14.0849665469516</v>
      </c>
      <c r="AI5304">
        <v>94.393351799047196</v>
      </c>
      <c r="AJ5304">
        <v>103.48173672745099</v>
      </c>
      <c r="AK5304">
        <v>14.526770697737501</v>
      </c>
      <c r="AL5304">
        <v>66.482652954172806</v>
      </c>
      <c r="AM5304">
        <v>99.342894706889595</v>
      </c>
      <c r="AN5304">
        <v>0.99999999357356995</v>
      </c>
    </row>
    <row r="5305" spans="1:40" x14ac:dyDescent="0.25">
      <c r="A5305" t="str">
        <f>"20190304164752602"</f>
        <v>20190304164752602</v>
      </c>
      <c r="B5305" t="str">
        <f>"1551689272594289"</f>
        <v>1551689272594289</v>
      </c>
      <c r="C5305" t="s">
        <v>40</v>
      </c>
      <c r="D5305">
        <v>4.4795119999999997</v>
      </c>
      <c r="E5305">
        <v>0.47987560000000001</v>
      </c>
      <c r="F5305" t="s">
        <v>59</v>
      </c>
      <c r="G5305">
        <v>-244.3038</v>
      </c>
      <c r="H5305" s="1">
        <v>-1.036149E-6</v>
      </c>
      <c r="I5305">
        <v>-59.241120000000002</v>
      </c>
      <c r="J5305">
        <v>-258.63240000000002</v>
      </c>
      <c r="K5305">
        <v>1.1127320000000001</v>
      </c>
      <c r="L5305">
        <v>-61.736269999999998</v>
      </c>
      <c r="M5305">
        <v>0.99796300000000004</v>
      </c>
      <c r="N5305">
        <v>-1.340041E-2</v>
      </c>
      <c r="O5305">
        <v>-6.2375479999999997E-2</v>
      </c>
      <c r="P5305">
        <v>0.91753110000000004</v>
      </c>
      <c r="Q5305">
        <v>0.38736169999999998</v>
      </c>
      <c r="R5305">
        <v>8.9931639999999993E-2</v>
      </c>
      <c r="S5305">
        <v>3.3221590000000001</v>
      </c>
      <c r="T5305">
        <v>-0.25475029999999999</v>
      </c>
      <c r="U5305">
        <v>0.56875609999999999</v>
      </c>
      <c r="V5305">
        <v>-0.148728</v>
      </c>
      <c r="W5305">
        <v>0.39888059999999997</v>
      </c>
      <c r="X5305">
        <v>0.90486149999999999</v>
      </c>
      <c r="Y5305">
        <v>-0.2290102</v>
      </c>
      <c r="Z5305">
        <v>1.417026E-2</v>
      </c>
      <c r="AA5305">
        <v>0.97332090000000004</v>
      </c>
      <c r="AB5305">
        <v>34</v>
      </c>
      <c r="AC5305">
        <v>14.3286</v>
      </c>
      <c r="AD5305">
        <v>-1.112733036149</v>
      </c>
      <c r="AE5305">
        <v>2.4951500000000002</v>
      </c>
      <c r="AF5305">
        <v>-3.3644308120395601</v>
      </c>
      <c r="AG5305">
        <v>-1.112733036149</v>
      </c>
      <c r="AH5305">
        <v>14.0627302093555</v>
      </c>
      <c r="AI5305">
        <v>94.400504744149401</v>
      </c>
      <c r="AJ5305">
        <v>103.454796667493</v>
      </c>
      <c r="AK5305">
        <v>14.502342929329</v>
      </c>
      <c r="AL5305">
        <v>66.491783050211694</v>
      </c>
      <c r="AM5305">
        <v>99.333990038338897</v>
      </c>
      <c r="AN5305">
        <v>1.0000000426113</v>
      </c>
    </row>
    <row r="5306" spans="1:40" x14ac:dyDescent="0.25">
      <c r="A5306" t="str">
        <f>"20190304164752612"</f>
        <v>20190304164752612</v>
      </c>
      <c r="B5306" t="str">
        <f>"1551689272605025"</f>
        <v>1551689272605025</v>
      </c>
      <c r="C5306" t="s">
        <v>40</v>
      </c>
      <c r="D5306">
        <v>4.4585499999999998</v>
      </c>
      <c r="E5306">
        <v>0.47988950000000002</v>
      </c>
      <c r="F5306" t="s">
        <v>59</v>
      </c>
      <c r="G5306">
        <v>-244.2225</v>
      </c>
      <c r="H5306" s="1">
        <v>-9.9803629999999998E-7</v>
      </c>
      <c r="I5306">
        <v>-59.259279999999997</v>
      </c>
      <c r="J5306">
        <v>-258.47179999999997</v>
      </c>
      <c r="K5306">
        <v>1.1126750000000001</v>
      </c>
      <c r="L5306">
        <v>-61.745539999999998</v>
      </c>
      <c r="M5306">
        <v>0.99801220000000002</v>
      </c>
      <c r="N5306">
        <v>-1.347829E-2</v>
      </c>
      <c r="O5306">
        <v>-6.1561949999999997E-2</v>
      </c>
      <c r="P5306">
        <v>0.9175063</v>
      </c>
      <c r="Q5306">
        <v>0.38725569999999998</v>
      </c>
      <c r="R5306">
        <v>9.0637380000000003E-2</v>
      </c>
      <c r="S5306">
        <v>3.3219759999999998</v>
      </c>
      <c r="T5306">
        <v>-0.25652239999999998</v>
      </c>
      <c r="U5306">
        <v>0.57101440000000003</v>
      </c>
      <c r="V5306">
        <v>-0.14862790000000001</v>
      </c>
      <c r="W5306">
        <v>0.39886840000000001</v>
      </c>
      <c r="X5306">
        <v>0.90488329999999995</v>
      </c>
      <c r="Y5306">
        <v>-0.22885829999999999</v>
      </c>
      <c r="Z5306">
        <v>1.4209589999999999E-2</v>
      </c>
      <c r="AA5306">
        <v>0.973356</v>
      </c>
      <c r="AB5306">
        <v>34</v>
      </c>
      <c r="AC5306">
        <v>14.2492999999999</v>
      </c>
      <c r="AD5306">
        <v>-1.1126759980362999</v>
      </c>
      <c r="AE5306">
        <v>2.4862600000000001</v>
      </c>
      <c r="AF5306">
        <v>-3.33907935915708</v>
      </c>
      <c r="AG5306">
        <v>-1.1126759980362999</v>
      </c>
      <c r="AH5306">
        <v>13.98643264911</v>
      </c>
      <c r="AI5306">
        <v>94.424694630127902</v>
      </c>
      <c r="AJ5306">
        <v>103.42729181713401</v>
      </c>
      <c r="AK5306">
        <v>14.4224754148324</v>
      </c>
      <c r="AL5306">
        <v>66.492544757068899</v>
      </c>
      <c r="AM5306">
        <v>99.327597562971505</v>
      </c>
      <c r="AN5306">
        <v>1.00000001989792</v>
      </c>
    </row>
    <row r="5307" spans="1:40" x14ac:dyDescent="0.25">
      <c r="A5307" t="str">
        <f>"20190304164752622"</f>
        <v>20190304164752622</v>
      </c>
      <c r="B5307" t="str">
        <f>"1551689272614785"</f>
        <v>1551689272614785</v>
      </c>
      <c r="C5307" t="s">
        <v>40</v>
      </c>
      <c r="D5307">
        <v>4.4647759999999996</v>
      </c>
      <c r="E5307">
        <v>0.47987990000000003</v>
      </c>
      <c r="F5307" t="s">
        <v>59</v>
      </c>
      <c r="G5307">
        <v>-244.11519999999999</v>
      </c>
      <c r="H5307" s="1">
        <v>-9.5002770000000001E-7</v>
      </c>
      <c r="I5307">
        <v>-59.270350000000001</v>
      </c>
      <c r="J5307">
        <v>-258.3193</v>
      </c>
      <c r="K5307">
        <v>1.112617</v>
      </c>
      <c r="L5307">
        <v>-61.75421</v>
      </c>
      <c r="M5307">
        <v>0.99805520000000003</v>
      </c>
      <c r="N5307">
        <v>-1.354465E-2</v>
      </c>
      <c r="O5307">
        <v>-6.0848300000000001E-2</v>
      </c>
      <c r="P5307">
        <v>0.91745129999999997</v>
      </c>
      <c r="Q5307">
        <v>0.38720759999999899</v>
      </c>
      <c r="R5307">
        <v>9.1398080000000007E-2</v>
      </c>
      <c r="S5307">
        <v>3.3218230000000002</v>
      </c>
      <c r="T5307">
        <v>-0.25744929999999999</v>
      </c>
      <c r="U5307">
        <v>0.57269289999999995</v>
      </c>
      <c r="V5307">
        <v>-0.1486729</v>
      </c>
      <c r="W5307">
        <v>0.39890239999999999</v>
      </c>
      <c r="X5307">
        <v>0.90486089999999997</v>
      </c>
      <c r="Y5307">
        <v>-0.22864319999999999</v>
      </c>
      <c r="Z5307">
        <v>1.420689E-2</v>
      </c>
      <c r="AA5307">
        <v>0.97340660000000001</v>
      </c>
      <c r="AB5307">
        <v>34</v>
      </c>
      <c r="AC5307">
        <v>14.2041</v>
      </c>
      <c r="AD5307">
        <v>-1.11261795002769</v>
      </c>
      <c r="AE5307">
        <v>2.48386</v>
      </c>
      <c r="AF5307">
        <v>-3.3238421959161801</v>
      </c>
      <c r="AG5307">
        <v>-1.11261795002769</v>
      </c>
      <c r="AH5307">
        <v>13.943607465231199</v>
      </c>
      <c r="AI5307">
        <v>94.438358147542601</v>
      </c>
      <c r="AJ5307">
        <v>103.40780121690101</v>
      </c>
      <c r="AK5307">
        <v>14.377414050883001</v>
      </c>
      <c r="AL5307">
        <v>66.490419936146196</v>
      </c>
      <c r="AM5307">
        <v>99.330598931980006</v>
      </c>
      <c r="AN5307">
        <v>1.0000000021344899</v>
      </c>
    </row>
    <row r="5308" spans="1:40" x14ac:dyDescent="0.25">
      <c r="A5308" t="str">
        <f>"20190304164752633"</f>
        <v>20190304164752633</v>
      </c>
      <c r="B5308" t="str">
        <f>"1551689272624545"</f>
        <v>1551689272624545</v>
      </c>
      <c r="C5308" t="s">
        <v>40</v>
      </c>
      <c r="D5308">
        <v>4.6518959999999998</v>
      </c>
      <c r="E5308">
        <v>0.48009659999999899</v>
      </c>
      <c r="F5308" t="s">
        <v>59</v>
      </c>
      <c r="G5308">
        <v>-244.01140000000001</v>
      </c>
      <c r="H5308" s="1">
        <v>-9.0468939999999998E-7</v>
      </c>
      <c r="I5308">
        <v>-59.27505</v>
      </c>
      <c r="J5308">
        <v>-258.15960000000001</v>
      </c>
      <c r="K5308">
        <v>1.112554</v>
      </c>
      <c r="L5308">
        <v>-61.763280000000002</v>
      </c>
      <c r="M5308">
        <v>0.99809910000000002</v>
      </c>
      <c r="N5308">
        <v>-1.3613170000000001E-2</v>
      </c>
      <c r="O5308">
        <v>-6.010944E-2</v>
      </c>
      <c r="P5308">
        <v>0.91748479999999999</v>
      </c>
      <c r="Q5308">
        <v>0.3869822</v>
      </c>
      <c r="R5308">
        <v>9.2013239999999996E-2</v>
      </c>
      <c r="S5308">
        <v>3.321609</v>
      </c>
      <c r="T5308">
        <v>-0.25829760000000002</v>
      </c>
      <c r="U5308">
        <v>0.57553100000000001</v>
      </c>
      <c r="V5308">
        <v>-0.14855019999999999</v>
      </c>
      <c r="W5308">
        <v>0.39876470000000003</v>
      </c>
      <c r="X5308">
        <v>0.90494169999999996</v>
      </c>
      <c r="Y5308">
        <v>-0.22873589999999999</v>
      </c>
      <c r="Z5308">
        <v>1.421215E-2</v>
      </c>
      <c r="AA5308">
        <v>0.97338480000000005</v>
      </c>
      <c r="AB5308">
        <v>34</v>
      </c>
      <c r="AC5308">
        <v>14.148199999999999</v>
      </c>
      <c r="AD5308">
        <v>-1.1125549046893899</v>
      </c>
      <c r="AE5308">
        <v>2.4882300000000002</v>
      </c>
      <c r="AF5308">
        <v>-3.31436919282626</v>
      </c>
      <c r="AG5308">
        <v>-1.1125549046893899</v>
      </c>
      <c r="AH5308">
        <v>13.889720941494099</v>
      </c>
      <c r="AI5308">
        <v>94.455013427832498</v>
      </c>
      <c r="AJ5308">
        <v>103.420963552675</v>
      </c>
      <c r="AK5308">
        <v>14.3229595194179</v>
      </c>
      <c r="AL5308">
        <v>66.499022509846498</v>
      </c>
      <c r="AM5308">
        <v>99.322215817677701</v>
      </c>
      <c r="AN5308">
        <v>0.99999996414250902</v>
      </c>
    </row>
    <row r="5309" spans="1:40" x14ac:dyDescent="0.25">
      <c r="A5309" t="str">
        <f>"20190304164752645"</f>
        <v>20190304164752645</v>
      </c>
      <c r="B5309" t="str">
        <f>"1551689272634305"</f>
        <v>1551689272634305</v>
      </c>
      <c r="C5309" t="s">
        <v>40</v>
      </c>
      <c r="D5309">
        <v>4.639081</v>
      </c>
      <c r="E5309">
        <v>0.48009659999999899</v>
      </c>
      <c r="F5309" t="s">
        <v>59</v>
      </c>
      <c r="G5309">
        <v>-243.95249999999999</v>
      </c>
      <c r="H5309" s="1">
        <v>-8.7467649999999995E-7</v>
      </c>
      <c r="I5309">
        <v>-59.301729999999999</v>
      </c>
      <c r="J5309">
        <v>-257.99450000000002</v>
      </c>
      <c r="K5309">
        <v>1.1124769999999999</v>
      </c>
      <c r="L5309">
        <v>-61.77243</v>
      </c>
      <c r="M5309">
        <v>0.99813909999999995</v>
      </c>
      <c r="N5309">
        <v>-1.3675669999999999E-2</v>
      </c>
      <c r="O5309">
        <v>-5.9426489999999998E-2</v>
      </c>
      <c r="P5309">
        <v>0.91737749999999996</v>
      </c>
      <c r="Q5309">
        <v>0.38708749999999997</v>
      </c>
      <c r="R5309">
        <v>9.26393999999999E-2</v>
      </c>
      <c r="S5309">
        <v>3.3218380000000001</v>
      </c>
      <c r="T5309">
        <v>-0.26013239999999999</v>
      </c>
      <c r="U5309">
        <v>0.57553100000000001</v>
      </c>
      <c r="V5309">
        <v>-0.14847349999999901</v>
      </c>
      <c r="W5309">
        <v>0.39895320000000001</v>
      </c>
      <c r="X5309">
        <v>0.90487130000000005</v>
      </c>
      <c r="Y5309">
        <v>-0.22804969999999999</v>
      </c>
      <c r="Z5309">
        <v>1.423486E-2</v>
      </c>
      <c r="AA5309">
        <v>0.97354540000000001</v>
      </c>
      <c r="AB5309">
        <v>34</v>
      </c>
      <c r="AC5309">
        <v>14.042</v>
      </c>
      <c r="AD5309">
        <v>-1.1124778746764901</v>
      </c>
      <c r="AE5309">
        <v>2.4706999999999999</v>
      </c>
      <c r="AF5309">
        <v>-3.2809028641720799</v>
      </c>
      <c r="AG5309">
        <v>-1.1124778746764901</v>
      </c>
      <c r="AH5309">
        <v>13.7864065970626</v>
      </c>
      <c r="AI5309">
        <v>94.488597955825298</v>
      </c>
      <c r="AJ5309">
        <v>103.386303520369</v>
      </c>
      <c r="AK5309">
        <v>14.215025061015901</v>
      </c>
      <c r="AL5309">
        <v>66.487247063751695</v>
      </c>
      <c r="AM5309">
        <v>99.318199165826698</v>
      </c>
      <c r="AN5309">
        <v>1.0000000527780799</v>
      </c>
    </row>
    <row r="5310" spans="1:40" x14ac:dyDescent="0.25">
      <c r="A5310" t="str">
        <f>"20190304164752657"</f>
        <v>20190304164752657</v>
      </c>
      <c r="B5310" t="str">
        <f>"1551689272654800"</f>
        <v>1551689272654800</v>
      </c>
      <c r="C5310" t="s">
        <v>40</v>
      </c>
      <c r="D5310">
        <v>4.6179249999999996</v>
      </c>
      <c r="E5310">
        <v>0.51476750000000004</v>
      </c>
      <c r="F5310" t="s">
        <v>59</v>
      </c>
      <c r="G5310">
        <v>-243.77420000000001</v>
      </c>
      <c r="H5310" s="1">
        <v>-7.9825719999999895E-7</v>
      </c>
      <c r="I5310">
        <v>-59.30133</v>
      </c>
      <c r="J5310">
        <v>-257.80829999999997</v>
      </c>
      <c r="K5310">
        <v>1.1123959999999999</v>
      </c>
      <c r="L5310">
        <v>-61.782809999999998</v>
      </c>
      <c r="M5310">
        <v>0.99818209999999996</v>
      </c>
      <c r="N5310">
        <v>-1.374381E-2</v>
      </c>
      <c r="O5310">
        <v>-5.8683779999999998E-2</v>
      </c>
      <c r="P5310">
        <v>0.91737570000000002</v>
      </c>
      <c r="Q5310">
        <v>0.38703609999999999</v>
      </c>
      <c r="R5310">
        <v>9.2869809999999997E-2</v>
      </c>
      <c r="S5310">
        <v>3.3215479999999999</v>
      </c>
      <c r="T5310">
        <v>-0.25984950000000001</v>
      </c>
      <c r="U5310">
        <v>0.577179</v>
      </c>
      <c r="V5310">
        <v>-0.14794179999999901</v>
      </c>
      <c r="W5310">
        <v>0.39899770000000001</v>
      </c>
      <c r="X5310">
        <v>0.90493869999999998</v>
      </c>
      <c r="Y5310">
        <v>-0.2278125</v>
      </c>
      <c r="Z5310">
        <v>1.4166400000000001E-2</v>
      </c>
      <c r="AA5310">
        <v>0.97360190000000002</v>
      </c>
      <c r="AB5310">
        <v>34</v>
      </c>
      <c r="AC5310">
        <v>14.034099999999899</v>
      </c>
      <c r="AD5310">
        <v>-1.1123967982571901</v>
      </c>
      <c r="AE5310">
        <v>2.4814799999999901</v>
      </c>
      <c r="AF5310">
        <v>-3.2808664456067902</v>
      </c>
      <c r="AG5310">
        <v>-1.1123967982571901</v>
      </c>
      <c r="AH5310">
        <v>13.7803193662923</v>
      </c>
      <c r="AI5310">
        <v>94.490143445982199</v>
      </c>
      <c r="AJ5310">
        <v>103.391860422817</v>
      </c>
      <c r="AK5310">
        <v>14.2091066963301</v>
      </c>
      <c r="AL5310">
        <v>66.4844650877573</v>
      </c>
      <c r="AM5310">
        <v>99.284732357199502</v>
      </c>
      <c r="AN5310">
        <v>0.99999999577511001</v>
      </c>
    </row>
    <row r="5311" spans="1:40" x14ac:dyDescent="0.25">
      <c r="A5311" t="str">
        <f>"20190304164752668"</f>
        <v>20190304164752668</v>
      </c>
      <c r="B5311" t="str">
        <f>"1551689272664561"</f>
        <v>1551689272664561</v>
      </c>
      <c r="C5311" t="s">
        <v>40</v>
      </c>
      <c r="D5311">
        <v>4.552994</v>
      </c>
      <c r="E5311">
        <v>0.52379609999999999</v>
      </c>
      <c r="F5311" t="s">
        <v>59</v>
      </c>
      <c r="G5311">
        <v>-246.4222</v>
      </c>
      <c r="H5311" s="1">
        <v>-1.8371970000000001E-6</v>
      </c>
      <c r="I5311">
        <v>-60.740459999999999</v>
      </c>
      <c r="J5311">
        <v>-257.63889999999998</v>
      </c>
      <c r="K5311">
        <v>1.112314</v>
      </c>
      <c r="L5311">
        <v>-61.792110000000001</v>
      </c>
      <c r="M5311">
        <v>0.99821700000000002</v>
      </c>
      <c r="N5311">
        <v>-1.3800120000000001E-2</v>
      </c>
      <c r="O5311">
        <v>-5.8074059999999997E-2</v>
      </c>
      <c r="P5311">
        <v>0.91728430000000005</v>
      </c>
      <c r="Q5311">
        <v>0.38711659999999998</v>
      </c>
      <c r="R5311">
        <v>9.3437569999999998E-2</v>
      </c>
      <c r="S5311">
        <v>3.3781279999999998</v>
      </c>
      <c r="T5311">
        <v>-0.33003529999999998</v>
      </c>
      <c r="U5311">
        <v>0.30923460000000003</v>
      </c>
      <c r="V5311">
        <v>-0.14786569999999999</v>
      </c>
      <c r="W5311">
        <v>0.39915909999999999</v>
      </c>
      <c r="X5311">
        <v>0.90487989999999996</v>
      </c>
      <c r="Y5311">
        <v>-0.147842</v>
      </c>
      <c r="Z5311">
        <v>1.306675E-2</v>
      </c>
      <c r="AA5311">
        <v>0.98892469999999999</v>
      </c>
      <c r="AB5311">
        <v>34</v>
      </c>
      <c r="AC5311">
        <v>11.2166999999999</v>
      </c>
      <c r="AD5311">
        <v>-1.1123158371969999</v>
      </c>
      <c r="AE5311">
        <v>1.05165</v>
      </c>
      <c r="AF5311">
        <v>-1.6849111675614601</v>
      </c>
      <c r="AG5311">
        <v>-1.1123158371969999</v>
      </c>
      <c r="AH5311">
        <v>11.029171597736999</v>
      </c>
      <c r="AI5311">
        <v>95.693319678558495</v>
      </c>
      <c r="AJ5311">
        <v>98.685841048418595</v>
      </c>
      <c r="AK5311">
        <v>11.212439444500101</v>
      </c>
      <c r="AL5311">
        <v>66.474378296434395</v>
      </c>
      <c r="AM5311">
        <v>99.280632014747994</v>
      </c>
      <c r="AN5311">
        <v>0.99999994288665295</v>
      </c>
    </row>
    <row r="5312" spans="1:40" x14ac:dyDescent="0.25">
      <c r="A5312" t="str">
        <f>"20190304164752680"</f>
        <v>20190304164752680</v>
      </c>
      <c r="B5312" t="str">
        <f>"1551689272674321"</f>
        <v>1551689272674321</v>
      </c>
      <c r="C5312" t="s">
        <v>40</v>
      </c>
      <c r="D5312">
        <v>4.548235</v>
      </c>
      <c r="E5312">
        <v>0.52970859999999997</v>
      </c>
      <c r="F5312" t="s">
        <v>59</v>
      </c>
      <c r="G5312">
        <v>-247.08590000000001</v>
      </c>
      <c r="H5312" s="1">
        <v>-2.2023129999999998E-6</v>
      </c>
      <c r="I5312">
        <v>-61.042630000000003</v>
      </c>
      <c r="J5312">
        <v>-257.46370000000002</v>
      </c>
      <c r="K5312">
        <v>1.112231</v>
      </c>
      <c r="L5312">
        <v>-61.801670000000001</v>
      </c>
      <c r="M5312">
        <v>0.99825010000000003</v>
      </c>
      <c r="N5312">
        <v>-1.385454E-2</v>
      </c>
      <c r="O5312">
        <v>-5.748669E-2</v>
      </c>
      <c r="P5312">
        <v>0.91717029999999999</v>
      </c>
      <c r="Q5312">
        <v>0.38731460000000001</v>
      </c>
      <c r="R5312">
        <v>9.3734230000000002E-2</v>
      </c>
      <c r="S5312">
        <v>3.3970639999999999</v>
      </c>
      <c r="T5312">
        <v>-0.35805989999999999</v>
      </c>
      <c r="U5312">
        <v>0.2412415</v>
      </c>
      <c r="V5312">
        <v>-0.14753550000000001</v>
      </c>
      <c r="W5312">
        <v>0.3994376</v>
      </c>
      <c r="X5312">
        <v>0.90481100000000003</v>
      </c>
      <c r="Y5312">
        <v>-0.12703410000000001</v>
      </c>
      <c r="Z5312">
        <v>1.279398E-2</v>
      </c>
      <c r="AA5312">
        <v>0.99181589999999997</v>
      </c>
      <c r="AB5312">
        <v>34</v>
      </c>
      <c r="AC5312">
        <v>10.377800000000001</v>
      </c>
      <c r="AD5312">
        <v>-1.1122332023129999</v>
      </c>
      <c r="AE5312">
        <v>0.75903999999999106</v>
      </c>
      <c r="AF5312">
        <v>-1.3391273656534499</v>
      </c>
      <c r="AG5312">
        <v>-1.1122332023129999</v>
      </c>
      <c r="AH5312">
        <v>10.200453486616199</v>
      </c>
      <c r="AI5312">
        <v>96.170281054361098</v>
      </c>
      <c r="AJ5312">
        <v>97.479085398428694</v>
      </c>
      <c r="AK5312">
        <v>10.347926175345</v>
      </c>
      <c r="AL5312">
        <v>66.456975973520599</v>
      </c>
      <c r="AM5312">
        <v>99.260959722938793</v>
      </c>
      <c r="AN5312">
        <v>1.0000000328875001</v>
      </c>
    </row>
    <row r="5313" spans="1:40" x14ac:dyDescent="0.25">
      <c r="A5313" t="str">
        <f>"20190304164752690"</f>
        <v>20190304164752690</v>
      </c>
      <c r="B5313" t="str">
        <f>"1551689272685058"</f>
        <v>1551689272685058</v>
      </c>
      <c r="C5313" t="s">
        <v>40</v>
      </c>
      <c r="D5313">
        <v>4.5190669999999997</v>
      </c>
      <c r="E5313">
        <v>0.53388740000000001</v>
      </c>
      <c r="F5313" t="s">
        <v>59</v>
      </c>
      <c r="G5313">
        <v>-247.38800000000001</v>
      </c>
      <c r="H5313" s="1">
        <v>-2.3787199999999999E-6</v>
      </c>
      <c r="I5313">
        <v>-61.218499999999999</v>
      </c>
      <c r="J5313">
        <v>-257.3057</v>
      </c>
      <c r="K5313">
        <v>1.1121639999999999</v>
      </c>
      <c r="L5313">
        <v>-61.810299999999998</v>
      </c>
      <c r="M5313">
        <v>0.998278</v>
      </c>
      <c r="N5313">
        <v>-1.3900539999999999E-2</v>
      </c>
      <c r="O5313">
        <v>-5.6992550000000003E-2</v>
      </c>
      <c r="P5313">
        <v>0.91704359999999996</v>
      </c>
      <c r="Q5313">
        <v>0.38754490000000003</v>
      </c>
      <c r="R5313">
        <v>9.4023720000000005E-2</v>
      </c>
      <c r="S5313">
        <v>3.4096829999999998</v>
      </c>
      <c r="T5313">
        <v>-0.37638929999999998</v>
      </c>
      <c r="U5313">
        <v>0.19732669999999999</v>
      </c>
      <c r="V5313">
        <v>-0.14729020000000001</v>
      </c>
      <c r="W5313">
        <v>0.39973789999999998</v>
      </c>
      <c r="X5313">
        <v>0.90471829999999998</v>
      </c>
      <c r="Y5313">
        <v>-0.1135458</v>
      </c>
      <c r="Z5313">
        <v>1.251305E-2</v>
      </c>
      <c r="AA5313">
        <v>0.99345399999999995</v>
      </c>
      <c r="AB5313">
        <v>34</v>
      </c>
      <c r="AC5313">
        <v>9.9176999999999893</v>
      </c>
      <c r="AD5313">
        <v>-1.11216637872</v>
      </c>
      <c r="AE5313">
        <v>0.59179999999999899</v>
      </c>
      <c r="AF5313">
        <v>-1.1418196831140599</v>
      </c>
      <c r="AG5313">
        <v>-1.11216637872</v>
      </c>
      <c r="AH5313">
        <v>9.7457248783190895</v>
      </c>
      <c r="AI5313">
        <v>96.466485793210396</v>
      </c>
      <c r="AJ5313">
        <v>96.682371035327506</v>
      </c>
      <c r="AK5313">
        <v>9.8752123848851703</v>
      </c>
      <c r="AL5313">
        <v>66.438205560006097</v>
      </c>
      <c r="AM5313">
        <v>99.246759107096693</v>
      </c>
      <c r="AN5313">
        <v>0.99999999703366904</v>
      </c>
    </row>
    <row r="5314" spans="1:40" x14ac:dyDescent="0.25">
      <c r="A5314" t="str">
        <f>"20190304164752701"</f>
        <v>20190304164752701</v>
      </c>
      <c r="B5314" t="str">
        <f>"1551689272694816"</f>
        <v>1551689272694816</v>
      </c>
      <c r="C5314" t="s">
        <v>40</v>
      </c>
      <c r="D5314">
        <v>4.4877840000000004</v>
      </c>
      <c r="E5314">
        <v>0.53704790000000002</v>
      </c>
      <c r="F5314" t="s">
        <v>59</v>
      </c>
      <c r="G5314">
        <v>-247.50049999999999</v>
      </c>
      <c r="H5314" s="1">
        <v>-2.4578789999999999E-6</v>
      </c>
      <c r="I5314">
        <v>-61.334629999999997</v>
      </c>
      <c r="J5314">
        <v>-257.14609999999999</v>
      </c>
      <c r="K5314">
        <v>1.11209</v>
      </c>
      <c r="L5314">
        <v>-61.818910000000002</v>
      </c>
      <c r="M5314">
        <v>0.99830260000000004</v>
      </c>
      <c r="N5314">
        <v>-1.3943000000000001E-2</v>
      </c>
      <c r="O5314">
        <v>-5.6548130000000002E-2</v>
      </c>
      <c r="P5314">
        <v>0.91695389999999999</v>
      </c>
      <c r="Q5314">
        <v>0.38776880000000002</v>
      </c>
      <c r="R5314">
        <v>9.3972490000000006E-2</v>
      </c>
      <c r="S5314">
        <v>3.4181979999999998</v>
      </c>
      <c r="T5314">
        <v>-0.3877158</v>
      </c>
      <c r="U5314">
        <v>0.165802</v>
      </c>
      <c r="V5314">
        <v>-0.14675160000000001</v>
      </c>
      <c r="W5314">
        <v>0.40002989999999999</v>
      </c>
      <c r="X5314">
        <v>0.90467679999999995</v>
      </c>
      <c r="Y5314">
        <v>-0.1038332</v>
      </c>
      <c r="Z5314">
        <v>1.2197049999999999E-2</v>
      </c>
      <c r="AA5314">
        <v>0.99451990000000001</v>
      </c>
      <c r="AB5314">
        <v>34</v>
      </c>
      <c r="AC5314">
        <v>9.6456</v>
      </c>
      <c r="AD5314">
        <v>-1.1120924578789999</v>
      </c>
      <c r="AE5314">
        <v>0.484279999999991</v>
      </c>
      <c r="AF5314">
        <v>-1.01553301504378</v>
      </c>
      <c r="AG5314">
        <v>-1.1120924578789999</v>
      </c>
      <c r="AH5314">
        <v>9.4771124657368802</v>
      </c>
      <c r="AI5314">
        <v>96.655015570920696</v>
      </c>
      <c r="AJ5314">
        <v>96.116269277670199</v>
      </c>
      <c r="AK5314">
        <v>9.5960261372997806</v>
      </c>
      <c r="AL5314">
        <v>66.419953133806004</v>
      </c>
      <c r="AM5314">
        <v>99.213942569504098</v>
      </c>
      <c r="AN5314">
        <v>1.0000000327273999</v>
      </c>
    </row>
    <row r="5315" spans="1:40" x14ac:dyDescent="0.25">
      <c r="A5315" t="str">
        <f>"20190304164752713"</f>
        <v>20190304164752713</v>
      </c>
      <c r="B5315" t="str">
        <f>"1551689272704577"</f>
        <v>1551689272704577</v>
      </c>
      <c r="C5315" t="s">
        <v>40</v>
      </c>
      <c r="D5315">
        <v>4.4677699999999998</v>
      </c>
      <c r="E5315">
        <v>0.53941470000000002</v>
      </c>
      <c r="F5315" t="s">
        <v>59</v>
      </c>
      <c r="G5315">
        <v>-247.4735</v>
      </c>
      <c r="H5315" s="1">
        <v>-2.4693120000000001E-6</v>
      </c>
      <c r="I5315">
        <v>-61.421129999999998</v>
      </c>
      <c r="J5315">
        <v>-256.97070000000002</v>
      </c>
      <c r="K5315">
        <v>1.1120049999999999</v>
      </c>
      <c r="L5315">
        <v>-61.8283699999999</v>
      </c>
      <c r="M5315">
        <v>0.99832799999999999</v>
      </c>
      <c r="N5315">
        <v>-1.398777E-2</v>
      </c>
      <c r="O5315">
        <v>-5.6086579999999997E-2</v>
      </c>
      <c r="P5315">
        <v>0.91685539999999999</v>
      </c>
      <c r="Q5315">
        <v>0.38792959999999999</v>
      </c>
      <c r="R5315">
        <v>9.4270649999999998E-2</v>
      </c>
      <c r="S5315">
        <v>3.423737</v>
      </c>
      <c r="T5315">
        <v>-0.3936422</v>
      </c>
      <c r="U5315">
        <v>0.1407776</v>
      </c>
      <c r="V5315">
        <v>-0.14653820000000001</v>
      </c>
      <c r="W5315">
        <v>0.40026240000000002</v>
      </c>
      <c r="X5315">
        <v>0.90460850000000004</v>
      </c>
      <c r="Y5315">
        <v>-9.6069340000000003E-2</v>
      </c>
      <c r="Z5315">
        <v>1.181892E-2</v>
      </c>
      <c r="AA5315">
        <v>0.99530450000000004</v>
      </c>
      <c r="AB5315">
        <v>34</v>
      </c>
      <c r="AC5315">
        <v>9.4972000000000101</v>
      </c>
      <c r="AD5315">
        <v>-1.1120074693119999</v>
      </c>
      <c r="AE5315">
        <v>0.407239999999987</v>
      </c>
      <c r="AF5315">
        <v>-0.92663590868819301</v>
      </c>
      <c r="AG5315">
        <v>-1.1120074693119999</v>
      </c>
      <c r="AH5315">
        <v>9.33170569156451</v>
      </c>
      <c r="AI5315">
        <v>96.762625064832804</v>
      </c>
      <c r="AJ5315">
        <v>95.670865449188696</v>
      </c>
      <c r="AK5315">
        <v>9.4433016383600492</v>
      </c>
      <c r="AL5315">
        <v>66.405416247110495</v>
      </c>
      <c r="AM5315">
        <v>99.201456156118894</v>
      </c>
      <c r="AN5315">
        <v>0.99999998559262504</v>
      </c>
    </row>
    <row r="5316" spans="1:40" x14ac:dyDescent="0.25">
      <c r="A5316" t="str">
        <f>"20190304164752725"</f>
        <v>20190304164752725</v>
      </c>
      <c r="B5316" t="str">
        <f>"1551689272714982"</f>
        <v>1551689272714982</v>
      </c>
      <c r="C5316" t="s">
        <v>40</v>
      </c>
      <c r="D5316">
        <v>4.4807269999999999</v>
      </c>
      <c r="E5316">
        <v>0.54114589999999996</v>
      </c>
      <c r="F5316" t="s">
        <v>59</v>
      </c>
      <c r="G5316">
        <v>-247.37</v>
      </c>
      <c r="H5316" s="1">
        <v>-2.441106E-6</v>
      </c>
      <c r="I5316">
        <v>-61.482080000000003</v>
      </c>
      <c r="J5316">
        <v>-256.79250000000002</v>
      </c>
      <c r="K5316">
        <v>1.11192</v>
      </c>
      <c r="L5316">
        <v>-61.837949999999999</v>
      </c>
      <c r="M5316">
        <v>0.99834880000000004</v>
      </c>
      <c r="N5316">
        <v>-1.402784E-2</v>
      </c>
      <c r="O5316">
        <v>-5.5703500000000003E-2</v>
      </c>
      <c r="P5316">
        <v>0.91686820000000002</v>
      </c>
      <c r="Q5316">
        <v>0.3879127</v>
      </c>
      <c r="R5316">
        <v>9.4215510000000002E-2</v>
      </c>
      <c r="S5316">
        <v>3.4273069999999999</v>
      </c>
      <c r="T5316">
        <v>-0.39696809999999899</v>
      </c>
      <c r="U5316">
        <v>0.1235962</v>
      </c>
      <c r="V5316">
        <v>-0.14604710000000001</v>
      </c>
      <c r="W5316">
        <v>0.40031559999999999</v>
      </c>
      <c r="X5316">
        <v>0.90466440000000004</v>
      </c>
      <c r="Y5316">
        <v>-9.0688770000000002E-2</v>
      </c>
      <c r="Z5316">
        <v>1.1519929999999999E-2</v>
      </c>
      <c r="AA5316">
        <v>0.9958127</v>
      </c>
      <c r="AB5316">
        <v>34</v>
      </c>
      <c r="AC5316">
        <v>9.4225000000000101</v>
      </c>
      <c r="AD5316">
        <v>-1.111922441106</v>
      </c>
      <c r="AE5316">
        <v>0.35586999999999502</v>
      </c>
      <c r="AF5316">
        <v>-0.86816268964711996</v>
      </c>
      <c r="AG5316">
        <v>-1.111922441106</v>
      </c>
      <c r="AH5316">
        <v>9.2592839168261492</v>
      </c>
      <c r="AI5316">
        <v>96.818083893707893</v>
      </c>
      <c r="AJ5316">
        <v>95.356468024675195</v>
      </c>
      <c r="AK5316">
        <v>9.3661313584171904</v>
      </c>
      <c r="AL5316">
        <v>66.402090507037499</v>
      </c>
      <c r="AM5316">
        <v>99.170586734641205</v>
      </c>
      <c r="AN5316">
        <v>1.0000000058245599</v>
      </c>
    </row>
    <row r="5317" spans="1:40" x14ac:dyDescent="0.25">
      <c r="A5317" t="str">
        <f>"20190304164752744"</f>
        <v>20190304164752744</v>
      </c>
      <c r="B5317" t="str">
        <f>"1551689272734484"</f>
        <v>1551689272734484</v>
      </c>
      <c r="C5317" t="s">
        <v>40</v>
      </c>
      <c r="D5317">
        <v>4.4969140000000003</v>
      </c>
      <c r="E5317">
        <v>0.54369480000000003</v>
      </c>
      <c r="F5317" t="s">
        <v>59</v>
      </c>
      <c r="G5317">
        <v>-247.27760000000001</v>
      </c>
      <c r="H5317" s="1">
        <v>-2.4145060000000001E-6</v>
      </c>
      <c r="I5317">
        <v>-61.531109999999998</v>
      </c>
      <c r="J5317">
        <v>-256.51990000000001</v>
      </c>
      <c r="K5317">
        <v>1.1117840000000001</v>
      </c>
      <c r="L5317">
        <v>-61.852569999999901</v>
      </c>
      <c r="M5317">
        <v>0.99837600000000004</v>
      </c>
      <c r="N5317">
        <v>-1.40845E-2</v>
      </c>
      <c r="O5317">
        <v>-5.5201809999999997E-2</v>
      </c>
      <c r="P5317">
        <v>0.91687079999999999</v>
      </c>
      <c r="Q5317">
        <v>0.38799640000000002</v>
      </c>
      <c r="R5317">
        <v>9.3845990000000004E-2</v>
      </c>
      <c r="S5317">
        <v>3.4302519999999999</v>
      </c>
      <c r="T5317">
        <v>-0.4008603</v>
      </c>
      <c r="U5317">
        <v>0.11059570000000001</v>
      </c>
      <c r="V5317">
        <v>-0.1450872</v>
      </c>
      <c r="W5317">
        <v>0.40050170000000002</v>
      </c>
      <c r="X5317">
        <v>0.90473650000000005</v>
      </c>
      <c r="Y5317">
        <v>-8.6404949999999994E-2</v>
      </c>
      <c r="Z5317">
        <v>1.1292429999999999E-2</v>
      </c>
      <c r="AA5317">
        <v>0.99619610000000003</v>
      </c>
      <c r="AB5317">
        <v>33</v>
      </c>
      <c r="AC5317">
        <v>9.2423000000000002</v>
      </c>
      <c r="AD5317">
        <v>-1.1117864145059999</v>
      </c>
      <c r="AE5317">
        <v>0.32145999999999397</v>
      </c>
      <c r="AF5317">
        <v>-0.81936964588283601</v>
      </c>
      <c r="AG5317">
        <v>-1.1117864145059999</v>
      </c>
      <c r="AH5317">
        <v>9.0792357243543904</v>
      </c>
      <c r="AI5317">
        <v>96.953346577094905</v>
      </c>
      <c r="AJ5317">
        <v>95.156776676656904</v>
      </c>
      <c r="AK5317">
        <v>9.1836788372888591</v>
      </c>
      <c r="AL5317">
        <v>66.390454610002195</v>
      </c>
      <c r="AM5317">
        <v>99.110613068196699</v>
      </c>
      <c r="AN5317">
        <v>1.0000000208694899</v>
      </c>
    </row>
    <row r="5318" spans="1:40" x14ac:dyDescent="0.25">
      <c r="A5318" t="str">
        <f>"20190304164752754"</f>
        <v>20190304164752754</v>
      </c>
      <c r="B5318" t="str">
        <f>"1551689272744244"</f>
        <v>1551689272744244</v>
      </c>
      <c r="C5318" t="s">
        <v>40</v>
      </c>
      <c r="D5318">
        <v>4.4848929999999996</v>
      </c>
      <c r="E5318">
        <v>0.54463830000000002</v>
      </c>
      <c r="F5318" t="s">
        <v>59</v>
      </c>
      <c r="G5318">
        <v>-247.0915</v>
      </c>
      <c r="H5318" s="1">
        <v>-2.3541099999999999E-6</v>
      </c>
      <c r="I5318">
        <v>-61.604080000000003</v>
      </c>
      <c r="J5318">
        <v>-256.35469999999998</v>
      </c>
      <c r="K5318">
        <v>1.1117030000000001</v>
      </c>
      <c r="L5318">
        <v>-61.861420000000003</v>
      </c>
      <c r="M5318">
        <v>0.99838970000000005</v>
      </c>
      <c r="N5318">
        <v>-1.411634E-2</v>
      </c>
      <c r="O5318">
        <v>-5.4943720000000001E-2</v>
      </c>
      <c r="P5318">
        <v>0.91673530000000003</v>
      </c>
      <c r="Q5318">
        <v>0.38832529999999998</v>
      </c>
      <c r="R5318">
        <v>9.3808610000000001E-2</v>
      </c>
      <c r="S5318">
        <v>3.434097</v>
      </c>
      <c r="T5318">
        <v>-0.40494730000000001</v>
      </c>
      <c r="U5318">
        <v>9.0484620000000002E-2</v>
      </c>
      <c r="V5318">
        <v>-0.14472660000000001</v>
      </c>
      <c r="W5318">
        <v>0.40088839999999998</v>
      </c>
      <c r="X5318">
        <v>0.90462299999999995</v>
      </c>
      <c r="Y5318">
        <v>-8.0312170000000002E-2</v>
      </c>
      <c r="Z5318">
        <v>1.096808E-2</v>
      </c>
      <c r="AA5318">
        <v>0.99670939999999997</v>
      </c>
      <c r="AB5318">
        <v>33</v>
      </c>
      <c r="AC5318">
        <v>9.2631999999999799</v>
      </c>
      <c r="AD5318">
        <v>-1.1117053541099999</v>
      </c>
      <c r="AE5318">
        <v>0.25733999999999202</v>
      </c>
      <c r="AF5318">
        <v>-0.75508929058276297</v>
      </c>
      <c r="AG5318">
        <v>-1.1117053541099999</v>
      </c>
      <c r="AH5318">
        <v>9.1040384284940892</v>
      </c>
      <c r="AI5318">
        <v>96.938400532943604</v>
      </c>
      <c r="AJ5318">
        <v>94.741262192321599</v>
      </c>
      <c r="AK5318">
        <v>9.2026933198171292</v>
      </c>
      <c r="AL5318">
        <v>66.366272473000095</v>
      </c>
      <c r="AM5318">
        <v>99.089469154544801</v>
      </c>
      <c r="AN5318">
        <v>1.00000003506555</v>
      </c>
    </row>
    <row r="5319" spans="1:40" x14ac:dyDescent="0.25">
      <c r="A5319" t="str">
        <f>"20190304164752768"</f>
        <v>20190304164752768</v>
      </c>
      <c r="B5319" t="str">
        <f>"1551689272764741"</f>
        <v>1551689272764741</v>
      </c>
      <c r="C5319" t="s">
        <v>40</v>
      </c>
      <c r="D5319">
        <v>4.4712540000000001</v>
      </c>
      <c r="E5319">
        <v>0.54602340000000005</v>
      </c>
      <c r="F5319" t="s">
        <v>59</v>
      </c>
      <c r="G5319">
        <v>-246.88679999999999</v>
      </c>
      <c r="H5319" s="1">
        <v>-2.2741340000000001E-6</v>
      </c>
      <c r="I5319">
        <v>-61.633560000000003</v>
      </c>
      <c r="J5319">
        <v>-256.15499999999997</v>
      </c>
      <c r="K5319">
        <v>1.1116109999999999</v>
      </c>
      <c r="L5319">
        <v>-61.872100000000003</v>
      </c>
      <c r="M5319">
        <v>0.9984016</v>
      </c>
      <c r="N5319">
        <v>-1.415012E-2</v>
      </c>
      <c r="O5319">
        <v>-5.472117E-2</v>
      </c>
      <c r="P5319">
        <v>0.91670980000000002</v>
      </c>
      <c r="Q5319">
        <v>0.38829459999999999</v>
      </c>
      <c r="R5319">
        <v>9.4184950000000003E-2</v>
      </c>
      <c r="S5319">
        <v>3.4348749999999999</v>
      </c>
      <c r="T5319">
        <v>-0.4033177</v>
      </c>
      <c r="U5319">
        <v>8.2641599999999996E-2</v>
      </c>
      <c r="V5319">
        <v>-0.14480279999999901</v>
      </c>
      <c r="W5319">
        <v>0.4009221</v>
      </c>
      <c r="X5319">
        <v>0.90459590000000001</v>
      </c>
      <c r="Y5319">
        <v>-7.7837480000000001E-2</v>
      </c>
      <c r="Z5319">
        <v>1.0735339999999999E-2</v>
      </c>
      <c r="AA5319">
        <v>0.99690820000000002</v>
      </c>
      <c r="AB5319">
        <v>33</v>
      </c>
      <c r="AC5319">
        <v>9.2681999999999807</v>
      </c>
      <c r="AD5319">
        <v>-1.1116132741339999</v>
      </c>
      <c r="AE5319">
        <v>0.238540000000007</v>
      </c>
      <c r="AF5319">
        <v>-0.73483616324625201</v>
      </c>
      <c r="AG5319">
        <v>-1.1116132741339999</v>
      </c>
      <c r="AH5319">
        <v>9.1102891444160203</v>
      </c>
      <c r="AI5319">
        <v>96.934389708763405</v>
      </c>
      <c r="AJ5319">
        <v>94.611495524449197</v>
      </c>
      <c r="AK5319">
        <v>9.2072274085584294</v>
      </c>
      <c r="AL5319">
        <v>66.364165482369899</v>
      </c>
      <c r="AM5319">
        <v>99.094442789131804</v>
      </c>
      <c r="AN5319">
        <v>1.0000000617265199</v>
      </c>
    </row>
    <row r="5320" spans="1:40" x14ac:dyDescent="0.25">
      <c r="A5320" t="str">
        <f>"20190304164752782"</f>
        <v>20190304164752782</v>
      </c>
      <c r="B5320" t="str">
        <f>"1551689272774500"</f>
        <v>1551689272774500</v>
      </c>
      <c r="C5320" t="s">
        <v>40</v>
      </c>
      <c r="D5320">
        <v>4.4535790000000004</v>
      </c>
      <c r="E5320">
        <v>0.5465371</v>
      </c>
      <c r="F5320" t="s">
        <v>59</v>
      </c>
      <c r="G5320">
        <v>-246.78829999999999</v>
      </c>
      <c r="H5320" s="1">
        <v>-2.2425070000000001E-6</v>
      </c>
      <c r="I5320">
        <v>-61.673560000000002</v>
      </c>
      <c r="J5320">
        <v>-255.94829999999999</v>
      </c>
      <c r="K5320">
        <v>1.1115090000000001</v>
      </c>
      <c r="L5320">
        <v>-61.883180000000003</v>
      </c>
      <c r="M5320">
        <v>0.9984111</v>
      </c>
      <c r="N5320">
        <v>-1.4182439999999999E-2</v>
      </c>
      <c r="O5320">
        <v>-5.4537750000000003E-2</v>
      </c>
      <c r="P5320">
        <v>0.91666300000000001</v>
      </c>
      <c r="Q5320">
        <v>0.38835219999999998</v>
      </c>
      <c r="R5320">
        <v>9.4403979999999998E-2</v>
      </c>
      <c r="S5320">
        <v>3.4379119999999999</v>
      </c>
      <c r="T5320">
        <v>-0.40799930000000001</v>
      </c>
      <c r="U5320">
        <v>7.2845460000000001E-2</v>
      </c>
      <c r="V5320">
        <v>-0.14475729999999901</v>
      </c>
      <c r="W5320">
        <v>0.40104260000000003</v>
      </c>
      <c r="X5320">
        <v>0.90454970000000001</v>
      </c>
      <c r="Y5320">
        <v>-7.4799249999999998E-2</v>
      </c>
      <c r="Z5320">
        <v>1.063132E-2</v>
      </c>
      <c r="AA5320">
        <v>0.99714199999999997</v>
      </c>
      <c r="AB5320">
        <v>33</v>
      </c>
      <c r="AC5320">
        <v>9.1599999999999895</v>
      </c>
      <c r="AD5320">
        <v>-1.111511242507</v>
      </c>
      <c r="AE5320">
        <v>0.20962000000000799</v>
      </c>
      <c r="AF5320">
        <v>-0.69864225914580702</v>
      </c>
      <c r="AG5320">
        <v>-1.111511242507</v>
      </c>
      <c r="AH5320">
        <v>9.0024451972010606</v>
      </c>
      <c r="AI5320">
        <v>97.017667246981702</v>
      </c>
      <c r="AJ5320">
        <v>94.437592252015307</v>
      </c>
      <c r="AK5320">
        <v>9.0976688100354703</v>
      </c>
      <c r="AL5320">
        <v>66.356627401768193</v>
      </c>
      <c r="AM5320">
        <v>99.092089464573306</v>
      </c>
      <c r="AN5320">
        <v>1.00000000134407</v>
      </c>
    </row>
    <row r="5321" spans="1:40" x14ac:dyDescent="0.25">
      <c r="A5321" t="str">
        <f>"20190304164752794"</f>
        <v>20190304164752794</v>
      </c>
      <c r="B5321" t="str">
        <f>"1551689272784260"</f>
        <v>1551689272784260</v>
      </c>
      <c r="C5321" t="s">
        <v>40</v>
      </c>
      <c r="D5321">
        <v>4.598211</v>
      </c>
      <c r="E5321">
        <v>0.54710809999999999</v>
      </c>
      <c r="F5321" t="s">
        <v>59</v>
      </c>
      <c r="G5321">
        <v>-246.6112</v>
      </c>
      <c r="H5321" s="1">
        <v>-2.172341E-6</v>
      </c>
      <c r="I5321">
        <v>-61.695369999999997</v>
      </c>
      <c r="J5321">
        <v>-255.76089999999999</v>
      </c>
      <c r="K5321">
        <v>1.111429</v>
      </c>
      <c r="L5321">
        <v>-61.893250000000002</v>
      </c>
      <c r="M5321">
        <v>0.99841789999999997</v>
      </c>
      <c r="N5321">
        <v>-1.420975E-2</v>
      </c>
      <c r="O5321">
        <v>-5.440681E-2</v>
      </c>
      <c r="P5321">
        <v>0.91660660000000005</v>
      </c>
      <c r="Q5321">
        <v>0.38844709999999899</v>
      </c>
      <c r="R5321">
        <v>9.4560309999999995E-2</v>
      </c>
      <c r="S5321">
        <v>3.4390869999999998</v>
      </c>
      <c r="T5321">
        <v>-0.40939720000000002</v>
      </c>
      <c r="U5321">
        <v>6.9152829999999998E-2</v>
      </c>
      <c r="V5321">
        <v>-0.1447087</v>
      </c>
      <c r="W5321">
        <v>0.40119110000000002</v>
      </c>
      <c r="X5321">
        <v>0.90449159999999995</v>
      </c>
      <c r="Y5321">
        <v>-7.3595770000000005E-2</v>
      </c>
      <c r="Z5321">
        <v>1.0570599999999999E-2</v>
      </c>
      <c r="AA5321">
        <v>0.99723209999999995</v>
      </c>
      <c r="AB5321">
        <v>33</v>
      </c>
      <c r="AC5321">
        <v>9.1496999999999904</v>
      </c>
      <c r="AD5321">
        <v>-1.111431172341</v>
      </c>
      <c r="AE5321">
        <v>0.197880000000004</v>
      </c>
      <c r="AF5321">
        <v>-0.68533534626446901</v>
      </c>
      <c r="AG5321">
        <v>-1.111431172341</v>
      </c>
      <c r="AH5321">
        <v>8.9927484030821194</v>
      </c>
      <c r="AI5321">
        <v>97.025400073430205</v>
      </c>
      <c r="AJ5321">
        <v>94.358074450442203</v>
      </c>
      <c r="AK5321">
        <v>9.0870505461797997</v>
      </c>
      <c r="AL5321">
        <v>66.347338480305694</v>
      </c>
      <c r="AM5321">
        <v>99.089661990772797</v>
      </c>
      <c r="AN5321">
        <v>0.99999998052272898</v>
      </c>
    </row>
    <row r="5322" spans="1:40" x14ac:dyDescent="0.25">
      <c r="A5322" t="str">
        <f>"20190304164752810"</f>
        <v>20190304164752810</v>
      </c>
      <c r="B5322" t="str">
        <f>"1551689272804760"</f>
        <v>1551689272804760</v>
      </c>
      <c r="C5322" t="s">
        <v>40</v>
      </c>
      <c r="D5322">
        <v>4.4719790000000001</v>
      </c>
      <c r="E5322">
        <v>0.54786349999999995</v>
      </c>
      <c r="F5322" t="s">
        <v>59</v>
      </c>
      <c r="G5322">
        <v>-246.4631</v>
      </c>
      <c r="H5322" s="1">
        <v>-2.1145799999999999E-6</v>
      </c>
      <c r="I5322">
        <v>-61.717030000000001</v>
      </c>
      <c r="J5322">
        <v>-255.52440000000001</v>
      </c>
      <c r="K5322">
        <v>1.111356</v>
      </c>
      <c r="L5322">
        <v>-61.90598</v>
      </c>
      <c r="M5322">
        <v>0.99842260000000005</v>
      </c>
      <c r="N5322">
        <v>-1.423984E-2</v>
      </c>
      <c r="O5322">
        <v>-5.431275E-2</v>
      </c>
      <c r="P5322">
        <v>0.9162401</v>
      </c>
      <c r="Q5322">
        <v>0.38936959999999998</v>
      </c>
      <c r="R5322">
        <v>9.431763E-2</v>
      </c>
      <c r="S5322">
        <v>3.4405209999999999</v>
      </c>
      <c r="T5322">
        <v>-0.41127229999999998</v>
      </c>
      <c r="U5322">
        <v>6.5185549999999995E-2</v>
      </c>
      <c r="V5322">
        <v>-0.14427190000000001</v>
      </c>
      <c r="W5322">
        <v>0.40216849999999998</v>
      </c>
      <c r="X5322">
        <v>0.90412729999999997</v>
      </c>
      <c r="Y5322">
        <v>-7.2347060000000005E-2</v>
      </c>
      <c r="Z5322">
        <v>1.052171E-2</v>
      </c>
      <c r="AA5322">
        <v>0.99732399999999999</v>
      </c>
      <c r="AB5322">
        <v>33</v>
      </c>
      <c r="AC5322">
        <v>9.0613000000000099</v>
      </c>
      <c r="AD5322">
        <v>-1.11135811458</v>
      </c>
      <c r="AE5322">
        <v>0.188950000000005</v>
      </c>
      <c r="AF5322">
        <v>-0.67077902076487494</v>
      </c>
      <c r="AG5322">
        <v>-1.11135811458</v>
      </c>
      <c r="AH5322">
        <v>8.9037800755621994</v>
      </c>
      <c r="AI5322">
        <v>97.094887772540801</v>
      </c>
      <c r="AJ5322">
        <v>94.308321149878907</v>
      </c>
      <c r="AK5322">
        <v>8.9979087007770602</v>
      </c>
      <c r="AL5322">
        <v>66.286188672919494</v>
      </c>
      <c r="AM5322">
        <v>99.066272050001601</v>
      </c>
      <c r="AN5322">
        <v>1.00000002906357</v>
      </c>
    </row>
    <row r="5323" spans="1:40" x14ac:dyDescent="0.25">
      <c r="A5323" t="str">
        <f>"20190304164752822"</f>
        <v>20190304164752822</v>
      </c>
      <c r="B5323" t="str">
        <f>"1551689272815182"</f>
        <v>1551689272815182</v>
      </c>
      <c r="C5323" t="s">
        <v>40</v>
      </c>
      <c r="D5323">
        <v>4.4396610000000001</v>
      </c>
      <c r="E5323">
        <v>0.54819249999999997</v>
      </c>
      <c r="F5323" t="s">
        <v>59</v>
      </c>
      <c r="G5323">
        <v>-246.19110000000001</v>
      </c>
      <c r="H5323" s="1">
        <v>-2.0048599999999998E-6</v>
      </c>
      <c r="I5323">
        <v>-61.743160000000003</v>
      </c>
      <c r="J5323">
        <v>-255.357</v>
      </c>
      <c r="K5323">
        <v>1.1113059999999999</v>
      </c>
      <c r="L5323">
        <v>-61.91498</v>
      </c>
      <c r="M5323">
        <v>0.99842439999999999</v>
      </c>
      <c r="N5323">
        <v>-1.425917E-2</v>
      </c>
      <c r="O5323">
        <v>-5.427423E-2</v>
      </c>
      <c r="P5323">
        <v>0.91604960000000002</v>
      </c>
      <c r="Q5323">
        <v>0.38984419999999997</v>
      </c>
      <c r="R5323">
        <v>9.4206830000000005E-2</v>
      </c>
      <c r="S5323">
        <v>3.4422609999999998</v>
      </c>
      <c r="T5323">
        <v>-0.40988869999999999</v>
      </c>
      <c r="U5323">
        <v>6.0028079999999998E-2</v>
      </c>
      <c r="V5323">
        <v>-0.14406079999999999</v>
      </c>
      <c r="W5323">
        <v>0.40267789999999998</v>
      </c>
      <c r="X5323">
        <v>0.90393420000000002</v>
      </c>
      <c r="Y5323">
        <v>-7.0824300000000007E-2</v>
      </c>
      <c r="Z5323">
        <v>1.037475E-2</v>
      </c>
      <c r="AA5323">
        <v>0.99743490000000001</v>
      </c>
      <c r="AB5323">
        <v>33</v>
      </c>
      <c r="AC5323">
        <v>9.1658999999999899</v>
      </c>
      <c r="AD5323">
        <v>-1.1113080048599999</v>
      </c>
      <c r="AE5323">
        <v>0.17182000000000999</v>
      </c>
      <c r="AF5323">
        <v>-0.65939957147163097</v>
      </c>
      <c r="AG5323">
        <v>-1.1113080048599999</v>
      </c>
      <c r="AH5323">
        <v>9.0106505563607797</v>
      </c>
      <c r="AI5323">
        <v>97.012374221601206</v>
      </c>
      <c r="AJ5323">
        <v>94.185445366555598</v>
      </c>
      <c r="AK5323">
        <v>9.1028367405643298</v>
      </c>
      <c r="AL5323">
        <v>66.254306513736296</v>
      </c>
      <c r="AM5323">
        <v>99.055127981929502</v>
      </c>
      <c r="AN5323">
        <v>1.0000000215873399</v>
      </c>
    </row>
    <row r="5324" spans="1:40" x14ac:dyDescent="0.25">
      <c r="A5324" t="str">
        <f>"20190304164752832"</f>
        <v>20190304164752832</v>
      </c>
      <c r="B5324" t="str">
        <f>"1551689272824946"</f>
        <v>1551689272824946</v>
      </c>
      <c r="C5324" t="s">
        <v>40</v>
      </c>
      <c r="D5324">
        <v>4.544924</v>
      </c>
      <c r="E5324">
        <v>0.54854369999999997</v>
      </c>
      <c r="F5324" t="s">
        <v>59</v>
      </c>
      <c r="G5324">
        <v>-246.02189999999999</v>
      </c>
      <c r="H5324" s="1">
        <v>-1.9358639999999998E-6</v>
      </c>
      <c r="I5324">
        <v>-61.756729999999997</v>
      </c>
      <c r="J5324">
        <v>-255.185</v>
      </c>
      <c r="K5324">
        <v>1.111256</v>
      </c>
      <c r="L5324">
        <v>-61.924289999999999</v>
      </c>
      <c r="M5324">
        <v>0.99842549999999997</v>
      </c>
      <c r="N5324">
        <v>-1.4278020000000001E-2</v>
      </c>
      <c r="O5324">
        <v>-5.4248560000000001E-2</v>
      </c>
      <c r="P5324">
        <v>0.91581500000000005</v>
      </c>
      <c r="Q5324">
        <v>0.39036700000000002</v>
      </c>
      <c r="R5324">
        <v>9.4321500000000003E-2</v>
      </c>
      <c r="S5324">
        <v>3.44339</v>
      </c>
      <c r="T5324">
        <v>-0.40992089999999998</v>
      </c>
      <c r="U5324">
        <v>5.8349610000000003E-2</v>
      </c>
      <c r="V5324">
        <v>-0.14408599999999999</v>
      </c>
      <c r="W5324">
        <v>0.40323389999999998</v>
      </c>
      <c r="X5324">
        <v>0.90368230000000005</v>
      </c>
      <c r="Y5324">
        <v>-7.031155E-2</v>
      </c>
      <c r="Z5324">
        <v>1.033502E-2</v>
      </c>
      <c r="AA5324">
        <v>0.99747149999999996</v>
      </c>
      <c r="AB5324">
        <v>33</v>
      </c>
      <c r="AC5324">
        <v>9.1631000000000107</v>
      </c>
      <c r="AD5324">
        <v>-1.111257935864</v>
      </c>
      <c r="AE5324">
        <v>0.16755999999999399</v>
      </c>
      <c r="AF5324">
        <v>-0.65482111010178601</v>
      </c>
      <c r="AG5324">
        <v>-1.111257935864</v>
      </c>
      <c r="AH5324">
        <v>9.0080696892618395</v>
      </c>
      <c r="AI5324">
        <v>97.014295925932998</v>
      </c>
      <c r="AJ5324">
        <v>94.157673121506406</v>
      </c>
      <c r="AK5324">
        <v>9.0999452972451191</v>
      </c>
      <c r="AL5324">
        <v>66.219499185727301</v>
      </c>
      <c r="AM5324">
        <v>99.059168387122696</v>
      </c>
      <c r="AN5324">
        <v>1.0000000264192399</v>
      </c>
    </row>
    <row r="5325" spans="1:40" x14ac:dyDescent="0.25">
      <c r="A5325" t="str">
        <f>"20190304164752843"</f>
        <v>20190304164752843</v>
      </c>
      <c r="B5325" t="str">
        <f>"1551689272834705"</f>
        <v>1551689272834705</v>
      </c>
      <c r="C5325" t="s">
        <v>40</v>
      </c>
      <c r="D5325">
        <v>4.4501480000000004</v>
      </c>
      <c r="E5325">
        <v>0.54881230000000003</v>
      </c>
      <c r="F5325" t="s">
        <v>59</v>
      </c>
      <c r="G5325">
        <v>-245.85169999999999</v>
      </c>
      <c r="H5325" s="1">
        <v>-1.8656950000000001E-6</v>
      </c>
      <c r="I5325">
        <v>-61.767359999999996</v>
      </c>
      <c r="J5325">
        <v>-255.0376</v>
      </c>
      <c r="K5325">
        <v>1.1112219999999999</v>
      </c>
      <c r="L5325">
        <v>-61.932250000000003</v>
      </c>
      <c r="M5325">
        <v>0.9984248</v>
      </c>
      <c r="N5325">
        <v>-1.429216E-2</v>
      </c>
      <c r="O5325">
        <v>-5.4255390000000001E-2</v>
      </c>
      <c r="P5325">
        <v>0.91572909999999996</v>
      </c>
      <c r="Q5325">
        <v>0.39057310000000001</v>
      </c>
      <c r="R5325">
        <v>9.4301090000000004E-2</v>
      </c>
      <c r="S5325">
        <v>3.444626</v>
      </c>
      <c r="T5325">
        <v>-0.41013339999999998</v>
      </c>
      <c r="U5325">
        <v>5.7891850000000002E-2</v>
      </c>
      <c r="V5325">
        <v>-0.1440282</v>
      </c>
      <c r="W5325">
        <v>0.40346500000000002</v>
      </c>
      <c r="X5325">
        <v>0.90358830000000001</v>
      </c>
      <c r="Y5325">
        <v>-7.0180569999999998E-2</v>
      </c>
      <c r="Z5325">
        <v>1.0328439999999999E-2</v>
      </c>
      <c r="AA5325">
        <v>0.99748079999999995</v>
      </c>
      <c r="AB5325">
        <v>33</v>
      </c>
      <c r="AC5325">
        <v>9.1859000000000002</v>
      </c>
      <c r="AD5325">
        <v>-1.111223865695</v>
      </c>
      <c r="AE5325">
        <v>0.164890000000006</v>
      </c>
      <c r="AF5325">
        <v>-0.65352209228904701</v>
      </c>
      <c r="AG5325">
        <v>-1.111223865695</v>
      </c>
      <c r="AH5325">
        <v>9.0312997119276002</v>
      </c>
      <c r="AI5325">
        <v>96.996385969181105</v>
      </c>
      <c r="AJ5325">
        <v>94.138818113964007</v>
      </c>
      <c r="AK5325">
        <v>9.1228440790941701</v>
      </c>
      <c r="AL5325">
        <v>66.205027447619997</v>
      </c>
      <c r="AM5325">
        <v>99.056520975323807</v>
      </c>
      <c r="AN5325">
        <v>0.99999997225856396</v>
      </c>
    </row>
    <row r="5326" spans="1:40" x14ac:dyDescent="0.25">
      <c r="A5326" t="str">
        <f>"20190304164752853"</f>
        <v>20190304164752853</v>
      </c>
      <c r="B5326" t="str">
        <f>"1551689272844466"</f>
        <v>1551689272844466</v>
      </c>
      <c r="C5326" t="s">
        <v>40</v>
      </c>
      <c r="D5326">
        <v>4.7850799999999998</v>
      </c>
      <c r="E5326">
        <v>0.54919180000000001</v>
      </c>
      <c r="F5326" t="s">
        <v>59</v>
      </c>
      <c r="G5326">
        <v>-245.7131</v>
      </c>
      <c r="H5326" s="1">
        <v>-1.8090909999999999E-6</v>
      </c>
      <c r="I5326">
        <v>-61.77816</v>
      </c>
      <c r="J5326">
        <v>-254.87719999999999</v>
      </c>
      <c r="K5326">
        <v>1.111186</v>
      </c>
      <c r="L5326">
        <v>-61.940950000000001</v>
      </c>
      <c r="M5326">
        <v>0.99842399999999998</v>
      </c>
      <c r="N5326">
        <v>-1.430733E-2</v>
      </c>
      <c r="O5326">
        <v>-5.4265859999999999E-2</v>
      </c>
      <c r="P5326">
        <v>0.91555359999999997</v>
      </c>
      <c r="Q5326">
        <v>0.39097759999999998</v>
      </c>
      <c r="R5326">
        <v>9.4329490000000002E-2</v>
      </c>
      <c r="S5326">
        <v>3.4453580000000001</v>
      </c>
      <c r="T5326">
        <v>-0.41059449999999997</v>
      </c>
      <c r="U5326">
        <v>5.6915279999999999E-2</v>
      </c>
      <c r="V5326">
        <v>-0.144015</v>
      </c>
      <c r="W5326">
        <v>0.40389609999999998</v>
      </c>
      <c r="X5326">
        <v>0.90339780000000003</v>
      </c>
      <c r="Y5326">
        <v>-6.9905399999999895E-2</v>
      </c>
      <c r="Z5326">
        <v>1.032054E-2</v>
      </c>
      <c r="AA5326">
        <v>0.99750019999999995</v>
      </c>
      <c r="AB5326">
        <v>33</v>
      </c>
      <c r="AC5326">
        <v>9.1640999999999906</v>
      </c>
      <c r="AD5326">
        <v>-1.1111878090909999</v>
      </c>
      <c r="AE5326">
        <v>0.16279000000000099</v>
      </c>
      <c r="AF5326">
        <v>-0.65034006647009301</v>
      </c>
      <c r="AG5326">
        <v>-1.1111878090909999</v>
      </c>
      <c r="AH5326">
        <v>9.0093400063086904</v>
      </c>
      <c r="AI5326">
        <v>97.013132568029704</v>
      </c>
      <c r="AJ5326">
        <v>94.128740046763397</v>
      </c>
      <c r="AK5326">
        <v>9.1008729195832103</v>
      </c>
      <c r="AL5326">
        <v>66.178029987558105</v>
      </c>
      <c r="AM5326">
        <v>99.057582640111505</v>
      </c>
      <c r="AN5326">
        <v>0.99999998243252497</v>
      </c>
    </row>
    <row r="5327" spans="1:40" x14ac:dyDescent="0.25">
      <c r="A5327" t="str">
        <f>"20190304164752864"</f>
        <v>20190304164752864</v>
      </c>
      <c r="B5327" t="str">
        <f>"1551689272854227"</f>
        <v>1551689272854227</v>
      </c>
      <c r="C5327" t="s">
        <v>40</v>
      </c>
      <c r="D5327">
        <v>4.4498410000000002</v>
      </c>
      <c r="E5327">
        <v>0.54941090000000004</v>
      </c>
      <c r="F5327" t="s">
        <v>59</v>
      </c>
      <c r="G5327">
        <v>-245.6009</v>
      </c>
      <c r="H5327" s="1">
        <v>-1.7648100000000001E-6</v>
      </c>
      <c r="I5327">
        <v>-61.792659999999998</v>
      </c>
      <c r="J5327">
        <v>-254.71549999999999</v>
      </c>
      <c r="K5327">
        <v>1.1111519999999999</v>
      </c>
      <c r="L5327">
        <v>-61.949710000000003</v>
      </c>
      <c r="M5327">
        <v>0.99842180000000003</v>
      </c>
      <c r="N5327">
        <v>-1.432042E-2</v>
      </c>
      <c r="O5327">
        <v>-5.4301729999999999E-2</v>
      </c>
      <c r="P5327">
        <v>0.91538169999999996</v>
      </c>
      <c r="Q5327">
        <v>0.39135959999999997</v>
      </c>
      <c r="R5327">
        <v>9.4412919999999997E-2</v>
      </c>
      <c r="S5327">
        <v>3.4473880000000001</v>
      </c>
      <c r="T5327">
        <v>-0.41295389999999998</v>
      </c>
      <c r="U5327">
        <v>5.5084229999999998E-2</v>
      </c>
      <c r="V5327">
        <v>-0.14408609999999999</v>
      </c>
      <c r="W5327">
        <v>0.40429959999999998</v>
      </c>
      <c r="X5327">
        <v>0.90320599999999995</v>
      </c>
      <c r="Y5327">
        <v>-6.9396869999999999E-2</v>
      </c>
      <c r="Z5327">
        <v>1.0344320000000001E-2</v>
      </c>
      <c r="AA5327">
        <v>0.99753550000000002</v>
      </c>
      <c r="AB5327">
        <v>33</v>
      </c>
      <c r="AC5327">
        <v>9.1145999999999905</v>
      </c>
      <c r="AD5327">
        <v>-1.1111537648100001</v>
      </c>
      <c r="AE5327">
        <v>0.157049999999998</v>
      </c>
      <c r="AF5327">
        <v>-0.64226516079034301</v>
      </c>
      <c r="AG5327">
        <v>-1.1111537648100001</v>
      </c>
      <c r="AH5327">
        <v>8.9595049789521202</v>
      </c>
      <c r="AI5327">
        <v>97.051785499107197</v>
      </c>
      <c r="AJ5327">
        <v>94.100253589970194</v>
      </c>
      <c r="AK5327">
        <v>9.0509610922644192</v>
      </c>
      <c r="AL5327">
        <v>66.152756704047803</v>
      </c>
      <c r="AM5327">
        <v>99.063872584430598</v>
      </c>
      <c r="AN5327">
        <v>1.0000000246046801</v>
      </c>
    </row>
    <row r="5328" spans="1:40" x14ac:dyDescent="0.25">
      <c r="A5328" t="str">
        <f>"20190304164752876"</f>
        <v>20190304164752876</v>
      </c>
      <c r="B5328" t="str">
        <f>"1551689272864962"</f>
        <v>1551689272864962</v>
      </c>
      <c r="C5328" t="s">
        <v>40</v>
      </c>
      <c r="D5328">
        <v>4.4459249999999999</v>
      </c>
      <c r="E5328">
        <v>0.54963459999999997</v>
      </c>
      <c r="F5328" t="s">
        <v>59</v>
      </c>
      <c r="G5328">
        <v>-245.42410000000001</v>
      </c>
      <c r="H5328" s="1">
        <v>-1.691937E-6</v>
      </c>
      <c r="I5328">
        <v>-61.803759999999997</v>
      </c>
      <c r="J5328">
        <v>-254.54589999999999</v>
      </c>
      <c r="K5328">
        <v>1.1111249999999999</v>
      </c>
      <c r="L5328">
        <v>-61.958950000000002</v>
      </c>
      <c r="M5328">
        <v>0.99841950000000002</v>
      </c>
      <c r="N5328">
        <v>-1.4333749999999999E-2</v>
      </c>
      <c r="O5328">
        <v>-5.4342969999999997E-2</v>
      </c>
      <c r="P5328">
        <v>0.91516690000000001</v>
      </c>
      <c r="Q5328">
        <v>0.39186120000000002</v>
      </c>
      <c r="R5328">
        <v>9.4416639999999996E-2</v>
      </c>
      <c r="S5328">
        <v>3.4480439999999999</v>
      </c>
      <c r="T5328">
        <v>-0.4123522</v>
      </c>
      <c r="U5328">
        <v>5.4138180000000001E-2</v>
      </c>
      <c r="V5328">
        <v>-0.1440806</v>
      </c>
      <c r="W5328">
        <v>0.40482240000000003</v>
      </c>
      <c r="X5328">
        <v>0.90297260000000001</v>
      </c>
      <c r="Y5328">
        <v>-6.9165900000000002E-2</v>
      </c>
      <c r="Z5328">
        <v>1.031558E-2</v>
      </c>
      <c r="AA5328">
        <v>0.99755190000000005</v>
      </c>
      <c r="AB5328">
        <v>33</v>
      </c>
      <c r="AC5328">
        <v>9.1217999999999808</v>
      </c>
      <c r="AD5328">
        <v>-1.111126691937</v>
      </c>
      <c r="AE5328">
        <v>0.15519000000000399</v>
      </c>
      <c r="AF5328">
        <v>-0.641205982009038</v>
      </c>
      <c r="AG5328">
        <v>-1.111126691937</v>
      </c>
      <c r="AH5328">
        <v>8.9668747192734308</v>
      </c>
      <c r="AI5328">
        <v>97.045966035245698</v>
      </c>
      <c r="AJ5328">
        <v>94.090161768796406</v>
      </c>
      <c r="AK5328">
        <v>9.05817806559598</v>
      </c>
      <c r="AL5328">
        <v>66.120000582295503</v>
      </c>
      <c r="AM5328">
        <v>99.065836180945098</v>
      </c>
      <c r="AN5328">
        <v>0.99999995559443899</v>
      </c>
    </row>
    <row r="5329" spans="1:40" x14ac:dyDescent="0.25">
      <c r="A5329" t="str">
        <f>"20190304164752887"</f>
        <v>20190304164752887</v>
      </c>
      <c r="B5329" t="str">
        <f>"1551689272884482"</f>
        <v>1551689272884482</v>
      </c>
      <c r="C5329" t="s">
        <v>40</v>
      </c>
      <c r="D5329">
        <v>4.441573</v>
      </c>
      <c r="E5329">
        <v>0.55001909999999998</v>
      </c>
      <c r="F5329" t="s">
        <v>41</v>
      </c>
      <c r="G5329">
        <v>-253.56110000000001</v>
      </c>
      <c r="H5329">
        <v>0.99369779999999996</v>
      </c>
      <c r="I5329">
        <v>-61.943980000000003</v>
      </c>
      <c r="J5329">
        <v>-254.3877</v>
      </c>
      <c r="K5329">
        <v>1.1111009999999999</v>
      </c>
      <c r="L5329">
        <v>-61.967559999999999</v>
      </c>
      <c r="M5329">
        <v>0.99841659999999999</v>
      </c>
      <c r="N5329">
        <v>-1.4344799999999901E-2</v>
      </c>
      <c r="O5329">
        <v>-5.43936E-2</v>
      </c>
      <c r="P5329">
        <v>0.91498360000000001</v>
      </c>
      <c r="Q5329">
        <v>0.39227319999999999</v>
      </c>
      <c r="R5329">
        <v>9.4483040000000004E-2</v>
      </c>
      <c r="S5329">
        <v>3.4486849999999998</v>
      </c>
      <c r="T5329">
        <v>-0.41120020000000002</v>
      </c>
      <c r="U5329">
        <v>5.3253170000000002E-2</v>
      </c>
      <c r="V5329">
        <v>-0.14415430000000001</v>
      </c>
      <c r="W5329">
        <v>0.40525220000000001</v>
      </c>
      <c r="X5329">
        <v>0.90276800000000001</v>
      </c>
      <c r="Y5329">
        <v>-6.8964109999999995E-2</v>
      </c>
      <c r="Z5329">
        <v>1.027585E-2</v>
      </c>
      <c r="AA5329">
        <v>0.99756619999999996</v>
      </c>
      <c r="AB5329">
        <v>33</v>
      </c>
      <c r="AC5329">
        <v>0.82659999999998401</v>
      </c>
      <c r="AD5329">
        <v>-0.1174032</v>
      </c>
      <c r="AE5329">
        <v>2.35799999999954E-2</v>
      </c>
      <c r="AF5329">
        <v>-6.7157789436019105E-2</v>
      </c>
      <c r="AG5329">
        <v>-0.1174032</v>
      </c>
      <c r="AH5329">
        <v>0.80781063324768199</v>
      </c>
      <c r="AI5329">
        <v>98.241150155408704</v>
      </c>
      <c r="AJ5329">
        <v>94.752388082907501</v>
      </c>
      <c r="AK5329">
        <v>0.81905537006981</v>
      </c>
      <c r="AL5329">
        <v>66.093066090556505</v>
      </c>
      <c r="AM5329">
        <v>99.072417953720901</v>
      </c>
      <c r="AN5329">
        <v>0.99999993481866201</v>
      </c>
    </row>
    <row r="5330" spans="1:40" x14ac:dyDescent="0.25">
      <c r="A5330" t="str">
        <f>"20190304164752901"</f>
        <v>20190304164752901</v>
      </c>
      <c r="B5330" t="str">
        <f>"1551689272894242"</f>
        <v>1551689272894242</v>
      </c>
      <c r="C5330" t="s">
        <v>40</v>
      </c>
      <c r="D5330">
        <v>4.4807779999999999</v>
      </c>
      <c r="E5330">
        <v>0.55022389999999999</v>
      </c>
      <c r="F5330" t="s">
        <v>59</v>
      </c>
      <c r="G5330">
        <v>-245.06649999999999</v>
      </c>
      <c r="H5330" s="1">
        <v>-1.5452770000000001E-6</v>
      </c>
      <c r="I5330">
        <v>-61.8292199999999</v>
      </c>
      <c r="J5330">
        <v>-254.18610000000001</v>
      </c>
      <c r="K5330">
        <v>1.111073</v>
      </c>
      <c r="L5330">
        <v>-61.978580000000001</v>
      </c>
      <c r="M5330">
        <v>0.99841259999999998</v>
      </c>
      <c r="N5330">
        <v>-1.435786E-2</v>
      </c>
      <c r="O5330">
        <v>-5.4462919999999998E-2</v>
      </c>
      <c r="P5330">
        <v>0.91486650000000003</v>
      </c>
      <c r="Q5330">
        <v>0.39260529999999999</v>
      </c>
      <c r="R5330">
        <v>9.4236120000000007E-2</v>
      </c>
      <c r="S5330">
        <v>3.449783</v>
      </c>
      <c r="T5330">
        <v>-0.411219</v>
      </c>
      <c r="U5330">
        <v>5.1177979999999998E-2</v>
      </c>
      <c r="V5330">
        <v>-0.14393249999999999</v>
      </c>
      <c r="W5330">
        <v>0.40560580000000002</v>
      </c>
      <c r="X5330">
        <v>0.90264460000000002</v>
      </c>
      <c r="Y5330">
        <v>-6.8432850000000003E-2</v>
      </c>
      <c r="Z5330">
        <v>1.02446E-2</v>
      </c>
      <c r="AA5330">
        <v>0.99760309999999996</v>
      </c>
      <c r="AB5330">
        <v>33</v>
      </c>
      <c r="AC5330">
        <v>9.1196000000000197</v>
      </c>
      <c r="AD5330">
        <v>-1.1110745452769999</v>
      </c>
      <c r="AE5330">
        <v>0.14936000000001501</v>
      </c>
      <c r="AF5330">
        <v>-0.63642528906450901</v>
      </c>
      <c r="AG5330">
        <v>-1.1110745452769999</v>
      </c>
      <c r="AH5330">
        <v>8.9648921878434606</v>
      </c>
      <c r="AI5330">
        <v>97.047437028902095</v>
      </c>
      <c r="AJ5330">
        <v>94.060663547510202</v>
      </c>
      <c r="AK5330">
        <v>9.0558718925004698</v>
      </c>
      <c r="AL5330">
        <v>66.070903517258998</v>
      </c>
      <c r="AM5330">
        <v>99.059908372587799</v>
      </c>
      <c r="AN5330">
        <v>0.99999995172952305</v>
      </c>
    </row>
    <row r="5331" spans="1:40" x14ac:dyDescent="0.25">
      <c r="A5331" t="str">
        <f>"20190304164752910"</f>
        <v>20190304164752910</v>
      </c>
      <c r="B5331" t="str">
        <f>"1551689272904978"</f>
        <v>1551689272904978</v>
      </c>
      <c r="C5331" t="s">
        <v>40</v>
      </c>
      <c r="D5331">
        <v>4.453538</v>
      </c>
      <c r="E5331">
        <v>0.55040169999999999</v>
      </c>
      <c r="F5331" t="s">
        <v>59</v>
      </c>
      <c r="G5331">
        <v>-244.84979999999999</v>
      </c>
      <c r="H5331" s="1">
        <v>-1.456557E-6</v>
      </c>
      <c r="I5331">
        <v>-61.8450699999999</v>
      </c>
      <c r="J5331">
        <v>-254.03200000000001</v>
      </c>
      <c r="K5331">
        <v>1.1110610000000001</v>
      </c>
      <c r="L5331">
        <v>-61.987000000000002</v>
      </c>
      <c r="M5331">
        <v>0.9984094</v>
      </c>
      <c r="N5331">
        <v>-1.4367039999999999E-2</v>
      </c>
      <c r="O5331">
        <v>-5.4520100000000002E-2</v>
      </c>
      <c r="P5331">
        <v>0.91474569999999999</v>
      </c>
      <c r="Q5331">
        <v>0.39297409999999999</v>
      </c>
      <c r="R5331">
        <v>9.3871759999999999E-2</v>
      </c>
      <c r="S5331">
        <v>3.4503170000000001</v>
      </c>
      <c r="T5331">
        <v>-0.4106088</v>
      </c>
      <c r="U5331">
        <v>4.9316409999999998E-2</v>
      </c>
      <c r="V5331">
        <v>-0.1435929</v>
      </c>
      <c r="W5331">
        <v>0.40598879999999998</v>
      </c>
      <c r="X5331">
        <v>0.90252659999999996</v>
      </c>
      <c r="Y5331">
        <v>-6.795582E-2</v>
      </c>
      <c r="Z5331">
        <v>1.020151E-2</v>
      </c>
      <c r="AA5331">
        <v>0.99763619999999997</v>
      </c>
      <c r="AB5331">
        <v>33</v>
      </c>
      <c r="AC5331">
        <v>9.1822000000000195</v>
      </c>
      <c r="AD5331">
        <v>-1.111062456557</v>
      </c>
      <c r="AE5331">
        <v>0.141930000000002</v>
      </c>
      <c r="AF5331">
        <v>-0.63311742166064799</v>
      </c>
      <c r="AG5331">
        <v>-1.111062456557</v>
      </c>
      <c r="AH5331">
        <v>9.0286407914597806</v>
      </c>
      <c r="AI5331">
        <v>96.9985189515576</v>
      </c>
      <c r="AJ5331">
        <v>94.011198801913196</v>
      </c>
      <c r="AK5331">
        <v>9.1187527652191704</v>
      </c>
      <c r="AL5331">
        <v>66.046895862025707</v>
      </c>
      <c r="AM5331">
        <v>99.040047651197398</v>
      </c>
      <c r="AN5331">
        <v>1.0000000451816999</v>
      </c>
    </row>
    <row r="5332" spans="1:40" x14ac:dyDescent="0.25">
      <c r="A5332" t="str">
        <f>"20190304164752921"</f>
        <v>20190304164752921</v>
      </c>
      <c r="B5332" t="str">
        <f>"1551689272914738"</f>
        <v>1551689272914738</v>
      </c>
      <c r="C5332" t="s">
        <v>40</v>
      </c>
      <c r="D5332">
        <v>4.4654579999999999</v>
      </c>
      <c r="E5332">
        <v>0.55057489999999998</v>
      </c>
      <c r="F5332" t="s">
        <v>59</v>
      </c>
      <c r="G5332">
        <v>-244.672</v>
      </c>
      <c r="H5332" s="1">
        <v>-1.3838739999999999E-6</v>
      </c>
      <c r="I5332">
        <v>-61.858550000000001</v>
      </c>
      <c r="J5332">
        <v>-253.88050000000001</v>
      </c>
      <c r="K5332">
        <v>1.111048</v>
      </c>
      <c r="L5332">
        <v>-61.995330000000003</v>
      </c>
      <c r="M5332">
        <v>0.99840609999999996</v>
      </c>
      <c r="N5332">
        <v>-1.437511E-2</v>
      </c>
      <c r="O5332">
        <v>-5.4579229999999999E-2</v>
      </c>
      <c r="P5332">
        <v>0.91456369999999998</v>
      </c>
      <c r="Q5332">
        <v>0.39342759999999999</v>
      </c>
      <c r="R5332">
        <v>9.3746280000000001E-2</v>
      </c>
      <c r="S5332">
        <v>3.4507140000000001</v>
      </c>
      <c r="T5332">
        <v>-0.40961330000000001</v>
      </c>
      <c r="U5332">
        <v>4.7332760000000001E-2</v>
      </c>
      <c r="V5332">
        <v>-0.14349419999999999</v>
      </c>
      <c r="W5332">
        <v>0.40645249999999999</v>
      </c>
      <c r="X5332">
        <v>0.90233359999999996</v>
      </c>
      <c r="Y5332">
        <v>-6.744783E-2</v>
      </c>
      <c r="Z5332">
        <v>1.01473E-2</v>
      </c>
      <c r="AA5332">
        <v>0.99767119999999998</v>
      </c>
      <c r="AB5332">
        <v>33</v>
      </c>
      <c r="AC5332">
        <v>9.2085000000000097</v>
      </c>
      <c r="AD5332">
        <v>-1.1110493838740001</v>
      </c>
      <c r="AE5332">
        <v>0.13678000000000101</v>
      </c>
      <c r="AF5332">
        <v>-0.63005079972839995</v>
      </c>
      <c r="AG5332">
        <v>-1.1110493838740001</v>
      </c>
      <c r="AH5332">
        <v>9.0555081215186792</v>
      </c>
      <c r="AI5332">
        <v>96.978140908628106</v>
      </c>
      <c r="AJ5332">
        <v>93.980027289096697</v>
      </c>
      <c r="AK5332">
        <v>9.1451419935688207</v>
      </c>
      <c r="AL5332">
        <v>66.017821522107795</v>
      </c>
      <c r="AM5332">
        <v>99.0358367846205</v>
      </c>
      <c r="AN5332">
        <v>1.0000000729394201</v>
      </c>
    </row>
    <row r="5333" spans="1:40" x14ac:dyDescent="0.25">
      <c r="A5333" t="str">
        <f>"20190304164752932"</f>
        <v>20190304164752932</v>
      </c>
      <c r="B5333" t="str">
        <f>"1551689272925132"</f>
        <v>1551689272925132</v>
      </c>
      <c r="C5333" t="s">
        <v>40</v>
      </c>
      <c r="D5333">
        <v>4.4523699999999904</v>
      </c>
      <c r="E5333">
        <v>0.55074599999999996</v>
      </c>
      <c r="F5333" t="s">
        <v>59</v>
      </c>
      <c r="G5333">
        <v>-244.494</v>
      </c>
      <c r="H5333" s="1">
        <v>-1.310269E-6</v>
      </c>
      <c r="I5333">
        <v>-61.868940000000002</v>
      </c>
      <c r="J5333">
        <v>-253.70650000000001</v>
      </c>
      <c r="K5333">
        <v>1.1110359999999999</v>
      </c>
      <c r="L5333">
        <v>-62.00488</v>
      </c>
      <c r="M5333">
        <v>0.99840220000000002</v>
      </c>
      <c r="N5333">
        <v>-1.438392E-2</v>
      </c>
      <c r="O5333">
        <v>-5.464815E-2</v>
      </c>
      <c r="P5333">
        <v>0.91442349999999994</v>
      </c>
      <c r="Q5333">
        <v>0.39387280000000002</v>
      </c>
      <c r="R5333">
        <v>9.3241290000000004E-2</v>
      </c>
      <c r="S5333">
        <v>3.4512179999999999</v>
      </c>
      <c r="T5333">
        <v>-0.40851219999999999</v>
      </c>
      <c r="U5333">
        <v>4.6447750000000003E-2</v>
      </c>
      <c r="V5333">
        <v>-0.14302690000000001</v>
      </c>
      <c r="W5333">
        <v>0.4069103</v>
      </c>
      <c r="X5333">
        <v>0.90220140000000004</v>
      </c>
      <c r="Y5333">
        <v>-6.7264740000000003E-2</v>
      </c>
      <c r="Z5333">
        <v>1.011273E-2</v>
      </c>
      <c r="AA5333">
        <v>0.99768389999999996</v>
      </c>
      <c r="AB5333">
        <v>33</v>
      </c>
      <c r="AC5333">
        <v>9.2124999999999702</v>
      </c>
      <c r="AD5333">
        <v>-1.1110373102689901</v>
      </c>
      <c r="AE5333">
        <v>0.135940000000005</v>
      </c>
      <c r="AF5333">
        <v>-0.63007275010603903</v>
      </c>
      <c r="AG5333">
        <v>-1.1110373102689901</v>
      </c>
      <c r="AH5333">
        <v>9.0595618601876193</v>
      </c>
      <c r="AI5333">
        <v>96.974987951135304</v>
      </c>
      <c r="AJ5333">
        <v>93.978390282364003</v>
      </c>
      <c r="AK5333">
        <v>9.1491560634739493</v>
      </c>
      <c r="AL5333">
        <v>65.989108787659404</v>
      </c>
      <c r="AM5333">
        <v>99.0081921805577</v>
      </c>
      <c r="AN5333">
        <v>1.00000002626582</v>
      </c>
    </row>
    <row r="5334" spans="1:40" x14ac:dyDescent="0.25">
      <c r="A5334" t="str">
        <f>"20190304164752943"</f>
        <v>20190304164752943</v>
      </c>
      <c r="B5334" t="str">
        <f>"1551689272934892"</f>
        <v>1551689272934892</v>
      </c>
      <c r="C5334" t="s">
        <v>40</v>
      </c>
      <c r="D5334">
        <v>4.4861959999999996</v>
      </c>
      <c r="E5334">
        <v>0.55091859999999904</v>
      </c>
      <c r="F5334" t="s">
        <v>59</v>
      </c>
      <c r="G5334">
        <v>-244.2903</v>
      </c>
      <c r="H5334" s="1">
        <v>-1.2277379999999999E-6</v>
      </c>
      <c r="I5334">
        <v>-61.887270000000001</v>
      </c>
      <c r="J5334">
        <v>-253.5557</v>
      </c>
      <c r="K5334">
        <v>1.111022</v>
      </c>
      <c r="L5334">
        <v>-62.013150000000003</v>
      </c>
      <c r="M5334">
        <v>0.99839869999999997</v>
      </c>
      <c r="N5334">
        <v>-1.439052E-2</v>
      </c>
      <c r="O5334">
        <v>-5.4707260000000001E-2</v>
      </c>
      <c r="P5334">
        <v>0.91420659999999998</v>
      </c>
      <c r="Q5334">
        <v>0.39443590000000001</v>
      </c>
      <c r="R5334">
        <v>9.2987719999999996E-2</v>
      </c>
      <c r="S5334">
        <v>3.451797</v>
      </c>
      <c r="T5334">
        <v>-0.40728350000000002</v>
      </c>
      <c r="U5334">
        <v>4.3090820000000002E-2</v>
      </c>
      <c r="V5334">
        <v>-0.14280519999999999</v>
      </c>
      <c r="W5334">
        <v>0.40747990000000001</v>
      </c>
      <c r="X5334">
        <v>0.90197939999999999</v>
      </c>
      <c r="Y5334">
        <v>-6.6363420000000006E-2</v>
      </c>
      <c r="Z5334">
        <v>1.002634E-2</v>
      </c>
      <c r="AA5334">
        <v>0.9977452</v>
      </c>
      <c r="AB5334">
        <v>33</v>
      </c>
      <c r="AC5334">
        <v>9.2653999999999996</v>
      </c>
      <c r="AD5334">
        <v>-1.1110232277380001</v>
      </c>
      <c r="AE5334">
        <v>0.12588000000000901</v>
      </c>
      <c r="AF5334">
        <v>-0.62366283260955502</v>
      </c>
      <c r="AG5334">
        <v>-1.1110232277380001</v>
      </c>
      <c r="AH5334">
        <v>9.1136170627500608</v>
      </c>
      <c r="AI5334">
        <v>96.934460525676002</v>
      </c>
      <c r="AJ5334">
        <v>93.9147602179481</v>
      </c>
      <c r="AK5334">
        <v>9.2022466771870999</v>
      </c>
      <c r="AL5334">
        <v>65.953376342218206</v>
      </c>
      <c r="AM5334">
        <v>98.996634966769193</v>
      </c>
      <c r="AN5334">
        <v>1.0000000160377001</v>
      </c>
    </row>
    <row r="5335" spans="1:40" x14ac:dyDescent="0.25">
      <c r="A5335" t="str">
        <f>"20190304164752954"</f>
        <v>20190304164752954</v>
      </c>
      <c r="B5335" t="str">
        <f>"1551689272944651"</f>
        <v>1551689272944651</v>
      </c>
      <c r="C5335" t="s">
        <v>40</v>
      </c>
      <c r="D5335">
        <v>4.43527</v>
      </c>
      <c r="E5335">
        <v>0.55104980000000003</v>
      </c>
      <c r="F5335" t="s">
        <v>59</v>
      </c>
      <c r="G5335">
        <v>-244.1078</v>
      </c>
      <c r="H5335" s="1">
        <v>-1.153405E-6</v>
      </c>
      <c r="I5335">
        <v>-61.90211</v>
      </c>
      <c r="J5335">
        <v>-253.3922</v>
      </c>
      <c r="K5335">
        <v>1.1110180000000001</v>
      </c>
      <c r="L5335">
        <v>-62.02216</v>
      </c>
      <c r="M5335">
        <v>0.99839509999999998</v>
      </c>
      <c r="N5335">
        <v>-1.439752E-2</v>
      </c>
      <c r="O5335">
        <v>-5.4771149999999998E-2</v>
      </c>
      <c r="P5335">
        <v>0.91412199999999999</v>
      </c>
      <c r="Q5335">
        <v>0.39471990000000001</v>
      </c>
      <c r="R5335">
        <v>9.2614109999999999E-2</v>
      </c>
      <c r="S5335">
        <v>3.452591</v>
      </c>
      <c r="T5335">
        <v>-0.40600599999999998</v>
      </c>
      <c r="U5335">
        <v>4.0557860000000001E-2</v>
      </c>
      <c r="V5335">
        <v>-0.1424755</v>
      </c>
      <c r="W5335">
        <v>0.407773</v>
      </c>
      <c r="X5335">
        <v>0.90189900000000001</v>
      </c>
      <c r="Y5335">
        <v>-6.5702800000000006E-2</v>
      </c>
      <c r="Z5335">
        <v>9.9547070000000001E-3</v>
      </c>
      <c r="AA5335">
        <v>0.99778960000000005</v>
      </c>
      <c r="AB5335">
        <v>33</v>
      </c>
      <c r="AC5335">
        <v>9.2843999999999998</v>
      </c>
      <c r="AD5335">
        <v>-1.111019153405</v>
      </c>
      <c r="AE5335">
        <v>0.120049999999999</v>
      </c>
      <c r="AF5335">
        <v>-0.61956916046337096</v>
      </c>
      <c r="AG5335">
        <v>-1.111019153405</v>
      </c>
      <c r="AH5335">
        <v>9.1331224923005294</v>
      </c>
      <c r="AI5335">
        <v>96.920045587188</v>
      </c>
      <c r="AJ5335">
        <v>93.880862607988703</v>
      </c>
      <c r="AK5335">
        <v>9.2212881943466005</v>
      </c>
      <c r="AL5335">
        <v>65.934983930837703</v>
      </c>
      <c r="AM5335">
        <v>98.976989815410306</v>
      </c>
      <c r="AN5335">
        <v>0.99999994691512295</v>
      </c>
    </row>
    <row r="5336" spans="1:40" x14ac:dyDescent="0.25">
      <c r="A5336" t="str">
        <f>"20190304164752966"</f>
        <v>20190304164752966</v>
      </c>
      <c r="B5336" t="str">
        <f>"1551689272954412"</f>
        <v>1551689272954412</v>
      </c>
      <c r="C5336" t="s">
        <v>40</v>
      </c>
      <c r="D5336">
        <v>4.4452889999999998</v>
      </c>
      <c r="E5336">
        <v>0.55116609999999999</v>
      </c>
      <c r="F5336" t="s">
        <v>41</v>
      </c>
      <c r="G5336">
        <v>-252.3871</v>
      </c>
      <c r="H5336">
        <v>0.99296739999999994</v>
      </c>
      <c r="I5336">
        <v>-62.011360000000003</v>
      </c>
      <c r="J5336">
        <v>-253.22059999999999</v>
      </c>
      <c r="K5336">
        <v>1.1110180000000001</v>
      </c>
      <c r="L5336">
        <v>-62.031649999999999</v>
      </c>
      <c r="M5336">
        <v>0.99839160000000005</v>
      </c>
      <c r="N5336">
        <v>-1.440377E-2</v>
      </c>
      <c r="O5336">
        <v>-5.4833270000000003E-2</v>
      </c>
      <c r="P5336">
        <v>0.9139505</v>
      </c>
      <c r="Q5336">
        <v>0.39514729999999998</v>
      </c>
      <c r="R5336">
        <v>9.2482599999999998E-2</v>
      </c>
      <c r="S5336">
        <v>3.4531559999999999</v>
      </c>
      <c r="T5336">
        <v>-0.40556809999999899</v>
      </c>
      <c r="U5336">
        <v>3.7658690000000002E-2</v>
      </c>
      <c r="V5336">
        <v>-0.14238609999999999</v>
      </c>
      <c r="W5336">
        <v>0.40820529999999999</v>
      </c>
      <c r="X5336">
        <v>0.90171760000000001</v>
      </c>
      <c r="Y5336">
        <v>-6.4932989999999996E-2</v>
      </c>
      <c r="Z5336">
        <v>9.8976580000000002E-3</v>
      </c>
      <c r="AA5336">
        <v>0.99784050000000002</v>
      </c>
      <c r="AB5336">
        <v>33</v>
      </c>
      <c r="AC5336">
        <v>0.83349999999998603</v>
      </c>
      <c r="AD5336">
        <v>-0.11805060000000001</v>
      </c>
      <c r="AE5336">
        <v>2.0290000000002799E-2</v>
      </c>
      <c r="AF5336">
        <v>-6.4671222189489994E-2</v>
      </c>
      <c r="AG5336">
        <v>-0.11805060000000001</v>
      </c>
      <c r="AH5336">
        <v>0.81479812227438697</v>
      </c>
      <c r="AI5336">
        <v>98.218344230147594</v>
      </c>
      <c r="AJ5336">
        <v>94.538101256133402</v>
      </c>
      <c r="AK5336">
        <v>0.82584156543595599</v>
      </c>
      <c r="AL5336">
        <v>65.907855671058698</v>
      </c>
      <c r="AM5336">
        <v>98.973224051176402</v>
      </c>
      <c r="AN5336">
        <v>0.99999999928552996</v>
      </c>
    </row>
    <row r="5337" spans="1:40" x14ac:dyDescent="0.25">
      <c r="A5337" t="str">
        <f>"20190304164752978"</f>
        <v>20190304164752978</v>
      </c>
      <c r="B5337" t="str">
        <f>"1551689272974908"</f>
        <v>1551689272974908</v>
      </c>
      <c r="C5337" t="s">
        <v>40</v>
      </c>
      <c r="D5337">
        <v>4.4107129999999897</v>
      </c>
      <c r="E5337">
        <v>0.5514059</v>
      </c>
      <c r="F5337" t="s">
        <v>59</v>
      </c>
      <c r="G5337">
        <v>-243.73269999999999</v>
      </c>
      <c r="H5337" s="1">
        <v>-1.0009809999999999E-6</v>
      </c>
      <c r="I5337">
        <v>-61.933999999999997</v>
      </c>
      <c r="J5337">
        <v>-253.0428</v>
      </c>
      <c r="K5337">
        <v>1.1110180000000001</v>
      </c>
      <c r="L5337">
        <v>-62.041469999999997</v>
      </c>
      <c r="M5337">
        <v>0.99838819999999995</v>
      </c>
      <c r="N5337">
        <v>-1.440989E-2</v>
      </c>
      <c r="O5337">
        <v>-5.4895729999999997E-2</v>
      </c>
      <c r="P5337">
        <v>0.91379540000000004</v>
      </c>
      <c r="Q5337">
        <v>0.39558979999999999</v>
      </c>
      <c r="R5337">
        <v>9.2124250000000005E-2</v>
      </c>
      <c r="S5337">
        <v>3.4537049999999998</v>
      </c>
      <c r="T5337">
        <v>-0.40442410000000001</v>
      </c>
      <c r="U5337">
        <v>3.5522459999999999E-2</v>
      </c>
      <c r="V5337">
        <v>-0.14207249999999999</v>
      </c>
      <c r="W5337">
        <v>0.40865190000000001</v>
      </c>
      <c r="X5337">
        <v>0.90156480000000006</v>
      </c>
      <c r="Y5337">
        <v>-6.4385200000000004E-2</v>
      </c>
      <c r="Z5337">
        <v>9.8377220000000001E-3</v>
      </c>
      <c r="AA5337">
        <v>0.9978766</v>
      </c>
      <c r="AB5337">
        <v>33</v>
      </c>
      <c r="AC5337">
        <v>9.3101000000000003</v>
      </c>
      <c r="AD5337">
        <v>-1.1110190009809999</v>
      </c>
      <c r="AE5337">
        <v>0.107469999999999</v>
      </c>
      <c r="AF5337">
        <v>-0.60976331236926296</v>
      </c>
      <c r="AG5337">
        <v>-1.1110190009809999</v>
      </c>
      <c r="AH5337">
        <v>9.1597335365679093</v>
      </c>
      <c r="AI5337">
        <v>96.900714048820106</v>
      </c>
      <c r="AJ5337">
        <v>93.808559785047393</v>
      </c>
      <c r="AK5337">
        <v>9.2469937265350897</v>
      </c>
      <c r="AL5337">
        <v>65.879823398831405</v>
      </c>
      <c r="AM5337">
        <v>98.955274324457093</v>
      </c>
      <c r="AN5337">
        <v>1.00000002961444</v>
      </c>
    </row>
    <row r="5338" spans="1:40" x14ac:dyDescent="0.25">
      <c r="A5338" t="str">
        <f>"20190304164752990"</f>
        <v>20190304164752990</v>
      </c>
      <c r="B5338" t="str">
        <f>"1551689272984668"</f>
        <v>1551689272984668</v>
      </c>
      <c r="C5338" t="s">
        <v>40</v>
      </c>
      <c r="D5338">
        <v>4.4432239999999998</v>
      </c>
      <c r="E5338">
        <v>0.55151470000000002</v>
      </c>
      <c r="F5338" t="s">
        <v>41</v>
      </c>
      <c r="G5338">
        <v>-252.09020000000001</v>
      </c>
      <c r="H5338">
        <v>0.99953219999999998</v>
      </c>
      <c r="I5338">
        <v>-62.032879999999999</v>
      </c>
      <c r="J5338">
        <v>-252.86609999999999</v>
      </c>
      <c r="K5338">
        <v>1.111022</v>
      </c>
      <c r="L5338">
        <v>-62.051209999999998</v>
      </c>
      <c r="M5338">
        <v>0.99838490000000002</v>
      </c>
      <c r="N5338">
        <v>-1.4415290000000001E-2</v>
      </c>
      <c r="O5338">
        <v>-5.4953599999999901E-2</v>
      </c>
      <c r="P5338">
        <v>0.91369350000000005</v>
      </c>
      <c r="Q5338">
        <v>0.39584819999999998</v>
      </c>
      <c r="R5338">
        <v>9.2023549999999996E-2</v>
      </c>
      <c r="S5338">
        <v>3.454758</v>
      </c>
      <c r="T5338">
        <v>-0.40420709999999999</v>
      </c>
      <c r="U5338">
        <v>3.2135009999999999E-2</v>
      </c>
      <c r="V5338">
        <v>-0.14201759999999999</v>
      </c>
      <c r="W5338">
        <v>0.40891430000000001</v>
      </c>
      <c r="X5338">
        <v>0.90145439999999999</v>
      </c>
      <c r="Y5338">
        <v>-6.3469620000000004E-2</v>
      </c>
      <c r="Z5338">
        <v>9.7750049999999998E-3</v>
      </c>
      <c r="AA5338">
        <v>0.99793589999999999</v>
      </c>
      <c r="AB5338">
        <v>33</v>
      </c>
      <c r="AC5338">
        <v>0.77589999999997805</v>
      </c>
      <c r="AD5338">
        <v>-0.111489799999999</v>
      </c>
      <c r="AE5338">
        <v>1.83299999999917E-2</v>
      </c>
      <c r="AF5338">
        <v>-5.97130107673602E-2</v>
      </c>
      <c r="AG5338">
        <v>-0.111489799999999</v>
      </c>
      <c r="AH5338">
        <v>0.75807655547158403</v>
      </c>
      <c r="AI5338">
        <v>98.341003519241198</v>
      </c>
      <c r="AJ5338">
        <v>94.503837761951601</v>
      </c>
      <c r="AK5338">
        <v>0.76855428117642099</v>
      </c>
      <c r="AL5338">
        <v>65.863348159235798</v>
      </c>
      <c r="AM5338">
        <v>98.952948424567793</v>
      </c>
      <c r="AN5338">
        <v>0.99999996936680402</v>
      </c>
    </row>
    <row r="5339" spans="1:40" x14ac:dyDescent="0.25">
      <c r="A5339" t="str">
        <f>"20190304164753002"</f>
        <v>20190304164753002</v>
      </c>
      <c r="B5339" t="str">
        <f>"1551689272994428"</f>
        <v>1551689272994428</v>
      </c>
      <c r="C5339" t="s">
        <v>40</v>
      </c>
      <c r="D5339">
        <v>4.5092679999999996</v>
      </c>
      <c r="E5339">
        <v>0.551597</v>
      </c>
      <c r="F5339" t="s">
        <v>59</v>
      </c>
      <c r="G5339">
        <v>-243.36019999999999</v>
      </c>
      <c r="H5339" s="1">
        <v>-8.5075109999999898E-7</v>
      </c>
      <c r="I5339">
        <v>-61.970039999999997</v>
      </c>
      <c r="J5339">
        <v>-252.6883</v>
      </c>
      <c r="K5339">
        <v>1.1110279999999999</v>
      </c>
      <c r="L5339">
        <v>-62.061039999999998</v>
      </c>
      <c r="M5339">
        <v>0.99838179999999999</v>
      </c>
      <c r="N5339">
        <v>-1.442013E-2</v>
      </c>
      <c r="O5339">
        <v>-5.5007979999999998E-2</v>
      </c>
      <c r="P5339">
        <v>0.91361820000000005</v>
      </c>
      <c r="Q5339">
        <v>0.39606229999999998</v>
      </c>
      <c r="R5339">
        <v>9.1850089999999995E-2</v>
      </c>
      <c r="S5339">
        <v>3.455368</v>
      </c>
      <c r="T5339">
        <v>-0.4038506</v>
      </c>
      <c r="U5339">
        <v>2.9479979999999999E-2</v>
      </c>
      <c r="V5339">
        <v>-0.14189019999999999</v>
      </c>
      <c r="W5339">
        <v>0.40913179999999999</v>
      </c>
      <c r="X5339">
        <v>0.90137579999999995</v>
      </c>
      <c r="Y5339">
        <v>-6.2762380000000006E-2</v>
      </c>
      <c r="Z5339">
        <v>9.7234890000000001E-3</v>
      </c>
      <c r="AA5339">
        <v>0.99798109999999995</v>
      </c>
      <c r="AB5339">
        <v>33</v>
      </c>
      <c r="AC5339">
        <v>9.3280999999999992</v>
      </c>
      <c r="AD5339">
        <v>-1.1110288507510999</v>
      </c>
      <c r="AE5339">
        <v>9.1000000000000997E-2</v>
      </c>
      <c r="AF5339">
        <v>-0.59558719565857199</v>
      </c>
      <c r="AG5339">
        <v>-1.1110288507510999</v>
      </c>
      <c r="AH5339">
        <v>9.1787683607525903</v>
      </c>
      <c r="AI5339">
        <v>96.887352521037698</v>
      </c>
      <c r="AJ5339">
        <v>93.7125744225185</v>
      </c>
      <c r="AK5339">
        <v>9.2649283772291806</v>
      </c>
      <c r="AL5339">
        <v>65.849692393576007</v>
      </c>
      <c r="AM5339">
        <v>98.945814305578594</v>
      </c>
      <c r="AN5339">
        <v>0.99999999572645903</v>
      </c>
    </row>
    <row r="5340" spans="1:40" x14ac:dyDescent="0.25">
      <c r="A5340" t="str">
        <f>"20190304164753014"</f>
        <v>20190304164753014</v>
      </c>
      <c r="B5340" t="str">
        <f>"1551689273004187"</f>
        <v>1551689273004187</v>
      </c>
      <c r="C5340" t="s">
        <v>40</v>
      </c>
      <c r="D5340">
        <v>4.4764549999999996</v>
      </c>
      <c r="E5340">
        <v>0.55165819999999999</v>
      </c>
      <c r="F5340" t="s">
        <v>41</v>
      </c>
      <c r="G5340">
        <v>-251.7859</v>
      </c>
      <c r="H5340">
        <v>1.0054920000000001</v>
      </c>
      <c r="I5340">
        <v>-62.053939999999997</v>
      </c>
      <c r="J5340">
        <v>-252.5086</v>
      </c>
      <c r="K5340">
        <v>1.1110370000000001</v>
      </c>
      <c r="L5340">
        <v>-62.070979999999999</v>
      </c>
      <c r="M5340">
        <v>0.99837889999999996</v>
      </c>
      <c r="N5340">
        <v>-1.44247E-2</v>
      </c>
      <c r="O5340">
        <v>-5.5061159999999998E-2</v>
      </c>
      <c r="P5340">
        <v>0.91352730000000004</v>
      </c>
      <c r="Q5340">
        <v>0.39624759999999998</v>
      </c>
      <c r="R5340">
        <v>9.1958399999999996E-2</v>
      </c>
      <c r="S5340">
        <v>3.4561000000000002</v>
      </c>
      <c r="T5340">
        <v>-0.40417720000000001</v>
      </c>
      <c r="U5340">
        <v>2.7740480000000001E-2</v>
      </c>
      <c r="V5340">
        <v>-0.14204269999999999</v>
      </c>
      <c r="W5340">
        <v>0.40931899999999999</v>
      </c>
      <c r="X5340">
        <v>0.90126680000000003</v>
      </c>
      <c r="Y5340">
        <v>-6.2313710000000001E-2</v>
      </c>
      <c r="Z5340">
        <v>9.7053729999999998E-3</v>
      </c>
      <c r="AA5340">
        <v>0.99800940000000005</v>
      </c>
      <c r="AB5340">
        <v>33</v>
      </c>
      <c r="AC5340">
        <v>0.72270000000000301</v>
      </c>
      <c r="AD5340">
        <v>-0.105545</v>
      </c>
      <c r="AE5340">
        <v>1.7040000000001498E-2</v>
      </c>
      <c r="AF5340">
        <v>-5.5625240159520903E-2</v>
      </c>
      <c r="AG5340">
        <v>-0.105545</v>
      </c>
      <c r="AH5340">
        <v>0.70562359173852496</v>
      </c>
      <c r="AI5340">
        <v>98.481129334248195</v>
      </c>
      <c r="AJ5340">
        <v>94.507380578758301</v>
      </c>
      <c r="AK5340">
        <v>0.71563857329365699</v>
      </c>
      <c r="AL5340">
        <v>65.837937596611695</v>
      </c>
      <c r="AM5340">
        <v>98.956338799951496</v>
      </c>
      <c r="AN5340">
        <v>1.0000000085832601</v>
      </c>
    </row>
    <row r="5341" spans="1:40" x14ac:dyDescent="0.25">
      <c r="A5341" t="str">
        <f>"20190304164753028"</f>
        <v>20190304164753028</v>
      </c>
      <c r="B5341" t="str">
        <f>"1551689273024216"</f>
        <v>1551689273024216</v>
      </c>
      <c r="C5341" t="s">
        <v>40</v>
      </c>
      <c r="D5341">
        <v>4.464709</v>
      </c>
      <c r="E5341">
        <v>0.55183990000000005</v>
      </c>
      <c r="F5341" t="s">
        <v>41</v>
      </c>
      <c r="G5341">
        <v>-251.50620000000001</v>
      </c>
      <c r="H5341">
        <v>0.99373389999999995</v>
      </c>
      <c r="I5341">
        <v>-62.063429999999997</v>
      </c>
      <c r="J5341">
        <v>-252.30950000000001</v>
      </c>
      <c r="K5341">
        <v>1.1110439999999999</v>
      </c>
      <c r="L5341">
        <v>-62.082000000000001</v>
      </c>
      <c r="M5341">
        <v>0.99837600000000004</v>
      </c>
      <c r="N5341">
        <v>-1.4428899999999901E-2</v>
      </c>
      <c r="O5341">
        <v>-5.5113500000000003E-2</v>
      </c>
      <c r="P5341">
        <v>0.91335060000000001</v>
      </c>
      <c r="Q5341">
        <v>0.39664260000000001</v>
      </c>
      <c r="R5341">
        <v>9.2008679999999995E-2</v>
      </c>
      <c r="S5341">
        <v>3.456696</v>
      </c>
      <c r="T5341">
        <v>-0.40443709999999999</v>
      </c>
      <c r="U5341">
        <v>2.6672359999999999E-2</v>
      </c>
      <c r="V5341">
        <v>-0.14213149999999999</v>
      </c>
      <c r="W5341">
        <v>0.40971479999999999</v>
      </c>
      <c r="X5341">
        <v>0.90107289999999995</v>
      </c>
      <c r="Y5341">
        <v>-6.205724E-2</v>
      </c>
      <c r="Z5341">
        <v>9.6985030000000007E-3</v>
      </c>
      <c r="AA5341">
        <v>0.99802550000000001</v>
      </c>
      <c r="AB5341">
        <v>33</v>
      </c>
      <c r="AC5341">
        <v>0.80330000000000701</v>
      </c>
      <c r="AD5341">
        <v>-0.1173101</v>
      </c>
      <c r="AE5341">
        <v>1.8569999999996801E-2</v>
      </c>
      <c r="AF5341">
        <v>-6.1508009224870701E-2</v>
      </c>
      <c r="AG5341">
        <v>-0.1173101</v>
      </c>
      <c r="AH5341">
        <v>0.78433717642061296</v>
      </c>
      <c r="AI5341">
        <v>98.480782543978293</v>
      </c>
      <c r="AJ5341">
        <v>94.483979292600694</v>
      </c>
      <c r="AK5341">
        <v>0.79544308474979897</v>
      </c>
      <c r="AL5341">
        <v>65.813079134912599</v>
      </c>
      <c r="AM5341">
        <v>98.9637443024871</v>
      </c>
      <c r="AN5341">
        <v>0.99999997587284895</v>
      </c>
    </row>
    <row r="5342" spans="1:40" x14ac:dyDescent="0.25">
      <c r="A5342" t="str">
        <f>"20190304164753045"</f>
        <v>20190304164753045</v>
      </c>
      <c r="B5342" t="str">
        <f>"1551689273034953"</f>
        <v>1551689273034953</v>
      </c>
      <c r="C5342" t="s">
        <v>40</v>
      </c>
      <c r="D5342">
        <v>4.4581379999999999</v>
      </c>
      <c r="E5342">
        <v>0.55188780000000004</v>
      </c>
      <c r="F5342" t="s">
        <v>59</v>
      </c>
      <c r="G5342">
        <v>-242.8142</v>
      </c>
      <c r="H5342" s="1">
        <v>-6.2825790000000005E-7</v>
      </c>
      <c r="I5342">
        <v>-62.014060000000001</v>
      </c>
      <c r="J5342">
        <v>-252.0624</v>
      </c>
      <c r="K5342">
        <v>1.1110500000000001</v>
      </c>
      <c r="L5342">
        <v>-62.095700000000001</v>
      </c>
      <c r="M5342">
        <v>0.9983725</v>
      </c>
      <c r="N5342">
        <v>-1.443345E-2</v>
      </c>
      <c r="O5342">
        <v>-5.5174420000000002E-2</v>
      </c>
      <c r="P5342">
        <v>0.91298469999999998</v>
      </c>
      <c r="Q5342">
        <v>0.39730599999999999</v>
      </c>
      <c r="R5342">
        <v>9.2773770000000005E-2</v>
      </c>
      <c r="S5342">
        <v>3.45784</v>
      </c>
      <c r="T5342">
        <v>-0.40460439999999998</v>
      </c>
      <c r="U5342">
        <v>2.471924E-2</v>
      </c>
      <c r="V5342">
        <v>-0.14293169999999999</v>
      </c>
      <c r="W5342">
        <v>0.41037590000000002</v>
      </c>
      <c r="X5342">
        <v>0.90064539999999904</v>
      </c>
      <c r="Y5342">
        <v>-6.1555310000000002E-2</v>
      </c>
      <c r="Z5342">
        <v>9.6725300000000004E-3</v>
      </c>
      <c r="AA5342">
        <v>0.99805679999999997</v>
      </c>
      <c r="AB5342">
        <v>33</v>
      </c>
      <c r="AC5342">
        <v>9.24819999999999</v>
      </c>
      <c r="AD5342">
        <v>-1.11105062825789</v>
      </c>
      <c r="AE5342">
        <v>8.1640000000000101E-2</v>
      </c>
      <c r="AF5342">
        <v>-0.58341311497962201</v>
      </c>
      <c r="AG5342">
        <v>-1.11105062825789</v>
      </c>
      <c r="AH5342">
        <v>9.0983001409946898</v>
      </c>
      <c r="AI5342">
        <v>96.948146221990399</v>
      </c>
      <c r="AJ5342">
        <v>93.668971807896796</v>
      </c>
      <c r="AK5342">
        <v>9.1844362819340493</v>
      </c>
      <c r="AL5342">
        <v>65.771549391346994</v>
      </c>
      <c r="AM5342">
        <v>99.017591934657403</v>
      </c>
      <c r="AN5342">
        <v>0.99999999335342904</v>
      </c>
    </row>
    <row r="5343" spans="1:40" x14ac:dyDescent="0.25">
      <c r="A5343" t="str">
        <f>"20190304164753058"</f>
        <v>20190304164753058</v>
      </c>
      <c r="B5343" t="str">
        <f>"1551689273054472"</f>
        <v>1551689273054472</v>
      </c>
      <c r="C5343" t="s">
        <v>40</v>
      </c>
      <c r="D5343">
        <v>4.4828320000000001</v>
      </c>
      <c r="E5343">
        <v>0.55197479999999999</v>
      </c>
      <c r="F5343" t="s">
        <v>59</v>
      </c>
      <c r="G5343">
        <v>-242.52510000000001</v>
      </c>
      <c r="H5343" s="1">
        <v>-5.0642980000000003E-7</v>
      </c>
      <c r="I5343">
        <v>-62.022419999999997</v>
      </c>
      <c r="J5343">
        <v>-251.86869999999999</v>
      </c>
      <c r="K5343">
        <v>1.1110549999999999</v>
      </c>
      <c r="L5343">
        <v>-62.106409999999997</v>
      </c>
      <c r="M5343">
        <v>0.99836999999999998</v>
      </c>
      <c r="N5343">
        <v>-1.4436539999999999E-2</v>
      </c>
      <c r="O5343">
        <v>-5.5219129999999998E-2</v>
      </c>
      <c r="P5343">
        <v>0.91283309999999995</v>
      </c>
      <c r="Q5343">
        <v>0.39752330000000002</v>
      </c>
      <c r="R5343">
        <v>9.3333189999999996E-2</v>
      </c>
      <c r="S5343">
        <v>3.4585569999999999</v>
      </c>
      <c r="T5343">
        <v>-0.40290379999999998</v>
      </c>
      <c r="U5343">
        <v>2.6550290000000001E-2</v>
      </c>
      <c r="V5343">
        <v>-0.14352300000000001</v>
      </c>
      <c r="W5343">
        <v>0.41059319999999999</v>
      </c>
      <c r="X5343">
        <v>0.90045229999999998</v>
      </c>
      <c r="Y5343">
        <v>-6.2129110000000001E-2</v>
      </c>
      <c r="Z5343">
        <v>9.6705439999999997E-3</v>
      </c>
      <c r="AA5343">
        <v>0.99802120000000005</v>
      </c>
      <c r="AB5343">
        <v>33</v>
      </c>
      <c r="AC5343">
        <v>9.3435999999999808</v>
      </c>
      <c r="AD5343">
        <v>-1.1110555064298</v>
      </c>
      <c r="AE5343">
        <v>8.3989999999999995E-2</v>
      </c>
      <c r="AF5343">
        <v>-0.59149802184588796</v>
      </c>
      <c r="AG5343">
        <v>-1.1110555064298</v>
      </c>
      <c r="AH5343">
        <v>9.1947021108854905</v>
      </c>
      <c r="AI5343">
        <v>96.875939096869203</v>
      </c>
      <c r="AJ5343">
        <v>93.680783249887497</v>
      </c>
      <c r="AK5343">
        <v>9.2804558700603508</v>
      </c>
      <c r="AL5343">
        <v>65.757895493797704</v>
      </c>
      <c r="AM5343">
        <v>99.056189938608796</v>
      </c>
      <c r="AN5343">
        <v>0.99999998599526496</v>
      </c>
    </row>
    <row r="5344" spans="1:40" x14ac:dyDescent="0.25">
      <c r="A5344" t="str">
        <f>"20190304164753078"</f>
        <v>20190304164753078</v>
      </c>
      <c r="B5344" t="str">
        <f>"1551689273074968"</f>
        <v>1551689273074968</v>
      </c>
      <c r="C5344" t="s">
        <v>40</v>
      </c>
      <c r="D5344">
        <v>4.4757749999999996</v>
      </c>
      <c r="E5344">
        <v>0.55210369999999998</v>
      </c>
      <c r="F5344" t="s">
        <v>41</v>
      </c>
      <c r="G5344">
        <v>-250.9169</v>
      </c>
      <c r="H5344">
        <v>0.9997492</v>
      </c>
      <c r="I5344">
        <v>-62.09883</v>
      </c>
      <c r="J5344">
        <v>-251.57239999999999</v>
      </c>
      <c r="K5344">
        <v>1.1110709999999999</v>
      </c>
      <c r="L5344">
        <v>-62.122860000000003</v>
      </c>
      <c r="M5344">
        <v>0.99836650000000005</v>
      </c>
      <c r="N5344">
        <v>-1.4440420000000001E-2</v>
      </c>
      <c r="O5344">
        <v>-5.5282339999999999E-2</v>
      </c>
      <c r="P5344">
        <v>0.91250010000000004</v>
      </c>
      <c r="Q5344">
        <v>0.39798230000000001</v>
      </c>
      <c r="R5344">
        <v>9.4626189999999999E-2</v>
      </c>
      <c r="S5344">
        <v>3.4597929999999999</v>
      </c>
      <c r="T5344">
        <v>-0.40456999999999999</v>
      </c>
      <c r="U5344">
        <v>2.7984620000000002E-2</v>
      </c>
      <c r="V5344">
        <v>-0.14485300000000001</v>
      </c>
      <c r="W5344">
        <v>0.41104980000000002</v>
      </c>
      <c r="X5344">
        <v>0.90003099999999903</v>
      </c>
      <c r="Y5344">
        <v>-6.2593560000000006E-2</v>
      </c>
      <c r="Z5344">
        <v>9.7449370000000004E-3</v>
      </c>
      <c r="AA5344">
        <v>0.99799150000000003</v>
      </c>
      <c r="AB5344">
        <v>33</v>
      </c>
      <c r="AC5344">
        <v>0.65549999999998898</v>
      </c>
      <c r="AD5344">
        <v>-0.111321799999999</v>
      </c>
      <c r="AE5344">
        <v>2.4029999999989098E-2</v>
      </c>
      <c r="AF5344">
        <v>-5.8548249238544299E-2</v>
      </c>
      <c r="AG5344">
        <v>-0.111321799999999</v>
      </c>
      <c r="AH5344">
        <v>0.63488253076674805</v>
      </c>
      <c r="AI5344">
        <v>99.904089758895196</v>
      </c>
      <c r="AJ5344">
        <v>95.268858688596296</v>
      </c>
      <c r="AK5344">
        <v>0.64722196232585405</v>
      </c>
      <c r="AL5344">
        <v>65.729203016006494</v>
      </c>
      <c r="AM5344">
        <v>99.142907667696207</v>
      </c>
      <c r="AN5344">
        <v>1.0000000653250101</v>
      </c>
    </row>
    <row r="5345" spans="1:40" x14ac:dyDescent="0.25">
      <c r="A5345" t="str">
        <f>"20190304164753091"</f>
        <v>20190304164753091</v>
      </c>
      <c r="B5345" t="str">
        <f>"1551689273084728"</f>
        <v>1551689273084728</v>
      </c>
      <c r="C5345" t="s">
        <v>40</v>
      </c>
      <c r="D5345">
        <v>4.5075859999999999</v>
      </c>
      <c r="E5345">
        <v>0.55211759999999999</v>
      </c>
      <c r="F5345" t="s">
        <v>41</v>
      </c>
      <c r="G5345">
        <v>-250.62389999999999</v>
      </c>
      <c r="H5345">
        <v>1.0001370000000001</v>
      </c>
      <c r="I5345">
        <v>-62.114629999999998</v>
      </c>
      <c r="J5345">
        <v>-251.38380000000001</v>
      </c>
      <c r="K5345">
        <v>1.1110770000000001</v>
      </c>
      <c r="L5345">
        <v>-62.133360000000003</v>
      </c>
      <c r="M5345">
        <v>0.99836420000000003</v>
      </c>
      <c r="N5345">
        <v>-1.4442399999999999E-2</v>
      </c>
      <c r="O5345">
        <v>-5.5320609999999999E-2</v>
      </c>
      <c r="P5345">
        <v>0.91217340000000002</v>
      </c>
      <c r="Q5345">
        <v>0.39851710000000001</v>
      </c>
      <c r="R5345">
        <v>9.5518049999999993E-2</v>
      </c>
      <c r="S5345">
        <v>3.4609830000000001</v>
      </c>
      <c r="T5345">
        <v>-0.4047308</v>
      </c>
      <c r="U5345">
        <v>3.1188960000000002E-2</v>
      </c>
      <c r="V5345">
        <v>-0.14576</v>
      </c>
      <c r="W5345">
        <v>0.41158129999999998</v>
      </c>
      <c r="X5345">
        <v>0.89964149999999998</v>
      </c>
      <c r="Y5345">
        <v>-6.3545379999999999E-2</v>
      </c>
      <c r="Z5345">
        <v>9.8117029999999997E-3</v>
      </c>
      <c r="AA5345">
        <v>0.99793069999999895</v>
      </c>
      <c r="AB5345">
        <v>33</v>
      </c>
      <c r="AC5345">
        <v>0.75990000000001501</v>
      </c>
      <c r="AD5345">
        <v>-0.11094</v>
      </c>
      <c r="AE5345">
        <v>1.8729999999990799E-2</v>
      </c>
      <c r="AF5345">
        <v>-5.9476910790233997E-2</v>
      </c>
      <c r="AG5345">
        <v>-0.11094</v>
      </c>
      <c r="AH5345">
        <v>0.74189668585292401</v>
      </c>
      <c r="AI5345">
        <v>98.4779405831422</v>
      </c>
      <c r="AJ5345">
        <v>94.583526838795095</v>
      </c>
      <c r="AK5345">
        <v>0.75249975348613996</v>
      </c>
      <c r="AL5345">
        <v>65.695791275047995</v>
      </c>
      <c r="AM5345">
        <v>99.203094999122399</v>
      </c>
      <c r="AN5345">
        <v>0.99999998631596998</v>
      </c>
    </row>
    <row r="5346" spans="1:40" x14ac:dyDescent="0.25">
      <c r="A5346" t="str">
        <f>"20190304164753105"</f>
        <v>20190304164753105</v>
      </c>
      <c r="B5346" t="str">
        <f>"1551689273094488"</f>
        <v>1551689273094488</v>
      </c>
      <c r="C5346" t="s">
        <v>40</v>
      </c>
      <c r="D5346">
        <v>4.498875</v>
      </c>
      <c r="E5346">
        <v>0.55213159999999994</v>
      </c>
      <c r="F5346" t="s">
        <v>59</v>
      </c>
      <c r="G5346">
        <v>-241.86170000000001</v>
      </c>
      <c r="H5346" s="1">
        <v>-2.262545E-7</v>
      </c>
      <c r="I5346">
        <v>-62.039029999999997</v>
      </c>
      <c r="J5346">
        <v>-251.19890000000001</v>
      </c>
      <c r="K5346">
        <v>1.1110819999999999</v>
      </c>
      <c r="L5346">
        <v>-62.143619999999999</v>
      </c>
      <c r="M5346">
        <v>0.99836219999999998</v>
      </c>
      <c r="N5346">
        <v>-1.4443900000000001E-2</v>
      </c>
      <c r="O5346">
        <v>-5.5358049999999999E-2</v>
      </c>
      <c r="P5346">
        <v>0.91184909999999997</v>
      </c>
      <c r="Q5346">
        <v>0.39905269999999998</v>
      </c>
      <c r="R5346">
        <v>9.6375779999999994E-2</v>
      </c>
      <c r="S5346">
        <v>3.4617309999999999</v>
      </c>
      <c r="T5346">
        <v>-0.40392889999999998</v>
      </c>
      <c r="U5346">
        <v>3.4271240000000001E-2</v>
      </c>
      <c r="V5346">
        <v>-0.14663289999999901</v>
      </c>
      <c r="W5346">
        <v>0.4121127</v>
      </c>
      <c r="X5346">
        <v>0.89925630000000001</v>
      </c>
      <c r="Y5346">
        <v>-6.4465519999999998E-2</v>
      </c>
      <c r="Z5346">
        <v>9.8534920000000002E-3</v>
      </c>
      <c r="AA5346">
        <v>0.99787130000000002</v>
      </c>
      <c r="AB5346">
        <v>33</v>
      </c>
      <c r="AC5346">
        <v>9.3371999999999904</v>
      </c>
      <c r="AD5346">
        <v>-1.1110822262544999</v>
      </c>
      <c r="AE5346">
        <v>0.10458999999999399</v>
      </c>
      <c r="AF5346">
        <v>-0.61269800663672203</v>
      </c>
      <c r="AG5346">
        <v>-1.1110822262544999</v>
      </c>
      <c r="AH5346">
        <v>9.1870179416906108</v>
      </c>
      <c r="AI5346">
        <v>96.880749217185496</v>
      </c>
      <c r="AJ5346">
        <v>93.815503796726802</v>
      </c>
      <c r="AK5346">
        <v>9.2742224052359497</v>
      </c>
      <c r="AL5346">
        <v>65.662379132365402</v>
      </c>
      <c r="AM5346">
        <v>99.261154051545006</v>
      </c>
      <c r="AN5346">
        <v>0.99999998897669495</v>
      </c>
    </row>
    <row r="5347" spans="1:40" x14ac:dyDescent="0.25">
      <c r="A5347" t="str">
        <f>"20190304164753119"</f>
        <v>20190304164753119</v>
      </c>
      <c r="B5347" t="str">
        <f>"1551689273114985"</f>
        <v>1551689273114985</v>
      </c>
      <c r="C5347" t="s">
        <v>40</v>
      </c>
      <c r="D5347">
        <v>4.7683650000000002</v>
      </c>
      <c r="E5347">
        <v>0.55218049999999996</v>
      </c>
      <c r="F5347" t="s">
        <v>59</v>
      </c>
      <c r="G5347">
        <v>-241.65170000000001</v>
      </c>
      <c r="H5347" s="1">
        <v>-1.37191899999999E-7</v>
      </c>
      <c r="I5347">
        <v>-62.042909999999999</v>
      </c>
      <c r="J5347">
        <v>-250.97919999999999</v>
      </c>
      <c r="K5347">
        <v>1.1110819999999999</v>
      </c>
      <c r="L5347">
        <v>-62.155850000000001</v>
      </c>
      <c r="M5347">
        <v>0.99835969999999996</v>
      </c>
      <c r="N5347">
        <v>-1.4445380000000001E-2</v>
      </c>
      <c r="O5347">
        <v>-5.5401199999999998E-2</v>
      </c>
      <c r="P5347">
        <v>0.91169730000000004</v>
      </c>
      <c r="Q5347">
        <v>0.39922079999999999</v>
      </c>
      <c r="R5347">
        <v>9.7114359999999997E-2</v>
      </c>
      <c r="S5347">
        <v>3.4625089999999998</v>
      </c>
      <c r="T5347">
        <v>-0.40295570000000003</v>
      </c>
      <c r="U5347">
        <v>3.649902E-2</v>
      </c>
      <c r="V5347">
        <v>-0.147401</v>
      </c>
      <c r="W5347">
        <v>0.41227920000000001</v>
      </c>
      <c r="X5347">
        <v>0.89905440000000003</v>
      </c>
      <c r="Y5347">
        <v>-6.5147179999999999E-2</v>
      </c>
      <c r="Z5347">
        <v>9.8756520000000004E-3</v>
      </c>
      <c r="AA5347">
        <v>0.99782680000000001</v>
      </c>
      <c r="AB5347">
        <v>33</v>
      </c>
      <c r="AC5347">
        <v>9.3274999999999793</v>
      </c>
      <c r="AD5347">
        <v>-1.1110821371919</v>
      </c>
      <c r="AE5347">
        <v>0.112940000000001</v>
      </c>
      <c r="AF5347">
        <v>-0.62076811979099</v>
      </c>
      <c r="AG5347">
        <v>-1.1110821371919</v>
      </c>
      <c r="AH5347">
        <v>9.1767215083790799</v>
      </c>
      <c r="AI5347">
        <v>96.887959553468406</v>
      </c>
      <c r="AJ5347">
        <v>93.869932188059707</v>
      </c>
      <c r="AK5347">
        <v>9.2645601199669994</v>
      </c>
      <c r="AL5347">
        <v>65.651908881034103</v>
      </c>
      <c r="AM5347">
        <v>99.310873123409706</v>
      </c>
      <c r="AN5347">
        <v>1.0000000038565</v>
      </c>
    </row>
    <row r="5348" spans="1:40" x14ac:dyDescent="0.25">
      <c r="A5348" t="str">
        <f>"20190304164753135"</f>
        <v>20190304164753135</v>
      </c>
      <c r="B5348" t="str">
        <f>"1551689273124744"</f>
        <v>1551689273124744</v>
      </c>
      <c r="C5348" t="s">
        <v>40</v>
      </c>
      <c r="D5348">
        <v>4.5252089999999896</v>
      </c>
      <c r="E5348">
        <v>0.55218849999999997</v>
      </c>
      <c r="F5348" t="s">
        <v>41</v>
      </c>
      <c r="G5348">
        <v>-250.02940000000001</v>
      </c>
      <c r="H5348">
        <v>1.000729</v>
      </c>
      <c r="I5348">
        <v>-62.145519999999998</v>
      </c>
      <c r="J5348">
        <v>-250.75530000000001</v>
      </c>
      <c r="K5348">
        <v>1.1110850000000001</v>
      </c>
      <c r="L5348">
        <v>-62.168300000000002</v>
      </c>
      <c r="M5348">
        <v>0.99835750000000001</v>
      </c>
      <c r="N5348">
        <v>-1.4446519999999999E-2</v>
      </c>
      <c r="O5348">
        <v>-5.5443020000000003E-2</v>
      </c>
      <c r="P5348">
        <v>0.91142330000000005</v>
      </c>
      <c r="Q5348">
        <v>0.399424</v>
      </c>
      <c r="R5348">
        <v>9.8835010000000001E-2</v>
      </c>
      <c r="S5348">
        <v>3.4626619999999999</v>
      </c>
      <c r="T5348">
        <v>-0.40233760000000002</v>
      </c>
      <c r="U5348">
        <v>3.8391109999999999E-2</v>
      </c>
      <c r="V5348">
        <v>-0.14914369999999999</v>
      </c>
      <c r="W5348">
        <v>0.4124776</v>
      </c>
      <c r="X5348">
        <v>0.89867589999999997</v>
      </c>
      <c r="Y5348">
        <v>-6.5731529999999996E-2</v>
      </c>
      <c r="Z5348">
        <v>9.9019309999999992E-3</v>
      </c>
      <c r="AA5348">
        <v>0.99778820000000001</v>
      </c>
      <c r="AB5348">
        <v>33</v>
      </c>
      <c r="AC5348">
        <v>0.72589999999999499</v>
      </c>
      <c r="AD5348">
        <v>-0.110356</v>
      </c>
      <c r="AE5348">
        <v>2.2780000000004401E-2</v>
      </c>
      <c r="AF5348">
        <v>-6.1573545448955803E-2</v>
      </c>
      <c r="AG5348">
        <v>-0.110356</v>
      </c>
      <c r="AH5348">
        <v>0.70719154278373297</v>
      </c>
      <c r="AI5348">
        <v>98.836474716270502</v>
      </c>
      <c r="AJ5348">
        <v>94.976063257857007</v>
      </c>
      <c r="AK5348">
        <v>0.71839378228099304</v>
      </c>
      <c r="AL5348">
        <v>65.639430758525407</v>
      </c>
      <c r="AM5348">
        <v>99.422888707101905</v>
      </c>
      <c r="AN5348">
        <v>0.99999999349613</v>
      </c>
    </row>
    <row r="5349" spans="1:40" x14ac:dyDescent="0.25">
      <c r="A5349" t="str">
        <f>"20190304164753148"</f>
        <v>20190304164753148</v>
      </c>
      <c r="B5349" t="str">
        <f>"1551689273144264"</f>
        <v>1551689273144264</v>
      </c>
      <c r="C5349" t="s">
        <v>40</v>
      </c>
      <c r="D5349">
        <v>4.7636699999999896</v>
      </c>
      <c r="E5349">
        <v>0.55223440000000001</v>
      </c>
      <c r="F5349" t="s">
        <v>41</v>
      </c>
      <c r="G5349">
        <v>-249.74250000000001</v>
      </c>
      <c r="H5349">
        <v>0.99399459999999995</v>
      </c>
      <c r="I5349">
        <v>-62.15569</v>
      </c>
      <c r="J5349">
        <v>-250.55760000000001</v>
      </c>
      <c r="K5349">
        <v>1.1110869999999999</v>
      </c>
      <c r="L5349">
        <v>-62.179319999999997</v>
      </c>
      <c r="M5349">
        <v>0.99835560000000001</v>
      </c>
      <c r="N5349">
        <v>-1.44472E-2</v>
      </c>
      <c r="O5349">
        <v>-5.5475499999999997E-2</v>
      </c>
      <c r="P5349">
        <v>0.91123900000000002</v>
      </c>
      <c r="Q5349">
        <v>0.39957480000000001</v>
      </c>
      <c r="R5349">
        <v>9.99197E-2</v>
      </c>
      <c r="S5349">
        <v>3.46225</v>
      </c>
      <c r="T5349">
        <v>-0.40024219999999999</v>
      </c>
      <c r="U5349">
        <v>4.3518069999999999E-2</v>
      </c>
      <c r="V5349">
        <v>-0.15024989999999999</v>
      </c>
      <c r="W5349">
        <v>0.41262399999999999</v>
      </c>
      <c r="X5349">
        <v>0.89842440000000001</v>
      </c>
      <c r="Y5349">
        <v>-6.7239149999999998E-2</v>
      </c>
      <c r="Z5349">
        <v>9.9512279999999995E-3</v>
      </c>
      <c r="AA5349">
        <v>0.99768730000000005</v>
      </c>
      <c r="AB5349">
        <v>33</v>
      </c>
      <c r="AC5349">
        <v>0.81510000000000105</v>
      </c>
      <c r="AD5349">
        <v>-0.1170924</v>
      </c>
      <c r="AE5349">
        <v>2.3629999999997101E-2</v>
      </c>
      <c r="AF5349">
        <v>-6.7426130018802197E-2</v>
      </c>
      <c r="AG5349">
        <v>-0.1170924</v>
      </c>
      <c r="AH5349">
        <v>0.79611821889280299</v>
      </c>
      <c r="AI5349">
        <v>98.337599148143099</v>
      </c>
      <c r="AJ5349">
        <v>94.841033830158494</v>
      </c>
      <c r="AK5349">
        <v>0.80750302265695695</v>
      </c>
      <c r="AL5349">
        <v>65.630222694149793</v>
      </c>
      <c r="AM5349">
        <v>99.4941198945629</v>
      </c>
      <c r="AN5349">
        <v>1.0000000001706799</v>
      </c>
    </row>
    <row r="5350" spans="1:40" x14ac:dyDescent="0.25">
      <c r="A5350" t="str">
        <f>"20190304164753161"</f>
        <v>20190304164753161</v>
      </c>
      <c r="B5350" t="str">
        <f>"1551689273155000"</f>
        <v>1551689273155000</v>
      </c>
      <c r="C5350" t="s">
        <v>40</v>
      </c>
      <c r="D5350">
        <v>4.4550769999999904</v>
      </c>
      <c r="E5350">
        <v>0.55230179999999995</v>
      </c>
      <c r="F5350" t="s">
        <v>59</v>
      </c>
      <c r="G5350">
        <v>-240.88740000000001</v>
      </c>
      <c r="H5350" s="1">
        <v>1.89197E-7</v>
      </c>
      <c r="I5350">
        <v>-62.048389999999998</v>
      </c>
      <c r="J5350">
        <v>-250.3717</v>
      </c>
      <c r="K5350">
        <v>1.111097</v>
      </c>
      <c r="L5350">
        <v>-62.189700000000002</v>
      </c>
      <c r="M5350">
        <v>0.99835410000000002</v>
      </c>
      <c r="N5350">
        <v>-1.4447730000000001E-2</v>
      </c>
      <c r="O5350">
        <v>-5.550248E-2</v>
      </c>
      <c r="P5350">
        <v>0.91115740000000001</v>
      </c>
      <c r="Q5350">
        <v>0.39958569999999999</v>
      </c>
      <c r="R5350">
        <v>0.1006165</v>
      </c>
      <c r="S5350">
        <v>3.461487</v>
      </c>
      <c r="T5350">
        <v>-0.39771840000000003</v>
      </c>
      <c r="U5350">
        <v>4.6844480000000001E-2</v>
      </c>
      <c r="V5350">
        <v>-0.15096979999999999</v>
      </c>
      <c r="W5350">
        <v>0.41263230000000001</v>
      </c>
      <c r="X5350">
        <v>0.89829989999999904</v>
      </c>
      <c r="Y5350">
        <v>-6.8229629999999999E-2</v>
      </c>
      <c r="Z5350">
        <v>9.9556929999999998E-3</v>
      </c>
      <c r="AA5350">
        <v>0.99761999999999995</v>
      </c>
      <c r="AB5350">
        <v>33</v>
      </c>
      <c r="AC5350">
        <v>9.4842999999999904</v>
      </c>
      <c r="AD5350">
        <v>-1.1110968108029999</v>
      </c>
      <c r="AE5350">
        <v>0.14130999999999699</v>
      </c>
      <c r="AF5350">
        <v>-0.65851351222210397</v>
      </c>
      <c r="AG5350">
        <v>-1.1110968108029999</v>
      </c>
      <c r="AH5350">
        <v>9.33376168418825</v>
      </c>
      <c r="AI5350">
        <v>96.771903427417897</v>
      </c>
      <c r="AJ5350">
        <v>94.035632306160807</v>
      </c>
      <c r="AK5350">
        <v>9.4227004274770607</v>
      </c>
      <c r="AL5350">
        <v>65.629700693910394</v>
      </c>
      <c r="AM5350">
        <v>99.540073321019605</v>
      </c>
      <c r="AN5350">
        <v>1.0000000029276599</v>
      </c>
    </row>
    <row r="5351" spans="1:40" x14ac:dyDescent="0.25">
      <c r="A5351" t="str">
        <f>"20190304164753176"</f>
        <v>20190304164753176</v>
      </c>
      <c r="B5351" t="str">
        <f>"1551689273164760"</f>
        <v>1551689273164760</v>
      </c>
      <c r="C5351" t="s">
        <v>40</v>
      </c>
      <c r="D5351">
        <v>4.4555129999999998</v>
      </c>
      <c r="E5351">
        <v>0.55235339999999999</v>
      </c>
      <c r="F5351" t="s">
        <v>59</v>
      </c>
      <c r="G5351">
        <v>-240.6611</v>
      </c>
      <c r="H5351" s="1">
        <v>2.848421E-7</v>
      </c>
      <c r="I5351">
        <v>-62.053829999999998</v>
      </c>
      <c r="J5351">
        <v>-250.15280000000001</v>
      </c>
      <c r="K5351">
        <v>1.11111</v>
      </c>
      <c r="L5351">
        <v>-62.201900000000002</v>
      </c>
      <c r="M5351">
        <v>0.99835260000000003</v>
      </c>
      <c r="N5351">
        <v>-1.444819E-2</v>
      </c>
      <c r="O5351">
        <v>-5.5529420000000003E-2</v>
      </c>
      <c r="P5351">
        <v>0.91091509999999998</v>
      </c>
      <c r="Q5351">
        <v>0.39997450000000001</v>
      </c>
      <c r="R5351">
        <v>0.1012643</v>
      </c>
      <c r="S5351">
        <v>3.4607999999999999</v>
      </c>
      <c r="T5351">
        <v>-0.39598749999999999</v>
      </c>
      <c r="U5351">
        <v>4.840088E-2</v>
      </c>
      <c r="V5351">
        <v>-0.15163479999999999</v>
      </c>
      <c r="W5351">
        <v>0.41301450000000001</v>
      </c>
      <c r="X5351">
        <v>0.89801219999999904</v>
      </c>
      <c r="Y5351">
        <v>-6.8710709999999994E-2</v>
      </c>
      <c r="Z5351">
        <v>9.9468939999999995E-3</v>
      </c>
      <c r="AA5351">
        <v>0.997587</v>
      </c>
      <c r="AB5351">
        <v>33</v>
      </c>
      <c r="AC5351">
        <v>9.4916999999999998</v>
      </c>
      <c r="AD5351">
        <v>-1.1111097151578999</v>
      </c>
      <c r="AE5351">
        <v>0.14806999999999701</v>
      </c>
      <c r="AF5351">
        <v>-0.66584301580379801</v>
      </c>
      <c r="AG5351">
        <v>-1.1111097151578999</v>
      </c>
      <c r="AH5351">
        <v>9.3408589766387102</v>
      </c>
      <c r="AI5351">
        <v>96.766537820237005</v>
      </c>
      <c r="AJ5351">
        <v>94.077309648567095</v>
      </c>
      <c r="AK5351">
        <v>9.4302469820395007</v>
      </c>
      <c r="AL5351">
        <v>65.605657834437906</v>
      </c>
      <c r="AM5351">
        <v>99.584331232863406</v>
      </c>
      <c r="AN5351">
        <v>1.00000000056506</v>
      </c>
    </row>
    <row r="5352" spans="1:40" x14ac:dyDescent="0.25">
      <c r="A5352" t="str">
        <f>"20190304164753190"</f>
        <v>20190304164753190</v>
      </c>
      <c r="B5352" t="str">
        <f>"1551689273184280"</f>
        <v>1551689273184280</v>
      </c>
      <c r="C5352" t="s">
        <v>40</v>
      </c>
      <c r="D5352">
        <v>4.5324770000000001</v>
      </c>
      <c r="E5352">
        <v>0.55239930000000004</v>
      </c>
      <c r="F5352" t="s">
        <v>59</v>
      </c>
      <c r="G5352">
        <v>-240.37370000000001</v>
      </c>
      <c r="H5352" s="1">
        <v>4.069585E-7</v>
      </c>
      <c r="I5352">
        <v>-62.058329999999998</v>
      </c>
      <c r="J5352">
        <v>-249.9427</v>
      </c>
      <c r="K5352">
        <v>1.1111340000000001</v>
      </c>
      <c r="L5352">
        <v>-62.213619999999999</v>
      </c>
      <c r="M5352">
        <v>0.99835160000000001</v>
      </c>
      <c r="N5352">
        <v>-1.444836E-2</v>
      </c>
      <c r="O5352">
        <v>-5.5548460000000001E-2</v>
      </c>
      <c r="P5352">
        <v>0.91012669999999996</v>
      </c>
      <c r="Q5352">
        <v>0.40157470000000001</v>
      </c>
      <c r="R5352">
        <v>0.10201590000000001</v>
      </c>
      <c r="S5352">
        <v>3.460388</v>
      </c>
      <c r="T5352">
        <v>-0.39317269999999999</v>
      </c>
      <c r="U5352">
        <v>5.078125E-2</v>
      </c>
      <c r="V5352">
        <v>-0.15236659999999999</v>
      </c>
      <c r="W5352">
        <v>0.41459980000000002</v>
      </c>
      <c r="X5352">
        <v>0.89715739999999999</v>
      </c>
      <c r="Y5352">
        <v>-6.9423230000000002E-2</v>
      </c>
      <c r="Z5352">
        <v>9.9230350000000002E-3</v>
      </c>
      <c r="AA5352">
        <v>0.99753800000000004</v>
      </c>
      <c r="AB5352">
        <v>33</v>
      </c>
      <c r="AC5352">
        <v>9.5689999999999795</v>
      </c>
      <c r="AD5352">
        <v>-1.1111335930415001</v>
      </c>
      <c r="AE5352">
        <v>0.15528999999999299</v>
      </c>
      <c r="AF5352">
        <v>-0.67751598943422298</v>
      </c>
      <c r="AG5352">
        <v>-1.1111335930415001</v>
      </c>
      <c r="AH5352">
        <v>9.4186335137480999</v>
      </c>
      <c r="AI5352">
        <v>96.711009384914504</v>
      </c>
      <c r="AJ5352">
        <v>94.114403497244993</v>
      </c>
      <c r="AK5352">
        <v>9.5081177445287892</v>
      </c>
      <c r="AL5352">
        <v>65.505883164199304</v>
      </c>
      <c r="AM5352">
        <v>99.638724771198198</v>
      </c>
      <c r="AN5352">
        <v>0.99999998766517995</v>
      </c>
    </row>
    <row r="5353" spans="1:40" x14ac:dyDescent="0.25">
      <c r="A5353" t="str">
        <f>"20190304164753213"</f>
        <v>20190304164753213</v>
      </c>
      <c r="B5353" t="str">
        <f>"1551689273204776"</f>
        <v>1551689273204776</v>
      </c>
      <c r="C5353" t="s">
        <v>40</v>
      </c>
      <c r="D5353">
        <v>4.5546899999999999</v>
      </c>
      <c r="E5353">
        <v>0.55244059999999995</v>
      </c>
      <c r="F5353" t="s">
        <v>59</v>
      </c>
      <c r="G5353">
        <v>-240.06540000000001</v>
      </c>
      <c r="H5353" s="1">
        <v>5.3909609999999999E-7</v>
      </c>
      <c r="I5353">
        <v>-62.058750000000003</v>
      </c>
      <c r="J5353">
        <v>-249.61070000000001</v>
      </c>
      <c r="K5353">
        <v>1.1111530000000001</v>
      </c>
      <c r="L5353">
        <v>-62.232120000000002</v>
      </c>
      <c r="M5353">
        <v>0.99835079999999998</v>
      </c>
      <c r="N5353">
        <v>-1.4448249999999999E-2</v>
      </c>
      <c r="O5353">
        <v>-5.5562010000000002E-2</v>
      </c>
      <c r="P5353">
        <v>0.90949579999999997</v>
      </c>
      <c r="Q5353">
        <v>0.40295819999999999</v>
      </c>
      <c r="R5353">
        <v>0.10218670000000001</v>
      </c>
      <c r="S5353">
        <v>3.462021</v>
      </c>
      <c r="T5353">
        <v>-0.38945410000000003</v>
      </c>
      <c r="U5353">
        <v>5.4260250000000003E-2</v>
      </c>
      <c r="V5353">
        <v>-0.1525301</v>
      </c>
      <c r="W5353">
        <v>0.4159679</v>
      </c>
      <c r="X5353">
        <v>0.89649609999999902</v>
      </c>
      <c r="Y5353">
        <v>-7.0440230000000006E-2</v>
      </c>
      <c r="Z5353">
        <v>9.8878569999999999E-3</v>
      </c>
      <c r="AA5353">
        <v>0.99746699999999999</v>
      </c>
      <c r="AB5353">
        <v>33</v>
      </c>
      <c r="AC5353">
        <v>9.5452999999999903</v>
      </c>
      <c r="AD5353">
        <v>-1.1111524609039001</v>
      </c>
      <c r="AE5353">
        <v>0.173369999999991</v>
      </c>
      <c r="AF5353">
        <v>-0.69411076879748501</v>
      </c>
      <c r="AG5353">
        <v>-1.1111524609039001</v>
      </c>
      <c r="AH5353">
        <v>9.3936672518140707</v>
      </c>
      <c r="AI5353">
        <v>96.727849020533</v>
      </c>
      <c r="AJ5353">
        <v>94.2259825576879</v>
      </c>
      <c r="AK5353">
        <v>9.4845892893966397</v>
      </c>
      <c r="AL5353">
        <v>65.419715216109907</v>
      </c>
      <c r="AM5353">
        <v>99.655856985954699</v>
      </c>
      <c r="AN5353">
        <v>0.99999999127581496</v>
      </c>
    </row>
    <row r="5354" spans="1:40" x14ac:dyDescent="0.25">
      <c r="A5354" t="str">
        <f>"20190304164753227"</f>
        <v>20190304164753227</v>
      </c>
      <c r="B5354" t="str">
        <f>"1551689273224296"</f>
        <v>1551689273224296</v>
      </c>
      <c r="C5354" t="s">
        <v>40</v>
      </c>
      <c r="D5354">
        <v>4.641775</v>
      </c>
      <c r="E5354">
        <v>0.5524443</v>
      </c>
      <c r="F5354" t="s">
        <v>60</v>
      </c>
      <c r="G5354">
        <v>-239.6679</v>
      </c>
      <c r="H5354" s="1">
        <v>-3.4633170000000002E-6</v>
      </c>
      <c r="I5354">
        <v>-62.070509999999999</v>
      </c>
      <c r="J5354">
        <v>-249.40969999999999</v>
      </c>
      <c r="K5354">
        <v>1.1111770000000001</v>
      </c>
      <c r="L5354">
        <v>-62.243290000000002</v>
      </c>
      <c r="M5354">
        <v>0.99835220000000002</v>
      </c>
      <c r="N5354">
        <v>-1.444791E-2</v>
      </c>
      <c r="O5354">
        <v>-5.553748E-2</v>
      </c>
      <c r="P5354">
        <v>0.90926870000000004</v>
      </c>
      <c r="Q5354">
        <v>0.40351160000000003</v>
      </c>
      <c r="R5354">
        <v>0.1020249</v>
      </c>
      <c r="S5354">
        <v>3.4636689999999999</v>
      </c>
      <c r="T5354">
        <v>-0.3870808</v>
      </c>
      <c r="U5354">
        <v>5.6274409999999997E-2</v>
      </c>
      <c r="V5354">
        <v>-0.15235290000000001</v>
      </c>
      <c r="W5354">
        <v>0.41651110000000002</v>
      </c>
      <c r="X5354">
        <v>0.89627400000000002</v>
      </c>
      <c r="Y5354">
        <v>-7.099453E-2</v>
      </c>
      <c r="Z5354">
        <v>9.8538940000000002E-3</v>
      </c>
      <c r="AA5354">
        <v>0.99742810000000004</v>
      </c>
      <c r="AB5354">
        <v>33</v>
      </c>
      <c r="AC5354">
        <v>9.74179999999998</v>
      </c>
      <c r="AD5354">
        <v>-1.1111804633169999</v>
      </c>
      <c r="AE5354">
        <v>0.17278000000000299</v>
      </c>
      <c r="AF5354">
        <v>-0.70444250400591102</v>
      </c>
      <c r="AG5354">
        <v>-1.1111804633169999</v>
      </c>
      <c r="AH5354">
        <v>9.5924028436914703</v>
      </c>
      <c r="AI5354">
        <v>96.590081827719104</v>
      </c>
      <c r="AJ5354">
        <v>94.200121625309905</v>
      </c>
      <c r="AK5354">
        <v>9.6822080941884199</v>
      </c>
      <c r="AL5354">
        <v>65.3854860601067</v>
      </c>
      <c r="AM5354">
        <v>99.647195361241799</v>
      </c>
      <c r="AN5354">
        <v>0.99999999281881002</v>
      </c>
    </row>
    <row r="5355" spans="1:40" x14ac:dyDescent="0.25">
      <c r="A5355" t="str">
        <f>"20190304164753240"</f>
        <v>20190304164753240</v>
      </c>
      <c r="B5355" t="str">
        <f>"1551689273235032"</f>
        <v>1551689273235032</v>
      </c>
      <c r="C5355" t="s">
        <v>40</v>
      </c>
      <c r="D5355">
        <v>4.6051599999999997</v>
      </c>
      <c r="E5355">
        <v>0.55244510000000002</v>
      </c>
      <c r="F5355" t="s">
        <v>60</v>
      </c>
      <c r="G5355">
        <v>-239.47550000000001</v>
      </c>
      <c r="H5355" s="1">
        <v>-3.3995919999999998E-6</v>
      </c>
      <c r="I5355">
        <v>-62.080390000000001</v>
      </c>
      <c r="J5355">
        <v>-249.2148</v>
      </c>
      <c r="K5355">
        <v>1.111205</v>
      </c>
      <c r="L5355">
        <v>-62.254119999999901</v>
      </c>
      <c r="M5355">
        <v>0.99835499999999999</v>
      </c>
      <c r="N5355">
        <v>-1.444748E-2</v>
      </c>
      <c r="O5355">
        <v>-5.5488019999999999E-2</v>
      </c>
      <c r="P5355">
        <v>0.90913080000000002</v>
      </c>
      <c r="Q5355">
        <v>0.40393659999999998</v>
      </c>
      <c r="R5355">
        <v>0.1015713</v>
      </c>
      <c r="S5355">
        <v>3.464966</v>
      </c>
      <c r="T5355">
        <v>-0.38757069999999999</v>
      </c>
      <c r="U5355">
        <v>5.6793209999999997E-2</v>
      </c>
      <c r="V5355">
        <v>-0.15187419999999999</v>
      </c>
      <c r="W5355">
        <v>0.41692430000000003</v>
      </c>
      <c r="X5355">
        <v>0.89616319999999905</v>
      </c>
      <c r="Y5355">
        <v>-7.1086579999999996E-2</v>
      </c>
      <c r="Z5355">
        <v>9.863887E-3</v>
      </c>
      <c r="AA5355">
        <v>0.99742140000000001</v>
      </c>
      <c r="AB5355">
        <v>33</v>
      </c>
      <c r="AC5355">
        <v>9.7392999999999805</v>
      </c>
      <c r="AD5355">
        <v>-1.1112083995919999</v>
      </c>
      <c r="AE5355">
        <v>0.173729999999991</v>
      </c>
      <c r="AF5355">
        <v>-0.70476158984770698</v>
      </c>
      <c r="AG5355">
        <v>-1.1112083995919999</v>
      </c>
      <c r="AH5355">
        <v>9.5898526253878593</v>
      </c>
      <c r="AI5355">
        <v>96.591957956303403</v>
      </c>
      <c r="AJ5355">
        <v>94.203130742166394</v>
      </c>
      <c r="AK5355">
        <v>9.6797079698980006</v>
      </c>
      <c r="AL5355">
        <v>65.359444246401495</v>
      </c>
      <c r="AM5355">
        <v>99.618617327589106</v>
      </c>
      <c r="AN5355">
        <v>1.0000000627951799</v>
      </c>
    </row>
    <row r="5356" spans="1:40" x14ac:dyDescent="0.25">
      <c r="A5356" t="str">
        <f>"20190304164753253"</f>
        <v>20190304164753253</v>
      </c>
      <c r="B5356" t="str">
        <f>"1551689273244792"</f>
        <v>1551689273244792</v>
      </c>
      <c r="C5356" t="s">
        <v>40</v>
      </c>
      <c r="D5356">
        <v>4.632053</v>
      </c>
      <c r="E5356">
        <v>0.55245449999999996</v>
      </c>
      <c r="F5356" t="s">
        <v>60</v>
      </c>
      <c r="G5356">
        <v>-239.27600000000001</v>
      </c>
      <c r="H5356" s="1">
        <v>-3.3341399999999998E-6</v>
      </c>
      <c r="I5356">
        <v>-62.094169999999998</v>
      </c>
      <c r="J5356">
        <v>-249.023</v>
      </c>
      <c r="K5356">
        <v>1.1112420000000001</v>
      </c>
      <c r="L5356">
        <v>-62.264710000000001</v>
      </c>
      <c r="M5356">
        <v>0.99835910000000005</v>
      </c>
      <c r="N5356">
        <v>-1.444698E-2</v>
      </c>
      <c r="O5356">
        <v>-5.541281E-2</v>
      </c>
      <c r="P5356">
        <v>0.90907249999999995</v>
      </c>
      <c r="Q5356">
        <v>0.40414460000000002</v>
      </c>
      <c r="R5356">
        <v>0.1012643</v>
      </c>
      <c r="S5356">
        <v>3.465805</v>
      </c>
      <c r="T5356">
        <v>-0.38749210000000001</v>
      </c>
      <c r="U5356">
        <v>5.5755619999999999E-2</v>
      </c>
      <c r="V5356">
        <v>-0.15153069999999999</v>
      </c>
      <c r="W5356">
        <v>0.41711930000000003</v>
      </c>
      <c r="X5356">
        <v>0.8961306</v>
      </c>
      <c r="Y5356">
        <v>-7.0712620000000004E-2</v>
      </c>
      <c r="Z5356">
        <v>9.8285709999999995E-3</v>
      </c>
      <c r="AA5356">
        <v>0.99744829999999995</v>
      </c>
      <c r="AB5356">
        <v>32</v>
      </c>
      <c r="AC5356">
        <v>9.7470000000000105</v>
      </c>
      <c r="AD5356">
        <v>-1.1112453341399999</v>
      </c>
      <c r="AE5356">
        <v>0.170540000000002</v>
      </c>
      <c r="AF5356">
        <v>-0.701329772740093</v>
      </c>
      <c r="AG5356">
        <v>-1.1112453341399999</v>
      </c>
      <c r="AH5356">
        <v>9.5978546656004102</v>
      </c>
      <c r="AI5356">
        <v>96.586926658459703</v>
      </c>
      <c r="AJ5356">
        <v>94.179261609233606</v>
      </c>
      <c r="AK5356">
        <v>9.6873909709873498</v>
      </c>
      <c r="AL5356">
        <v>65.347151543979805</v>
      </c>
      <c r="AM5356">
        <v>99.597610246457506</v>
      </c>
      <c r="AN5356">
        <v>1.00000005786566</v>
      </c>
    </row>
    <row r="5357" spans="1:40" x14ac:dyDescent="0.25">
      <c r="A5357" t="str">
        <f>"20190304164753268"</f>
        <v>20190304164753268</v>
      </c>
      <c r="B5357" t="str">
        <f>"1551689273264312"</f>
        <v>1551689273264312</v>
      </c>
      <c r="C5357" t="s">
        <v>40</v>
      </c>
      <c r="D5357">
        <v>4.6638409999999997</v>
      </c>
      <c r="E5357">
        <v>0.55245889999999997</v>
      </c>
      <c r="F5357" t="s">
        <v>60</v>
      </c>
      <c r="G5357">
        <v>-239.0958</v>
      </c>
      <c r="H5357" s="1">
        <v>-3.2750439999999999E-6</v>
      </c>
      <c r="I5357">
        <v>-62.106720000000003</v>
      </c>
      <c r="J5357">
        <v>-248.8169</v>
      </c>
      <c r="K5357">
        <v>1.111291</v>
      </c>
      <c r="L5357">
        <v>-62.276060000000001</v>
      </c>
      <c r="M5357">
        <v>0.99836659999999999</v>
      </c>
      <c r="N5357">
        <v>-1.44464E-2</v>
      </c>
      <c r="O5357">
        <v>-5.527895E-2</v>
      </c>
      <c r="P5357">
        <v>0.90900910000000001</v>
      </c>
      <c r="Q5357">
        <v>0.40445890000000001</v>
      </c>
      <c r="R5357">
        <v>0.100577</v>
      </c>
      <c r="S5357">
        <v>3.4664459999999999</v>
      </c>
      <c r="T5357">
        <v>-0.38803140000000003</v>
      </c>
      <c r="U5357">
        <v>5.5145260000000001E-2</v>
      </c>
      <c r="V5357">
        <v>-0.1507684</v>
      </c>
      <c r="W5357">
        <v>0.41741519999999999</v>
      </c>
      <c r="X5357">
        <v>0.89612130000000001</v>
      </c>
      <c r="Y5357">
        <v>-7.0401290000000005E-2</v>
      </c>
      <c r="Z5357">
        <v>9.8081049999999993E-3</v>
      </c>
      <c r="AA5357">
        <v>0.99747059999999999</v>
      </c>
      <c r="AB5357">
        <v>32</v>
      </c>
      <c r="AC5357">
        <v>9.7210999999999999</v>
      </c>
      <c r="AD5357">
        <v>-1.111294275044</v>
      </c>
      <c r="AE5357">
        <v>0.16934000000000499</v>
      </c>
      <c r="AF5357">
        <v>-0.69739799796864099</v>
      </c>
      <c r="AG5357">
        <v>-1.111294275044</v>
      </c>
      <c r="AH5357">
        <v>9.5718191084566495</v>
      </c>
      <c r="AI5357">
        <v>96.605074205625797</v>
      </c>
      <c r="AJ5357">
        <v>94.167178685151399</v>
      </c>
      <c r="AK5357">
        <v>9.6613177143872093</v>
      </c>
      <c r="AL5357">
        <v>65.328493779595604</v>
      </c>
      <c r="AM5357">
        <v>99.550316699899696</v>
      </c>
      <c r="AN5357">
        <v>0.99999997197164403</v>
      </c>
    </row>
    <row r="5358" spans="1:40" x14ac:dyDescent="0.25">
      <c r="A5358" t="str">
        <f>"20190304164753280"</f>
        <v>20190304164753280</v>
      </c>
      <c r="B5358" t="str">
        <f>"1551689273275048"</f>
        <v>1551689273275048</v>
      </c>
      <c r="C5358" t="s">
        <v>40</v>
      </c>
      <c r="D5358">
        <v>4.6265429999999999</v>
      </c>
      <c r="E5358">
        <v>0.55245889999999997</v>
      </c>
      <c r="F5358" t="s">
        <v>60</v>
      </c>
      <c r="G5358">
        <v>-238.9196</v>
      </c>
      <c r="H5358" s="1">
        <v>-3.21857E-6</v>
      </c>
      <c r="I5358">
        <v>-62.126359999999998</v>
      </c>
      <c r="J5358">
        <v>-248.6421</v>
      </c>
      <c r="K5358">
        <v>1.1113440000000001</v>
      </c>
      <c r="L5358">
        <v>-62.285609999999998</v>
      </c>
      <c r="M5358">
        <v>0.99837450000000005</v>
      </c>
      <c r="N5358">
        <v>-1.444585E-2</v>
      </c>
      <c r="O5358">
        <v>-5.5135829999999997E-2</v>
      </c>
      <c r="P5358">
        <v>0.90890369999999998</v>
      </c>
      <c r="Q5358">
        <v>0.40479179999999998</v>
      </c>
      <c r="R5358">
        <v>0.1001884</v>
      </c>
      <c r="S5358">
        <v>3.467743</v>
      </c>
      <c r="T5358">
        <v>-0.38936710000000002</v>
      </c>
      <c r="U5358">
        <v>5.2429199999999898E-2</v>
      </c>
      <c r="V5358">
        <v>-0.15029149999999999</v>
      </c>
      <c r="W5358">
        <v>0.4177302</v>
      </c>
      <c r="X5358">
        <v>0.89605460000000003</v>
      </c>
      <c r="Y5358">
        <v>-6.947383E-2</v>
      </c>
      <c r="Z5358">
        <v>9.7663590000000005E-3</v>
      </c>
      <c r="AA5358">
        <v>0.99753590000000003</v>
      </c>
      <c r="AB5358">
        <v>32</v>
      </c>
      <c r="AC5358">
        <v>9.7224999999999895</v>
      </c>
      <c r="AD5358">
        <v>-1.11134721857</v>
      </c>
      <c r="AE5358">
        <v>0.15925</v>
      </c>
      <c r="AF5358">
        <v>-0.68615871578847898</v>
      </c>
      <c r="AG5358">
        <v>-1.11134721857</v>
      </c>
      <c r="AH5358">
        <v>9.5738674845713891</v>
      </c>
      <c r="AI5358">
        <v>96.604545106610303</v>
      </c>
      <c r="AJ5358">
        <v>94.099376980211005</v>
      </c>
      <c r="AK5358">
        <v>9.6625485786933591</v>
      </c>
      <c r="AL5358">
        <v>65.308630452356496</v>
      </c>
      <c r="AM5358">
        <v>99.521357391289897</v>
      </c>
      <c r="AN5358">
        <v>0.99999995057272295</v>
      </c>
    </row>
    <row r="5359" spans="1:40" x14ac:dyDescent="0.25">
      <c r="A5359" t="str">
        <f>"20190304164753292"</f>
        <v>20190304164753292</v>
      </c>
      <c r="B5359" t="str">
        <f>"1551689273284808"</f>
        <v>1551689273284808</v>
      </c>
      <c r="C5359" t="s">
        <v>40</v>
      </c>
      <c r="D5359">
        <v>4.6311660000000003</v>
      </c>
      <c r="E5359">
        <v>0.55135140000000005</v>
      </c>
      <c r="F5359" t="s">
        <v>60</v>
      </c>
      <c r="G5359">
        <v>-238.7122</v>
      </c>
      <c r="H5359" s="1">
        <v>-3.1503179999999998E-6</v>
      </c>
      <c r="I5359">
        <v>-62.139530000000001</v>
      </c>
      <c r="J5359">
        <v>-248.4572</v>
      </c>
      <c r="K5359">
        <v>1.1114029999999999</v>
      </c>
      <c r="L5359">
        <v>-62.295679999999997</v>
      </c>
      <c r="M5359">
        <v>0.99838450000000001</v>
      </c>
      <c r="N5359">
        <v>-1.444521E-2</v>
      </c>
      <c r="O5359">
        <v>-5.4952899999999999E-2</v>
      </c>
      <c r="P5359">
        <v>0.90882350000000001</v>
      </c>
      <c r="Q5359">
        <v>0.40505560000000002</v>
      </c>
      <c r="R5359">
        <v>9.9847900000000003E-2</v>
      </c>
      <c r="S5359">
        <v>3.467911</v>
      </c>
      <c r="T5359">
        <v>-0.3881251</v>
      </c>
      <c r="U5359">
        <v>5.0994869999999998E-2</v>
      </c>
      <c r="V5359">
        <v>-0.14983589999999999</v>
      </c>
      <c r="W5359">
        <v>0.4179737</v>
      </c>
      <c r="X5359">
        <v>0.89601739999999996</v>
      </c>
      <c r="Y5359">
        <v>-6.8887770000000001E-2</v>
      </c>
      <c r="Z5359">
        <v>9.6792979999999994E-3</v>
      </c>
      <c r="AA5359">
        <v>0.99757750000000001</v>
      </c>
      <c r="AB5359">
        <v>32</v>
      </c>
      <c r="AC5359">
        <v>9.7449999999999992</v>
      </c>
      <c r="AD5359">
        <v>-1.1114061503179999</v>
      </c>
      <c r="AE5359">
        <v>0.15614999999999599</v>
      </c>
      <c r="AF5359">
        <v>-0.68260934708972099</v>
      </c>
      <c r="AG5359">
        <v>-1.1114061503179999</v>
      </c>
      <c r="AH5359">
        <v>9.5968938063101294</v>
      </c>
      <c r="AI5359">
        <v>96.589435681343204</v>
      </c>
      <c r="AJ5359">
        <v>94.068491176661496</v>
      </c>
      <c r="AK5359">
        <v>9.6851200241036093</v>
      </c>
      <c r="AL5359">
        <v>65.293275247304294</v>
      </c>
      <c r="AM5359">
        <v>99.493407004603398</v>
      </c>
      <c r="AN5359">
        <v>0.99999999596163003</v>
      </c>
    </row>
    <row r="5360" spans="1:40" x14ac:dyDescent="0.25">
      <c r="A5360" t="str">
        <f>"20190304164753305"</f>
        <v>20190304164753305</v>
      </c>
      <c r="B5360" t="str">
        <f>"1551689273294568"</f>
        <v>1551689273294568</v>
      </c>
      <c r="C5360" t="s">
        <v>40</v>
      </c>
      <c r="D5360">
        <v>4.6232759999999997</v>
      </c>
      <c r="E5360">
        <v>0.5519773</v>
      </c>
      <c r="F5360" t="s">
        <v>59</v>
      </c>
      <c r="G5360">
        <v>-240.3544</v>
      </c>
      <c r="H5360" s="1">
        <v>3.937289E-7</v>
      </c>
      <c r="I5360">
        <v>-62.139130000000002</v>
      </c>
      <c r="J5360">
        <v>-248.28309999999999</v>
      </c>
      <c r="K5360">
        <v>1.1114580000000001</v>
      </c>
      <c r="L5360">
        <v>-62.305050000000001</v>
      </c>
      <c r="M5360">
        <v>0.99839690000000003</v>
      </c>
      <c r="N5360">
        <v>-1.444457E-2</v>
      </c>
      <c r="O5360">
        <v>-5.4727650000000003E-2</v>
      </c>
      <c r="P5360">
        <v>0.90845620000000005</v>
      </c>
      <c r="Q5360">
        <v>0.40589409999999998</v>
      </c>
      <c r="R5360">
        <v>9.9786349999999996E-2</v>
      </c>
      <c r="S5360">
        <v>3.5079959999999999</v>
      </c>
      <c r="T5360">
        <v>-0.48116779999999998</v>
      </c>
      <c r="U5360">
        <v>6.7749019999999993E-2</v>
      </c>
      <c r="V5360">
        <v>-0.14960619999999999</v>
      </c>
      <c r="W5360">
        <v>0.41878749999999998</v>
      </c>
      <c r="X5360">
        <v>0.89567580000000002</v>
      </c>
      <c r="Y5360">
        <v>-7.2839230000000005E-2</v>
      </c>
      <c r="Z5360">
        <v>1.218229E-2</v>
      </c>
      <c r="AA5360">
        <v>0.99726930000000003</v>
      </c>
      <c r="AB5360">
        <v>32</v>
      </c>
      <c r="AC5360">
        <v>7.9286999999999903</v>
      </c>
      <c r="AD5360">
        <v>-1.1114576062710999</v>
      </c>
      <c r="AE5360">
        <v>0.16591999999999901</v>
      </c>
      <c r="AF5360">
        <v>-0.58808434006692101</v>
      </c>
      <c r="AG5360">
        <v>-1.1114576062710999</v>
      </c>
      <c r="AH5360">
        <v>7.7553999070800304</v>
      </c>
      <c r="AI5360">
        <v>98.132720255782402</v>
      </c>
      <c r="AJ5360">
        <v>94.336383801589903</v>
      </c>
      <c r="AK5360">
        <v>7.8566792552774301</v>
      </c>
      <c r="AL5360">
        <v>65.241940697827204</v>
      </c>
      <c r="AM5360">
        <v>99.482667398871598</v>
      </c>
      <c r="AN5360">
        <v>1.0000000619701599</v>
      </c>
    </row>
    <row r="5361" spans="1:40" x14ac:dyDescent="0.25">
      <c r="A5361" t="str">
        <f>"20190304164753317"</f>
        <v>20190304164753317</v>
      </c>
      <c r="B5361" t="str">
        <f>"1551689273315064"</f>
        <v>1551689273315064</v>
      </c>
      <c r="C5361" t="s">
        <v>40</v>
      </c>
      <c r="D5361">
        <v>4.6341130000000001</v>
      </c>
      <c r="E5361">
        <v>0.55240749999999905</v>
      </c>
      <c r="F5361" t="s">
        <v>41</v>
      </c>
      <c r="G5361">
        <v>-247.4315</v>
      </c>
      <c r="H5361">
        <v>0.99704789999999999</v>
      </c>
      <c r="I5361">
        <v>-62.290010000000002</v>
      </c>
      <c r="J5361">
        <v>-248.09889999999999</v>
      </c>
      <c r="K5361">
        <v>1.1115159999999999</v>
      </c>
      <c r="L5361">
        <v>-62.31494</v>
      </c>
      <c r="M5361">
        <v>0.9984113</v>
      </c>
      <c r="N5361">
        <v>-1.4443910000000001E-2</v>
      </c>
      <c r="O5361">
        <v>-5.4464560000000002E-2</v>
      </c>
      <c r="P5361">
        <v>0.90806540000000002</v>
      </c>
      <c r="Q5361">
        <v>0.40670590000000001</v>
      </c>
      <c r="R5361">
        <v>0.1000388</v>
      </c>
      <c r="S5361">
        <v>3.5060419999999999</v>
      </c>
      <c r="T5361">
        <v>-0.47107460000000001</v>
      </c>
      <c r="U5361">
        <v>6.1340329999999998E-2</v>
      </c>
      <c r="V5361">
        <v>-0.1496584</v>
      </c>
      <c r="W5361">
        <v>0.41957240000000001</v>
      </c>
      <c r="X5361">
        <v>0.89529959999999997</v>
      </c>
      <c r="Y5361">
        <v>-7.0833930000000003E-2</v>
      </c>
      <c r="Z5361">
        <v>1.1750210000000001E-2</v>
      </c>
      <c r="AA5361">
        <v>0.9974189</v>
      </c>
      <c r="AB5361">
        <v>32</v>
      </c>
      <c r="AC5361">
        <v>0.667399999999986</v>
      </c>
      <c r="AD5361">
        <v>-0.114468099999999</v>
      </c>
      <c r="AE5361">
        <v>2.4930000000004698E-2</v>
      </c>
      <c r="AF5361">
        <v>-5.9498601749202802E-2</v>
      </c>
      <c r="AG5361">
        <v>-0.114468099999999</v>
      </c>
      <c r="AH5361">
        <v>0.64607228483999801</v>
      </c>
      <c r="AI5361">
        <v>100.005657916339</v>
      </c>
      <c r="AJ5361">
        <v>95.261686970755306</v>
      </c>
      <c r="AK5361">
        <v>0.65882655286964198</v>
      </c>
      <c r="AL5361">
        <v>65.192405861983204</v>
      </c>
      <c r="AM5361">
        <v>99.489829380167194</v>
      </c>
      <c r="AN5361">
        <v>1.0000000046462301</v>
      </c>
    </row>
    <row r="5362" spans="1:40" x14ac:dyDescent="0.25">
      <c r="A5362" t="str">
        <f>"20190304164753329"</f>
        <v>20190304164753329</v>
      </c>
      <c r="B5362" t="str">
        <f>"1551689273324824"</f>
        <v>1551689273324824</v>
      </c>
      <c r="C5362" t="s">
        <v>40</v>
      </c>
      <c r="D5362">
        <v>4.6386770000000004</v>
      </c>
      <c r="E5362">
        <v>0.55233480000000001</v>
      </c>
      <c r="F5362" t="s">
        <v>41</v>
      </c>
      <c r="G5362">
        <v>-247.14930000000001</v>
      </c>
      <c r="H5362">
        <v>0.98653959999999996</v>
      </c>
      <c r="I5362">
        <v>-62.29945</v>
      </c>
      <c r="J5362">
        <v>-247.923</v>
      </c>
      <c r="K5362">
        <v>1.1115740000000001</v>
      </c>
      <c r="L5362">
        <v>-62.324249999999999</v>
      </c>
      <c r="M5362">
        <v>0.99842739999999996</v>
      </c>
      <c r="N5362">
        <v>-1.4443360000000001E-2</v>
      </c>
      <c r="O5362">
        <v>-5.4167659999999999E-2</v>
      </c>
      <c r="P5362">
        <v>0.90767889999999996</v>
      </c>
      <c r="Q5362">
        <v>0.40757060000000001</v>
      </c>
      <c r="R5362">
        <v>0.1000267</v>
      </c>
      <c r="S5362">
        <v>3.5039060000000002</v>
      </c>
      <c r="T5362">
        <v>-0.46112350000000002</v>
      </c>
      <c r="U5362">
        <v>5.7800289999999997E-2</v>
      </c>
      <c r="V5362">
        <v>-0.1494142</v>
      </c>
      <c r="W5362">
        <v>0.42041190000000001</v>
      </c>
      <c r="X5362">
        <v>0.89494649999999998</v>
      </c>
      <c r="Y5362">
        <v>-6.9599149999999999E-2</v>
      </c>
      <c r="Z5362">
        <v>1.1380970000000001E-2</v>
      </c>
      <c r="AA5362">
        <v>0.99751009999999996</v>
      </c>
      <c r="AB5362">
        <v>32</v>
      </c>
      <c r="AC5362">
        <v>0.77369999999999095</v>
      </c>
      <c r="AD5362">
        <v>-0.12503439999999999</v>
      </c>
      <c r="AE5362">
        <v>2.4799999999999E-2</v>
      </c>
      <c r="AF5362">
        <v>-6.4982113573122502E-2</v>
      </c>
      <c r="AG5362">
        <v>-0.12503439999999999</v>
      </c>
      <c r="AH5362">
        <v>0.75161110803674802</v>
      </c>
      <c r="AI5362">
        <v>99.410482706150901</v>
      </c>
      <c r="AJ5362">
        <v>94.941339254572</v>
      </c>
      <c r="AK5362">
        <v>0.76470617494042703</v>
      </c>
      <c r="AL5362">
        <v>65.139404902480095</v>
      </c>
      <c r="AM5362">
        <v>99.478296030256502</v>
      </c>
      <c r="AN5362">
        <v>1.0000000033427501</v>
      </c>
    </row>
    <row r="5363" spans="1:40" x14ac:dyDescent="0.25">
      <c r="A5363" t="str">
        <f>"20190304164753342"</f>
        <v>20190304164753342</v>
      </c>
      <c r="B5363" t="str">
        <f>"1551689273334585"</f>
        <v>1551689273334585</v>
      </c>
      <c r="C5363" t="s">
        <v>40</v>
      </c>
      <c r="D5363">
        <v>4.6346860000000003</v>
      </c>
      <c r="E5363">
        <v>0.55233480000000001</v>
      </c>
      <c r="F5363" t="s">
        <v>60</v>
      </c>
      <c r="G5363">
        <v>-239.38929999999999</v>
      </c>
      <c r="H5363" s="1">
        <v>-3.3885229999999998E-6</v>
      </c>
      <c r="I5363">
        <v>-62.183259999999997</v>
      </c>
      <c r="J5363">
        <v>-247.74090000000001</v>
      </c>
      <c r="K5363">
        <v>1.1116349999999999</v>
      </c>
      <c r="L5363">
        <v>-62.333799999999997</v>
      </c>
      <c r="M5363">
        <v>0.99844619999999995</v>
      </c>
      <c r="N5363">
        <v>-1.4442679999999999E-2</v>
      </c>
      <c r="O5363">
        <v>-5.382203E-2</v>
      </c>
      <c r="P5363">
        <v>0.90730049999999995</v>
      </c>
      <c r="Q5363">
        <v>0.40824510000000003</v>
      </c>
      <c r="R5363">
        <v>0.1007086</v>
      </c>
      <c r="S5363">
        <v>3.503708</v>
      </c>
      <c r="T5363">
        <v>-0.4563837</v>
      </c>
      <c r="U5363">
        <v>5.7861330000000002E-2</v>
      </c>
      <c r="V5363">
        <v>-0.14981949999999999</v>
      </c>
      <c r="W5363">
        <v>0.4210603</v>
      </c>
      <c r="X5363">
        <v>0.89457379999999997</v>
      </c>
      <c r="Y5363">
        <v>-6.9298520000000002E-2</v>
      </c>
      <c r="Z5363">
        <v>1.1201239999999999E-2</v>
      </c>
      <c r="AA5363">
        <v>0.99753309999999995</v>
      </c>
      <c r="AB5363">
        <v>32</v>
      </c>
      <c r="AC5363">
        <v>8.3516000000000101</v>
      </c>
      <c r="AD5363">
        <v>-1.1116383885229999</v>
      </c>
      <c r="AE5363">
        <v>0.15053999999999901</v>
      </c>
      <c r="AF5363">
        <v>-0.58942919332509902</v>
      </c>
      <c r="AG5363">
        <v>-1.1116383885229999</v>
      </c>
      <c r="AH5363">
        <v>8.1863985029145603</v>
      </c>
      <c r="AI5363">
        <v>97.713220910676796</v>
      </c>
      <c r="AJ5363">
        <v>94.118248895585495</v>
      </c>
      <c r="AK5363">
        <v>8.2825290297893694</v>
      </c>
      <c r="AL5363">
        <v>65.098452463698806</v>
      </c>
      <c r="AM5363">
        <v>99.507425551794199</v>
      </c>
      <c r="AN5363">
        <v>0.99999997123138895</v>
      </c>
    </row>
    <row r="5364" spans="1:40" x14ac:dyDescent="0.25">
      <c r="A5364" t="str">
        <f>"20190304164753357"</f>
        <v>20190304164753357</v>
      </c>
      <c r="B5364" t="str">
        <f>"1551689273355080"</f>
        <v>1551689273355080</v>
      </c>
      <c r="C5364" t="s">
        <v>40</v>
      </c>
      <c r="D5364">
        <v>4.5566360000000001</v>
      </c>
      <c r="E5364">
        <v>0.55239569999999905</v>
      </c>
      <c r="F5364" t="s">
        <v>41</v>
      </c>
      <c r="G5364">
        <v>-246.8553</v>
      </c>
      <c r="H5364">
        <v>0.99695489999999998</v>
      </c>
      <c r="I5364">
        <v>-62.318570000000001</v>
      </c>
      <c r="J5364">
        <v>-247.5309</v>
      </c>
      <c r="K5364">
        <v>1.1116969999999999</v>
      </c>
      <c r="L5364">
        <v>-62.344700000000003</v>
      </c>
      <c r="M5364">
        <v>0.99846950000000001</v>
      </c>
      <c r="N5364">
        <v>-1.4441789999999999E-2</v>
      </c>
      <c r="O5364">
        <v>-5.3388239999999997E-2</v>
      </c>
      <c r="P5364">
        <v>0.90652330000000003</v>
      </c>
      <c r="Q5364">
        <v>0.40981030000000002</v>
      </c>
      <c r="R5364">
        <v>0.10134849999999999</v>
      </c>
      <c r="S5364">
        <v>3.5040279999999999</v>
      </c>
      <c r="T5364">
        <v>-0.45373249999999998</v>
      </c>
      <c r="U5364">
        <v>6.0028079999999998E-2</v>
      </c>
      <c r="V5364">
        <v>-0.15008840000000001</v>
      </c>
      <c r="W5364">
        <v>0.42259170000000001</v>
      </c>
      <c r="X5364">
        <v>0.89380630000000005</v>
      </c>
      <c r="Y5364">
        <v>-6.9493310000000003E-2</v>
      </c>
      <c r="Z5364">
        <v>1.109838E-2</v>
      </c>
      <c r="AA5364">
        <v>0.99752070000000004</v>
      </c>
      <c r="AB5364">
        <v>32</v>
      </c>
      <c r="AC5364">
        <v>0.67560000000000198</v>
      </c>
      <c r="AD5364">
        <v>-0.114742099999999</v>
      </c>
      <c r="AE5364">
        <v>2.6130000000009E-2</v>
      </c>
      <c r="AF5364">
        <v>-6.0425234015271001E-2</v>
      </c>
      <c r="AG5364">
        <v>-0.114742099999999</v>
      </c>
      <c r="AH5364">
        <v>0.65439349684842796</v>
      </c>
      <c r="AI5364">
        <v>99.903916703434007</v>
      </c>
      <c r="AJ5364">
        <v>95.2756045277863</v>
      </c>
      <c r="AK5364">
        <v>0.66711903520715399</v>
      </c>
      <c r="AL5364">
        <v>65.001678853791503</v>
      </c>
      <c r="AM5364">
        <v>99.532205668460307</v>
      </c>
      <c r="AN5364">
        <v>0.99999998732157003</v>
      </c>
    </row>
    <row r="5365" spans="1:40" x14ac:dyDescent="0.25">
      <c r="A5365" t="str">
        <f>"20190304164753368"</f>
        <v>20190304164753368</v>
      </c>
      <c r="B5365" t="str">
        <f>"1551689273364843"</f>
        <v>1551689273364843</v>
      </c>
      <c r="C5365" t="s">
        <v>40</v>
      </c>
      <c r="D5365">
        <v>4.7605930000000001</v>
      </c>
      <c r="E5365">
        <v>0.55265739999999997</v>
      </c>
      <c r="F5365" t="s">
        <v>41</v>
      </c>
      <c r="G5365">
        <v>-246.56970000000001</v>
      </c>
      <c r="H5365">
        <v>0.99255870000000002</v>
      </c>
      <c r="I5365">
        <v>-62.328299999999999</v>
      </c>
      <c r="J5365">
        <v>-247.36490000000001</v>
      </c>
      <c r="K5365">
        <v>1.1117410000000001</v>
      </c>
      <c r="L5365">
        <v>-62.35324</v>
      </c>
      <c r="M5365">
        <v>0.99848970000000004</v>
      </c>
      <c r="N5365">
        <v>-1.4441010000000001E-2</v>
      </c>
      <c r="O5365">
        <v>-5.300825E-2</v>
      </c>
      <c r="P5365">
        <v>0.90621119999999999</v>
      </c>
      <c r="Q5365">
        <v>0.41036669999999997</v>
      </c>
      <c r="R5365">
        <v>0.10188510000000001</v>
      </c>
      <c r="S5365">
        <v>3.498688</v>
      </c>
      <c r="T5365">
        <v>-0.43368709999999999</v>
      </c>
      <c r="U5365">
        <v>5.9997559999999998E-2</v>
      </c>
      <c r="V5365">
        <v>-0.15030940000000001</v>
      </c>
      <c r="W5365">
        <v>0.42312749999999999</v>
      </c>
      <c r="X5365">
        <v>0.89351559999999897</v>
      </c>
      <c r="Y5365">
        <v>-6.921969E-2</v>
      </c>
      <c r="Z5365">
        <v>1.0556029999999999E-2</v>
      </c>
      <c r="AA5365">
        <v>0.99754560000000003</v>
      </c>
      <c r="AB5365">
        <v>32</v>
      </c>
      <c r="AC5365">
        <v>0.79519999999999402</v>
      </c>
      <c r="AD5365">
        <v>-0.1191823</v>
      </c>
      <c r="AE5365">
        <v>2.4940000000000798E-2</v>
      </c>
      <c r="AF5365">
        <v>-6.5589581971714897E-2</v>
      </c>
      <c r="AG5365">
        <v>-0.1191823</v>
      </c>
      <c r="AH5365">
        <v>0.77535970030914803</v>
      </c>
      <c r="AI5365">
        <v>98.708046426593697</v>
      </c>
      <c r="AJ5365">
        <v>94.835279116233707</v>
      </c>
      <c r="AK5365">
        <v>0.78720332745740196</v>
      </c>
      <c r="AL5365">
        <v>64.967801287110305</v>
      </c>
      <c r="AM5365">
        <v>99.549031939272794</v>
      </c>
      <c r="AN5365">
        <v>0.99999996221398402</v>
      </c>
    </row>
    <row r="5366" spans="1:40" x14ac:dyDescent="0.25">
      <c r="A5366" t="str">
        <f>"20190304164753382"</f>
        <v>20190304164753382</v>
      </c>
      <c r="B5366" t="str">
        <f>"1551689273374601"</f>
        <v>1551689273374601</v>
      </c>
      <c r="C5366" t="s">
        <v>40</v>
      </c>
      <c r="D5366">
        <v>4.6533530000000001</v>
      </c>
      <c r="E5366">
        <v>0.55259099999999906</v>
      </c>
      <c r="F5366" t="s">
        <v>60</v>
      </c>
      <c r="G5366">
        <v>-238.26419999999999</v>
      </c>
      <c r="H5366" s="1">
        <v>-3.0083710000000001E-6</v>
      </c>
      <c r="I5366">
        <v>-62.198639999999997</v>
      </c>
      <c r="J5366">
        <v>-247.18090000000001</v>
      </c>
      <c r="K5366">
        <v>1.111783</v>
      </c>
      <c r="L5366">
        <v>-62.362580000000001</v>
      </c>
      <c r="M5366">
        <v>0.99851330000000005</v>
      </c>
      <c r="N5366">
        <v>-1.4440049999999999E-2</v>
      </c>
      <c r="O5366">
        <v>-5.256425E-2</v>
      </c>
      <c r="P5366">
        <v>0.90609220000000001</v>
      </c>
      <c r="Q5366">
        <v>0.41036679999999998</v>
      </c>
      <c r="R5366">
        <v>0.1029385</v>
      </c>
      <c r="S5366">
        <v>3.4972989999999999</v>
      </c>
      <c r="T5366">
        <v>-0.42723430000000001</v>
      </c>
      <c r="U5366">
        <v>5.9387210000000003E-2</v>
      </c>
      <c r="V5366">
        <v>-0.15099889999999999</v>
      </c>
      <c r="W5366">
        <v>0.42310890000000001</v>
      </c>
      <c r="X5366">
        <v>0.89340819999999999</v>
      </c>
      <c r="Y5366">
        <v>-6.8642540000000002E-2</v>
      </c>
      <c r="Z5366">
        <v>1.031347E-2</v>
      </c>
      <c r="AA5366">
        <v>0.99758800000000003</v>
      </c>
      <c r="AB5366">
        <v>32</v>
      </c>
      <c r="AC5366">
        <v>8.9167000000000094</v>
      </c>
      <c r="AD5366">
        <v>-1.1117860083710001</v>
      </c>
      <c r="AE5366">
        <v>0.16393999999999601</v>
      </c>
      <c r="AF5366">
        <v>-0.62278290239907197</v>
      </c>
      <c r="AG5366">
        <v>-1.1117860083710001</v>
      </c>
      <c r="AH5366">
        <v>8.7596163900493007</v>
      </c>
      <c r="AI5366">
        <v>97.215385373584098</v>
      </c>
      <c r="AJ5366">
        <v>94.066718093647793</v>
      </c>
      <c r="AK5366">
        <v>8.8518250080280296</v>
      </c>
      <c r="AL5366">
        <v>64.968978751826995</v>
      </c>
      <c r="AM5366">
        <v>99.593154899899403</v>
      </c>
      <c r="AN5366">
        <v>1.00000001044383</v>
      </c>
    </row>
    <row r="5367" spans="1:40" x14ac:dyDescent="0.25">
      <c r="A5367" t="str">
        <f>"20190304164753397"</f>
        <v>20190304164753397</v>
      </c>
      <c r="B5367" t="str">
        <f>"1551689273384362"</f>
        <v>1551689273384362</v>
      </c>
      <c r="C5367" t="s">
        <v>40</v>
      </c>
      <c r="D5367">
        <v>4.6432209999999996</v>
      </c>
      <c r="E5367">
        <v>0.55259099999999906</v>
      </c>
      <c r="F5367" t="s">
        <v>60</v>
      </c>
      <c r="G5367">
        <v>-238.00960000000001</v>
      </c>
      <c r="H5367" s="1">
        <v>-2.905661E-6</v>
      </c>
      <c r="I5367">
        <v>-62.1967</v>
      </c>
      <c r="J5367">
        <v>-246.965</v>
      </c>
      <c r="K5367">
        <v>1.111826</v>
      </c>
      <c r="L5367">
        <v>-62.373440000000002</v>
      </c>
      <c r="M5367">
        <v>0.99854189999999998</v>
      </c>
      <c r="N5367">
        <v>-1.44388E-2</v>
      </c>
      <c r="O5367">
        <v>-5.2017239999999999E-2</v>
      </c>
      <c r="P5367">
        <v>0.90588869999999999</v>
      </c>
      <c r="Q5367">
        <v>0.41058309999999998</v>
      </c>
      <c r="R5367">
        <v>0.10386099999999999</v>
      </c>
      <c r="S5367">
        <v>3.4956670000000001</v>
      </c>
      <c r="T5367">
        <v>-0.42376340000000001</v>
      </c>
      <c r="U5367">
        <v>6.3201900000000005E-2</v>
      </c>
      <c r="V5367">
        <v>-0.15146289999999901</v>
      </c>
      <c r="W5367">
        <v>0.42330459999999898</v>
      </c>
      <c r="X5367">
        <v>0.8932369</v>
      </c>
      <c r="Y5367">
        <v>-6.9204199999999993E-2</v>
      </c>
      <c r="Z5367">
        <v>1.0212840000000001E-2</v>
      </c>
      <c r="AA5367">
        <v>0.99755020000000005</v>
      </c>
      <c r="AB5367">
        <v>32</v>
      </c>
      <c r="AC5367">
        <v>8.9553999999999903</v>
      </c>
      <c r="AD5367">
        <v>-1.111828905661</v>
      </c>
      <c r="AE5367">
        <v>0.17674000000000201</v>
      </c>
      <c r="AF5367">
        <v>-0.63263693033810497</v>
      </c>
      <c r="AG5367">
        <v>-1.111828905661</v>
      </c>
      <c r="AH5367">
        <v>8.7985144885777196</v>
      </c>
      <c r="AI5367">
        <v>97.183687129331105</v>
      </c>
      <c r="AJ5367">
        <v>94.112643424539698</v>
      </c>
      <c r="AK5367">
        <v>8.8910207629272193</v>
      </c>
      <c r="AL5367">
        <v>64.956602167679904</v>
      </c>
      <c r="AM5367">
        <v>99.623893863831796</v>
      </c>
      <c r="AN5367">
        <v>0.99999997698958898</v>
      </c>
    </row>
    <row r="5368" spans="1:40" x14ac:dyDescent="0.25">
      <c r="A5368" t="str">
        <f>"20190304164753410"</f>
        <v>20190304164753410</v>
      </c>
      <c r="B5368" t="str">
        <f>"1551689273404856"</f>
        <v>1551689273404856</v>
      </c>
      <c r="C5368" t="s">
        <v>40</v>
      </c>
      <c r="D5368">
        <v>4.5500249999999998</v>
      </c>
      <c r="E5368">
        <v>0.53115500000000004</v>
      </c>
      <c r="F5368" t="s">
        <v>41</v>
      </c>
      <c r="G5368">
        <v>-245.99260000000001</v>
      </c>
      <c r="H5368">
        <v>0.99417880000000003</v>
      </c>
      <c r="I5368">
        <v>-62.355089999999997</v>
      </c>
      <c r="J5368">
        <v>-246.7628</v>
      </c>
      <c r="K5368">
        <v>1.111861</v>
      </c>
      <c r="L5368">
        <v>-62.383450000000003</v>
      </c>
      <c r="M5368">
        <v>0.99856979999999995</v>
      </c>
      <c r="N5368">
        <v>-1.4437480000000001E-2</v>
      </c>
      <c r="O5368">
        <v>-5.1478370000000002E-2</v>
      </c>
      <c r="P5368">
        <v>0.90579509999999996</v>
      </c>
      <c r="Q5368">
        <v>0.4105471</v>
      </c>
      <c r="R5368">
        <v>0.10481749999999999</v>
      </c>
      <c r="S5368">
        <v>3.4957120000000002</v>
      </c>
      <c r="T5368">
        <v>-0.42292380000000002</v>
      </c>
      <c r="U5368">
        <v>6.6772460000000006E-2</v>
      </c>
      <c r="V5368">
        <v>-0.1519635</v>
      </c>
      <c r="W5368">
        <v>0.42325370000000001</v>
      </c>
      <c r="X5368">
        <v>0.89317610000000003</v>
      </c>
      <c r="Y5368">
        <v>-6.9686789999999998E-2</v>
      </c>
      <c r="Z5368">
        <v>1.0167539999999999E-2</v>
      </c>
      <c r="AA5368">
        <v>0.99751710000000005</v>
      </c>
      <c r="AB5368">
        <v>32</v>
      </c>
      <c r="AC5368">
        <v>0.77019999999998801</v>
      </c>
      <c r="AD5368">
        <v>-0.117682199999999</v>
      </c>
      <c r="AE5368">
        <v>2.8359999999999198E-2</v>
      </c>
      <c r="AF5368">
        <v>-6.6426461463234901E-2</v>
      </c>
      <c r="AG5368">
        <v>-0.117682199999999</v>
      </c>
      <c r="AH5368">
        <v>0.75022733287727905</v>
      </c>
      <c r="AI5368">
        <v>98.880702428051606</v>
      </c>
      <c r="AJ5368">
        <v>95.059875138147007</v>
      </c>
      <c r="AK5368">
        <v>0.76230087627886201</v>
      </c>
      <c r="AL5368">
        <v>64.959823668530206</v>
      </c>
      <c r="AM5368">
        <v>99.655748865755001</v>
      </c>
      <c r="AN5368">
        <v>1.0000000727535701</v>
      </c>
    </row>
    <row r="5369" spans="1:40" x14ac:dyDescent="0.25">
      <c r="A5369" t="str">
        <f>"20190304164753425"</f>
        <v>20190304164753425</v>
      </c>
      <c r="B5369" t="str">
        <f>"1551689273414617"</f>
        <v>1551689273414617</v>
      </c>
      <c r="C5369" t="s">
        <v>40</v>
      </c>
      <c r="D5369">
        <v>4.5424249999999997</v>
      </c>
      <c r="E5369">
        <v>0.52971259999999998</v>
      </c>
      <c r="F5369" t="s">
        <v>60</v>
      </c>
      <c r="G5369">
        <v>-235.4966</v>
      </c>
      <c r="H5369" s="1">
        <v>-1.6749550000000001E-6</v>
      </c>
      <c r="I5369">
        <v>-61.623170000000002</v>
      </c>
      <c r="J5369">
        <v>-246.55590000000001</v>
      </c>
      <c r="K5369">
        <v>1.111896</v>
      </c>
      <c r="L5369">
        <v>-62.393549999999998</v>
      </c>
      <c r="M5369">
        <v>0.99859880000000001</v>
      </c>
      <c r="N5369">
        <v>-1.4436040000000001E-2</v>
      </c>
      <c r="O5369">
        <v>-5.0911720000000001E-2</v>
      </c>
      <c r="P5369">
        <v>0.90538209999999997</v>
      </c>
      <c r="Q5369">
        <v>0.41093790000000002</v>
      </c>
      <c r="R5369">
        <v>0.1068341</v>
      </c>
      <c r="S5369">
        <v>3.438965</v>
      </c>
      <c r="T5369">
        <v>-0.339391</v>
      </c>
      <c r="U5369">
        <v>0.2320557</v>
      </c>
      <c r="V5369">
        <v>-0.15347529999999901</v>
      </c>
      <c r="W5369">
        <v>0.4236239</v>
      </c>
      <c r="X5369">
        <v>0.89274189999999998</v>
      </c>
      <c r="Y5369">
        <v>-0.11720899999999999</v>
      </c>
      <c r="Z5369">
        <v>1.08871E-2</v>
      </c>
      <c r="AA5369">
        <v>0.99304760000000003</v>
      </c>
      <c r="AB5369">
        <v>32</v>
      </c>
      <c r="AC5369">
        <v>11.0593</v>
      </c>
      <c r="AD5369">
        <v>-1.111897674955</v>
      </c>
      <c r="AE5369">
        <v>0.77038000000000295</v>
      </c>
      <c r="AF5369">
        <v>-1.31921687230578</v>
      </c>
      <c r="AG5369">
        <v>-1.111897674955</v>
      </c>
      <c r="AH5369">
        <v>10.896120933805699</v>
      </c>
      <c r="AI5369">
        <v>95.784641794074403</v>
      </c>
      <c r="AJ5369">
        <v>96.903323786734902</v>
      </c>
      <c r="AK5369">
        <v>11.0318675209533</v>
      </c>
      <c r="AL5369">
        <v>64.936407872026905</v>
      </c>
      <c r="AM5369">
        <v>99.754624582904398</v>
      </c>
      <c r="AN5369">
        <v>0.99999998818845404</v>
      </c>
    </row>
    <row r="5370" spans="1:40" x14ac:dyDescent="0.25">
      <c r="A5370" t="str">
        <f>"20190304164753439"</f>
        <v>20190304164753439</v>
      </c>
      <c r="B5370" t="str">
        <f>"1551689273435112"</f>
        <v>1551689273435112</v>
      </c>
      <c r="C5370" t="s">
        <v>40</v>
      </c>
      <c r="D5370">
        <v>4.5336089999999896</v>
      </c>
      <c r="E5370">
        <v>0.52850299999999995</v>
      </c>
      <c r="F5370" t="s">
        <v>60</v>
      </c>
      <c r="G5370">
        <v>-235.59280000000001</v>
      </c>
      <c r="H5370" s="1">
        <v>-1.707845E-6</v>
      </c>
      <c r="I5370">
        <v>-61.591639999999998</v>
      </c>
      <c r="J5370">
        <v>-246.363</v>
      </c>
      <c r="K5370">
        <v>1.1119209999999999</v>
      </c>
      <c r="L5370">
        <v>-62.402920000000002</v>
      </c>
      <c r="M5370">
        <v>0.99862609999999996</v>
      </c>
      <c r="N5370">
        <v>-1.4434590000000001E-2</v>
      </c>
      <c r="O5370">
        <v>-5.0374950000000002E-2</v>
      </c>
      <c r="P5370">
        <v>0.90500029999999998</v>
      </c>
      <c r="Q5370">
        <v>0.4114022</v>
      </c>
      <c r="R5370">
        <v>0.10827150000000001</v>
      </c>
      <c r="S5370">
        <v>3.4422609999999998</v>
      </c>
      <c r="T5370">
        <v>-0.3491187</v>
      </c>
      <c r="U5370">
        <v>0.25176999999999999</v>
      </c>
      <c r="V5370">
        <v>-0.15443170000000001</v>
      </c>
      <c r="W5370">
        <v>0.4240717</v>
      </c>
      <c r="X5370">
        <v>0.8923643</v>
      </c>
      <c r="Y5370">
        <v>-0.1221966</v>
      </c>
      <c r="Z5370">
        <v>1.1423829999999999E-2</v>
      </c>
      <c r="AA5370">
        <v>0.99244019999999999</v>
      </c>
      <c r="AB5370">
        <v>32</v>
      </c>
      <c r="AC5370">
        <v>10.7701999999999</v>
      </c>
      <c r="AD5370">
        <v>-1.111922707845</v>
      </c>
      <c r="AE5370">
        <v>0.81127999999998901</v>
      </c>
      <c r="AF5370">
        <v>-1.3386667009934099</v>
      </c>
      <c r="AG5370">
        <v>-1.111922707845</v>
      </c>
      <c r="AH5370">
        <v>10.6032718226567</v>
      </c>
      <c r="AI5370">
        <v>95.939690363571501</v>
      </c>
      <c r="AJ5370">
        <v>97.195542673852799</v>
      </c>
      <c r="AK5370">
        <v>10.7451279187227</v>
      </c>
      <c r="AL5370">
        <v>64.908080821796801</v>
      </c>
      <c r="AM5370">
        <v>99.818305244954601</v>
      </c>
      <c r="AN5370">
        <v>1.0000000003101299</v>
      </c>
    </row>
    <row r="5371" spans="1:40" x14ac:dyDescent="0.25">
      <c r="A5371" t="str">
        <f>"20190304164753451"</f>
        <v>20190304164753451</v>
      </c>
      <c r="B5371" t="str">
        <f>"1551689273444872"</f>
        <v>1551689273444872</v>
      </c>
      <c r="C5371" t="s">
        <v>40</v>
      </c>
      <c r="D5371">
        <v>4.5162519999999997</v>
      </c>
      <c r="E5371">
        <v>0.52819640000000001</v>
      </c>
      <c r="F5371" t="s">
        <v>60</v>
      </c>
      <c r="G5371">
        <v>-235.7576</v>
      </c>
      <c r="H5371" s="1">
        <v>-1.775645E-6</v>
      </c>
      <c r="I5371">
        <v>-61.580779999999997</v>
      </c>
      <c r="J5371">
        <v>-246.18049999999999</v>
      </c>
      <c r="K5371">
        <v>1.111937</v>
      </c>
      <c r="L5371">
        <v>-62.4116199999999</v>
      </c>
      <c r="M5371">
        <v>0.99865190000000004</v>
      </c>
      <c r="N5371">
        <v>-1.4433079999999999E-2</v>
      </c>
      <c r="O5371">
        <v>-4.9860809999999998E-2</v>
      </c>
      <c r="P5371">
        <v>0.90473170000000003</v>
      </c>
      <c r="Q5371">
        <v>0.4116437</v>
      </c>
      <c r="R5371">
        <v>0.1095907</v>
      </c>
      <c r="S5371">
        <v>3.4472499999999999</v>
      </c>
      <c r="T5371">
        <v>-0.36142619999999998</v>
      </c>
      <c r="U5371">
        <v>0.2672119</v>
      </c>
      <c r="V5371">
        <v>-0.1552906</v>
      </c>
      <c r="W5371">
        <v>0.42430099999999998</v>
      </c>
      <c r="X5371">
        <v>0.89210619999999996</v>
      </c>
      <c r="Y5371">
        <v>-0.12591920000000001</v>
      </c>
      <c r="Z5371">
        <v>1.197579E-2</v>
      </c>
      <c r="AA5371">
        <v>0.99196819999999997</v>
      </c>
      <c r="AB5371">
        <v>32</v>
      </c>
      <c r="AC5371">
        <v>10.422899999999901</v>
      </c>
      <c r="AD5371">
        <v>-1.1119387756450001</v>
      </c>
      <c r="AE5371">
        <v>0.83083999999998703</v>
      </c>
      <c r="AF5371">
        <v>-1.33446295876184</v>
      </c>
      <c r="AG5371">
        <v>-1.1119387756450001</v>
      </c>
      <c r="AH5371">
        <v>10.252553694489301</v>
      </c>
      <c r="AI5371">
        <v>96.138431391833706</v>
      </c>
      <c r="AJ5371">
        <v>97.415875094048602</v>
      </c>
      <c r="AK5371">
        <v>10.3986564751162</v>
      </c>
      <c r="AL5371">
        <v>64.893572735365893</v>
      </c>
      <c r="AM5371">
        <v>99.874639981542401</v>
      </c>
      <c r="AN5371">
        <v>0.99999999056389899</v>
      </c>
    </row>
    <row r="5372" spans="1:40" x14ac:dyDescent="0.25">
      <c r="A5372" t="str">
        <f>"20190304164753465"</f>
        <v>20190304164753465</v>
      </c>
      <c r="B5372" t="str">
        <f>"1551689273454634"</f>
        <v>1551689273454634</v>
      </c>
      <c r="C5372" t="s">
        <v>40</v>
      </c>
      <c r="D5372">
        <v>4.5516949999999996</v>
      </c>
      <c r="E5372">
        <v>0.52810919999999995</v>
      </c>
      <c r="F5372" t="s">
        <v>60</v>
      </c>
      <c r="G5372">
        <v>-235.69069999999999</v>
      </c>
      <c r="H5372" s="1">
        <v>-1.7458000000000001E-6</v>
      </c>
      <c r="I5372">
        <v>-61.576479999999997</v>
      </c>
      <c r="J5372">
        <v>-245.98230000000001</v>
      </c>
      <c r="K5372">
        <v>1.1119540000000001</v>
      </c>
      <c r="L5372">
        <v>-62.420960000000001</v>
      </c>
      <c r="M5372">
        <v>0.99867980000000001</v>
      </c>
      <c r="N5372">
        <v>-1.4431380000000001E-2</v>
      </c>
      <c r="O5372">
        <v>-4.9298549999999997E-2</v>
      </c>
      <c r="P5372">
        <v>0.90451099999999995</v>
      </c>
      <c r="Q5372">
        <v>0.4117517</v>
      </c>
      <c r="R5372">
        <v>0.11099779999999999</v>
      </c>
      <c r="S5372">
        <v>3.4489899999999998</v>
      </c>
      <c r="T5372">
        <v>-0.36559750000000002</v>
      </c>
      <c r="U5372">
        <v>0.2745667</v>
      </c>
      <c r="V5372">
        <v>-0.1561931</v>
      </c>
      <c r="W5372">
        <v>0.42439769999999999</v>
      </c>
      <c r="X5372">
        <v>0.89190259999999999</v>
      </c>
      <c r="Y5372">
        <v>-0.12739610000000001</v>
      </c>
      <c r="Z5372">
        <v>1.214171E-2</v>
      </c>
      <c r="AA5372">
        <v>0.99177760000000004</v>
      </c>
      <c r="AB5372">
        <v>32</v>
      </c>
      <c r="AC5372">
        <v>10.291600000000001</v>
      </c>
      <c r="AD5372">
        <v>-1.1119557458</v>
      </c>
      <c r="AE5372">
        <v>0.84447999999999701</v>
      </c>
      <c r="AF5372">
        <v>-1.3353821652744799</v>
      </c>
      <c r="AG5372">
        <v>-1.1119557458</v>
      </c>
      <c r="AH5372">
        <v>10.1200986651469</v>
      </c>
      <c r="AI5372">
        <v>96.216815709803697</v>
      </c>
      <c r="AJ5372">
        <v>97.516950158224205</v>
      </c>
      <c r="AK5372">
        <v>10.268207638154699</v>
      </c>
      <c r="AL5372">
        <v>64.887453454136605</v>
      </c>
      <c r="AM5372">
        <v>99.933110817528998</v>
      </c>
      <c r="AN5372">
        <v>0.99999997006982899</v>
      </c>
    </row>
    <row r="5373" spans="1:40" x14ac:dyDescent="0.25">
      <c r="A5373" t="str">
        <f>"20190304164753480"</f>
        <v>20190304164753480</v>
      </c>
      <c r="B5373" t="str">
        <f>"1551689273475129"</f>
        <v>1551689273475129</v>
      </c>
      <c r="C5373" t="s">
        <v>40</v>
      </c>
      <c r="D5373">
        <v>4.555777</v>
      </c>
      <c r="E5373">
        <v>0.52802669999999996</v>
      </c>
      <c r="F5373" t="s">
        <v>60</v>
      </c>
      <c r="G5373">
        <v>-235.61660000000001</v>
      </c>
      <c r="H5373" s="1">
        <v>-1.7145479999999999E-6</v>
      </c>
      <c r="I5373">
        <v>-61.578360000000004</v>
      </c>
      <c r="J5373">
        <v>-245.75899999999999</v>
      </c>
      <c r="K5373">
        <v>1.1119699999999999</v>
      </c>
      <c r="L5373">
        <v>-62.431339999999999</v>
      </c>
      <c r="M5373">
        <v>0.99871100000000002</v>
      </c>
      <c r="N5373">
        <v>-1.442943E-2</v>
      </c>
      <c r="O5373">
        <v>-4.8664209999999999E-2</v>
      </c>
      <c r="P5373">
        <v>0.90419000000000005</v>
      </c>
      <c r="Q5373">
        <v>0.41210459999999899</v>
      </c>
      <c r="R5373">
        <v>0.1122967</v>
      </c>
      <c r="S5373">
        <v>3.45079</v>
      </c>
      <c r="T5373">
        <v>-0.37017749999999999</v>
      </c>
      <c r="U5373">
        <v>0.28048709999999999</v>
      </c>
      <c r="V5373">
        <v>-0.15691669999999999</v>
      </c>
      <c r="W5373">
        <v>0.42473919999999998</v>
      </c>
      <c r="X5373">
        <v>0.89161299999999899</v>
      </c>
      <c r="Y5373">
        <v>-0.12838830000000001</v>
      </c>
      <c r="Z5373">
        <v>1.2285000000000001E-2</v>
      </c>
      <c r="AA5373">
        <v>0.99164790000000003</v>
      </c>
      <c r="AB5373">
        <v>32</v>
      </c>
      <c r="AC5373">
        <v>10.1424</v>
      </c>
      <c r="AD5373">
        <v>-1.1119717145479999</v>
      </c>
      <c r="AE5373">
        <v>0.85298000000000895</v>
      </c>
      <c r="AF5373">
        <v>-1.3297213770377601</v>
      </c>
      <c r="AG5373">
        <v>-1.1119717145479999</v>
      </c>
      <c r="AH5373">
        <v>9.9698701998611305</v>
      </c>
      <c r="AI5373">
        <v>96.3086730926792</v>
      </c>
      <c r="AJ5373">
        <v>97.596932171756606</v>
      </c>
      <c r="AK5373">
        <v>10.119434363470299</v>
      </c>
      <c r="AL5373">
        <v>64.865842996859698</v>
      </c>
      <c r="AM5373">
        <v>99.981381258500903</v>
      </c>
      <c r="AN5373">
        <v>0.99999999026226405</v>
      </c>
    </row>
    <row r="5374" spans="1:40" x14ac:dyDescent="0.25">
      <c r="A5374" t="str">
        <f>"20190304164753492"</f>
        <v>20190304164753492</v>
      </c>
      <c r="B5374" t="str">
        <f>"1551689273484889"</f>
        <v>1551689273484889</v>
      </c>
      <c r="C5374" t="s">
        <v>40</v>
      </c>
      <c r="D5374">
        <v>4.5223659999999999</v>
      </c>
      <c r="E5374">
        <v>0.52800760000000002</v>
      </c>
      <c r="F5374" t="s">
        <v>60</v>
      </c>
      <c r="G5374">
        <v>-235.46719999999999</v>
      </c>
      <c r="H5374" s="1">
        <v>-1.649161E-6</v>
      </c>
      <c r="I5374">
        <v>-61.573500000000003</v>
      </c>
      <c r="J5374">
        <v>-245.58150000000001</v>
      </c>
      <c r="K5374">
        <v>1.1119760000000001</v>
      </c>
      <c r="L5374">
        <v>-62.439540000000001</v>
      </c>
      <c r="M5374">
        <v>0.9987355</v>
      </c>
      <c r="N5374">
        <v>-1.4427840000000001E-2</v>
      </c>
      <c r="O5374">
        <v>-4.8159260000000002E-2</v>
      </c>
      <c r="P5374">
        <v>0.90409669999999998</v>
      </c>
      <c r="Q5374">
        <v>0.41216390000000003</v>
      </c>
      <c r="R5374">
        <v>0.1128276</v>
      </c>
      <c r="S5374">
        <v>3.4521480000000002</v>
      </c>
      <c r="T5374">
        <v>-0.37298540000000002</v>
      </c>
      <c r="U5374">
        <v>0.28771970000000002</v>
      </c>
      <c r="V5374">
        <v>-0.156996</v>
      </c>
      <c r="W5374">
        <v>0.42479359999999999</v>
      </c>
      <c r="X5374">
        <v>0.89157310000000001</v>
      </c>
      <c r="Y5374">
        <v>-0.129896699999999</v>
      </c>
      <c r="Z5374">
        <v>1.241538E-2</v>
      </c>
      <c r="AA5374">
        <v>0.99144980000000005</v>
      </c>
      <c r="AB5374">
        <v>32</v>
      </c>
      <c r="AC5374">
        <v>10.1143</v>
      </c>
      <c r="AD5374">
        <v>-1.1119776491610001</v>
      </c>
      <c r="AE5374">
        <v>0.86603999999999803</v>
      </c>
      <c r="AF5374">
        <v>-1.33615021521001</v>
      </c>
      <c r="AG5374">
        <v>-1.1119776491610001</v>
      </c>
      <c r="AH5374">
        <v>9.9415598670279692</v>
      </c>
      <c r="AI5374">
        <v>96.325679004898106</v>
      </c>
      <c r="AJ5374">
        <v>97.654708800909802</v>
      </c>
      <c r="AK5374">
        <v>10.0923933870782</v>
      </c>
      <c r="AL5374">
        <v>64.862399517007304</v>
      </c>
      <c r="AM5374">
        <v>99.986761887210307</v>
      </c>
      <c r="AN5374">
        <v>0.99999996963028404</v>
      </c>
    </row>
    <row r="5375" spans="1:40" x14ac:dyDescent="0.25">
      <c r="A5375" t="str">
        <f>"20190304164753503"</f>
        <v>20190304164753503</v>
      </c>
      <c r="B5375" t="str">
        <f>"1551689273494649"</f>
        <v>1551689273494649</v>
      </c>
      <c r="C5375" t="s">
        <v>40</v>
      </c>
      <c r="D5375">
        <v>4.5297559999999999</v>
      </c>
      <c r="E5375">
        <v>0.52804790000000001</v>
      </c>
      <c r="F5375" t="s">
        <v>60</v>
      </c>
      <c r="G5375">
        <v>-235.31299999999999</v>
      </c>
      <c r="H5375" s="1">
        <v>-1.5827779999999999E-6</v>
      </c>
      <c r="I5375">
        <v>-61.572699999999998</v>
      </c>
      <c r="J5375">
        <v>-245.4308</v>
      </c>
      <c r="K5375">
        <v>1.11198</v>
      </c>
      <c r="L5375">
        <v>-62.446379999999998</v>
      </c>
      <c r="M5375">
        <v>0.99875610000000004</v>
      </c>
      <c r="N5375">
        <v>-1.442646E-2</v>
      </c>
      <c r="O5375">
        <v>-4.7731610000000001E-2</v>
      </c>
      <c r="P5375">
        <v>0.90413529999999998</v>
      </c>
      <c r="Q5375">
        <v>0.41190270000000001</v>
      </c>
      <c r="R5375">
        <v>0.113472</v>
      </c>
      <c r="S5375">
        <v>3.452286</v>
      </c>
      <c r="T5375">
        <v>-0.37384889999999998</v>
      </c>
      <c r="U5375">
        <v>0.29141240000000002</v>
      </c>
      <c r="V5375">
        <v>-0.15726109999999999</v>
      </c>
      <c r="W5375">
        <v>0.42453020000000002</v>
      </c>
      <c r="X5375">
        <v>0.89165190000000005</v>
      </c>
      <c r="Y5375">
        <v>-0.1305151</v>
      </c>
      <c r="Z5375">
        <v>1.244032E-2</v>
      </c>
      <c r="AA5375">
        <v>0.99136829999999998</v>
      </c>
      <c r="AB5375">
        <v>32</v>
      </c>
      <c r="AC5375">
        <v>10.117800000000001</v>
      </c>
      <c r="AD5375">
        <v>-1.111981582778</v>
      </c>
      <c r="AE5375">
        <v>0.87368000000000701</v>
      </c>
      <c r="AF5375">
        <v>-1.33961195720888</v>
      </c>
      <c r="AG5375">
        <v>-1.111981582778</v>
      </c>
      <c r="AH5375">
        <v>9.9453205859848008</v>
      </c>
      <c r="AI5375">
        <v>96.323082191794498</v>
      </c>
      <c r="AJ5375">
        <v>97.671437431124403</v>
      </c>
      <c r="AK5375">
        <v>10.0965570762685</v>
      </c>
      <c r="AL5375">
        <v>64.879070510118396</v>
      </c>
      <c r="AM5375">
        <v>100.002418800504</v>
      </c>
      <c r="AN5375">
        <v>1.0000000275294201</v>
      </c>
    </row>
    <row r="5376" spans="1:40" x14ac:dyDescent="0.25">
      <c r="A5376" t="str">
        <f>"20190304164753514"</f>
        <v>20190304164753514</v>
      </c>
      <c r="B5376" t="str">
        <f>"1551689273504408"</f>
        <v>1551689273504408</v>
      </c>
      <c r="C5376" t="s">
        <v>40</v>
      </c>
      <c r="D5376">
        <v>4.5209409999999997</v>
      </c>
      <c r="E5376">
        <v>0.52808049999999995</v>
      </c>
      <c r="F5376" t="s">
        <v>60</v>
      </c>
      <c r="G5376">
        <v>-235.25219999999999</v>
      </c>
      <c r="H5376" s="1">
        <v>-1.5580040000000001E-6</v>
      </c>
      <c r="I5376">
        <v>-61.577579999999998</v>
      </c>
      <c r="J5376">
        <v>-245.2808</v>
      </c>
      <c r="K5376">
        <v>1.1119810000000001</v>
      </c>
      <c r="L5376">
        <v>-62.453159999999997</v>
      </c>
      <c r="M5376">
        <v>0.99877629999999995</v>
      </c>
      <c r="N5376">
        <v>-1.442508E-2</v>
      </c>
      <c r="O5376">
        <v>-4.7306229999999998E-2</v>
      </c>
      <c r="P5376">
        <v>0.90420590000000001</v>
      </c>
      <c r="Q5376">
        <v>0.4116689</v>
      </c>
      <c r="R5376">
        <v>0.1137563</v>
      </c>
      <c r="S5376">
        <v>3.4529570000000001</v>
      </c>
      <c r="T5376">
        <v>-0.37722529999999999</v>
      </c>
      <c r="U5376">
        <v>0.29470829999999998</v>
      </c>
      <c r="V5376">
        <v>-0.15716959999999999</v>
      </c>
      <c r="W5376">
        <v>0.4242958</v>
      </c>
      <c r="X5376">
        <v>0.89177949999999995</v>
      </c>
      <c r="Y5376">
        <v>-0.13099640000000001</v>
      </c>
      <c r="Z5376">
        <v>1.2536479999999999E-2</v>
      </c>
      <c r="AA5376">
        <v>0.99130359999999995</v>
      </c>
      <c r="AB5376">
        <v>32</v>
      </c>
      <c r="AC5376">
        <v>10.028600000000001</v>
      </c>
      <c r="AD5376">
        <v>-1.1119825580039999</v>
      </c>
      <c r="AE5376">
        <v>0.87557999999999203</v>
      </c>
      <c r="AF5376">
        <v>-1.3328018000512001</v>
      </c>
      <c r="AG5376">
        <v>-1.1119825580039999</v>
      </c>
      <c r="AH5376">
        <v>9.8556899319520799</v>
      </c>
      <c r="AI5376">
        <v>96.379671859295499</v>
      </c>
      <c r="AJ5376">
        <v>97.701485734443295</v>
      </c>
      <c r="AK5376">
        <v>10.0073717769605</v>
      </c>
      <c r="AL5376">
        <v>64.893900477549707</v>
      </c>
      <c r="AM5376">
        <v>99.995314938372303</v>
      </c>
      <c r="AN5376">
        <v>0.999999942841023</v>
      </c>
    </row>
    <row r="5377" spans="1:40" x14ac:dyDescent="0.25">
      <c r="A5377" t="str">
        <f>"20190304164753524"</f>
        <v>20190304164753524</v>
      </c>
      <c r="B5377" t="str">
        <f>"1551689273515145"</f>
        <v>1551689273515145</v>
      </c>
      <c r="C5377" t="s">
        <v>40</v>
      </c>
      <c r="D5377">
        <v>4.5391069999999996</v>
      </c>
      <c r="E5377">
        <v>0.5281768</v>
      </c>
      <c r="F5377" t="s">
        <v>60</v>
      </c>
      <c r="G5377">
        <v>-235.17269999999999</v>
      </c>
      <c r="H5377" s="1">
        <v>-1.526258E-6</v>
      </c>
      <c r="I5377">
        <v>-61.586410000000001</v>
      </c>
      <c r="J5377">
        <v>-245.13059999999999</v>
      </c>
      <c r="K5377">
        <v>1.1119829999999999</v>
      </c>
      <c r="L5377">
        <v>-62.45984</v>
      </c>
      <c r="M5377">
        <v>0.99879649999999998</v>
      </c>
      <c r="N5377">
        <v>-1.442367E-2</v>
      </c>
      <c r="O5377">
        <v>-4.6881939999999997E-2</v>
      </c>
      <c r="P5377">
        <v>0.90420069999999997</v>
      </c>
      <c r="Q5377">
        <v>0.41149619999999998</v>
      </c>
      <c r="R5377">
        <v>0.11442239999999999</v>
      </c>
      <c r="S5377">
        <v>3.4535520000000002</v>
      </c>
      <c r="T5377">
        <v>-0.3799225</v>
      </c>
      <c r="U5377">
        <v>0.29611209999999999</v>
      </c>
      <c r="V5377">
        <v>-0.15745519999999999</v>
      </c>
      <c r="W5377">
        <v>0.42412100000000003</v>
      </c>
      <c r="X5377">
        <v>0.89181239999999995</v>
      </c>
      <c r="Y5377">
        <v>-0.13094819999999999</v>
      </c>
      <c r="Z5377">
        <v>1.257806E-2</v>
      </c>
      <c r="AA5377">
        <v>0.99130940000000001</v>
      </c>
      <c r="AB5377">
        <v>32</v>
      </c>
      <c r="AC5377">
        <v>9.9578999999999898</v>
      </c>
      <c r="AD5377">
        <v>-1.1119845262579999</v>
      </c>
      <c r="AE5377">
        <v>0.87342999999999804</v>
      </c>
      <c r="AF5377">
        <v>-1.3229919685551099</v>
      </c>
      <c r="AG5377">
        <v>-1.1119845262579999</v>
      </c>
      <c r="AH5377">
        <v>9.7849110257993104</v>
      </c>
      <c r="AI5377">
        <v>96.425466362600005</v>
      </c>
      <c r="AJ5377">
        <v>97.700115539151795</v>
      </c>
      <c r="AK5377">
        <v>9.9363625697891802</v>
      </c>
      <c r="AL5377">
        <v>64.904963347217006</v>
      </c>
      <c r="AM5377">
        <v>100.012748715078</v>
      </c>
      <c r="AN5377">
        <v>1.00000005972089</v>
      </c>
    </row>
    <row r="5378" spans="1:40" x14ac:dyDescent="0.25">
      <c r="A5378" t="str">
        <f>"20190304164753535"</f>
        <v>20190304164753535</v>
      </c>
      <c r="B5378" t="str">
        <f>"1551689273524905"</f>
        <v>1551689273524905</v>
      </c>
      <c r="C5378" t="s">
        <v>40</v>
      </c>
      <c r="D5378">
        <v>4.5644</v>
      </c>
      <c r="E5378">
        <v>0.52819510000000003</v>
      </c>
      <c r="F5378" t="s">
        <v>60</v>
      </c>
      <c r="G5378">
        <v>-235.08260000000001</v>
      </c>
      <c r="H5378" s="1">
        <v>-1.4892719999999999E-6</v>
      </c>
      <c r="I5378">
        <v>-61.592700000000001</v>
      </c>
      <c r="J5378">
        <v>-244.98089999999999</v>
      </c>
      <c r="K5378">
        <v>1.1119859999999999</v>
      </c>
      <c r="L5378">
        <v>-62.466459999999998</v>
      </c>
      <c r="M5378">
        <v>0.99881620000000004</v>
      </c>
      <c r="N5378">
        <v>-1.4422259999999999E-2</v>
      </c>
      <c r="O5378">
        <v>-4.6459550000000002E-2</v>
      </c>
      <c r="P5378">
        <v>0.90400740000000002</v>
      </c>
      <c r="Q5378">
        <v>0.41178789999999998</v>
      </c>
      <c r="R5378">
        <v>0.114898</v>
      </c>
      <c r="S5378">
        <v>3.4540709999999999</v>
      </c>
      <c r="T5378">
        <v>-0.38225520000000002</v>
      </c>
      <c r="U5378">
        <v>0.29806519999999997</v>
      </c>
      <c r="V5378">
        <v>-0.15754489999999999</v>
      </c>
      <c r="W5378">
        <v>0.42440810000000001</v>
      </c>
      <c r="X5378">
        <v>0.89165989999999995</v>
      </c>
      <c r="Y5378">
        <v>-0.13106110000000001</v>
      </c>
      <c r="Z5378">
        <v>1.2617659999999999E-2</v>
      </c>
      <c r="AA5378">
        <v>0.99129400000000001</v>
      </c>
      <c r="AB5378">
        <v>32</v>
      </c>
      <c r="AC5378">
        <v>9.8982999999999706</v>
      </c>
      <c r="AD5378">
        <v>-1.1119874892720001</v>
      </c>
      <c r="AE5378">
        <v>0.87375999999999698</v>
      </c>
      <c r="AF5378">
        <v>-1.31625124103503</v>
      </c>
      <c r="AG5378">
        <v>-1.1119874892720001</v>
      </c>
      <c r="AH5378">
        <v>9.7252218807611204</v>
      </c>
      <c r="AI5378">
        <v>96.464470878195797</v>
      </c>
      <c r="AJ5378">
        <v>97.707808544681399</v>
      </c>
      <c r="AK5378">
        <v>9.87668841949864</v>
      </c>
      <c r="AL5378">
        <v>64.886796284703493</v>
      </c>
      <c r="AM5378">
        <v>100.020016023574</v>
      </c>
      <c r="AN5378">
        <v>1.00000000406481</v>
      </c>
    </row>
    <row r="5379" spans="1:40" x14ac:dyDescent="0.25">
      <c r="A5379" t="str">
        <f>"20190304164753546"</f>
        <v>20190304164753546</v>
      </c>
      <c r="B5379" t="str">
        <f>"1551689273534664"</f>
        <v>1551689273534664</v>
      </c>
      <c r="C5379" t="s">
        <v>40</v>
      </c>
      <c r="D5379">
        <v>4.539199</v>
      </c>
      <c r="E5379">
        <v>0.52826390000000001</v>
      </c>
      <c r="F5379" t="s">
        <v>60</v>
      </c>
      <c r="G5379">
        <v>-234.9188</v>
      </c>
      <c r="H5379" s="1">
        <v>-1.4197360000000001E-6</v>
      </c>
      <c r="I5379">
        <v>-61.595440000000004</v>
      </c>
      <c r="J5379">
        <v>-244.81800000000001</v>
      </c>
      <c r="K5379">
        <v>1.1119920000000001</v>
      </c>
      <c r="L5379">
        <v>-62.473570000000002</v>
      </c>
      <c r="M5379">
        <v>0.99883719999999998</v>
      </c>
      <c r="N5379">
        <v>-1.442071E-2</v>
      </c>
      <c r="O5379">
        <v>-4.6001180000000003E-2</v>
      </c>
      <c r="P5379">
        <v>0.90357659999999995</v>
      </c>
      <c r="Q5379">
        <v>0.41256520000000002</v>
      </c>
      <c r="R5379">
        <v>0.1154965</v>
      </c>
      <c r="S5379">
        <v>3.454453</v>
      </c>
      <c r="T5379">
        <v>-0.3817604</v>
      </c>
      <c r="U5379">
        <v>0.29901119999999998</v>
      </c>
      <c r="V5379">
        <v>-0.15771459999999901</v>
      </c>
      <c r="W5379">
        <v>0.42517739999999998</v>
      </c>
      <c r="X5379">
        <v>0.89126340000000004</v>
      </c>
      <c r="Y5379">
        <v>-0.13087269999999901</v>
      </c>
      <c r="Z5379">
        <v>1.2544720000000001E-2</v>
      </c>
      <c r="AA5379">
        <v>0.99131979999999997</v>
      </c>
      <c r="AB5379">
        <v>32</v>
      </c>
      <c r="AC5379">
        <v>9.8991999999999791</v>
      </c>
      <c r="AD5379">
        <v>-1.111993419736</v>
      </c>
      <c r="AE5379">
        <v>0.87812999999999097</v>
      </c>
      <c r="AF5379">
        <v>-1.31614451292083</v>
      </c>
      <c r="AG5379">
        <v>-1.111993419736</v>
      </c>
      <c r="AH5379">
        <v>9.7265439950302603</v>
      </c>
      <c r="AI5379">
        <v>96.463658804259495</v>
      </c>
      <c r="AJ5379">
        <v>97.706156032638006</v>
      </c>
      <c r="AK5379">
        <v>9.8779767073873508</v>
      </c>
      <c r="AL5379">
        <v>64.838109447211806</v>
      </c>
      <c r="AM5379">
        <v>100.03496172300601</v>
      </c>
      <c r="AN5379">
        <v>1.0000000823517301</v>
      </c>
    </row>
    <row r="5380" spans="1:40" x14ac:dyDescent="0.25">
      <c r="A5380" t="str">
        <f>"20190304164753558"</f>
        <v>20190304164753558</v>
      </c>
      <c r="B5380" t="str">
        <f>"1551689273555161"</f>
        <v>1551689273555161</v>
      </c>
      <c r="C5380" t="s">
        <v>40</v>
      </c>
      <c r="D5380">
        <v>4.4998760000000004</v>
      </c>
      <c r="E5380">
        <v>0.52832860000000004</v>
      </c>
      <c r="F5380" t="s">
        <v>60</v>
      </c>
      <c r="G5380">
        <v>-234.70699999999999</v>
      </c>
      <c r="H5380" s="1">
        <v>-1.329028E-6</v>
      </c>
      <c r="I5380">
        <v>-61.5961199999999</v>
      </c>
      <c r="J5380">
        <v>-244.66480000000001</v>
      </c>
      <c r="K5380">
        <v>1.111996</v>
      </c>
      <c r="L5380">
        <v>-62.480220000000003</v>
      </c>
      <c r="M5380">
        <v>0.99885710000000005</v>
      </c>
      <c r="N5380">
        <v>-1.441925E-2</v>
      </c>
      <c r="O5380">
        <v>-4.557071E-2</v>
      </c>
      <c r="P5380">
        <v>0.90314229999999995</v>
      </c>
      <c r="Q5380">
        <v>0.41337610000000002</v>
      </c>
      <c r="R5380">
        <v>0.1159941</v>
      </c>
      <c r="S5380">
        <v>3.4553069999999999</v>
      </c>
      <c r="T5380">
        <v>-0.38000830000000002</v>
      </c>
      <c r="U5380">
        <v>0.29983520000000002</v>
      </c>
      <c r="V5380">
        <v>-0.157808</v>
      </c>
      <c r="W5380">
        <v>0.42598039999999998</v>
      </c>
      <c r="X5380">
        <v>0.89086319999999997</v>
      </c>
      <c r="Y5380">
        <v>-0.13067290000000001</v>
      </c>
      <c r="Z5380">
        <v>1.243232E-2</v>
      </c>
      <c r="AA5380">
        <v>0.9913476</v>
      </c>
      <c r="AB5380">
        <v>32</v>
      </c>
      <c r="AC5380">
        <v>9.9578000000000095</v>
      </c>
      <c r="AD5380">
        <v>-1.1119973290279901</v>
      </c>
      <c r="AE5380">
        <v>0.88410000000000299</v>
      </c>
      <c r="AF5380">
        <v>-1.3206719918091701</v>
      </c>
      <c r="AG5380">
        <v>-1.1119973290279901</v>
      </c>
      <c r="AH5380">
        <v>9.7860776597430998</v>
      </c>
      <c r="AI5380">
        <v>96.424994110635794</v>
      </c>
      <c r="AJ5380">
        <v>97.685868909665302</v>
      </c>
      <c r="AK5380">
        <v>9.9372042613723899</v>
      </c>
      <c r="AL5380">
        <v>64.787263422001203</v>
      </c>
      <c r="AM5380">
        <v>100.04520237493099</v>
      </c>
      <c r="AN5380">
        <v>0.99999995358119798</v>
      </c>
    </row>
    <row r="5381" spans="1:40" x14ac:dyDescent="0.25">
      <c r="A5381" t="str">
        <f>"20190304164753568"</f>
        <v>20190304164753568</v>
      </c>
      <c r="B5381" t="str">
        <f>"1551689273564920"</f>
        <v>1551689273564920</v>
      </c>
      <c r="C5381" t="s">
        <v>40</v>
      </c>
      <c r="D5381">
        <v>4.5018330000000004</v>
      </c>
      <c r="E5381">
        <v>0.52830790000000005</v>
      </c>
      <c r="F5381" t="s">
        <v>60</v>
      </c>
      <c r="G5381">
        <v>-234.4742</v>
      </c>
      <c r="H5381" s="1">
        <v>-1.228633E-6</v>
      </c>
      <c r="I5381">
        <v>-61.594009999999997</v>
      </c>
      <c r="J5381">
        <v>-244.49979999999999</v>
      </c>
      <c r="K5381">
        <v>1.1120000000000001</v>
      </c>
      <c r="L5381">
        <v>-62.487299999999998</v>
      </c>
      <c r="M5381">
        <v>0.99887820000000005</v>
      </c>
      <c r="N5381">
        <v>-1.4417650000000001E-2</v>
      </c>
      <c r="O5381">
        <v>-4.5108059999999998E-2</v>
      </c>
      <c r="P5381">
        <v>0.90262960000000003</v>
      </c>
      <c r="Q5381">
        <v>0.41432360000000001</v>
      </c>
      <c r="R5381">
        <v>0.1166015</v>
      </c>
      <c r="S5381">
        <v>3.455765</v>
      </c>
      <c r="T5381">
        <v>-0.37709500000000001</v>
      </c>
      <c r="U5381">
        <v>0.30050660000000001</v>
      </c>
      <c r="V5381">
        <v>-0.157978799999999</v>
      </c>
      <c r="W5381">
        <v>0.42691889999999999</v>
      </c>
      <c r="X5381">
        <v>0.89038359999999905</v>
      </c>
      <c r="Y5381">
        <v>-0.130414</v>
      </c>
      <c r="Z5381">
        <v>1.227848E-2</v>
      </c>
      <c r="AA5381">
        <v>0.99138360000000003</v>
      </c>
      <c r="AB5381">
        <v>32</v>
      </c>
      <c r="AC5381">
        <v>10.025599999999899</v>
      </c>
      <c r="AD5381">
        <v>-1.1120012286329899</v>
      </c>
      <c r="AE5381">
        <v>0.89329000000000003</v>
      </c>
      <c r="AF5381">
        <v>-1.3284484828291601</v>
      </c>
      <c r="AG5381">
        <v>-1.1120012286329899</v>
      </c>
      <c r="AH5381">
        <v>9.8548113012856593</v>
      </c>
      <c r="AI5381">
        <v>96.380702749992395</v>
      </c>
      <c r="AJ5381">
        <v>97.677307165202507</v>
      </c>
      <c r="AK5381">
        <v>10.005929636368601</v>
      </c>
      <c r="AL5381">
        <v>64.727815942955701</v>
      </c>
      <c r="AM5381">
        <v>100.061158694277</v>
      </c>
      <c r="AN5381">
        <v>1.0000000017877999</v>
      </c>
    </row>
    <row r="5382" spans="1:40" x14ac:dyDescent="0.25">
      <c r="A5382" t="str">
        <f>"20190304164753581"</f>
        <v>20190304164753581</v>
      </c>
      <c r="B5382" t="str">
        <f>"1551689273574681"</f>
        <v>1551689273574681</v>
      </c>
      <c r="C5382" t="s">
        <v>40</v>
      </c>
      <c r="D5382">
        <v>4.5247900000000003</v>
      </c>
      <c r="E5382">
        <v>0.52834269999999905</v>
      </c>
      <c r="F5382" t="s">
        <v>60</v>
      </c>
      <c r="G5382">
        <v>-234.20660000000001</v>
      </c>
      <c r="H5382" s="1">
        <v>-1.111604E-6</v>
      </c>
      <c r="I5382">
        <v>-61.585659999999997</v>
      </c>
      <c r="J5382">
        <v>-244.32320000000001</v>
      </c>
      <c r="K5382">
        <v>1.1120049999999999</v>
      </c>
      <c r="L5382">
        <v>-62.494750000000003</v>
      </c>
      <c r="M5382">
        <v>0.99890040000000002</v>
      </c>
      <c r="N5382">
        <v>-1.441594E-2</v>
      </c>
      <c r="O5382">
        <v>-4.4613460000000001E-2</v>
      </c>
      <c r="P5382">
        <v>0.9022403</v>
      </c>
      <c r="Q5382">
        <v>0.41504079999999899</v>
      </c>
      <c r="R5382">
        <v>0.11706279999999999</v>
      </c>
      <c r="S5382">
        <v>3.455902</v>
      </c>
      <c r="T5382">
        <v>-0.37335170000000001</v>
      </c>
      <c r="U5382">
        <v>0.30270390000000003</v>
      </c>
      <c r="V5382">
        <v>-0.15798039999999999</v>
      </c>
      <c r="W5382">
        <v>0.4276298</v>
      </c>
      <c r="X5382">
        <v>0.89004209999999995</v>
      </c>
      <c r="Y5382">
        <v>-0.1305673</v>
      </c>
      <c r="Z5382">
        <v>1.212265E-2</v>
      </c>
      <c r="AA5382">
        <v>0.9913653</v>
      </c>
      <c r="AB5382">
        <v>32</v>
      </c>
      <c r="AC5382">
        <v>10.1166</v>
      </c>
      <c r="AD5382">
        <v>-1.1120061116040001</v>
      </c>
      <c r="AE5382">
        <v>0.90909000000000595</v>
      </c>
      <c r="AF5382">
        <v>-1.3434660742442699</v>
      </c>
      <c r="AG5382">
        <v>-1.1120061116040001</v>
      </c>
      <c r="AH5382">
        <v>9.9467474971356804</v>
      </c>
      <c r="AI5382">
        <v>96.322014954932996</v>
      </c>
      <c r="AJ5382">
        <v>97.692154088739301</v>
      </c>
      <c r="AK5382">
        <v>10.0984773335718</v>
      </c>
      <c r="AL5382">
        <v>64.682764824603794</v>
      </c>
      <c r="AM5382">
        <v>100.065039996539</v>
      </c>
      <c r="AN5382">
        <v>0.99999999620230495</v>
      </c>
    </row>
    <row r="5383" spans="1:40" x14ac:dyDescent="0.25">
      <c r="A5383" t="str">
        <f>"20190304164753594"</f>
        <v>20190304164753594</v>
      </c>
      <c r="B5383" t="str">
        <f>"1551689273584441"</f>
        <v>1551689273584441</v>
      </c>
      <c r="C5383" t="s">
        <v>40</v>
      </c>
      <c r="D5383">
        <v>4.5341509999999996</v>
      </c>
      <c r="E5383">
        <v>0.52837749999999895</v>
      </c>
      <c r="F5383" t="s">
        <v>60</v>
      </c>
      <c r="G5383">
        <v>-233.9674</v>
      </c>
      <c r="H5383" s="1">
        <v>-1.008249E-6</v>
      </c>
      <c r="I5383">
        <v>-61.582970000000003</v>
      </c>
      <c r="J5383">
        <v>-244.1474</v>
      </c>
      <c r="K5383">
        <v>1.1120080000000001</v>
      </c>
      <c r="L5383">
        <v>-62.5021699999999</v>
      </c>
      <c r="M5383">
        <v>0.99892230000000004</v>
      </c>
      <c r="N5383">
        <v>-1.441422E-2</v>
      </c>
      <c r="O5383">
        <v>-4.4121609999999999E-2</v>
      </c>
      <c r="P5383">
        <v>0.9017965</v>
      </c>
      <c r="Q5383">
        <v>0.4158365</v>
      </c>
      <c r="R5383">
        <v>0.1176585</v>
      </c>
      <c r="S5383">
        <v>3.4562840000000001</v>
      </c>
      <c r="T5383">
        <v>-0.37113610000000002</v>
      </c>
      <c r="U5383">
        <v>0.30429079999999997</v>
      </c>
      <c r="V5383">
        <v>-0.15811620000000001</v>
      </c>
      <c r="W5383">
        <v>0.42841800000000002</v>
      </c>
      <c r="X5383">
        <v>0.88963879999999995</v>
      </c>
      <c r="Y5383">
        <v>-0.13053609999999999</v>
      </c>
      <c r="Z5383">
        <v>1.2003949999999999E-2</v>
      </c>
      <c r="AA5383">
        <v>0.99137090000000005</v>
      </c>
      <c r="AB5383">
        <v>32</v>
      </c>
      <c r="AC5383">
        <v>10.18</v>
      </c>
      <c r="AD5383">
        <v>-1.112009008249</v>
      </c>
      <c r="AE5383">
        <v>0.91919999999999602</v>
      </c>
      <c r="AF5383">
        <v>-1.35151314321055</v>
      </c>
      <c r="AG5383">
        <v>-1.112009008249</v>
      </c>
      <c r="AH5383">
        <v>10.0110357542993</v>
      </c>
      <c r="AI5383">
        <v>96.2818109562903</v>
      </c>
      <c r="AJ5383">
        <v>97.688578827094403</v>
      </c>
      <c r="AK5383">
        <v>10.162873052663601</v>
      </c>
      <c r="AL5383">
        <v>64.632794502416402</v>
      </c>
      <c r="AM5383">
        <v>100.077987824433</v>
      </c>
      <c r="AN5383">
        <v>0.99999995494593896</v>
      </c>
    </row>
    <row r="5384" spans="1:40" x14ac:dyDescent="0.25">
      <c r="A5384" t="str">
        <f>"20190304164753606"</f>
        <v>20190304164753606</v>
      </c>
      <c r="B5384" t="str">
        <f>"1551689273595177"</f>
        <v>1551689273595177</v>
      </c>
      <c r="C5384" t="s">
        <v>40</v>
      </c>
      <c r="D5384">
        <v>4.5580299999999996</v>
      </c>
      <c r="E5384">
        <v>0.52842929999999999</v>
      </c>
      <c r="F5384" t="s">
        <v>60</v>
      </c>
      <c r="G5384">
        <v>-233.72059999999999</v>
      </c>
      <c r="H5384" s="1">
        <v>-9.0077149999999997E-7</v>
      </c>
      <c r="I5384">
        <v>-61.5768699999999</v>
      </c>
      <c r="J5384">
        <v>-243.9665</v>
      </c>
      <c r="K5384">
        <v>1.1120099999999999</v>
      </c>
      <c r="L5384">
        <v>-62.50958</v>
      </c>
      <c r="M5384">
        <v>0.99894450000000001</v>
      </c>
      <c r="N5384">
        <v>-1.441244E-2</v>
      </c>
      <c r="O5384">
        <v>-4.3615580000000001E-2</v>
      </c>
      <c r="P5384">
        <v>0.90147080000000002</v>
      </c>
      <c r="Q5384">
        <v>0.41634139999999997</v>
      </c>
      <c r="R5384">
        <v>0.11836480000000001</v>
      </c>
      <c r="S5384">
        <v>3.4566499999999998</v>
      </c>
      <c r="T5384">
        <v>-0.3686488</v>
      </c>
      <c r="U5384">
        <v>0.30673220000000001</v>
      </c>
      <c r="V5384">
        <v>-0.15835479999999999</v>
      </c>
      <c r="W5384">
        <v>0.42891639999999998</v>
      </c>
      <c r="X5384">
        <v>0.88935620000000004</v>
      </c>
      <c r="Y5384">
        <v>-0.13073419999999999</v>
      </c>
      <c r="Z5384">
        <v>1.188991E-2</v>
      </c>
      <c r="AA5384">
        <v>0.99134619999999996</v>
      </c>
      <c r="AB5384">
        <v>32</v>
      </c>
      <c r="AC5384">
        <v>10.245900000000001</v>
      </c>
      <c r="AD5384">
        <v>-1.1120109007715</v>
      </c>
      <c r="AE5384">
        <v>0.93271000000001403</v>
      </c>
      <c r="AF5384">
        <v>-1.36282832819079</v>
      </c>
      <c r="AG5384">
        <v>-1.1120109007715</v>
      </c>
      <c r="AH5384">
        <v>10.077730413735299</v>
      </c>
      <c r="AI5384">
        <v>96.240388998382798</v>
      </c>
      <c r="AJ5384">
        <v>97.701483580185496</v>
      </c>
      <c r="AK5384">
        <v>10.230079158417</v>
      </c>
      <c r="AL5384">
        <v>64.601187806599199</v>
      </c>
      <c r="AM5384">
        <v>100.096024378588</v>
      </c>
      <c r="AN5384">
        <v>0.99999998567521997</v>
      </c>
    </row>
    <row r="5385" spans="1:40" x14ac:dyDescent="0.25">
      <c r="A5385" t="str">
        <f>"20190304164753620"</f>
        <v>20190304164753620</v>
      </c>
      <c r="B5385" t="str">
        <f>"1551689273614696"</f>
        <v>1551689273614696</v>
      </c>
      <c r="C5385" t="s">
        <v>40</v>
      </c>
      <c r="D5385">
        <v>4.5369070000000002</v>
      </c>
      <c r="E5385">
        <v>0.52851429999999999</v>
      </c>
      <c r="F5385" t="s">
        <v>60</v>
      </c>
      <c r="G5385">
        <v>-233.49860000000001</v>
      </c>
      <c r="H5385" s="1">
        <v>-8.0469350000000003E-7</v>
      </c>
      <c r="I5385">
        <v>-61.573680000000003</v>
      </c>
      <c r="J5385">
        <v>-243.7773</v>
      </c>
      <c r="K5385">
        <v>1.112015</v>
      </c>
      <c r="L5385">
        <v>-62.517330000000001</v>
      </c>
      <c r="M5385">
        <v>0.99896759999999996</v>
      </c>
      <c r="N5385">
        <v>-1.4410569999999999E-2</v>
      </c>
      <c r="O5385">
        <v>-4.3086310000000003E-2</v>
      </c>
      <c r="P5385">
        <v>0.90109680000000003</v>
      </c>
      <c r="Q5385">
        <v>0.41701440000000001</v>
      </c>
      <c r="R5385">
        <v>0.1188438</v>
      </c>
      <c r="S5385">
        <v>3.456909</v>
      </c>
      <c r="T5385">
        <v>-0.3672299</v>
      </c>
      <c r="U5385">
        <v>0.30905149999999998</v>
      </c>
      <c r="V5385">
        <v>-0.15834409999999999</v>
      </c>
      <c r="W5385">
        <v>0.42958350000000001</v>
      </c>
      <c r="X5385">
        <v>0.889036099999999</v>
      </c>
      <c r="Y5385">
        <v>-0.1308716</v>
      </c>
      <c r="Z5385">
        <v>1.18042999999999E-2</v>
      </c>
      <c r="AA5385">
        <v>0.99132909999999996</v>
      </c>
      <c r="AB5385">
        <v>32</v>
      </c>
      <c r="AC5385">
        <v>10.278699999999899</v>
      </c>
      <c r="AD5385">
        <v>-1.1120158046935</v>
      </c>
      <c r="AE5385">
        <v>0.94364999999999799</v>
      </c>
      <c r="AF5385">
        <v>-1.3697922038097601</v>
      </c>
      <c r="AG5385">
        <v>-1.1120158046935</v>
      </c>
      <c r="AH5385">
        <v>10.1111354571501</v>
      </c>
      <c r="AI5385">
        <v>96.219762691072106</v>
      </c>
      <c r="AJ5385">
        <v>97.715097263721802</v>
      </c>
      <c r="AK5385">
        <v>10.2639159225096</v>
      </c>
      <c r="AL5385">
        <v>64.558869422057995</v>
      </c>
      <c r="AM5385">
        <v>100.09891628232199</v>
      </c>
      <c r="AN5385">
        <v>1.00000001229013</v>
      </c>
    </row>
    <row r="5386" spans="1:40" x14ac:dyDescent="0.25">
      <c r="A5386" t="str">
        <f>"20190304164753632"</f>
        <v>20190304164753632</v>
      </c>
      <c r="B5386" t="str">
        <f>"1551689273624457"</f>
        <v>1551689273624457</v>
      </c>
      <c r="C5386" t="s">
        <v>40</v>
      </c>
      <c r="D5386">
        <v>4.473001</v>
      </c>
      <c r="E5386">
        <v>0.52851429999999999</v>
      </c>
      <c r="F5386" t="s">
        <v>60</v>
      </c>
      <c r="G5386">
        <v>-233.3023</v>
      </c>
      <c r="H5386" s="1">
        <v>-7.2119129999999997E-7</v>
      </c>
      <c r="I5386">
        <v>-61.576349999999998</v>
      </c>
      <c r="J5386">
        <v>-243.5993</v>
      </c>
      <c r="K5386">
        <v>1.1120139999999901</v>
      </c>
      <c r="L5386">
        <v>-62.524540000000002</v>
      </c>
      <c r="M5386">
        <v>0.99898889999999996</v>
      </c>
      <c r="N5386">
        <v>-1.4408789999999999E-2</v>
      </c>
      <c r="O5386">
        <v>-4.2588399999999998E-2</v>
      </c>
      <c r="P5386">
        <v>0.90088570000000001</v>
      </c>
      <c r="Q5386">
        <v>0.41720109999999999</v>
      </c>
      <c r="R5386">
        <v>0.11978510000000001</v>
      </c>
      <c r="S5386">
        <v>3.4582060000000001</v>
      </c>
      <c r="T5386">
        <v>-0.36712339999999999</v>
      </c>
      <c r="U5386">
        <v>0.31063839999999998</v>
      </c>
      <c r="V5386">
        <v>-0.1588291</v>
      </c>
      <c r="W5386">
        <v>0.42976530000000002</v>
      </c>
      <c r="X5386">
        <v>0.88886169999999998</v>
      </c>
      <c r="Y5386">
        <v>-0.13079969999999999</v>
      </c>
      <c r="Z5386">
        <v>1.1746700000000001E-2</v>
      </c>
      <c r="AA5386">
        <v>0.99133919999999998</v>
      </c>
      <c r="AB5386">
        <v>32</v>
      </c>
      <c r="AC5386">
        <v>10.296999999999899</v>
      </c>
      <c r="AD5386">
        <v>-1.1120147211912901</v>
      </c>
      <c r="AE5386">
        <v>0.94819000000000397</v>
      </c>
      <c r="AF5386">
        <v>-1.3700634624275501</v>
      </c>
      <c r="AG5386">
        <v>-1.1120147211912901</v>
      </c>
      <c r="AH5386">
        <v>10.130118239781901</v>
      </c>
      <c r="AI5386">
        <v>96.208378535249693</v>
      </c>
      <c r="AJ5386">
        <v>97.702320299645294</v>
      </c>
      <c r="AK5386">
        <v>10.282652682221</v>
      </c>
      <c r="AL5386">
        <v>64.547333827748801</v>
      </c>
      <c r="AM5386">
        <v>100.13115545543501</v>
      </c>
      <c r="AN5386">
        <v>1.0000000089088901</v>
      </c>
    </row>
    <row r="5387" spans="1:40" x14ac:dyDescent="0.25">
      <c r="A5387" t="str">
        <f>"20190304164753646"</f>
        <v>20190304164753646</v>
      </c>
      <c r="B5387" t="str">
        <f>"1551689273635192"</f>
        <v>1551689273635192</v>
      </c>
      <c r="C5387" t="s">
        <v>40</v>
      </c>
      <c r="D5387">
        <v>4.4663300000000001</v>
      </c>
      <c r="E5387">
        <v>0.52538169999999995</v>
      </c>
      <c r="F5387" t="s">
        <v>60</v>
      </c>
      <c r="G5387">
        <v>-233.1037</v>
      </c>
      <c r="H5387" s="1">
        <v>-6.3460380000000005E-7</v>
      </c>
      <c r="I5387">
        <v>-61.571170000000002</v>
      </c>
      <c r="J5387">
        <v>-243.39439999999999</v>
      </c>
      <c r="K5387">
        <v>1.1120129999999999</v>
      </c>
      <c r="L5387">
        <v>-62.532649999999997</v>
      </c>
      <c r="M5387">
        <v>0.99901320000000005</v>
      </c>
      <c r="N5387">
        <v>-1.4406739999999999E-2</v>
      </c>
      <c r="O5387">
        <v>-4.2015619999999997E-2</v>
      </c>
      <c r="P5387">
        <v>0.90066489999999999</v>
      </c>
      <c r="Q5387">
        <v>0.41729379999999999</v>
      </c>
      <c r="R5387">
        <v>0.1211163</v>
      </c>
      <c r="S5387">
        <v>3.4579930000000001</v>
      </c>
      <c r="T5387">
        <v>-0.36637710000000001</v>
      </c>
      <c r="U5387">
        <v>0.3140869</v>
      </c>
      <c r="V5387">
        <v>-0.15963640000000001</v>
      </c>
      <c r="W5387">
        <v>0.42985220000000002</v>
      </c>
      <c r="X5387">
        <v>0.88867499999999999</v>
      </c>
      <c r="Y5387">
        <v>-0.13122110000000001</v>
      </c>
      <c r="Z5387">
        <v>1.1696929999999999E-2</v>
      </c>
      <c r="AA5387">
        <v>0.9912841</v>
      </c>
      <c r="AB5387">
        <v>32</v>
      </c>
      <c r="AC5387">
        <v>10.2906999999999</v>
      </c>
      <c r="AD5387">
        <v>-1.1120136346038001</v>
      </c>
      <c r="AE5387">
        <v>0.961480000000001</v>
      </c>
      <c r="AF5387">
        <v>-1.37710450196705</v>
      </c>
      <c r="AG5387">
        <v>-1.1120136346038001</v>
      </c>
      <c r="AH5387">
        <v>10.1240147639021</v>
      </c>
      <c r="AI5387">
        <v>96.211448300635098</v>
      </c>
      <c r="AJ5387">
        <v>97.746035762711699</v>
      </c>
      <c r="AK5387">
        <v>10.2775807499912</v>
      </c>
      <c r="AL5387">
        <v>64.541818563258403</v>
      </c>
      <c r="AM5387">
        <v>100.18366996851699</v>
      </c>
      <c r="AN5387">
        <v>0.999999974837399</v>
      </c>
    </row>
    <row r="5388" spans="1:40" x14ac:dyDescent="0.25">
      <c r="A5388" t="str">
        <f>"20190304164753659"</f>
        <v>20190304164753659</v>
      </c>
      <c r="B5388" t="str">
        <f>"1551689273654713"</f>
        <v>1551689273654713</v>
      </c>
      <c r="C5388" t="s">
        <v>40</v>
      </c>
      <c r="D5388">
        <v>4.439559</v>
      </c>
      <c r="E5388">
        <v>0.52538439999999997</v>
      </c>
      <c r="F5388" t="s">
        <v>61</v>
      </c>
      <c r="G5388">
        <v>-229.92949999999999</v>
      </c>
      <c r="H5388" s="1">
        <v>-3.499211E-6</v>
      </c>
      <c r="I5388">
        <v>-61.217300000000002</v>
      </c>
      <c r="J5388">
        <v>-243.2329</v>
      </c>
      <c r="K5388">
        <v>1.112012</v>
      </c>
      <c r="L5388">
        <v>-62.539000000000001</v>
      </c>
      <c r="M5388">
        <v>0.99903209999999998</v>
      </c>
      <c r="N5388">
        <v>-1.440511E-2</v>
      </c>
      <c r="O5388">
        <v>-4.1563959999999997E-2</v>
      </c>
      <c r="P5388">
        <v>0.90051000000000003</v>
      </c>
      <c r="Q5388">
        <v>0.41736210000000001</v>
      </c>
      <c r="R5388">
        <v>0.1220287</v>
      </c>
      <c r="S5388">
        <v>3.4167179999999999</v>
      </c>
      <c r="T5388">
        <v>-0.28217419999999999</v>
      </c>
      <c r="U5388">
        <v>0.33377079999999998</v>
      </c>
      <c r="V5388">
        <v>-0.16013640000000001</v>
      </c>
      <c r="W5388">
        <v>0.42991679999999999</v>
      </c>
      <c r="X5388">
        <v>0.88855379999999995</v>
      </c>
      <c r="Y5388">
        <v>-0.13786909999999999</v>
      </c>
      <c r="Z5388">
        <v>9.4906769999999994E-3</v>
      </c>
      <c r="AA5388">
        <v>0.99040499999999998</v>
      </c>
      <c r="AB5388">
        <v>32</v>
      </c>
      <c r="AC5388">
        <v>13.3034</v>
      </c>
      <c r="AD5388">
        <v>-1.1120154992110001</v>
      </c>
      <c r="AE5388">
        <v>1.3216999999999901</v>
      </c>
      <c r="AF5388">
        <v>-1.86068322432863</v>
      </c>
      <c r="AG5388">
        <v>-1.1120154992110001</v>
      </c>
      <c r="AH5388">
        <v>13.1460060707258</v>
      </c>
      <c r="AI5388">
        <v>94.787623502652806</v>
      </c>
      <c r="AJ5388">
        <v>98.056120787910103</v>
      </c>
      <c r="AK5388">
        <v>13.3235204110378</v>
      </c>
      <c r="AL5388">
        <v>64.537719508326902</v>
      </c>
      <c r="AM5388">
        <v>100.21625981543001</v>
      </c>
      <c r="AN5388">
        <v>0.99999998851081995</v>
      </c>
    </row>
    <row r="5389" spans="1:40" x14ac:dyDescent="0.25">
      <c r="A5389" t="str">
        <f>"20190304164753670"</f>
        <v>20190304164753670</v>
      </c>
      <c r="B5389" t="str">
        <f>"1551689273664472"</f>
        <v>1551689273664472</v>
      </c>
      <c r="C5389" t="s">
        <v>40</v>
      </c>
      <c r="D5389">
        <v>4.4594880000000003</v>
      </c>
      <c r="E5389">
        <v>0.52539069999999899</v>
      </c>
      <c r="F5389" t="s">
        <v>61</v>
      </c>
      <c r="G5389">
        <v>-229.82830000000001</v>
      </c>
      <c r="H5389" s="1">
        <v>-3.4647519999999998E-6</v>
      </c>
      <c r="I5389">
        <v>-61.217149999999997</v>
      </c>
      <c r="J5389">
        <v>-243.06020000000001</v>
      </c>
      <c r="K5389">
        <v>1.1120110000000001</v>
      </c>
      <c r="L5389">
        <v>-62.545720000000003</v>
      </c>
      <c r="M5389">
        <v>0.9990521</v>
      </c>
      <c r="N5389">
        <v>-1.4403350000000001E-2</v>
      </c>
      <c r="O5389">
        <v>-4.1080829999999999E-2</v>
      </c>
      <c r="P5389">
        <v>0.90044259999999998</v>
      </c>
      <c r="Q5389">
        <v>0.41724919999999999</v>
      </c>
      <c r="R5389">
        <v>0.1229087</v>
      </c>
      <c r="S5389">
        <v>3.4171749999999999</v>
      </c>
      <c r="T5389">
        <v>-0.28348179999999901</v>
      </c>
      <c r="U5389">
        <v>0.33697510000000003</v>
      </c>
      <c r="V5389">
        <v>-0.16057920000000001</v>
      </c>
      <c r="W5389">
        <v>0.4298014</v>
      </c>
      <c r="X5389">
        <v>0.88852969999999898</v>
      </c>
      <c r="Y5389">
        <v>-0.138291</v>
      </c>
      <c r="Z5389">
        <v>9.5185749999999996E-3</v>
      </c>
      <c r="AA5389">
        <v>0.9903459</v>
      </c>
      <c r="AB5389">
        <v>32</v>
      </c>
      <c r="AC5389">
        <v>13.2318999999999</v>
      </c>
      <c r="AD5389">
        <v>-1.1120144647520001</v>
      </c>
      <c r="AE5389">
        <v>1.32856999999999</v>
      </c>
      <c r="AF5389">
        <v>-1.8580896795412001</v>
      </c>
      <c r="AG5389">
        <v>-1.1120144647520001</v>
      </c>
      <c r="AH5389">
        <v>13.0747208785591</v>
      </c>
      <c r="AI5389">
        <v>94.813217635348806</v>
      </c>
      <c r="AJ5389">
        <v>98.088322526087097</v>
      </c>
      <c r="AK5389">
        <v>13.252826094054999</v>
      </c>
      <c r="AL5389">
        <v>64.545042177894999</v>
      </c>
      <c r="AM5389">
        <v>100.244183821352</v>
      </c>
      <c r="AN5389">
        <v>0.99999997534834395</v>
      </c>
    </row>
    <row r="5390" spans="1:40" x14ac:dyDescent="0.25">
      <c r="A5390" t="str">
        <f>"20190304164753681"</f>
        <v>20190304164753681</v>
      </c>
      <c r="B5390" t="str">
        <f>"1551689273674233"</f>
        <v>1551689273674233</v>
      </c>
      <c r="C5390" t="s">
        <v>40</v>
      </c>
      <c r="D5390">
        <v>4.4472569999999996</v>
      </c>
      <c r="E5390">
        <v>0.5255571</v>
      </c>
      <c r="F5390" t="s">
        <v>61</v>
      </c>
      <c r="G5390">
        <v>-229.80189999999999</v>
      </c>
      <c r="H5390" s="1">
        <v>-3.4572609999999999E-6</v>
      </c>
      <c r="I5390">
        <v>-61.228369999999998</v>
      </c>
      <c r="J5390">
        <v>-242.9091</v>
      </c>
      <c r="K5390">
        <v>1.1120080000000001</v>
      </c>
      <c r="L5390">
        <v>-62.551479999999998</v>
      </c>
      <c r="M5390">
        <v>0.99906950000000005</v>
      </c>
      <c r="N5390">
        <v>-1.4401799999999999E-2</v>
      </c>
      <c r="O5390">
        <v>-4.0657659999999998E-2</v>
      </c>
      <c r="P5390">
        <v>0.90030119999999902</v>
      </c>
      <c r="Q5390">
        <v>0.41723369999999999</v>
      </c>
      <c r="R5390">
        <v>0.1239932</v>
      </c>
      <c r="S5390">
        <v>3.418167</v>
      </c>
      <c r="T5390">
        <v>-0.28669289999999997</v>
      </c>
      <c r="U5390">
        <v>0.33963009999999999</v>
      </c>
      <c r="V5390">
        <v>-0.16127739999999999</v>
      </c>
      <c r="W5390">
        <v>0.42978159999999999</v>
      </c>
      <c r="X5390">
        <v>0.8884128</v>
      </c>
      <c r="Y5390">
        <v>-0.1385912</v>
      </c>
      <c r="Z5390">
        <v>9.6038909999999998E-3</v>
      </c>
      <c r="AA5390">
        <v>0.99030309999999999</v>
      </c>
      <c r="AB5390">
        <v>32</v>
      </c>
      <c r="AC5390">
        <v>13.107200000000001</v>
      </c>
      <c r="AD5390">
        <v>-1.11201145726099</v>
      </c>
      <c r="AE5390">
        <v>1.32311</v>
      </c>
      <c r="AF5390">
        <v>-1.84185546468263</v>
      </c>
      <c r="AG5390">
        <v>-1.11201145726099</v>
      </c>
      <c r="AH5390">
        <v>12.950286669756199</v>
      </c>
      <c r="AI5390">
        <v>94.859157038779401</v>
      </c>
      <c r="AJ5390">
        <v>98.094608571441796</v>
      </c>
      <c r="AK5390">
        <v>13.1277921168308</v>
      </c>
      <c r="AL5390">
        <v>64.5462982694484</v>
      </c>
      <c r="AM5390">
        <v>100.289101204548</v>
      </c>
      <c r="AN5390">
        <v>0.99999996332657903</v>
      </c>
    </row>
    <row r="5391" spans="1:40" x14ac:dyDescent="0.25">
      <c r="A5391" t="str">
        <f>"20190304164753691"</f>
        <v>20190304164753691</v>
      </c>
      <c r="B5391" t="str">
        <f>"1551689273684969"</f>
        <v>1551689273684969</v>
      </c>
      <c r="C5391" t="s">
        <v>40</v>
      </c>
      <c r="D5391">
        <v>4.5380789999999998</v>
      </c>
      <c r="E5391">
        <v>0.5255571</v>
      </c>
      <c r="F5391" t="s">
        <v>61</v>
      </c>
      <c r="G5391">
        <v>-229.69329999999999</v>
      </c>
      <c r="H5391" s="1">
        <v>-3.4207219999999999E-6</v>
      </c>
      <c r="I5391">
        <v>-61.231529999999999</v>
      </c>
      <c r="J5391">
        <v>-242.7535</v>
      </c>
      <c r="K5391">
        <v>1.1120049999999999</v>
      </c>
      <c r="L5391">
        <v>-62.557369999999999</v>
      </c>
      <c r="M5391">
        <v>0.99908699999999995</v>
      </c>
      <c r="N5391">
        <v>-1.440021E-2</v>
      </c>
      <c r="O5391">
        <v>-4.0221970000000003E-2</v>
      </c>
      <c r="P5391">
        <v>0.900099599999999</v>
      </c>
      <c r="Q5391">
        <v>0.41737940000000001</v>
      </c>
      <c r="R5391">
        <v>0.1249594</v>
      </c>
      <c r="S5391">
        <v>3.4185029999999998</v>
      </c>
      <c r="T5391">
        <v>-0.28764250000000002</v>
      </c>
      <c r="U5391">
        <v>0.34143069999999998</v>
      </c>
      <c r="V5391">
        <v>-0.16184389999999901</v>
      </c>
      <c r="W5391">
        <v>0.42992279999999999</v>
      </c>
      <c r="X5391">
        <v>0.88824150000000002</v>
      </c>
      <c r="Y5391">
        <v>-0.13866300000000001</v>
      </c>
      <c r="Z5391">
        <v>9.6063450000000005E-3</v>
      </c>
      <c r="AA5391">
        <v>0.99029299999999998</v>
      </c>
      <c r="AB5391">
        <v>32</v>
      </c>
      <c r="AC5391">
        <v>13.0602</v>
      </c>
      <c r="AD5391">
        <v>-1.112008420722</v>
      </c>
      <c r="AE5391">
        <v>1.3258399999999899</v>
      </c>
      <c r="AF5391">
        <v>-1.8369469504640801</v>
      </c>
      <c r="AG5391">
        <v>-1.112008420722</v>
      </c>
      <c r="AH5391">
        <v>12.903702698912101</v>
      </c>
      <c r="AI5391">
        <v>94.876511444739194</v>
      </c>
      <c r="AJ5391">
        <v>98.102080738805995</v>
      </c>
      <c r="AK5391">
        <v>13.0811498029985</v>
      </c>
      <c r="AL5391">
        <v>64.537339393673903</v>
      </c>
      <c r="AM5391">
        <v>100.32641480602599</v>
      </c>
      <c r="AN5391">
        <v>1.00000001212465</v>
      </c>
    </row>
    <row r="5392" spans="1:40" x14ac:dyDescent="0.25">
      <c r="A5392" t="str">
        <f>"20190304164753703"</f>
        <v>20190304164753703</v>
      </c>
      <c r="B5392" t="str">
        <f>"1551689273694729"</f>
        <v>1551689273694729</v>
      </c>
      <c r="C5392" t="s">
        <v>40</v>
      </c>
      <c r="D5392">
        <v>4.4587409999999998</v>
      </c>
      <c r="E5392">
        <v>0.52345929999999996</v>
      </c>
      <c r="F5392" t="s">
        <v>61</v>
      </c>
      <c r="G5392">
        <v>-229.51050000000001</v>
      </c>
      <c r="H5392" s="1">
        <v>-3.357636E-6</v>
      </c>
      <c r="I5392">
        <v>-61.224930000000001</v>
      </c>
      <c r="J5392">
        <v>-242.59800000000001</v>
      </c>
      <c r="K5392">
        <v>1.1120049999999999</v>
      </c>
      <c r="L5392">
        <v>-62.563200000000002</v>
      </c>
      <c r="M5392">
        <v>0.9991044</v>
      </c>
      <c r="N5392">
        <v>-1.4398609999999999E-2</v>
      </c>
      <c r="O5392">
        <v>-3.9786759999999997E-2</v>
      </c>
      <c r="P5392">
        <v>0.89990789999999998</v>
      </c>
      <c r="Q5392">
        <v>0.41751349999999998</v>
      </c>
      <c r="R5392">
        <v>0.12588940000000001</v>
      </c>
      <c r="S5392">
        <v>3.418304</v>
      </c>
      <c r="T5392">
        <v>-0.28703430000000002</v>
      </c>
      <c r="U5392">
        <v>0.34393309999999999</v>
      </c>
      <c r="V5392">
        <v>-0.1623754</v>
      </c>
      <c r="W5392">
        <v>0.4300524</v>
      </c>
      <c r="X5392">
        <v>0.88808169999999897</v>
      </c>
      <c r="Y5392">
        <v>-0.13895759999999999</v>
      </c>
      <c r="Z5392">
        <v>9.5714930000000004E-3</v>
      </c>
      <c r="AA5392">
        <v>0.99025209999999997</v>
      </c>
      <c r="AB5392">
        <v>32</v>
      </c>
      <c r="AC5392">
        <v>13.087499999999901</v>
      </c>
      <c r="AD5392">
        <v>-1.11200835763599</v>
      </c>
      <c r="AE5392">
        <v>1.3382699999999901</v>
      </c>
      <c r="AF5392">
        <v>-1.8447928311474999</v>
      </c>
      <c r="AG5392">
        <v>-1.11200835763599</v>
      </c>
      <c r="AH5392">
        <v>12.9314922380676</v>
      </c>
      <c r="AI5392">
        <v>94.865878554440698</v>
      </c>
      <c r="AJ5392">
        <v>98.118972356052197</v>
      </c>
      <c r="AK5392">
        <v>13.109664933952599</v>
      </c>
      <c r="AL5392">
        <v>64.529113600629898</v>
      </c>
      <c r="AM5392">
        <v>100.361417637903</v>
      </c>
      <c r="AN5392">
        <v>0.99999997157290399</v>
      </c>
    </row>
    <row r="5393" spans="1:40" x14ac:dyDescent="0.25">
      <c r="A5393" t="str">
        <f>"20190304164753715"</f>
        <v>20190304164753715</v>
      </c>
      <c r="B5393" t="str">
        <f>"1551689273704490"</f>
        <v>1551689273704490</v>
      </c>
      <c r="C5393" t="s">
        <v>40</v>
      </c>
      <c r="D5393">
        <v>4.4421949999999999</v>
      </c>
      <c r="E5393">
        <v>0.52483459999999904</v>
      </c>
      <c r="F5393" t="s">
        <v>61</v>
      </c>
      <c r="G5393">
        <v>-225.3288</v>
      </c>
      <c r="H5393" s="1">
        <v>-1.485662E-6</v>
      </c>
      <c r="I5393">
        <v>-60.750549999999997</v>
      </c>
      <c r="J5393">
        <v>-242.4342</v>
      </c>
      <c r="K5393">
        <v>1.1120030000000001</v>
      </c>
      <c r="L5393">
        <v>-62.569270000000003</v>
      </c>
      <c r="M5393">
        <v>0.99912279999999998</v>
      </c>
      <c r="N5393">
        <v>-1.439693E-2</v>
      </c>
      <c r="O5393">
        <v>-3.9328189999999999E-2</v>
      </c>
      <c r="P5393">
        <v>0.89973179999999997</v>
      </c>
      <c r="Q5393">
        <v>0.41760009999999997</v>
      </c>
      <c r="R5393">
        <v>0.12685879999999999</v>
      </c>
      <c r="S5393">
        <v>3.3851010000000001</v>
      </c>
      <c r="T5393">
        <v>-0.21797540000000001</v>
      </c>
      <c r="U5393">
        <v>0.35531620000000003</v>
      </c>
      <c r="V5393">
        <v>-0.16292599999999999</v>
      </c>
      <c r="W5393">
        <v>0.43013459999999998</v>
      </c>
      <c r="X5393">
        <v>0.88794110000000004</v>
      </c>
      <c r="Y5393">
        <v>-0.1430197</v>
      </c>
      <c r="Z5393">
        <v>7.5807380000000001E-3</v>
      </c>
      <c r="AA5393">
        <v>0.98969079999999998</v>
      </c>
      <c r="AB5393">
        <v>32</v>
      </c>
      <c r="AC5393">
        <v>17.105399999999999</v>
      </c>
      <c r="AD5393">
        <v>-1.1120044856619999</v>
      </c>
      <c r="AE5393">
        <v>1.8187199999999899</v>
      </c>
      <c r="AF5393">
        <v>-2.4797440219695099</v>
      </c>
      <c r="AG5393">
        <v>-1.1120044856619999</v>
      </c>
      <c r="AH5393">
        <v>16.9497973350588</v>
      </c>
      <c r="AI5393">
        <v>93.7141297819323</v>
      </c>
      <c r="AJ5393">
        <v>98.323286957964498</v>
      </c>
      <c r="AK5393">
        <v>17.1662842249041</v>
      </c>
      <c r="AL5393">
        <v>64.523898220339603</v>
      </c>
      <c r="AM5393">
        <v>100.39739766542201</v>
      </c>
      <c r="AN5393">
        <v>1.0000000263311799</v>
      </c>
    </row>
    <row r="5394" spans="1:40" x14ac:dyDescent="0.25">
      <c r="A5394" t="str">
        <f>"20190304164753729"</f>
        <v>20190304164753729</v>
      </c>
      <c r="B5394" t="str">
        <f>"1551689273724986"</f>
        <v>1551689273724986</v>
      </c>
      <c r="C5394" t="s">
        <v>40</v>
      </c>
      <c r="D5394">
        <v>4.516032</v>
      </c>
      <c r="E5394">
        <v>0.52510049999999997</v>
      </c>
      <c r="F5394" t="s">
        <v>61</v>
      </c>
      <c r="G5394">
        <v>-224.2269</v>
      </c>
      <c r="H5394" s="1">
        <v>-1.0025830000000001E-6</v>
      </c>
      <c r="I5394">
        <v>-60.704009999999997</v>
      </c>
      <c r="J5394">
        <v>-242.2313</v>
      </c>
      <c r="K5394">
        <v>1.1120049999999999</v>
      </c>
      <c r="L5394">
        <v>-62.576659999999997</v>
      </c>
      <c r="M5394">
        <v>0.9991449</v>
      </c>
      <c r="N5394">
        <v>-1.4394819999999999E-2</v>
      </c>
      <c r="O5394">
        <v>-3.8759830000000002E-2</v>
      </c>
      <c r="P5394">
        <v>0.89960699999999905</v>
      </c>
      <c r="Q5394">
        <v>0.41754360000000001</v>
      </c>
      <c r="R5394">
        <v>0.1279238</v>
      </c>
      <c r="S5394">
        <v>3.381348</v>
      </c>
      <c r="T5394">
        <v>-0.20651420000000001</v>
      </c>
      <c r="U5394">
        <v>0.34640500000000002</v>
      </c>
      <c r="V5394">
        <v>-0.16347600000000001</v>
      </c>
      <c r="W5394">
        <v>0.43007519999999999</v>
      </c>
      <c r="X5394">
        <v>0.88786880000000001</v>
      </c>
      <c r="Y5394">
        <v>-0.1400361</v>
      </c>
      <c r="Z5394">
        <v>7.0766049999999997E-3</v>
      </c>
      <c r="AA5394">
        <v>0.99012109999999998</v>
      </c>
      <c r="AB5394">
        <v>32</v>
      </c>
      <c r="AC5394">
        <v>18.0044</v>
      </c>
      <c r="AD5394">
        <v>-1.1120060025830001</v>
      </c>
      <c r="AE5394">
        <v>1.8726499999999999</v>
      </c>
      <c r="AF5394">
        <v>-2.559503123377</v>
      </c>
      <c r="AG5394">
        <v>-1.1120060025830001</v>
      </c>
      <c r="AH5394">
        <v>17.850910230391701</v>
      </c>
      <c r="AI5394">
        <v>93.528587636073098</v>
      </c>
      <c r="AJ5394">
        <v>98.159583148982904</v>
      </c>
      <c r="AK5394">
        <v>18.067722868194</v>
      </c>
      <c r="AL5394">
        <v>64.527668559761494</v>
      </c>
      <c r="AM5394">
        <v>100.432558373166</v>
      </c>
      <c r="AN5394">
        <v>1.00000004312223</v>
      </c>
    </row>
    <row r="5395" spans="1:40" x14ac:dyDescent="0.25">
      <c r="A5395" t="str">
        <f>"20190304164753741"</f>
        <v>20190304164753741</v>
      </c>
      <c r="B5395" t="str">
        <f>"1551689273734746"</f>
        <v>1551689273734746</v>
      </c>
      <c r="C5395" t="s">
        <v>40</v>
      </c>
      <c r="D5395">
        <v>4.4939780000000003</v>
      </c>
      <c r="E5395">
        <v>0.52531079999999997</v>
      </c>
      <c r="F5395" t="s">
        <v>61</v>
      </c>
      <c r="G5395">
        <v>-225.97659999999999</v>
      </c>
      <c r="H5395" s="1">
        <v>-1.7956490000000001E-6</v>
      </c>
      <c r="I5395">
        <v>-60.894750000000002</v>
      </c>
      <c r="J5395">
        <v>-242.0752</v>
      </c>
      <c r="K5395">
        <v>1.1120049999999999</v>
      </c>
      <c r="L5395">
        <v>-62.582279999999997</v>
      </c>
      <c r="M5395">
        <v>0.99916179999999999</v>
      </c>
      <c r="N5395">
        <v>-1.439321E-2</v>
      </c>
      <c r="O5395">
        <v>-3.8322830000000002E-2</v>
      </c>
      <c r="P5395">
        <v>0.89952860000000001</v>
      </c>
      <c r="Q5395">
        <v>0.41751389999999999</v>
      </c>
      <c r="R5395">
        <v>0.12857089999999999</v>
      </c>
      <c r="S5395">
        <v>3.3926240000000001</v>
      </c>
      <c r="T5395">
        <v>-0.23209479999999999</v>
      </c>
      <c r="U5395">
        <v>0.35104370000000001</v>
      </c>
      <c r="V5395">
        <v>-0.1637277</v>
      </c>
      <c r="W5395">
        <v>0.43004290000000001</v>
      </c>
      <c r="X5395">
        <v>0.88783799999999902</v>
      </c>
      <c r="Y5395">
        <v>-0.14052100000000001</v>
      </c>
      <c r="Z5395">
        <v>7.8667749999999995E-3</v>
      </c>
      <c r="AA5395">
        <v>0.99004639999999999</v>
      </c>
      <c r="AB5395">
        <v>32</v>
      </c>
      <c r="AC5395">
        <v>16.098600000000001</v>
      </c>
      <c r="AD5395">
        <v>-1.1120067956489901</v>
      </c>
      <c r="AE5395">
        <v>1.68753</v>
      </c>
      <c r="AF5395">
        <v>-2.29247862623571</v>
      </c>
      <c r="AG5395">
        <v>-1.1120067956489901</v>
      </c>
      <c r="AH5395">
        <v>15.946833577347199</v>
      </c>
      <c r="AI5395">
        <v>93.948439411296405</v>
      </c>
      <c r="AJ5395">
        <v>98.180656878553705</v>
      </c>
      <c r="AK5395">
        <v>16.149102715288102</v>
      </c>
      <c r="AL5395">
        <v>64.5297168737292</v>
      </c>
      <c r="AM5395">
        <v>100.448622129714</v>
      </c>
      <c r="AN5395">
        <v>0.99999998491584896</v>
      </c>
    </row>
    <row r="5396" spans="1:40" x14ac:dyDescent="0.25">
      <c r="A5396" t="str">
        <f>"20190304164753754"</f>
        <v>20190304164753754</v>
      </c>
      <c r="B5396" t="str">
        <f>"1551689273744505"</f>
        <v>1551689273744505</v>
      </c>
      <c r="C5396" t="s">
        <v>40</v>
      </c>
      <c r="D5396">
        <v>4.5496249999999998</v>
      </c>
      <c r="E5396">
        <v>0.52542159999999904</v>
      </c>
      <c r="F5396" t="s">
        <v>61</v>
      </c>
      <c r="G5396">
        <v>-226.91370000000001</v>
      </c>
      <c r="H5396" s="1">
        <v>-2.2222500000000002E-6</v>
      </c>
      <c r="I5396">
        <v>-61.00544</v>
      </c>
      <c r="J5396">
        <v>-241.88470000000001</v>
      </c>
      <c r="K5396">
        <v>1.112009</v>
      </c>
      <c r="L5396">
        <v>-62.58905</v>
      </c>
      <c r="M5396">
        <v>0.99918220000000002</v>
      </c>
      <c r="N5396">
        <v>-1.439124E-2</v>
      </c>
      <c r="O5396">
        <v>-3.7789040000000003E-2</v>
      </c>
      <c r="P5396">
        <v>0.89923980000000003</v>
      </c>
      <c r="Q5396">
        <v>0.4178191</v>
      </c>
      <c r="R5396">
        <v>0.12959609999999999</v>
      </c>
      <c r="S5396">
        <v>3.4002840000000001</v>
      </c>
      <c r="T5396">
        <v>-0.24939020000000001</v>
      </c>
      <c r="U5396">
        <v>0.3536377</v>
      </c>
      <c r="V5396">
        <v>-0.16426350000000001</v>
      </c>
      <c r="W5396">
        <v>0.43034250000000002</v>
      </c>
      <c r="X5396">
        <v>0.88759390000000005</v>
      </c>
      <c r="Y5396">
        <v>-0.1404482</v>
      </c>
      <c r="Z5396">
        <v>8.3644909999999999E-3</v>
      </c>
      <c r="AA5396">
        <v>0.99005270000000001</v>
      </c>
      <c r="AB5396">
        <v>32</v>
      </c>
      <c r="AC5396">
        <v>14.971</v>
      </c>
      <c r="AD5396">
        <v>-1.11201122225</v>
      </c>
      <c r="AE5396">
        <v>1.58361</v>
      </c>
      <c r="AF5396">
        <v>-2.13661925087853</v>
      </c>
      <c r="AG5396">
        <v>-1.11201122225</v>
      </c>
      <c r="AH5396">
        <v>14.819597709401201</v>
      </c>
      <c r="AI5396">
        <v>94.247479904138402</v>
      </c>
      <c r="AJ5396">
        <v>98.204100369602699</v>
      </c>
      <c r="AK5396">
        <v>15.014066306305001</v>
      </c>
      <c r="AL5396">
        <v>64.5107032981782</v>
      </c>
      <c r="AM5396">
        <v>100.484877435092</v>
      </c>
      <c r="AN5396">
        <v>1.0000000480278499</v>
      </c>
    </row>
    <row r="5397" spans="1:40" x14ac:dyDescent="0.25">
      <c r="A5397" t="str">
        <f>"20190304164753770"</f>
        <v>20190304164753770</v>
      </c>
      <c r="B5397" t="str">
        <f>"1551689273765001"</f>
        <v>1551689273765001</v>
      </c>
      <c r="C5397" t="s">
        <v>40</v>
      </c>
      <c r="D5397">
        <v>4.5333899999999998</v>
      </c>
      <c r="E5397">
        <v>0.52512709999999996</v>
      </c>
      <c r="F5397" t="s">
        <v>61</v>
      </c>
      <c r="G5397">
        <v>-227.24780000000001</v>
      </c>
      <c r="H5397" s="1">
        <v>-2.3762199999999999E-6</v>
      </c>
      <c r="I5397">
        <v>-61.053339999999999</v>
      </c>
      <c r="J5397">
        <v>-241.6422</v>
      </c>
      <c r="K5397">
        <v>1.112012</v>
      </c>
      <c r="L5397">
        <v>-62.597499999999997</v>
      </c>
      <c r="M5397">
        <v>0.99920759999999997</v>
      </c>
      <c r="N5397">
        <v>-1.4388700000000001E-2</v>
      </c>
      <c r="O5397">
        <v>-3.710923E-2</v>
      </c>
      <c r="P5397">
        <v>0.89900709999999995</v>
      </c>
      <c r="Q5397">
        <v>0.41778779999999999</v>
      </c>
      <c r="R5397">
        <v>0.1312991</v>
      </c>
      <c r="S5397">
        <v>3.4048769999999902</v>
      </c>
      <c r="T5397">
        <v>-0.25867770000000001</v>
      </c>
      <c r="U5397">
        <v>0.35723880000000002</v>
      </c>
      <c r="V5397">
        <v>-0.16534670000000001</v>
      </c>
      <c r="W5397">
        <v>0.4303051</v>
      </c>
      <c r="X5397">
        <v>0.88741080000000006</v>
      </c>
      <c r="Y5397">
        <v>-0.14063789999999901</v>
      </c>
      <c r="Z5397">
        <v>8.6131369999999999E-3</v>
      </c>
      <c r="AA5397">
        <v>0.9900236</v>
      </c>
      <c r="AB5397">
        <v>32</v>
      </c>
      <c r="AC5397">
        <v>14.3943999999999</v>
      </c>
      <c r="AD5397">
        <v>-1.1120143762200001</v>
      </c>
      <c r="AE5397">
        <v>1.54415999999999</v>
      </c>
      <c r="AF5397">
        <v>-2.0651319759412901</v>
      </c>
      <c r="AG5397">
        <v>-1.1120143762200001</v>
      </c>
      <c r="AH5397">
        <v>14.2431378751275</v>
      </c>
      <c r="AI5397">
        <v>94.418223513924005</v>
      </c>
      <c r="AJ5397">
        <v>98.249902562917796</v>
      </c>
      <c r="AK5397">
        <v>14.4349687419428</v>
      </c>
      <c r="AL5397">
        <v>64.513075046150405</v>
      </c>
      <c r="AM5397">
        <v>100.554598024494</v>
      </c>
      <c r="AN5397">
        <v>0.99999996912176903</v>
      </c>
    </row>
    <row r="5398" spans="1:40" x14ac:dyDescent="0.25">
      <c r="A5398" t="str">
        <f>"20190304164753784"</f>
        <v>20190304164753784</v>
      </c>
      <c r="B5398" t="str">
        <f>"1551689273774761"</f>
        <v>1551689273774761</v>
      </c>
      <c r="C5398" t="s">
        <v>40</v>
      </c>
      <c r="D5398">
        <v>4.6165690000000001</v>
      </c>
      <c r="E5398">
        <v>0.52512709999999996</v>
      </c>
      <c r="F5398" t="s">
        <v>61</v>
      </c>
      <c r="G5398">
        <v>-226.9693</v>
      </c>
      <c r="H5398" s="1">
        <v>-2.2508480000000002E-6</v>
      </c>
      <c r="I5398">
        <v>-61.02684</v>
      </c>
      <c r="J5398">
        <v>-241.4684</v>
      </c>
      <c r="K5398">
        <v>1.112006</v>
      </c>
      <c r="L5398">
        <v>-62.6034199999999</v>
      </c>
      <c r="M5398">
        <v>0.99922560000000005</v>
      </c>
      <c r="N5398">
        <v>-1.4386879999999999E-2</v>
      </c>
      <c r="O5398">
        <v>-3.6622290000000002E-2</v>
      </c>
      <c r="P5398">
        <v>0.89889739999999996</v>
      </c>
      <c r="Q5398">
        <v>0.4177652</v>
      </c>
      <c r="R5398">
        <v>0.1321195</v>
      </c>
      <c r="S5398">
        <v>3.4036870000000001</v>
      </c>
      <c r="T5398">
        <v>-0.25795509999999999</v>
      </c>
      <c r="U5398">
        <v>0.36434939999999999</v>
      </c>
      <c r="V5398">
        <v>-0.16572600000000001</v>
      </c>
      <c r="W5398">
        <v>0.43027929999999998</v>
      </c>
      <c r="X5398">
        <v>0.88735259999999905</v>
      </c>
      <c r="Y5398">
        <v>-0.14223469999999999</v>
      </c>
      <c r="Z5398">
        <v>8.6345469999999994E-3</v>
      </c>
      <c r="AA5398">
        <v>0.98979530000000004</v>
      </c>
      <c r="AB5398">
        <v>32</v>
      </c>
      <c r="AC5398">
        <v>14.4991</v>
      </c>
      <c r="AD5398">
        <v>-1.112008250848</v>
      </c>
      <c r="AE5398">
        <v>1.5765799999999901</v>
      </c>
      <c r="AF5398">
        <v>-2.0943918836434698</v>
      </c>
      <c r="AG5398">
        <v>-1.112008250848</v>
      </c>
      <c r="AH5398">
        <v>14.348216026064801</v>
      </c>
      <c r="AI5398">
        <v>94.385361294999697</v>
      </c>
      <c r="AJ5398">
        <v>98.304744890318204</v>
      </c>
      <c r="AK5398">
        <v>14.5428450738791</v>
      </c>
      <c r="AL5398">
        <v>64.514713745116396</v>
      </c>
      <c r="AM5398">
        <v>100.57894222311199</v>
      </c>
      <c r="AN5398">
        <v>1.0000000099056201</v>
      </c>
    </row>
    <row r="5399" spans="1:40" x14ac:dyDescent="0.25">
      <c r="A5399" t="str">
        <f>"20190304164753798"</f>
        <v>20190304164753798</v>
      </c>
      <c r="B5399" t="str">
        <f>"1551689273794281"</f>
        <v>1551689273794281</v>
      </c>
      <c r="C5399" t="s">
        <v>40</v>
      </c>
      <c r="D5399">
        <v>4.4983550000000001</v>
      </c>
      <c r="E5399">
        <v>0.48726219999999998</v>
      </c>
      <c r="F5399" t="s">
        <v>61</v>
      </c>
      <c r="G5399">
        <v>-226.79990000000001</v>
      </c>
      <c r="H5399" s="1">
        <v>-2.1770850000000001E-6</v>
      </c>
      <c r="I5399">
        <v>-61.021790000000003</v>
      </c>
      <c r="J5399">
        <v>-241.27109999999999</v>
      </c>
      <c r="K5399">
        <v>1.1120030000000001</v>
      </c>
      <c r="L5399">
        <v>-62.610109999999999</v>
      </c>
      <c r="M5399">
        <v>0.99924590000000002</v>
      </c>
      <c r="N5399">
        <v>-1.438475E-2</v>
      </c>
      <c r="O5399">
        <v>-3.6069179999999999E-2</v>
      </c>
      <c r="P5399">
        <v>0.89878649999999904</v>
      </c>
      <c r="Q5399">
        <v>0.41764000000000001</v>
      </c>
      <c r="R5399">
        <v>0.1332661</v>
      </c>
      <c r="S5399">
        <v>3.4034119999999999</v>
      </c>
      <c r="T5399">
        <v>-0.25801039999999997</v>
      </c>
      <c r="U5399">
        <v>0.36697390000000002</v>
      </c>
      <c r="V5399">
        <v>-0.16637199999999999</v>
      </c>
      <c r="W5399">
        <v>0.43015059999999999</v>
      </c>
      <c r="X5399">
        <v>0.88729409999999898</v>
      </c>
      <c r="Y5399">
        <v>-0.14244989999999999</v>
      </c>
      <c r="Z5399">
        <v>8.6124329999999992E-3</v>
      </c>
      <c r="AA5399">
        <v>0.98976459999999999</v>
      </c>
      <c r="AB5399">
        <v>31</v>
      </c>
      <c r="AC5399">
        <v>14.4711999999999</v>
      </c>
      <c r="AD5399">
        <v>-1.1120051770849999</v>
      </c>
      <c r="AE5399">
        <v>1.58831999999999</v>
      </c>
      <c r="AF5399">
        <v>-2.0970691563277502</v>
      </c>
      <c r="AG5399">
        <v>-1.1120051770849999</v>
      </c>
      <c r="AH5399">
        <v>14.3209307203729</v>
      </c>
      <c r="AI5399">
        <v>94.393380500321996</v>
      </c>
      <c r="AJ5399">
        <v>98.330833168564496</v>
      </c>
      <c r="AK5399">
        <v>14.5163119027529</v>
      </c>
      <c r="AL5399">
        <v>64.522882038178693</v>
      </c>
      <c r="AM5399">
        <v>100.61992702114</v>
      </c>
      <c r="AN5399">
        <v>1.0000000004795799</v>
      </c>
    </row>
    <row r="5400" spans="1:40" x14ac:dyDescent="0.25">
      <c r="A5400" t="str">
        <f>"20190304164753810"</f>
        <v>20190304164753810</v>
      </c>
      <c r="B5400" t="str">
        <f>"1551689273805016"</f>
        <v>1551689273805016</v>
      </c>
      <c r="C5400" t="s">
        <v>40</v>
      </c>
      <c r="D5400">
        <v>4.4978740000000004</v>
      </c>
      <c r="E5400">
        <v>0.48316599999999998</v>
      </c>
      <c r="F5400" t="s">
        <v>61</v>
      </c>
      <c r="G5400">
        <v>-228.15989999999999</v>
      </c>
      <c r="H5400" s="1">
        <v>-2.7046720000000002E-6</v>
      </c>
      <c r="I5400">
        <v>-59.994419999999998</v>
      </c>
      <c r="J5400">
        <v>-241.08709999999999</v>
      </c>
      <c r="K5400">
        <v>1.112001</v>
      </c>
      <c r="L5400">
        <v>-62.616239999999998</v>
      </c>
      <c r="M5400">
        <v>0.99926429999999999</v>
      </c>
      <c r="N5400">
        <v>-1.438267E-2</v>
      </c>
      <c r="O5400">
        <v>-3.555316E-2</v>
      </c>
      <c r="P5400">
        <v>0.89876699999999998</v>
      </c>
      <c r="Q5400">
        <v>0.41742370000000001</v>
      </c>
      <c r="R5400">
        <v>0.13407289999999999</v>
      </c>
      <c r="S5400">
        <v>3.370987</v>
      </c>
      <c r="T5400">
        <v>-0.28590599999999999</v>
      </c>
      <c r="U5400">
        <v>0.67251590000000006</v>
      </c>
      <c r="V5400">
        <v>-0.16671520000000001</v>
      </c>
      <c r="W5400">
        <v>0.42993320000000002</v>
      </c>
      <c r="X5400">
        <v>0.88733510000000004</v>
      </c>
      <c r="Y5400">
        <v>-0.22937450000000001</v>
      </c>
      <c r="Z5400">
        <v>1.376205E-2</v>
      </c>
      <c r="AA5400">
        <v>0.97324100000000002</v>
      </c>
      <c r="AB5400">
        <v>31</v>
      </c>
      <c r="AC5400">
        <v>12.927199999999999</v>
      </c>
      <c r="AD5400">
        <v>-1.1120037046719999</v>
      </c>
      <c r="AE5400">
        <v>2.62182</v>
      </c>
      <c r="AF5400">
        <v>-3.05807815518062</v>
      </c>
      <c r="AG5400">
        <v>-1.1120037046719999</v>
      </c>
      <c r="AH5400">
        <v>12.735289985387601</v>
      </c>
      <c r="AI5400">
        <v>94.852958256666994</v>
      </c>
      <c r="AJ5400">
        <v>103.502575812407</v>
      </c>
      <c r="AK5400">
        <v>13.144428677363999</v>
      </c>
      <c r="AL5400">
        <v>64.536680361153401</v>
      </c>
      <c r="AM5400">
        <v>100.64085402101399</v>
      </c>
      <c r="AN5400">
        <v>1.00000004703264</v>
      </c>
    </row>
    <row r="5401" spans="1:40" x14ac:dyDescent="0.25">
      <c r="A5401" t="str">
        <f>"20190304164753827"</f>
        <v>20190304164753827</v>
      </c>
      <c r="B5401" t="str">
        <f>"1551689273814777"</f>
        <v>1551689273814777</v>
      </c>
      <c r="C5401" t="s">
        <v>40</v>
      </c>
      <c r="D5401">
        <v>4.5129330000000003</v>
      </c>
      <c r="E5401">
        <v>0.48046939999999999</v>
      </c>
      <c r="F5401" t="s">
        <v>61</v>
      </c>
      <c r="G5401">
        <v>-227.61500000000001</v>
      </c>
      <c r="H5401" s="1">
        <v>-2.5175730000000001E-6</v>
      </c>
      <c r="I5401">
        <v>-59.783349999999999</v>
      </c>
      <c r="J5401">
        <v>-240.85759999999999</v>
      </c>
      <c r="K5401">
        <v>1.1119969999999999</v>
      </c>
      <c r="L5401">
        <v>-62.623750000000001</v>
      </c>
      <c r="M5401">
        <v>0.99928689999999998</v>
      </c>
      <c r="N5401">
        <v>-1.4380199999999999E-2</v>
      </c>
      <c r="O5401">
        <v>-3.4909580000000003E-2</v>
      </c>
      <c r="P5401">
        <v>0.89878910000000001</v>
      </c>
      <c r="Q5401">
        <v>0.41703010000000001</v>
      </c>
      <c r="R5401">
        <v>0.13514399999999999</v>
      </c>
      <c r="S5401">
        <v>3.3613279999999999</v>
      </c>
      <c r="T5401">
        <v>-0.2774488</v>
      </c>
      <c r="U5401">
        <v>0.70681759999999905</v>
      </c>
      <c r="V5401">
        <v>-0.16720860000000001</v>
      </c>
      <c r="W5401">
        <v>0.42953829999999998</v>
      </c>
      <c r="X5401">
        <v>0.88743349999999899</v>
      </c>
      <c r="Y5401">
        <v>-0.2388219</v>
      </c>
      <c r="Z5401">
        <v>1.382507E-2</v>
      </c>
      <c r="AA5401">
        <v>0.97096499999999997</v>
      </c>
      <c r="AB5401">
        <v>31</v>
      </c>
      <c r="AC5401">
        <v>13.2425999999999</v>
      </c>
      <c r="AD5401">
        <v>-1.111999517573</v>
      </c>
      <c r="AE5401">
        <v>2.8403999999999998</v>
      </c>
      <c r="AF5401">
        <v>-3.27890648263784</v>
      </c>
      <c r="AG5401">
        <v>-1.111999517573</v>
      </c>
      <c r="AH5401">
        <v>13.0474057694161</v>
      </c>
      <c r="AI5401">
        <v>94.725182164314006</v>
      </c>
      <c r="AJ5401">
        <v>104.10671090903</v>
      </c>
      <c r="AK5401">
        <v>13.4989839603119</v>
      </c>
      <c r="AL5401">
        <v>64.561738072898805</v>
      </c>
      <c r="AM5401">
        <v>100.670467661519</v>
      </c>
      <c r="AN5401">
        <v>1.00000004200154</v>
      </c>
    </row>
    <row r="5402" spans="1:40" x14ac:dyDescent="0.25">
      <c r="A5402" t="str">
        <f>"20190304164753840"</f>
        <v>20190304164753840</v>
      </c>
      <c r="B5402" t="str">
        <f>"1551689273834297"</f>
        <v>1551689273834297</v>
      </c>
      <c r="C5402" t="s">
        <v>40</v>
      </c>
      <c r="D5402">
        <v>4.5007239999999999</v>
      </c>
      <c r="E5402">
        <v>0.47731380000000001</v>
      </c>
      <c r="F5402" t="s">
        <v>61</v>
      </c>
      <c r="G5402">
        <v>-227.2578</v>
      </c>
      <c r="H5402" s="1">
        <v>-2.3921470000000002E-6</v>
      </c>
      <c r="I5402">
        <v>-59.657600000000002</v>
      </c>
      <c r="J5402">
        <v>-240.68530000000001</v>
      </c>
      <c r="K5402">
        <v>1.1119939999999999</v>
      </c>
      <c r="L5402">
        <v>-62.629269999999998</v>
      </c>
      <c r="M5402">
        <v>0.99930390000000002</v>
      </c>
      <c r="N5402">
        <v>-1.4378409999999999E-2</v>
      </c>
      <c r="O5402">
        <v>-3.442622E-2</v>
      </c>
      <c r="P5402">
        <v>0.89876230000000001</v>
      </c>
      <c r="Q5402">
        <v>0.4168693</v>
      </c>
      <c r="R5402">
        <v>0.13581779999999999</v>
      </c>
      <c r="S5402">
        <v>3.3550870000000002</v>
      </c>
      <c r="T5402">
        <v>-0.27433099999999999</v>
      </c>
      <c r="U5402">
        <v>0.73175049999999997</v>
      </c>
      <c r="V5402">
        <v>-0.1674476</v>
      </c>
      <c r="W5402">
        <v>0.42937649999999999</v>
      </c>
      <c r="X5402">
        <v>0.88746669999999905</v>
      </c>
      <c r="Y5402">
        <v>-0.2456033</v>
      </c>
      <c r="Z5402">
        <v>1.398961E-2</v>
      </c>
      <c r="AA5402">
        <v>0.96926950000000001</v>
      </c>
      <c r="AB5402">
        <v>31</v>
      </c>
      <c r="AC5402">
        <v>13.4275</v>
      </c>
      <c r="AD5402">
        <v>-1.111996392147</v>
      </c>
      <c r="AE5402">
        <v>2.9716699999999898</v>
      </c>
      <c r="AF5402">
        <v>-3.4099196760403299</v>
      </c>
      <c r="AG5402">
        <v>-1.111996392147</v>
      </c>
      <c r="AH5402">
        <v>13.230721773675199</v>
      </c>
      <c r="AI5402">
        <v>94.652876000866897</v>
      </c>
      <c r="AJ5402">
        <v>104.452183944561</v>
      </c>
      <c r="AK5402">
        <v>13.7082488606531</v>
      </c>
      <c r="AL5402">
        <v>64.572002512346501</v>
      </c>
      <c r="AM5402">
        <v>100.684978035203</v>
      </c>
      <c r="AN5402">
        <v>1.0000000105534499</v>
      </c>
    </row>
    <row r="5403" spans="1:40" x14ac:dyDescent="0.25">
      <c r="A5403" t="str">
        <f>"20190304164753850"</f>
        <v>20190304164753850</v>
      </c>
      <c r="B5403" t="str">
        <f>"1551689273845033"</f>
        <v>1551689273845033</v>
      </c>
      <c r="C5403" t="s">
        <v>40</v>
      </c>
      <c r="D5403">
        <v>4.4957750000000001</v>
      </c>
      <c r="E5403">
        <v>0.47637410000000002</v>
      </c>
      <c r="F5403" t="s">
        <v>61</v>
      </c>
      <c r="G5403">
        <v>-226.9804</v>
      </c>
      <c r="H5403" s="1">
        <v>-2.3024799999999998E-6</v>
      </c>
      <c r="I5403">
        <v>-59.524929999999998</v>
      </c>
      <c r="J5403">
        <v>-240.51609999999999</v>
      </c>
      <c r="K5403">
        <v>1.1119969999999999</v>
      </c>
      <c r="L5403">
        <v>-62.634639999999997</v>
      </c>
      <c r="M5403">
        <v>0.99932010000000004</v>
      </c>
      <c r="N5403">
        <v>-1.4376720000000001E-2</v>
      </c>
      <c r="O5403">
        <v>-3.3951439999999999E-2</v>
      </c>
      <c r="P5403">
        <v>0.89884140000000001</v>
      </c>
      <c r="Q5403">
        <v>0.41655609999999998</v>
      </c>
      <c r="R5403">
        <v>0.1362545</v>
      </c>
      <c r="S5403">
        <v>3.3493189999999999</v>
      </c>
      <c r="T5403">
        <v>-0.27175890000000003</v>
      </c>
      <c r="U5403">
        <v>0.75866699999999998</v>
      </c>
      <c r="V5403">
        <v>-0.16746069999999999</v>
      </c>
      <c r="W5403">
        <v>0.42906420000000001</v>
      </c>
      <c r="X5403">
        <v>0.8876153</v>
      </c>
      <c r="Y5403">
        <v>-0.2528955</v>
      </c>
      <c r="Z5403">
        <v>1.4196739999999999E-2</v>
      </c>
      <c r="AA5403">
        <v>0.96738950000000001</v>
      </c>
      <c r="AB5403">
        <v>31</v>
      </c>
      <c r="AC5403">
        <v>13.535699999999901</v>
      </c>
      <c r="AD5403">
        <v>-1.1119993024799999</v>
      </c>
      <c r="AE5403">
        <v>3.1097100000000002</v>
      </c>
      <c r="AF5403">
        <v>-3.5447959892222798</v>
      </c>
      <c r="AG5403">
        <v>-1.1119993024799999</v>
      </c>
      <c r="AH5403">
        <v>13.3368057323123</v>
      </c>
      <c r="AI5403">
        <v>94.6069691658452</v>
      </c>
      <c r="AJ5403">
        <v>104.884538031638</v>
      </c>
      <c r="AK5403">
        <v>13.844584074480601</v>
      </c>
      <c r="AL5403">
        <v>64.591814711731203</v>
      </c>
      <c r="AM5403">
        <v>100.684046933941</v>
      </c>
      <c r="AN5403">
        <v>1.0000000472801001</v>
      </c>
    </row>
    <row r="5404" spans="1:40" x14ac:dyDescent="0.25">
      <c r="A5404" t="str">
        <f>"20190304164753863"</f>
        <v>20190304164753863</v>
      </c>
      <c r="B5404" t="str">
        <f>"1551689273854793"</f>
        <v>1551689273854793</v>
      </c>
      <c r="C5404" t="s">
        <v>40</v>
      </c>
      <c r="D5404">
        <v>4.4872529999999999</v>
      </c>
      <c r="E5404">
        <v>0.47573919999999997</v>
      </c>
      <c r="F5404" t="s">
        <v>61</v>
      </c>
      <c r="G5404">
        <v>-226.80189999999999</v>
      </c>
      <c r="H5404" s="1">
        <v>-2.2336870000000002E-6</v>
      </c>
      <c r="I5404">
        <v>-59.48968</v>
      </c>
      <c r="J5404">
        <v>-240.3502</v>
      </c>
      <c r="K5404">
        <v>1.111991</v>
      </c>
      <c r="L5404">
        <v>-62.639769999999999</v>
      </c>
      <c r="M5404">
        <v>0.99933590000000005</v>
      </c>
      <c r="N5404">
        <v>-1.43751E-2</v>
      </c>
      <c r="O5404">
        <v>-3.3486189999999999E-2</v>
      </c>
      <c r="P5404">
        <v>0.89875400000000005</v>
      </c>
      <c r="Q5404">
        <v>0.41651880000000002</v>
      </c>
      <c r="R5404">
        <v>0.13694379999999901</v>
      </c>
      <c r="S5404">
        <v>3.3470460000000002</v>
      </c>
      <c r="T5404">
        <v>-0.27139010000000002</v>
      </c>
      <c r="U5404">
        <v>0.7675476</v>
      </c>
      <c r="V5404">
        <v>-0.1677295</v>
      </c>
      <c r="W5404">
        <v>0.42902459999999998</v>
      </c>
      <c r="X5404">
        <v>0.88758359999999903</v>
      </c>
      <c r="Y5404">
        <v>-0.2550212</v>
      </c>
      <c r="Z5404">
        <v>1.425449E-2</v>
      </c>
      <c r="AA5404">
        <v>0.96683039999999998</v>
      </c>
      <c r="AB5404">
        <v>31</v>
      </c>
      <c r="AC5404">
        <v>13.548299999999999</v>
      </c>
      <c r="AD5404">
        <v>-1.111993233687</v>
      </c>
      <c r="AE5404">
        <v>3.1500899999999898</v>
      </c>
      <c r="AF5404">
        <v>-3.5791762428414802</v>
      </c>
      <c r="AG5404">
        <v>-1.111993233687</v>
      </c>
      <c r="AH5404">
        <v>13.349885654664901</v>
      </c>
      <c r="AI5404">
        <v>94.599806978808203</v>
      </c>
      <c r="AJ5404">
        <v>105.00834940665401</v>
      </c>
      <c r="AK5404">
        <v>13.8660188418202</v>
      </c>
      <c r="AL5404">
        <v>64.594324453142207</v>
      </c>
      <c r="AM5404">
        <v>100.701174098683</v>
      </c>
      <c r="AN5404">
        <v>0.99999996978218397</v>
      </c>
    </row>
    <row r="5405" spans="1:40" x14ac:dyDescent="0.25">
      <c r="A5405" t="str">
        <f>"20190304164753875"</f>
        <v>20190304164753875</v>
      </c>
      <c r="B5405" t="str">
        <f>"1551689273864553"</f>
        <v>1551689273864553</v>
      </c>
      <c r="C5405" t="s">
        <v>40</v>
      </c>
      <c r="D5405">
        <v>4.4835289999999999</v>
      </c>
      <c r="E5405">
        <v>0.4753925</v>
      </c>
      <c r="F5405" t="s">
        <v>61</v>
      </c>
      <c r="G5405">
        <v>-226.6866</v>
      </c>
      <c r="H5405" s="1">
        <v>-2.1879630000000001E-6</v>
      </c>
      <c r="I5405">
        <v>-59.472769999999997</v>
      </c>
      <c r="J5405">
        <v>-240.1841</v>
      </c>
      <c r="K5405">
        <v>1.11199</v>
      </c>
      <c r="L5405">
        <v>-62.6449</v>
      </c>
      <c r="M5405">
        <v>0.9993514</v>
      </c>
      <c r="N5405">
        <v>-1.4373489999999999E-2</v>
      </c>
      <c r="O5405">
        <v>-3.3020229999999998E-2</v>
      </c>
      <c r="P5405">
        <v>0.89885190000000004</v>
      </c>
      <c r="Q5405">
        <v>0.41615229999999998</v>
      </c>
      <c r="R5405">
        <v>0.13741489999999901</v>
      </c>
      <c r="S5405">
        <v>3.3459780000000001</v>
      </c>
      <c r="T5405">
        <v>-0.27230799999999999</v>
      </c>
      <c r="U5405">
        <v>0.77554319999999999</v>
      </c>
      <c r="V5405">
        <v>-0.1677855</v>
      </c>
      <c r="W5405">
        <v>0.42865930000000002</v>
      </c>
      <c r="X5405">
        <v>0.88774959999999903</v>
      </c>
      <c r="Y5405">
        <v>-0.25681880000000001</v>
      </c>
      <c r="Z5405">
        <v>1.4353360000000001E-2</v>
      </c>
      <c r="AA5405">
        <v>0.96635300000000002</v>
      </c>
      <c r="AB5405">
        <v>31</v>
      </c>
      <c r="AC5405">
        <v>13.4975</v>
      </c>
      <c r="AD5405">
        <v>-1.1119921879629999</v>
      </c>
      <c r="AE5405">
        <v>3.1721300000000001</v>
      </c>
      <c r="AF5405">
        <v>-3.59302591477958</v>
      </c>
      <c r="AG5405">
        <v>-1.1119921879629999</v>
      </c>
      <c r="AH5405">
        <v>13.2998377312045</v>
      </c>
      <c r="AI5405">
        <v>94.614672596083494</v>
      </c>
      <c r="AJ5405">
        <v>105.117885354823</v>
      </c>
      <c r="AK5405">
        <v>13.8214342789285</v>
      </c>
      <c r="AL5405">
        <v>64.617495651957896</v>
      </c>
      <c r="AM5405">
        <v>100.702708941073</v>
      </c>
      <c r="AN5405">
        <v>1.0000000608934401</v>
      </c>
    </row>
    <row r="5406" spans="1:40" x14ac:dyDescent="0.25">
      <c r="A5406" t="str">
        <f>"20190304164753886"</f>
        <v>20190304164753886</v>
      </c>
      <c r="B5406" t="str">
        <f>"1551689273874313"</f>
        <v>1551689273874313</v>
      </c>
      <c r="C5406" t="s">
        <v>40</v>
      </c>
      <c r="D5406">
        <v>4.4828099999999997</v>
      </c>
      <c r="E5406">
        <v>0.4750955</v>
      </c>
      <c r="F5406" t="s">
        <v>61</v>
      </c>
      <c r="G5406">
        <v>-226.5806</v>
      </c>
      <c r="H5406" s="1">
        <v>-2.1418290000000001E-6</v>
      </c>
      <c r="I5406">
        <v>-59.47569</v>
      </c>
      <c r="J5406">
        <v>-240.02770000000001</v>
      </c>
      <c r="K5406">
        <v>1.1119840000000001</v>
      </c>
      <c r="L5406">
        <v>-62.6496</v>
      </c>
      <c r="M5406">
        <v>0.99936570000000002</v>
      </c>
      <c r="N5406">
        <v>-1.43719E-2</v>
      </c>
      <c r="O5406">
        <v>-3.2580970000000001E-2</v>
      </c>
      <c r="P5406">
        <v>0.89876540000000005</v>
      </c>
      <c r="Q5406">
        <v>0.41620089999999998</v>
      </c>
      <c r="R5406">
        <v>0.13783219999999999</v>
      </c>
      <c r="S5406">
        <v>3.345062</v>
      </c>
      <c r="T5406">
        <v>-0.27343450000000002</v>
      </c>
      <c r="U5406">
        <v>0.77929689999999996</v>
      </c>
      <c r="V5406">
        <v>-0.1678058</v>
      </c>
      <c r="W5406">
        <v>0.4287067</v>
      </c>
      <c r="X5406">
        <v>0.88772280000000003</v>
      </c>
      <c r="Y5406">
        <v>-0.25747130000000001</v>
      </c>
      <c r="Z5406">
        <v>1.4410610000000001E-2</v>
      </c>
      <c r="AA5406">
        <v>0.96617850000000005</v>
      </c>
      <c r="AB5406">
        <v>31</v>
      </c>
      <c r="AC5406">
        <v>13.447100000000001</v>
      </c>
      <c r="AD5406">
        <v>-1.111986141829</v>
      </c>
      <c r="AE5406">
        <v>3.1739099999999998</v>
      </c>
      <c r="AF5406">
        <v>-3.5871542348678802</v>
      </c>
      <c r="AG5406">
        <v>-1.111986141829</v>
      </c>
      <c r="AH5406">
        <v>13.250710295891301</v>
      </c>
      <c r="AI5406">
        <v>94.631033276887507</v>
      </c>
      <c r="AJ5406">
        <v>105.147703642574</v>
      </c>
      <c r="AK5406">
        <v>13.7726363500236</v>
      </c>
      <c r="AL5406">
        <v>64.6144878332628</v>
      </c>
      <c r="AM5406">
        <v>100.704289602233</v>
      </c>
      <c r="AN5406">
        <v>0.99999999538918505</v>
      </c>
    </row>
    <row r="5407" spans="1:40" x14ac:dyDescent="0.25">
      <c r="A5407" t="str">
        <f>"20190304164753896"</f>
        <v>20190304164753896</v>
      </c>
      <c r="B5407" t="str">
        <f>"1551689273885049"</f>
        <v>1551689273885049</v>
      </c>
      <c r="C5407" t="s">
        <v>40</v>
      </c>
      <c r="D5407">
        <v>4.4789899999999996</v>
      </c>
      <c r="E5407">
        <v>0.47489690000000001</v>
      </c>
      <c r="F5407" t="s">
        <v>61</v>
      </c>
      <c r="G5407">
        <v>-226.44970000000001</v>
      </c>
      <c r="H5407" s="1">
        <v>-2.0869249999999999E-6</v>
      </c>
      <c r="I5407">
        <v>-59.470100000000002</v>
      </c>
      <c r="J5407">
        <v>-239.88329999999999</v>
      </c>
      <c r="K5407">
        <v>1.1119840000000001</v>
      </c>
      <c r="L5407">
        <v>-62.653930000000003</v>
      </c>
      <c r="M5407">
        <v>0.99937900000000002</v>
      </c>
      <c r="N5407">
        <v>-1.437044E-2</v>
      </c>
      <c r="O5407">
        <v>-3.2176040000000003E-2</v>
      </c>
      <c r="P5407">
        <v>0.89873069999999899</v>
      </c>
      <c r="Q5407">
        <v>0.41604000000000002</v>
      </c>
      <c r="R5407">
        <v>0.13854379999999999</v>
      </c>
      <c r="S5407">
        <v>3.3446500000000001</v>
      </c>
      <c r="T5407">
        <v>-0.27391470000000001</v>
      </c>
      <c r="U5407">
        <v>0.78320310000000004</v>
      </c>
      <c r="V5407">
        <v>-0.16815289999999999</v>
      </c>
      <c r="W5407">
        <v>0.42854379999999997</v>
      </c>
      <c r="X5407">
        <v>0.88773579999999996</v>
      </c>
      <c r="Y5407">
        <v>-0.25817099999999998</v>
      </c>
      <c r="Z5407">
        <v>1.443973E-2</v>
      </c>
      <c r="AA5407">
        <v>0.9659913</v>
      </c>
      <c r="AB5407">
        <v>31</v>
      </c>
      <c r="AC5407">
        <v>13.433599999999901</v>
      </c>
      <c r="AD5407">
        <v>-1.111986086925</v>
      </c>
      <c r="AE5407">
        <v>3.1838299999999999</v>
      </c>
      <c r="AF5407">
        <v>-3.5911679581221101</v>
      </c>
      <c r="AG5407">
        <v>-1.111986086925</v>
      </c>
      <c r="AH5407">
        <v>13.238305339766599</v>
      </c>
      <c r="AI5407">
        <v>94.634704896369797</v>
      </c>
      <c r="AJ5407">
        <v>105.17742675576901</v>
      </c>
      <c r="AK5407">
        <v>13.7617487489727</v>
      </c>
      <c r="AL5407">
        <v>64.624819024042907</v>
      </c>
      <c r="AM5407">
        <v>100.725764426933</v>
      </c>
      <c r="AN5407">
        <v>1.0000000184492399</v>
      </c>
    </row>
    <row r="5408" spans="1:40" x14ac:dyDescent="0.25">
      <c r="A5408" t="str">
        <f>"20190304164753907"</f>
        <v>20190304164753907</v>
      </c>
      <c r="B5408" t="str">
        <f>"1551689273894809"</f>
        <v>1551689273894809</v>
      </c>
      <c r="C5408" t="s">
        <v>40</v>
      </c>
      <c r="D5408">
        <v>4.4959110000000004</v>
      </c>
      <c r="E5408">
        <v>0.47474050000000001</v>
      </c>
      <c r="F5408" t="s">
        <v>61</v>
      </c>
      <c r="G5408">
        <v>-226.33500000000001</v>
      </c>
      <c r="H5408" s="1">
        <v>-2.0390409999999999E-6</v>
      </c>
      <c r="I5408">
        <v>-59.4640699999999</v>
      </c>
      <c r="J5408">
        <v>-239.73949999999999</v>
      </c>
      <c r="K5408">
        <v>1.1119829999999999</v>
      </c>
      <c r="L5408">
        <v>-62.658110000000001</v>
      </c>
      <c r="M5408">
        <v>0.9993919</v>
      </c>
      <c r="N5408">
        <v>-1.436897E-2</v>
      </c>
      <c r="O5408">
        <v>-3.1772300000000003E-2</v>
      </c>
      <c r="P5408">
        <v>0.89867090000000005</v>
      </c>
      <c r="Q5408">
        <v>0.41603610000000002</v>
      </c>
      <c r="R5408">
        <v>0.1389416</v>
      </c>
      <c r="S5408">
        <v>3.34375</v>
      </c>
      <c r="T5408">
        <v>-0.27443990000000001</v>
      </c>
      <c r="U5408">
        <v>0.78726200000000002</v>
      </c>
      <c r="V5408">
        <v>-0.16818629999999901</v>
      </c>
      <c r="W5408">
        <v>0.42853910000000001</v>
      </c>
      <c r="X5408">
        <v>0.88773169999999901</v>
      </c>
      <c r="Y5408">
        <v>-0.2589438</v>
      </c>
      <c r="Z5408">
        <v>1.4476340000000001E-2</v>
      </c>
      <c r="AA5408">
        <v>0.96578390000000003</v>
      </c>
      <c r="AB5408">
        <v>31</v>
      </c>
      <c r="AC5408">
        <v>13.404499999999899</v>
      </c>
      <c r="AD5408">
        <v>-1.111985039041</v>
      </c>
      <c r="AE5408">
        <v>3.1940400000000002</v>
      </c>
      <c r="AF5408">
        <v>-3.5949525936153099</v>
      </c>
      <c r="AG5408">
        <v>-1.111985039041</v>
      </c>
      <c r="AH5408">
        <v>13.210214022177301</v>
      </c>
      <c r="AI5408">
        <v>94.643503061584198</v>
      </c>
      <c r="AJ5408">
        <v>105.22349221569699</v>
      </c>
      <c r="AK5408">
        <v>13.7357180150556</v>
      </c>
      <c r="AL5408">
        <v>64.625116063766001</v>
      </c>
      <c r="AM5408">
        <v>100.72789382964299</v>
      </c>
      <c r="AN5408">
        <v>0.99999998146069402</v>
      </c>
    </row>
    <row r="5409" spans="1:40" x14ac:dyDescent="0.25">
      <c r="A5409" t="str">
        <f>"20190304164753918"</f>
        <v>20190304164753918</v>
      </c>
      <c r="B5409" t="str">
        <f>"1551689273914329"</f>
        <v>1551689273914329</v>
      </c>
      <c r="C5409" t="s">
        <v>40</v>
      </c>
      <c r="D5409">
        <v>4.5100559999999996</v>
      </c>
      <c r="E5409">
        <v>0.4744099</v>
      </c>
      <c r="F5409" t="s">
        <v>61</v>
      </c>
      <c r="G5409">
        <v>-226.22550000000001</v>
      </c>
      <c r="H5409" s="1">
        <v>-1.991242E-6</v>
      </c>
      <c r="I5409">
        <v>-59.467779999999998</v>
      </c>
      <c r="J5409">
        <v>-239.59559999999999</v>
      </c>
      <c r="K5409">
        <v>1.1119840000000001</v>
      </c>
      <c r="L5409">
        <v>-62.662320000000001</v>
      </c>
      <c r="M5409">
        <v>0.99940459999999998</v>
      </c>
      <c r="N5409">
        <v>-1.43675E-2</v>
      </c>
      <c r="O5409">
        <v>-3.1367850000000003E-2</v>
      </c>
      <c r="P5409">
        <v>0.89857199999999904</v>
      </c>
      <c r="Q5409">
        <v>0.4160722</v>
      </c>
      <c r="R5409">
        <v>0.13947129999999999</v>
      </c>
      <c r="S5409">
        <v>3.3435969999999999</v>
      </c>
      <c r="T5409">
        <v>-0.27512239999999999</v>
      </c>
      <c r="U5409">
        <v>0.78933719999999996</v>
      </c>
      <c r="V5409">
        <v>-0.16835049999999999</v>
      </c>
      <c r="W5409">
        <v>0.42857309999999998</v>
      </c>
      <c r="X5409">
        <v>0.88768419999999904</v>
      </c>
      <c r="Y5409">
        <v>-0.25912600000000002</v>
      </c>
      <c r="Z5409">
        <v>1.448997E-2</v>
      </c>
      <c r="AA5409">
        <v>0.9657348</v>
      </c>
      <c r="AB5409">
        <v>31</v>
      </c>
      <c r="AC5409">
        <v>13.3700999999999</v>
      </c>
      <c r="AD5409">
        <v>-1.111985991242</v>
      </c>
      <c r="AE5409">
        <v>3.19453999999998</v>
      </c>
      <c r="AF5409">
        <v>-3.5889177558190801</v>
      </c>
      <c r="AG5409">
        <v>-1.111985991242</v>
      </c>
      <c r="AH5409">
        <v>13.177077339724701</v>
      </c>
      <c r="AI5409">
        <v>94.654866989504001</v>
      </c>
      <c r="AJ5409">
        <v>105.235566851486</v>
      </c>
      <c r="AK5409">
        <v>13.702270276119901</v>
      </c>
      <c r="AL5409">
        <v>64.622960913928495</v>
      </c>
      <c r="AM5409">
        <v>100.738685266465</v>
      </c>
      <c r="AN5409">
        <v>1.0000000159117399</v>
      </c>
    </row>
    <row r="5410" spans="1:40" x14ac:dyDescent="0.25">
      <c r="A5410" t="str">
        <f>"20190304164753928"</f>
        <v>20190304164753928</v>
      </c>
      <c r="B5410" t="str">
        <f>"1551689273925065"</f>
        <v>1551689273925065</v>
      </c>
      <c r="C5410" t="s">
        <v>40</v>
      </c>
      <c r="D5410">
        <v>4.4996140000000002</v>
      </c>
      <c r="E5410">
        <v>0.4743</v>
      </c>
      <c r="F5410" t="s">
        <v>61</v>
      </c>
      <c r="G5410">
        <v>-226.10149999999999</v>
      </c>
      <c r="H5410" s="1">
        <v>-1.940067E-6</v>
      </c>
      <c r="I5410">
        <v>-59.458799999999997</v>
      </c>
      <c r="J5410">
        <v>-239.4417</v>
      </c>
      <c r="K5410">
        <v>1.111982</v>
      </c>
      <c r="L5410">
        <v>-62.666690000000003</v>
      </c>
      <c r="M5410">
        <v>0.99941809999999998</v>
      </c>
      <c r="N5410">
        <v>-1.4365920000000001E-2</v>
      </c>
      <c r="O5410">
        <v>-3.0935500000000001E-2</v>
      </c>
      <c r="P5410">
        <v>0.89860249999999997</v>
      </c>
      <c r="Q5410">
        <v>0.41579430000000001</v>
      </c>
      <c r="R5410">
        <v>0.14010310000000001</v>
      </c>
      <c r="S5410">
        <v>3.3430019999999998</v>
      </c>
      <c r="T5410">
        <v>-0.27548299999999998</v>
      </c>
      <c r="U5410">
        <v>0.79364009999999996</v>
      </c>
      <c r="V5410">
        <v>-0.16859479999999999</v>
      </c>
      <c r="W5410">
        <v>0.42829519999999999</v>
      </c>
      <c r="X5410">
        <v>0.88777199999999901</v>
      </c>
      <c r="Y5410">
        <v>-0.25991910000000001</v>
      </c>
      <c r="Z5410">
        <v>1.451651E-2</v>
      </c>
      <c r="AA5410">
        <v>0.96552130000000003</v>
      </c>
      <c r="AB5410">
        <v>31</v>
      </c>
      <c r="AC5410">
        <v>13.340199999999999</v>
      </c>
      <c r="AD5410">
        <v>-1.111983940067</v>
      </c>
      <c r="AE5410">
        <v>3.2078899999999999</v>
      </c>
      <c r="AF5410">
        <v>-3.5954662895974301</v>
      </c>
      <c r="AG5410">
        <v>-1.111983940067</v>
      </c>
      <c r="AH5410">
        <v>13.1482034446535</v>
      </c>
      <c r="AI5410">
        <v>94.663742679739002</v>
      </c>
      <c r="AJ5410">
        <v>105.294019196939</v>
      </c>
      <c r="AK5410">
        <v>13.676225354409601</v>
      </c>
      <c r="AL5410">
        <v>64.640583665615495</v>
      </c>
      <c r="AM5410">
        <v>100.752866683029</v>
      </c>
      <c r="AN5410">
        <v>1.00000005445703</v>
      </c>
    </row>
    <row r="5411" spans="1:40" x14ac:dyDescent="0.25">
      <c r="A5411" t="str">
        <f>"20190304164753937"</f>
        <v>20190304164753937</v>
      </c>
      <c r="B5411" t="str">
        <f>"1551689273934825"</f>
        <v>1551689273934825</v>
      </c>
      <c r="C5411" t="s">
        <v>40</v>
      </c>
      <c r="D5411">
        <v>4.5125609999999998</v>
      </c>
      <c r="E5411">
        <v>0.47423599999999999</v>
      </c>
      <c r="F5411" t="s">
        <v>61</v>
      </c>
      <c r="G5411">
        <v>-225.98859999999999</v>
      </c>
      <c r="H5411" s="1">
        <v>-1.891468E-6</v>
      </c>
      <c r="I5411">
        <v>-59.459530000000001</v>
      </c>
      <c r="J5411">
        <v>-239.31450000000001</v>
      </c>
      <c r="K5411">
        <v>1.11198</v>
      </c>
      <c r="L5411">
        <v>-62.670290000000001</v>
      </c>
      <c r="M5411">
        <v>0.99942929999999996</v>
      </c>
      <c r="N5411">
        <v>-1.43646E-2</v>
      </c>
      <c r="O5411">
        <v>-3.0578250000000001E-2</v>
      </c>
      <c r="P5411">
        <v>0.89858169999999904</v>
      </c>
      <c r="Q5411">
        <v>0.41568959999999999</v>
      </c>
      <c r="R5411">
        <v>0.14054630000000001</v>
      </c>
      <c r="S5411">
        <v>3.342133</v>
      </c>
      <c r="T5411">
        <v>-0.2762502</v>
      </c>
      <c r="U5411">
        <v>0.79675289999999999</v>
      </c>
      <c r="V5411">
        <v>-0.1687167</v>
      </c>
      <c r="W5411">
        <v>0.4281896</v>
      </c>
      <c r="X5411">
        <v>0.88779969999999997</v>
      </c>
      <c r="Y5411">
        <v>-0.2604745</v>
      </c>
      <c r="Z5411">
        <v>1.455742E-2</v>
      </c>
      <c r="AA5411">
        <v>0.96537099999999998</v>
      </c>
      <c r="AB5411">
        <v>31</v>
      </c>
      <c r="AC5411">
        <v>13.325900000000001</v>
      </c>
      <c r="AD5411">
        <v>-1.111981891468</v>
      </c>
      <c r="AE5411">
        <v>3.2107599999999898</v>
      </c>
      <c r="AF5411">
        <v>-3.5931363492794199</v>
      </c>
      <c r="AG5411">
        <v>-1.111981891468</v>
      </c>
      <c r="AH5411">
        <v>13.135035375428799</v>
      </c>
      <c r="AI5411">
        <v>94.668274494637799</v>
      </c>
      <c r="AJ5411">
        <v>105.29917733545101</v>
      </c>
      <c r="AK5411">
        <v>13.6629530799616</v>
      </c>
      <c r="AL5411">
        <v>64.647277169165207</v>
      </c>
      <c r="AM5411">
        <v>100.76013202473</v>
      </c>
      <c r="AN5411">
        <v>0.99999998286356895</v>
      </c>
    </row>
    <row r="5412" spans="1:40" x14ac:dyDescent="0.25">
      <c r="A5412" t="str">
        <f>"20190304164753948"</f>
        <v>20190304164753948</v>
      </c>
      <c r="B5412" t="str">
        <f>"1551689273944585"</f>
        <v>1551689273944585</v>
      </c>
      <c r="C5412" t="s">
        <v>40</v>
      </c>
      <c r="D5412">
        <v>4.496963</v>
      </c>
      <c r="E5412">
        <v>0.4741475</v>
      </c>
      <c r="F5412" t="s">
        <v>61</v>
      </c>
      <c r="G5412">
        <v>-225.87479999999999</v>
      </c>
      <c r="H5412" s="1">
        <v>-1.8425210000000001E-6</v>
      </c>
      <c r="I5412">
        <v>-59.459960000000002</v>
      </c>
      <c r="J5412">
        <v>-239.16419999999999</v>
      </c>
      <c r="K5412">
        <v>1.111982</v>
      </c>
      <c r="L5412">
        <v>-62.674439999999997</v>
      </c>
      <c r="M5412">
        <v>0.99944200000000005</v>
      </c>
      <c r="N5412">
        <v>-1.4363010000000001E-2</v>
      </c>
      <c r="O5412">
        <v>-3.0155439999999999E-2</v>
      </c>
      <c r="P5412">
        <v>0.89852069999999995</v>
      </c>
      <c r="Q5412">
        <v>0.41547640000000002</v>
      </c>
      <c r="R5412">
        <v>0.1415624</v>
      </c>
      <c r="S5412">
        <v>3.3416600000000001</v>
      </c>
      <c r="T5412">
        <v>-0.276483799999999</v>
      </c>
      <c r="U5412">
        <v>0.79821779999999998</v>
      </c>
      <c r="V5412">
        <v>-0.1693509</v>
      </c>
      <c r="W5412">
        <v>0.42797420000000003</v>
      </c>
      <c r="X5412">
        <v>0.88778289999999904</v>
      </c>
      <c r="Y5412">
        <v>-0.26049640000000002</v>
      </c>
      <c r="Z5412">
        <v>1.4542100000000001E-2</v>
      </c>
      <c r="AA5412">
        <v>0.96536529999999998</v>
      </c>
      <c r="AB5412">
        <v>31</v>
      </c>
      <c r="AC5412">
        <v>13.289400000000001</v>
      </c>
      <c r="AD5412">
        <v>-1.111983842521</v>
      </c>
      <c r="AE5412">
        <v>3.21448</v>
      </c>
      <c r="AF5412">
        <v>-3.5900606777587898</v>
      </c>
      <c r="AG5412">
        <v>-1.111983842521</v>
      </c>
      <c r="AH5412">
        <v>13.099763509050501</v>
      </c>
      <c r="AI5412">
        <v>94.680200954214996</v>
      </c>
      <c r="AJ5412">
        <v>105.325921673282</v>
      </c>
      <c r="AK5412">
        <v>13.6282371467872</v>
      </c>
      <c r="AL5412">
        <v>64.6609353145124</v>
      </c>
      <c r="AM5412">
        <v>100.799829030224</v>
      </c>
      <c r="AN5412">
        <v>1.0000000603644199</v>
      </c>
    </row>
    <row r="5413" spans="1:40" x14ac:dyDescent="0.25">
      <c r="A5413" t="str">
        <f>"20190304164753960"</f>
        <v>20190304164753960</v>
      </c>
      <c r="B5413" t="str">
        <f>"1551689273954344"</f>
        <v>1551689273954344</v>
      </c>
      <c r="C5413" t="s">
        <v>40</v>
      </c>
      <c r="D5413">
        <v>4.5075710000000004</v>
      </c>
      <c r="E5413">
        <v>0.4740933</v>
      </c>
      <c r="F5413" t="s">
        <v>61</v>
      </c>
      <c r="G5413">
        <v>-225.7775</v>
      </c>
      <c r="H5413" s="1">
        <v>-1.8007209999999999E-6</v>
      </c>
      <c r="I5413">
        <v>-59.460270000000001</v>
      </c>
      <c r="J5413">
        <v>-239.00239999999999</v>
      </c>
      <c r="K5413">
        <v>1.1119810000000001</v>
      </c>
      <c r="L5413">
        <v>-62.67886</v>
      </c>
      <c r="M5413">
        <v>0.9994556</v>
      </c>
      <c r="N5413">
        <v>-1.4361290000000001E-2</v>
      </c>
      <c r="O5413">
        <v>-2.9700440000000002E-2</v>
      </c>
      <c r="P5413">
        <v>0.89852600000000005</v>
      </c>
      <c r="Q5413">
        <v>0.41521019999999997</v>
      </c>
      <c r="R5413">
        <v>0.14230809999999999</v>
      </c>
      <c r="S5413">
        <v>3.3407589999999998</v>
      </c>
      <c r="T5413">
        <v>-0.277505</v>
      </c>
      <c r="U5413">
        <v>0.80212399999999995</v>
      </c>
      <c r="V5413">
        <v>-0.1696888</v>
      </c>
      <c r="W5413">
        <v>0.427707</v>
      </c>
      <c r="X5413">
        <v>0.8878471</v>
      </c>
      <c r="Y5413">
        <v>-0.26117410000000002</v>
      </c>
      <c r="Z5413">
        <v>1.459389E-2</v>
      </c>
      <c r="AA5413">
        <v>0.96518139999999997</v>
      </c>
      <c r="AB5413">
        <v>31</v>
      </c>
      <c r="AC5413">
        <v>13.2248999999999</v>
      </c>
      <c r="AD5413">
        <v>-1.111982800721</v>
      </c>
      <c r="AE5413">
        <v>3.2185899999999998</v>
      </c>
      <c r="AF5413">
        <v>-3.58606042246759</v>
      </c>
      <c r="AG5413">
        <v>-1.111982800721</v>
      </c>
      <c r="AH5413">
        <v>13.036448961224799</v>
      </c>
      <c r="AI5413">
        <v>94.701601281682798</v>
      </c>
      <c r="AJ5413">
        <v>105.38048821332001</v>
      </c>
      <c r="AK5413">
        <v>13.566330993356599</v>
      </c>
      <c r="AL5413">
        <v>64.677872159070503</v>
      </c>
      <c r="AM5413">
        <v>100.82010530800299</v>
      </c>
      <c r="AN5413">
        <v>1.0000000198364201</v>
      </c>
    </row>
    <row r="5414" spans="1:40" x14ac:dyDescent="0.25">
      <c r="A5414" t="str">
        <f>"20190304164753970"</f>
        <v>20190304164753970</v>
      </c>
      <c r="B5414" t="str">
        <f>"1551689273965080"</f>
        <v>1551689273965080</v>
      </c>
      <c r="C5414" t="s">
        <v>40</v>
      </c>
      <c r="D5414">
        <v>4.5295129999999997</v>
      </c>
      <c r="E5414">
        <v>0.4740182</v>
      </c>
      <c r="F5414" t="s">
        <v>61</v>
      </c>
      <c r="G5414">
        <v>-225.66370000000001</v>
      </c>
      <c r="H5414" s="1">
        <v>-1.7514559999999999E-6</v>
      </c>
      <c r="I5414">
        <v>-59.4623699999999</v>
      </c>
      <c r="J5414">
        <v>-238.84780000000001</v>
      </c>
      <c r="K5414">
        <v>1.11198</v>
      </c>
      <c r="L5414">
        <v>-62.683039999999998</v>
      </c>
      <c r="M5414">
        <v>0.99946849999999998</v>
      </c>
      <c r="N5414">
        <v>-1.435965E-2</v>
      </c>
      <c r="O5414">
        <v>-2.926546E-2</v>
      </c>
      <c r="P5414">
        <v>0.89842180000000005</v>
      </c>
      <c r="Q5414">
        <v>0.4151514</v>
      </c>
      <c r="R5414">
        <v>0.14313519999999999</v>
      </c>
      <c r="S5414">
        <v>3.3399200000000002</v>
      </c>
      <c r="T5414">
        <v>-0.27843329999999999</v>
      </c>
      <c r="U5414">
        <v>0.80538940000000003</v>
      </c>
      <c r="V5414">
        <v>-0.17012269999999999</v>
      </c>
      <c r="W5414">
        <v>0.4276452</v>
      </c>
      <c r="X5414">
        <v>0.88779379999999997</v>
      </c>
      <c r="Y5414">
        <v>-0.26169310000000001</v>
      </c>
      <c r="Z5414">
        <v>1.4634940000000001E-2</v>
      </c>
      <c r="AA5414">
        <v>0.96504020000000001</v>
      </c>
      <c r="AB5414">
        <v>31</v>
      </c>
      <c r="AC5414">
        <v>13.184100000000001</v>
      </c>
      <c r="AD5414">
        <v>-1.111981751456</v>
      </c>
      <c r="AE5414">
        <v>3.2206700000000099</v>
      </c>
      <c r="AF5414">
        <v>-3.5811283730008401</v>
      </c>
      <c r="AG5414">
        <v>-1.111981751456</v>
      </c>
      <c r="AH5414">
        <v>12.9969381778012</v>
      </c>
      <c r="AI5414">
        <v>94.715276664339697</v>
      </c>
      <c r="AJ5414">
        <v>105.404815128754</v>
      </c>
      <c r="AK5414">
        <v>13.5270612417136</v>
      </c>
      <c r="AL5414">
        <v>64.681788566152704</v>
      </c>
      <c r="AM5414">
        <v>100.847752894111</v>
      </c>
      <c r="AN5414">
        <v>0.99999999072838497</v>
      </c>
    </row>
    <row r="5415" spans="1:40" x14ac:dyDescent="0.25">
      <c r="A5415" t="str">
        <f>"20190304164753982"</f>
        <v>20190304164753982</v>
      </c>
      <c r="B5415" t="str">
        <f>"1551689273974840"</f>
        <v>1551689273974840</v>
      </c>
      <c r="C5415" t="s">
        <v>40</v>
      </c>
      <c r="D5415">
        <v>4.5210520000000001</v>
      </c>
      <c r="E5415">
        <v>0.47394799999999998</v>
      </c>
      <c r="F5415" t="s">
        <v>61</v>
      </c>
      <c r="G5415">
        <v>-225.5204</v>
      </c>
      <c r="H5415" s="1">
        <v>-1.6912969999999999E-6</v>
      </c>
      <c r="I5415">
        <v>-59.456319999999998</v>
      </c>
      <c r="J5415">
        <v>-238.7003</v>
      </c>
      <c r="K5415">
        <v>1.111985</v>
      </c>
      <c r="L5415">
        <v>-62.686919999999901</v>
      </c>
      <c r="M5415">
        <v>0.9994807</v>
      </c>
      <c r="N5415">
        <v>-1.4358060000000001E-2</v>
      </c>
      <c r="O5415">
        <v>-2.8850399999999998E-2</v>
      </c>
      <c r="P5415">
        <v>0.89821340000000005</v>
      </c>
      <c r="Q5415">
        <v>0.41516459999999999</v>
      </c>
      <c r="R5415">
        <v>0.14439929999999901</v>
      </c>
      <c r="S5415">
        <v>3.3391269999999902</v>
      </c>
      <c r="T5415">
        <v>-0.27860190000000001</v>
      </c>
      <c r="U5415">
        <v>0.80844119999999997</v>
      </c>
      <c r="V5415">
        <v>-0.17100789999999999</v>
      </c>
      <c r="W5415">
        <v>0.42765310000000001</v>
      </c>
      <c r="X5415">
        <v>0.88761990000000002</v>
      </c>
      <c r="Y5415">
        <v>-0.26217560000000001</v>
      </c>
      <c r="Z5415">
        <v>1.463967E-2</v>
      </c>
      <c r="AA5415">
        <v>0.96490909999999996</v>
      </c>
      <c r="AB5415">
        <v>31</v>
      </c>
      <c r="AC5415">
        <v>13.1799</v>
      </c>
      <c r="AD5415">
        <v>-1.111986691297</v>
      </c>
      <c r="AE5415">
        <v>3.2305999999999901</v>
      </c>
      <c r="AF5415">
        <v>-3.5854636984958601</v>
      </c>
      <c r="AG5415">
        <v>-1.111986691297</v>
      </c>
      <c r="AH5415">
        <v>12.9939466469321</v>
      </c>
      <c r="AI5415">
        <v>94.715900487993807</v>
      </c>
      <c r="AJ5415">
        <v>105.425958459106</v>
      </c>
      <c r="AK5415">
        <v>13.525335995758899</v>
      </c>
      <c r="AL5415">
        <v>64.681287576791306</v>
      </c>
      <c r="AM5415">
        <v>100.90493251142</v>
      </c>
      <c r="AN5415">
        <v>0.99999998133901402</v>
      </c>
    </row>
    <row r="5416" spans="1:40" x14ac:dyDescent="0.25">
      <c r="A5416" t="str">
        <f>"20190304164753994"</f>
        <v>20190304164753994</v>
      </c>
      <c r="B5416" t="str">
        <f>"1551689273984602"</f>
        <v>1551689273984602</v>
      </c>
      <c r="C5416" t="s">
        <v>40</v>
      </c>
      <c r="D5416">
        <v>4.538456</v>
      </c>
      <c r="E5416">
        <v>0.47361950000000003</v>
      </c>
      <c r="F5416" t="s">
        <v>61</v>
      </c>
      <c r="G5416">
        <v>-225.3691</v>
      </c>
      <c r="H5416" s="1">
        <v>-1.6301679999999901E-6</v>
      </c>
      <c r="I5416">
        <v>-59.439210000000003</v>
      </c>
      <c r="J5416">
        <v>-238.5367</v>
      </c>
      <c r="K5416">
        <v>1.1119840000000001</v>
      </c>
      <c r="L5416">
        <v>-62.691189999999999</v>
      </c>
      <c r="M5416">
        <v>0.99949390000000005</v>
      </c>
      <c r="N5416">
        <v>-1.4356280000000001E-2</v>
      </c>
      <c r="O5416">
        <v>-2.8389790000000002E-2</v>
      </c>
      <c r="P5416">
        <v>0.89816739999999995</v>
      </c>
      <c r="Q5416">
        <v>0.41496250000000001</v>
      </c>
      <c r="R5416">
        <v>0.14526349999999999</v>
      </c>
      <c r="S5416">
        <v>3.3379210000000001</v>
      </c>
      <c r="T5416">
        <v>-0.27842270000000002</v>
      </c>
      <c r="U5416">
        <v>0.81317139999999999</v>
      </c>
      <c r="V5416">
        <v>-0.1714579</v>
      </c>
      <c r="W5416">
        <v>0.42744910000000003</v>
      </c>
      <c r="X5416">
        <v>0.88763139999999996</v>
      </c>
      <c r="Y5416">
        <v>-0.26310020000000001</v>
      </c>
      <c r="Z5416">
        <v>1.4647240000000001E-2</v>
      </c>
      <c r="AA5416">
        <v>0.96465730000000005</v>
      </c>
      <c r="AB5416">
        <v>31</v>
      </c>
      <c r="AC5416">
        <v>13.167599999999901</v>
      </c>
      <c r="AD5416">
        <v>-1.111985630168</v>
      </c>
      <c r="AE5416">
        <v>3.2519800000000001</v>
      </c>
      <c r="AF5416">
        <v>-3.6003328672238499</v>
      </c>
      <c r="AG5416">
        <v>-1.111985630168</v>
      </c>
      <c r="AH5416">
        <v>12.9826944525378</v>
      </c>
      <c r="AI5416">
        <v>94.718293583137907</v>
      </c>
      <c r="AJ5416">
        <v>105.499643662422</v>
      </c>
      <c r="AK5416">
        <v>13.518478614269799</v>
      </c>
      <c r="AL5416">
        <v>64.694218421674194</v>
      </c>
      <c r="AM5416">
        <v>100.93279951531299</v>
      </c>
      <c r="AN5416">
        <v>1.0000000234145801</v>
      </c>
    </row>
    <row r="5417" spans="1:40" x14ac:dyDescent="0.25">
      <c r="A5417" t="str">
        <f>"20190304164754007"</f>
        <v>20190304164754007</v>
      </c>
      <c r="B5417" t="str">
        <f>"1551689273994361"</f>
        <v>1551689273994361</v>
      </c>
      <c r="C5417" t="s">
        <v>40</v>
      </c>
      <c r="D5417">
        <v>4.6710599999999998</v>
      </c>
      <c r="E5417">
        <v>0.47361950000000003</v>
      </c>
      <c r="F5417" t="s">
        <v>61</v>
      </c>
      <c r="G5417">
        <v>-225.2311</v>
      </c>
      <c r="H5417" s="1">
        <v>-1.5738669999999901E-6</v>
      </c>
      <c r="I5417">
        <v>-59.426099999999998</v>
      </c>
      <c r="J5417">
        <v>-238.36510000000001</v>
      </c>
      <c r="K5417">
        <v>1.111982</v>
      </c>
      <c r="L5417">
        <v>-62.69556</v>
      </c>
      <c r="M5417">
        <v>0.99950749999999999</v>
      </c>
      <c r="N5417">
        <v>-1.4354399999999899E-2</v>
      </c>
      <c r="O5417">
        <v>-2.7905699999999999E-2</v>
      </c>
      <c r="P5417">
        <v>0.89799300000000004</v>
      </c>
      <c r="Q5417">
        <v>0.41494130000000001</v>
      </c>
      <c r="R5417">
        <v>0.14639869999999999</v>
      </c>
      <c r="S5417">
        <v>3.3365170000000002</v>
      </c>
      <c r="T5417">
        <v>-0.27884170000000003</v>
      </c>
      <c r="U5417">
        <v>0.81875609999999999</v>
      </c>
      <c r="V5417">
        <v>-0.172154799999999</v>
      </c>
      <c r="W5417">
        <v>0.42742330000000001</v>
      </c>
      <c r="X5417">
        <v>0.88750890000000004</v>
      </c>
      <c r="Y5417">
        <v>-0.26424300000000001</v>
      </c>
      <c r="Z5417">
        <v>1.469231E-2</v>
      </c>
      <c r="AA5417">
        <v>0.96434419999999998</v>
      </c>
      <c r="AB5417">
        <v>31</v>
      </c>
      <c r="AC5417">
        <v>13.134</v>
      </c>
      <c r="AD5417">
        <v>-1.1119835738670001</v>
      </c>
      <c r="AE5417">
        <v>3.26946</v>
      </c>
      <c r="AF5417">
        <v>-3.6103683882911701</v>
      </c>
      <c r="AG5417">
        <v>-1.1119835738670001</v>
      </c>
      <c r="AH5417">
        <v>12.9502264454529</v>
      </c>
      <c r="AI5417">
        <v>94.728274303961499</v>
      </c>
      <c r="AJ5417">
        <v>105.57783491971399</v>
      </c>
      <c r="AK5417">
        <v>13.48998266701</v>
      </c>
      <c r="AL5417">
        <v>64.695852918130996</v>
      </c>
      <c r="AM5417">
        <v>100.977637532082</v>
      </c>
      <c r="AN5417">
        <v>1.0000000000625699</v>
      </c>
    </row>
    <row r="5418" spans="1:40" x14ac:dyDescent="0.25">
      <c r="A5418" t="str">
        <f>"20190304164754019"</f>
        <v>20190304164754019</v>
      </c>
      <c r="B5418" t="str">
        <f>"1551689274014858"</f>
        <v>1551689274014858</v>
      </c>
      <c r="C5418" t="s">
        <v>40</v>
      </c>
      <c r="D5418">
        <v>4.5031299999999996</v>
      </c>
      <c r="E5418">
        <v>0.42786150000000001</v>
      </c>
      <c r="F5418" t="s">
        <v>61</v>
      </c>
      <c r="G5418">
        <v>-225.0675</v>
      </c>
      <c r="H5418" s="1">
        <v>-1.5063460000000001E-6</v>
      </c>
      <c r="I5418">
        <v>-59.414140000000003</v>
      </c>
      <c r="J5418">
        <v>-238.18729999999999</v>
      </c>
      <c r="K5418">
        <v>1.111982</v>
      </c>
      <c r="L5418">
        <v>-62.700009999999999</v>
      </c>
      <c r="M5418">
        <v>0.99952160000000001</v>
      </c>
      <c r="N5418">
        <v>-1.4352470000000001E-2</v>
      </c>
      <c r="O5418">
        <v>-2.7403609999999998E-2</v>
      </c>
      <c r="P5418">
        <v>0.89778709999999995</v>
      </c>
      <c r="Q5418">
        <v>0.41495349999999998</v>
      </c>
      <c r="R5418">
        <v>0.147622</v>
      </c>
      <c r="S5418">
        <v>3.33548</v>
      </c>
      <c r="T5418">
        <v>-0.27892299999999998</v>
      </c>
      <c r="U5418">
        <v>0.82308959999999998</v>
      </c>
      <c r="V5418">
        <v>-0.17292260000000001</v>
      </c>
      <c r="W5418">
        <v>0.4274307</v>
      </c>
      <c r="X5418">
        <v>0.88735609999999998</v>
      </c>
      <c r="Y5418">
        <v>-0.26500679999999999</v>
      </c>
      <c r="Z5418">
        <v>1.4700980000000001E-2</v>
      </c>
      <c r="AA5418">
        <v>0.96413450000000001</v>
      </c>
      <c r="AB5418">
        <v>31</v>
      </c>
      <c r="AC5418">
        <v>13.1197999999999</v>
      </c>
      <c r="AD5418">
        <v>-1.111983506346</v>
      </c>
      <c r="AE5418">
        <v>3.2858699999999899</v>
      </c>
      <c r="AF5418">
        <v>-3.6197346296852602</v>
      </c>
      <c r="AG5418">
        <v>-1.111983506346</v>
      </c>
      <c r="AH5418">
        <v>12.9373664652645</v>
      </c>
      <c r="AI5418">
        <v>94.731730854134796</v>
      </c>
      <c r="AJ5418">
        <v>105.631042745608</v>
      </c>
      <c r="AK5418">
        <v>13.4801497456177</v>
      </c>
      <c r="AL5418">
        <v>64.695384972477896</v>
      </c>
      <c r="AM5418">
        <v>101.027251997256</v>
      </c>
      <c r="AN5418">
        <v>1.0000000385502199</v>
      </c>
    </row>
    <row r="5419" spans="1:40" x14ac:dyDescent="0.25">
      <c r="A5419" t="str">
        <f>"20190304164754033"</f>
        <v>20190304164754033</v>
      </c>
      <c r="B5419" t="str">
        <f>"1551689274024547"</f>
        <v>1551689274024547</v>
      </c>
      <c r="C5419" t="s">
        <v>40</v>
      </c>
      <c r="D5419">
        <v>4.4870199999999896</v>
      </c>
      <c r="E5419">
        <v>0.35246359999999999</v>
      </c>
      <c r="F5419" t="s">
        <v>62</v>
      </c>
      <c r="G5419">
        <v>-210.71129999999999</v>
      </c>
      <c r="H5419" s="1">
        <v>-1.266028E-6</v>
      </c>
      <c r="I5419">
        <v>-52.6746699999999</v>
      </c>
      <c r="J5419">
        <v>-237.99299999999999</v>
      </c>
      <c r="K5419">
        <v>1.1119810000000001</v>
      </c>
      <c r="L5419">
        <v>-62.704770000000003</v>
      </c>
      <c r="M5419">
        <v>0.99953650000000005</v>
      </c>
      <c r="N5419">
        <v>-1.4350369999999999E-2</v>
      </c>
      <c r="O5419">
        <v>-2.6853109999999999E-2</v>
      </c>
      <c r="P5419">
        <v>0.89774669999999901</v>
      </c>
      <c r="Q5419">
        <v>0.41453810000000002</v>
      </c>
      <c r="R5419">
        <v>0.14902760000000001</v>
      </c>
      <c r="S5419">
        <v>3.2090450000000001</v>
      </c>
      <c r="T5419">
        <v>-0.12987360000000001</v>
      </c>
      <c r="U5419">
        <v>1.170898</v>
      </c>
      <c r="V5419">
        <v>-0.17383390000000001</v>
      </c>
      <c r="W5419">
        <v>0.42701159999999999</v>
      </c>
      <c r="X5419">
        <v>0.88737980000000005</v>
      </c>
      <c r="Y5419">
        <v>-0.3674965</v>
      </c>
      <c r="Z5419">
        <v>1.060301E-2</v>
      </c>
      <c r="AA5419">
        <v>0.92996449999999997</v>
      </c>
      <c r="AB5419">
        <v>31</v>
      </c>
      <c r="AC5419">
        <v>27.281700000000001</v>
      </c>
      <c r="AD5419">
        <v>-1.1119822660280001</v>
      </c>
      <c r="AE5419">
        <v>10.030099999999999</v>
      </c>
      <c r="AF5419">
        <v>-10.7434331113763</v>
      </c>
      <c r="AG5419">
        <v>-1.1119822660280001</v>
      </c>
      <c r="AH5419">
        <v>26.963032378976301</v>
      </c>
      <c r="AI5419">
        <v>92.194027880662702</v>
      </c>
      <c r="AJ5419">
        <v>111.724833157928</v>
      </c>
      <c r="AK5419">
        <v>29.045877067981699</v>
      </c>
      <c r="AL5419">
        <v>64.721942835062293</v>
      </c>
      <c r="AM5419">
        <v>101.083641354759</v>
      </c>
      <c r="AN5419">
        <v>1.0000000203859001</v>
      </c>
    </row>
    <row r="5420" spans="1:40" x14ac:dyDescent="0.25">
      <c r="A5420" t="str">
        <f>"20190304164754045"</f>
        <v>20190304164754045</v>
      </c>
      <c r="B5420" t="str">
        <f>"1551689274035284"</f>
        <v>1551689274035284</v>
      </c>
      <c r="C5420" t="s">
        <v>40</v>
      </c>
      <c r="D5420">
        <v>4.4661520000000001</v>
      </c>
      <c r="E5420">
        <v>0.34823110000000002</v>
      </c>
      <c r="F5420" t="s">
        <v>53</v>
      </c>
      <c r="G5420">
        <v>-204.71299999999999</v>
      </c>
      <c r="H5420">
        <v>7.9987470000000005E-2</v>
      </c>
      <c r="I5420">
        <v>-43.714230000000001</v>
      </c>
      <c r="J5420">
        <v>-237.83369999999999</v>
      </c>
      <c r="K5420">
        <v>1.1119810000000001</v>
      </c>
      <c r="L5420">
        <v>-62.708590000000001</v>
      </c>
      <c r="M5420">
        <v>0.99954849999999995</v>
      </c>
      <c r="N5420">
        <v>-1.4348730000000001E-2</v>
      </c>
      <c r="O5420">
        <v>-2.6399760000000001E-2</v>
      </c>
      <c r="P5420">
        <v>0.89761959999999996</v>
      </c>
      <c r="Q5420">
        <v>0.41438130000000001</v>
      </c>
      <c r="R5420">
        <v>0.15022389999999999</v>
      </c>
      <c r="S5420">
        <v>3.0929869999999999</v>
      </c>
      <c r="T5420">
        <v>-9.5911979999999994E-2</v>
      </c>
      <c r="U5420">
        <v>1.7649539999999999</v>
      </c>
      <c r="V5420">
        <v>-0.1746219</v>
      </c>
      <c r="W5420">
        <v>0.42685070000000003</v>
      </c>
      <c r="X5420">
        <v>0.88730249999999999</v>
      </c>
      <c r="Y5420">
        <v>-0.51807329999999996</v>
      </c>
      <c r="Z5420">
        <v>1.185638E-2</v>
      </c>
      <c r="AA5420">
        <v>0.85525409999999902</v>
      </c>
      <c r="AB5420">
        <v>31</v>
      </c>
      <c r="AC5420">
        <v>33.120699999999999</v>
      </c>
      <c r="AD5420">
        <v>-1.0319935299999901</v>
      </c>
      <c r="AE5420">
        <v>18.99436</v>
      </c>
      <c r="AF5420">
        <v>-19.847706710830799</v>
      </c>
      <c r="AG5420">
        <v>-1.0319935299999901</v>
      </c>
      <c r="AH5420">
        <v>32.583850743483801</v>
      </c>
      <c r="AI5420">
        <v>91.549411995082096</v>
      </c>
      <c r="AJ5420">
        <v>121.346726846507</v>
      </c>
      <c r="AK5420">
        <v>38.1667892492774</v>
      </c>
      <c r="AL5420">
        <v>64.7321377051626</v>
      </c>
      <c r="AM5420">
        <v>101.133577512307</v>
      </c>
      <c r="AN5420">
        <v>1.0000000272781699</v>
      </c>
    </row>
    <row r="5421" spans="1:40" x14ac:dyDescent="0.25">
      <c r="A5421" t="str">
        <f>"20190304164754056"</f>
        <v>20190304164754056</v>
      </c>
      <c r="B5421" t="str">
        <f>"1551689274045044"</f>
        <v>1551689274045044</v>
      </c>
      <c r="C5421" t="s">
        <v>40</v>
      </c>
      <c r="D5421">
        <v>4.479101</v>
      </c>
      <c r="E5421">
        <v>0.34592109999999998</v>
      </c>
      <c r="F5421" t="s">
        <v>43</v>
      </c>
      <c r="G5421">
        <v>-203.52029999999999</v>
      </c>
      <c r="H5421">
        <v>-0.05</v>
      </c>
      <c r="I5421">
        <v>-42.676900000000003</v>
      </c>
      <c r="J5421">
        <v>-237.67349999999999</v>
      </c>
      <c r="K5421">
        <v>1.111974</v>
      </c>
      <c r="L5421">
        <v>-62.712400000000002</v>
      </c>
      <c r="M5421">
        <v>0.99956049999999996</v>
      </c>
      <c r="N5421">
        <v>-1.434707E-2</v>
      </c>
      <c r="O5421">
        <v>-2.5942110000000001E-2</v>
      </c>
      <c r="P5421">
        <v>0.89758899999999997</v>
      </c>
      <c r="Q5421">
        <v>0.4140798</v>
      </c>
      <c r="R5421">
        <v>0.15123499999999901</v>
      </c>
      <c r="S5421">
        <v>3.0886840000000002</v>
      </c>
      <c r="T5421">
        <v>-0.10459450000000001</v>
      </c>
      <c r="U5421">
        <v>1.803131</v>
      </c>
      <c r="V5421">
        <v>-0.17522389999999999</v>
      </c>
      <c r="W5421">
        <v>0.42654629999999999</v>
      </c>
      <c r="X5421">
        <v>0.88733019999999996</v>
      </c>
      <c r="Y5421">
        <v>-0.5260475</v>
      </c>
      <c r="Z5421">
        <v>1.277561E-2</v>
      </c>
      <c r="AA5421">
        <v>0.85035930000000004</v>
      </c>
      <c r="AB5421">
        <v>31</v>
      </c>
      <c r="AC5421">
        <v>34.153199999999998</v>
      </c>
      <c r="AD5421">
        <v>-1.1619740000000001</v>
      </c>
      <c r="AE5421">
        <v>20.035499999999999</v>
      </c>
      <c r="AF5421">
        <v>-20.896857281136601</v>
      </c>
      <c r="AG5421">
        <v>-1.1619740000000001</v>
      </c>
      <c r="AH5421">
        <v>33.592957644248102</v>
      </c>
      <c r="AI5421">
        <v>91.682341207992806</v>
      </c>
      <c r="AJ5421">
        <v>121.884117943167</v>
      </c>
      <c r="AK5421">
        <v>39.579232320664197</v>
      </c>
      <c r="AL5421">
        <v>64.751422131427205</v>
      </c>
      <c r="AM5421">
        <v>101.170656248155</v>
      </c>
      <c r="AN5421">
        <v>1.00000002250346</v>
      </c>
    </row>
    <row r="5422" spans="1:40" x14ac:dyDescent="0.25">
      <c r="A5422" t="str">
        <f>"20190304164754067"</f>
        <v>20190304164754067</v>
      </c>
      <c r="B5422" t="str">
        <f>"1551689274064562"</f>
        <v>1551689274064562</v>
      </c>
      <c r="C5422" t="s">
        <v>40</v>
      </c>
      <c r="D5422">
        <v>4.4309329999999996</v>
      </c>
      <c r="E5422">
        <v>0.34524169999999998</v>
      </c>
      <c r="F5422" t="s">
        <v>53</v>
      </c>
      <c r="G5422">
        <v>-209.13679999999999</v>
      </c>
      <c r="H5422">
        <v>7.9989589999999999E-2</v>
      </c>
      <c r="I5422">
        <v>-45.834479999999999</v>
      </c>
      <c r="J5422">
        <v>-237.518</v>
      </c>
      <c r="K5422">
        <v>1.1119749999999999</v>
      </c>
      <c r="L5422">
        <v>-62.715969999999999</v>
      </c>
      <c r="M5422">
        <v>0.99957220000000002</v>
      </c>
      <c r="N5422">
        <v>-1.4345419999999999E-2</v>
      </c>
      <c r="O5422">
        <v>-2.5493729999999999E-2</v>
      </c>
      <c r="P5422">
        <v>0.89746610000000004</v>
      </c>
      <c r="Q5422">
        <v>0.41400670000000001</v>
      </c>
      <c r="R5422">
        <v>0.15216189999999999</v>
      </c>
      <c r="S5422">
        <v>3.0862430000000001</v>
      </c>
      <c r="T5422">
        <v>-0.11160920000000001</v>
      </c>
      <c r="U5422">
        <v>1.825348</v>
      </c>
      <c r="V5422">
        <v>-0.17574890000000001</v>
      </c>
      <c r="W5422">
        <v>0.42646869999999998</v>
      </c>
      <c r="X5422">
        <v>0.88726369999999899</v>
      </c>
      <c r="Y5422">
        <v>-0.53045830000000005</v>
      </c>
      <c r="Z5422">
        <v>1.3479079999999999E-2</v>
      </c>
      <c r="AA5422">
        <v>0.84760389999999997</v>
      </c>
      <c r="AB5422">
        <v>31</v>
      </c>
      <c r="AC5422">
        <v>28.3812</v>
      </c>
      <c r="AD5422">
        <v>-1.0319854100000001</v>
      </c>
      <c r="AE5422">
        <v>16.881489999999999</v>
      </c>
      <c r="AF5422">
        <v>-17.5824475215394</v>
      </c>
      <c r="AG5422">
        <v>-1.0319854100000001</v>
      </c>
      <c r="AH5422">
        <v>27.914295364552601</v>
      </c>
      <c r="AI5422">
        <v>91.791720372302706</v>
      </c>
      <c r="AJ5422">
        <v>122.205698590784</v>
      </c>
      <c r="AK5422">
        <v>33.0062924369524</v>
      </c>
      <c r="AL5422">
        <v>64.756338569532602</v>
      </c>
      <c r="AM5422">
        <v>101.20409845050099</v>
      </c>
      <c r="AN5422">
        <v>1.0000000506342901</v>
      </c>
    </row>
    <row r="5423" spans="1:40" x14ac:dyDescent="0.25">
      <c r="A5423" t="str">
        <f>"20190304164754082"</f>
        <v>20190304164754082</v>
      </c>
      <c r="B5423" t="str">
        <f>"1551689274074323"</f>
        <v>1551689274074323</v>
      </c>
      <c r="C5423" t="s">
        <v>40</v>
      </c>
      <c r="D5423">
        <v>4.4087690000000004</v>
      </c>
      <c r="E5423">
        <v>0.34568539999999998</v>
      </c>
      <c r="F5423" t="s">
        <v>62</v>
      </c>
      <c r="G5423">
        <v>-210.07040000000001</v>
      </c>
      <c r="H5423">
        <v>7.9986559999999998E-2</v>
      </c>
      <c r="I5423">
        <v>-46.393940000000001</v>
      </c>
      <c r="J5423">
        <v>-237.31280000000001</v>
      </c>
      <c r="K5423">
        <v>1.1119760000000001</v>
      </c>
      <c r="L5423">
        <v>-62.720579999999998</v>
      </c>
      <c r="M5423">
        <v>0.99958720000000001</v>
      </c>
      <c r="N5423">
        <v>-1.434326E-2</v>
      </c>
      <c r="O5423">
        <v>-2.4896439999999999E-2</v>
      </c>
      <c r="P5423">
        <v>0.89738549999999995</v>
      </c>
      <c r="Q5423">
        <v>0.41365689999999999</v>
      </c>
      <c r="R5423">
        <v>0.15358160000000001</v>
      </c>
      <c r="S5423">
        <v>3.0852200000000001</v>
      </c>
      <c r="T5423">
        <v>-0.1159997</v>
      </c>
      <c r="U5423">
        <v>1.8346560000000001</v>
      </c>
      <c r="V5423">
        <v>-0.17663699999999999</v>
      </c>
      <c r="W5423">
        <v>0.42611320000000003</v>
      </c>
      <c r="X5423">
        <v>0.88725810000000005</v>
      </c>
      <c r="Y5423">
        <v>-0.53193880000000004</v>
      </c>
      <c r="Z5423">
        <v>1.388383E-2</v>
      </c>
      <c r="AA5423">
        <v>0.846669</v>
      </c>
      <c r="AB5423">
        <v>31</v>
      </c>
      <c r="AC5423">
        <v>27.2424</v>
      </c>
      <c r="AD5423">
        <v>-1.03198944</v>
      </c>
      <c r="AE5423">
        <v>16.326640000000001</v>
      </c>
      <c r="AF5423">
        <v>-16.9819570933413</v>
      </c>
      <c r="AG5423">
        <v>-1.03198944</v>
      </c>
      <c r="AH5423">
        <v>26.799142316393102</v>
      </c>
      <c r="AI5423">
        <v>91.863032569545197</v>
      </c>
      <c r="AJ5423">
        <v>122.36142929981401</v>
      </c>
      <c r="AK5423">
        <v>31.743438657754901</v>
      </c>
      <c r="AL5423">
        <v>64.778854632346494</v>
      </c>
      <c r="AM5423">
        <v>101.25934174202</v>
      </c>
      <c r="AN5423">
        <v>1.0000000124994199</v>
      </c>
    </row>
    <row r="5424" spans="1:40" x14ac:dyDescent="0.25">
      <c r="A5424" t="str">
        <f>"20190304164754093"</f>
        <v>20190304164754093</v>
      </c>
      <c r="B5424" t="str">
        <f>"1551689274085059"</f>
        <v>1551689274085059</v>
      </c>
      <c r="C5424" t="s">
        <v>40</v>
      </c>
      <c r="D5424">
        <v>4.3908630000000004</v>
      </c>
      <c r="E5424">
        <v>0.34609179999999901</v>
      </c>
      <c r="F5424" t="s">
        <v>62</v>
      </c>
      <c r="G5424">
        <v>-210.62010000000001</v>
      </c>
      <c r="H5424">
        <v>7.9986710000000003E-2</v>
      </c>
      <c r="I5424">
        <v>-46.819110000000002</v>
      </c>
      <c r="J5424">
        <v>-237.155</v>
      </c>
      <c r="K5424">
        <v>1.1119829999999999</v>
      </c>
      <c r="L5424">
        <v>-62.724060000000001</v>
      </c>
      <c r="M5424">
        <v>0.99959869999999995</v>
      </c>
      <c r="N5424">
        <v>-1.4341609999999999E-2</v>
      </c>
      <c r="O5424">
        <v>-2.4433839999999998E-2</v>
      </c>
      <c r="P5424">
        <v>0.89730959999999904</v>
      </c>
      <c r="Q5424">
        <v>0.41352840000000002</v>
      </c>
      <c r="R5424">
        <v>0.154369799999999</v>
      </c>
      <c r="S5424">
        <v>3.083618</v>
      </c>
      <c r="T5424">
        <v>-0.1192183</v>
      </c>
      <c r="U5424">
        <v>1.836975</v>
      </c>
      <c r="V5424">
        <v>-0.1770148</v>
      </c>
      <c r="W5424">
        <v>0.42598000000000003</v>
      </c>
      <c r="X5424">
        <v>0.8872468</v>
      </c>
      <c r="Y5424">
        <v>-0.53219030000000001</v>
      </c>
      <c r="Z5424">
        <v>1.4163500000000001E-2</v>
      </c>
      <c r="AA5424">
        <v>0.84650630000000004</v>
      </c>
      <c r="AB5424">
        <v>31</v>
      </c>
      <c r="AC5424">
        <v>26.5349</v>
      </c>
      <c r="AD5424">
        <v>-1.0319962899999999</v>
      </c>
      <c r="AE5424">
        <v>15.904949999999999</v>
      </c>
      <c r="AF5424">
        <v>-16.530222023341899</v>
      </c>
      <c r="AG5424">
        <v>-1.0319962899999999</v>
      </c>
      <c r="AH5424">
        <v>26.109263295579499</v>
      </c>
      <c r="AI5424">
        <v>91.912717920991497</v>
      </c>
      <c r="AJ5424">
        <v>122.338601691204</v>
      </c>
      <c r="AK5424">
        <v>30.919361027056301</v>
      </c>
      <c r="AL5424">
        <v>64.787291137900894</v>
      </c>
      <c r="AM5424">
        <v>101.28294666295299</v>
      </c>
      <c r="AN5424">
        <v>1.00000004196463</v>
      </c>
    </row>
    <row r="5425" spans="1:40" x14ac:dyDescent="0.25">
      <c r="A5425" t="str">
        <f>"20190304164754105"</f>
        <v>20190304164754105</v>
      </c>
      <c r="B5425" t="str">
        <f>"1551689274094819"</f>
        <v>1551689274094819</v>
      </c>
      <c r="C5425" t="s">
        <v>40</v>
      </c>
      <c r="D5425">
        <v>4.3856950000000001</v>
      </c>
      <c r="E5425">
        <v>0.34647270000000002</v>
      </c>
      <c r="F5425" t="s">
        <v>62</v>
      </c>
      <c r="G5425">
        <v>-210.6884</v>
      </c>
      <c r="H5425">
        <v>7.9986710000000003E-2</v>
      </c>
      <c r="I5425">
        <v>-46.952809999999999</v>
      </c>
      <c r="J5425">
        <v>-237.00389999999999</v>
      </c>
      <c r="K5425">
        <v>1.111991</v>
      </c>
      <c r="L5425">
        <v>-62.727260000000001</v>
      </c>
      <c r="M5425">
        <v>0.99960959999999999</v>
      </c>
      <c r="N5425">
        <v>-1.434009E-2</v>
      </c>
      <c r="O5425">
        <v>-2.3981120000000002E-2</v>
      </c>
      <c r="P5425">
        <v>0.89702079999999995</v>
      </c>
      <c r="Q5425">
        <v>0.4137962</v>
      </c>
      <c r="R5425">
        <v>0.15532739999999901</v>
      </c>
      <c r="S5425">
        <v>3.082687</v>
      </c>
      <c r="T5425">
        <v>-0.1202015</v>
      </c>
      <c r="U5425">
        <v>1.8369450000000001</v>
      </c>
      <c r="V5425">
        <v>-0.17756830000000001</v>
      </c>
      <c r="W5425">
        <v>0.42623919999999998</v>
      </c>
      <c r="X5425">
        <v>0.88701160000000001</v>
      </c>
      <c r="Y5425">
        <v>-0.53190719999999903</v>
      </c>
      <c r="Z5425">
        <v>1.4233890000000001E-2</v>
      </c>
      <c r="AA5425">
        <v>0.84668299999999996</v>
      </c>
      <c r="AB5425">
        <v>31</v>
      </c>
      <c r="AC5425">
        <v>26.315499999999901</v>
      </c>
      <c r="AD5425">
        <v>-1.0320042899999999</v>
      </c>
      <c r="AE5425">
        <v>15.77445</v>
      </c>
      <c r="AF5425">
        <v>-16.382517334321399</v>
      </c>
      <c r="AG5425">
        <v>-1.0320042899999999</v>
      </c>
      <c r="AH5425">
        <v>25.900298890749202</v>
      </c>
      <c r="AI5425">
        <v>91.928671036959997</v>
      </c>
      <c r="AJ5425">
        <v>122.314266791845</v>
      </c>
      <c r="AK5425">
        <v>30.6639428269436</v>
      </c>
      <c r="AL5425">
        <v>64.770873156998405</v>
      </c>
      <c r="AM5425">
        <v>101.320241084302</v>
      </c>
      <c r="AN5425">
        <v>0.999999967658044</v>
      </c>
    </row>
    <row r="5426" spans="1:40" x14ac:dyDescent="0.25">
      <c r="A5426" t="str">
        <f>"20190304164754117"</f>
        <v>20190304164754117</v>
      </c>
      <c r="B5426" t="str">
        <f>"1551689274114339"</f>
        <v>1551689274114339</v>
      </c>
      <c r="C5426" t="s">
        <v>40</v>
      </c>
      <c r="D5426">
        <v>4.3673070000000003</v>
      </c>
      <c r="E5426">
        <v>0.34753650000000003</v>
      </c>
      <c r="F5426" t="s">
        <v>62</v>
      </c>
      <c r="G5426">
        <v>-210.7216</v>
      </c>
      <c r="H5426">
        <v>7.9986730000000006E-2</v>
      </c>
      <c r="I5426">
        <v>-47.061</v>
      </c>
      <c r="J5426">
        <v>-236.83609999999999</v>
      </c>
      <c r="K5426">
        <v>1.1120049999999999</v>
      </c>
      <c r="L5426">
        <v>-62.730800000000002</v>
      </c>
      <c r="M5426">
        <v>0.9996216</v>
      </c>
      <c r="N5426">
        <v>-1.4338389999999999E-2</v>
      </c>
      <c r="O5426">
        <v>-2.3473770000000001E-2</v>
      </c>
      <c r="P5426">
        <v>0.89672819999999998</v>
      </c>
      <c r="Q5426">
        <v>0.41407880000000002</v>
      </c>
      <c r="R5426">
        <v>0.15626109999999999</v>
      </c>
      <c r="S5426">
        <v>3.0820919999999998</v>
      </c>
      <c r="T5426">
        <v>-0.121022</v>
      </c>
      <c r="U5426">
        <v>1.8371580000000001</v>
      </c>
      <c r="V5426">
        <v>-0.17805029999999999</v>
      </c>
      <c r="W5426">
        <v>0.42651299999999998</v>
      </c>
      <c r="X5426">
        <v>0.8867834</v>
      </c>
      <c r="Y5426">
        <v>-0.53158780000000005</v>
      </c>
      <c r="Z5426">
        <v>1.4286449999999999E-2</v>
      </c>
      <c r="AA5426">
        <v>0.84688269999999899</v>
      </c>
      <c r="AB5426">
        <v>31</v>
      </c>
      <c r="AC5426">
        <v>26.1144999999999</v>
      </c>
      <c r="AD5426">
        <v>-1.03201827</v>
      </c>
      <c r="AE5426">
        <v>15.669799999999899</v>
      </c>
      <c r="AF5426">
        <v>-16.2598788934901</v>
      </c>
      <c r="AG5426">
        <v>-1.03201827</v>
      </c>
      <c r="AH5426">
        <v>25.709912887234999</v>
      </c>
      <c r="AI5426">
        <v>91.943044113832698</v>
      </c>
      <c r="AJ5426">
        <v>122.310740917712</v>
      </c>
      <c r="AK5426">
        <v>30.437613967093299</v>
      </c>
      <c r="AL5426">
        <v>64.753531616964594</v>
      </c>
      <c r="AM5426">
        <v>101.353017657099</v>
      </c>
      <c r="AN5426">
        <v>1.0000000235073201</v>
      </c>
    </row>
    <row r="5427" spans="1:40" x14ac:dyDescent="0.25">
      <c r="A5427" t="str">
        <f>"20190304164754128"</f>
        <v>20190304164754128</v>
      </c>
      <c r="B5427" t="str">
        <f>"1551689274125074"</f>
        <v>1551689274125074</v>
      </c>
      <c r="C5427" t="s">
        <v>40</v>
      </c>
      <c r="D5427">
        <v>4.3319789999999996</v>
      </c>
      <c r="E5427">
        <v>0.34791280000000002</v>
      </c>
      <c r="F5427" t="s">
        <v>62</v>
      </c>
      <c r="G5427">
        <v>-211.2312</v>
      </c>
      <c r="H5427">
        <v>7.9986860000000007E-2</v>
      </c>
      <c r="I5427">
        <v>-47.519779999999997</v>
      </c>
      <c r="J5427">
        <v>-236.67330000000001</v>
      </c>
      <c r="K5427">
        <v>1.112018</v>
      </c>
      <c r="L5427">
        <v>-62.734099999999998</v>
      </c>
      <c r="M5427">
        <v>0.99963340000000001</v>
      </c>
      <c r="N5427">
        <v>-1.4336740000000001E-2</v>
      </c>
      <c r="O5427">
        <v>-2.2969360000000001E-2</v>
      </c>
      <c r="P5427">
        <v>0.89660720000000005</v>
      </c>
      <c r="Q5427">
        <v>0.4139543</v>
      </c>
      <c r="R5427">
        <v>0.15728130000000001</v>
      </c>
      <c r="S5427">
        <v>3.0836790000000001</v>
      </c>
      <c r="T5427">
        <v>-0.1242895</v>
      </c>
      <c r="U5427">
        <v>1.831909</v>
      </c>
      <c r="V5427">
        <v>-0.17862809999999901</v>
      </c>
      <c r="W5427">
        <v>0.42637979999999998</v>
      </c>
      <c r="X5427">
        <v>0.88673119999999905</v>
      </c>
      <c r="Y5427">
        <v>-0.52988400000000002</v>
      </c>
      <c r="Z5427">
        <v>1.4509950000000001E-2</v>
      </c>
      <c r="AA5427">
        <v>0.84794599999999898</v>
      </c>
      <c r="AB5427">
        <v>31</v>
      </c>
      <c r="AC5427">
        <v>25.4421</v>
      </c>
      <c r="AD5427">
        <v>-1.03203114</v>
      </c>
      <c r="AE5427">
        <v>15.214320000000001</v>
      </c>
      <c r="AF5427">
        <v>-15.7756336946797</v>
      </c>
      <c r="AG5427">
        <v>-1.03203114</v>
      </c>
      <c r="AH5427">
        <v>25.0555194899393</v>
      </c>
      <c r="AI5427">
        <v>91.996303673665395</v>
      </c>
      <c r="AJ5427">
        <v>122.19562952015499</v>
      </c>
      <c r="AK5427">
        <v>29.6262512588645</v>
      </c>
      <c r="AL5427">
        <v>64.761967815025102</v>
      </c>
      <c r="AM5427">
        <v>101.389551507734</v>
      </c>
      <c r="AN5427">
        <v>0.99999997650554395</v>
      </c>
    </row>
    <row r="5428" spans="1:40" x14ac:dyDescent="0.25">
      <c r="A5428" t="str">
        <f>"20190304164754139"</f>
        <v>20190304164754139</v>
      </c>
      <c r="B5428" t="str">
        <f>"1551689274134836"</f>
        <v>1551689274134836</v>
      </c>
      <c r="C5428" t="s">
        <v>40</v>
      </c>
      <c r="D5428">
        <v>4.3635710000000003</v>
      </c>
      <c r="E5428">
        <v>0.34830359999999899</v>
      </c>
      <c r="F5428" t="s">
        <v>62</v>
      </c>
      <c r="G5428">
        <v>-211.5067</v>
      </c>
      <c r="H5428">
        <v>7.9986920000000003E-2</v>
      </c>
      <c r="I5428">
        <v>-47.778680000000001</v>
      </c>
      <c r="J5428">
        <v>-236.5359</v>
      </c>
      <c r="K5428">
        <v>1.112028</v>
      </c>
      <c r="L5428">
        <v>-62.736820000000002</v>
      </c>
      <c r="M5428">
        <v>0.99964330000000001</v>
      </c>
      <c r="N5428">
        <v>-1.433538E-2</v>
      </c>
      <c r="O5428">
        <v>-2.253697E-2</v>
      </c>
      <c r="P5428">
        <v>0.89652489999999996</v>
      </c>
      <c r="Q5428">
        <v>0.41380549999999999</v>
      </c>
      <c r="R5428">
        <v>0.15814039999999999</v>
      </c>
      <c r="S5428">
        <v>3.082916</v>
      </c>
      <c r="T5428">
        <v>-0.1264238</v>
      </c>
      <c r="U5428">
        <v>1.832031</v>
      </c>
      <c r="V5428">
        <v>-0.17910980000000001</v>
      </c>
      <c r="W5428">
        <v>0.42622450000000001</v>
      </c>
      <c r="X5428">
        <v>0.88670869999999902</v>
      </c>
      <c r="Y5428">
        <v>-0.5296206</v>
      </c>
      <c r="Z5428">
        <v>1.467836E-2</v>
      </c>
      <c r="AA5428">
        <v>0.84810759999999996</v>
      </c>
      <c r="AB5428">
        <v>31</v>
      </c>
      <c r="AC5428">
        <v>25.029199999999999</v>
      </c>
      <c r="AD5428">
        <v>-1.0320410799999999</v>
      </c>
      <c r="AE5428">
        <v>14.958139999999901</v>
      </c>
      <c r="AF5428">
        <v>-15.4990635882774</v>
      </c>
      <c r="AG5428">
        <v>-1.0320410799999999</v>
      </c>
      <c r="AH5428">
        <v>24.654809095176301</v>
      </c>
      <c r="AI5428">
        <v>92.029641548839606</v>
      </c>
      <c r="AJ5428">
        <v>122.155218497321</v>
      </c>
      <c r="AK5428">
        <v>29.140104536941202</v>
      </c>
      <c r="AL5428">
        <v>64.771804595507504</v>
      </c>
      <c r="AM5428">
        <v>101.419741563611</v>
      </c>
      <c r="AN5428">
        <v>0.99999998175598903</v>
      </c>
    </row>
    <row r="5429" spans="1:40" x14ac:dyDescent="0.25">
      <c r="A5429" t="str">
        <f>"20190304164754149"</f>
        <v>20190304164754149</v>
      </c>
      <c r="B5429" t="str">
        <f>"1551689274144595"</f>
        <v>1551689274144595</v>
      </c>
      <c r="C5429" t="s">
        <v>40</v>
      </c>
      <c r="D5429">
        <v>4.3262799999999997</v>
      </c>
      <c r="E5429">
        <v>0.34858489999999998</v>
      </c>
      <c r="F5429" t="s">
        <v>62</v>
      </c>
      <c r="G5429">
        <v>-211.8056</v>
      </c>
      <c r="H5429">
        <v>7.9987009999999997E-2</v>
      </c>
      <c r="I5429">
        <v>-48.039969999999997</v>
      </c>
      <c r="J5429">
        <v>-236.3826</v>
      </c>
      <c r="K5429">
        <v>1.112044</v>
      </c>
      <c r="L5429">
        <v>-62.739809999999999</v>
      </c>
      <c r="M5429">
        <v>0.99965420000000005</v>
      </c>
      <c r="N5429">
        <v>-1.433388E-2</v>
      </c>
      <c r="O5429">
        <v>-2.2046130000000001E-2</v>
      </c>
      <c r="P5429">
        <v>0.8965552</v>
      </c>
      <c r="Q5429">
        <v>0.41346250000000001</v>
      </c>
      <c r="R5429">
        <v>0.15886359999999999</v>
      </c>
      <c r="S5429">
        <v>3.0825040000000001</v>
      </c>
      <c r="T5429">
        <v>-0.12863859999999999</v>
      </c>
      <c r="U5429">
        <v>1.831879</v>
      </c>
      <c r="V5429">
        <v>-0.17940739999999999</v>
      </c>
      <c r="W5429">
        <v>0.42587550000000002</v>
      </c>
      <c r="X5429">
        <v>0.88681620000000005</v>
      </c>
      <c r="Y5429">
        <v>-0.52920880000000003</v>
      </c>
      <c r="Z5429">
        <v>1.484651E-2</v>
      </c>
      <c r="AA5429">
        <v>0.8483617</v>
      </c>
      <c r="AB5429">
        <v>31</v>
      </c>
      <c r="AC5429">
        <v>24.577000000000002</v>
      </c>
      <c r="AD5429">
        <v>-1.0320569900000001</v>
      </c>
      <c r="AE5429">
        <v>14.699839999999901</v>
      </c>
      <c r="AF5429">
        <v>-15.2183847244475</v>
      </c>
      <c r="AG5429">
        <v>-1.0320569900000001</v>
      </c>
      <c r="AH5429">
        <v>24.215467187260199</v>
      </c>
      <c r="AI5429">
        <v>92.066638064917498</v>
      </c>
      <c r="AJ5429">
        <v>122.147603651957</v>
      </c>
      <c r="AK5429">
        <v>28.619105966979099</v>
      </c>
      <c r="AL5429">
        <v>64.793906749015903</v>
      </c>
      <c r="AM5429">
        <v>101.436866302482</v>
      </c>
      <c r="AN5429">
        <v>0.99999996462872398</v>
      </c>
    </row>
    <row r="5430" spans="1:40" x14ac:dyDescent="0.25">
      <c r="A5430" t="str">
        <f>"20190304164754161"</f>
        <v>20190304164754161</v>
      </c>
      <c r="B5430" t="str">
        <f>"1551689274154354"</f>
        <v>1551689274154354</v>
      </c>
      <c r="C5430" t="s">
        <v>40</v>
      </c>
      <c r="D5430">
        <v>4.3166289999999998</v>
      </c>
      <c r="E5430">
        <v>0.34885329999999998</v>
      </c>
      <c r="F5430" t="s">
        <v>62</v>
      </c>
      <c r="G5430">
        <v>-212.16900000000001</v>
      </c>
      <c r="H5430">
        <v>7.9987100000000005E-2</v>
      </c>
      <c r="I5430">
        <v>-48.345410000000001</v>
      </c>
      <c r="J5430">
        <v>-236.2252</v>
      </c>
      <c r="K5430">
        <v>1.112058</v>
      </c>
      <c r="L5430">
        <v>-62.742769999999901</v>
      </c>
      <c r="M5430">
        <v>0.99966549999999998</v>
      </c>
      <c r="N5430">
        <v>-1.43324E-2</v>
      </c>
      <c r="O5430">
        <v>-2.1529389999999999E-2</v>
      </c>
      <c r="P5430">
        <v>0.89639069999999899</v>
      </c>
      <c r="Q5430">
        <v>0.41357280000000002</v>
      </c>
      <c r="R5430">
        <v>0.15950300000000001</v>
      </c>
      <c r="S5430">
        <v>3.082077</v>
      </c>
      <c r="T5430">
        <v>-0.1313676</v>
      </c>
      <c r="U5430">
        <v>1.832214</v>
      </c>
      <c r="V5430">
        <v>-0.17959629999999999</v>
      </c>
      <c r="W5430">
        <v>0.42597649999999998</v>
      </c>
      <c r="X5430">
        <v>0.88672949999999995</v>
      </c>
      <c r="Y5430">
        <v>-0.52887269999999997</v>
      </c>
      <c r="Z5430">
        <v>1.5059009999999999E-2</v>
      </c>
      <c r="AA5430">
        <v>0.84856749999999903</v>
      </c>
      <c r="AB5430">
        <v>31</v>
      </c>
      <c r="AC5430">
        <v>24.056199999999901</v>
      </c>
      <c r="AD5430">
        <v>-1.0320708999999999</v>
      </c>
      <c r="AE5430">
        <v>14.3973599999999</v>
      </c>
      <c r="AF5430">
        <v>-14.891809284567501</v>
      </c>
      <c r="AG5430">
        <v>-1.0320708999999999</v>
      </c>
      <c r="AH5430">
        <v>23.708494927276298</v>
      </c>
      <c r="AI5430">
        <v>92.111138215109406</v>
      </c>
      <c r="AJ5430">
        <v>122.133802579467</v>
      </c>
      <c r="AK5430">
        <v>28.0164931036567</v>
      </c>
      <c r="AL5430">
        <v>64.7875118687233</v>
      </c>
      <c r="AM5430">
        <v>101.44968030886299</v>
      </c>
      <c r="AN5430">
        <v>1.00000000784809</v>
      </c>
    </row>
    <row r="5431" spans="1:40" x14ac:dyDescent="0.25">
      <c r="A5431" t="str">
        <f>"20190304164754172"</f>
        <v>20190304164754172</v>
      </c>
      <c r="B5431" t="str">
        <f>"1551689274165091"</f>
        <v>1551689274165091</v>
      </c>
      <c r="C5431" t="s">
        <v>40</v>
      </c>
      <c r="D5431">
        <v>4.2982319999999996</v>
      </c>
      <c r="E5431">
        <v>0.3491341</v>
      </c>
      <c r="F5431" t="s">
        <v>62</v>
      </c>
      <c r="G5431">
        <v>-212.11170000000001</v>
      </c>
      <c r="H5431">
        <v>7.9987069999999993E-2</v>
      </c>
      <c r="I5431">
        <v>-48.403410000000001</v>
      </c>
      <c r="J5431">
        <v>-236.06049999999999</v>
      </c>
      <c r="K5431">
        <v>1.1120749999999999</v>
      </c>
      <c r="L5431">
        <v>-62.745759999999997</v>
      </c>
      <c r="M5431">
        <v>0.99967720000000004</v>
      </c>
      <c r="N5431">
        <v>-1.4330870000000001E-2</v>
      </c>
      <c r="O5431">
        <v>-2.0981650000000001E-2</v>
      </c>
      <c r="P5431">
        <v>0.89633940000000001</v>
      </c>
      <c r="Q5431">
        <v>0.41344710000000001</v>
      </c>
      <c r="R5431">
        <v>0.16011689999999901</v>
      </c>
      <c r="S5431">
        <v>3.081528</v>
      </c>
      <c r="T5431">
        <v>-0.13189129999999999</v>
      </c>
      <c r="U5431">
        <v>1.8324579999999999</v>
      </c>
      <c r="V5431">
        <v>-0.17973610000000001</v>
      </c>
      <c r="W5431">
        <v>0.42584319999999998</v>
      </c>
      <c r="X5431">
        <v>0.88676520000000003</v>
      </c>
      <c r="Y5431">
        <v>-0.52852080000000001</v>
      </c>
      <c r="Z5431">
        <v>1.5081010000000001E-2</v>
      </c>
      <c r="AA5431">
        <v>0.84878639999999905</v>
      </c>
      <c r="AB5431">
        <v>31</v>
      </c>
      <c r="AC5431">
        <v>23.948799999999899</v>
      </c>
      <c r="AD5431">
        <v>-1.0320879300000001</v>
      </c>
      <c r="AE5431">
        <v>14.3423499999999</v>
      </c>
      <c r="AF5431">
        <v>-14.8214685171138</v>
      </c>
      <c r="AG5431">
        <v>-1.0320879300000001</v>
      </c>
      <c r="AH5431">
        <v>23.610295324685399</v>
      </c>
      <c r="AI5431">
        <v>92.120295660902997</v>
      </c>
      <c r="AJ5431">
        <v>122.118731078544</v>
      </c>
      <c r="AK5431">
        <v>27.896006520968399</v>
      </c>
      <c r="AL5431">
        <v>64.795953323449595</v>
      </c>
      <c r="AM5431">
        <v>101.45790813121</v>
      </c>
      <c r="AN5431">
        <v>1.00000000828024</v>
      </c>
    </row>
    <row r="5432" spans="1:40" x14ac:dyDescent="0.25">
      <c r="A5432" t="str">
        <f>"20190304164754183"</f>
        <v>20190304164754183</v>
      </c>
      <c r="B5432" t="str">
        <f>"1551689274174850"</f>
        <v>1551689274174850</v>
      </c>
      <c r="C5432" t="s">
        <v>40</v>
      </c>
      <c r="D5432">
        <v>4.2884979999999997</v>
      </c>
      <c r="E5432">
        <v>0.34932809999999997</v>
      </c>
      <c r="F5432" t="s">
        <v>62</v>
      </c>
      <c r="G5432">
        <v>-212.03049999999999</v>
      </c>
      <c r="H5432">
        <v>7.9987050000000004E-2</v>
      </c>
      <c r="I5432">
        <v>-48.452080000000002</v>
      </c>
      <c r="J5432">
        <v>-235.9188</v>
      </c>
      <c r="K5432">
        <v>1.1120859999999999</v>
      </c>
      <c r="L5432">
        <v>-62.74823</v>
      </c>
      <c r="M5432">
        <v>0.9996874</v>
      </c>
      <c r="N5432">
        <v>-1.432956E-2</v>
      </c>
      <c r="O5432">
        <v>-2.0490649999999999E-2</v>
      </c>
      <c r="P5432">
        <v>0.8963295</v>
      </c>
      <c r="Q5432">
        <v>0.41324880000000003</v>
      </c>
      <c r="R5432">
        <v>0.16068379999999999</v>
      </c>
      <c r="S5432">
        <v>3.0806269999999998</v>
      </c>
      <c r="T5432">
        <v>-0.13231270000000001</v>
      </c>
      <c r="U5432">
        <v>1.8324279999999999</v>
      </c>
      <c r="V5432">
        <v>-0.17988009999999999</v>
      </c>
      <c r="W5432">
        <v>0.4256373</v>
      </c>
      <c r="X5432">
        <v>0.88683489999999998</v>
      </c>
      <c r="Y5432">
        <v>-0.52820409999999995</v>
      </c>
      <c r="Z5432">
        <v>1.5097930000000001E-2</v>
      </c>
      <c r="AA5432">
        <v>0.84898320000000005</v>
      </c>
      <c r="AB5432">
        <v>31</v>
      </c>
      <c r="AC5432">
        <v>23.888300000000001</v>
      </c>
      <c r="AD5432">
        <v>-1.03209895</v>
      </c>
      <c r="AE5432">
        <v>14.296150000000001</v>
      </c>
      <c r="AF5432">
        <v>-14.7623949323154</v>
      </c>
      <c r="AG5432">
        <v>-1.03209895</v>
      </c>
      <c r="AH5432">
        <v>23.557937204058199</v>
      </c>
      <c r="AI5432">
        <v>92.126089751231007</v>
      </c>
      <c r="AJ5432">
        <v>122.07298965827</v>
      </c>
      <c r="AK5432">
        <v>27.820315197542101</v>
      </c>
      <c r="AL5432">
        <v>64.808992274512605</v>
      </c>
      <c r="AM5432">
        <v>101.465967486522</v>
      </c>
      <c r="AN5432">
        <v>1.0000000506926501</v>
      </c>
    </row>
    <row r="5433" spans="1:40" x14ac:dyDescent="0.25">
      <c r="A5433" t="str">
        <f>"20190304164754198"</f>
        <v>20190304164754198</v>
      </c>
      <c r="B5433" t="str">
        <f>"1551689274194371"</f>
        <v>1551689274194371</v>
      </c>
      <c r="C5433" t="s">
        <v>40</v>
      </c>
      <c r="D5433">
        <v>4.2748249999999999</v>
      </c>
      <c r="E5433">
        <v>0.34944340000000002</v>
      </c>
      <c r="F5433" t="s">
        <v>62</v>
      </c>
      <c r="G5433">
        <v>-212.0335</v>
      </c>
      <c r="H5433">
        <v>7.9987050000000004E-2</v>
      </c>
      <c r="I5433">
        <v>-48.533619999999999</v>
      </c>
      <c r="J5433">
        <v>-235.73769999999999</v>
      </c>
      <c r="K5433">
        <v>1.112107</v>
      </c>
      <c r="L5433">
        <v>-62.751339999999999</v>
      </c>
      <c r="M5433">
        <v>0.99970020000000004</v>
      </c>
      <c r="N5433">
        <v>-1.4327879999999999E-2</v>
      </c>
      <c r="O5433">
        <v>-1.9856169999999999E-2</v>
      </c>
      <c r="P5433">
        <v>0.89620789999999995</v>
      </c>
      <c r="Q5433">
        <v>0.41327920000000001</v>
      </c>
      <c r="R5433">
        <v>0.1612816</v>
      </c>
      <c r="S5433">
        <v>3.0797729999999999</v>
      </c>
      <c r="T5433">
        <v>-0.133078799999999</v>
      </c>
      <c r="U5433">
        <v>1.8328249999999999</v>
      </c>
      <c r="V5433">
        <v>-0.17992939999999999</v>
      </c>
      <c r="W5433">
        <v>0.42565720000000001</v>
      </c>
      <c r="X5433">
        <v>0.88681529999999997</v>
      </c>
      <c r="Y5433">
        <v>-0.5278448</v>
      </c>
      <c r="Z5433">
        <v>1.5138530000000001E-2</v>
      </c>
      <c r="AA5433">
        <v>0.84920589999999996</v>
      </c>
      <c r="AB5433">
        <v>31</v>
      </c>
      <c r="AC5433">
        <v>23.704199999999901</v>
      </c>
      <c r="AD5433">
        <v>-1.03211995</v>
      </c>
      <c r="AE5433">
        <v>14.21772</v>
      </c>
      <c r="AF5433">
        <v>-14.665191979753301</v>
      </c>
      <c r="AG5433">
        <v>-1.03211995</v>
      </c>
      <c r="AH5433">
        <v>23.384582703745298</v>
      </c>
      <c r="AI5433">
        <v>92.1414092031998</v>
      </c>
      <c r="AJ5433">
        <v>122.09309107577501</v>
      </c>
      <c r="AK5433">
        <v>27.621944819699301</v>
      </c>
      <c r="AL5433">
        <v>64.807731111903706</v>
      </c>
      <c r="AM5433">
        <v>101.46927348366199</v>
      </c>
      <c r="AN5433">
        <v>1.0000000086051399</v>
      </c>
    </row>
    <row r="5434" spans="1:40" x14ac:dyDescent="0.25">
      <c r="A5434" t="str">
        <f>"20190304164754217"</f>
        <v>20190304164754217</v>
      </c>
      <c r="B5434" t="str">
        <f>"1551689274214867"</f>
        <v>1551689274214867</v>
      </c>
      <c r="C5434" t="s">
        <v>40</v>
      </c>
      <c r="D5434">
        <v>4.2472979999999998</v>
      </c>
      <c r="E5434">
        <v>0.34925719999999999</v>
      </c>
      <c r="F5434" t="s">
        <v>62</v>
      </c>
      <c r="G5434">
        <v>-211.8218</v>
      </c>
      <c r="H5434">
        <v>7.9987000000000003E-2</v>
      </c>
      <c r="I5434">
        <v>-48.507770000000001</v>
      </c>
      <c r="J5434">
        <v>-235.46180000000001</v>
      </c>
      <c r="K5434">
        <v>1.112144</v>
      </c>
      <c r="L5434">
        <v>-62.755740000000003</v>
      </c>
      <c r="M5434">
        <v>0.99971980000000005</v>
      </c>
      <c r="N5434">
        <v>-1.4325350000000001E-2</v>
      </c>
      <c r="O5434">
        <v>-1.8848750000000001E-2</v>
      </c>
      <c r="P5434">
        <v>0.89596710000000002</v>
      </c>
      <c r="Q5434">
        <v>0.41340009999999999</v>
      </c>
      <c r="R5434">
        <v>0.1623067</v>
      </c>
      <c r="S5434">
        <v>3.078735</v>
      </c>
      <c r="T5434">
        <v>-0.13286629999999899</v>
      </c>
      <c r="U5434">
        <v>1.833588</v>
      </c>
      <c r="V5434">
        <v>-0.1800851</v>
      </c>
      <c r="W5434">
        <v>0.42575990000000002</v>
      </c>
      <c r="X5434">
        <v>0.88673440000000003</v>
      </c>
      <c r="Y5434">
        <v>-0.52727259999999998</v>
      </c>
      <c r="Z5434">
        <v>1.507999E-2</v>
      </c>
      <c r="AA5434">
        <v>0.84956239999999905</v>
      </c>
      <c r="AB5434">
        <v>31</v>
      </c>
      <c r="AC5434">
        <v>23.64</v>
      </c>
      <c r="AD5434">
        <v>-1.032157</v>
      </c>
      <c r="AE5434">
        <v>14.24797</v>
      </c>
      <c r="AF5434">
        <v>-14.670553673680001</v>
      </c>
      <c r="AG5434">
        <v>-1.032157</v>
      </c>
      <c r="AH5434">
        <v>23.334585250052701</v>
      </c>
      <c r="AI5434">
        <v>92.144551338956006</v>
      </c>
      <c r="AJ5434">
        <v>122.157751018501</v>
      </c>
      <c r="AK5434">
        <v>27.582482882383001</v>
      </c>
      <c r="AL5434">
        <v>64.801228342480798</v>
      </c>
      <c r="AM5434">
        <v>101.47995441652</v>
      </c>
      <c r="AN5434">
        <v>1.00000001591669</v>
      </c>
    </row>
    <row r="5435" spans="1:40" x14ac:dyDescent="0.25">
      <c r="A5435" t="str">
        <f>"20190304164754230"</f>
        <v>20190304164754230</v>
      </c>
      <c r="B5435" t="str">
        <f>"1551689274224627"</f>
        <v>1551689274224627</v>
      </c>
      <c r="C5435" t="s">
        <v>40</v>
      </c>
      <c r="D5435">
        <v>4.240685</v>
      </c>
      <c r="E5435">
        <v>0.34926109999999999</v>
      </c>
      <c r="F5435" t="s">
        <v>62</v>
      </c>
      <c r="G5435">
        <v>-211.316</v>
      </c>
      <c r="H5435">
        <v>7.9986849999999998E-2</v>
      </c>
      <c r="I5435">
        <v>-48.334809999999997</v>
      </c>
      <c r="J5435">
        <v>-235.27629999999999</v>
      </c>
      <c r="K5435">
        <v>1.112166</v>
      </c>
      <c r="L5435">
        <v>-62.758510000000001</v>
      </c>
      <c r="M5435">
        <v>0.99973270000000003</v>
      </c>
      <c r="N5435">
        <v>-1.432373E-2</v>
      </c>
      <c r="O5435">
        <v>-1.8148319999999999E-2</v>
      </c>
      <c r="P5435">
        <v>0.89576929999999999</v>
      </c>
      <c r="Q5435">
        <v>0.4135316</v>
      </c>
      <c r="R5435">
        <v>0.16306080000000001</v>
      </c>
      <c r="S5435">
        <v>3.0761720000000001</v>
      </c>
      <c r="T5435">
        <v>-0.1314968</v>
      </c>
      <c r="U5435">
        <v>1.8372189999999999</v>
      </c>
      <c r="V5435">
        <v>-0.1802338</v>
      </c>
      <c r="W5435">
        <v>0.42587849999999999</v>
      </c>
      <c r="X5435">
        <v>0.88664719999999997</v>
      </c>
      <c r="Y5435">
        <v>-0.52773669999999995</v>
      </c>
      <c r="Z5435">
        <v>1.4964109999999999E-2</v>
      </c>
      <c r="AA5435">
        <v>0.84927619999999904</v>
      </c>
      <c r="AB5435">
        <v>31</v>
      </c>
      <c r="AC5435">
        <v>23.9603</v>
      </c>
      <c r="AD5435">
        <v>-1.0321791499999999</v>
      </c>
      <c r="AE5435">
        <v>14.4237</v>
      </c>
      <c r="AF5435">
        <v>-14.835998903595501</v>
      </c>
      <c r="AG5435">
        <v>-1.0321791499999999</v>
      </c>
      <c r="AH5435">
        <v>23.662328552241298</v>
      </c>
      <c r="AI5435">
        <v>92.116553629770806</v>
      </c>
      <c r="AJ5435">
        <v>122.087223487617</v>
      </c>
      <c r="AK5435">
        <v>27.947773610422001</v>
      </c>
      <c r="AL5435">
        <v>64.793717411927801</v>
      </c>
      <c r="AM5435">
        <v>101.49028156897</v>
      </c>
      <c r="AN5435">
        <v>0.99999998834626402</v>
      </c>
    </row>
    <row r="5436" spans="1:40" x14ac:dyDescent="0.25">
      <c r="A5436" t="str">
        <f>"20190304164754242"</f>
        <v>20190304164754242</v>
      </c>
      <c r="B5436" t="str">
        <f>"1551689274234387"</f>
        <v>1551689274234387</v>
      </c>
      <c r="C5436" t="s">
        <v>40</v>
      </c>
      <c r="D5436">
        <v>4.2153859999999996</v>
      </c>
      <c r="E5436">
        <v>0.34919040000000001</v>
      </c>
      <c r="F5436" t="s">
        <v>62</v>
      </c>
      <c r="G5436">
        <v>-211.08070000000001</v>
      </c>
      <c r="H5436">
        <v>7.9986779999999993E-2</v>
      </c>
      <c r="I5436">
        <v>-48.289790000000004</v>
      </c>
      <c r="J5436">
        <v>-235.12780000000001</v>
      </c>
      <c r="K5436">
        <v>1.112182</v>
      </c>
      <c r="L5436">
        <v>-62.760620000000003</v>
      </c>
      <c r="M5436">
        <v>0.99974300000000005</v>
      </c>
      <c r="N5436">
        <v>-1.4322410000000001E-2</v>
      </c>
      <c r="O5436">
        <v>-1.7573979999999999E-2</v>
      </c>
      <c r="P5436">
        <v>0.89560899999999999</v>
      </c>
      <c r="Q5436">
        <v>0.41361900000000001</v>
      </c>
      <c r="R5436">
        <v>0.16371949999999999</v>
      </c>
      <c r="S5436">
        <v>3.0749360000000001</v>
      </c>
      <c r="T5436">
        <v>-0.13117619999999999</v>
      </c>
      <c r="U5436">
        <v>1.838776</v>
      </c>
      <c r="V5436">
        <v>-0.18039530000000001</v>
      </c>
      <c r="W5436">
        <v>0.42595539999999998</v>
      </c>
      <c r="X5436">
        <v>0.88657739999999996</v>
      </c>
      <c r="Y5436">
        <v>-0.52771809999999997</v>
      </c>
      <c r="Z5436">
        <v>1.492418E-2</v>
      </c>
      <c r="AA5436">
        <v>0.8492885</v>
      </c>
      <c r="AB5436">
        <v>31</v>
      </c>
      <c r="AC5436">
        <v>24.0471</v>
      </c>
      <c r="AD5436">
        <v>-1.03219522</v>
      </c>
      <c r="AE5436">
        <v>14.4708299999999</v>
      </c>
      <c r="AF5436">
        <v>-14.871126144696699</v>
      </c>
      <c r="AG5436">
        <v>-1.03219522</v>
      </c>
      <c r="AH5436">
        <v>23.756914954583301</v>
      </c>
      <c r="AI5436">
        <v>92.109131742080393</v>
      </c>
      <c r="AJ5436">
        <v>122.04534868647799</v>
      </c>
      <c r="AK5436">
        <v>28.046511867663298</v>
      </c>
      <c r="AL5436">
        <v>64.788847257791303</v>
      </c>
      <c r="AM5436">
        <v>101.50118462466099</v>
      </c>
      <c r="AN5436">
        <v>0.99999997662100404</v>
      </c>
    </row>
    <row r="5437" spans="1:40" x14ac:dyDescent="0.25">
      <c r="A5437" t="str">
        <f>"20190304164754250"</f>
        <v>20190304164754250</v>
      </c>
      <c r="B5437" t="str">
        <f>"1551689274245124"</f>
        <v>1551689274245124</v>
      </c>
      <c r="C5437" t="s">
        <v>40</v>
      </c>
      <c r="D5437">
        <v>4.2491760000000003</v>
      </c>
      <c r="E5437">
        <v>0.34912120000000002</v>
      </c>
      <c r="F5437" t="s">
        <v>62</v>
      </c>
      <c r="G5437">
        <v>-210.81979999999999</v>
      </c>
      <c r="H5437">
        <v>7.9986710000000003E-2</v>
      </c>
      <c r="I5437">
        <v>-48.203020000000002</v>
      </c>
      <c r="J5437">
        <v>-234.98699999999999</v>
      </c>
      <c r="K5437">
        <v>1.112204</v>
      </c>
      <c r="L5437">
        <v>-62.762599999999999</v>
      </c>
      <c r="M5437">
        <v>0.99975270000000005</v>
      </c>
      <c r="N5437">
        <v>-1.432114E-2</v>
      </c>
      <c r="O5437">
        <v>-1.70242E-2</v>
      </c>
      <c r="P5437">
        <v>0.89557209999999998</v>
      </c>
      <c r="Q5437">
        <v>0.41347329999999999</v>
      </c>
      <c r="R5437">
        <v>0.1642885</v>
      </c>
      <c r="S5437">
        <v>3.0734710000000001</v>
      </c>
      <c r="T5437">
        <v>-0.1305095</v>
      </c>
      <c r="U5437">
        <v>1.8406370000000001</v>
      </c>
      <c r="V5437">
        <v>-0.18048910000000001</v>
      </c>
      <c r="W5437">
        <v>0.42580220000000002</v>
      </c>
      <c r="X5437">
        <v>0.88663199999999998</v>
      </c>
      <c r="Y5437">
        <v>-0.52781250000000002</v>
      </c>
      <c r="Z5437">
        <v>1.485945E-2</v>
      </c>
      <c r="AA5437">
        <v>0.84923090000000001</v>
      </c>
      <c r="AB5437">
        <v>31</v>
      </c>
      <c r="AC5437">
        <v>24.167200000000001</v>
      </c>
      <c r="AD5437">
        <v>-1.03221729</v>
      </c>
      <c r="AE5437">
        <v>14.559579999999899</v>
      </c>
      <c r="AF5437">
        <v>-14.948930163699201</v>
      </c>
      <c r="AG5437">
        <v>-1.03221729</v>
      </c>
      <c r="AH5437">
        <v>23.883838431269801</v>
      </c>
      <c r="AI5437">
        <v>92.098043235816903</v>
      </c>
      <c r="AJ5437">
        <v>122.042511040683</v>
      </c>
      <c r="AK5437">
        <v>28.1952783952195</v>
      </c>
      <c r="AL5437">
        <v>64.798551157143507</v>
      </c>
      <c r="AM5437">
        <v>101.50631569294499</v>
      </c>
      <c r="AN5437">
        <v>1.00000006608382</v>
      </c>
    </row>
    <row r="5438" spans="1:40" x14ac:dyDescent="0.25">
      <c r="A5438" t="str">
        <f>"20190304164754262"</f>
        <v>20190304164754262</v>
      </c>
      <c r="B5438" t="str">
        <f>"1551689274254883"</f>
        <v>1551689274254883</v>
      </c>
      <c r="C5438" t="s">
        <v>40</v>
      </c>
      <c r="D5438">
        <v>4.2174480000000001</v>
      </c>
      <c r="E5438">
        <v>0.34909059999999997</v>
      </c>
      <c r="F5438" t="s">
        <v>62</v>
      </c>
      <c r="G5438">
        <v>-210.77260000000001</v>
      </c>
      <c r="H5438">
        <v>7.9986689999999999E-2</v>
      </c>
      <c r="I5438">
        <v>-48.24194</v>
      </c>
      <c r="J5438">
        <v>-234.8415</v>
      </c>
      <c r="K5438">
        <v>1.11222</v>
      </c>
      <c r="L5438">
        <v>-62.764470000000003</v>
      </c>
      <c r="M5438">
        <v>0.99976240000000005</v>
      </c>
      <c r="N5438">
        <v>-1.431987E-2</v>
      </c>
      <c r="O5438">
        <v>-1.643855E-2</v>
      </c>
      <c r="P5438">
        <v>0.89568029999999998</v>
      </c>
      <c r="Q5438">
        <v>0.41292859999999998</v>
      </c>
      <c r="R5438">
        <v>0.16506660000000001</v>
      </c>
      <c r="S5438">
        <v>3.072327</v>
      </c>
      <c r="T5438">
        <v>-0.1309679</v>
      </c>
      <c r="U5438">
        <v>1.8423769999999999</v>
      </c>
      <c r="V5438">
        <v>-0.18076200000000001</v>
      </c>
      <c r="W5438">
        <v>0.4252512</v>
      </c>
      <c r="X5438">
        <v>0.88684079999999998</v>
      </c>
      <c r="Y5438">
        <v>-0.52780519999999997</v>
      </c>
      <c r="Z5438">
        <v>1.4884939999999999E-2</v>
      </c>
      <c r="AA5438">
        <v>0.84923499999999996</v>
      </c>
      <c r="AB5438">
        <v>31</v>
      </c>
      <c r="AC5438">
        <v>24.0688999999999</v>
      </c>
      <c r="AD5438">
        <v>-1.0322333100000001</v>
      </c>
      <c r="AE5438">
        <v>14.5225299999999</v>
      </c>
      <c r="AF5438">
        <v>-14.8961800385645</v>
      </c>
      <c r="AG5438">
        <v>-1.0322333100000001</v>
      </c>
      <c r="AH5438">
        <v>23.794809018311199</v>
      </c>
      <c r="AI5438">
        <v>92.105800517164298</v>
      </c>
      <c r="AJ5438">
        <v>122.047655318678</v>
      </c>
      <c r="AK5438">
        <v>28.0918960122934</v>
      </c>
      <c r="AL5438">
        <v>64.8334366009679</v>
      </c>
      <c r="AM5438">
        <v>101.520607733597</v>
      </c>
      <c r="AN5438">
        <v>1.0000000441450301</v>
      </c>
    </row>
    <row r="5439" spans="1:40" x14ac:dyDescent="0.25">
      <c r="A5439" t="str">
        <f>"20190304164754273"</f>
        <v>20190304164754273</v>
      </c>
      <c r="B5439" t="str">
        <f>"1551689274264643"</f>
        <v>1551689274264643</v>
      </c>
      <c r="C5439" t="s">
        <v>40</v>
      </c>
      <c r="D5439">
        <v>4.2060709999999997</v>
      </c>
      <c r="E5439">
        <v>0.34911360000000002</v>
      </c>
      <c r="F5439" t="s">
        <v>62</v>
      </c>
      <c r="G5439">
        <v>-210.9726</v>
      </c>
      <c r="H5439">
        <v>7.9986740000000001E-2</v>
      </c>
      <c r="I5439">
        <v>-48.426160000000003</v>
      </c>
      <c r="J5439">
        <v>-234.69489999999999</v>
      </c>
      <c r="K5439">
        <v>1.112236</v>
      </c>
      <c r="L5439">
        <v>-62.766330000000004</v>
      </c>
      <c r="M5439">
        <v>0.99977190000000005</v>
      </c>
      <c r="N5439">
        <v>-1.4318559999999999E-2</v>
      </c>
      <c r="O5439">
        <v>-1.584443E-2</v>
      </c>
      <c r="P5439">
        <v>0.8956054</v>
      </c>
      <c r="Q5439">
        <v>0.41278369999999998</v>
      </c>
      <c r="R5439">
        <v>0.16583310000000001</v>
      </c>
      <c r="S5439">
        <v>3.0707089999999999</v>
      </c>
      <c r="T5439">
        <v>-0.132796</v>
      </c>
      <c r="U5439">
        <v>1.8446039999999999</v>
      </c>
      <c r="V5439">
        <v>-0.1810136</v>
      </c>
      <c r="W5439">
        <v>0.42509789999999997</v>
      </c>
      <c r="X5439">
        <v>0.88686290000000001</v>
      </c>
      <c r="Y5439">
        <v>-0.52793849999999998</v>
      </c>
      <c r="Z5439">
        <v>1.503031E-2</v>
      </c>
      <c r="AA5439">
        <v>0.84914959999999995</v>
      </c>
      <c r="AB5439">
        <v>31</v>
      </c>
      <c r="AC5439">
        <v>23.722299999999901</v>
      </c>
      <c r="AD5439">
        <v>-1.0322492599999999</v>
      </c>
      <c r="AE5439">
        <v>14.340170000000001</v>
      </c>
      <c r="AF5439">
        <v>-14.6938980565418</v>
      </c>
      <c r="AG5439">
        <v>-1.0322492599999999</v>
      </c>
      <c r="AH5439">
        <v>23.459554564830899</v>
      </c>
      <c r="AI5439">
        <v>92.135588487298904</v>
      </c>
      <c r="AJ5439">
        <v>122.06098205427099</v>
      </c>
      <c r="AK5439">
        <v>27.7006656781221</v>
      </c>
      <c r="AL5439">
        <v>64.843139025842902</v>
      </c>
      <c r="AM5439">
        <v>101.535933738358</v>
      </c>
      <c r="AN5439">
        <v>0.99999997568288901</v>
      </c>
    </row>
    <row r="5440" spans="1:40" x14ac:dyDescent="0.25">
      <c r="A5440" t="str">
        <f>"20190304164754284"</f>
        <v>20190304164754284</v>
      </c>
      <c r="B5440" t="str">
        <f>"1551689274274403"</f>
        <v>1551689274274403</v>
      </c>
      <c r="C5440" t="s">
        <v>40</v>
      </c>
      <c r="D5440">
        <v>4.2592809999999997</v>
      </c>
      <c r="E5440">
        <v>0.34876810000000003</v>
      </c>
      <c r="F5440" t="s">
        <v>62</v>
      </c>
      <c r="G5440">
        <v>-210.9374</v>
      </c>
      <c r="H5440">
        <v>7.9986730000000006E-2</v>
      </c>
      <c r="I5440">
        <v>-48.474379999999996</v>
      </c>
      <c r="J5440">
        <v>-234.5428</v>
      </c>
      <c r="K5440">
        <v>1.1122529999999999</v>
      </c>
      <c r="L5440">
        <v>-62.768070000000002</v>
      </c>
      <c r="M5440">
        <v>0.99978199999999995</v>
      </c>
      <c r="N5440">
        <v>-1.431721E-2</v>
      </c>
      <c r="O5440">
        <v>-1.5209179999999999E-2</v>
      </c>
      <c r="P5440">
        <v>0.89558340000000003</v>
      </c>
      <c r="Q5440">
        <v>0.41250579999999998</v>
      </c>
      <c r="R5440">
        <v>0.1666414</v>
      </c>
      <c r="S5440">
        <v>3.0692900000000001</v>
      </c>
      <c r="T5440">
        <v>-0.1333588</v>
      </c>
      <c r="U5440">
        <v>1.8464050000000001</v>
      </c>
      <c r="V5440">
        <v>-0.1812705</v>
      </c>
      <c r="W5440">
        <v>0.42481219999999997</v>
      </c>
      <c r="X5440">
        <v>0.88694740000000005</v>
      </c>
      <c r="Y5440">
        <v>-0.52793449999999997</v>
      </c>
      <c r="Z5440">
        <v>1.506363E-2</v>
      </c>
      <c r="AA5440">
        <v>0.84915149999999995</v>
      </c>
      <c r="AB5440">
        <v>31</v>
      </c>
      <c r="AC5440">
        <v>23.605399999999999</v>
      </c>
      <c r="AD5440">
        <v>-1.03226627</v>
      </c>
      <c r="AE5440">
        <v>14.2936899999999</v>
      </c>
      <c r="AF5440">
        <v>-14.6306197837997</v>
      </c>
      <c r="AG5440">
        <v>-1.03226627</v>
      </c>
      <c r="AH5440">
        <v>23.352575128641401</v>
      </c>
      <c r="AI5440">
        <v>92.145243988402598</v>
      </c>
      <c r="AJ5440">
        <v>122.067551564623</v>
      </c>
      <c r="AK5440">
        <v>27.576500395248399</v>
      </c>
      <c r="AL5440">
        <v>64.861224341916596</v>
      </c>
      <c r="AM5440">
        <v>101.550795120252</v>
      </c>
      <c r="AN5440">
        <v>1.00000004490292</v>
      </c>
    </row>
    <row r="5441" spans="1:40" x14ac:dyDescent="0.25">
      <c r="A5441" t="str">
        <f>"20190304164754294"</f>
        <v>20190304164754294</v>
      </c>
      <c r="B5441" t="str">
        <f>"1551689274285140"</f>
        <v>1551689274285140</v>
      </c>
      <c r="C5441" t="s">
        <v>40</v>
      </c>
      <c r="D5441">
        <v>4.5100920000000002</v>
      </c>
      <c r="E5441">
        <v>0.34876810000000003</v>
      </c>
      <c r="F5441" t="s">
        <v>62</v>
      </c>
      <c r="G5441">
        <v>-211.3065</v>
      </c>
      <c r="H5441">
        <v>7.998682E-2</v>
      </c>
      <c r="I5441">
        <v>-48.74532</v>
      </c>
      <c r="J5441">
        <v>-234.40209999999999</v>
      </c>
      <c r="K5441">
        <v>1.112266</v>
      </c>
      <c r="L5441">
        <v>-62.769649999999999</v>
      </c>
      <c r="M5441">
        <v>0.99979070000000003</v>
      </c>
      <c r="N5441">
        <v>-1.4315949999999999E-2</v>
      </c>
      <c r="O5441">
        <v>-1.461878E-2</v>
      </c>
      <c r="P5441">
        <v>0.89538869999999904</v>
      </c>
      <c r="Q5441">
        <v>0.41251149999999998</v>
      </c>
      <c r="R5441">
        <v>0.1676706</v>
      </c>
      <c r="S5441">
        <v>3.0680239999999999</v>
      </c>
      <c r="T5441">
        <v>-0.13629639999999901</v>
      </c>
      <c r="U5441">
        <v>1.8515010000000001</v>
      </c>
      <c r="V5441">
        <v>-0.18178520000000001</v>
      </c>
      <c r="W5441">
        <v>0.4248074</v>
      </c>
      <c r="X5441">
        <v>0.88684430000000003</v>
      </c>
      <c r="Y5441">
        <v>-0.52860209999999996</v>
      </c>
      <c r="Z5441">
        <v>1.531327E-2</v>
      </c>
      <c r="AA5441">
        <v>0.84873159999999903</v>
      </c>
      <c r="AB5441">
        <v>31</v>
      </c>
      <c r="AC5441">
        <v>23.095599999999902</v>
      </c>
      <c r="AD5441">
        <v>-1.03227918</v>
      </c>
      <c r="AE5441">
        <v>14.024330000000001</v>
      </c>
      <c r="AF5441">
        <v>-14.3395658298433</v>
      </c>
      <c r="AG5441">
        <v>-1.03227918</v>
      </c>
      <c r="AH5441">
        <v>22.8547342871165</v>
      </c>
      <c r="AI5441">
        <v>92.191056936700406</v>
      </c>
      <c r="AJ5441">
        <v>122.105069453</v>
      </c>
      <c r="AK5441">
        <v>27.0005116216077</v>
      </c>
      <c r="AL5441">
        <v>64.861526908490106</v>
      </c>
      <c r="AM5441">
        <v>101.584017553607</v>
      </c>
      <c r="AN5441">
        <v>0.99999999923814498</v>
      </c>
    </row>
    <row r="5442" spans="1:40" x14ac:dyDescent="0.25">
      <c r="A5442" t="str">
        <f>"20190304164754306"</f>
        <v>20190304164754306</v>
      </c>
      <c r="B5442" t="str">
        <f>"1551689274285140"</f>
        <v>1551689274285140</v>
      </c>
      <c r="C5442" t="s">
        <v>40</v>
      </c>
      <c r="D5442">
        <v>4.5100920000000002</v>
      </c>
      <c r="E5442">
        <v>0.34876810000000003</v>
      </c>
      <c r="F5442" t="s">
        <v>62</v>
      </c>
      <c r="G5442">
        <v>-211.28880000000001</v>
      </c>
      <c r="H5442">
        <v>7.998682E-2</v>
      </c>
      <c r="I5442">
        <v>-48.792839999999998</v>
      </c>
      <c r="J5442">
        <v>-234.23480000000001</v>
      </c>
      <c r="K5442">
        <v>1.1122829999999999</v>
      </c>
      <c r="L5442">
        <v>-62.771329999999999</v>
      </c>
      <c r="M5442">
        <v>0.99980100000000005</v>
      </c>
      <c r="N5442">
        <v>-1.431456E-2</v>
      </c>
      <c r="O5442">
        <v>-1.389805E-2</v>
      </c>
      <c r="P5442">
        <v>0.89521879999999998</v>
      </c>
      <c r="Q5442">
        <v>0.41251149999999998</v>
      </c>
      <c r="R5442">
        <v>0.168576</v>
      </c>
      <c r="S5442">
        <v>3.06636</v>
      </c>
      <c r="T5442">
        <v>-0.13694890000000001</v>
      </c>
      <c r="U5442">
        <v>1.8542479999999999</v>
      </c>
      <c r="V5442">
        <v>-0.18206240000000001</v>
      </c>
      <c r="W5442">
        <v>0.42479670000000003</v>
      </c>
      <c r="X5442">
        <v>0.88679259999999904</v>
      </c>
      <c r="Y5442">
        <v>-0.52874619999999894</v>
      </c>
      <c r="Z5442">
        <v>1.535537E-2</v>
      </c>
      <c r="AA5442">
        <v>0.84864099999999998</v>
      </c>
      <c r="AB5442">
        <v>31</v>
      </c>
      <c r="AC5442">
        <v>22.946000000000002</v>
      </c>
      <c r="AD5442">
        <v>-1.0322961799999999</v>
      </c>
      <c r="AE5442">
        <v>13.978489999999899</v>
      </c>
      <c r="AF5442">
        <v>-14.275005358136999</v>
      </c>
      <c r="AG5442">
        <v>-1.0322961799999999</v>
      </c>
      <c r="AH5442">
        <v>22.715958259370801</v>
      </c>
      <c r="AI5442">
        <v>92.203482988855399</v>
      </c>
      <c r="AJ5442">
        <v>122.14579153624</v>
      </c>
      <c r="AK5442">
        <v>26.848764832289099</v>
      </c>
      <c r="AL5442">
        <v>64.862205065243103</v>
      </c>
      <c r="AM5442">
        <v>101.601861260991</v>
      </c>
      <c r="AN5442">
        <v>1.0000000346197</v>
      </c>
    </row>
    <row r="5443" spans="1:40" x14ac:dyDescent="0.25">
      <c r="A5443" t="str">
        <f>"20190304164754317"</f>
        <v>20190304164754317</v>
      </c>
      <c r="B5443" t="str">
        <f>"1551689274304659"</f>
        <v>1551689274304659</v>
      </c>
      <c r="C5443" t="s">
        <v>40</v>
      </c>
      <c r="D5443">
        <v>4.3722490000000001</v>
      </c>
      <c r="E5443">
        <v>0.34876810000000003</v>
      </c>
      <c r="F5443" t="s">
        <v>62</v>
      </c>
      <c r="G5443">
        <v>-211.2337</v>
      </c>
      <c r="H5443">
        <v>7.9986799999999997E-2</v>
      </c>
      <c r="I5443">
        <v>-48.83811</v>
      </c>
      <c r="J5443">
        <v>-234.1003</v>
      </c>
      <c r="K5443">
        <v>1.1122939999999999</v>
      </c>
      <c r="L5443">
        <v>-62.772640000000003</v>
      </c>
      <c r="M5443">
        <v>0.99980899999999995</v>
      </c>
      <c r="N5443">
        <v>-1.43134E-2</v>
      </c>
      <c r="O5443">
        <v>-1.3314950000000001E-2</v>
      </c>
      <c r="P5443">
        <v>0.89517829999999998</v>
      </c>
      <c r="Q5443">
        <v>0.41229949999999999</v>
      </c>
      <c r="R5443">
        <v>0.16930770000000001</v>
      </c>
      <c r="S5443">
        <v>3.0648960000000001</v>
      </c>
      <c r="T5443">
        <v>-0.137553799999999</v>
      </c>
      <c r="U5443">
        <v>1.856598</v>
      </c>
      <c r="V5443">
        <v>-0.18228639999999999</v>
      </c>
      <c r="W5443">
        <v>0.42457780000000001</v>
      </c>
      <c r="X5443">
        <v>0.88685139999999996</v>
      </c>
      <c r="Y5443">
        <v>-0.52890289999999995</v>
      </c>
      <c r="Z5443">
        <v>1.539712E-2</v>
      </c>
      <c r="AA5443">
        <v>0.84854269999999998</v>
      </c>
      <c r="AB5443">
        <v>31</v>
      </c>
      <c r="AC5443">
        <v>22.866599999999998</v>
      </c>
      <c r="AD5443">
        <v>-1.0323072</v>
      </c>
      <c r="AE5443">
        <v>13.934530000000001</v>
      </c>
      <c r="AF5443">
        <v>-14.2166649738102</v>
      </c>
      <c r="AG5443">
        <v>-1.0323072</v>
      </c>
      <c r="AH5443">
        <v>22.645361212095299</v>
      </c>
      <c r="AI5443">
        <v>92.210983054001005</v>
      </c>
      <c r="AJ5443">
        <v>122.12043373536</v>
      </c>
      <c r="AK5443">
        <v>26.758019462564999</v>
      </c>
      <c r="AL5443">
        <v>64.876058154620196</v>
      </c>
      <c r="AM5443">
        <v>101.61499866903</v>
      </c>
      <c r="AN5443">
        <v>1.00000002277987</v>
      </c>
    </row>
    <row r="5444" spans="1:40" x14ac:dyDescent="0.25">
      <c r="A5444" t="str">
        <f>"20190304164754328"</f>
        <v>20190304164754328</v>
      </c>
      <c r="B5444" t="str">
        <f>"1551689274324784"</f>
        <v>1551689274324784</v>
      </c>
      <c r="C5444" t="s">
        <v>40</v>
      </c>
      <c r="D5444">
        <v>4.4388180000000004</v>
      </c>
      <c r="E5444">
        <v>0.51111700000000004</v>
      </c>
      <c r="F5444" t="s">
        <v>62</v>
      </c>
      <c r="G5444">
        <v>-211.2774</v>
      </c>
      <c r="H5444">
        <v>7.998682E-2</v>
      </c>
      <c r="I5444">
        <v>-48.925890000000003</v>
      </c>
      <c r="J5444">
        <v>-233.94309999999999</v>
      </c>
      <c r="K5444">
        <v>1.112311</v>
      </c>
      <c r="L5444">
        <v>-62.774050000000003</v>
      </c>
      <c r="M5444">
        <v>0.99981799999999998</v>
      </c>
      <c r="N5444">
        <v>-1.4312E-2</v>
      </c>
      <c r="O5444">
        <v>-1.2623229999999999E-2</v>
      </c>
      <c r="P5444">
        <v>0.89505559999999995</v>
      </c>
      <c r="Q5444">
        <v>0.41208139999999999</v>
      </c>
      <c r="R5444">
        <v>0.17048350000000001</v>
      </c>
      <c r="S5444">
        <v>3.0635680000000001</v>
      </c>
      <c r="T5444">
        <v>-0.138569</v>
      </c>
      <c r="U5444">
        <v>1.858673</v>
      </c>
      <c r="V5444">
        <v>-0.1828572</v>
      </c>
      <c r="W5444">
        <v>0.42435070000000003</v>
      </c>
      <c r="X5444">
        <v>0.88684249999999998</v>
      </c>
      <c r="Y5444">
        <v>-0.52889240000000004</v>
      </c>
      <c r="Z5444">
        <v>1.546466E-2</v>
      </c>
      <c r="AA5444">
        <v>0.84854799999999997</v>
      </c>
      <c r="AB5444">
        <v>30</v>
      </c>
      <c r="AC5444">
        <v>22.665699999999902</v>
      </c>
      <c r="AD5444">
        <v>-1.03232418</v>
      </c>
      <c r="AE5444">
        <v>13.84816</v>
      </c>
      <c r="AF5444">
        <v>-14.111883483994101</v>
      </c>
      <c r="AG5444">
        <v>-1.03232418</v>
      </c>
      <c r="AH5444">
        <v>22.4551479529372</v>
      </c>
      <c r="AI5444">
        <v>92.229075950867795</v>
      </c>
      <c r="AJ5444">
        <v>122.14720866356799</v>
      </c>
      <c r="AK5444">
        <v>26.541375591079301</v>
      </c>
      <c r="AL5444">
        <v>64.890426789655905</v>
      </c>
      <c r="AM5444">
        <v>101.65049008088501</v>
      </c>
      <c r="AN5444">
        <v>0.99999994599428799</v>
      </c>
    </row>
    <row r="5445" spans="1:40" x14ac:dyDescent="0.25">
      <c r="A5445" t="str">
        <f>"20190304164754340"</f>
        <v>20190304164754340</v>
      </c>
      <c r="B5445" t="str">
        <f>"1551689274334525"</f>
        <v>1551689274334525</v>
      </c>
      <c r="C5445" t="s">
        <v>40</v>
      </c>
      <c r="D5445">
        <v>4.4052009999999999</v>
      </c>
      <c r="E5445">
        <v>0.52291899999999902</v>
      </c>
      <c r="F5445" t="s">
        <v>61</v>
      </c>
      <c r="G5445">
        <v>-222.79810000000001</v>
      </c>
      <c r="H5445" s="1">
        <v>-4.0176140000000002E-7</v>
      </c>
      <c r="I5445">
        <v>-60.7583699999999</v>
      </c>
      <c r="J5445">
        <v>-233.7921</v>
      </c>
      <c r="K5445">
        <v>1.112325</v>
      </c>
      <c r="L5445">
        <v>-62.775300000000001</v>
      </c>
      <c r="M5445">
        <v>0.9998262</v>
      </c>
      <c r="N5445">
        <v>-1.4310649999999999E-2</v>
      </c>
      <c r="O5445">
        <v>-1.195157E-2</v>
      </c>
      <c r="P5445">
        <v>0.89489569999999996</v>
      </c>
      <c r="Q5445">
        <v>0.41208650000000002</v>
      </c>
      <c r="R5445">
        <v>0.17130780000000001</v>
      </c>
      <c r="S5445">
        <v>3.3907620000000001</v>
      </c>
      <c r="T5445">
        <v>-0.33841070000000001</v>
      </c>
      <c r="U5445">
        <v>0.61325069999999904</v>
      </c>
      <c r="V5445">
        <v>-0.18309259999999999</v>
      </c>
      <c r="W5445">
        <v>0.42434759999999999</v>
      </c>
      <c r="X5445">
        <v>0.88679549999999996</v>
      </c>
      <c r="Y5445">
        <v>-0.18863679999999999</v>
      </c>
      <c r="Z5445">
        <v>1.169078E-2</v>
      </c>
      <c r="AA5445">
        <v>0.98197730000000005</v>
      </c>
      <c r="AB5445">
        <v>30</v>
      </c>
      <c r="AC5445">
        <v>10.994</v>
      </c>
      <c r="AD5445">
        <v>-1.1123254017613999</v>
      </c>
      <c r="AE5445">
        <v>2.0169299999999999</v>
      </c>
      <c r="AF5445">
        <v>-2.1271295199393201</v>
      </c>
      <c r="AG5445">
        <v>-1.1123254017613999</v>
      </c>
      <c r="AH5445">
        <v>10.861542540673399</v>
      </c>
      <c r="AI5445">
        <v>95.738977939312093</v>
      </c>
      <c r="AJ5445">
        <v>101.080592635393</v>
      </c>
      <c r="AK5445">
        <v>11.1236259446666</v>
      </c>
      <c r="AL5445">
        <v>64.890624992519705</v>
      </c>
      <c r="AM5445">
        <v>101.665678784245</v>
      </c>
      <c r="AN5445">
        <v>1.00000002231038</v>
      </c>
    </row>
    <row r="5446" spans="1:40" x14ac:dyDescent="0.25">
      <c r="A5446" t="str">
        <f>"20190304164754351"</f>
        <v>20190304164754351</v>
      </c>
      <c r="B5446" t="str">
        <f>"1551689274344285"</f>
        <v>1551689274344285</v>
      </c>
      <c r="C5446" t="s">
        <v>40</v>
      </c>
      <c r="D5446">
        <v>4.487012</v>
      </c>
      <c r="E5446">
        <v>0.53037080000000003</v>
      </c>
      <c r="F5446" t="s">
        <v>61</v>
      </c>
      <c r="G5446">
        <v>-223.41399999999999</v>
      </c>
      <c r="H5446" s="1">
        <v>-7.5927699999999998E-7</v>
      </c>
      <c r="I5446">
        <v>-61.178109999999997</v>
      </c>
      <c r="J5446">
        <v>-233.63300000000001</v>
      </c>
      <c r="K5446">
        <v>1.1123369999999999</v>
      </c>
      <c r="L5446">
        <v>-62.776490000000003</v>
      </c>
      <c r="M5446">
        <v>0.99983460000000002</v>
      </c>
      <c r="N5446">
        <v>-1.4309229999999999E-2</v>
      </c>
      <c r="O5446">
        <v>-1.123759E-2</v>
      </c>
      <c r="P5446">
        <v>0.89469799999999999</v>
      </c>
      <c r="Q5446">
        <v>0.41204639999999998</v>
      </c>
      <c r="R5446">
        <v>0.1724349</v>
      </c>
      <c r="S5446">
        <v>3.4203950000000001</v>
      </c>
      <c r="T5446">
        <v>-0.36659720000000001</v>
      </c>
      <c r="U5446">
        <v>0.52639769999999997</v>
      </c>
      <c r="V5446">
        <v>-0.1835929</v>
      </c>
      <c r="W5446">
        <v>0.42429800000000001</v>
      </c>
      <c r="X5446">
        <v>0.88671580000000005</v>
      </c>
      <c r="Y5446">
        <v>-0.16212839999999901</v>
      </c>
      <c r="Z5446">
        <v>1.0818680000000001E-2</v>
      </c>
      <c r="AA5446">
        <v>0.98671039999999999</v>
      </c>
      <c r="AB5446">
        <v>30</v>
      </c>
      <c r="AC5446">
        <v>10.2189999999999</v>
      </c>
      <c r="AD5446">
        <v>-1.1123377592770001</v>
      </c>
      <c r="AE5446">
        <v>1.5983799999999999</v>
      </c>
      <c r="AF5446">
        <v>-1.69354129767128</v>
      </c>
      <c r="AG5446">
        <v>-1.1123377592770001</v>
      </c>
      <c r="AH5446">
        <v>10.0837683279885</v>
      </c>
      <c r="AI5446">
        <v>96.208573680660606</v>
      </c>
      <c r="AJ5446">
        <v>99.533697101133001</v>
      </c>
      <c r="AK5446">
        <v>10.285317744735799</v>
      </c>
      <c r="AL5446">
        <v>64.893763557730097</v>
      </c>
      <c r="AM5446">
        <v>101.69770042551799</v>
      </c>
      <c r="AN5446">
        <v>1.00000002785202</v>
      </c>
    </row>
    <row r="5447" spans="1:40" x14ac:dyDescent="0.25">
      <c r="A5447" t="str">
        <f>"20190304164754362"</f>
        <v>20190304164754362</v>
      </c>
      <c r="B5447" t="str">
        <f>"1551689274355022"</f>
        <v>1551689274355022</v>
      </c>
      <c r="C5447" t="s">
        <v>40</v>
      </c>
      <c r="D5447">
        <v>4.4945269999999997</v>
      </c>
      <c r="E5447">
        <v>0.53548660000000003</v>
      </c>
      <c r="F5447" t="s">
        <v>61</v>
      </c>
      <c r="G5447">
        <v>-223.9597</v>
      </c>
      <c r="H5447" s="1">
        <v>-1.05213E-6</v>
      </c>
      <c r="I5447">
        <v>-61.442300000000003</v>
      </c>
      <c r="J5447">
        <v>-233.47989999999999</v>
      </c>
      <c r="K5447">
        <v>1.1123510000000001</v>
      </c>
      <c r="L5447">
        <v>-62.777500000000003</v>
      </c>
      <c r="M5447">
        <v>0.99984220000000001</v>
      </c>
      <c r="N5447">
        <v>-1.430789E-2</v>
      </c>
      <c r="O5447">
        <v>-1.0542360000000001E-2</v>
      </c>
      <c r="P5447">
        <v>0.89453470000000002</v>
      </c>
      <c r="Q5447">
        <v>0.41182980000000002</v>
      </c>
      <c r="R5447">
        <v>0.173793899999999</v>
      </c>
      <c r="S5447">
        <v>3.4439540000000002</v>
      </c>
      <c r="T5447">
        <v>-0.39602150000000003</v>
      </c>
      <c r="U5447">
        <v>0.47500609999999999</v>
      </c>
      <c r="V5447">
        <v>-0.18434030000000001</v>
      </c>
      <c r="W5447">
        <v>0.42407260000000002</v>
      </c>
      <c r="X5447">
        <v>0.88666849999999997</v>
      </c>
      <c r="Y5447">
        <v>-0.14595159999999999</v>
      </c>
      <c r="Z5447">
        <v>1.0430999999999999E-2</v>
      </c>
      <c r="AA5447">
        <v>0.98923669999999997</v>
      </c>
      <c r="AB5447">
        <v>30</v>
      </c>
      <c r="AC5447">
        <v>9.5201999999999796</v>
      </c>
      <c r="AD5447">
        <v>-1.1123520521300001</v>
      </c>
      <c r="AE5447">
        <v>1.3351999999999999</v>
      </c>
      <c r="AF5447">
        <v>-1.4165360889615799</v>
      </c>
      <c r="AG5447">
        <v>-1.1123520521300001</v>
      </c>
      <c r="AH5447">
        <v>9.3800087319444092</v>
      </c>
      <c r="AI5447">
        <v>96.687847262554598</v>
      </c>
      <c r="AJ5447">
        <v>98.587716669973801</v>
      </c>
      <c r="AK5447">
        <v>9.5513593477871908</v>
      </c>
      <c r="AL5447">
        <v>64.908023138214901</v>
      </c>
      <c r="AM5447">
        <v>101.744610346215</v>
      </c>
      <c r="AN5447">
        <v>0.999999972583549</v>
      </c>
    </row>
    <row r="5448" spans="1:40" x14ac:dyDescent="0.25">
      <c r="A5448" t="str">
        <f>"20190304164754372"</f>
        <v>20190304164754372</v>
      </c>
      <c r="B5448" t="str">
        <f>"1551689274364782"</f>
        <v>1551689274364782</v>
      </c>
      <c r="C5448" t="s">
        <v>40</v>
      </c>
      <c r="D5448">
        <v>4.467854</v>
      </c>
      <c r="E5448">
        <v>0.5391861</v>
      </c>
      <c r="F5448" t="s">
        <v>61</v>
      </c>
      <c r="G5448">
        <v>-224.26859999999999</v>
      </c>
      <c r="H5448" s="1">
        <v>-1.2205889999999999E-6</v>
      </c>
      <c r="I5448">
        <v>-61.60389</v>
      </c>
      <c r="J5448">
        <v>-233.33770000000001</v>
      </c>
      <c r="K5448">
        <v>1.112363</v>
      </c>
      <c r="L5448">
        <v>-62.778379999999999</v>
      </c>
      <c r="M5448">
        <v>0.99984879999999998</v>
      </c>
      <c r="N5448">
        <v>-1.4306640000000001E-2</v>
      </c>
      <c r="O5448">
        <v>-9.8933909999999996E-3</v>
      </c>
      <c r="P5448">
        <v>0.89420549999999999</v>
      </c>
      <c r="Q5448">
        <v>0.41200730000000002</v>
      </c>
      <c r="R5448">
        <v>0.1750622</v>
      </c>
      <c r="S5448">
        <v>3.4604339999999998</v>
      </c>
      <c r="T5448">
        <v>-0.41787740000000001</v>
      </c>
      <c r="U5448">
        <v>0.44088749999999999</v>
      </c>
      <c r="V5448">
        <v>-0.1850358</v>
      </c>
      <c r="W5448">
        <v>0.4242398</v>
      </c>
      <c r="X5448">
        <v>0.88644369999999995</v>
      </c>
      <c r="Y5448">
        <v>-0.13505780000000001</v>
      </c>
      <c r="Z5448">
        <v>1.0112039999999999E-2</v>
      </c>
      <c r="AA5448">
        <v>0.9907861</v>
      </c>
      <c r="AB5448">
        <v>30</v>
      </c>
      <c r="AC5448">
        <v>9.0691000000000095</v>
      </c>
      <c r="AD5448">
        <v>-1.1123642205890001</v>
      </c>
      <c r="AE5448">
        <v>1.17449</v>
      </c>
      <c r="AF5448">
        <v>-1.24573404052079</v>
      </c>
      <c r="AG5448">
        <v>-1.1123642205890001</v>
      </c>
      <c r="AH5448">
        <v>8.9249817668554901</v>
      </c>
      <c r="AI5448">
        <v>97.036896251941101</v>
      </c>
      <c r="AJ5448">
        <v>97.945913482140199</v>
      </c>
      <c r="AK5448">
        <v>9.0798957591847795</v>
      </c>
      <c r="AL5448">
        <v>64.897446471908296</v>
      </c>
      <c r="AM5448">
        <v>101.790589808473</v>
      </c>
      <c r="AN5448">
        <v>1.00000004422768</v>
      </c>
    </row>
    <row r="5449" spans="1:40" x14ac:dyDescent="0.25">
      <c r="A5449" t="str">
        <f>"20190304164754384"</f>
        <v>20190304164754384</v>
      </c>
      <c r="B5449" t="str">
        <f>"1551689274374542"</f>
        <v>1551689274374542</v>
      </c>
      <c r="C5449" t="s">
        <v>40</v>
      </c>
      <c r="D5449">
        <v>4.4404960000000004</v>
      </c>
      <c r="E5449">
        <v>0.54194439999999999</v>
      </c>
      <c r="F5449" t="s">
        <v>61</v>
      </c>
      <c r="G5449">
        <v>-224.38249999999999</v>
      </c>
      <c r="H5449" s="1">
        <v>-1.29093E-6</v>
      </c>
      <c r="I5449">
        <v>-61.700499999999998</v>
      </c>
      <c r="J5449">
        <v>-233.1848</v>
      </c>
      <c r="K5449">
        <v>1.112363</v>
      </c>
      <c r="L5449">
        <v>-62.779139999999998</v>
      </c>
      <c r="M5449">
        <v>0.99985539999999995</v>
      </c>
      <c r="N5449">
        <v>-1.430528E-2</v>
      </c>
      <c r="O5449">
        <v>-9.1874609999999992E-3</v>
      </c>
      <c r="P5449">
        <v>0.89395009999999997</v>
      </c>
      <c r="Q5449">
        <v>0.41200829999999999</v>
      </c>
      <c r="R5449">
        <v>0.1763583</v>
      </c>
      <c r="S5449">
        <v>3.4718170000000002</v>
      </c>
      <c r="T5449">
        <v>-0.43124770000000001</v>
      </c>
      <c r="U5449">
        <v>0.4178772</v>
      </c>
      <c r="V5449">
        <v>-0.1857077</v>
      </c>
      <c r="W5449">
        <v>0.42423230000000001</v>
      </c>
      <c r="X5449">
        <v>0.886306699999999</v>
      </c>
      <c r="Y5449">
        <v>-0.12748380000000001</v>
      </c>
      <c r="Z5449">
        <v>9.7807299999999996E-3</v>
      </c>
      <c r="AA5449">
        <v>0.99179240000000002</v>
      </c>
      <c r="AB5449">
        <v>30</v>
      </c>
      <c r="AC5449">
        <v>8.8023000000000007</v>
      </c>
      <c r="AD5449">
        <v>-1.11236429093</v>
      </c>
      <c r="AE5449">
        <v>1.07864</v>
      </c>
      <c r="AF5449">
        <v>-1.14151339290986</v>
      </c>
      <c r="AG5449">
        <v>-1.11236429093</v>
      </c>
      <c r="AH5449">
        <v>8.6558298689620496</v>
      </c>
      <c r="AI5449">
        <v>97.260780334965204</v>
      </c>
      <c r="AJ5449">
        <v>97.512698939375397</v>
      </c>
      <c r="AK5449">
        <v>8.8013520474040998</v>
      </c>
      <c r="AL5449">
        <v>64.897919294500298</v>
      </c>
      <c r="AM5449">
        <v>101.833976231522</v>
      </c>
      <c r="AN5449">
        <v>0.99999998033373405</v>
      </c>
    </row>
    <row r="5450" spans="1:40" x14ac:dyDescent="0.25">
      <c r="A5450" t="str">
        <f>"20190304164754397"</f>
        <v>20190304164754397</v>
      </c>
      <c r="B5450" t="str">
        <f>"1551689274395037"</f>
        <v>1551689274395037</v>
      </c>
      <c r="C5450" t="s">
        <v>40</v>
      </c>
      <c r="D5450">
        <v>4.4387019999999904</v>
      </c>
      <c r="E5450">
        <v>0.54579960000000005</v>
      </c>
      <c r="F5450" t="s">
        <v>61</v>
      </c>
      <c r="G5450">
        <v>-224.4128</v>
      </c>
      <c r="H5450" s="1">
        <v>-1.3187270000000001E-6</v>
      </c>
      <c r="I5450">
        <v>-61.766979999999997</v>
      </c>
      <c r="J5450">
        <v>-233.01609999999999</v>
      </c>
      <c r="K5450">
        <v>1.1123689999999999</v>
      </c>
      <c r="L5450">
        <v>-62.779940000000003</v>
      </c>
      <c r="M5450">
        <v>0.99986240000000004</v>
      </c>
      <c r="N5450">
        <v>-1.430376E-2</v>
      </c>
      <c r="O5450">
        <v>-8.405951E-3</v>
      </c>
      <c r="P5450">
        <v>0.89362809999999904</v>
      </c>
      <c r="Q5450">
        <v>0.4121997</v>
      </c>
      <c r="R5450">
        <v>0.17753949999999999</v>
      </c>
      <c r="S5450">
        <v>3.4800719999999998</v>
      </c>
      <c r="T5450">
        <v>-0.44130239999999998</v>
      </c>
      <c r="U5450">
        <v>0.40155030000000003</v>
      </c>
      <c r="V5450">
        <v>-0.18619859999999999</v>
      </c>
      <c r="W5450">
        <v>0.42441420000000002</v>
      </c>
      <c r="X5450">
        <v>0.88611669999999998</v>
      </c>
      <c r="Y5450">
        <v>-0.1218463</v>
      </c>
      <c r="Z5450">
        <v>9.4867259999999991E-3</v>
      </c>
      <c r="AA5450">
        <v>0.99250360000000004</v>
      </c>
      <c r="AB5450">
        <v>30</v>
      </c>
      <c r="AC5450">
        <v>8.6032999999999902</v>
      </c>
      <c r="AD5450">
        <v>-1.112370318727</v>
      </c>
      <c r="AE5450">
        <v>1.0129599999999901</v>
      </c>
      <c r="AF5450">
        <v>-1.0676462979058901</v>
      </c>
      <c r="AG5450">
        <v>-1.112370318727</v>
      </c>
      <c r="AH5450">
        <v>8.4550662026035397</v>
      </c>
      <c r="AI5450">
        <v>97.436551615539798</v>
      </c>
      <c r="AJ5450">
        <v>97.196818627171297</v>
      </c>
      <c r="AK5450">
        <v>8.5944971251275408</v>
      </c>
      <c r="AL5450">
        <v>64.886412033950606</v>
      </c>
      <c r="AM5450">
        <v>101.866844530905</v>
      </c>
      <c r="AN5450">
        <v>1.00000006891124</v>
      </c>
    </row>
    <row r="5451" spans="1:40" x14ac:dyDescent="0.25">
      <c r="A5451" t="str">
        <f>"20190304164754410"</f>
        <v>20190304164754410</v>
      </c>
      <c r="B5451" t="str">
        <f>"1551689274404797"</f>
        <v>1551689274404797</v>
      </c>
      <c r="C5451" t="s">
        <v>40</v>
      </c>
      <c r="D5451">
        <v>4.4355349999999998</v>
      </c>
      <c r="E5451">
        <v>0.54718480000000003</v>
      </c>
      <c r="F5451" t="s">
        <v>61</v>
      </c>
      <c r="G5451">
        <v>-224.42250000000001</v>
      </c>
      <c r="H5451" s="1">
        <v>-1.34154E-6</v>
      </c>
      <c r="I5451">
        <v>-61.850920000000002</v>
      </c>
      <c r="J5451">
        <v>-232.8348</v>
      </c>
      <c r="K5451">
        <v>1.1123769999999999</v>
      </c>
      <c r="L5451">
        <v>-62.78058</v>
      </c>
      <c r="M5451">
        <v>0.99986909999999896</v>
      </c>
      <c r="N5451">
        <v>-1.430207E-2</v>
      </c>
      <c r="O5451">
        <v>-7.5600859999999997E-3</v>
      </c>
      <c r="P5451">
        <v>0.89337889999999998</v>
      </c>
      <c r="Q5451">
        <v>0.41225109999999898</v>
      </c>
      <c r="R5451">
        <v>0.17867069999999999</v>
      </c>
      <c r="S5451">
        <v>3.4905550000000001</v>
      </c>
      <c r="T5451">
        <v>-0.45182499999999998</v>
      </c>
      <c r="U5451">
        <v>0.37734990000000002</v>
      </c>
      <c r="V5451">
        <v>-0.18658089999999999</v>
      </c>
      <c r="W5451">
        <v>0.42445820000000001</v>
      </c>
      <c r="X5451">
        <v>0.88601509999999895</v>
      </c>
      <c r="Y5451">
        <v>-0.11389929999999999</v>
      </c>
      <c r="Z5451">
        <v>9.0050400000000006E-3</v>
      </c>
      <c r="AA5451">
        <v>0.99345150000000004</v>
      </c>
      <c r="AB5451">
        <v>30</v>
      </c>
      <c r="AC5451">
        <v>8.4122999999999806</v>
      </c>
      <c r="AD5451">
        <v>-1.1123783415399999</v>
      </c>
      <c r="AE5451">
        <v>0.92966000000001203</v>
      </c>
      <c r="AF5451">
        <v>-0.97637138895637499</v>
      </c>
      <c r="AG5451">
        <v>-1.1123783415399999</v>
      </c>
      <c r="AH5451">
        <v>8.2623039415791002</v>
      </c>
      <c r="AI5451">
        <v>97.615432183481204</v>
      </c>
      <c r="AJ5451">
        <v>96.739490414907394</v>
      </c>
      <c r="AK5451">
        <v>8.3938282736146999</v>
      </c>
      <c r="AL5451">
        <v>64.883625312452494</v>
      </c>
      <c r="AM5451">
        <v>101.891841136585</v>
      </c>
      <c r="AN5451">
        <v>0.99999997661002904</v>
      </c>
    </row>
    <row r="5452" spans="1:40" x14ac:dyDescent="0.25">
      <c r="A5452" t="str">
        <f>"20190304164754431"</f>
        <v>20190304164754431</v>
      </c>
      <c r="B5452" t="str">
        <f>"1551689274425089"</f>
        <v>1551689274425089</v>
      </c>
      <c r="C5452" t="s">
        <v>40</v>
      </c>
      <c r="D5452">
        <v>4.4291229999999997</v>
      </c>
      <c r="E5452">
        <v>0.54938750000000003</v>
      </c>
      <c r="F5452" t="s">
        <v>61</v>
      </c>
      <c r="G5452">
        <v>-224.30269999999999</v>
      </c>
      <c r="H5452" s="1">
        <v>-1.2950540000000001E-6</v>
      </c>
      <c r="I5452">
        <v>-61.872889999999998</v>
      </c>
      <c r="J5452">
        <v>-232.54849999999999</v>
      </c>
      <c r="K5452">
        <v>1.1123890000000001</v>
      </c>
      <c r="L5452">
        <v>-62.781309999999998</v>
      </c>
      <c r="M5452">
        <v>0.9998785</v>
      </c>
      <c r="N5452">
        <v>-1.429943E-2</v>
      </c>
      <c r="O5452">
        <v>-6.2178299999999997E-3</v>
      </c>
      <c r="P5452">
        <v>0.89303829999999995</v>
      </c>
      <c r="Q5452">
        <v>0.41201189999999999</v>
      </c>
      <c r="R5452">
        <v>0.18091260000000001</v>
      </c>
      <c r="S5452">
        <v>3.4939119999999999</v>
      </c>
      <c r="T5452">
        <v>-0.45552399999999998</v>
      </c>
      <c r="U5452">
        <v>0.37170409999999998</v>
      </c>
      <c r="V5452">
        <v>-0.1876322</v>
      </c>
      <c r="W5452">
        <v>0.42420780000000002</v>
      </c>
      <c r="X5452">
        <v>0.88591309999999901</v>
      </c>
      <c r="Y5452">
        <v>-0.1108977</v>
      </c>
      <c r="Z5452">
        <v>8.6943279999999994E-3</v>
      </c>
      <c r="AA5452">
        <v>0.99379379999999995</v>
      </c>
      <c r="AB5452">
        <v>30</v>
      </c>
      <c r="AC5452">
        <v>8.2457999999999991</v>
      </c>
      <c r="AD5452">
        <v>-1.1123902950539999</v>
      </c>
      <c r="AE5452">
        <v>0.90841999999999201</v>
      </c>
      <c r="AF5452">
        <v>-0.94272763976783502</v>
      </c>
      <c r="AG5452">
        <v>-1.1123902950539999</v>
      </c>
      <c r="AH5452">
        <v>8.0944467874945296</v>
      </c>
      <c r="AI5452">
        <v>97.773043325781501</v>
      </c>
      <c r="AJ5452">
        <v>96.6430804261704</v>
      </c>
      <c r="AK5452">
        <v>8.2247319936210097</v>
      </c>
      <c r="AL5452">
        <v>64.899471587124694</v>
      </c>
      <c r="AM5452">
        <v>101.95826000648501</v>
      </c>
      <c r="AN5452">
        <v>1.00000006040464</v>
      </c>
    </row>
    <row r="5453" spans="1:40" x14ac:dyDescent="0.25">
      <c r="A5453" t="str">
        <f>"20190304164754441"</f>
        <v>20190304164754441</v>
      </c>
      <c r="B5453" t="str">
        <f>"1551689274434829"</f>
        <v>1551689274434829</v>
      </c>
      <c r="C5453" t="s">
        <v>40</v>
      </c>
      <c r="D5453">
        <v>4.4329939999999999</v>
      </c>
      <c r="E5453">
        <v>0.55024580000000001</v>
      </c>
      <c r="F5453" t="s">
        <v>61</v>
      </c>
      <c r="G5453">
        <v>-224.14340000000001</v>
      </c>
      <c r="H5453" s="1">
        <v>-1.234517E-6</v>
      </c>
      <c r="I5453">
        <v>-61.908009999999997</v>
      </c>
      <c r="J5453">
        <v>-232.41030000000001</v>
      </c>
      <c r="K5453">
        <v>1.1123940000000001</v>
      </c>
      <c r="L5453">
        <v>-62.781489999999998</v>
      </c>
      <c r="M5453">
        <v>0.9998823</v>
      </c>
      <c r="N5453">
        <v>-1.4298140000000001E-2</v>
      </c>
      <c r="O5453">
        <v>-5.5666860000000004E-3</v>
      </c>
      <c r="P5453">
        <v>0.89288840000000003</v>
      </c>
      <c r="Q5453">
        <v>0.41198170000000001</v>
      </c>
      <c r="R5453">
        <v>0.18171770000000001</v>
      </c>
      <c r="S5453">
        <v>3.4993289999999999</v>
      </c>
      <c r="T5453">
        <v>-0.46312890000000001</v>
      </c>
      <c r="U5453">
        <v>0.36358639999999998</v>
      </c>
      <c r="V5453">
        <v>-0.1878589</v>
      </c>
      <c r="W5453">
        <v>0.4241741</v>
      </c>
      <c r="X5453">
        <v>0.88588109999999998</v>
      </c>
      <c r="Y5453">
        <v>-0.10781060000000001</v>
      </c>
      <c r="Z5453">
        <v>8.5135639999999995E-3</v>
      </c>
      <c r="AA5453">
        <v>0.99413499999999999</v>
      </c>
      <c r="AB5453">
        <v>30</v>
      </c>
      <c r="AC5453">
        <v>8.2668999999999908</v>
      </c>
      <c r="AD5453">
        <v>-1.1123952345170001</v>
      </c>
      <c r="AE5453">
        <v>0.87348000000000703</v>
      </c>
      <c r="AF5453">
        <v>-0.90331516995317795</v>
      </c>
      <c r="AG5453">
        <v>-1.1123952345170001</v>
      </c>
      <c r="AH5453">
        <v>8.1165694622976208</v>
      </c>
      <c r="AI5453">
        <v>97.756603856120407</v>
      </c>
      <c r="AJ5453">
        <v>96.350470608245701</v>
      </c>
      <c r="AK5453">
        <v>8.24209325901775</v>
      </c>
      <c r="AL5453">
        <v>64.901601591695595</v>
      </c>
      <c r="AM5453">
        <v>101.97271147465899</v>
      </c>
      <c r="AN5453">
        <v>0.99999997837861399</v>
      </c>
    </row>
    <row r="5454" spans="1:40" x14ac:dyDescent="0.25">
      <c r="A5454" t="str">
        <f>"20190304164754452"</f>
        <v>20190304164754452</v>
      </c>
      <c r="B5454" t="str">
        <f>"1551689274444590"</f>
        <v>1551689274444590</v>
      </c>
      <c r="C5454" t="s">
        <v>40</v>
      </c>
      <c r="D5454">
        <v>4.4262709999999998</v>
      </c>
      <c r="E5454">
        <v>0.55099569999999998</v>
      </c>
      <c r="F5454" t="s">
        <v>61</v>
      </c>
      <c r="G5454">
        <v>-224.04429999999999</v>
      </c>
      <c r="H5454" s="1">
        <v>-1.194724E-6</v>
      </c>
      <c r="I5454">
        <v>-61.920189999999998</v>
      </c>
      <c r="J5454">
        <v>-232.26759999999999</v>
      </c>
      <c r="K5454">
        <v>1.1123940000000001</v>
      </c>
      <c r="L5454">
        <v>-62.781649999999999</v>
      </c>
      <c r="M5454">
        <v>0.99988580000000005</v>
      </c>
      <c r="N5454">
        <v>-1.429681E-2</v>
      </c>
      <c r="O5454">
        <v>-4.8938499999999999E-3</v>
      </c>
      <c r="P5454">
        <v>0.89273579999999997</v>
      </c>
      <c r="Q5454">
        <v>0.41185690000000003</v>
      </c>
      <c r="R5454">
        <v>0.18274750000000001</v>
      </c>
      <c r="S5454">
        <v>3.501328</v>
      </c>
      <c r="T5454">
        <v>-0.46556160000000002</v>
      </c>
      <c r="U5454">
        <v>0.36047360000000001</v>
      </c>
      <c r="V5454">
        <v>-0.1882905</v>
      </c>
      <c r="W5454">
        <v>0.42404500000000001</v>
      </c>
      <c r="X5454">
        <v>0.88585130000000001</v>
      </c>
      <c r="Y5454">
        <v>-0.1062191</v>
      </c>
      <c r="Z5454">
        <v>8.3542979999999996E-3</v>
      </c>
      <c r="AA5454">
        <v>0.99430759999999996</v>
      </c>
      <c r="AB5454">
        <v>30</v>
      </c>
      <c r="AC5454">
        <v>8.2232999999999894</v>
      </c>
      <c r="AD5454">
        <v>-1.1123951947240001</v>
      </c>
      <c r="AE5454">
        <v>0.86145999999999301</v>
      </c>
      <c r="AF5454">
        <v>-0.885666561042596</v>
      </c>
      <c r="AG5454">
        <v>-1.1123951947240001</v>
      </c>
      <c r="AH5454">
        <v>8.0728639468748895</v>
      </c>
      <c r="AI5454">
        <v>97.799413274950794</v>
      </c>
      <c r="AJ5454">
        <v>96.260829350926798</v>
      </c>
      <c r="AK5454">
        <v>8.1971312439991095</v>
      </c>
      <c r="AL5454">
        <v>64.909770013955907</v>
      </c>
      <c r="AM5454">
        <v>101.999813950264</v>
      </c>
      <c r="AN5454">
        <v>1.0000000000634699</v>
      </c>
    </row>
    <row r="5455" spans="1:40" x14ac:dyDescent="0.25">
      <c r="A5455" t="str">
        <f>"20190304164754463"</f>
        <v>20190304164754463</v>
      </c>
      <c r="B5455" t="str">
        <f>"1551689274454350"</f>
        <v>1551689274454350</v>
      </c>
      <c r="C5455" t="s">
        <v>40</v>
      </c>
      <c r="D5455">
        <v>4.4435279999999997</v>
      </c>
      <c r="E5455">
        <v>0.55160609999999999</v>
      </c>
      <c r="F5455" t="s">
        <v>61</v>
      </c>
      <c r="G5455">
        <v>-223.94839999999999</v>
      </c>
      <c r="H5455" s="1">
        <v>-1.155877E-6</v>
      </c>
      <c r="I5455">
        <v>-61.930610000000001</v>
      </c>
      <c r="J5455">
        <v>-232.1258</v>
      </c>
      <c r="K5455">
        <v>1.1123970000000001</v>
      </c>
      <c r="L5455">
        <v>-62.781619999999997</v>
      </c>
      <c r="M5455">
        <v>0.99988889999999997</v>
      </c>
      <c r="N5455">
        <v>-1.429543E-2</v>
      </c>
      <c r="O5455">
        <v>-4.2220920000000002E-3</v>
      </c>
      <c r="P5455">
        <v>0.89251800000000003</v>
      </c>
      <c r="Q5455">
        <v>0.4119254</v>
      </c>
      <c r="R5455">
        <v>0.1836545</v>
      </c>
      <c r="S5455">
        <v>3.5032040000000002</v>
      </c>
      <c r="T5455">
        <v>-0.46842719999999999</v>
      </c>
      <c r="U5455">
        <v>0.35836790000000002</v>
      </c>
      <c r="V5455">
        <v>-0.18860060000000001</v>
      </c>
      <c r="W5455">
        <v>0.42410880000000001</v>
      </c>
      <c r="X5455">
        <v>0.88575479999999995</v>
      </c>
      <c r="Y5455">
        <v>-0.1049114</v>
      </c>
      <c r="Z5455">
        <v>8.2212359999999998E-3</v>
      </c>
      <c r="AA5455">
        <v>0.99444759999999999</v>
      </c>
      <c r="AB5455">
        <v>30</v>
      </c>
      <c r="AC5455">
        <v>8.1774000000000004</v>
      </c>
      <c r="AD5455">
        <v>-1.11239815587699</v>
      </c>
      <c r="AE5455">
        <v>0.85101000000000204</v>
      </c>
      <c r="AF5455">
        <v>-0.86961188918464005</v>
      </c>
      <c r="AG5455">
        <v>-1.11239815587699</v>
      </c>
      <c r="AH5455">
        <v>8.0267890819026597</v>
      </c>
      <c r="AI5455">
        <v>97.844791678628596</v>
      </c>
      <c r="AJ5455">
        <v>96.183234050135496</v>
      </c>
      <c r="AK5455">
        <v>8.1500305189834403</v>
      </c>
      <c r="AL5455">
        <v>64.905733963504801</v>
      </c>
      <c r="AM5455">
        <v>102.02027384154</v>
      </c>
      <c r="AN5455">
        <v>1.0000000131404201</v>
      </c>
    </row>
    <row r="5456" spans="1:40" x14ac:dyDescent="0.25">
      <c r="A5456" t="str">
        <f>"20190304164754472"</f>
        <v>20190304164754472</v>
      </c>
      <c r="B5456" t="str">
        <f>"1551689274465086"</f>
        <v>1551689274465086</v>
      </c>
      <c r="C5456" t="s">
        <v>40</v>
      </c>
      <c r="D5456">
        <v>4.4561630000000001</v>
      </c>
      <c r="E5456">
        <v>0.55215459999999905</v>
      </c>
      <c r="F5456" t="s">
        <v>61</v>
      </c>
      <c r="G5456">
        <v>-223.84</v>
      </c>
      <c r="H5456" s="1">
        <v>-1.110953E-6</v>
      </c>
      <c r="I5456">
        <v>-61.937759999999997</v>
      </c>
      <c r="J5456">
        <v>-231.9845</v>
      </c>
      <c r="K5456">
        <v>1.1123989999999999</v>
      </c>
      <c r="L5456">
        <v>-62.781619999999997</v>
      </c>
      <c r="M5456">
        <v>0.99989159999999999</v>
      </c>
      <c r="N5456">
        <v>-1.4294050000000001E-2</v>
      </c>
      <c r="O5456">
        <v>-3.552244E-3</v>
      </c>
      <c r="P5456">
        <v>0.89231149999999904</v>
      </c>
      <c r="Q5456">
        <v>0.41210910000000001</v>
      </c>
      <c r="R5456">
        <v>0.18424599999999999</v>
      </c>
      <c r="S5456">
        <v>3.50502</v>
      </c>
      <c r="T5456">
        <v>-0.47055819999999998</v>
      </c>
      <c r="U5456">
        <v>0.35696409999999901</v>
      </c>
      <c r="V5456">
        <v>-0.18859699999999999</v>
      </c>
      <c r="W5456">
        <v>0.42428890000000002</v>
      </c>
      <c r="X5456">
        <v>0.88566929999999999</v>
      </c>
      <c r="Y5456">
        <v>-0.1038063</v>
      </c>
      <c r="Z5456">
        <v>8.08999E-3</v>
      </c>
      <c r="AA5456">
        <v>0.99456469999999997</v>
      </c>
      <c r="AB5456">
        <v>30</v>
      </c>
      <c r="AC5456">
        <v>8.1444999999999901</v>
      </c>
      <c r="AD5456">
        <v>-1.112400110953</v>
      </c>
      <c r="AE5456">
        <v>0.84385999999999906</v>
      </c>
      <c r="AF5456">
        <v>-0.85697194293699397</v>
      </c>
      <c r="AG5456">
        <v>-1.112400110953</v>
      </c>
      <c r="AH5456">
        <v>7.9939089349281902</v>
      </c>
      <c r="AI5456">
        <v>97.877608956534502</v>
      </c>
      <c r="AJ5456">
        <v>96.118916910629494</v>
      </c>
      <c r="AK5456">
        <v>8.1163055005189495</v>
      </c>
      <c r="AL5456">
        <v>64.894338707286806</v>
      </c>
      <c r="AM5456">
        <v>102.021177700699</v>
      </c>
      <c r="AN5456">
        <v>1.00000000401735</v>
      </c>
    </row>
    <row r="5457" spans="1:40" x14ac:dyDescent="0.25">
      <c r="A5457" t="str">
        <f>"20190304164754484"</f>
        <v>20190304164754484</v>
      </c>
      <c r="B5457" t="str">
        <f>"1551689274474847"</f>
        <v>1551689274474847</v>
      </c>
      <c r="C5457" t="s">
        <v>40</v>
      </c>
      <c r="D5457">
        <v>4.4448179999999997</v>
      </c>
      <c r="E5457">
        <v>0.55262800000000001</v>
      </c>
      <c r="F5457" t="s">
        <v>61</v>
      </c>
      <c r="G5457">
        <v>-223.72309999999999</v>
      </c>
      <c r="H5457" s="1">
        <v>-1.062507E-6</v>
      </c>
      <c r="I5457">
        <v>-61.945349999999998</v>
      </c>
      <c r="J5457">
        <v>-231.8365</v>
      </c>
      <c r="K5457">
        <v>1.112406</v>
      </c>
      <c r="L5457">
        <v>-62.781399999999998</v>
      </c>
      <c r="M5457">
        <v>0.99989380000000005</v>
      </c>
      <c r="N5457">
        <v>-1.4292640000000001E-2</v>
      </c>
      <c r="O5457">
        <v>-2.8477099999999998E-3</v>
      </c>
      <c r="P5457">
        <v>0.89216410000000002</v>
      </c>
      <c r="Q5457">
        <v>0.4120935</v>
      </c>
      <c r="R5457">
        <v>0.18499260000000001</v>
      </c>
      <c r="S5457">
        <v>3.506821</v>
      </c>
      <c r="T5457">
        <v>-0.47219470000000002</v>
      </c>
      <c r="U5457">
        <v>0.35498049999999998</v>
      </c>
      <c r="V5457">
        <v>-0.18871750000000001</v>
      </c>
      <c r="W5457">
        <v>0.42427029999999899</v>
      </c>
      <c r="X5457">
        <v>0.88565249999999995</v>
      </c>
      <c r="Y5457">
        <v>-0.10250910000000001</v>
      </c>
      <c r="Z5457">
        <v>7.9315849999999997E-3</v>
      </c>
      <c r="AA5457">
        <v>0.99470040000000004</v>
      </c>
      <c r="AB5457">
        <v>30</v>
      </c>
      <c r="AC5457">
        <v>8.1134000000000093</v>
      </c>
      <c r="AD5457">
        <v>-1.1124070625069999</v>
      </c>
      <c r="AE5457">
        <v>0.83604999999999996</v>
      </c>
      <c r="AF5457">
        <v>-0.84346436397047497</v>
      </c>
      <c r="AG5457">
        <v>-1.1124070625069999</v>
      </c>
      <c r="AH5457">
        <v>7.9628693032063902</v>
      </c>
      <c r="AI5457">
        <v>97.909029124827001</v>
      </c>
      <c r="AJ5457">
        <v>96.046490292057001</v>
      </c>
      <c r="AK5457">
        <v>8.0843162448008101</v>
      </c>
      <c r="AL5457">
        <v>64.895514580352497</v>
      </c>
      <c r="AM5457">
        <v>102.028856268008</v>
      </c>
      <c r="AN5457">
        <v>0.99999996651229395</v>
      </c>
    </row>
    <row r="5458" spans="1:40" x14ac:dyDescent="0.25">
      <c r="A5458" t="str">
        <f>"20190304164754495"</f>
        <v>20190304164754495</v>
      </c>
      <c r="B5458" t="str">
        <f>"1551689274484606"</f>
        <v>1551689274484606</v>
      </c>
      <c r="C5458" t="s">
        <v>40</v>
      </c>
      <c r="D5458">
        <v>4.4710390000000002</v>
      </c>
      <c r="E5458">
        <v>0.55303690000000005</v>
      </c>
      <c r="F5458" t="s">
        <v>61</v>
      </c>
      <c r="G5458">
        <v>-223.60230000000001</v>
      </c>
      <c r="H5458" s="1">
        <v>-1.0119959999999999E-6</v>
      </c>
      <c r="I5458">
        <v>-61.951230000000002</v>
      </c>
      <c r="J5458">
        <v>-231.68680000000001</v>
      </c>
      <c r="K5458">
        <v>1.112406</v>
      </c>
      <c r="L5458">
        <v>-62.781129999999997</v>
      </c>
      <c r="M5458">
        <v>0.99989570000000005</v>
      </c>
      <c r="N5458">
        <v>-1.429123E-2</v>
      </c>
      <c r="O5458">
        <v>-2.1353100000000001E-3</v>
      </c>
      <c r="P5458">
        <v>0.89207169999999902</v>
      </c>
      <c r="Q5458">
        <v>0.41206809999999999</v>
      </c>
      <c r="R5458">
        <v>0.18549450000000001</v>
      </c>
      <c r="S5458">
        <v>3.5081790000000002</v>
      </c>
      <c r="T5458">
        <v>-0.47394409999999998</v>
      </c>
      <c r="U5458">
        <v>0.35369869999999998</v>
      </c>
      <c r="V5458">
        <v>-0.1885858</v>
      </c>
      <c r="W5458">
        <v>0.4242436</v>
      </c>
      <c r="X5458">
        <v>0.88569339999999996</v>
      </c>
      <c r="Y5458">
        <v>-0.1014116</v>
      </c>
      <c r="Z5458">
        <v>7.7884640000000002E-3</v>
      </c>
      <c r="AA5458">
        <v>0.99481410000000003</v>
      </c>
      <c r="AB5458">
        <v>30</v>
      </c>
      <c r="AC5458">
        <v>8.0844999999999896</v>
      </c>
      <c r="AD5458">
        <v>-1.1124070119959999</v>
      </c>
      <c r="AE5458">
        <v>0.82990000000000197</v>
      </c>
      <c r="AF5458">
        <v>-0.83158254930690201</v>
      </c>
      <c r="AG5458">
        <v>-1.1124070119959999</v>
      </c>
      <c r="AH5458">
        <v>7.9340595867755397</v>
      </c>
      <c r="AI5458">
        <v>97.938291117781702</v>
      </c>
      <c r="AJ5458">
        <v>95.983423566946598</v>
      </c>
      <c r="AK5458">
        <v>8.0547054833280196</v>
      </c>
      <c r="AL5458">
        <v>64.897205320106806</v>
      </c>
      <c r="AM5458">
        <v>102.020167009007</v>
      </c>
      <c r="AN5458">
        <v>1.0000000174530701</v>
      </c>
    </row>
    <row r="5459" spans="1:40" x14ac:dyDescent="0.25">
      <c r="A5459" t="str">
        <f>"20190304164754507"</f>
        <v>20190304164754507</v>
      </c>
      <c r="B5459" t="str">
        <f>"1551689274505101"</f>
        <v>1551689274505101</v>
      </c>
      <c r="C5459" t="s">
        <v>40</v>
      </c>
      <c r="D5459">
        <v>4.4837069999999999</v>
      </c>
      <c r="E5459">
        <v>0.55376020000000004</v>
      </c>
      <c r="F5459" t="s">
        <v>61</v>
      </c>
      <c r="G5459">
        <v>-223.49119999999999</v>
      </c>
      <c r="H5459" s="1">
        <v>-9.6554890000000005E-7</v>
      </c>
      <c r="I5459">
        <v>-61.95673</v>
      </c>
      <c r="J5459">
        <v>-231.5307</v>
      </c>
      <c r="K5459">
        <v>1.112412</v>
      </c>
      <c r="L5459">
        <v>-62.780669999999901</v>
      </c>
      <c r="M5459">
        <v>0.99989689999999998</v>
      </c>
      <c r="N5459">
        <v>-1.428973E-2</v>
      </c>
      <c r="O5459">
        <v>-1.390372E-3</v>
      </c>
      <c r="P5459">
        <v>0.89201819999999898</v>
      </c>
      <c r="Q5459">
        <v>0.41196680000000002</v>
      </c>
      <c r="R5459">
        <v>0.18597540000000001</v>
      </c>
      <c r="S5459">
        <v>3.5095830000000001</v>
      </c>
      <c r="T5459">
        <v>-0.47636309999999898</v>
      </c>
      <c r="U5459">
        <v>0.35302729999999999</v>
      </c>
      <c r="V5459">
        <v>-0.1884044</v>
      </c>
      <c r="W5459">
        <v>0.42414170000000001</v>
      </c>
      <c r="X5459">
        <v>0.88578080000000003</v>
      </c>
      <c r="Y5459">
        <v>-0.1004482</v>
      </c>
      <c r="Z5459">
        <v>7.6598419999999896E-3</v>
      </c>
      <c r="AA5459">
        <v>0.99491280000000004</v>
      </c>
      <c r="AB5459">
        <v>30</v>
      </c>
      <c r="AC5459">
        <v>8.0395000000000003</v>
      </c>
      <c r="AD5459">
        <v>-1.1124129655488999</v>
      </c>
      <c r="AE5459">
        <v>0.82393999999998602</v>
      </c>
      <c r="AF5459">
        <v>-0.81958962860136897</v>
      </c>
      <c r="AG5459">
        <v>-1.1124129655488999</v>
      </c>
      <c r="AH5459">
        <v>7.8888774337889602</v>
      </c>
      <c r="AI5459">
        <v>97.983962314271494</v>
      </c>
      <c r="AJ5459">
        <v>95.931282618439297</v>
      </c>
      <c r="AK5459">
        <v>8.0089685310017895</v>
      </c>
      <c r="AL5459">
        <v>64.903652430745396</v>
      </c>
      <c r="AM5459">
        <v>102.007790136287</v>
      </c>
      <c r="AN5459">
        <v>1.0000000126334401</v>
      </c>
    </row>
    <row r="5460" spans="1:40" x14ac:dyDescent="0.25">
      <c r="A5460" t="str">
        <f>"20190304164754518"</f>
        <v>20190304164754518</v>
      </c>
      <c r="B5460" t="str">
        <f>"1551689274514862"</f>
        <v>1551689274514862</v>
      </c>
      <c r="C5460" t="s">
        <v>40</v>
      </c>
      <c r="D5460">
        <v>4.4722749999999998</v>
      </c>
      <c r="E5460">
        <v>0.55408290000000004</v>
      </c>
      <c r="F5460" t="s">
        <v>61</v>
      </c>
      <c r="G5460">
        <v>-223.40559999999999</v>
      </c>
      <c r="H5460" s="1">
        <v>-9.3221710000000003E-7</v>
      </c>
      <c r="I5460">
        <v>-61.971989999999998</v>
      </c>
      <c r="J5460">
        <v>-231.38050000000001</v>
      </c>
      <c r="K5460">
        <v>1.1124130000000001</v>
      </c>
      <c r="L5460">
        <v>-62.780180000000001</v>
      </c>
      <c r="M5460">
        <v>0.99989779999999995</v>
      </c>
      <c r="N5460">
        <v>-1.428829E-2</v>
      </c>
      <c r="O5460">
        <v>-6.7261580000000005E-4</v>
      </c>
      <c r="P5460">
        <v>0.89195029999999997</v>
      </c>
      <c r="Q5460">
        <v>0.4118385</v>
      </c>
      <c r="R5460">
        <v>0.1865858</v>
      </c>
      <c r="S5460">
        <v>3.5123600000000001</v>
      </c>
      <c r="T5460">
        <v>-0.48087609999999997</v>
      </c>
      <c r="U5460">
        <v>0.34957890000000003</v>
      </c>
      <c r="V5460">
        <v>-0.18837599999999999</v>
      </c>
      <c r="W5460">
        <v>0.42401250000000001</v>
      </c>
      <c r="X5460">
        <v>0.88584859999999899</v>
      </c>
      <c r="Y5460">
        <v>-9.8694740000000003E-2</v>
      </c>
      <c r="Z5460">
        <v>7.5007629999999997E-3</v>
      </c>
      <c r="AA5460">
        <v>0.99508949999999996</v>
      </c>
      <c r="AB5460">
        <v>30</v>
      </c>
      <c r="AC5460">
        <v>7.9749000000000096</v>
      </c>
      <c r="AD5460">
        <v>-1.1124139322170901</v>
      </c>
      <c r="AE5460">
        <v>0.80818999999999597</v>
      </c>
      <c r="AF5460">
        <v>-0.79818183129476805</v>
      </c>
      <c r="AG5460">
        <v>-1.1124139322170901</v>
      </c>
      <c r="AH5460">
        <v>7.8236745411617497</v>
      </c>
      <c r="AI5460">
        <v>98.051153296458295</v>
      </c>
      <c r="AJ5460">
        <v>95.825238129316901</v>
      </c>
      <c r="AK5460">
        <v>7.94257151799229</v>
      </c>
      <c r="AL5460">
        <v>64.911824239241</v>
      </c>
      <c r="AM5460">
        <v>102.00514036994601</v>
      </c>
      <c r="AN5460">
        <v>0.99999992982710195</v>
      </c>
    </row>
    <row r="5461" spans="1:40" x14ac:dyDescent="0.25">
      <c r="A5461" t="str">
        <f>"20190304164754529"</f>
        <v>20190304164754529</v>
      </c>
      <c r="B5461" t="str">
        <f>"1551689274524625"</f>
        <v>1551689274524625</v>
      </c>
      <c r="C5461" t="s">
        <v>40</v>
      </c>
      <c r="D5461">
        <v>4.467492</v>
      </c>
      <c r="E5461">
        <v>0.55436379999999996</v>
      </c>
      <c r="F5461" t="s">
        <v>61</v>
      </c>
      <c r="G5461">
        <v>-223.2953</v>
      </c>
      <c r="H5461" s="1">
        <v>-8.8573009999999997E-7</v>
      </c>
      <c r="I5461">
        <v>-61.975729999999999</v>
      </c>
      <c r="J5461">
        <v>-231.2269</v>
      </c>
      <c r="K5461">
        <v>1.1124160000000001</v>
      </c>
      <c r="L5461">
        <v>-62.779539999999997</v>
      </c>
      <c r="M5461">
        <v>0.99989810000000001</v>
      </c>
      <c r="N5461">
        <v>-1.4286800000000001E-2</v>
      </c>
      <c r="O5461" s="1">
        <v>6.3018269999999896E-5</v>
      </c>
      <c r="P5461">
        <v>0.89202499999999996</v>
      </c>
      <c r="Q5461">
        <v>0.4113639</v>
      </c>
      <c r="R5461">
        <v>0.187273</v>
      </c>
      <c r="S5461">
        <v>3.5134889999999999</v>
      </c>
      <c r="T5461">
        <v>-0.4834077</v>
      </c>
      <c r="U5461">
        <v>0.34957890000000003</v>
      </c>
      <c r="V5461">
        <v>-0.18840689999999999</v>
      </c>
      <c r="W5461">
        <v>0.4235392</v>
      </c>
      <c r="X5461">
        <v>0.88606849999999904</v>
      </c>
      <c r="Y5461">
        <v>-9.7934980000000005E-2</v>
      </c>
      <c r="Z5461">
        <v>7.3866069999999999E-3</v>
      </c>
      <c r="AA5461">
        <v>0.99516539999999998</v>
      </c>
      <c r="AB5461">
        <v>30</v>
      </c>
      <c r="AC5461">
        <v>7.9316000000000004</v>
      </c>
      <c r="AD5461">
        <v>-1.1124168857301</v>
      </c>
      <c r="AE5461">
        <v>0.80380999999999803</v>
      </c>
      <c r="AF5461">
        <v>-0.78796802186764103</v>
      </c>
      <c r="AG5461">
        <v>-1.1124168857301</v>
      </c>
      <c r="AH5461">
        <v>7.78016730616784</v>
      </c>
      <c r="AI5461">
        <v>98.096198505036298</v>
      </c>
      <c r="AJ5461">
        <v>95.783142989718399</v>
      </c>
      <c r="AK5461">
        <v>7.8986940846640197</v>
      </c>
      <c r="AL5461">
        <v>64.941765496063596</v>
      </c>
      <c r="AM5461">
        <v>102.004159069868</v>
      </c>
      <c r="AN5461">
        <v>1.0000000002982401</v>
      </c>
    </row>
    <row r="5462" spans="1:40" x14ac:dyDescent="0.25">
      <c r="A5462" t="str">
        <f>"20190304164754541"</f>
        <v>20190304164754541</v>
      </c>
      <c r="B5462" t="str">
        <f>"1551689274534240"</f>
        <v>1551689274534240</v>
      </c>
      <c r="C5462" t="s">
        <v>40</v>
      </c>
      <c r="D5462">
        <v>4.469157</v>
      </c>
      <c r="E5462">
        <v>0.55463560000000001</v>
      </c>
      <c r="F5462" t="s">
        <v>61</v>
      </c>
      <c r="G5462">
        <v>-223.21010000000001</v>
      </c>
      <c r="H5462" s="1">
        <v>-8.502105E-7</v>
      </c>
      <c r="I5462">
        <v>-61.980379999999997</v>
      </c>
      <c r="J5462">
        <v>-231.06970000000001</v>
      </c>
      <c r="K5462">
        <v>1.1124149999999999</v>
      </c>
      <c r="L5462">
        <v>-62.778750000000002</v>
      </c>
      <c r="M5462">
        <v>0.9998977</v>
      </c>
      <c r="N5462">
        <v>-1.428516E-2</v>
      </c>
      <c r="O5462">
        <v>8.17068E-4</v>
      </c>
      <c r="P5462">
        <v>0.89192469999999902</v>
      </c>
      <c r="Q5462">
        <v>0.41135769999999999</v>
      </c>
      <c r="R5462">
        <v>0.18776399999999999</v>
      </c>
      <c r="S5462">
        <v>3.514465</v>
      </c>
      <c r="T5462">
        <v>-0.48766989999999999</v>
      </c>
      <c r="U5462">
        <v>0.35034179999999998</v>
      </c>
      <c r="V5462">
        <v>-0.1882267</v>
      </c>
      <c r="W5462">
        <v>0.42353190000000002</v>
      </c>
      <c r="X5462">
        <v>0.88611030000000002</v>
      </c>
      <c r="Y5462">
        <v>-9.7366549999999996E-2</v>
      </c>
      <c r="Z5462">
        <v>7.3066019999999997E-3</v>
      </c>
      <c r="AA5462">
        <v>0.99522180000000005</v>
      </c>
      <c r="AB5462">
        <v>30</v>
      </c>
      <c r="AC5462">
        <v>7.8596000000000004</v>
      </c>
      <c r="AD5462">
        <v>-1.1124158502104999</v>
      </c>
      <c r="AE5462">
        <v>0.79836999999999803</v>
      </c>
      <c r="AF5462">
        <v>-0.77654994882148198</v>
      </c>
      <c r="AG5462">
        <v>-1.1124158502104999</v>
      </c>
      <c r="AH5462">
        <v>7.7074281723439997</v>
      </c>
      <c r="AI5462">
        <v>98.171995665179693</v>
      </c>
      <c r="AJ5462">
        <v>95.753331803504693</v>
      </c>
      <c r="AK5462">
        <v>7.8259151464002104</v>
      </c>
      <c r="AL5462">
        <v>64.942227534743594</v>
      </c>
      <c r="AM5462">
        <v>101.992461029135</v>
      </c>
      <c r="AN5462">
        <v>1.0000000123382899</v>
      </c>
    </row>
    <row r="5463" spans="1:40" x14ac:dyDescent="0.25">
      <c r="A5463" t="str">
        <f>"20190304164754551"</f>
        <v>20190304164754551</v>
      </c>
      <c r="B5463" t="str">
        <f>"1551689274544976"</f>
        <v>1551689274544976</v>
      </c>
      <c r="C5463" t="s">
        <v>40</v>
      </c>
      <c r="D5463">
        <v>4.4801669999999998</v>
      </c>
      <c r="E5463">
        <v>0.55488999999999999</v>
      </c>
      <c r="F5463" t="s">
        <v>61</v>
      </c>
      <c r="G5463">
        <v>-223.08349999999999</v>
      </c>
      <c r="H5463" s="1">
        <v>-7.9648450000000001E-7</v>
      </c>
      <c r="I5463">
        <v>-61.983020000000003</v>
      </c>
      <c r="J5463">
        <v>-230.92519999999999</v>
      </c>
      <c r="K5463">
        <v>1.1124099999999999</v>
      </c>
      <c r="L5463">
        <v>-62.777979999999999</v>
      </c>
      <c r="M5463">
        <v>0.99989689999999998</v>
      </c>
      <c r="N5463">
        <v>-1.4283580000000001E-2</v>
      </c>
      <c r="O5463">
        <v>1.511215E-3</v>
      </c>
      <c r="P5463">
        <v>0.89194010000000001</v>
      </c>
      <c r="Q5463">
        <v>0.41103190000000001</v>
      </c>
      <c r="R5463">
        <v>0.1884036</v>
      </c>
      <c r="S5463">
        <v>3.5155940000000001</v>
      </c>
      <c r="T5463">
        <v>-0.48969109999999999</v>
      </c>
      <c r="U5463">
        <v>0.3502808</v>
      </c>
      <c r="V5463">
        <v>-0.188247</v>
      </c>
      <c r="W5463">
        <v>0.42320619999999998</v>
      </c>
      <c r="X5463">
        <v>0.88626159999999998</v>
      </c>
      <c r="Y5463">
        <v>-9.6632789999999996E-2</v>
      </c>
      <c r="Z5463">
        <v>7.1893740000000001E-3</v>
      </c>
      <c r="AA5463">
        <v>0.99529420000000002</v>
      </c>
      <c r="AB5463">
        <v>30</v>
      </c>
      <c r="AC5463">
        <v>7.8417000000000003</v>
      </c>
      <c r="AD5463">
        <v>-1.1124107964845</v>
      </c>
      <c r="AE5463">
        <v>0.79496000000000999</v>
      </c>
      <c r="AF5463">
        <v>-0.767813249711643</v>
      </c>
      <c r="AG5463">
        <v>-1.1124107964845</v>
      </c>
      <c r="AH5463">
        <v>7.6897203100813103</v>
      </c>
      <c r="AI5463">
        <v>98.191247787030605</v>
      </c>
      <c r="AJ5463">
        <v>95.702044465227999</v>
      </c>
      <c r="AK5463">
        <v>7.8076112488932896</v>
      </c>
      <c r="AL5463">
        <v>64.962826158666402</v>
      </c>
      <c r="AM5463">
        <v>101.99172869377399</v>
      </c>
      <c r="AN5463">
        <v>1.0000000221809899</v>
      </c>
    </row>
    <row r="5464" spans="1:40" x14ac:dyDescent="0.25">
      <c r="A5464" t="str">
        <f>"20190304164754562"</f>
        <v>20190304164754562</v>
      </c>
      <c r="B5464" t="str">
        <f>"1551689274554736"</f>
        <v>1551689274554736</v>
      </c>
      <c r="C5464" t="s">
        <v>40</v>
      </c>
      <c r="D5464">
        <v>4.4669660000000002</v>
      </c>
      <c r="E5464">
        <v>0.55513219999999996</v>
      </c>
      <c r="F5464" t="s">
        <v>61</v>
      </c>
      <c r="G5464">
        <v>-222.9906</v>
      </c>
      <c r="H5464" s="1">
        <v>-7.5717939999999995E-7</v>
      </c>
      <c r="I5464">
        <v>-61.985399999999998</v>
      </c>
      <c r="J5464">
        <v>-230.78190000000001</v>
      </c>
      <c r="K5464">
        <v>1.112412</v>
      </c>
      <c r="L5464">
        <v>-62.777009999999997</v>
      </c>
      <c r="M5464">
        <v>0.9998956</v>
      </c>
      <c r="N5464">
        <v>-1.4282080000000001E-2</v>
      </c>
      <c r="O5464">
        <v>2.2011230000000001E-3</v>
      </c>
      <c r="P5464">
        <v>0.89186749999999904</v>
      </c>
      <c r="Q5464">
        <v>0.41093760000000001</v>
      </c>
      <c r="R5464">
        <v>0.18895100000000001</v>
      </c>
      <c r="S5464">
        <v>3.5164490000000002</v>
      </c>
      <c r="T5464">
        <v>-0.4929982</v>
      </c>
      <c r="U5464">
        <v>0.35125729999999999</v>
      </c>
      <c r="V5464">
        <v>-0.18817929999999999</v>
      </c>
      <c r="W5464">
        <v>0.42311110000000002</v>
      </c>
      <c r="X5464">
        <v>0.88632140000000004</v>
      </c>
      <c r="Y5464">
        <v>-9.6193570000000006E-2</v>
      </c>
      <c r="Z5464">
        <v>7.1110440000000004E-3</v>
      </c>
      <c r="AA5464">
        <v>0.99533720000000003</v>
      </c>
      <c r="AB5464">
        <v>30</v>
      </c>
      <c r="AC5464">
        <v>7.7912999999999997</v>
      </c>
      <c r="AD5464">
        <v>-1.1124127571794</v>
      </c>
      <c r="AE5464">
        <v>0.79160999999999804</v>
      </c>
      <c r="AF5464">
        <v>-0.75913972791970297</v>
      </c>
      <c r="AG5464">
        <v>-1.1124127571794</v>
      </c>
      <c r="AH5464">
        <v>7.6388954175628898</v>
      </c>
      <c r="AI5464">
        <v>98.245393061187002</v>
      </c>
      <c r="AJ5464">
        <v>95.675317573561003</v>
      </c>
      <c r="AK5464">
        <v>7.7567053875537102</v>
      </c>
      <c r="AL5464">
        <v>64.968840372168998</v>
      </c>
      <c r="AM5464">
        <v>101.986755436474</v>
      </c>
      <c r="AN5464">
        <v>1.00000003799482</v>
      </c>
    </row>
    <row r="5465" spans="1:40" x14ac:dyDescent="0.25">
      <c r="A5465" t="str">
        <f>"20190304164754573"</f>
        <v>20190304164754573</v>
      </c>
      <c r="B5465" t="str">
        <f>"1551689274564496"</f>
        <v>1551689274564496</v>
      </c>
      <c r="C5465" t="s">
        <v>40</v>
      </c>
      <c r="D5465">
        <v>4.4746360000000003</v>
      </c>
      <c r="E5465">
        <v>0.5553749</v>
      </c>
      <c r="F5465" t="s">
        <v>61</v>
      </c>
      <c r="G5465">
        <v>-222.87979999999999</v>
      </c>
      <c r="H5465" s="1">
        <v>-7.1000529999999898E-7</v>
      </c>
      <c r="I5465">
        <v>-61.987119999999997</v>
      </c>
      <c r="J5465">
        <v>-230.63300000000001</v>
      </c>
      <c r="K5465">
        <v>1.112412</v>
      </c>
      <c r="L5465">
        <v>-62.776000000000003</v>
      </c>
      <c r="M5465">
        <v>0.99989380000000005</v>
      </c>
      <c r="N5465">
        <v>-1.428054E-2</v>
      </c>
      <c r="O5465">
        <v>2.9178519999999999E-3</v>
      </c>
      <c r="P5465">
        <v>0.89178880000000005</v>
      </c>
      <c r="Q5465">
        <v>0.41084209999999899</v>
      </c>
      <c r="R5465">
        <v>0.1895298</v>
      </c>
      <c r="S5465">
        <v>3.5173800000000002</v>
      </c>
      <c r="T5465">
        <v>-0.49515579999999998</v>
      </c>
      <c r="U5465">
        <v>0.35159299999999999</v>
      </c>
      <c r="V5465">
        <v>-0.18811929999999999</v>
      </c>
      <c r="W5465">
        <v>0.42301519999999998</v>
      </c>
      <c r="X5465">
        <v>0.8863799</v>
      </c>
      <c r="Y5465">
        <v>-9.5552849999999995E-2</v>
      </c>
      <c r="Z5465">
        <v>6.9976159999999999E-3</v>
      </c>
      <c r="AA5465">
        <v>0.99539979999999995</v>
      </c>
      <c r="AB5465">
        <v>30</v>
      </c>
      <c r="AC5465">
        <v>7.7531999999999899</v>
      </c>
      <c r="AD5465">
        <v>-1.1124127100053001</v>
      </c>
      <c r="AE5465">
        <v>0.78888000000000502</v>
      </c>
      <c r="AF5465">
        <v>-0.75095104439587601</v>
      </c>
      <c r="AG5465">
        <v>-1.1124127100053001</v>
      </c>
      <c r="AH5465">
        <v>7.6006069684986199</v>
      </c>
      <c r="AI5465">
        <v>98.286816409358096</v>
      </c>
      <c r="AJ5465">
        <v>95.642593573625703</v>
      </c>
      <c r="AK5465">
        <v>7.7182002952793596</v>
      </c>
      <c r="AL5465">
        <v>64.974904207061996</v>
      </c>
      <c r="AM5465">
        <v>101.982276009552</v>
      </c>
      <c r="AN5465">
        <v>1.00000002879376</v>
      </c>
    </row>
    <row r="5466" spans="1:40" x14ac:dyDescent="0.25">
      <c r="A5466" t="str">
        <f>"20190304164754584"</f>
        <v>20190304164754584</v>
      </c>
      <c r="B5466" t="str">
        <f>"1551689274575232"</f>
        <v>1551689274575232</v>
      </c>
      <c r="C5466" t="s">
        <v>40</v>
      </c>
      <c r="D5466">
        <v>4.7491029999999999</v>
      </c>
      <c r="E5466">
        <v>0.5556856</v>
      </c>
      <c r="F5466" t="s">
        <v>61</v>
      </c>
      <c r="G5466">
        <v>-222.75749999999999</v>
      </c>
      <c r="H5466" s="1">
        <v>-6.5765489999999995E-7</v>
      </c>
      <c r="I5466">
        <v>-61.987630000000003</v>
      </c>
      <c r="J5466">
        <v>-230.48509999999999</v>
      </c>
      <c r="K5466">
        <v>1.1124179999999999</v>
      </c>
      <c r="L5466">
        <v>-62.774810000000002</v>
      </c>
      <c r="M5466">
        <v>0.99989159999999999</v>
      </c>
      <c r="N5466">
        <v>-1.4279099999999999E-2</v>
      </c>
      <c r="O5466">
        <v>3.632433E-3</v>
      </c>
      <c r="P5466">
        <v>0.89174909999999996</v>
      </c>
      <c r="Q5466">
        <v>0.41057680000000002</v>
      </c>
      <c r="R5466">
        <v>0.19029019999999999</v>
      </c>
      <c r="S5466">
        <v>3.518097</v>
      </c>
      <c r="T5466">
        <v>-0.4969268</v>
      </c>
      <c r="U5466">
        <v>0.35217290000000001</v>
      </c>
      <c r="V5466">
        <v>-0.18824179999999999</v>
      </c>
      <c r="W5466">
        <v>0.42274899999999999</v>
      </c>
      <c r="X5466">
        <v>0.88648090000000002</v>
      </c>
      <c r="Y5466">
        <v>-9.4989260000000006E-2</v>
      </c>
      <c r="Z5466">
        <v>6.8848449999999997E-3</v>
      </c>
      <c r="AA5466">
        <v>0.99545450000000002</v>
      </c>
      <c r="AB5466">
        <v>30</v>
      </c>
      <c r="AC5466">
        <v>7.72759999999999</v>
      </c>
      <c r="AD5466">
        <v>-1.1124186576549</v>
      </c>
      <c r="AE5466">
        <v>0.787179999999992</v>
      </c>
      <c r="AF5466">
        <v>-0.74384574270350101</v>
      </c>
      <c r="AG5466">
        <v>-1.1124186576549</v>
      </c>
      <c r="AH5466">
        <v>7.5750451170795801</v>
      </c>
      <c r="AI5466">
        <v>98.314917207380205</v>
      </c>
      <c r="AJ5466">
        <v>95.608286296708002</v>
      </c>
      <c r="AK5466">
        <v>7.6923397145880203</v>
      </c>
      <c r="AL5466">
        <v>64.991735640118407</v>
      </c>
      <c r="AM5466">
        <v>101.988526403984</v>
      </c>
      <c r="AN5466">
        <v>1.00000003916652</v>
      </c>
    </row>
    <row r="5467" spans="1:40" x14ac:dyDescent="0.25">
      <c r="A5467" t="str">
        <f>"20190304164754597"</f>
        <v>20190304164754597</v>
      </c>
      <c r="B5467" t="str">
        <f>"1551689274584993"</f>
        <v>1551689274584993</v>
      </c>
      <c r="C5467" t="s">
        <v>40</v>
      </c>
      <c r="D5467">
        <v>4.4845930000000003</v>
      </c>
      <c r="E5467">
        <v>0.55597039999999998</v>
      </c>
      <c r="F5467" t="s">
        <v>61</v>
      </c>
      <c r="G5467">
        <v>-222.61789999999999</v>
      </c>
      <c r="H5467" s="1">
        <v>-5.9765310000000003E-7</v>
      </c>
      <c r="I5467">
        <v>-61.986989999999999</v>
      </c>
      <c r="J5467">
        <v>-230.32550000000001</v>
      </c>
      <c r="K5467">
        <v>1.112419</v>
      </c>
      <c r="L5467">
        <v>-62.773470000000003</v>
      </c>
      <c r="M5467">
        <v>0.99988840000000001</v>
      </c>
      <c r="N5467">
        <v>-1.427756E-2</v>
      </c>
      <c r="O5467">
        <v>4.4045309999999997E-3</v>
      </c>
      <c r="P5467">
        <v>0.89162849999999905</v>
      </c>
      <c r="Q5467">
        <v>0.4105472</v>
      </c>
      <c r="R5467">
        <v>0.19091720000000001</v>
      </c>
      <c r="S5467">
        <v>3.5180210000000001</v>
      </c>
      <c r="T5467">
        <v>-0.49744830000000001</v>
      </c>
      <c r="U5467">
        <v>0.35229490000000002</v>
      </c>
      <c r="V5467">
        <v>-0.18818099999999999</v>
      </c>
      <c r="W5467">
        <v>0.42271880000000001</v>
      </c>
      <c r="X5467">
        <v>0.88650819999999997</v>
      </c>
      <c r="Y5467">
        <v>-9.4268930000000001E-2</v>
      </c>
      <c r="Z5467">
        <v>6.7381460000000004E-3</v>
      </c>
      <c r="AA5467">
        <v>0.99552399999999996</v>
      </c>
      <c r="AB5467">
        <v>30</v>
      </c>
      <c r="AC5467">
        <v>7.70760000000001</v>
      </c>
      <c r="AD5467">
        <v>-1.1124195976530999</v>
      </c>
      <c r="AE5467">
        <v>0.78647999999998996</v>
      </c>
      <c r="AF5467">
        <v>-0.73732009584976899</v>
      </c>
      <c r="AG5467">
        <v>-1.1124195976530999</v>
      </c>
      <c r="AH5467">
        <v>7.55523241424787</v>
      </c>
      <c r="AI5467">
        <v>98.3369061505378</v>
      </c>
      <c r="AJ5467">
        <v>95.573882389082797</v>
      </c>
      <c r="AK5467">
        <v>7.6722001484768603</v>
      </c>
      <c r="AL5467">
        <v>64.993644736781505</v>
      </c>
      <c r="AM5467">
        <v>101.984407824652</v>
      </c>
      <c r="AN5467">
        <v>1.0000000306508301</v>
      </c>
    </row>
    <row r="5468" spans="1:40" x14ac:dyDescent="0.25">
      <c r="A5468" t="str">
        <f>"20190304164754608"</f>
        <v>20190304164754608</v>
      </c>
      <c r="B5468" t="str">
        <f>"1551689274604512"</f>
        <v>1551689274604512</v>
      </c>
      <c r="C5468" t="s">
        <v>40</v>
      </c>
      <c r="D5468">
        <v>4.4813229999999997</v>
      </c>
      <c r="E5468">
        <v>0.55628619999999995</v>
      </c>
      <c r="F5468" t="s">
        <v>61</v>
      </c>
      <c r="G5468">
        <v>-222.45830000000001</v>
      </c>
      <c r="H5468" s="1">
        <v>-5.2840990000000001E-7</v>
      </c>
      <c r="I5468">
        <v>-61.983539999999998</v>
      </c>
      <c r="J5468">
        <v>-230.1703</v>
      </c>
      <c r="K5468">
        <v>1.112419</v>
      </c>
      <c r="L5468">
        <v>-62.771999999999998</v>
      </c>
      <c r="M5468">
        <v>0.99988480000000002</v>
      </c>
      <c r="N5468">
        <v>-1.427608E-2</v>
      </c>
      <c r="O5468">
        <v>5.1566019999999997E-3</v>
      </c>
      <c r="P5468">
        <v>0.89142410000000005</v>
      </c>
      <c r="Q5468">
        <v>0.41071960000000002</v>
      </c>
      <c r="R5468">
        <v>0.19150059999999999</v>
      </c>
      <c r="S5468">
        <v>3.5180509999999998</v>
      </c>
      <c r="T5468">
        <v>-0.49745420000000001</v>
      </c>
      <c r="U5468">
        <v>0.35324100000000003</v>
      </c>
      <c r="V5468">
        <v>-0.18809519999999999</v>
      </c>
      <c r="W5468">
        <v>0.4228885</v>
      </c>
      <c r="X5468">
        <v>0.88644539999999905</v>
      </c>
      <c r="Y5468">
        <v>-9.3795550000000005E-2</v>
      </c>
      <c r="Z5468">
        <v>6.606514E-3</v>
      </c>
      <c r="AA5468">
        <v>0.99556960000000005</v>
      </c>
      <c r="AB5468">
        <v>30</v>
      </c>
      <c r="AC5468">
        <v>7.7119999999999802</v>
      </c>
      <c r="AD5468">
        <v>-1.1124195284098899</v>
      </c>
      <c r="AE5468">
        <v>0.78845999999999306</v>
      </c>
      <c r="AF5468">
        <v>-0.73357241795151096</v>
      </c>
      <c r="AG5468">
        <v>-1.1124195284098899</v>
      </c>
      <c r="AH5468">
        <v>7.56028627632565</v>
      </c>
      <c r="AI5468">
        <v>98.331855073894999</v>
      </c>
      <c r="AJ5468">
        <v>95.542044223200506</v>
      </c>
      <c r="AK5468">
        <v>7.6768179787959596</v>
      </c>
      <c r="AL5468">
        <v>64.982913776293501</v>
      </c>
      <c r="AM5468">
        <v>101.97992562734299</v>
      </c>
      <c r="AN5468">
        <v>0.99999996743822395</v>
      </c>
    </row>
    <row r="5469" spans="1:40" x14ac:dyDescent="0.25">
      <c r="A5469" t="str">
        <f>"20190304164754621"</f>
        <v>20190304164754621</v>
      </c>
      <c r="B5469" t="str">
        <f>"1551689274614272"</f>
        <v>1551689274614272</v>
      </c>
      <c r="C5469" t="s">
        <v>40</v>
      </c>
      <c r="D5469">
        <v>4.4931530000000004</v>
      </c>
      <c r="E5469">
        <v>0.55642440000000004</v>
      </c>
      <c r="F5469" t="s">
        <v>61</v>
      </c>
      <c r="G5469">
        <v>-222.3485</v>
      </c>
      <c r="H5469" s="1">
        <v>-4.8189759999999997E-7</v>
      </c>
      <c r="I5469">
        <v>-61.986150000000002</v>
      </c>
      <c r="J5469">
        <v>-230.00839999999999</v>
      </c>
      <c r="K5469">
        <v>1.1124160000000001</v>
      </c>
      <c r="L5469">
        <v>-62.770359999999997</v>
      </c>
      <c r="M5469">
        <v>0.99988060000000001</v>
      </c>
      <c r="N5469">
        <v>-1.4274530000000001E-2</v>
      </c>
      <c r="O5469">
        <v>5.9421680000000003E-3</v>
      </c>
      <c r="P5469">
        <v>0.89129499999999995</v>
      </c>
      <c r="Q5469">
        <v>0.41057389999999999</v>
      </c>
      <c r="R5469">
        <v>0.19241249999999999</v>
      </c>
      <c r="S5469">
        <v>3.5200960000000001</v>
      </c>
      <c r="T5469">
        <v>-0.50063480000000005</v>
      </c>
      <c r="U5469">
        <v>0.35366819999999999</v>
      </c>
      <c r="V5469">
        <v>-0.18830649999999999</v>
      </c>
      <c r="W5469">
        <v>0.42274080000000003</v>
      </c>
      <c r="X5469">
        <v>0.88647099999999901</v>
      </c>
      <c r="Y5469">
        <v>-9.3079049999999997E-2</v>
      </c>
      <c r="Z5469">
        <v>6.4846869999999899E-3</v>
      </c>
      <c r="AA5469">
        <v>0.99563760000000001</v>
      </c>
      <c r="AB5469">
        <v>30</v>
      </c>
      <c r="AC5469">
        <v>7.6598999999999897</v>
      </c>
      <c r="AD5469">
        <v>-1.1124164818975999</v>
      </c>
      <c r="AE5469">
        <v>0.78420999999999397</v>
      </c>
      <c r="AF5469">
        <v>-0.72357282640960696</v>
      </c>
      <c r="AG5469">
        <v>-1.1124164818975999</v>
      </c>
      <c r="AH5469">
        <v>7.5077252327878101</v>
      </c>
      <c r="AI5469">
        <v>98.389852906515699</v>
      </c>
      <c r="AJ5469">
        <v>95.504998918339396</v>
      </c>
      <c r="AK5469">
        <v>7.6241042906924203</v>
      </c>
      <c r="AL5469">
        <v>64.992252430949605</v>
      </c>
      <c r="AM5469">
        <v>101.992657717965</v>
      </c>
      <c r="AN5469">
        <v>0.99999997788394401</v>
      </c>
    </row>
    <row r="5470" spans="1:40" x14ac:dyDescent="0.25">
      <c r="A5470" t="str">
        <f>"20190304164754634"</f>
        <v>20190304164754634</v>
      </c>
      <c r="B5470" t="str">
        <f>"1551689274625008"</f>
        <v>1551689274625008</v>
      </c>
      <c r="C5470" t="s">
        <v>40</v>
      </c>
      <c r="D5470">
        <v>4.7373120000000002</v>
      </c>
      <c r="E5470">
        <v>0.55630900000000005</v>
      </c>
      <c r="F5470" t="s">
        <v>61</v>
      </c>
      <c r="G5470">
        <v>-222.2131</v>
      </c>
      <c r="H5470" s="1">
        <v>-4.2274700000000002E-7</v>
      </c>
      <c r="I5470">
        <v>-61.981409999999997</v>
      </c>
      <c r="J5470">
        <v>-229.82169999999999</v>
      </c>
      <c r="K5470">
        <v>1.1124149999999999</v>
      </c>
      <c r="L5470">
        <v>-62.768340000000002</v>
      </c>
      <c r="M5470">
        <v>0.99987479999999995</v>
      </c>
      <c r="N5470">
        <v>-1.4272740000000001E-2</v>
      </c>
      <c r="O5470">
        <v>6.8489040000000003E-3</v>
      </c>
      <c r="P5470">
        <v>0.89115789999999995</v>
      </c>
      <c r="Q5470">
        <v>0.41053430000000002</v>
      </c>
      <c r="R5470">
        <v>0.19313069999999999</v>
      </c>
      <c r="S5470">
        <v>3.5203700000000002</v>
      </c>
      <c r="T5470">
        <v>-0.5023725</v>
      </c>
      <c r="U5470">
        <v>0.35629270000000002</v>
      </c>
      <c r="V5470">
        <v>-0.1882161</v>
      </c>
      <c r="W5470">
        <v>0.42270059999999898</v>
      </c>
      <c r="X5470">
        <v>0.8865094</v>
      </c>
      <c r="Y5470">
        <v>-9.2906450000000002E-2</v>
      </c>
      <c r="Z5470">
        <v>6.3746669999999997E-3</v>
      </c>
      <c r="AA5470">
        <v>0.9956545</v>
      </c>
      <c r="AB5470">
        <v>30</v>
      </c>
      <c r="AC5470">
        <v>7.6085999999999903</v>
      </c>
      <c r="AD5470">
        <v>-1.112415422747</v>
      </c>
      <c r="AE5470">
        <v>0.78693000000000501</v>
      </c>
      <c r="AF5470">
        <v>-0.71957685599266996</v>
      </c>
      <c r="AG5470">
        <v>-1.112415422747</v>
      </c>
      <c r="AH5470">
        <v>7.4561172779554097</v>
      </c>
      <c r="AI5470">
        <v>98.446976511968401</v>
      </c>
      <c r="AJ5470">
        <v>95.512443898191094</v>
      </c>
      <c r="AK5470">
        <v>7.5729085421039501</v>
      </c>
      <c r="AL5470">
        <v>64.994794740482504</v>
      </c>
      <c r="AM5470">
        <v>101.986562782074</v>
      </c>
      <c r="AN5470">
        <v>1.0000000069139601</v>
      </c>
    </row>
    <row r="5471" spans="1:40" x14ac:dyDescent="0.25">
      <c r="A5471" t="str">
        <f>"20190304164754645"</f>
        <v>20190304164754645</v>
      </c>
      <c r="B5471" t="str">
        <f>"1551689274634768"</f>
        <v>1551689274634768</v>
      </c>
      <c r="C5471" t="s">
        <v>40</v>
      </c>
      <c r="D5471">
        <v>4.6639730000000004</v>
      </c>
      <c r="E5471">
        <v>0.55630900000000005</v>
      </c>
      <c r="F5471" t="s">
        <v>61</v>
      </c>
      <c r="G5471">
        <v>-222.0384</v>
      </c>
      <c r="H5471" s="1">
        <v>-3.4554060000000002E-7</v>
      </c>
      <c r="I5471">
        <v>-61.971350000000001</v>
      </c>
      <c r="J5471">
        <v>-229.67160000000001</v>
      </c>
      <c r="K5471">
        <v>1.112417</v>
      </c>
      <c r="L5471">
        <v>-62.766539999999999</v>
      </c>
      <c r="M5471">
        <v>0.99986949999999997</v>
      </c>
      <c r="N5471">
        <v>-1.4271310000000001E-2</v>
      </c>
      <c r="O5471">
        <v>7.579751E-3</v>
      </c>
      <c r="P5471">
        <v>0.89098659999999996</v>
      </c>
      <c r="Q5471">
        <v>0.41046840000000001</v>
      </c>
      <c r="R5471">
        <v>0.1940588</v>
      </c>
      <c r="S5471">
        <v>3.5200650000000002</v>
      </c>
      <c r="T5471">
        <v>-0.50309599999999999</v>
      </c>
      <c r="U5471">
        <v>0.36044310000000002</v>
      </c>
      <c r="V5471">
        <v>-0.18849369999999999</v>
      </c>
      <c r="W5471">
        <v>0.42263230000000002</v>
      </c>
      <c r="X5471">
        <v>0.88648300000000002</v>
      </c>
      <c r="Y5471">
        <v>-9.3347700000000006E-2</v>
      </c>
      <c r="Z5471">
        <v>6.3239680000000001E-3</v>
      </c>
      <c r="AA5471">
        <v>0.99561350000000004</v>
      </c>
      <c r="AB5471">
        <v>30</v>
      </c>
      <c r="AC5471">
        <v>7.6332000000000102</v>
      </c>
      <c r="AD5471">
        <v>-1.1124173455405999</v>
      </c>
      <c r="AE5471">
        <v>0.79518999999999795</v>
      </c>
      <c r="AF5471">
        <v>-0.72213123751744202</v>
      </c>
      <c r="AG5471">
        <v>-1.1124173455405999</v>
      </c>
      <c r="AH5471">
        <v>7.4818127114458699</v>
      </c>
      <c r="AI5471">
        <v>98.418389183832005</v>
      </c>
      <c r="AJ5471">
        <v>95.513009610642101</v>
      </c>
      <c r="AK5471">
        <v>7.5984516399073803</v>
      </c>
      <c r="AL5471">
        <v>64.999113117778705</v>
      </c>
      <c r="AM5471">
        <v>102.00407644692</v>
      </c>
      <c r="AN5471">
        <v>1.00000002261598</v>
      </c>
    </row>
    <row r="5472" spans="1:40" x14ac:dyDescent="0.25">
      <c r="A5472" t="str">
        <f>"20190304164754656"</f>
        <v>20190304164754656</v>
      </c>
      <c r="B5472" t="str">
        <f>"1551689274644528"</f>
        <v>1551689274644528</v>
      </c>
      <c r="C5472" t="s">
        <v>40</v>
      </c>
      <c r="D5472">
        <v>4.4283839999999897</v>
      </c>
      <c r="E5472">
        <v>0.53054869999999898</v>
      </c>
      <c r="F5472" t="s">
        <v>61</v>
      </c>
      <c r="G5472">
        <v>-221.89340000000001</v>
      </c>
      <c r="H5472" s="1">
        <v>-2.8121190000000002E-7</v>
      </c>
      <c r="I5472">
        <v>-61.961689999999997</v>
      </c>
      <c r="J5472">
        <v>-229.53720000000001</v>
      </c>
      <c r="K5472">
        <v>1.112422</v>
      </c>
      <c r="L5472">
        <v>-62.764890000000001</v>
      </c>
      <c r="M5472">
        <v>0.99986430000000004</v>
      </c>
      <c r="N5472">
        <v>-1.427002E-2</v>
      </c>
      <c r="O5472">
        <v>8.2342479999999996E-3</v>
      </c>
      <c r="P5472">
        <v>0.89082380000000005</v>
      </c>
      <c r="Q5472">
        <v>0.41046369999999999</v>
      </c>
      <c r="R5472">
        <v>0.1948144</v>
      </c>
      <c r="S5472">
        <v>3.5196230000000002</v>
      </c>
      <c r="T5472">
        <v>-0.50336789999999998</v>
      </c>
      <c r="U5472">
        <v>0.36419679999999999</v>
      </c>
      <c r="V5472">
        <v>-0.18866640000000001</v>
      </c>
      <c r="W5472">
        <v>0.42262499999999997</v>
      </c>
      <c r="X5472">
        <v>0.88644969999999901</v>
      </c>
      <c r="Y5472">
        <v>-9.3759110000000007E-2</v>
      </c>
      <c r="Z5472">
        <v>6.2758529999999996E-3</v>
      </c>
      <c r="AA5472">
        <v>0.99557510000000005</v>
      </c>
      <c r="AB5472">
        <v>30</v>
      </c>
      <c r="AC5472">
        <v>7.6437999999999899</v>
      </c>
      <c r="AD5472">
        <v>-1.1124222812119</v>
      </c>
      <c r="AE5472">
        <v>0.80319999999999603</v>
      </c>
      <c r="AF5472">
        <v>-0.72503701563239498</v>
      </c>
      <c r="AG5472">
        <v>-1.1124222812119</v>
      </c>
      <c r="AH5472">
        <v>7.4931846805821998</v>
      </c>
      <c r="AI5472">
        <v>98.405641088269604</v>
      </c>
      <c r="AJ5472">
        <v>95.526707693439505</v>
      </c>
      <c r="AK5472">
        <v>7.6099263244190203</v>
      </c>
      <c r="AL5472">
        <v>64.999573636463396</v>
      </c>
      <c r="AM5472">
        <v>102.015193485455</v>
      </c>
      <c r="AN5472">
        <v>0.99999998587202399</v>
      </c>
    </row>
    <row r="5473" spans="1:40" x14ac:dyDescent="0.25">
      <c r="A5473" t="str">
        <f>"20190304164754666"</f>
        <v>20190304164754666</v>
      </c>
      <c r="B5473" t="str">
        <f>"1551689274655264"</f>
        <v>1551689274655264</v>
      </c>
      <c r="C5473" t="s">
        <v>40</v>
      </c>
      <c r="D5473">
        <v>4.3321730000000001</v>
      </c>
      <c r="E5473">
        <v>0.53054869999999898</v>
      </c>
      <c r="F5473" t="s">
        <v>61</v>
      </c>
      <c r="G5473">
        <v>-221.2347</v>
      </c>
      <c r="H5473" s="1">
        <v>1.2309309999999999E-7</v>
      </c>
      <c r="I5473">
        <v>-61.414259999999999</v>
      </c>
      <c r="J5473">
        <v>-229.392</v>
      </c>
      <c r="K5473">
        <v>1.1124229999999999</v>
      </c>
      <c r="L5473">
        <v>-62.762970000000003</v>
      </c>
      <c r="M5473">
        <v>0.99985829999999998</v>
      </c>
      <c r="N5473">
        <v>-1.4268599999999999E-2</v>
      </c>
      <c r="O5473">
        <v>8.9429239999999997E-3</v>
      </c>
      <c r="P5473">
        <v>0.89059480000000002</v>
      </c>
      <c r="Q5473">
        <v>0.41051149999999997</v>
      </c>
      <c r="R5473">
        <v>0.1957583</v>
      </c>
      <c r="S5473">
        <v>3.4581300000000001</v>
      </c>
      <c r="T5473">
        <v>-0.4633449</v>
      </c>
      <c r="U5473">
        <v>0.56256099999999998</v>
      </c>
      <c r="V5473">
        <v>-0.18898000000000001</v>
      </c>
      <c r="W5473">
        <v>0.42266949999999998</v>
      </c>
      <c r="X5473">
        <v>0.88636170000000003</v>
      </c>
      <c r="Y5473">
        <v>-0.150342899999999</v>
      </c>
      <c r="Z5473">
        <v>9.9887080000000007E-3</v>
      </c>
      <c r="AA5473">
        <v>0.9885834</v>
      </c>
      <c r="AB5473">
        <v>30</v>
      </c>
      <c r="AC5473">
        <v>8.1572999999999904</v>
      </c>
      <c r="AD5473">
        <v>-1.1124228769069</v>
      </c>
      <c r="AE5473">
        <v>1.3487099999999901</v>
      </c>
      <c r="AF5473">
        <v>-1.2530160265110299</v>
      </c>
      <c r="AG5473">
        <v>-1.1124228769069</v>
      </c>
      <c r="AH5473">
        <v>8.0237872204643494</v>
      </c>
      <c r="AI5473">
        <v>97.799857687421394</v>
      </c>
      <c r="AJ5473">
        <v>98.875774627744406</v>
      </c>
      <c r="AK5473">
        <v>8.1968710602916204</v>
      </c>
      <c r="AL5473">
        <v>64.996760862711298</v>
      </c>
      <c r="AM5473">
        <v>102.03574325705701</v>
      </c>
      <c r="AN5473">
        <v>1.00000000492857</v>
      </c>
    </row>
    <row r="5474" spans="1:40" x14ac:dyDescent="0.25">
      <c r="A5474" t="str">
        <f>"20190304164754676"</f>
        <v>20190304164754676</v>
      </c>
      <c r="B5474" t="str">
        <f>"1551689274665024"</f>
        <v>1551689274665024</v>
      </c>
      <c r="C5474" t="s">
        <v>40</v>
      </c>
      <c r="D5474">
        <v>4.3746070000000001</v>
      </c>
      <c r="E5474">
        <v>0.52901589999999998</v>
      </c>
      <c r="F5474" t="s">
        <v>61</v>
      </c>
      <c r="G5474">
        <v>-221.0882</v>
      </c>
      <c r="H5474" s="1">
        <v>1.8853300000000001E-7</v>
      </c>
      <c r="I5474">
        <v>-61.40258</v>
      </c>
      <c r="J5474">
        <v>-229.26589999999999</v>
      </c>
      <c r="K5474">
        <v>1.112422</v>
      </c>
      <c r="L5474">
        <v>-62.761229999999998</v>
      </c>
      <c r="M5474">
        <v>0.99985250000000003</v>
      </c>
      <c r="N5474">
        <v>-1.426737E-2</v>
      </c>
      <c r="O5474">
        <v>9.5597540000000002E-3</v>
      </c>
      <c r="P5474">
        <v>0.89039919999999995</v>
      </c>
      <c r="Q5474">
        <v>0.41067150000000002</v>
      </c>
      <c r="R5474">
        <v>0.19631129999999999</v>
      </c>
      <c r="S5474">
        <v>3.4575200000000001</v>
      </c>
      <c r="T5474">
        <v>-0.4631884</v>
      </c>
      <c r="U5474">
        <v>0.56643679999999996</v>
      </c>
      <c r="V5474">
        <v>-0.18898529999999999</v>
      </c>
      <c r="W5474">
        <v>0.42282720000000001</v>
      </c>
      <c r="X5474">
        <v>0.886285399999999</v>
      </c>
      <c r="Y5474">
        <v>-0.15084040000000001</v>
      </c>
      <c r="Z5474">
        <v>9.9500519999999992E-3</v>
      </c>
      <c r="AA5474">
        <v>0.98850800000000005</v>
      </c>
      <c r="AB5474">
        <v>30</v>
      </c>
      <c r="AC5474">
        <v>8.1776999999999802</v>
      </c>
      <c r="AD5474">
        <v>-1.1124218114669999</v>
      </c>
      <c r="AE5474">
        <v>1.3586499999999899</v>
      </c>
      <c r="AF5474">
        <v>-1.2577542412040399</v>
      </c>
      <c r="AG5474">
        <v>-1.1124218114669999</v>
      </c>
      <c r="AH5474">
        <v>8.04543837495922</v>
      </c>
      <c r="AI5474">
        <v>97.778919716423403</v>
      </c>
      <c r="AJ5474">
        <v>98.885209014455</v>
      </c>
      <c r="AK5474">
        <v>8.2187898539359594</v>
      </c>
      <c r="AL5474">
        <v>64.986791712220594</v>
      </c>
      <c r="AM5474">
        <v>102.037076921585</v>
      </c>
      <c r="AN5474">
        <v>1.0000000474645401</v>
      </c>
    </row>
    <row r="5475" spans="1:40" x14ac:dyDescent="0.25">
      <c r="A5475" t="str">
        <f>"20190304164754687"</f>
        <v>20190304164754687</v>
      </c>
      <c r="B5475" t="str">
        <f>"1551689274684544"</f>
        <v>1551689274684544</v>
      </c>
      <c r="C5475" t="s">
        <v>40</v>
      </c>
      <c r="D5475">
        <v>4.4555540000000002</v>
      </c>
      <c r="E5475">
        <v>0.52766359999999901</v>
      </c>
      <c r="F5475" t="s">
        <v>61</v>
      </c>
      <c r="G5475">
        <v>-220.72399999999999</v>
      </c>
      <c r="H5475" s="1">
        <v>3.6110280000000002E-7</v>
      </c>
      <c r="I5475">
        <v>-61.329189999999997</v>
      </c>
      <c r="J5475">
        <v>-229.11770000000001</v>
      </c>
      <c r="K5475">
        <v>1.1124229999999999</v>
      </c>
      <c r="L5475">
        <v>-62.759059999999998</v>
      </c>
      <c r="M5475">
        <v>0.9998454</v>
      </c>
      <c r="N5475">
        <v>-1.426592E-2</v>
      </c>
      <c r="O5475">
        <v>1.028596E-2</v>
      </c>
      <c r="P5475">
        <v>0.89010919999999905</v>
      </c>
      <c r="Q5475">
        <v>0.4109681</v>
      </c>
      <c r="R5475">
        <v>0.19700599999999999</v>
      </c>
      <c r="S5475">
        <v>3.4489589999999901</v>
      </c>
      <c r="T5475">
        <v>-0.4491639</v>
      </c>
      <c r="U5475">
        <v>0.57821659999999997</v>
      </c>
      <c r="V5475">
        <v>-0.1890367</v>
      </c>
      <c r="W5475">
        <v>0.42311969999999999</v>
      </c>
      <c r="X5475">
        <v>0.8861348</v>
      </c>
      <c r="Y5475">
        <v>-0.15384900000000001</v>
      </c>
      <c r="Z5475">
        <v>9.8384030000000008E-3</v>
      </c>
      <c r="AA5475">
        <v>0.98804539999999996</v>
      </c>
      <c r="AB5475">
        <v>30</v>
      </c>
      <c r="AC5475">
        <v>8.3936999999999902</v>
      </c>
      <c r="AD5475">
        <v>-1.1124226388971901</v>
      </c>
      <c r="AE5475">
        <v>1.42986999999999</v>
      </c>
      <c r="AF5475">
        <v>-1.3209017654712201</v>
      </c>
      <c r="AG5475">
        <v>-1.1124226388971901</v>
      </c>
      <c r="AH5475">
        <v>8.26685757563253</v>
      </c>
      <c r="AI5475">
        <v>97.569042963120296</v>
      </c>
      <c r="AJ5475">
        <v>99.078143273331605</v>
      </c>
      <c r="AK5475">
        <v>8.4453063755762496</v>
      </c>
      <c r="AL5475">
        <v>64.968296045535297</v>
      </c>
      <c r="AM5475">
        <v>102.04224176467901</v>
      </c>
      <c r="AN5475">
        <v>1.0000000191230001</v>
      </c>
    </row>
    <row r="5476" spans="1:40" x14ac:dyDescent="0.25">
      <c r="A5476" t="str">
        <f>"20190304164754699"</f>
        <v>20190304164754699</v>
      </c>
      <c r="B5476" t="str">
        <f>"1551689274695280"</f>
        <v>1551689274695280</v>
      </c>
      <c r="C5476" t="s">
        <v>40</v>
      </c>
      <c r="D5476">
        <v>4.3506049999999998</v>
      </c>
      <c r="E5476">
        <v>0.52777649999999998</v>
      </c>
      <c r="F5476" t="s">
        <v>61</v>
      </c>
      <c r="G5476">
        <v>-220.40010000000001</v>
      </c>
      <c r="H5476" s="1">
        <v>5.1464009999999905E-7</v>
      </c>
      <c r="I5476">
        <v>-61.263669999999998</v>
      </c>
      <c r="J5476">
        <v>-228.9778</v>
      </c>
      <c r="K5476">
        <v>1.1124240000000001</v>
      </c>
      <c r="L5476">
        <v>-62.756929999999997</v>
      </c>
      <c r="M5476">
        <v>0.99983809999999995</v>
      </c>
      <c r="N5476">
        <v>-1.4264570000000001E-2</v>
      </c>
      <c r="O5476">
        <v>1.097295E-2</v>
      </c>
      <c r="P5476">
        <v>0.88999130000000004</v>
      </c>
      <c r="Q5476">
        <v>0.41086270000000003</v>
      </c>
      <c r="R5476">
        <v>0.1977564</v>
      </c>
      <c r="S5476">
        <v>3.4425050000000001</v>
      </c>
      <c r="T5476">
        <v>-0.43928420000000001</v>
      </c>
      <c r="U5476">
        <v>0.59051509999999996</v>
      </c>
      <c r="V5476">
        <v>-0.1891756</v>
      </c>
      <c r="W5476">
        <v>0.42301260000000002</v>
      </c>
      <c r="X5476">
        <v>0.88615630000000001</v>
      </c>
      <c r="Y5476">
        <v>-0.15693080000000001</v>
      </c>
      <c r="Z5476">
        <v>9.8037939999999994E-3</v>
      </c>
      <c r="AA5476">
        <v>0.98756089999999996</v>
      </c>
      <c r="AB5476">
        <v>30</v>
      </c>
      <c r="AC5476">
        <v>8.5776999999999894</v>
      </c>
      <c r="AD5476">
        <v>-1.11242348535989</v>
      </c>
      <c r="AE5476">
        <v>1.49326</v>
      </c>
      <c r="AF5476">
        <v>-1.3765664660067201</v>
      </c>
      <c r="AG5476">
        <v>-1.11242348535989</v>
      </c>
      <c r="AH5476">
        <v>8.4555405366338103</v>
      </c>
      <c r="AI5476">
        <v>97.398569828279804</v>
      </c>
      <c r="AJ5476">
        <v>99.246661453981304</v>
      </c>
      <c r="AK5476">
        <v>8.6387838850599792</v>
      </c>
      <c r="AL5476">
        <v>64.975068580738494</v>
      </c>
      <c r="AM5476">
        <v>102.05054774398801</v>
      </c>
      <c r="AN5476">
        <v>1.0000000277119001</v>
      </c>
    </row>
    <row r="5477" spans="1:40" x14ac:dyDescent="0.25">
      <c r="A5477" t="str">
        <f>"20190304164754710"</f>
        <v>20190304164754710</v>
      </c>
      <c r="B5477" t="str">
        <f>"1551689274705040"</f>
        <v>1551689274705040</v>
      </c>
      <c r="C5477" t="s">
        <v>40</v>
      </c>
      <c r="D5477">
        <v>4.3076970000000001</v>
      </c>
      <c r="E5477">
        <v>0.52781919999999904</v>
      </c>
      <c r="F5477" t="s">
        <v>61</v>
      </c>
      <c r="G5477">
        <v>-220.23159999999999</v>
      </c>
      <c r="H5477" s="1">
        <v>5.8961950000000005E-7</v>
      </c>
      <c r="I5477">
        <v>-61.251440000000002</v>
      </c>
      <c r="J5477">
        <v>-228.80799999999999</v>
      </c>
      <c r="K5477">
        <v>1.1124270000000001</v>
      </c>
      <c r="L5477">
        <v>-62.75421</v>
      </c>
      <c r="M5477">
        <v>0.99982850000000001</v>
      </c>
      <c r="N5477">
        <v>-1.426295E-2</v>
      </c>
      <c r="O5477">
        <v>1.180901E-2</v>
      </c>
      <c r="P5477">
        <v>0.88972819999999997</v>
      </c>
      <c r="Q5477">
        <v>0.41103109999999998</v>
      </c>
      <c r="R5477">
        <v>0.1985883</v>
      </c>
      <c r="S5477">
        <v>3.4412690000000001</v>
      </c>
      <c r="T5477">
        <v>-0.4376929</v>
      </c>
      <c r="U5477">
        <v>0.59234619999999905</v>
      </c>
      <c r="V5477">
        <v>-0.1892664</v>
      </c>
      <c r="W5477">
        <v>0.42317749999999998</v>
      </c>
      <c r="X5477">
        <v>0.88605820000000002</v>
      </c>
      <c r="Y5477">
        <v>-0.15669</v>
      </c>
      <c r="Z5477">
        <v>9.6655019999999994E-3</v>
      </c>
      <c r="AA5477">
        <v>0.98760049999999999</v>
      </c>
      <c r="AB5477">
        <v>30</v>
      </c>
      <c r="AC5477">
        <v>8.5763999999999996</v>
      </c>
      <c r="AD5477">
        <v>-1.1124264103804999</v>
      </c>
      <c r="AE5477">
        <v>1.5027699999999899</v>
      </c>
      <c r="AF5477">
        <v>-1.3788688575727801</v>
      </c>
      <c r="AG5477">
        <v>-1.1124264103804999</v>
      </c>
      <c r="AH5477">
        <v>8.4555305245685197</v>
      </c>
      <c r="AI5477">
        <v>97.398281293227996</v>
      </c>
      <c r="AJ5477">
        <v>99.261870041300995</v>
      </c>
      <c r="AK5477">
        <v>8.6391416412052298</v>
      </c>
      <c r="AL5477">
        <v>64.964641827687103</v>
      </c>
      <c r="AM5477">
        <v>102.05745828822199</v>
      </c>
      <c r="AN5477">
        <v>1.0000000502312201</v>
      </c>
    </row>
    <row r="5478" spans="1:40" x14ac:dyDescent="0.25">
      <c r="A5478" t="str">
        <f>"20190304164754722"</f>
        <v>20190304164754722</v>
      </c>
      <c r="B5478" t="str">
        <f>"1551689274714800"</f>
        <v>1551689274714800</v>
      </c>
      <c r="C5478" t="s">
        <v>40</v>
      </c>
      <c r="D5478">
        <v>4.3347360000000004</v>
      </c>
      <c r="E5478">
        <v>0.52797959999999899</v>
      </c>
      <c r="F5478" t="s">
        <v>61</v>
      </c>
      <c r="G5478">
        <v>-220.06309999999999</v>
      </c>
      <c r="H5478" s="1">
        <v>6.6404539999999996E-7</v>
      </c>
      <c r="I5478">
        <v>-61.24194</v>
      </c>
      <c r="J5478">
        <v>-228.65129999999999</v>
      </c>
      <c r="K5478">
        <v>1.1124289999999999</v>
      </c>
      <c r="L5478">
        <v>-62.751559999999998</v>
      </c>
      <c r="M5478">
        <v>0.99981929999999997</v>
      </c>
      <c r="N5478">
        <v>-1.4261350000000001E-2</v>
      </c>
      <c r="O5478">
        <v>1.2583449999999999E-2</v>
      </c>
      <c r="P5478">
        <v>0.8895904</v>
      </c>
      <c r="Q5478">
        <v>0.41096290000000002</v>
      </c>
      <c r="R5478">
        <v>0.1993453</v>
      </c>
      <c r="S5478">
        <v>3.4412229999999999</v>
      </c>
      <c r="T5478">
        <v>-0.43774940000000001</v>
      </c>
      <c r="U5478">
        <v>0.59509279999999998</v>
      </c>
      <c r="V5478">
        <v>-0.18933539999999999</v>
      </c>
      <c r="W5478">
        <v>0.42310720000000002</v>
      </c>
      <c r="X5478">
        <v>0.886077</v>
      </c>
      <c r="Y5478">
        <v>-0.15669749999999999</v>
      </c>
      <c r="Z5478">
        <v>9.5801529999999992E-3</v>
      </c>
      <c r="AA5478">
        <v>0.98760020000000004</v>
      </c>
      <c r="AB5478">
        <v>30</v>
      </c>
      <c r="AC5478">
        <v>8.5882000000000005</v>
      </c>
      <c r="AD5478">
        <v>-1.1124283359545999</v>
      </c>
      <c r="AE5478">
        <v>1.50961999999999</v>
      </c>
      <c r="AF5478">
        <v>-1.37897728059557</v>
      </c>
      <c r="AG5478">
        <v>-1.1124283359545999</v>
      </c>
      <c r="AH5478">
        <v>8.4686891583564208</v>
      </c>
      <c r="AI5478">
        <v>97.387204550051607</v>
      </c>
      <c r="AJ5478">
        <v>99.248442389788195</v>
      </c>
      <c r="AK5478">
        <v>8.6520385576982495</v>
      </c>
      <c r="AL5478">
        <v>64.969086591203506</v>
      </c>
      <c r="AM5478">
        <v>102.061476897701</v>
      </c>
      <c r="AN5478">
        <v>1.0000000231569901</v>
      </c>
    </row>
    <row r="5479" spans="1:40" x14ac:dyDescent="0.25">
      <c r="A5479" t="str">
        <f>"20190304164754735"</f>
        <v>20190304164754735</v>
      </c>
      <c r="B5479" t="str">
        <f>"1551689274724561"</f>
        <v>1551689274724561</v>
      </c>
      <c r="C5479" t="s">
        <v>40</v>
      </c>
      <c r="D5479">
        <v>4.3137290000000004</v>
      </c>
      <c r="E5479">
        <v>0.527891</v>
      </c>
      <c r="F5479" t="s">
        <v>62</v>
      </c>
      <c r="G5479">
        <v>-219.9314</v>
      </c>
      <c r="H5479" s="1">
        <v>-3.391238E-6</v>
      </c>
      <c r="I5479">
        <v>-61.239780000000003</v>
      </c>
      <c r="J5479">
        <v>-228.4873</v>
      </c>
      <c r="K5479">
        <v>1.11243</v>
      </c>
      <c r="L5479">
        <v>-62.748690000000003</v>
      </c>
      <c r="M5479">
        <v>0.99980860000000005</v>
      </c>
      <c r="N5479">
        <v>-1.4259630000000001E-2</v>
      </c>
      <c r="O5479">
        <v>1.339508E-2</v>
      </c>
      <c r="P5479">
        <v>0.88947919999999903</v>
      </c>
      <c r="Q5479">
        <v>0.41075660000000003</v>
      </c>
      <c r="R5479">
        <v>0.20026440000000001</v>
      </c>
      <c r="S5479">
        <v>3.4414519999999902</v>
      </c>
      <c r="T5479">
        <v>-0.43903779999999998</v>
      </c>
      <c r="U5479">
        <v>0.59661869999999995</v>
      </c>
      <c r="V5479">
        <v>-0.18953320000000001</v>
      </c>
      <c r="W5479">
        <v>0.42289890000000002</v>
      </c>
      <c r="X5479">
        <v>0.88613410000000004</v>
      </c>
      <c r="Y5479">
        <v>-0.15631159999999999</v>
      </c>
      <c r="Z5479">
        <v>9.4853890000000003E-3</v>
      </c>
      <c r="AA5479">
        <v>0.98766229999999999</v>
      </c>
      <c r="AB5479">
        <v>30</v>
      </c>
      <c r="AC5479">
        <v>8.5558999999999994</v>
      </c>
      <c r="AD5479">
        <v>-1.112433391238</v>
      </c>
      <c r="AE5479">
        <v>1.50891</v>
      </c>
      <c r="AF5479">
        <v>-1.3716673170448499</v>
      </c>
      <c r="AG5479">
        <v>-1.112433391238</v>
      </c>
      <c r="AH5479">
        <v>8.4370202292162801</v>
      </c>
      <c r="AI5479">
        <v>97.414954887614002</v>
      </c>
      <c r="AJ5479">
        <v>99.234196898335796</v>
      </c>
      <c r="AK5479">
        <v>8.6198775876920202</v>
      </c>
      <c r="AL5479">
        <v>64.982256498357401</v>
      </c>
      <c r="AM5479">
        <v>102.07295289194199</v>
      </c>
      <c r="AN5479">
        <v>0.99999997835312904</v>
      </c>
    </row>
    <row r="5480" spans="1:40" x14ac:dyDescent="0.25">
      <c r="A5480" t="str">
        <f>"20190304164754747"</f>
        <v>20190304164754747</v>
      </c>
      <c r="B5480" t="str">
        <f>"1551689274734320"</f>
        <v>1551689274734320</v>
      </c>
      <c r="C5480" t="s">
        <v>40</v>
      </c>
      <c r="D5480">
        <v>4.3387719999999996</v>
      </c>
      <c r="E5480">
        <v>0.52791469999999996</v>
      </c>
      <c r="F5480" t="s">
        <v>62</v>
      </c>
      <c r="G5480">
        <v>-219.84729999999999</v>
      </c>
      <c r="H5480" s="1">
        <v>-3.3628210000000002E-6</v>
      </c>
      <c r="I5480">
        <v>-61.240830000000003</v>
      </c>
      <c r="J5480">
        <v>-228.32310000000001</v>
      </c>
      <c r="K5480">
        <v>1.112425</v>
      </c>
      <c r="L5480">
        <v>-62.745609999999999</v>
      </c>
      <c r="M5480">
        <v>0.99979750000000001</v>
      </c>
      <c r="N5480">
        <v>-1.425795E-2</v>
      </c>
      <c r="O5480">
        <v>1.4211720000000001E-2</v>
      </c>
      <c r="P5480">
        <v>0.88938399999999995</v>
      </c>
      <c r="Q5480">
        <v>0.41063460000000002</v>
      </c>
      <c r="R5480">
        <v>0.200936</v>
      </c>
      <c r="S5480">
        <v>3.4421840000000001</v>
      </c>
      <c r="T5480">
        <v>-0.44319269999999999</v>
      </c>
      <c r="U5480">
        <v>0.60070800000000002</v>
      </c>
      <c r="V5480">
        <v>-0.18947849999999999</v>
      </c>
      <c r="W5480">
        <v>0.42277579999999998</v>
      </c>
      <c r="X5480">
        <v>0.88620449999999995</v>
      </c>
      <c r="Y5480">
        <v>-0.15658929999999999</v>
      </c>
      <c r="Z5480">
        <v>9.4868810000000008E-3</v>
      </c>
      <c r="AA5480">
        <v>0.98761829999999995</v>
      </c>
      <c r="AB5480">
        <v>30</v>
      </c>
      <c r="AC5480">
        <v>8.4758000000000102</v>
      </c>
      <c r="AD5480">
        <v>-1.1124283628210001</v>
      </c>
      <c r="AE5480">
        <v>1.50477999999999</v>
      </c>
      <c r="AF5480">
        <v>-1.3614248751546301</v>
      </c>
      <c r="AG5480">
        <v>-1.1124283628210001</v>
      </c>
      <c r="AH5480">
        <v>8.3567770020635894</v>
      </c>
      <c r="AI5480">
        <v>97.484923928534499</v>
      </c>
      <c r="AJ5480">
        <v>99.252920834962694</v>
      </c>
      <c r="AK5480">
        <v>8.5397129000521605</v>
      </c>
      <c r="AL5480">
        <v>64.9900387958116</v>
      </c>
      <c r="AM5480">
        <v>102.06864007751</v>
      </c>
      <c r="AN5480">
        <v>0.99999994742406795</v>
      </c>
    </row>
    <row r="5481" spans="1:40" x14ac:dyDescent="0.25">
      <c r="A5481" t="str">
        <f>"20190304164754759"</f>
        <v>20190304164754759</v>
      </c>
      <c r="B5481" t="str">
        <f>"1551689274754817"</f>
        <v>1551689274754817</v>
      </c>
      <c r="C5481" t="s">
        <v>40</v>
      </c>
      <c r="D5481">
        <v>4.3142569999999996</v>
      </c>
      <c r="E5481">
        <v>0.52808859999999902</v>
      </c>
      <c r="F5481" t="s">
        <v>62</v>
      </c>
      <c r="G5481">
        <v>-219.6994</v>
      </c>
      <c r="H5481" s="1">
        <v>-3.311615E-6</v>
      </c>
      <c r="I5481">
        <v>-61.235979999999998</v>
      </c>
      <c r="J5481">
        <v>-228.1678</v>
      </c>
      <c r="K5481">
        <v>1.1124259999999999</v>
      </c>
      <c r="L5481">
        <v>-62.742609999999999</v>
      </c>
      <c r="M5481">
        <v>0.99978619999999996</v>
      </c>
      <c r="N5481">
        <v>-1.4256349999999999E-2</v>
      </c>
      <c r="O5481">
        <v>1.4986040000000001E-2</v>
      </c>
      <c r="P5481">
        <v>0.88919680000000001</v>
      </c>
      <c r="Q5481">
        <v>0.41059600000000002</v>
      </c>
      <c r="R5481">
        <v>0.20184179999999999</v>
      </c>
      <c r="S5481">
        <v>3.441986</v>
      </c>
      <c r="T5481">
        <v>-0.44400050000000002</v>
      </c>
      <c r="U5481">
        <v>0.6025085</v>
      </c>
      <c r="V5481">
        <v>-0.18969849999999999</v>
      </c>
      <c r="W5481">
        <v>0.4227339</v>
      </c>
      <c r="X5481">
        <v>0.88617749999999995</v>
      </c>
      <c r="Y5481">
        <v>-0.15633820000000001</v>
      </c>
      <c r="Z5481">
        <v>9.3960810000000006E-3</v>
      </c>
      <c r="AA5481">
        <v>0.98765890000000001</v>
      </c>
      <c r="AB5481">
        <v>30</v>
      </c>
      <c r="AC5481">
        <v>8.4684000000000008</v>
      </c>
      <c r="AD5481">
        <v>-1.1124293116149999</v>
      </c>
      <c r="AE5481">
        <v>1.5066299999999899</v>
      </c>
      <c r="AF5481">
        <v>-1.3568446660856599</v>
      </c>
      <c r="AG5481">
        <v>-1.1124293116149999</v>
      </c>
      <c r="AH5481">
        <v>8.3503561709604899</v>
      </c>
      <c r="AI5481">
        <v>97.491117107382905</v>
      </c>
      <c r="AJ5481">
        <v>99.2292965517222</v>
      </c>
      <c r="AK5481">
        <v>8.5327003113389193</v>
      </c>
      <c r="AL5481">
        <v>64.992689695049293</v>
      </c>
      <c r="AM5481">
        <v>102.08259855150099</v>
      </c>
      <c r="AN5481">
        <v>1.00000001630885</v>
      </c>
    </row>
    <row r="5482" spans="1:40" x14ac:dyDescent="0.25">
      <c r="A5482" t="str">
        <f>"20190304164754771"</f>
        <v>20190304164754771</v>
      </c>
      <c r="B5482" t="str">
        <f>"1551689274764576"</f>
        <v>1551689274764576</v>
      </c>
      <c r="C5482" t="s">
        <v>40</v>
      </c>
      <c r="D5482">
        <v>4.4042709999999996</v>
      </c>
      <c r="E5482">
        <v>0.52816409999999903</v>
      </c>
      <c r="F5482" t="s">
        <v>62</v>
      </c>
      <c r="G5482">
        <v>-219.56319999999999</v>
      </c>
      <c r="H5482" s="1">
        <v>-3.2643970000000002E-6</v>
      </c>
      <c r="I5482">
        <v>-61.230890000000002</v>
      </c>
      <c r="J5482">
        <v>-228.00030000000001</v>
      </c>
      <c r="K5482">
        <v>1.1124289999999999</v>
      </c>
      <c r="L5482">
        <v>-62.739260000000002</v>
      </c>
      <c r="M5482">
        <v>0.99977329999999998</v>
      </c>
      <c r="N5482">
        <v>-1.4254630000000001E-2</v>
      </c>
      <c r="O5482">
        <v>1.5823130000000001E-2</v>
      </c>
      <c r="P5482">
        <v>0.88911870000000004</v>
      </c>
      <c r="Q5482">
        <v>0.41020980000000001</v>
      </c>
      <c r="R5482">
        <v>0.20296839999999999</v>
      </c>
      <c r="S5482">
        <v>3.4420470000000001</v>
      </c>
      <c r="T5482">
        <v>-0.44500119999999999</v>
      </c>
      <c r="U5482">
        <v>0.60470579999999996</v>
      </c>
      <c r="V5482">
        <v>-0.19008</v>
      </c>
      <c r="W5482">
        <v>0.42234490000000002</v>
      </c>
      <c r="X5482">
        <v>0.88628119999999999</v>
      </c>
      <c r="Y5482">
        <v>-0.15612219999999999</v>
      </c>
      <c r="Z5482">
        <v>9.302991E-3</v>
      </c>
      <c r="AA5482">
        <v>0.98769399999999996</v>
      </c>
      <c r="AB5482">
        <v>30</v>
      </c>
      <c r="AC5482">
        <v>8.4371000000000098</v>
      </c>
      <c r="AD5482">
        <v>-1.1124322643969999</v>
      </c>
      <c r="AE5482">
        <v>1.50836999999999</v>
      </c>
      <c r="AF5482">
        <v>-1.3518922447133099</v>
      </c>
      <c r="AG5482">
        <v>-1.1124322643969999</v>
      </c>
      <c r="AH5482">
        <v>8.3197582950868991</v>
      </c>
      <c r="AI5482">
        <v>97.518369842817407</v>
      </c>
      <c r="AJ5482">
        <v>99.2294267857676</v>
      </c>
      <c r="AK5482">
        <v>8.5019701406706201</v>
      </c>
      <c r="AL5482">
        <v>65.017280231966893</v>
      </c>
      <c r="AM5482">
        <v>102.104806879319</v>
      </c>
      <c r="AN5482">
        <v>0.99999999321472499</v>
      </c>
    </row>
    <row r="5483" spans="1:40" x14ac:dyDescent="0.25">
      <c r="A5483" t="str">
        <f>"20190304164754787"</f>
        <v>20190304164754787</v>
      </c>
      <c r="B5483" t="str">
        <f>"1551689274774337"</f>
        <v>1551689274774337</v>
      </c>
      <c r="C5483" t="s">
        <v>40</v>
      </c>
      <c r="D5483">
        <v>4.3612710000000003</v>
      </c>
      <c r="E5483">
        <v>0.52828679999999995</v>
      </c>
      <c r="F5483" t="s">
        <v>62</v>
      </c>
      <c r="G5483">
        <v>-219.4425</v>
      </c>
      <c r="H5483" s="1">
        <v>-3.2227259999999999E-6</v>
      </c>
      <c r="I5483">
        <v>-61.227649999999997</v>
      </c>
      <c r="J5483">
        <v>-227.8057</v>
      </c>
      <c r="K5483">
        <v>1.112433</v>
      </c>
      <c r="L5483">
        <v>-62.735169999999997</v>
      </c>
      <c r="M5483">
        <v>0.99975729999999996</v>
      </c>
      <c r="N5483">
        <v>-1.425267E-2</v>
      </c>
      <c r="O5483">
        <v>1.679872E-2</v>
      </c>
      <c r="P5483">
        <v>0.88890219999999898</v>
      </c>
      <c r="Q5483">
        <v>0.41013500000000003</v>
      </c>
      <c r="R5483">
        <v>0.20406450000000001</v>
      </c>
      <c r="S5483">
        <v>3.4417719999999998</v>
      </c>
      <c r="T5483">
        <v>-0.44739580000000001</v>
      </c>
      <c r="U5483">
        <v>0.60791019999999996</v>
      </c>
      <c r="V5483">
        <v>-0.19031029999999999</v>
      </c>
      <c r="W5483">
        <v>0.42226750000000002</v>
      </c>
      <c r="X5483">
        <v>0.88626870000000002</v>
      </c>
      <c r="Y5483">
        <v>-0.1560578</v>
      </c>
      <c r="Z5483">
        <v>9.2292899999999994E-3</v>
      </c>
      <c r="AA5483">
        <v>0.98770480000000005</v>
      </c>
      <c r="AB5483">
        <v>30</v>
      </c>
      <c r="AC5483">
        <v>8.3632000000000009</v>
      </c>
      <c r="AD5483">
        <v>-1.1124362227259901</v>
      </c>
      <c r="AE5483">
        <v>1.50751999999999</v>
      </c>
      <c r="AF5483">
        <v>-1.3437745096065301</v>
      </c>
      <c r="AG5483">
        <v>-1.1124362227259901</v>
      </c>
      <c r="AH5483">
        <v>8.2460395653553995</v>
      </c>
      <c r="AI5483">
        <v>97.584274439675397</v>
      </c>
      <c r="AJ5483">
        <v>99.255561707941595</v>
      </c>
      <c r="AK5483">
        <v>8.42854749026829</v>
      </c>
      <c r="AL5483">
        <v>65.022173577263601</v>
      </c>
      <c r="AM5483">
        <v>102.119205590017</v>
      </c>
      <c r="AN5483">
        <v>1.0000000302210099</v>
      </c>
    </row>
    <row r="5484" spans="1:40" x14ac:dyDescent="0.25">
      <c r="A5484" t="str">
        <f>"20190304164754797"</f>
        <v>20190304164754797</v>
      </c>
      <c r="B5484" t="str">
        <f>"1551689274794832"</f>
        <v>1551689274794832</v>
      </c>
      <c r="C5484" t="s">
        <v>40</v>
      </c>
      <c r="D5484">
        <v>4.3616809999999999</v>
      </c>
      <c r="E5484">
        <v>0.52830109999999997</v>
      </c>
      <c r="F5484" t="s">
        <v>62</v>
      </c>
      <c r="G5484">
        <v>-219.27719999999999</v>
      </c>
      <c r="H5484" s="1">
        <v>-3.1653840000000002E-6</v>
      </c>
      <c r="I5484">
        <v>-61.221580000000003</v>
      </c>
      <c r="J5484">
        <v>-227.66290000000001</v>
      </c>
      <c r="K5484">
        <v>1.1124339999999999</v>
      </c>
      <c r="L5484">
        <v>-62.732030000000002</v>
      </c>
      <c r="M5484">
        <v>0.99974510000000005</v>
      </c>
      <c r="N5484">
        <v>-1.425095E-2</v>
      </c>
      <c r="O5484">
        <v>1.7515869999999999E-2</v>
      </c>
      <c r="P5484">
        <v>0.88864539999999903</v>
      </c>
      <c r="Q5484">
        <v>0.41031200000000001</v>
      </c>
      <c r="R5484">
        <v>0.20482600000000001</v>
      </c>
      <c r="S5484">
        <v>3.4418489999999999</v>
      </c>
      <c r="T5484">
        <v>-0.44894240000000002</v>
      </c>
      <c r="U5484">
        <v>0.6108093</v>
      </c>
      <c r="V5484">
        <v>-0.19043789999999999</v>
      </c>
      <c r="W5484">
        <v>0.42243999999999998</v>
      </c>
      <c r="X5484">
        <v>0.88615909999999998</v>
      </c>
      <c r="Y5484">
        <v>-0.15614810000000001</v>
      </c>
      <c r="Z5484">
        <v>9.1796810000000003E-3</v>
      </c>
      <c r="AA5484">
        <v>0.98769099999999999</v>
      </c>
      <c r="AB5484">
        <v>30</v>
      </c>
      <c r="AC5484">
        <v>8.3857000000000106</v>
      </c>
      <c r="AD5484">
        <v>-1.1124371653839999</v>
      </c>
      <c r="AE5484">
        <v>1.5104499999999901</v>
      </c>
      <c r="AF5484">
        <v>-1.3404716863033901</v>
      </c>
      <c r="AG5484">
        <v>-1.1124371653839999</v>
      </c>
      <c r="AH5484">
        <v>8.2699093081946806</v>
      </c>
      <c r="AI5484">
        <v>97.563673247867499</v>
      </c>
      <c r="AJ5484">
        <v>99.207011933079301</v>
      </c>
      <c r="AK5484">
        <v>8.4513774471664398</v>
      </c>
      <c r="AL5484">
        <v>65.011270300844402</v>
      </c>
      <c r="AM5484">
        <v>102.12854635459</v>
      </c>
      <c r="AN5484">
        <v>1.0000000489345999</v>
      </c>
    </row>
    <row r="5485" spans="1:40" x14ac:dyDescent="0.25">
      <c r="A5485" t="str">
        <f>"20190304164754810"</f>
        <v>20190304164754810</v>
      </c>
      <c r="B5485" t="str">
        <f>"1551689274804592"</f>
        <v>1551689274804592</v>
      </c>
      <c r="C5485" t="s">
        <v>40</v>
      </c>
      <c r="D5485">
        <v>4.3931709999999997</v>
      </c>
      <c r="E5485">
        <v>0.52832449999999997</v>
      </c>
      <c r="F5485" t="s">
        <v>62</v>
      </c>
      <c r="G5485">
        <v>-219.1968</v>
      </c>
      <c r="H5485" s="1">
        <v>-3.1377270000000002E-6</v>
      </c>
      <c r="I5485">
        <v>-61.222839999999998</v>
      </c>
      <c r="J5485">
        <v>-227.49</v>
      </c>
      <c r="K5485">
        <v>1.1124369999999999</v>
      </c>
      <c r="L5485">
        <v>-62.728090000000002</v>
      </c>
      <c r="M5485">
        <v>0.9997296</v>
      </c>
      <c r="N5485">
        <v>-1.424803E-2</v>
      </c>
      <c r="O5485">
        <v>1.838561E-2</v>
      </c>
      <c r="P5485">
        <v>0.88831159999999998</v>
      </c>
      <c r="Q5485">
        <v>0.41033170000000002</v>
      </c>
      <c r="R5485">
        <v>0.20622969999999999</v>
      </c>
      <c r="S5485">
        <v>3.4433440000000002</v>
      </c>
      <c r="T5485">
        <v>-0.45245619999999998</v>
      </c>
      <c r="U5485">
        <v>0.61380000000000001</v>
      </c>
      <c r="V5485">
        <v>-0.19107170000000001</v>
      </c>
      <c r="W5485">
        <v>0.42245339999999998</v>
      </c>
      <c r="X5485">
        <v>0.88601620000000003</v>
      </c>
      <c r="Y5485">
        <v>-0.1560356</v>
      </c>
      <c r="Z5485">
        <v>9.1275269999999999E-3</v>
      </c>
      <c r="AA5485">
        <v>0.98770919999999895</v>
      </c>
      <c r="AB5485">
        <v>30</v>
      </c>
      <c r="AC5485">
        <v>8.2932000000000095</v>
      </c>
      <c r="AD5485">
        <v>-1.1124401377269999</v>
      </c>
      <c r="AE5485">
        <v>1.50524999999999</v>
      </c>
      <c r="AF5485">
        <v>-1.3293481184821301</v>
      </c>
      <c r="AG5485">
        <v>-1.1124401377269999</v>
      </c>
      <c r="AH5485">
        <v>8.17703686382165</v>
      </c>
      <c r="AI5485">
        <v>97.6480136045856</v>
      </c>
      <c r="AJ5485">
        <v>99.233843115297006</v>
      </c>
      <c r="AK5485">
        <v>8.3587452020286097</v>
      </c>
      <c r="AL5485">
        <v>65.010421620174995</v>
      </c>
      <c r="AM5485">
        <v>102.169614730433</v>
      </c>
      <c r="AN5485">
        <v>0.99999998818744495</v>
      </c>
    </row>
    <row r="5486" spans="1:40" x14ac:dyDescent="0.25">
      <c r="A5486" t="str">
        <f>"20190304164754824"</f>
        <v>20190304164754824</v>
      </c>
      <c r="B5486" t="str">
        <f>"1551689274814352"</f>
        <v>1551689274814352</v>
      </c>
      <c r="C5486" t="s">
        <v>40</v>
      </c>
      <c r="D5486">
        <v>4.3410859999999998</v>
      </c>
      <c r="E5486">
        <v>0.52833419999999998</v>
      </c>
      <c r="F5486" t="s">
        <v>62</v>
      </c>
      <c r="G5486">
        <v>-219.05279999999999</v>
      </c>
      <c r="H5486" s="1">
        <v>-3.0738729999999998E-6</v>
      </c>
      <c r="I5486">
        <v>-61.215169999999901</v>
      </c>
      <c r="J5486">
        <v>-227.3107</v>
      </c>
      <c r="K5486">
        <v>1.1124339999999999</v>
      </c>
      <c r="L5486">
        <v>-62.723820000000003</v>
      </c>
      <c r="M5486">
        <v>0.99971259999999995</v>
      </c>
      <c r="N5486">
        <v>-1.424192E-2</v>
      </c>
      <c r="O5486">
        <v>1.9289199999999999E-2</v>
      </c>
      <c r="P5486">
        <v>0.88804729999999998</v>
      </c>
      <c r="Q5486">
        <v>0.41029589999999999</v>
      </c>
      <c r="R5486">
        <v>0.2074358</v>
      </c>
      <c r="S5486">
        <v>3.4435880000000001</v>
      </c>
      <c r="T5486">
        <v>-0.4540343</v>
      </c>
      <c r="U5486">
        <v>0.61746219999999996</v>
      </c>
      <c r="V5486">
        <v>-0.19147639999999999</v>
      </c>
      <c r="W5486">
        <v>0.4224097</v>
      </c>
      <c r="X5486">
        <v>0.88594969999999995</v>
      </c>
      <c r="Y5486">
        <v>-0.156145799999999</v>
      </c>
      <c r="Z5486">
        <v>9.0556869999999998E-3</v>
      </c>
      <c r="AA5486">
        <v>0.98769249999999997</v>
      </c>
      <c r="AB5486">
        <v>30</v>
      </c>
      <c r="AC5486">
        <v>8.2578999999999994</v>
      </c>
      <c r="AD5486">
        <v>-1.1124370738729901</v>
      </c>
      <c r="AE5486">
        <v>1.50865</v>
      </c>
      <c r="AF5486">
        <v>-1.32578254757303</v>
      </c>
      <c r="AG5486">
        <v>-1.1124370738729901</v>
      </c>
      <c r="AH5486">
        <v>8.1424755627001204</v>
      </c>
      <c r="AI5486">
        <v>97.679765311343999</v>
      </c>
      <c r="AJ5486">
        <v>99.247917449197701</v>
      </c>
      <c r="AK5486">
        <v>8.3243692791673407</v>
      </c>
      <c r="AL5486">
        <v>65.013184834697995</v>
      </c>
      <c r="AM5486">
        <v>102.195507939641</v>
      </c>
      <c r="AN5486">
        <v>1.00000001867056</v>
      </c>
    </row>
    <row r="5487" spans="1:40" x14ac:dyDescent="0.25">
      <c r="A5487" t="str">
        <f>"20190304164754837"</f>
        <v>20190304164754837</v>
      </c>
      <c r="B5487" t="str">
        <f>"1551689274834848"</f>
        <v>1551689274834848</v>
      </c>
      <c r="C5487" t="s">
        <v>40</v>
      </c>
      <c r="D5487">
        <v>4.3958820000000003</v>
      </c>
      <c r="E5487">
        <v>0.52840010000000004</v>
      </c>
      <c r="F5487" t="s">
        <v>62</v>
      </c>
      <c r="G5487">
        <v>-218.8844</v>
      </c>
      <c r="H5487" s="1">
        <v>-2.998678E-6</v>
      </c>
      <c r="I5487">
        <v>-61.204070000000002</v>
      </c>
      <c r="J5487">
        <v>-227.1309</v>
      </c>
      <c r="K5487">
        <v>1.1124339999999999</v>
      </c>
      <c r="L5487">
        <v>-62.719450000000002</v>
      </c>
      <c r="M5487">
        <v>0.99969479999999999</v>
      </c>
      <c r="N5487">
        <v>-1.423309E-2</v>
      </c>
      <c r="O5487">
        <v>2.0196869999999999E-2</v>
      </c>
      <c r="P5487">
        <v>0.88796620000000004</v>
      </c>
      <c r="Q5487">
        <v>0.40978779999999998</v>
      </c>
      <c r="R5487">
        <v>0.2087823</v>
      </c>
      <c r="S5487">
        <v>3.4431759999999998</v>
      </c>
      <c r="T5487">
        <v>-0.45456249999999998</v>
      </c>
      <c r="U5487">
        <v>0.62097170000000002</v>
      </c>
      <c r="V5487">
        <v>-0.19201309999999999</v>
      </c>
      <c r="W5487">
        <v>0.42189399999999999</v>
      </c>
      <c r="X5487">
        <v>0.88607919999999996</v>
      </c>
      <c r="Y5487">
        <v>-0.15624730000000001</v>
      </c>
      <c r="Z5487">
        <v>8.9658489999999997E-3</v>
      </c>
      <c r="AA5487">
        <v>0.98767729999999998</v>
      </c>
      <c r="AB5487">
        <v>30</v>
      </c>
      <c r="AC5487">
        <v>8.2464999999999904</v>
      </c>
      <c r="AD5487">
        <v>-1.1124369986779901</v>
      </c>
      <c r="AE5487">
        <v>1.5153799999999999</v>
      </c>
      <c r="AF5487">
        <v>-1.3251733647661601</v>
      </c>
      <c r="AG5487">
        <v>-1.1124369986779901</v>
      </c>
      <c r="AH5487">
        <v>8.1322735835678799</v>
      </c>
      <c r="AI5487">
        <v>97.689127974341005</v>
      </c>
      <c r="AJ5487">
        <v>99.2551372734506</v>
      </c>
      <c r="AK5487">
        <v>8.3142933650857795</v>
      </c>
      <c r="AL5487">
        <v>65.045777525952701</v>
      </c>
      <c r="AM5487">
        <v>102.22693066423</v>
      </c>
      <c r="AN5487">
        <v>0.99999996324012397</v>
      </c>
    </row>
    <row r="5488" spans="1:40" x14ac:dyDescent="0.25">
      <c r="A5488" t="str">
        <f>"20190304164754850"</f>
        <v>20190304164754850</v>
      </c>
      <c r="B5488" t="str">
        <f>"1551689274844608"</f>
        <v>1551689274844608</v>
      </c>
      <c r="C5488" t="s">
        <v>40</v>
      </c>
      <c r="D5488">
        <v>4.4132790000000002</v>
      </c>
      <c r="E5488">
        <v>0.52847599999999995</v>
      </c>
      <c r="F5488" t="s">
        <v>62</v>
      </c>
      <c r="G5488">
        <v>-218.7988</v>
      </c>
      <c r="H5488" s="1">
        <v>-2.9624869999999999E-6</v>
      </c>
      <c r="I5488">
        <v>-61.205969999999901</v>
      </c>
      <c r="J5488">
        <v>-226.95529999999999</v>
      </c>
      <c r="K5488">
        <v>1.1124240000000001</v>
      </c>
      <c r="L5488">
        <v>-62.714970000000001</v>
      </c>
      <c r="M5488">
        <v>0.99967660000000003</v>
      </c>
      <c r="N5488">
        <v>-1.422022E-2</v>
      </c>
      <c r="O5488">
        <v>2.1084289999999999E-2</v>
      </c>
      <c r="P5488">
        <v>0.88773950000000001</v>
      </c>
      <c r="Q5488">
        <v>0.40967439999999999</v>
      </c>
      <c r="R5488">
        <v>0.20996509999999999</v>
      </c>
      <c r="S5488">
        <v>3.443619</v>
      </c>
      <c r="T5488">
        <v>-0.45976420000000001</v>
      </c>
      <c r="U5488">
        <v>0.6254883</v>
      </c>
      <c r="V5488">
        <v>-0.192408</v>
      </c>
      <c r="W5488">
        <v>0.42176740000000001</v>
      </c>
      <c r="X5488">
        <v>0.88605389999999995</v>
      </c>
      <c r="Y5488">
        <v>-0.1565783</v>
      </c>
      <c r="Z5488">
        <v>8.9684529999999995E-3</v>
      </c>
      <c r="AA5488">
        <v>0.98762479999999997</v>
      </c>
      <c r="AB5488">
        <v>30</v>
      </c>
      <c r="AC5488">
        <v>8.1564999999999905</v>
      </c>
      <c r="AD5488">
        <v>-1.112426962487</v>
      </c>
      <c r="AE5488">
        <v>1.5089999999999999</v>
      </c>
      <c r="AF5488">
        <v>-1.3130572660348501</v>
      </c>
      <c r="AG5488">
        <v>-1.112426962487</v>
      </c>
      <c r="AH5488">
        <v>8.0418698556020392</v>
      </c>
      <c r="AI5488">
        <v>97.774048872523494</v>
      </c>
      <c r="AJ5488">
        <v>99.273288266894994</v>
      </c>
      <c r="AK5488">
        <v>8.2239457625397598</v>
      </c>
      <c r="AL5488">
        <v>65.053780004689997</v>
      </c>
      <c r="AM5488">
        <v>102.251657432625</v>
      </c>
      <c r="AN5488">
        <v>1.0000000459359799</v>
      </c>
    </row>
    <row r="5489" spans="1:40" x14ac:dyDescent="0.25">
      <c r="A5489" t="str">
        <f>"20190304164754864"</f>
        <v>20190304164754864</v>
      </c>
      <c r="B5489" t="str">
        <f>"1551689274854367"</f>
        <v>1551689274854367</v>
      </c>
      <c r="C5489" t="s">
        <v>40</v>
      </c>
      <c r="D5489">
        <v>4.4734059999999998</v>
      </c>
      <c r="E5489">
        <v>0.52856519999999996</v>
      </c>
      <c r="F5489" t="s">
        <v>62</v>
      </c>
      <c r="G5489">
        <v>-218.64769999999999</v>
      </c>
      <c r="H5489" s="1">
        <v>-2.894969E-6</v>
      </c>
      <c r="I5489">
        <v>-61.195900000000002</v>
      </c>
      <c r="J5489">
        <v>-226.77959999999999</v>
      </c>
      <c r="K5489">
        <v>1.11242</v>
      </c>
      <c r="L5489">
        <v>-62.710329999999999</v>
      </c>
      <c r="M5489">
        <v>0.99965780000000004</v>
      </c>
      <c r="N5489">
        <v>-1.420046E-2</v>
      </c>
      <c r="O5489">
        <v>2.197319E-2</v>
      </c>
      <c r="P5489">
        <v>0.88736429999999999</v>
      </c>
      <c r="Q5489">
        <v>0.40972799999999998</v>
      </c>
      <c r="R5489">
        <v>0.21144250000000001</v>
      </c>
      <c r="S5489">
        <v>3.4432369999999999</v>
      </c>
      <c r="T5489">
        <v>-0.4610629</v>
      </c>
      <c r="U5489">
        <v>0.62957759999999996</v>
      </c>
      <c r="V5489">
        <v>-0.19309979999999999</v>
      </c>
      <c r="W5489">
        <v>0.42179939999999999</v>
      </c>
      <c r="X5489">
        <v>0.88588820000000001</v>
      </c>
      <c r="Y5489">
        <v>-0.15685160000000001</v>
      </c>
      <c r="Z5489">
        <v>8.9028619999999992E-3</v>
      </c>
      <c r="AA5489">
        <v>0.98758199999999996</v>
      </c>
      <c r="AB5489">
        <v>30</v>
      </c>
      <c r="AC5489">
        <v>8.1318999999999999</v>
      </c>
      <c r="AD5489">
        <v>-1.112422894969</v>
      </c>
      <c r="AE5489">
        <v>1.5144299999999999</v>
      </c>
      <c r="AF5489">
        <v>-1.3116398504238</v>
      </c>
      <c r="AG5489">
        <v>-1.112422894969</v>
      </c>
      <c r="AH5489">
        <v>8.0181973260505792</v>
      </c>
      <c r="AI5489">
        <v>97.796316349366904</v>
      </c>
      <c r="AJ5489">
        <v>99.290324376451906</v>
      </c>
      <c r="AK5489">
        <v>8.2005714528900793</v>
      </c>
      <c r="AL5489">
        <v>65.0517589021904</v>
      </c>
      <c r="AM5489">
        <v>102.296600227261</v>
      </c>
      <c r="AN5489">
        <v>1.0000000847498101</v>
      </c>
    </row>
    <row r="5490" spans="1:40" x14ac:dyDescent="0.25">
      <c r="A5490" t="str">
        <f>"20190304164754875"</f>
        <v>20190304164754875</v>
      </c>
      <c r="B5490" t="str">
        <f>"1551689274865104"</f>
        <v>1551689274865104</v>
      </c>
      <c r="C5490" t="s">
        <v>40</v>
      </c>
      <c r="D5490">
        <v>4.4468750000000004</v>
      </c>
      <c r="E5490">
        <v>0.52861759999999902</v>
      </c>
      <c r="F5490" t="s">
        <v>62</v>
      </c>
      <c r="G5490">
        <v>-218.49449999999999</v>
      </c>
      <c r="H5490" s="1">
        <v>-2.8249210000000002E-6</v>
      </c>
      <c r="I5490">
        <v>-61.179560000000002</v>
      </c>
      <c r="J5490">
        <v>-226.6318</v>
      </c>
      <c r="K5490">
        <v>1.112412</v>
      </c>
      <c r="L5490">
        <v>-62.706330000000001</v>
      </c>
      <c r="M5490">
        <v>0.99964140000000001</v>
      </c>
      <c r="N5490">
        <v>-1.418088E-2</v>
      </c>
      <c r="O5490">
        <v>2.2721359999999999E-2</v>
      </c>
      <c r="P5490">
        <v>0.88708169999999897</v>
      </c>
      <c r="Q5490">
        <v>0.40977330000000001</v>
      </c>
      <c r="R5490">
        <v>0.212537</v>
      </c>
      <c r="S5490">
        <v>3.4426730000000001</v>
      </c>
      <c r="T5490">
        <v>-0.46224029999999999</v>
      </c>
      <c r="U5490">
        <v>0.63604740000000004</v>
      </c>
      <c r="V5490">
        <v>-0.1935328</v>
      </c>
      <c r="W5490">
        <v>0.42182449999999999</v>
      </c>
      <c r="X5490">
        <v>0.88578169999999901</v>
      </c>
      <c r="Y5490">
        <v>-0.15792519999999999</v>
      </c>
      <c r="Z5490">
        <v>8.9102139999999996E-3</v>
      </c>
      <c r="AA5490">
        <v>0.98741080000000003</v>
      </c>
      <c r="AB5490">
        <v>30</v>
      </c>
      <c r="AC5490">
        <v>8.1373000000000104</v>
      </c>
      <c r="AD5490">
        <v>-1.112414824921</v>
      </c>
      <c r="AE5490">
        <v>1.52677</v>
      </c>
      <c r="AF5490">
        <v>-1.31767874438859</v>
      </c>
      <c r="AG5490">
        <v>-1.112414824921</v>
      </c>
      <c r="AH5490">
        <v>8.0250177077603198</v>
      </c>
      <c r="AI5490">
        <v>97.788962589240796</v>
      </c>
      <c r="AJ5490">
        <v>99.324554826803507</v>
      </c>
      <c r="AK5490">
        <v>8.2082064561013706</v>
      </c>
      <c r="AL5490">
        <v>65.0501714861837</v>
      </c>
      <c r="AM5490">
        <v>102.324768419031</v>
      </c>
      <c r="AN5490">
        <v>1.00000003676548</v>
      </c>
    </row>
    <row r="5491" spans="1:40" x14ac:dyDescent="0.25">
      <c r="A5491" t="str">
        <f>"20190304164754886"</f>
        <v>20190304164754886</v>
      </c>
      <c r="B5491" t="str">
        <f>"1551689274874865"</f>
        <v>1551689274874865</v>
      </c>
      <c r="C5491" t="s">
        <v>40</v>
      </c>
      <c r="D5491">
        <v>4.4240950000000003</v>
      </c>
      <c r="E5491">
        <v>0.52867259999999905</v>
      </c>
      <c r="F5491" t="s">
        <v>62</v>
      </c>
      <c r="G5491">
        <v>-218.3655</v>
      </c>
      <c r="H5491" s="1">
        <v>-2.7664299999999999E-6</v>
      </c>
      <c r="I5491">
        <v>-61.167760000000001</v>
      </c>
      <c r="J5491">
        <v>-226.4888</v>
      </c>
      <c r="K5491">
        <v>1.1124080000000001</v>
      </c>
      <c r="L5491">
        <v>-62.702330000000003</v>
      </c>
      <c r="M5491">
        <v>0.99962490000000004</v>
      </c>
      <c r="N5491">
        <v>-1.415405E-2</v>
      </c>
      <c r="O5491">
        <v>2.3445980000000002E-2</v>
      </c>
      <c r="P5491">
        <v>0.88690249999999904</v>
      </c>
      <c r="Q5491">
        <v>0.40959390000000001</v>
      </c>
      <c r="R5491">
        <v>0.2136276</v>
      </c>
      <c r="S5491">
        <v>3.4423680000000001</v>
      </c>
      <c r="T5491">
        <v>-0.46324520000000002</v>
      </c>
      <c r="U5491">
        <v>0.64068599999999998</v>
      </c>
      <c r="V5491">
        <v>-0.1939805</v>
      </c>
      <c r="W5491">
        <v>0.42161999999999999</v>
      </c>
      <c r="X5491">
        <v>0.88578109999999999</v>
      </c>
      <c r="Y5491">
        <v>-0.15850610000000001</v>
      </c>
      <c r="Z5491">
        <v>8.8801580000000008E-3</v>
      </c>
      <c r="AA5491">
        <v>0.98731800000000003</v>
      </c>
      <c r="AB5491">
        <v>30</v>
      </c>
      <c r="AC5491">
        <v>8.1233000000000004</v>
      </c>
      <c r="AD5491">
        <v>-1.11241076642999</v>
      </c>
      <c r="AE5491">
        <v>1.53457</v>
      </c>
      <c r="AF5491">
        <v>-1.3197736454343101</v>
      </c>
      <c r="AG5491">
        <v>-1.11241076642999</v>
      </c>
      <c r="AH5491">
        <v>8.0119798851599295</v>
      </c>
      <c r="AI5491">
        <v>97.800801154435007</v>
      </c>
      <c r="AJ5491">
        <v>99.354047479375097</v>
      </c>
      <c r="AK5491">
        <v>8.1957965975650993</v>
      </c>
      <c r="AL5491">
        <v>65.063093032952295</v>
      </c>
      <c r="AM5491">
        <v>102.352413148084</v>
      </c>
      <c r="AN5491">
        <v>1.0000000079487299</v>
      </c>
    </row>
    <row r="5492" spans="1:40" x14ac:dyDescent="0.25">
      <c r="A5492" t="str">
        <f>"20190304164754898"</f>
        <v>20190304164754898</v>
      </c>
      <c r="B5492" t="str">
        <f>"1551689274894385"</f>
        <v>1551689274894385</v>
      </c>
      <c r="C5492" t="s">
        <v>40</v>
      </c>
      <c r="D5492">
        <v>4.4799720000000001</v>
      </c>
      <c r="E5492">
        <v>0.52874160000000003</v>
      </c>
      <c r="F5492" t="s">
        <v>62</v>
      </c>
      <c r="G5492">
        <v>-218.255</v>
      </c>
      <c r="H5492" s="1">
        <v>-2.7173510000000002E-6</v>
      </c>
      <c r="I5492">
        <v>-61.161470000000001</v>
      </c>
      <c r="J5492">
        <v>-226.33680000000001</v>
      </c>
      <c r="K5492">
        <v>1.112401</v>
      </c>
      <c r="L5492">
        <v>-62.697969999999998</v>
      </c>
      <c r="M5492">
        <v>0.99960700000000002</v>
      </c>
      <c r="N5492">
        <v>-1.4122350000000001E-2</v>
      </c>
      <c r="O5492">
        <v>2.4216519999999998E-2</v>
      </c>
      <c r="P5492">
        <v>0.88665289999999997</v>
      </c>
      <c r="Q5492">
        <v>0.40953099999999998</v>
      </c>
      <c r="R5492">
        <v>0.2147811</v>
      </c>
      <c r="S5492">
        <v>3.4421689999999998</v>
      </c>
      <c r="T5492">
        <v>-0.46504489999999998</v>
      </c>
      <c r="U5492">
        <v>0.64413450000000005</v>
      </c>
      <c r="V5492">
        <v>-0.19445229999999999</v>
      </c>
      <c r="W5492">
        <v>0.42152659999999997</v>
      </c>
      <c r="X5492">
        <v>0.88572209999999996</v>
      </c>
      <c r="Y5492">
        <v>-0.1587055</v>
      </c>
      <c r="Z5492">
        <v>8.8281519999999902E-3</v>
      </c>
      <c r="AA5492">
        <v>0.98728649999999996</v>
      </c>
      <c r="AB5492">
        <v>30</v>
      </c>
      <c r="AC5492">
        <v>8.0818000000000101</v>
      </c>
      <c r="AD5492">
        <v>-1.112403717351</v>
      </c>
      <c r="AE5492">
        <v>1.5365</v>
      </c>
      <c r="AF5492">
        <v>-1.3162494825691</v>
      </c>
      <c r="AG5492">
        <v>-1.112403717351</v>
      </c>
      <c r="AH5492">
        <v>7.9708962915603001</v>
      </c>
      <c r="AI5492">
        <v>97.839954326097796</v>
      </c>
      <c r="AJ5492">
        <v>99.376743591128402</v>
      </c>
      <c r="AK5492">
        <v>8.1550685111499508</v>
      </c>
      <c r="AL5492">
        <v>65.068994430114401</v>
      </c>
      <c r="AM5492">
        <v>102.38233048762601</v>
      </c>
      <c r="AN5492">
        <v>1.0000000049556299</v>
      </c>
    </row>
    <row r="5493" spans="1:40" x14ac:dyDescent="0.25">
      <c r="A5493" t="str">
        <f>"20190304164754910"</f>
        <v>20190304164754910</v>
      </c>
      <c r="B5493" t="str">
        <f>"1551689274905120"</f>
        <v>1551689274905120</v>
      </c>
      <c r="C5493" t="s">
        <v>40</v>
      </c>
      <c r="D5493">
        <v>4.5134730000000003</v>
      </c>
      <c r="E5493">
        <v>0.52874429999999994</v>
      </c>
      <c r="F5493" t="s">
        <v>62</v>
      </c>
      <c r="G5493">
        <v>-218.14680000000001</v>
      </c>
      <c r="H5493" s="1">
        <v>-2.6699419999999999E-6</v>
      </c>
      <c r="I5493">
        <v>-61.157820000000001</v>
      </c>
      <c r="J5493">
        <v>-226.16890000000001</v>
      </c>
      <c r="K5493">
        <v>1.112393</v>
      </c>
      <c r="L5493">
        <v>-62.693049999999999</v>
      </c>
      <c r="M5493">
        <v>0.99958659999999999</v>
      </c>
      <c r="N5493">
        <v>-1.408012E-2</v>
      </c>
      <c r="O5493">
        <v>2.5067470000000001E-2</v>
      </c>
      <c r="P5493">
        <v>0.88636619999999999</v>
      </c>
      <c r="Q5493">
        <v>0.40952949999999999</v>
      </c>
      <c r="R5493">
        <v>0.21596409999999999</v>
      </c>
      <c r="S5493">
        <v>3.4426730000000001</v>
      </c>
      <c r="T5493">
        <v>-0.46759489999999998</v>
      </c>
      <c r="U5493">
        <v>0.64736939999999998</v>
      </c>
      <c r="V5493">
        <v>-0.19488349999999999</v>
      </c>
      <c r="W5493">
        <v>0.42148459999999899</v>
      </c>
      <c r="X5493">
        <v>0.88564739999999997</v>
      </c>
      <c r="Y5493">
        <v>-0.15872829999999999</v>
      </c>
      <c r="Z5493">
        <v>8.7617779999999996E-3</v>
      </c>
      <c r="AA5493">
        <v>0.98728340000000003</v>
      </c>
      <c r="AB5493">
        <v>29</v>
      </c>
      <c r="AC5493">
        <v>8.0220999999999894</v>
      </c>
      <c r="AD5493">
        <v>-1.1123956699419999</v>
      </c>
      <c r="AE5493">
        <v>1.5352300000000001</v>
      </c>
      <c r="AF5493">
        <v>-1.30934668883921</v>
      </c>
      <c r="AG5493">
        <v>-1.1123956699419999</v>
      </c>
      <c r="AH5493">
        <v>7.9113195600473896</v>
      </c>
      <c r="AI5493">
        <v>97.897729259326496</v>
      </c>
      <c r="AJ5493">
        <v>99.397435733985603</v>
      </c>
      <c r="AK5493">
        <v>8.0957266541841904</v>
      </c>
      <c r="AL5493">
        <v>65.071650155271001</v>
      </c>
      <c r="AM5493">
        <v>102.409952934595</v>
      </c>
      <c r="AN5493">
        <v>1.0000000818680801</v>
      </c>
    </row>
    <row r="5494" spans="1:40" x14ac:dyDescent="0.25">
      <c r="A5494" t="str">
        <f>"20190304164754921"</f>
        <v>20190304164754921</v>
      </c>
      <c r="B5494" t="str">
        <f>"1551689274914880"</f>
        <v>1551689274914880</v>
      </c>
      <c r="C5494" t="s">
        <v>40</v>
      </c>
      <c r="D5494">
        <v>4.4700730000000002</v>
      </c>
      <c r="E5494">
        <v>0.52874709999999903</v>
      </c>
      <c r="F5494" t="s">
        <v>62</v>
      </c>
      <c r="G5494">
        <v>-217.9982</v>
      </c>
      <c r="H5494" s="1">
        <v>-2.6034899999999999E-6</v>
      </c>
      <c r="I5494">
        <v>-61.147620000000003</v>
      </c>
      <c r="J5494">
        <v>-226.03020000000001</v>
      </c>
      <c r="K5494">
        <v>1.112384</v>
      </c>
      <c r="L5494">
        <v>-62.688809999999997</v>
      </c>
      <c r="M5494">
        <v>0.99956940000000005</v>
      </c>
      <c r="N5494">
        <v>-1.4039619999999999E-2</v>
      </c>
      <c r="O5494">
        <v>2.5771840000000001E-2</v>
      </c>
      <c r="P5494">
        <v>0.88604069999999902</v>
      </c>
      <c r="Q5494">
        <v>0.40961579999999898</v>
      </c>
      <c r="R5494">
        <v>0.2171331</v>
      </c>
      <c r="S5494">
        <v>3.4424899999999998</v>
      </c>
      <c r="T5494">
        <v>-0.46867120000000001</v>
      </c>
      <c r="U5494">
        <v>0.65109249999999996</v>
      </c>
      <c r="V5494">
        <v>-0.19543240000000001</v>
      </c>
      <c r="W5494">
        <v>0.4215313</v>
      </c>
      <c r="X5494">
        <v>0.88550409999999902</v>
      </c>
      <c r="Y5494">
        <v>-0.15906989999999999</v>
      </c>
      <c r="Z5494">
        <v>8.7145509999999992E-3</v>
      </c>
      <c r="AA5494">
        <v>0.98722889999999996</v>
      </c>
      <c r="AB5494">
        <v>29</v>
      </c>
      <c r="AC5494">
        <v>8.032</v>
      </c>
      <c r="AD5494">
        <v>-1.1123866034899901</v>
      </c>
      <c r="AE5494">
        <v>1.5411900000000001</v>
      </c>
      <c r="AF5494">
        <v>-1.30943424348353</v>
      </c>
      <c r="AG5494">
        <v>-1.1123866034899901</v>
      </c>
      <c r="AH5494">
        <v>7.9224922434799696</v>
      </c>
      <c r="AI5494">
        <v>97.886947038828694</v>
      </c>
      <c r="AJ5494">
        <v>99.385035288171593</v>
      </c>
      <c r="AK5494">
        <v>8.1066580871300804</v>
      </c>
      <c r="AL5494">
        <v>65.068696948844007</v>
      </c>
      <c r="AM5494">
        <v>102.445769886221</v>
      </c>
      <c r="AN5494">
        <v>0.99999998548312896</v>
      </c>
    </row>
    <row r="5495" spans="1:40" x14ac:dyDescent="0.25">
      <c r="A5495" t="str">
        <f>"20190304164754931"</f>
        <v>20190304164754931</v>
      </c>
      <c r="B5495" t="str">
        <f>"1551689274924640"</f>
        <v>1551689274924640</v>
      </c>
      <c r="C5495" t="s">
        <v>40</v>
      </c>
      <c r="D5495">
        <v>4.5297900000000002</v>
      </c>
      <c r="E5495">
        <v>0.5287541</v>
      </c>
      <c r="F5495" t="s">
        <v>62</v>
      </c>
      <c r="G5495">
        <v>-217.8742</v>
      </c>
      <c r="H5495" s="1">
        <v>-2.5479619999999998E-6</v>
      </c>
      <c r="I5495">
        <v>-61.138849999999998</v>
      </c>
      <c r="J5495">
        <v>-225.88659999999999</v>
      </c>
      <c r="K5495">
        <v>1.112376</v>
      </c>
      <c r="L5495">
        <v>-62.68439</v>
      </c>
      <c r="M5495">
        <v>0.99955090000000002</v>
      </c>
      <c r="N5495">
        <v>-1.3994919999999999E-2</v>
      </c>
      <c r="O5495">
        <v>2.6500909999999999E-2</v>
      </c>
      <c r="P5495">
        <v>0.88583389999999995</v>
      </c>
      <c r="Q5495">
        <v>0.40947450000000002</v>
      </c>
      <c r="R5495">
        <v>0.21824099999999999</v>
      </c>
      <c r="S5495">
        <v>3.442596</v>
      </c>
      <c r="T5495">
        <v>-0.46953260000000002</v>
      </c>
      <c r="U5495">
        <v>0.65420529999999999</v>
      </c>
      <c r="V5495">
        <v>-0.19589500000000001</v>
      </c>
      <c r="W5495">
        <v>0.42134830000000001</v>
      </c>
      <c r="X5495">
        <v>0.88548899999999997</v>
      </c>
      <c r="Y5495">
        <v>-0.1592063</v>
      </c>
      <c r="Z5495">
        <v>8.6445029999999996E-3</v>
      </c>
      <c r="AA5495">
        <v>0.98720750000000002</v>
      </c>
      <c r="AB5495">
        <v>29</v>
      </c>
      <c r="AC5495">
        <v>8.01239999999998</v>
      </c>
      <c r="AD5495">
        <v>-1.1123785479620001</v>
      </c>
      <c r="AE5495">
        <v>1.5455399999999999</v>
      </c>
      <c r="AF5495">
        <v>-1.3083278496671999</v>
      </c>
      <c r="AG5495">
        <v>-1.1123785479620001</v>
      </c>
      <c r="AH5495">
        <v>7.90367422291712</v>
      </c>
      <c r="AI5495">
        <v>97.905112950789004</v>
      </c>
      <c r="AJ5495">
        <v>99.399174931693693</v>
      </c>
      <c r="AK5495">
        <v>8.0880884032128009</v>
      </c>
      <c r="AL5495">
        <v>65.080259529143206</v>
      </c>
      <c r="AM5495">
        <v>102.474514687354</v>
      </c>
      <c r="AN5495">
        <v>1.00000000502944</v>
      </c>
    </row>
    <row r="5496" spans="1:40" x14ac:dyDescent="0.25">
      <c r="A5496" t="str">
        <f>"20190304164754943"</f>
        <v>20190304164754943</v>
      </c>
      <c r="B5496" t="str">
        <f>"1551689274934401"</f>
        <v>1551689274934401</v>
      </c>
      <c r="C5496" t="s">
        <v>40</v>
      </c>
      <c r="D5496">
        <v>4.4914370000000003</v>
      </c>
      <c r="E5496">
        <v>0.52874200000000005</v>
      </c>
      <c r="F5496" t="s">
        <v>62</v>
      </c>
      <c r="G5496">
        <v>-217.76230000000001</v>
      </c>
      <c r="H5496" s="1">
        <v>-2.4980769999999999E-6</v>
      </c>
      <c r="I5496">
        <v>-61.131740000000001</v>
      </c>
      <c r="J5496">
        <v>-225.73949999999999</v>
      </c>
      <c r="K5496">
        <v>1.112374</v>
      </c>
      <c r="L5496">
        <v>-62.679690000000001</v>
      </c>
      <c r="M5496">
        <v>0.99953139999999996</v>
      </c>
      <c r="N5496">
        <v>-1.3942299999999999E-2</v>
      </c>
      <c r="O5496">
        <v>2.7248379999999999E-2</v>
      </c>
      <c r="P5496">
        <v>0.88557919999999901</v>
      </c>
      <c r="Q5496">
        <v>0.40958519999999998</v>
      </c>
      <c r="R5496">
        <v>0.2190647</v>
      </c>
      <c r="S5496">
        <v>3.4424290000000002</v>
      </c>
      <c r="T5496">
        <v>-0.47133900000000001</v>
      </c>
      <c r="U5496">
        <v>0.65786739999999999</v>
      </c>
      <c r="V5496">
        <v>-0.19605929999999999</v>
      </c>
      <c r="W5496">
        <v>0.42141060000000002</v>
      </c>
      <c r="X5496">
        <v>0.88542299999999996</v>
      </c>
      <c r="Y5496">
        <v>-0.15948419999999999</v>
      </c>
      <c r="Z5496">
        <v>8.5961059999999992E-3</v>
      </c>
      <c r="AA5496">
        <v>0.98716309999999996</v>
      </c>
      <c r="AB5496">
        <v>29</v>
      </c>
      <c r="AC5496">
        <v>7.9771999999999803</v>
      </c>
      <c r="AD5496">
        <v>-1.1123764980769999</v>
      </c>
      <c r="AE5496">
        <v>1.5479499999999999</v>
      </c>
      <c r="AF5496">
        <v>-1.3055237918880001</v>
      </c>
      <c r="AG5496">
        <v>-1.1123764980769999</v>
      </c>
      <c r="AH5496">
        <v>7.8689629518298503</v>
      </c>
      <c r="AI5496">
        <v>97.9390528880391</v>
      </c>
      <c r="AJ5496">
        <v>99.420022630875295</v>
      </c>
      <c r="AK5496">
        <v>8.0537166440054495</v>
      </c>
      <c r="AL5496">
        <v>65.076323786047396</v>
      </c>
      <c r="AM5496">
        <v>102.485550766366</v>
      </c>
      <c r="AN5496">
        <v>1.00000001591892</v>
      </c>
    </row>
    <row r="5497" spans="1:40" x14ac:dyDescent="0.25">
      <c r="A5497" t="str">
        <f>"20190304164754952"</f>
        <v>20190304164754952</v>
      </c>
      <c r="B5497" t="str">
        <f>"1551689274945137"</f>
        <v>1551689274945137</v>
      </c>
      <c r="C5497" t="s">
        <v>40</v>
      </c>
      <c r="D5497">
        <v>4.4596260000000001</v>
      </c>
      <c r="E5497">
        <v>0.52875530000000004</v>
      </c>
      <c r="F5497" t="s">
        <v>62</v>
      </c>
      <c r="G5497">
        <v>-217.62950000000001</v>
      </c>
      <c r="H5497" s="1">
        <v>-2.438468E-6</v>
      </c>
      <c r="I5497">
        <v>-61.121850000000002</v>
      </c>
      <c r="J5497">
        <v>-225.60140000000001</v>
      </c>
      <c r="K5497">
        <v>1.112365</v>
      </c>
      <c r="L5497">
        <v>-62.675260000000002</v>
      </c>
      <c r="M5497">
        <v>0.99951279999999998</v>
      </c>
      <c r="N5497">
        <v>-1.3891529999999999E-2</v>
      </c>
      <c r="O5497">
        <v>2.7950550000000001E-2</v>
      </c>
      <c r="P5497">
        <v>0.88535980000000003</v>
      </c>
      <c r="Q5497">
        <v>0.4095375</v>
      </c>
      <c r="R5497">
        <v>0.22003909999999999</v>
      </c>
      <c r="S5497">
        <v>3.4424290000000002</v>
      </c>
      <c r="T5497">
        <v>-0.47216609999999998</v>
      </c>
      <c r="U5497">
        <v>0.66122440000000005</v>
      </c>
      <c r="V5497">
        <v>-0.1964128</v>
      </c>
      <c r="W5497">
        <v>0.42131639999999998</v>
      </c>
      <c r="X5497">
        <v>0.88538950000000005</v>
      </c>
      <c r="Y5497">
        <v>-0.15971879999999999</v>
      </c>
      <c r="Z5497">
        <v>8.5347310000000003E-3</v>
      </c>
      <c r="AA5497">
        <v>0.98712569999999999</v>
      </c>
      <c r="AB5497">
        <v>29</v>
      </c>
      <c r="AC5497">
        <v>7.9718999999999998</v>
      </c>
      <c r="AD5497">
        <v>-1.112367438468</v>
      </c>
      <c r="AE5497">
        <v>1.55340999999999</v>
      </c>
      <c r="AF5497">
        <v>-1.30547433292332</v>
      </c>
      <c r="AG5497">
        <v>-1.112367438468</v>
      </c>
      <c r="AH5497">
        <v>7.8646815724799701</v>
      </c>
      <c r="AI5497">
        <v>97.943149315593502</v>
      </c>
      <c r="AJ5497">
        <v>99.424708065474107</v>
      </c>
      <c r="AK5497">
        <v>8.04952425852556</v>
      </c>
      <c r="AL5497">
        <v>65.082275593917203</v>
      </c>
      <c r="AM5497">
        <v>102.50781310921001</v>
      </c>
      <c r="AN5497">
        <v>1.0000000318115201</v>
      </c>
    </row>
    <row r="5498" spans="1:40" x14ac:dyDescent="0.25">
      <c r="A5498" t="str">
        <f>"20190304164754964"</f>
        <v>20190304164754964</v>
      </c>
      <c r="B5498" t="str">
        <f>"1551689274954896"</f>
        <v>1551689274954896</v>
      </c>
      <c r="C5498" t="s">
        <v>40</v>
      </c>
      <c r="D5498">
        <v>4.4818059999999997</v>
      </c>
      <c r="E5498">
        <v>0.52877069999999904</v>
      </c>
      <c r="F5498" t="s">
        <v>62</v>
      </c>
      <c r="G5498">
        <v>-217.51259999999999</v>
      </c>
      <c r="H5498" s="1">
        <v>-2.3860340000000002E-6</v>
      </c>
      <c r="I5498">
        <v>-61.113230000000001</v>
      </c>
      <c r="J5498">
        <v>-225.45849999999999</v>
      </c>
      <c r="K5498">
        <v>1.1123540000000001</v>
      </c>
      <c r="L5498">
        <v>-62.670439999999999</v>
      </c>
      <c r="M5498">
        <v>0.99949310000000002</v>
      </c>
      <c r="N5498">
        <v>-1.3831639999999999E-2</v>
      </c>
      <c r="O5498">
        <v>2.8678740000000001E-2</v>
      </c>
      <c r="P5498">
        <v>0.88522939999999894</v>
      </c>
      <c r="Q5498">
        <v>0.40938000000000002</v>
      </c>
      <c r="R5498">
        <v>0.22085560000000001</v>
      </c>
      <c r="S5498">
        <v>3.4422299999999999</v>
      </c>
      <c r="T5498">
        <v>-0.47337200000000001</v>
      </c>
      <c r="U5498">
        <v>0.66470340000000006</v>
      </c>
      <c r="V5498">
        <v>-0.19658300000000001</v>
      </c>
      <c r="W5498">
        <v>0.42110579999999997</v>
      </c>
      <c r="X5498">
        <v>0.88545189999999996</v>
      </c>
      <c r="Y5498">
        <v>-0.15996949999999999</v>
      </c>
      <c r="Z5498">
        <v>8.4759569999999992E-3</v>
      </c>
      <c r="AA5498">
        <v>0.98708560000000001</v>
      </c>
      <c r="AB5498">
        <v>29</v>
      </c>
      <c r="AC5498">
        <v>7.9458999999999902</v>
      </c>
      <c r="AD5498">
        <v>-1.112356386034</v>
      </c>
      <c r="AE5498">
        <v>1.55720999999999</v>
      </c>
      <c r="AF5498">
        <v>-1.30405808679003</v>
      </c>
      <c r="AG5498">
        <v>-1.112356386034</v>
      </c>
      <c r="AH5498">
        <v>7.83934450911784</v>
      </c>
      <c r="AI5498">
        <v>97.967961876428205</v>
      </c>
      <c r="AJ5498">
        <v>99.444548012911497</v>
      </c>
      <c r="AK5498">
        <v>8.0245390245115704</v>
      </c>
      <c r="AL5498">
        <v>65.095579538335897</v>
      </c>
      <c r="AM5498">
        <v>102.517455759843</v>
      </c>
      <c r="AN5498">
        <v>1.00000001894812</v>
      </c>
    </row>
    <row r="5499" spans="1:40" x14ac:dyDescent="0.25">
      <c r="A5499" t="str">
        <f>"20190304164754976"</f>
        <v>20190304164754976</v>
      </c>
      <c r="B5499" t="str">
        <f>"1551689274964658"</f>
        <v>1551689274964658</v>
      </c>
      <c r="C5499" t="s">
        <v>40</v>
      </c>
      <c r="D5499">
        <v>4.5823289999999997</v>
      </c>
      <c r="E5499">
        <v>0.52877069999999904</v>
      </c>
      <c r="F5499" t="s">
        <v>62</v>
      </c>
      <c r="G5499">
        <v>-217.3946</v>
      </c>
      <c r="H5499" s="1">
        <v>-2.333961E-6</v>
      </c>
      <c r="I5499">
        <v>-61.107750000000003</v>
      </c>
      <c r="J5499">
        <v>-225.30590000000001</v>
      </c>
      <c r="K5499">
        <v>1.1123419999999999</v>
      </c>
      <c r="L5499">
        <v>-62.665280000000003</v>
      </c>
      <c r="M5499">
        <v>0.9994712</v>
      </c>
      <c r="N5499">
        <v>-1.376606E-2</v>
      </c>
      <c r="O5499">
        <v>2.945679E-2</v>
      </c>
      <c r="P5499">
        <v>0.88492919999999997</v>
      </c>
      <c r="Q5499">
        <v>0.40950520000000001</v>
      </c>
      <c r="R5499">
        <v>0.22182370000000001</v>
      </c>
      <c r="S5499">
        <v>3.442123</v>
      </c>
      <c r="T5499">
        <v>-0.4748174</v>
      </c>
      <c r="U5499">
        <v>0.66702269999999997</v>
      </c>
      <c r="V5499">
        <v>-0.19686529999999999</v>
      </c>
      <c r="W5499">
        <v>0.42117109999999902</v>
      </c>
      <c r="X5499">
        <v>0.88535810000000004</v>
      </c>
      <c r="Y5499">
        <v>-0.1598483</v>
      </c>
      <c r="Z5499">
        <v>8.3855189999999993E-3</v>
      </c>
      <c r="AA5499">
        <v>0.98710600000000004</v>
      </c>
      <c r="AB5499">
        <v>29</v>
      </c>
      <c r="AC5499">
        <v>7.9113000000000104</v>
      </c>
      <c r="AD5499">
        <v>-1.112344333961</v>
      </c>
      <c r="AE5499">
        <v>1.5575300000000001</v>
      </c>
      <c r="AF5499">
        <v>-1.29906748191068</v>
      </c>
      <c r="AG5499">
        <v>-1.112344333961</v>
      </c>
      <c r="AH5499">
        <v>7.80520743526787</v>
      </c>
      <c r="AI5499">
        <v>98.002161996347297</v>
      </c>
      <c r="AJ5499">
        <v>99.449462533308207</v>
      </c>
      <c r="AK5499">
        <v>7.9903785484427301</v>
      </c>
      <c r="AL5499">
        <v>65.091454068169</v>
      </c>
      <c r="AM5499">
        <v>102.536149585354</v>
      </c>
      <c r="AN5499">
        <v>1.0000000035274501</v>
      </c>
    </row>
    <row r="5500" spans="1:40" x14ac:dyDescent="0.25">
      <c r="A5500" t="str">
        <f>"20190304164754987"</f>
        <v>20190304164754987</v>
      </c>
      <c r="B5500" t="str">
        <f>"1551689274974416"</f>
        <v>1551689274974416</v>
      </c>
      <c r="C5500" t="s">
        <v>40</v>
      </c>
      <c r="D5500">
        <v>4.6324139999999998</v>
      </c>
      <c r="E5500">
        <v>0.50929519999999995</v>
      </c>
      <c r="F5500" t="s">
        <v>62</v>
      </c>
      <c r="G5500">
        <v>-217.23480000000001</v>
      </c>
      <c r="H5500" s="1">
        <v>-2.2613580000000002E-6</v>
      </c>
      <c r="I5500">
        <v>-61.092599999999997</v>
      </c>
      <c r="J5500">
        <v>-225.16470000000001</v>
      </c>
      <c r="K5500">
        <v>1.11232999999999</v>
      </c>
      <c r="L5500">
        <v>-62.660369999999901</v>
      </c>
      <c r="M5500">
        <v>0.99945079999999997</v>
      </c>
      <c r="N5500">
        <v>-1.3699879999999999E-2</v>
      </c>
      <c r="O5500">
        <v>3.0177619999999999E-2</v>
      </c>
      <c r="P5500">
        <v>0.88479349999999901</v>
      </c>
      <c r="Q5500">
        <v>0.40929840000000001</v>
      </c>
      <c r="R5500">
        <v>0.22274540000000001</v>
      </c>
      <c r="S5500">
        <v>3.441513</v>
      </c>
      <c r="T5500">
        <v>-0.4743</v>
      </c>
      <c r="U5500">
        <v>0.67056269999999996</v>
      </c>
      <c r="V5500">
        <v>-0.19714660000000001</v>
      </c>
      <c r="W5500">
        <v>0.42090549999999999</v>
      </c>
      <c r="X5500">
        <v>0.88542180000000004</v>
      </c>
      <c r="Y5500">
        <v>-0.16015360000000001</v>
      </c>
      <c r="Z5500">
        <v>8.3062429999999996E-3</v>
      </c>
      <c r="AA5500">
        <v>0.98705710000000002</v>
      </c>
      <c r="AB5500">
        <v>29</v>
      </c>
      <c r="AC5500">
        <v>7.9298999999999999</v>
      </c>
      <c r="AD5500">
        <v>-1.11233226135799</v>
      </c>
      <c r="AE5500">
        <v>1.5677699999999899</v>
      </c>
      <c r="AF5500">
        <v>-1.3030536320042101</v>
      </c>
      <c r="AG5500">
        <v>-1.11233226135799</v>
      </c>
      <c r="AH5500">
        <v>7.8254236267323103</v>
      </c>
      <c r="AI5500">
        <v>97.981569116928299</v>
      </c>
      <c r="AJ5500">
        <v>99.453889918479405</v>
      </c>
      <c r="AK5500">
        <v>8.0107731690116797</v>
      </c>
      <c r="AL5500">
        <v>65.108231116640596</v>
      </c>
      <c r="AM5500">
        <v>102.55262051915901</v>
      </c>
      <c r="AN5500">
        <v>0.99999999286852403</v>
      </c>
    </row>
    <row r="5501" spans="1:40" x14ac:dyDescent="0.25">
      <c r="A5501" t="str">
        <f>"20190304164754998"</f>
        <v>20190304164754998</v>
      </c>
      <c r="B5501" t="str">
        <f>"1551689274994913"</f>
        <v>1551689274994913</v>
      </c>
      <c r="C5501" t="s">
        <v>40</v>
      </c>
      <c r="D5501">
        <v>4.5344069999999999</v>
      </c>
      <c r="E5501">
        <v>0.46879850000000001</v>
      </c>
      <c r="F5501" t="s">
        <v>62</v>
      </c>
      <c r="G5501">
        <v>-215.7713</v>
      </c>
      <c r="H5501" s="1">
        <v>-1.447158E-6</v>
      </c>
      <c r="I5501">
        <v>-60.392169999999901</v>
      </c>
      <c r="J5501">
        <v>-225.01660000000001</v>
      </c>
      <c r="K5501">
        <v>1.1123190000000001</v>
      </c>
      <c r="L5501">
        <v>-62.655119999999997</v>
      </c>
      <c r="M5501">
        <v>0.9994286</v>
      </c>
      <c r="N5501">
        <v>-1.363002E-2</v>
      </c>
      <c r="O5501">
        <v>3.0934059999999999E-2</v>
      </c>
      <c r="P5501">
        <v>0.88453660000000001</v>
      </c>
      <c r="Q5501">
        <v>0.4093118</v>
      </c>
      <c r="R5501">
        <v>0.22373899999999999</v>
      </c>
      <c r="S5501">
        <v>3.3703769999999902</v>
      </c>
      <c r="T5501">
        <v>-0.39910699999999999</v>
      </c>
      <c r="U5501">
        <v>0.81381230000000004</v>
      </c>
      <c r="V5501">
        <v>-0.1974717</v>
      </c>
      <c r="W5501">
        <v>0.4208558</v>
      </c>
      <c r="X5501">
        <v>0.88537310000000002</v>
      </c>
      <c r="Y5501">
        <v>-0.2031878</v>
      </c>
      <c r="Z5501">
        <v>1.004936E-2</v>
      </c>
      <c r="AA5501">
        <v>0.97908819999999996</v>
      </c>
      <c r="AB5501">
        <v>29</v>
      </c>
      <c r="AC5501">
        <v>9.2453000000000092</v>
      </c>
      <c r="AD5501">
        <v>-1.1123204471579999</v>
      </c>
      <c r="AE5501">
        <v>2.26295</v>
      </c>
      <c r="AF5501">
        <v>-1.9492254647568099</v>
      </c>
      <c r="AG5501">
        <v>-1.1123204471579999</v>
      </c>
      <c r="AH5501">
        <v>9.1854398170270404</v>
      </c>
      <c r="AI5501">
        <v>96.7556726117392</v>
      </c>
      <c r="AJ5501">
        <v>101.980900691217</v>
      </c>
      <c r="AK5501">
        <v>9.4556354266568405</v>
      </c>
      <c r="AL5501">
        <v>65.111373182697605</v>
      </c>
      <c r="AM5501">
        <v>102.573332103564</v>
      </c>
      <c r="AN5501">
        <v>1.00000010144906</v>
      </c>
    </row>
    <row r="5502" spans="1:40" x14ac:dyDescent="0.25">
      <c r="A5502" t="str">
        <f>"20190304164755011"</f>
        <v>20190304164755011</v>
      </c>
      <c r="B5502" t="str">
        <f>"1551689275004672"</f>
        <v>1551689275004672</v>
      </c>
      <c r="C5502" t="s">
        <v>40</v>
      </c>
      <c r="D5502">
        <v>4.5399459999999996</v>
      </c>
      <c r="E5502">
        <v>0.46702149999999998</v>
      </c>
      <c r="F5502" t="s">
        <v>62</v>
      </c>
      <c r="G5502">
        <v>-211.86699999999999</v>
      </c>
      <c r="H5502" s="1">
        <v>-2.0805399999999999E-7</v>
      </c>
      <c r="I5502">
        <v>-58.128889999999998</v>
      </c>
      <c r="J5502">
        <v>-224.84950000000001</v>
      </c>
      <c r="K5502">
        <v>1.1123019999999999</v>
      </c>
      <c r="L5502">
        <v>-62.649079999999998</v>
      </c>
      <c r="M5502">
        <v>0.99940289999999998</v>
      </c>
      <c r="N5502">
        <v>-1.3550390000000001E-2</v>
      </c>
      <c r="O5502">
        <v>3.1788280000000002E-2</v>
      </c>
      <c r="P5502">
        <v>0.88432429999999995</v>
      </c>
      <c r="Q5502">
        <v>0.40919240000000001</v>
      </c>
      <c r="R5502">
        <v>0.22479479999999999</v>
      </c>
      <c r="S5502">
        <v>3.2364809999999999</v>
      </c>
      <c r="T5502">
        <v>-0.27377210000000002</v>
      </c>
      <c r="U5502">
        <v>1.1140139999999901</v>
      </c>
      <c r="V5502">
        <v>-0.1977709</v>
      </c>
      <c r="W5502">
        <v>0.42066500000000001</v>
      </c>
      <c r="X5502">
        <v>0.88539690000000004</v>
      </c>
      <c r="Y5502">
        <v>-0.2942092</v>
      </c>
      <c r="Z5502">
        <v>1.194154E-2</v>
      </c>
      <c r="AA5502">
        <v>0.95566640000000003</v>
      </c>
      <c r="AB5502">
        <v>29</v>
      </c>
      <c r="AC5502">
        <v>12.9824999999999</v>
      </c>
      <c r="AD5502">
        <v>-1.1123022080539999</v>
      </c>
      <c r="AE5502">
        <v>4.5201900000000004</v>
      </c>
      <c r="AF5502">
        <v>-4.0784746424990601</v>
      </c>
      <c r="AG5502">
        <v>-1.1123022080539999</v>
      </c>
      <c r="AH5502">
        <v>13.034305714826401</v>
      </c>
      <c r="AI5502">
        <v>94.656043428587296</v>
      </c>
      <c r="AJ5502">
        <v>107.375063263518</v>
      </c>
      <c r="AK5502">
        <v>13.702711303939299</v>
      </c>
      <c r="AL5502">
        <v>65.123421716511103</v>
      </c>
      <c r="AM5502">
        <v>102.59144788767099</v>
      </c>
      <c r="AN5502">
        <v>1.0000000208207001</v>
      </c>
    </row>
    <row r="5503" spans="1:40" x14ac:dyDescent="0.25">
      <c r="A5503" t="str">
        <f>"20190304164755026"</f>
        <v>20190304164755026</v>
      </c>
      <c r="B5503" t="str">
        <f>"1551689275014433"</f>
        <v>1551689275014433</v>
      </c>
      <c r="C5503" t="s">
        <v>40</v>
      </c>
      <c r="D5503">
        <v>4.5333540000000001</v>
      </c>
      <c r="E5503">
        <v>0.46602300000000002</v>
      </c>
      <c r="F5503" t="s">
        <v>62</v>
      </c>
      <c r="G5503">
        <v>-211.6464</v>
      </c>
      <c r="H5503" s="1">
        <v>-1.5949159999999999E-7</v>
      </c>
      <c r="I5503">
        <v>-58.029269999999997</v>
      </c>
      <c r="J5503">
        <v>-224.66079999999999</v>
      </c>
      <c r="K5503">
        <v>1.1122890000000001</v>
      </c>
      <c r="L5503">
        <v>-62.642060000000001</v>
      </c>
      <c r="M5503">
        <v>0.99937279999999995</v>
      </c>
      <c r="N5503">
        <v>-1.346138E-2</v>
      </c>
      <c r="O5503">
        <v>3.2753049999999999E-2</v>
      </c>
      <c r="P5503">
        <v>0.88389759999999995</v>
      </c>
      <c r="Q5503">
        <v>0.40944219999999998</v>
      </c>
      <c r="R5503">
        <v>0.22601360000000001</v>
      </c>
      <c r="S5503">
        <v>3.2310029999999998</v>
      </c>
      <c r="T5503">
        <v>-0.27219759999999998</v>
      </c>
      <c r="U5503">
        <v>1.1305240000000001</v>
      </c>
      <c r="V5503">
        <v>-0.19814129999999999</v>
      </c>
      <c r="W5503">
        <v>0.42083330000000002</v>
      </c>
      <c r="X5503">
        <v>0.88523410000000002</v>
      </c>
      <c r="Y5503">
        <v>-0.29813899999999999</v>
      </c>
      <c r="Z5503">
        <v>1.2001660000000001E-2</v>
      </c>
      <c r="AA5503">
        <v>0.95444700000000005</v>
      </c>
      <c r="AB5503">
        <v>29</v>
      </c>
      <c r="AC5503">
        <v>13.014399999999901</v>
      </c>
      <c r="AD5503">
        <v>-1.11228915949159</v>
      </c>
      <c r="AE5503">
        <v>4.6127900000000004</v>
      </c>
      <c r="AF5503">
        <v>-4.1570387728211999</v>
      </c>
      <c r="AG5503">
        <v>-1.11228915949159</v>
      </c>
      <c r="AH5503">
        <v>13.0736747585117</v>
      </c>
      <c r="AI5503">
        <v>94.635315952080006</v>
      </c>
      <c r="AJ5503">
        <v>107.63911256800699</v>
      </c>
      <c r="AK5503">
        <v>13.7636888305573</v>
      </c>
      <c r="AL5503">
        <v>65.112792321381704</v>
      </c>
      <c r="AM5503">
        <v>102.61652166052301</v>
      </c>
      <c r="AN5503">
        <v>1.0000000264786899</v>
      </c>
    </row>
    <row r="5504" spans="1:40" x14ac:dyDescent="0.25">
      <c r="A5504" t="str">
        <f>"20190304164755044"</f>
        <v>20190304164755044</v>
      </c>
      <c r="B5504" t="str">
        <f>"1551689275034928"</f>
        <v>1551689275034928</v>
      </c>
      <c r="C5504" t="s">
        <v>40</v>
      </c>
      <c r="D5504">
        <v>4.5238329999999998</v>
      </c>
      <c r="E5504">
        <v>0.46553840000000002</v>
      </c>
      <c r="F5504" t="s">
        <v>62</v>
      </c>
      <c r="G5504">
        <v>-211.3973</v>
      </c>
      <c r="H5504" s="1">
        <v>-9.7639139999999997E-8</v>
      </c>
      <c r="I5504">
        <v>-57.943150000000003</v>
      </c>
      <c r="J5504">
        <v>-224.41460000000001</v>
      </c>
      <c r="K5504">
        <v>1.1122719999999999</v>
      </c>
      <c r="L5504">
        <v>-62.632629999999999</v>
      </c>
      <c r="M5504">
        <v>0.99933249999999996</v>
      </c>
      <c r="N5504">
        <v>-1.3345579999999999E-2</v>
      </c>
      <c r="O5504">
        <v>3.4012460000000001E-2</v>
      </c>
      <c r="P5504">
        <v>0.88334570000000001</v>
      </c>
      <c r="Q5504">
        <v>0.40971689999999999</v>
      </c>
      <c r="R5504">
        <v>0.22766819999999999</v>
      </c>
      <c r="S5504">
        <v>3.2270810000000001</v>
      </c>
      <c r="T5504">
        <v>-0.2706248</v>
      </c>
      <c r="U5504">
        <v>1.1432500000000001</v>
      </c>
      <c r="V5504">
        <v>-0.19868939999999999</v>
      </c>
      <c r="W5504">
        <v>0.42100159999999998</v>
      </c>
      <c r="X5504">
        <v>0.88503120000000002</v>
      </c>
      <c r="Y5504">
        <v>-0.30065069999999999</v>
      </c>
      <c r="Z5504">
        <v>1.1965E-2</v>
      </c>
      <c r="AA5504">
        <v>0.95365929999999999</v>
      </c>
      <c r="AB5504">
        <v>29</v>
      </c>
      <c r="AC5504">
        <v>13.017300000000001</v>
      </c>
      <c r="AD5504">
        <v>-1.11227209763913</v>
      </c>
      <c r="AE5504">
        <v>4.6894799999999996</v>
      </c>
      <c r="AF5504">
        <v>-4.2167267768681604</v>
      </c>
      <c r="AG5504">
        <v>-1.11227209763913</v>
      </c>
      <c r="AH5504">
        <v>13.084724615262401</v>
      </c>
      <c r="AI5504">
        <v>94.625603202330694</v>
      </c>
      <c r="AJ5504">
        <v>107.86222721085601</v>
      </c>
      <c r="AK5504">
        <v>13.7923149683871</v>
      </c>
      <c r="AL5504">
        <v>65.102161819679907</v>
      </c>
      <c r="AM5504">
        <v>102.653106665473</v>
      </c>
      <c r="AN5504">
        <v>1.0000000249241701</v>
      </c>
    </row>
    <row r="5505" spans="1:40" x14ac:dyDescent="0.25">
      <c r="A5505" t="str">
        <f>"20190304164755057"</f>
        <v>20190304164755057</v>
      </c>
      <c r="B5505" t="str">
        <f>"1551689275044689"</f>
        <v>1551689275044689</v>
      </c>
      <c r="C5505" t="s">
        <v>40</v>
      </c>
      <c r="D5505">
        <v>4.5236419999999997</v>
      </c>
      <c r="E5505">
        <v>0.46554719999999999</v>
      </c>
      <c r="F5505" t="s">
        <v>62</v>
      </c>
      <c r="G5505">
        <v>-211.2054</v>
      </c>
      <c r="H5505" s="1">
        <v>-4.1114050000000003E-8</v>
      </c>
      <c r="I5505">
        <v>-57.910240000000002</v>
      </c>
      <c r="J5505">
        <v>-224.25129999999999</v>
      </c>
      <c r="K5505">
        <v>1.112263</v>
      </c>
      <c r="L5505">
        <v>-62.626220000000004</v>
      </c>
      <c r="M5505">
        <v>0.99930469999999905</v>
      </c>
      <c r="N5505">
        <v>-1.3269370000000001E-2</v>
      </c>
      <c r="O5505">
        <v>3.4847950000000003E-2</v>
      </c>
      <c r="P5505">
        <v>0.88307909999999901</v>
      </c>
      <c r="Q5505">
        <v>0.40959679999999998</v>
      </c>
      <c r="R5505">
        <v>0.22891500000000001</v>
      </c>
      <c r="S5505">
        <v>3.225006</v>
      </c>
      <c r="T5505">
        <v>-0.27156039999999998</v>
      </c>
      <c r="U5505">
        <v>1.152954</v>
      </c>
      <c r="V5505">
        <v>-0.19919909999999999</v>
      </c>
      <c r="W5505">
        <v>0.42081210000000002</v>
      </c>
      <c r="X5505">
        <v>0.88500669999999904</v>
      </c>
      <c r="Y5505">
        <v>-0.30258249999999998</v>
      </c>
      <c r="Z5505">
        <v>1.2020080000000001E-2</v>
      </c>
      <c r="AA5505">
        <v>0.95304739999999999</v>
      </c>
      <c r="AB5505">
        <v>29</v>
      </c>
      <c r="AC5505">
        <v>13.0458999999999</v>
      </c>
      <c r="AD5505">
        <v>-1.1122630411140499</v>
      </c>
      <c r="AE5505">
        <v>4.7159799999999903</v>
      </c>
      <c r="AF5505">
        <v>-4.2312505179564601</v>
      </c>
      <c r="AG5505">
        <v>-1.1122630411140499</v>
      </c>
      <c r="AH5505">
        <v>13.117998776263599</v>
      </c>
      <c r="AI5505">
        <v>94.613494842184807</v>
      </c>
      <c r="AJ5505">
        <v>107.877264527501</v>
      </c>
      <c r="AK5505">
        <v>13.8283224547444</v>
      </c>
      <c r="AL5505">
        <v>65.114130145854503</v>
      </c>
      <c r="AM5505">
        <v>102.68485663156901</v>
      </c>
      <c r="AN5505">
        <v>0.999999981996054</v>
      </c>
    </row>
    <row r="5506" spans="1:40" x14ac:dyDescent="0.25">
      <c r="A5506" t="str">
        <f>"20190304164755067"</f>
        <v>20190304164755067</v>
      </c>
      <c r="B5506" t="str">
        <f>"1551689275054448"</f>
        <v>1551689275054448</v>
      </c>
      <c r="C5506" t="s">
        <v>40</v>
      </c>
      <c r="D5506">
        <v>4.5360370000000003</v>
      </c>
      <c r="E5506">
        <v>0.46561900000000001</v>
      </c>
      <c r="F5506" t="s">
        <v>62</v>
      </c>
      <c r="G5506">
        <v>-211.2106</v>
      </c>
      <c r="H5506" s="1">
        <v>-3.3293869999999998E-8</v>
      </c>
      <c r="I5506">
        <v>-57.946210000000001</v>
      </c>
      <c r="J5506">
        <v>-224.113</v>
      </c>
      <c r="K5506">
        <v>1.1122559999999999</v>
      </c>
      <c r="L5506">
        <v>-62.620699999999999</v>
      </c>
      <c r="M5506">
        <v>0.99928059999999996</v>
      </c>
      <c r="N5506">
        <v>-1.320664E-2</v>
      </c>
      <c r="O5506">
        <v>3.5554809999999999E-2</v>
      </c>
      <c r="P5506">
        <v>0.88274430000000004</v>
      </c>
      <c r="Q5506">
        <v>0.40976400000000002</v>
      </c>
      <c r="R5506">
        <v>0.2299051</v>
      </c>
      <c r="S5506">
        <v>3.224777</v>
      </c>
      <c r="T5506">
        <v>-0.27504689999999998</v>
      </c>
      <c r="U5506">
        <v>1.1572880000000001</v>
      </c>
      <c r="V5506">
        <v>-0.19957030000000001</v>
      </c>
      <c r="W5506">
        <v>0.42092059999999998</v>
      </c>
      <c r="X5506">
        <v>0.88487150000000003</v>
      </c>
      <c r="Y5506">
        <v>-0.30304209999999998</v>
      </c>
      <c r="Z5506">
        <v>1.21017E-2</v>
      </c>
      <c r="AA5506">
        <v>0.95290039999999998</v>
      </c>
      <c r="AB5506">
        <v>29</v>
      </c>
      <c r="AC5506">
        <v>12.9024</v>
      </c>
      <c r="AD5506">
        <v>-1.11225603329387</v>
      </c>
      <c r="AE5506">
        <v>4.6744899999999898</v>
      </c>
      <c r="AF5506">
        <v>-4.1852581768356201</v>
      </c>
      <c r="AG5506">
        <v>-1.11225603329387</v>
      </c>
      <c r="AH5506">
        <v>12.975220150573101</v>
      </c>
      <c r="AI5506">
        <v>94.664003062038006</v>
      </c>
      <c r="AJ5506">
        <v>107.877509866612</v>
      </c>
      <c r="AK5506">
        <v>13.6788097964043</v>
      </c>
      <c r="AL5506">
        <v>65.107277903299405</v>
      </c>
      <c r="AM5506">
        <v>102.70960602180701</v>
      </c>
      <c r="AN5506">
        <v>1.0000000138293399</v>
      </c>
    </row>
    <row r="5507" spans="1:40" x14ac:dyDescent="0.25">
      <c r="A5507" t="str">
        <f>"20190304164755078"</f>
        <v>20190304164755078</v>
      </c>
      <c r="B5507" t="str">
        <f>"1551689275074945"</f>
        <v>1551689275074945</v>
      </c>
      <c r="C5507" t="s">
        <v>40</v>
      </c>
      <c r="D5507">
        <v>4.5330919999999999</v>
      </c>
      <c r="E5507">
        <v>0.4659162</v>
      </c>
      <c r="F5507" t="s">
        <v>62</v>
      </c>
      <c r="G5507">
        <v>-211.0831</v>
      </c>
      <c r="H5507" s="1">
        <v>5.8524849999999901E-9</v>
      </c>
      <c r="I5507">
        <v>-57.930349999999997</v>
      </c>
      <c r="J5507">
        <v>-223.9692</v>
      </c>
      <c r="K5507">
        <v>1.1122529999999999</v>
      </c>
      <c r="L5507">
        <v>-62.614840000000001</v>
      </c>
      <c r="M5507">
        <v>0.9992548</v>
      </c>
      <c r="N5507">
        <v>-1.3143129999999999E-2</v>
      </c>
      <c r="O5507">
        <v>3.6290219999999998E-2</v>
      </c>
      <c r="P5507">
        <v>0.8823221</v>
      </c>
      <c r="Q5507">
        <v>0.40996379999999999</v>
      </c>
      <c r="R5507">
        <v>0.2311648</v>
      </c>
      <c r="S5507">
        <v>3.2239990000000001</v>
      </c>
      <c r="T5507">
        <v>-0.27520640000000002</v>
      </c>
      <c r="U5507">
        <v>1.1605219999999901</v>
      </c>
      <c r="V5507">
        <v>-0.2001889</v>
      </c>
      <c r="W5507">
        <v>0.42105949999999998</v>
      </c>
      <c r="X5507">
        <v>0.884665699999999</v>
      </c>
      <c r="Y5507">
        <v>-0.30326150000000002</v>
      </c>
      <c r="Z5507">
        <v>1.2055400000000001E-2</v>
      </c>
      <c r="AA5507">
        <v>0.95283110000000004</v>
      </c>
      <c r="AB5507">
        <v>29</v>
      </c>
      <c r="AC5507">
        <v>12.886100000000001</v>
      </c>
      <c r="AD5507">
        <v>-1.1122529941475101</v>
      </c>
      <c r="AE5507">
        <v>4.6844900000000003</v>
      </c>
      <c r="AF5507">
        <v>-4.1861768193242801</v>
      </c>
      <c r="AG5507">
        <v>-1.1122529941475101</v>
      </c>
      <c r="AH5507">
        <v>12.9623277134143</v>
      </c>
      <c r="AI5507">
        <v>94.668076594826204</v>
      </c>
      <c r="AJ5507">
        <v>107.897834740509</v>
      </c>
      <c r="AK5507">
        <v>13.6668622161631</v>
      </c>
      <c r="AL5507">
        <v>65.098505079884305</v>
      </c>
      <c r="AM5507">
        <v>102.750584649865</v>
      </c>
      <c r="AN5507">
        <v>1.0000000494899699</v>
      </c>
    </row>
    <row r="5508" spans="1:40" x14ac:dyDescent="0.25">
      <c r="A5508" t="str">
        <f>"20190304164755089"</f>
        <v>20190304164755089</v>
      </c>
      <c r="B5508" t="str">
        <f>"1551689275084706"</f>
        <v>1551689275084706</v>
      </c>
      <c r="C5508" t="s">
        <v>40</v>
      </c>
      <c r="D5508">
        <v>4.5250269999999997</v>
      </c>
      <c r="E5508">
        <v>0.46609620000000002</v>
      </c>
      <c r="F5508" t="s">
        <v>62</v>
      </c>
      <c r="G5508">
        <v>-210.9753</v>
      </c>
      <c r="H5508" s="1">
        <v>4.2381319999999997E-8</v>
      </c>
      <c r="I5508">
        <v>-57.929659999999998</v>
      </c>
      <c r="J5508">
        <v>-223.82470000000001</v>
      </c>
      <c r="K5508">
        <v>1.1122479999999999</v>
      </c>
      <c r="L5508">
        <v>-62.60886</v>
      </c>
      <c r="M5508">
        <v>0.99922849999999996</v>
      </c>
      <c r="N5508">
        <v>-1.3082150000000001E-2</v>
      </c>
      <c r="O5508">
        <v>3.7029020000000003E-2</v>
      </c>
      <c r="P5508">
        <v>0.88179779999999996</v>
      </c>
      <c r="Q5508">
        <v>0.41041240000000001</v>
      </c>
      <c r="R5508">
        <v>0.2323664</v>
      </c>
      <c r="S5508">
        <v>3.2238159999999998</v>
      </c>
      <c r="T5508">
        <v>-0.27595150000000002</v>
      </c>
      <c r="U5508">
        <v>1.1623840000000001</v>
      </c>
      <c r="V5508">
        <v>-0.2007526</v>
      </c>
      <c r="W5508">
        <v>0.4214483</v>
      </c>
      <c r="X5508">
        <v>0.88435269999999999</v>
      </c>
      <c r="Y5508">
        <v>-0.30305989999999999</v>
      </c>
      <c r="Z5508">
        <v>1.20079E-2</v>
      </c>
      <c r="AA5508">
        <v>0.95289590000000002</v>
      </c>
      <c r="AB5508">
        <v>29</v>
      </c>
      <c r="AC5508">
        <v>12.849399999999999</v>
      </c>
      <c r="AD5508">
        <v>-1.1122479576186799</v>
      </c>
      <c r="AE5508">
        <v>4.6791999999999998</v>
      </c>
      <c r="AF5508">
        <v>-4.1725458579200003</v>
      </c>
      <c r="AG5508">
        <v>-1.1122479576186799</v>
      </c>
      <c r="AH5508">
        <v>12.928340958440399</v>
      </c>
      <c r="AI5508">
        <v>94.680552523843502</v>
      </c>
      <c r="AJ5508">
        <v>107.88717914396901</v>
      </c>
      <c r="AK5508">
        <v>13.6304524647335</v>
      </c>
      <c r="AL5508">
        <v>65.073941117712494</v>
      </c>
      <c r="AM5508">
        <v>102.78968610566599</v>
      </c>
      <c r="AN5508">
        <v>0.99999998698846904</v>
      </c>
    </row>
    <row r="5509" spans="1:40" x14ac:dyDescent="0.25">
      <c r="A5509" t="str">
        <f>"20190304164755101"</f>
        <v>20190304164755101</v>
      </c>
      <c r="B5509" t="str">
        <f>"1551689275094463"</f>
        <v>1551689275094463</v>
      </c>
      <c r="C5509" t="s">
        <v>40</v>
      </c>
      <c r="D5509">
        <v>4.5168470000000003</v>
      </c>
      <c r="E5509">
        <v>0.46633170000000002</v>
      </c>
      <c r="F5509" t="s">
        <v>62</v>
      </c>
      <c r="G5509">
        <v>-210.81530000000001</v>
      </c>
      <c r="H5509" s="1">
        <v>8.8970980000000003E-8</v>
      </c>
      <c r="I5509">
        <v>-57.90016</v>
      </c>
      <c r="J5509">
        <v>-223.67490000000001</v>
      </c>
      <c r="K5509">
        <v>1.112242</v>
      </c>
      <c r="L5509">
        <v>-62.602510000000002</v>
      </c>
      <c r="M5509">
        <v>0.99920070000000005</v>
      </c>
      <c r="N5509">
        <v>-1.302208E-2</v>
      </c>
      <c r="O5509">
        <v>3.7795120000000001E-2</v>
      </c>
      <c r="P5509">
        <v>0.88139330000000005</v>
      </c>
      <c r="Q5509">
        <v>0.41068650000000001</v>
      </c>
      <c r="R5509">
        <v>0.23341519999999999</v>
      </c>
      <c r="S5509">
        <v>3.2229920000000001</v>
      </c>
      <c r="T5509">
        <v>-0.27555220000000002</v>
      </c>
      <c r="U5509">
        <v>1.166534</v>
      </c>
      <c r="V5509">
        <v>-0.2011346</v>
      </c>
      <c r="W5509">
        <v>0.42166530000000002</v>
      </c>
      <c r="X5509">
        <v>0.88416249999999996</v>
      </c>
      <c r="Y5509">
        <v>-0.3034965</v>
      </c>
      <c r="Z5509">
        <v>1.1950819999999999E-2</v>
      </c>
      <c r="AA5509">
        <v>0.95275759999999998</v>
      </c>
      <c r="AB5509">
        <v>29</v>
      </c>
      <c r="AC5509">
        <v>12.8596</v>
      </c>
      <c r="AD5509">
        <v>-1.11224191102902</v>
      </c>
      <c r="AE5509">
        <v>4.7023499999999903</v>
      </c>
      <c r="AF5509">
        <v>-4.1853019232275201</v>
      </c>
      <c r="AG5509">
        <v>-1.11224191102902</v>
      </c>
      <c r="AH5509">
        <v>12.9427495554188</v>
      </c>
      <c r="AI5509">
        <v>94.674487011978002</v>
      </c>
      <c r="AJ5509">
        <v>107.919671232567</v>
      </c>
      <c r="AK5509">
        <v>13.6480255096301</v>
      </c>
      <c r="AL5509">
        <v>65.0602314916582</v>
      </c>
      <c r="AM5509">
        <v>102.815885565485</v>
      </c>
      <c r="AN5509">
        <v>1.0000000394737401</v>
      </c>
    </row>
    <row r="5510" spans="1:40" x14ac:dyDescent="0.25">
      <c r="A5510" t="str">
        <f>"20190304164755111"</f>
        <v>20190304164755111</v>
      </c>
      <c r="B5510" t="str">
        <f>"1551689275105200"</f>
        <v>1551689275105200</v>
      </c>
      <c r="C5510" t="s">
        <v>40</v>
      </c>
      <c r="D5510">
        <v>4.5370990000000004</v>
      </c>
      <c r="E5510">
        <v>0.46645160000000002</v>
      </c>
      <c r="F5510" t="s">
        <v>62</v>
      </c>
      <c r="G5510">
        <v>-210.64320000000001</v>
      </c>
      <c r="H5510" s="1">
        <v>1.404039E-7</v>
      </c>
      <c r="I5510">
        <v>-57.873309999999996</v>
      </c>
      <c r="J5510">
        <v>-223.53</v>
      </c>
      <c r="K5510">
        <v>1.112239</v>
      </c>
      <c r="L5510">
        <v>-62.59628</v>
      </c>
      <c r="M5510">
        <v>0.99917299999999998</v>
      </c>
      <c r="N5510">
        <v>-1.2966139999999999E-2</v>
      </c>
      <c r="O5510">
        <v>3.8536939999999999E-2</v>
      </c>
      <c r="P5510">
        <v>0.88094509999999904</v>
      </c>
      <c r="Q5510">
        <v>0.41102680000000003</v>
      </c>
      <c r="R5510">
        <v>0.23450579999999999</v>
      </c>
      <c r="S5510">
        <v>3.2221829999999998</v>
      </c>
      <c r="T5510">
        <v>-0.2750089</v>
      </c>
      <c r="U5510">
        <v>1.1693119999999999</v>
      </c>
      <c r="V5510">
        <v>-0.20158309999999999</v>
      </c>
      <c r="W5510">
        <v>0.42195110000000002</v>
      </c>
      <c r="X5510">
        <v>0.88392389999999998</v>
      </c>
      <c r="Y5510">
        <v>-0.30359760000000002</v>
      </c>
      <c r="Z5510">
        <v>1.1875749999999999E-2</v>
      </c>
      <c r="AA5510">
        <v>0.95272630000000003</v>
      </c>
      <c r="AB5510">
        <v>29</v>
      </c>
      <c r="AC5510">
        <v>12.8867999999999</v>
      </c>
      <c r="AD5510">
        <v>-1.1122388595960999</v>
      </c>
      <c r="AE5510">
        <v>4.7229700000000099</v>
      </c>
      <c r="AF5510">
        <v>-4.1952510314241804</v>
      </c>
      <c r="AG5510">
        <v>-1.1122388595960999</v>
      </c>
      <c r="AH5510">
        <v>12.974048644528301</v>
      </c>
      <c r="AI5510">
        <v>94.663265186570996</v>
      </c>
      <c r="AJ5510">
        <v>107.91898319418</v>
      </c>
      <c r="AK5510">
        <v>13.680758192733601</v>
      </c>
      <c r="AL5510">
        <v>65.042169170533697</v>
      </c>
      <c r="AM5510">
        <v>102.8468681911</v>
      </c>
      <c r="AN5510">
        <v>0.999999968994014</v>
      </c>
    </row>
    <row r="5511" spans="1:40" x14ac:dyDescent="0.25">
      <c r="A5511" t="str">
        <f>"20190304164755121"</f>
        <v>20190304164755121</v>
      </c>
      <c r="B5511" t="str">
        <f>"1551689275114961"</f>
        <v>1551689275114961</v>
      </c>
      <c r="C5511" t="s">
        <v>40</v>
      </c>
      <c r="D5511">
        <v>4.5336160000000003</v>
      </c>
      <c r="E5511">
        <v>0.46658690000000003</v>
      </c>
      <c r="F5511" t="s">
        <v>62</v>
      </c>
      <c r="G5511">
        <v>-210.4958</v>
      </c>
      <c r="H5511" s="1">
        <v>1.8512149999999999E-7</v>
      </c>
      <c r="I5511">
        <v>-57.852890000000002</v>
      </c>
      <c r="J5511">
        <v>-223.39609999999999</v>
      </c>
      <c r="K5511">
        <v>1.112239</v>
      </c>
      <c r="L5511">
        <v>-62.590420000000002</v>
      </c>
      <c r="M5511">
        <v>0.99914709999999995</v>
      </c>
      <c r="N5511">
        <v>-1.291811E-2</v>
      </c>
      <c r="O5511">
        <v>3.9223889999999997E-2</v>
      </c>
      <c r="P5511">
        <v>0.88062870000000004</v>
      </c>
      <c r="Q5511">
        <v>0.41102490000000003</v>
      </c>
      <c r="R5511">
        <v>0.23569490000000001</v>
      </c>
      <c r="S5511">
        <v>3.221619</v>
      </c>
      <c r="T5511">
        <v>-0.27490870000000001</v>
      </c>
      <c r="U5511">
        <v>1.1723939999999999</v>
      </c>
      <c r="V5511">
        <v>-0.20217399999999999</v>
      </c>
      <c r="W5511">
        <v>0.4219022</v>
      </c>
      <c r="X5511">
        <v>0.8838123</v>
      </c>
      <c r="Y5511">
        <v>-0.30380370000000001</v>
      </c>
      <c r="Z5511">
        <v>1.182537E-2</v>
      </c>
      <c r="AA5511">
        <v>0.95266130000000004</v>
      </c>
      <c r="AB5511">
        <v>29</v>
      </c>
      <c r="AC5511">
        <v>12.9002999999999</v>
      </c>
      <c r="AD5511">
        <v>-1.1122388148784901</v>
      </c>
      <c r="AE5511">
        <v>4.7375299999999898</v>
      </c>
      <c r="AF5511">
        <v>-4.2003287097827</v>
      </c>
      <c r="AG5511">
        <v>-1.1122388148784901</v>
      </c>
      <c r="AH5511">
        <v>12.9911168683009</v>
      </c>
      <c r="AI5511">
        <v>94.6572113163475</v>
      </c>
      <c r="AJ5511">
        <v>107.91722050375699</v>
      </c>
      <c r="AK5511">
        <v>13.6985018866079</v>
      </c>
      <c r="AL5511">
        <v>65.045259959901102</v>
      </c>
      <c r="AM5511">
        <v>102.884843863215</v>
      </c>
      <c r="AN5511">
        <v>0.99999998713606397</v>
      </c>
    </row>
    <row r="5512" spans="1:40" x14ac:dyDescent="0.25">
      <c r="A5512" t="str">
        <f>"20190304164755132"</f>
        <v>20190304164755132</v>
      </c>
      <c r="B5512" t="str">
        <f>"1551689275124721"</f>
        <v>1551689275124721</v>
      </c>
      <c r="C5512" t="s">
        <v>40</v>
      </c>
      <c r="D5512">
        <v>4.5497959999999997</v>
      </c>
      <c r="E5512">
        <v>0.46679789999999999</v>
      </c>
      <c r="F5512" t="s">
        <v>62</v>
      </c>
      <c r="G5512">
        <v>-210.38300000000001</v>
      </c>
      <c r="H5512" s="1">
        <v>2.1963580000000001E-7</v>
      </c>
      <c r="I5512">
        <v>-57.838360000000002</v>
      </c>
      <c r="J5512">
        <v>-223.25110000000001</v>
      </c>
      <c r="K5512">
        <v>1.112236</v>
      </c>
      <c r="L5512">
        <v>-62.583979999999997</v>
      </c>
      <c r="M5512">
        <v>0.99911810000000001</v>
      </c>
      <c r="N5512">
        <v>-1.28673E-2</v>
      </c>
      <c r="O5512">
        <v>3.9968440000000001E-2</v>
      </c>
      <c r="P5512">
        <v>0.88013259999999904</v>
      </c>
      <c r="Q5512">
        <v>0.41130719999999998</v>
      </c>
      <c r="R5512">
        <v>0.23705080000000001</v>
      </c>
      <c r="S5512">
        <v>3.220383</v>
      </c>
      <c r="T5512">
        <v>-0.27524910000000002</v>
      </c>
      <c r="U5512">
        <v>1.1759949999999999</v>
      </c>
      <c r="V5512">
        <v>-0.20288829999999999</v>
      </c>
      <c r="W5512">
        <v>0.42213270000000003</v>
      </c>
      <c r="X5512">
        <v>0.8835385</v>
      </c>
      <c r="Y5512">
        <v>-0.30415049999999999</v>
      </c>
      <c r="Z5512">
        <v>1.179355E-2</v>
      </c>
      <c r="AA5512">
        <v>0.95255100000000004</v>
      </c>
      <c r="AB5512">
        <v>29</v>
      </c>
      <c r="AC5512">
        <v>12.8681</v>
      </c>
      <c r="AD5512">
        <v>-1.11223578036419</v>
      </c>
      <c r="AE5512">
        <v>4.7456199999999997</v>
      </c>
      <c r="AF5512">
        <v>-4.1998472593860701</v>
      </c>
      <c r="AG5512">
        <v>-1.11223578036419</v>
      </c>
      <c r="AH5512">
        <v>12.9622624115135</v>
      </c>
      <c r="AI5512">
        <v>94.666590809160198</v>
      </c>
      <c r="AJ5512">
        <v>107.952621280904</v>
      </c>
      <c r="AK5512">
        <v>13.6709923655245</v>
      </c>
      <c r="AL5512">
        <v>65.030692308094302</v>
      </c>
      <c r="AM5512">
        <v>102.932711975845</v>
      </c>
      <c r="AN5512">
        <v>0.99999997983421396</v>
      </c>
    </row>
    <row r="5513" spans="1:40" x14ac:dyDescent="0.25">
      <c r="A5513" t="str">
        <f>"20190304164755144"</f>
        <v>20190304164755144</v>
      </c>
      <c r="B5513" t="str">
        <f>"1551689275134480"</f>
        <v>1551689275134480</v>
      </c>
      <c r="C5513" t="s">
        <v>40</v>
      </c>
      <c r="D5513">
        <v>4.5663080000000003</v>
      </c>
      <c r="E5513">
        <v>0.4669587</v>
      </c>
      <c r="F5513" t="s">
        <v>62</v>
      </c>
      <c r="G5513">
        <v>-210.23169999999999</v>
      </c>
      <c r="H5513" s="1">
        <v>2.650041E-7</v>
      </c>
      <c r="I5513">
        <v>-57.815379999999998</v>
      </c>
      <c r="J5513">
        <v>-223.1027</v>
      </c>
      <c r="K5513">
        <v>1.1122350000000001</v>
      </c>
      <c r="L5513">
        <v>-62.577240000000003</v>
      </c>
      <c r="M5513">
        <v>0.99908790000000003</v>
      </c>
      <c r="N5513">
        <v>-1.281989E-2</v>
      </c>
      <c r="O5513">
        <v>4.0734859999999998E-2</v>
      </c>
      <c r="P5513">
        <v>0.87973020000000002</v>
      </c>
      <c r="Q5513">
        <v>0.41130090000000002</v>
      </c>
      <c r="R5513">
        <v>0.2385507</v>
      </c>
      <c r="S5513">
        <v>3.2195130000000001</v>
      </c>
      <c r="T5513">
        <v>-0.27504109999999998</v>
      </c>
      <c r="U5513">
        <v>1.1791990000000001</v>
      </c>
      <c r="V5513">
        <v>-0.2037255</v>
      </c>
      <c r="W5513">
        <v>0.42207820000000001</v>
      </c>
      <c r="X5513">
        <v>0.88337189999999999</v>
      </c>
      <c r="Y5513">
        <v>-0.30434220000000001</v>
      </c>
      <c r="Z5513">
        <v>1.1734049999999999E-2</v>
      </c>
      <c r="AA5513">
        <v>0.95249050000000002</v>
      </c>
      <c r="AB5513">
        <v>29</v>
      </c>
      <c r="AC5513">
        <v>12.871</v>
      </c>
      <c r="AD5513">
        <v>-1.1122347349958901</v>
      </c>
      <c r="AE5513">
        <v>4.7618599999999898</v>
      </c>
      <c r="AF5513">
        <v>-4.2059395686731396</v>
      </c>
      <c r="AG5513">
        <v>-1.1122347349958901</v>
      </c>
      <c r="AH5513">
        <v>12.9691193390269</v>
      </c>
      <c r="AI5513">
        <v>94.663723549228806</v>
      </c>
      <c r="AJ5513">
        <v>107.96809522346901</v>
      </c>
      <c r="AK5513">
        <v>13.6793658548554</v>
      </c>
      <c r="AL5513">
        <v>65.034137367566203</v>
      </c>
      <c r="AM5513">
        <v>102.986638498251</v>
      </c>
      <c r="AN5513">
        <v>0.99999999998754996</v>
      </c>
    </row>
    <row r="5514" spans="1:40" x14ac:dyDescent="0.25">
      <c r="A5514" t="str">
        <f>"20190304164755154"</f>
        <v>20190304164755154</v>
      </c>
      <c r="B5514" t="str">
        <f>"1551689275145217"</f>
        <v>1551689275145217</v>
      </c>
      <c r="C5514" t="s">
        <v>40</v>
      </c>
      <c r="D5514">
        <v>4.5559450000000004</v>
      </c>
      <c r="E5514">
        <v>0.4670859</v>
      </c>
      <c r="F5514" t="s">
        <v>62</v>
      </c>
      <c r="G5514">
        <v>-210.13310000000001</v>
      </c>
      <c r="H5514" s="1">
        <v>2.9718709999999999E-7</v>
      </c>
      <c r="I5514">
        <v>-57.810250000000003</v>
      </c>
      <c r="J5514">
        <v>-222.96469999999999</v>
      </c>
      <c r="K5514">
        <v>1.1122369999999999</v>
      </c>
      <c r="L5514">
        <v>-62.570950000000003</v>
      </c>
      <c r="M5514">
        <v>0.99905900000000003</v>
      </c>
      <c r="N5514">
        <v>-1.2776549999999999E-2</v>
      </c>
      <c r="O5514">
        <v>4.1448939999999997E-2</v>
      </c>
      <c r="P5514">
        <v>0.87926849999999901</v>
      </c>
      <c r="Q5514">
        <v>0.41156870000000001</v>
      </c>
      <c r="R5514">
        <v>0.239788</v>
      </c>
      <c r="S5514">
        <v>3.2184300000000001</v>
      </c>
      <c r="T5514">
        <v>-0.2760031</v>
      </c>
      <c r="U5514">
        <v>1.182922</v>
      </c>
      <c r="V5514">
        <v>-0.20435039999999999</v>
      </c>
      <c r="W5514">
        <v>0.42230040000000002</v>
      </c>
      <c r="X5514">
        <v>0.88312139999999995</v>
      </c>
      <c r="Y5514">
        <v>-0.30473040000000001</v>
      </c>
      <c r="Z5514">
        <v>1.1727670000000001E-2</v>
      </c>
      <c r="AA5514">
        <v>0.9523665</v>
      </c>
      <c r="AB5514">
        <v>29</v>
      </c>
      <c r="AC5514">
        <v>12.8315999999999</v>
      </c>
      <c r="AD5514">
        <v>-1.1122367028128901</v>
      </c>
      <c r="AE5514">
        <v>4.7606999999999999</v>
      </c>
      <c r="AF5514">
        <v>-4.1969905152103903</v>
      </c>
      <c r="AG5514">
        <v>-1.1122367028128901</v>
      </c>
      <c r="AH5514">
        <v>12.9325035635158</v>
      </c>
      <c r="AI5514">
        <v>94.676568523657494</v>
      </c>
      <c r="AJ5514">
        <v>107.97982244476999</v>
      </c>
      <c r="AK5514">
        <v>13.641900464678599</v>
      </c>
      <c r="AL5514">
        <v>65.020094840802798</v>
      </c>
      <c r="AM5514">
        <v>103.028685464627</v>
      </c>
      <c r="AN5514">
        <v>1.0000000604791299</v>
      </c>
    </row>
    <row r="5515" spans="1:40" x14ac:dyDescent="0.25">
      <c r="A5515" t="str">
        <f>"20190304164755165"</f>
        <v>20190304164755165</v>
      </c>
      <c r="B5515" t="str">
        <f>"1551689275154977"</f>
        <v>1551689275154977</v>
      </c>
      <c r="C5515" t="s">
        <v>40</v>
      </c>
      <c r="D5515">
        <v>4.5539310000000004</v>
      </c>
      <c r="E5515">
        <v>0.46721410000000002</v>
      </c>
      <c r="F5515" t="s">
        <v>43</v>
      </c>
      <c r="G5515">
        <v>-209.3852</v>
      </c>
      <c r="H5515">
        <v>-0.05</v>
      </c>
      <c r="I5515">
        <v>-57.563639999999999</v>
      </c>
      <c r="J5515">
        <v>-222.82</v>
      </c>
      <c r="K5515">
        <v>1.1122430000000001</v>
      </c>
      <c r="L5515">
        <v>-62.564149999999998</v>
      </c>
      <c r="M5515">
        <v>0.99902789999999997</v>
      </c>
      <c r="N5515">
        <v>-1.2735399999999999E-2</v>
      </c>
      <c r="O5515">
        <v>4.2205819999999998E-2</v>
      </c>
      <c r="P5515">
        <v>0.87881880000000001</v>
      </c>
      <c r="Q5515">
        <v>0.41156120000000002</v>
      </c>
      <c r="R5515">
        <v>0.24144399999999999</v>
      </c>
      <c r="S5515">
        <v>3.217285</v>
      </c>
      <c r="T5515">
        <v>-0.2753582</v>
      </c>
      <c r="U5515">
        <v>1.18634</v>
      </c>
      <c r="V5515">
        <v>-0.20535719999999999</v>
      </c>
      <c r="W5515">
        <v>0.4222476</v>
      </c>
      <c r="X5515">
        <v>0.88291299999999995</v>
      </c>
      <c r="Y5515">
        <v>-0.30501539999999999</v>
      </c>
      <c r="Z5515">
        <v>1.1660510000000001E-2</v>
      </c>
      <c r="AA5515">
        <v>0.95227609999999996</v>
      </c>
      <c r="AB5515">
        <v>29</v>
      </c>
      <c r="AC5515">
        <v>13.4347999999999</v>
      </c>
      <c r="AD5515">
        <v>-1.1622429999999999</v>
      </c>
      <c r="AE5515">
        <v>5.0005099999999896</v>
      </c>
      <c r="AF5515">
        <v>-4.4000578920604303</v>
      </c>
      <c r="AG5515">
        <v>-1.1622429999999999</v>
      </c>
      <c r="AH5515">
        <v>13.5448599316023</v>
      </c>
      <c r="AI5515">
        <v>94.665506660327296</v>
      </c>
      <c r="AJ5515">
        <v>107.99642676342199</v>
      </c>
      <c r="AK5515">
        <v>14.2889659811778</v>
      </c>
      <c r="AL5515">
        <v>65.023430338075499</v>
      </c>
      <c r="AM5515">
        <v>103.093653507835</v>
      </c>
      <c r="AN5515">
        <v>0.99999999043329901</v>
      </c>
    </row>
    <row r="5516" spans="1:40" x14ac:dyDescent="0.25">
      <c r="A5516" t="str">
        <f>"20190304164755178"</f>
        <v>20190304164755178</v>
      </c>
      <c r="B5516" t="str">
        <f>"1551689275174497"</f>
        <v>1551689275174497</v>
      </c>
      <c r="C5516" t="s">
        <v>40</v>
      </c>
      <c r="D5516">
        <v>4.5824530000000001</v>
      </c>
      <c r="E5516">
        <v>0.46740110000000001</v>
      </c>
      <c r="F5516" t="s">
        <v>53</v>
      </c>
      <c r="G5516">
        <v>-209.88659999999999</v>
      </c>
      <c r="H5516" s="1">
        <v>-7.3793499999999997E-7</v>
      </c>
      <c r="I5516">
        <v>-57.774500000000003</v>
      </c>
      <c r="J5516">
        <v>-222.66139999999999</v>
      </c>
      <c r="K5516">
        <v>1.1122449999999999</v>
      </c>
      <c r="L5516">
        <v>-62.556640000000002</v>
      </c>
      <c r="M5516">
        <v>0.99899280000000001</v>
      </c>
      <c r="N5516">
        <v>-1.2691900000000001E-2</v>
      </c>
      <c r="O5516">
        <v>4.3038609999999998E-2</v>
      </c>
      <c r="P5516">
        <v>0.87830609999999998</v>
      </c>
      <c r="Q5516">
        <v>0.4117555</v>
      </c>
      <c r="R5516">
        <v>0.2429733</v>
      </c>
      <c r="S5516">
        <v>3.2159879999999998</v>
      </c>
      <c r="T5516">
        <v>-0.27656720000000001</v>
      </c>
      <c r="U5516">
        <v>1.190979</v>
      </c>
      <c r="V5516">
        <v>-0.20617569999999999</v>
      </c>
      <c r="W5516">
        <v>0.42239330000000003</v>
      </c>
      <c r="X5516">
        <v>0.88265249999999995</v>
      </c>
      <c r="Y5516">
        <v>-0.30554700000000001</v>
      </c>
      <c r="Z5516">
        <v>1.1660439999999999E-2</v>
      </c>
      <c r="AA5516">
        <v>0.9521056</v>
      </c>
      <c r="AB5516">
        <v>29</v>
      </c>
      <c r="AC5516">
        <v>12.774800000000001</v>
      </c>
      <c r="AD5516">
        <v>-1.1122457379349999</v>
      </c>
      <c r="AE5516">
        <v>4.7821399999999903</v>
      </c>
      <c r="AF5516">
        <v>-4.1999301104374798</v>
      </c>
      <c r="AG5516">
        <v>-1.1122457379349999</v>
      </c>
      <c r="AH5516">
        <v>12.883137901994401</v>
      </c>
      <c r="AI5516">
        <v>94.692423544279805</v>
      </c>
      <c r="AJ5516">
        <v>108.05607759959101</v>
      </c>
      <c r="AK5516">
        <v>13.5960194805656</v>
      </c>
      <c r="AL5516">
        <v>65.014220408580002</v>
      </c>
      <c r="AM5516">
        <v>103.14777745212599</v>
      </c>
      <c r="AN5516">
        <v>0.99999997745581404</v>
      </c>
    </row>
    <row r="5517" spans="1:40" x14ac:dyDescent="0.25">
      <c r="A5517" t="str">
        <f>"20190304164755189"</f>
        <v>20190304164755189</v>
      </c>
      <c r="B5517" t="str">
        <f>"1551689275185235"</f>
        <v>1551689275185235</v>
      </c>
      <c r="C5517" t="s">
        <v>40</v>
      </c>
      <c r="D5517">
        <v>4.5788440000000001</v>
      </c>
      <c r="E5517">
        <v>0.46739429999999998</v>
      </c>
      <c r="F5517" t="s">
        <v>53</v>
      </c>
      <c r="G5517">
        <v>-209.77930000000001</v>
      </c>
      <c r="H5517" s="1">
        <v>-8.0834859999999996E-7</v>
      </c>
      <c r="I5517">
        <v>-57.766010000000001</v>
      </c>
      <c r="J5517">
        <v>-222.51060000000001</v>
      </c>
      <c r="K5517">
        <v>1.112252</v>
      </c>
      <c r="L5517">
        <v>-62.549320000000002</v>
      </c>
      <c r="M5517">
        <v>0.99895849999999997</v>
      </c>
      <c r="N5517">
        <v>-1.265373E-2</v>
      </c>
      <c r="O5517">
        <v>4.3838059999999998E-2</v>
      </c>
      <c r="P5517">
        <v>0.87784409999999902</v>
      </c>
      <c r="Q5517">
        <v>0.41172140000000002</v>
      </c>
      <c r="R5517">
        <v>0.2446942</v>
      </c>
      <c r="S5517">
        <v>3.2150270000000001</v>
      </c>
      <c r="T5517">
        <v>-0.2775879</v>
      </c>
      <c r="U5517">
        <v>1.1956180000000001</v>
      </c>
      <c r="V5517">
        <v>-0.20721339999999999</v>
      </c>
      <c r="W5517">
        <v>0.4223151</v>
      </c>
      <c r="X5517">
        <v>0.88244690000000003</v>
      </c>
      <c r="Y5517">
        <v>-0.30607889999999999</v>
      </c>
      <c r="Z5517">
        <v>1.165625E-2</v>
      </c>
      <c r="AA5517">
        <v>0.95193479999999997</v>
      </c>
      <c r="AB5517">
        <v>29</v>
      </c>
      <c r="AC5517">
        <v>12.731299999999999</v>
      </c>
      <c r="AD5517">
        <v>-1.1122528083486001</v>
      </c>
      <c r="AE5517">
        <v>4.7833100000000002</v>
      </c>
      <c r="AF5517">
        <v>-4.1925099265111196</v>
      </c>
      <c r="AG5517">
        <v>-1.1122528083486001</v>
      </c>
      <c r="AH5517">
        <v>12.842869811342</v>
      </c>
      <c r="AI5517">
        <v>94.706486201193698</v>
      </c>
      <c r="AJ5517">
        <v>108.079090439512</v>
      </c>
      <c r="AK5517">
        <v>13.555572683758299</v>
      </c>
      <c r="AL5517">
        <v>65.019163631871393</v>
      </c>
      <c r="AM5517">
        <v>103.214606168524</v>
      </c>
      <c r="AN5517">
        <v>0.99999998407359003</v>
      </c>
    </row>
    <row r="5518" spans="1:40" x14ac:dyDescent="0.25">
      <c r="A5518" t="str">
        <f>"20190304164755200"</f>
        <v>20190304164755200</v>
      </c>
      <c r="B5518" t="str">
        <f>"1551689275194993"</f>
        <v>1551689275194993</v>
      </c>
      <c r="C5518" t="s">
        <v>40</v>
      </c>
      <c r="D5518">
        <v>4.6990489999999996</v>
      </c>
      <c r="E5518">
        <v>0.46739429999999998</v>
      </c>
      <c r="F5518" t="s">
        <v>53</v>
      </c>
      <c r="G5518">
        <v>-209.64670000000001</v>
      </c>
      <c r="H5518" s="1">
        <v>-9.0061130000000002E-7</v>
      </c>
      <c r="I5518">
        <v>-57.736170000000001</v>
      </c>
      <c r="J5518">
        <v>-222.3691</v>
      </c>
      <c r="K5518">
        <v>1.112263</v>
      </c>
      <c r="L5518">
        <v>-62.54233</v>
      </c>
      <c r="M5518">
        <v>0.99892539999999996</v>
      </c>
      <c r="N5518">
        <v>-1.262023E-2</v>
      </c>
      <c r="O5518">
        <v>4.4595660000000002E-2</v>
      </c>
      <c r="P5518">
        <v>0.87742600000000004</v>
      </c>
      <c r="Q5518">
        <v>0.41159030000000002</v>
      </c>
      <c r="R5518">
        <v>0.24640860000000001</v>
      </c>
      <c r="S5518">
        <v>3.2126920000000001</v>
      </c>
      <c r="T5518">
        <v>-0.27777950000000001</v>
      </c>
      <c r="U5518">
        <v>1.2020569999999999</v>
      </c>
      <c r="V5518">
        <v>-0.20828089999999999</v>
      </c>
      <c r="W5518">
        <v>0.42214429999999997</v>
      </c>
      <c r="X5518">
        <v>0.88227730000000004</v>
      </c>
      <c r="Y5518">
        <v>-0.30725380000000002</v>
      </c>
      <c r="Z5518">
        <v>1.1662509999999999E-2</v>
      </c>
      <c r="AA5518">
        <v>0.95155610000000002</v>
      </c>
      <c r="AB5518">
        <v>29</v>
      </c>
      <c r="AC5518">
        <v>12.722399999999899</v>
      </c>
      <c r="AD5518">
        <v>-1.1122639006113</v>
      </c>
      <c r="AE5518">
        <v>4.80616000000001</v>
      </c>
      <c r="AF5518">
        <v>-4.2058371252707696</v>
      </c>
      <c r="AG5518">
        <v>-1.1122639006113</v>
      </c>
      <c r="AH5518">
        <v>12.838220772970701</v>
      </c>
      <c r="AI5518">
        <v>94.706628759263197</v>
      </c>
      <c r="AJ5518">
        <v>108.138940943511</v>
      </c>
      <c r="AK5518">
        <v>13.555298208613699</v>
      </c>
      <c r="AL5518">
        <v>65.029959386559895</v>
      </c>
      <c r="AM5518">
        <v>103.28273978789299</v>
      </c>
      <c r="AN5518">
        <v>0.99999998871129503</v>
      </c>
    </row>
    <row r="5519" spans="1:40" x14ac:dyDescent="0.25">
      <c r="A5519" t="str">
        <f>"20190304164755212"</f>
        <v>20190304164755212</v>
      </c>
      <c r="B5519" t="str">
        <f>"1551689275204753"</f>
        <v>1551689275204753</v>
      </c>
      <c r="C5519" t="s">
        <v>40</v>
      </c>
      <c r="D5519">
        <v>4.7500650000000002</v>
      </c>
      <c r="E5519">
        <v>0.46498119999999998</v>
      </c>
      <c r="F5519" t="s">
        <v>53</v>
      </c>
      <c r="G5519">
        <v>-209.53450000000001</v>
      </c>
      <c r="H5519" s="1">
        <v>-9.7889200000000005E-7</v>
      </c>
      <c r="I5519">
        <v>-57.709870000000002</v>
      </c>
      <c r="J5519">
        <v>-222.21680000000001</v>
      </c>
      <c r="K5519">
        <v>1.112271</v>
      </c>
      <c r="L5519">
        <v>-62.534730000000003</v>
      </c>
      <c r="M5519">
        <v>0.99888889999999997</v>
      </c>
      <c r="N5519">
        <v>-1.258597E-2</v>
      </c>
      <c r="O5519">
        <v>4.5418550000000002E-2</v>
      </c>
      <c r="P5519">
        <v>0.87682610000000005</v>
      </c>
      <c r="Q5519">
        <v>0.41171540000000001</v>
      </c>
      <c r="R5519">
        <v>0.24832789999999999</v>
      </c>
      <c r="S5519">
        <v>3.210159</v>
      </c>
      <c r="T5519">
        <v>-0.2781961</v>
      </c>
      <c r="U5519">
        <v>1.2086790000000001</v>
      </c>
      <c r="V5519">
        <v>-0.2095072</v>
      </c>
      <c r="W5519">
        <v>0.42222470000000001</v>
      </c>
      <c r="X5519">
        <v>0.88194839999999997</v>
      </c>
      <c r="Y5519">
        <v>-0.30843140000000002</v>
      </c>
      <c r="Z5519">
        <v>1.16718E-2</v>
      </c>
      <c r="AA5519">
        <v>0.95117499999999999</v>
      </c>
      <c r="AB5519">
        <v>29</v>
      </c>
      <c r="AC5519">
        <v>12.6822999999999</v>
      </c>
      <c r="AD5519">
        <v>-1.1122719788919999</v>
      </c>
      <c r="AE5519">
        <v>4.8248600000000001</v>
      </c>
      <c r="AF5519">
        <v>-4.2154979546598801</v>
      </c>
      <c r="AG5519">
        <v>-1.1122719788919999</v>
      </c>
      <c r="AH5519">
        <v>12.802343652069</v>
      </c>
      <c r="AI5519">
        <v>94.717463854311404</v>
      </c>
      <c r="AJ5519">
        <v>108.22544705172599</v>
      </c>
      <c r="AK5519">
        <v>13.5243326987486</v>
      </c>
      <c r="AL5519">
        <v>65.024877279910001</v>
      </c>
      <c r="AM5519">
        <v>103.362952228696</v>
      </c>
      <c r="AN5519">
        <v>0.99999997220224401</v>
      </c>
    </row>
    <row r="5520" spans="1:40" x14ac:dyDescent="0.25">
      <c r="A5520" t="str">
        <f>"20190304164755224"</f>
        <v>20190304164755224</v>
      </c>
      <c r="B5520" t="str">
        <f>"1551689275214512"</f>
        <v>1551689275214512</v>
      </c>
      <c r="C5520" t="s">
        <v>40</v>
      </c>
      <c r="D5520">
        <v>4.6285610000000004</v>
      </c>
      <c r="E5520">
        <v>0.46498119999999998</v>
      </c>
      <c r="F5520" t="s">
        <v>53</v>
      </c>
      <c r="G5520">
        <v>-208.85810000000001</v>
      </c>
      <c r="H5520" s="1">
        <v>-1.4955919999999999E-6</v>
      </c>
      <c r="I5520">
        <v>-57.383819999999901</v>
      </c>
      <c r="J5520">
        <v>-222.0575</v>
      </c>
      <c r="K5520">
        <v>1.1122860000000001</v>
      </c>
      <c r="L5520">
        <v>-62.52655</v>
      </c>
      <c r="M5520">
        <v>0.99884890000000004</v>
      </c>
      <c r="N5520">
        <v>-1.255359E-2</v>
      </c>
      <c r="O5520">
        <v>4.6298520000000003E-2</v>
      </c>
      <c r="P5520">
        <v>0.87612040000000002</v>
      </c>
      <c r="Q5520">
        <v>0.41174749999999999</v>
      </c>
      <c r="R5520">
        <v>0.25075360000000002</v>
      </c>
      <c r="S5520">
        <v>3.1972809999999998</v>
      </c>
      <c r="T5520">
        <v>-0.26621149999999999</v>
      </c>
      <c r="U5520">
        <v>1.2328190000000001</v>
      </c>
      <c r="V5520">
        <v>-0.21119830000000001</v>
      </c>
      <c r="W5520">
        <v>0.42220960000000002</v>
      </c>
      <c r="X5520">
        <v>0.88155229999999996</v>
      </c>
      <c r="Y5520">
        <v>-0.31517250000000002</v>
      </c>
      <c r="Z5520">
        <v>1.155228E-2</v>
      </c>
      <c r="AA5520">
        <v>0.94896409999999998</v>
      </c>
      <c r="AB5520">
        <v>29</v>
      </c>
      <c r="AC5520">
        <v>13.199399999999899</v>
      </c>
      <c r="AD5520">
        <v>-1.1122874955919999</v>
      </c>
      <c r="AE5520">
        <v>5.1427300000000002</v>
      </c>
      <c r="AF5520">
        <v>-4.4983204776705197</v>
      </c>
      <c r="AG5520">
        <v>-1.1122874955919999</v>
      </c>
      <c r="AH5520">
        <v>13.341112171189801</v>
      </c>
      <c r="AI5520">
        <v>94.5171515911439</v>
      </c>
      <c r="AJ5520">
        <v>108.63293961869699</v>
      </c>
      <c r="AK5520">
        <v>14.122936824787899</v>
      </c>
      <c r="AL5520">
        <v>65.025834110014202</v>
      </c>
      <c r="AM5520">
        <v>103.472731627351</v>
      </c>
      <c r="AN5520">
        <v>1.00000006294516</v>
      </c>
    </row>
    <row r="5521" spans="1:40" x14ac:dyDescent="0.25">
      <c r="A5521" t="str">
        <f>"20190304164755236"</f>
        <v>20190304164755236</v>
      </c>
      <c r="B5521" t="str">
        <f>"1551689275225250"</f>
        <v>1551689275225250</v>
      </c>
      <c r="C5521" t="s">
        <v>40</v>
      </c>
      <c r="D5521">
        <v>4.5432990000000002</v>
      </c>
      <c r="E5521">
        <v>0.36848520000000001</v>
      </c>
      <c r="F5521" t="s">
        <v>53</v>
      </c>
      <c r="G5521">
        <v>-208.7054</v>
      </c>
      <c r="H5521" s="1">
        <v>-1.6057449999999999E-6</v>
      </c>
      <c r="I5521">
        <v>-57.334670000000003</v>
      </c>
      <c r="J5521">
        <v>-221.89510000000001</v>
      </c>
      <c r="K5521">
        <v>1.1123000000000001</v>
      </c>
      <c r="L5521">
        <v>-62.518129999999999</v>
      </c>
      <c r="M5521">
        <v>0.99880679999999999</v>
      </c>
      <c r="N5521">
        <v>-1.252209E-2</v>
      </c>
      <c r="O5521">
        <v>4.7205329999999997E-2</v>
      </c>
      <c r="P5521">
        <v>0.87535239999999903</v>
      </c>
      <c r="Q5521">
        <v>0.41210029999999997</v>
      </c>
      <c r="R5521">
        <v>0.25284709999999999</v>
      </c>
      <c r="S5521">
        <v>3.1937869999999999</v>
      </c>
      <c r="T5521">
        <v>-0.26605580000000001</v>
      </c>
      <c r="U5521">
        <v>1.2418819999999999</v>
      </c>
      <c r="V5521">
        <v>-0.2125409</v>
      </c>
      <c r="W5521">
        <v>0.42251519999999998</v>
      </c>
      <c r="X5521">
        <v>0.88108310000000001</v>
      </c>
      <c r="Y5521">
        <v>-0.31699709999999998</v>
      </c>
      <c r="Z5521">
        <v>1.156971E-2</v>
      </c>
      <c r="AA5521">
        <v>0.94835590000000003</v>
      </c>
      <c r="AB5521">
        <v>29</v>
      </c>
      <c r="AC5521">
        <v>13.1897</v>
      </c>
      <c r="AD5521">
        <v>-1.1123016057449999</v>
      </c>
      <c r="AE5521">
        <v>5.1834600000000099</v>
      </c>
      <c r="AF5521">
        <v>-4.5271192404650504</v>
      </c>
      <c r="AG5521">
        <v>-1.1123016057449999</v>
      </c>
      <c r="AH5521">
        <v>13.337536647837499</v>
      </c>
      <c r="AI5521">
        <v>94.515342832933996</v>
      </c>
      <c r="AJ5521">
        <v>108.748596417616</v>
      </c>
      <c r="AK5521">
        <v>14.128761704832501</v>
      </c>
      <c r="AL5521">
        <v>65.006517380447704</v>
      </c>
      <c r="AM5521">
        <v>103.56217964875999</v>
      </c>
      <c r="AN5521">
        <v>1.0000000787547201</v>
      </c>
    </row>
    <row r="5522" spans="1:40" x14ac:dyDescent="0.25">
      <c r="A5522" t="str">
        <f>"20190304164755249"</f>
        <v>20190304164755249</v>
      </c>
      <c r="B5522" t="str">
        <f>"1551689275244770"</f>
        <v>1551689275244770</v>
      </c>
      <c r="C5522" t="s">
        <v>40</v>
      </c>
      <c r="D5522">
        <v>4.5667650000000002</v>
      </c>
      <c r="E5522">
        <v>0.35556379999999999</v>
      </c>
      <c r="F5522" t="s">
        <v>41</v>
      </c>
      <c r="G5522">
        <v>-220.98859999999999</v>
      </c>
      <c r="H5522">
        <v>1.060222</v>
      </c>
      <c r="I5522">
        <v>-61.908540000000002</v>
      </c>
      <c r="J5522">
        <v>-221.7234</v>
      </c>
      <c r="K5522">
        <v>1.1123270000000001</v>
      </c>
      <c r="L5522">
        <v>-62.508999999999901</v>
      </c>
      <c r="M5522">
        <v>0.99875999999999998</v>
      </c>
      <c r="N5522">
        <v>-1.2492069999999999E-2</v>
      </c>
      <c r="O5522">
        <v>4.8191530000000003E-2</v>
      </c>
      <c r="P5522">
        <v>0.8746138</v>
      </c>
      <c r="Q5522">
        <v>0.41230509999999898</v>
      </c>
      <c r="R5522">
        <v>0.25505899999999998</v>
      </c>
      <c r="S5522">
        <v>2.936188</v>
      </c>
      <c r="T5522">
        <v>-0.168685</v>
      </c>
      <c r="U5522">
        <v>1.974823</v>
      </c>
      <c r="V5522">
        <v>-0.2139363</v>
      </c>
      <c r="W5522">
        <v>0.42267159999999898</v>
      </c>
      <c r="X5522">
        <v>0.88067019999999996</v>
      </c>
      <c r="Y5522">
        <v>-0.51673199999999997</v>
      </c>
      <c r="Z5522">
        <v>1.5033090000000001E-2</v>
      </c>
      <c r="AA5522">
        <v>0.85601519999999998</v>
      </c>
      <c r="AB5522">
        <v>29</v>
      </c>
      <c r="AC5522">
        <v>0.734800000000007</v>
      </c>
      <c r="AD5522">
        <v>-5.2104999999999999E-2</v>
      </c>
      <c r="AE5522">
        <v>0.600459999999991</v>
      </c>
      <c r="AF5522">
        <v>-0.56265194581732103</v>
      </c>
      <c r="AG5522">
        <v>-5.2104999999999999E-2</v>
      </c>
      <c r="AH5522">
        <v>0.76059229248617199</v>
      </c>
      <c r="AI5522">
        <v>93.152340391550695</v>
      </c>
      <c r="AJ5522">
        <v>126.49236931528399</v>
      </c>
      <c r="AK5522">
        <v>0.94751927608169995</v>
      </c>
      <c r="AL5522">
        <v>64.996628276019095</v>
      </c>
      <c r="AM5522">
        <v>103.65405923937</v>
      </c>
      <c r="AN5522">
        <v>1.00000001153614</v>
      </c>
    </row>
    <row r="5523" spans="1:40" x14ac:dyDescent="0.25">
      <c r="A5523" t="str">
        <f>"20190304164755261"</f>
        <v>20190304164755261</v>
      </c>
      <c r="B5523" t="str">
        <f>"1551689275254528"</f>
        <v>1551689275254528</v>
      </c>
      <c r="C5523" t="s">
        <v>40</v>
      </c>
      <c r="D5523">
        <v>4.5481989999999897</v>
      </c>
      <c r="E5523">
        <v>0.35320279999999998</v>
      </c>
      <c r="F5523" t="s">
        <v>41</v>
      </c>
      <c r="G5523">
        <v>-220.97120000000001</v>
      </c>
      <c r="H5523">
        <v>1.066605</v>
      </c>
      <c r="I5523">
        <v>-61.970109999999998</v>
      </c>
      <c r="J5523">
        <v>-221.5633</v>
      </c>
      <c r="K5523">
        <v>1.1123510000000001</v>
      </c>
      <c r="L5523">
        <v>-62.500309999999999</v>
      </c>
      <c r="M5523">
        <v>0.99871449999999995</v>
      </c>
      <c r="N5523">
        <v>-1.2468099999999999E-2</v>
      </c>
      <c r="O5523">
        <v>4.9129779999999998E-2</v>
      </c>
      <c r="P5523">
        <v>0.87393199999999904</v>
      </c>
      <c r="Q5523">
        <v>0.41229290000000002</v>
      </c>
      <c r="R5523">
        <v>0.2574051</v>
      </c>
      <c r="S5523">
        <v>2.906021</v>
      </c>
      <c r="T5523">
        <v>-0.17666509999999999</v>
      </c>
      <c r="U5523">
        <v>2.0826419999999999</v>
      </c>
      <c r="V5523">
        <v>-0.215506</v>
      </c>
      <c r="W5523">
        <v>0.42261530000000003</v>
      </c>
      <c r="X5523">
        <v>0.88031440000000005</v>
      </c>
      <c r="Y5523">
        <v>-0.5410722</v>
      </c>
      <c r="Z5523">
        <v>1.634936E-2</v>
      </c>
      <c r="AA5523">
        <v>0.84081719999999904</v>
      </c>
      <c r="AB5523">
        <v>29</v>
      </c>
      <c r="AC5523">
        <v>0.59209999999998697</v>
      </c>
      <c r="AD5523">
        <v>-4.5746000000000002E-2</v>
      </c>
      <c r="AE5523">
        <v>0.5302</v>
      </c>
      <c r="AF5523">
        <v>-0.498815136214183</v>
      </c>
      <c r="AG5523">
        <v>-4.5746000000000002E-2</v>
      </c>
      <c r="AH5523">
        <v>0.61539680175294698</v>
      </c>
      <c r="AI5523">
        <v>93.3050385201214</v>
      </c>
      <c r="AJ5523">
        <v>129.02679114922199</v>
      </c>
      <c r="AK5523">
        <v>0.79348752998401295</v>
      </c>
      <c r="AL5523">
        <v>65.000186846131697</v>
      </c>
      <c r="AM5523">
        <v>103.755799086428</v>
      </c>
      <c r="AN5523">
        <v>0.99999998533872403</v>
      </c>
    </row>
    <row r="5524" spans="1:40" x14ac:dyDescent="0.25">
      <c r="A5524" t="str">
        <f>"20190304164755271"</f>
        <v>20190304164755271</v>
      </c>
      <c r="B5524" t="str">
        <f>"1551689275265264"</f>
        <v>1551689275265264</v>
      </c>
      <c r="C5524" t="s">
        <v>40</v>
      </c>
      <c r="D5524">
        <v>4.5299139999999998</v>
      </c>
      <c r="E5524">
        <v>0.35256890000000002</v>
      </c>
      <c r="F5524" t="s">
        <v>41</v>
      </c>
      <c r="G5524">
        <v>-220.7278</v>
      </c>
      <c r="H5524">
        <v>1.06159</v>
      </c>
      <c r="I5524">
        <v>-61.891959999999997</v>
      </c>
      <c r="J5524">
        <v>-221.43340000000001</v>
      </c>
      <c r="K5524">
        <v>1.1123719999999999</v>
      </c>
      <c r="L5524">
        <v>-62.493189999999998</v>
      </c>
      <c r="M5524">
        <v>0.99867669999999997</v>
      </c>
      <c r="N5524">
        <v>-1.2450599999999999E-2</v>
      </c>
      <c r="O5524">
        <v>4.9900300000000002E-2</v>
      </c>
      <c r="P5524">
        <v>0.8733379</v>
      </c>
      <c r="Q5524">
        <v>0.41230739999999999</v>
      </c>
      <c r="R5524">
        <v>0.25939109999999999</v>
      </c>
      <c r="S5524">
        <v>2.894882</v>
      </c>
      <c r="T5524">
        <v>-0.175879799999999</v>
      </c>
      <c r="U5524">
        <v>2.1078489999999999</v>
      </c>
      <c r="V5524">
        <v>-0.2168581</v>
      </c>
      <c r="W5524">
        <v>0.42259469999999999</v>
      </c>
      <c r="X5524">
        <v>0.879992199999999</v>
      </c>
      <c r="Y5524">
        <v>-0.54674350000000005</v>
      </c>
      <c r="Z5524">
        <v>1.6467590000000001E-2</v>
      </c>
      <c r="AA5524">
        <v>0.83713819999999906</v>
      </c>
      <c r="AB5524">
        <v>29</v>
      </c>
      <c r="AC5524">
        <v>0.705600000000004</v>
      </c>
      <c r="AD5524">
        <v>-5.07819999999998E-2</v>
      </c>
      <c r="AE5524">
        <v>0.60123000000000804</v>
      </c>
      <c r="AF5524">
        <v>-0.56357726323299895</v>
      </c>
      <c r="AG5524">
        <v>-5.07819999999998E-2</v>
      </c>
      <c r="AH5524">
        <v>0.73252647860921105</v>
      </c>
      <c r="AI5524">
        <v>93.144941216350702</v>
      </c>
      <c r="AJ5524">
        <v>127.57327754254101</v>
      </c>
      <c r="AK5524">
        <v>0.92563123597942998</v>
      </c>
      <c r="AL5524">
        <v>65.001489378820807</v>
      </c>
      <c r="AM5524">
        <v>103.843668098243</v>
      </c>
      <c r="AN5524">
        <v>0.99999999403226902</v>
      </c>
    </row>
    <row r="5525" spans="1:40" x14ac:dyDescent="0.25">
      <c r="A5525" t="str">
        <f>"20190304164755281"</f>
        <v>20190304164755281</v>
      </c>
      <c r="B5525" t="str">
        <f>"1551689275275024"</f>
        <v>1551689275275024</v>
      </c>
      <c r="C5525" t="s">
        <v>40</v>
      </c>
      <c r="D5525">
        <v>4.51206</v>
      </c>
      <c r="E5525">
        <v>0.35248629999999997</v>
      </c>
      <c r="F5525" t="s">
        <v>41</v>
      </c>
      <c r="G5525">
        <v>-220.70820000000001</v>
      </c>
      <c r="H5525">
        <v>1.067769</v>
      </c>
      <c r="I5525">
        <v>-61.961379999999998</v>
      </c>
      <c r="J5525">
        <v>-221.29900000000001</v>
      </c>
      <c r="K5525">
        <v>1.1124000000000001</v>
      </c>
      <c r="L5525">
        <v>-62.48563</v>
      </c>
      <c r="M5525">
        <v>0.99863550000000001</v>
      </c>
      <c r="N5525">
        <v>-1.2435740000000001E-2</v>
      </c>
      <c r="O5525">
        <v>5.0723219999999999E-2</v>
      </c>
      <c r="P5525">
        <v>0.87270809999999999</v>
      </c>
      <c r="Q5525">
        <v>0.41233389999999998</v>
      </c>
      <c r="R5525">
        <v>0.26146039999999998</v>
      </c>
      <c r="S5525">
        <v>2.8896329999999999</v>
      </c>
      <c r="T5525">
        <v>-0.17771099999999901</v>
      </c>
      <c r="U5525">
        <v>2.1189580000000001</v>
      </c>
      <c r="V5525">
        <v>-0.21825310000000001</v>
      </c>
      <c r="W5525">
        <v>0.42258610000000002</v>
      </c>
      <c r="X5525">
        <v>0.87965139999999997</v>
      </c>
      <c r="Y5525">
        <v>-0.54885450000000002</v>
      </c>
      <c r="Z5525">
        <v>1.6634690000000001E-2</v>
      </c>
      <c r="AA5525">
        <v>0.83575239999999995</v>
      </c>
      <c r="AB5525">
        <v>29</v>
      </c>
      <c r="AC5525">
        <v>0.59080000000000099</v>
      </c>
      <c r="AD5525">
        <v>-4.4630999999999997E-2</v>
      </c>
      <c r="AE5525">
        <v>0.52425000000000199</v>
      </c>
      <c r="AF5525">
        <v>-0.49203450132013998</v>
      </c>
      <c r="AG5525">
        <v>-4.4630999999999997E-2</v>
      </c>
      <c r="AH5525">
        <v>0.61467056070102999</v>
      </c>
      <c r="AI5525">
        <v>93.244349751338902</v>
      </c>
      <c r="AJ5525">
        <v>128.67674487594499</v>
      </c>
      <c r="AK5525">
        <v>0.78861256320380602</v>
      </c>
      <c r="AL5525">
        <v>65.002033387895096</v>
      </c>
      <c r="AM5525">
        <v>103.934450408432</v>
      </c>
      <c r="AN5525">
        <v>1.00000000654739</v>
      </c>
    </row>
    <row r="5526" spans="1:40" x14ac:dyDescent="0.25">
      <c r="A5526" t="str">
        <f>"20190304164755292"</f>
        <v>20190304164755292</v>
      </c>
      <c r="B5526" t="str">
        <f>"1551689275284785"</f>
        <v>1551689275284785</v>
      </c>
      <c r="C5526" t="s">
        <v>40</v>
      </c>
      <c r="D5526">
        <v>4.4962049999999998</v>
      </c>
      <c r="E5526">
        <v>0.35248800000000002</v>
      </c>
      <c r="F5526" t="s">
        <v>41</v>
      </c>
      <c r="G5526">
        <v>-220.4676</v>
      </c>
      <c r="H5526">
        <v>1.0605789999999999</v>
      </c>
      <c r="I5526">
        <v>-61.873260000000002</v>
      </c>
      <c r="J5526">
        <v>-221.15729999999999</v>
      </c>
      <c r="K5526">
        <v>1.112428</v>
      </c>
      <c r="L5526">
        <v>-62.477600000000002</v>
      </c>
      <c r="M5526">
        <v>0.99859070000000005</v>
      </c>
      <c r="N5526">
        <v>-1.2421110000000001E-2</v>
      </c>
      <c r="O5526">
        <v>5.1598329999999998E-2</v>
      </c>
      <c r="P5526">
        <v>0.87209479999999995</v>
      </c>
      <c r="Q5526">
        <v>0.41239870000000001</v>
      </c>
      <c r="R5526">
        <v>0.26339759999999901</v>
      </c>
      <c r="S5526">
        <v>2.8856510000000002</v>
      </c>
      <c r="T5526">
        <v>-0.179864</v>
      </c>
      <c r="U5526">
        <v>2.1258849999999998</v>
      </c>
      <c r="V5526">
        <v>-0.21947179999999999</v>
      </c>
      <c r="W5526">
        <v>0.42261539999999997</v>
      </c>
      <c r="X5526">
        <v>0.87933399999999995</v>
      </c>
      <c r="Y5526">
        <v>-0.54995509999999903</v>
      </c>
      <c r="Z5526">
        <v>1.6786300000000001E-2</v>
      </c>
      <c r="AA5526">
        <v>0.83502549999999898</v>
      </c>
      <c r="AB5526">
        <v>29</v>
      </c>
      <c r="AC5526">
        <v>0.68969999999998699</v>
      </c>
      <c r="AD5526">
        <v>-5.1848999999999798E-2</v>
      </c>
      <c r="AE5526">
        <v>0.60434000000000698</v>
      </c>
      <c r="AF5526">
        <v>-0.56613485372092398</v>
      </c>
      <c r="AG5526">
        <v>-5.1848999999999798E-2</v>
      </c>
      <c r="AH5526">
        <v>0.71767213185221401</v>
      </c>
      <c r="AI5526">
        <v>93.246448902012901</v>
      </c>
      <c r="AJ5526">
        <v>128.268102876851</v>
      </c>
      <c r="AK5526">
        <v>0.91556009100217595</v>
      </c>
      <c r="AL5526">
        <v>65.000179992457205</v>
      </c>
      <c r="AM5526">
        <v>104.01405995352199</v>
      </c>
      <c r="AN5526">
        <v>0.999999965434199</v>
      </c>
    </row>
    <row r="5527" spans="1:40" x14ac:dyDescent="0.25">
      <c r="A5527" t="str">
        <f>"20190304164755302"</f>
        <v>20190304164755302</v>
      </c>
      <c r="B5527" t="str">
        <f>"1551689275294545"</f>
        <v>1551689275294545</v>
      </c>
      <c r="C5527" t="s">
        <v>40</v>
      </c>
      <c r="D5527">
        <v>4.4952690000000004</v>
      </c>
      <c r="E5527">
        <v>0.3529427</v>
      </c>
      <c r="F5527" t="s">
        <v>41</v>
      </c>
      <c r="G5527">
        <v>-220.44550000000001</v>
      </c>
      <c r="H5527">
        <v>1.067188</v>
      </c>
      <c r="I5527">
        <v>-61.951329999999999</v>
      </c>
      <c r="J5527">
        <v>-221.0282</v>
      </c>
      <c r="K5527">
        <v>1.1124590000000001</v>
      </c>
      <c r="L5527">
        <v>-62.470030000000001</v>
      </c>
      <c r="M5527">
        <v>0.99854759999999998</v>
      </c>
      <c r="N5527">
        <v>-1.2412100000000001E-2</v>
      </c>
      <c r="O5527">
        <v>5.2427099999999997E-2</v>
      </c>
      <c r="P5527">
        <v>0.87159069999999905</v>
      </c>
      <c r="Q5527">
        <v>0.41211569999999997</v>
      </c>
      <c r="R5527">
        <v>0.26549980000000001</v>
      </c>
      <c r="S5527">
        <v>2.8827210000000001</v>
      </c>
      <c r="T5527">
        <v>-0.18322730000000001</v>
      </c>
      <c r="U5527">
        <v>2.1319889999999999</v>
      </c>
      <c r="V5527">
        <v>-0.2208908</v>
      </c>
      <c r="W5527">
        <v>0.42230210000000001</v>
      </c>
      <c r="X5527">
        <v>0.87912919999999894</v>
      </c>
      <c r="Y5527">
        <v>-0.55078309999999997</v>
      </c>
      <c r="Z5527">
        <v>1.7012320000000001E-2</v>
      </c>
      <c r="AA5527">
        <v>0.83447499999999997</v>
      </c>
      <c r="AB5527">
        <v>29</v>
      </c>
      <c r="AC5527">
        <v>0.58269999999998801</v>
      </c>
      <c r="AD5527">
        <v>-4.5270999999999999E-2</v>
      </c>
      <c r="AE5527">
        <v>0.51869999999999505</v>
      </c>
      <c r="AF5527">
        <v>-0.48579896476831202</v>
      </c>
      <c r="AG5527">
        <v>-4.5270999999999999E-2</v>
      </c>
      <c r="AH5527">
        <v>0.60705027096531605</v>
      </c>
      <c r="AI5527">
        <v>93.332350401929403</v>
      </c>
      <c r="AJ5527">
        <v>128.66894322099</v>
      </c>
      <c r="AK5527">
        <v>0.77881970255639199</v>
      </c>
      <c r="AL5527">
        <v>65.019985231044799</v>
      </c>
      <c r="AM5527">
        <v>104.104218223253</v>
      </c>
      <c r="AN5527">
        <v>0.99999997974084398</v>
      </c>
    </row>
    <row r="5528" spans="1:40" x14ac:dyDescent="0.25">
      <c r="A5528" t="str">
        <f>"20190304164755312"</f>
        <v>20190304164755312</v>
      </c>
      <c r="B5528" t="str">
        <f>"1551689275304305"</f>
        <v>1551689275304305</v>
      </c>
      <c r="C5528" t="s">
        <v>40</v>
      </c>
      <c r="D5528">
        <v>4.4854609999999999</v>
      </c>
      <c r="E5528">
        <v>0.3532748</v>
      </c>
      <c r="F5528" t="s">
        <v>41</v>
      </c>
      <c r="G5528">
        <v>-220.20570000000001</v>
      </c>
      <c r="H5528">
        <v>1.058956</v>
      </c>
      <c r="I5528">
        <v>-61.86056</v>
      </c>
      <c r="J5528">
        <v>-220.89349999999999</v>
      </c>
      <c r="K5528">
        <v>1.1124940000000001</v>
      </c>
      <c r="L5528">
        <v>-62.462159999999997</v>
      </c>
      <c r="M5528">
        <v>0.99850179999999999</v>
      </c>
      <c r="N5528">
        <v>-1.240337E-2</v>
      </c>
      <c r="O5528">
        <v>5.3296469999999999E-2</v>
      </c>
      <c r="P5528">
        <v>0.87087009999999898</v>
      </c>
      <c r="Q5528">
        <v>0.41226550000000001</v>
      </c>
      <c r="R5528">
        <v>0.26762399999999997</v>
      </c>
      <c r="S5528">
        <v>2.8803860000000001</v>
      </c>
      <c r="T5528">
        <v>-0.18736739999999999</v>
      </c>
      <c r="U5528">
        <v>2.1345519999999998</v>
      </c>
      <c r="V5528">
        <v>-0.22231139999999999</v>
      </c>
      <c r="W5528">
        <v>0.42241840000000003</v>
      </c>
      <c r="X5528">
        <v>0.87871520000000003</v>
      </c>
      <c r="Y5528">
        <v>-0.55082580000000003</v>
      </c>
      <c r="Z5528">
        <v>1.726219E-2</v>
      </c>
      <c r="AA5528">
        <v>0.83444169999999995</v>
      </c>
      <c r="AB5528">
        <v>29</v>
      </c>
      <c r="AC5528">
        <v>0.68779999999998098</v>
      </c>
      <c r="AD5528">
        <v>-5.3538000000000002E-2</v>
      </c>
      <c r="AE5528">
        <v>0.60159999999999703</v>
      </c>
      <c r="AF5528">
        <v>-0.56215496799198905</v>
      </c>
      <c r="AG5528">
        <v>-5.3538000000000002E-2</v>
      </c>
      <c r="AH5528">
        <v>0.71642860119346896</v>
      </c>
      <c r="AI5528">
        <v>93.364592209064099</v>
      </c>
      <c r="AJ5528">
        <v>128.11996259273101</v>
      </c>
      <c r="AK5528">
        <v>0.91222500847658505</v>
      </c>
      <c r="AL5528">
        <v>65.012635269882594</v>
      </c>
      <c r="AM5528">
        <v>104.197687963257</v>
      </c>
      <c r="AN5528">
        <v>1.00000003296977</v>
      </c>
    </row>
    <row r="5529" spans="1:40" x14ac:dyDescent="0.25">
      <c r="A5529" t="str">
        <f>"20190304164755322"</f>
        <v>20190304164755322</v>
      </c>
      <c r="B5529" t="str">
        <f>"1551689275315041"</f>
        <v>1551689275315041</v>
      </c>
      <c r="C5529" t="s">
        <v>40</v>
      </c>
      <c r="D5529">
        <v>4.4981989999999996</v>
      </c>
      <c r="E5529">
        <v>0.35366029999999998</v>
      </c>
      <c r="F5529" t="s">
        <v>41</v>
      </c>
      <c r="G5529">
        <v>-220.18450000000001</v>
      </c>
      <c r="H5529">
        <v>1.065728</v>
      </c>
      <c r="I5529">
        <v>-61.935209999999998</v>
      </c>
      <c r="J5529">
        <v>-220.767</v>
      </c>
      <c r="K5529">
        <v>1.112527</v>
      </c>
      <c r="L5529">
        <v>-62.454500000000003</v>
      </c>
      <c r="M5529">
        <v>0.99845600000000001</v>
      </c>
      <c r="N5529">
        <v>-1.2398330000000001E-2</v>
      </c>
      <c r="O5529">
        <v>5.4147479999999998E-2</v>
      </c>
      <c r="P5529">
        <v>0.87018960000000001</v>
      </c>
      <c r="Q5529">
        <v>0.41230539999999999</v>
      </c>
      <c r="R5529">
        <v>0.26976729999999999</v>
      </c>
      <c r="S5529">
        <v>2.8774259999999998</v>
      </c>
      <c r="T5529">
        <v>-0.1897867</v>
      </c>
      <c r="U5529">
        <v>2.1386720000000001</v>
      </c>
      <c r="V5529">
        <v>-0.2237673</v>
      </c>
      <c r="W5529">
        <v>0.42242750000000001</v>
      </c>
      <c r="X5529">
        <v>0.87834120000000004</v>
      </c>
      <c r="Y5529">
        <v>-0.55127459999999995</v>
      </c>
      <c r="Z5529">
        <v>1.741009E-2</v>
      </c>
      <c r="AA5529">
        <v>0.83414219999999895</v>
      </c>
      <c r="AB5529">
        <v>29</v>
      </c>
      <c r="AC5529">
        <v>0.58249999999998103</v>
      </c>
      <c r="AD5529">
        <v>-4.6799E-2</v>
      </c>
      <c r="AE5529">
        <v>0.51929000000000503</v>
      </c>
      <c r="AF5529">
        <v>-0.485239569679349</v>
      </c>
      <c r="AG5529">
        <v>-4.6799E-2</v>
      </c>
      <c r="AH5529">
        <v>0.60758056173823705</v>
      </c>
      <c r="AI5529">
        <v>93.444271677094406</v>
      </c>
      <c r="AJ5529">
        <v>128.61234547653899</v>
      </c>
      <c r="AK5529">
        <v>0.77897479123894098</v>
      </c>
      <c r="AL5529">
        <v>65.012059968745206</v>
      </c>
      <c r="AM5529">
        <v>104.29270681281101</v>
      </c>
      <c r="AN5529">
        <v>1.00000003046148</v>
      </c>
    </row>
    <row r="5530" spans="1:40" x14ac:dyDescent="0.25">
      <c r="A5530" t="str">
        <f>"20190304164755332"</f>
        <v>20190304164755332</v>
      </c>
      <c r="B5530" t="str">
        <f>"1551689275324801"</f>
        <v>1551689275324801</v>
      </c>
      <c r="C5530" t="s">
        <v>40</v>
      </c>
      <c r="D5530">
        <v>4.4534549999999999</v>
      </c>
      <c r="E5530">
        <v>0.35389969999999998</v>
      </c>
      <c r="F5530" t="s">
        <v>41</v>
      </c>
      <c r="G5530">
        <v>-219.9453</v>
      </c>
      <c r="H5530">
        <v>1.05746299999999</v>
      </c>
      <c r="I5530">
        <v>-61.84243</v>
      </c>
      <c r="J5530">
        <v>-220.62690000000001</v>
      </c>
      <c r="K5530">
        <v>1.1125620000000001</v>
      </c>
      <c r="L5530">
        <v>-62.446010000000001</v>
      </c>
      <c r="M5530">
        <v>0.99840430000000002</v>
      </c>
      <c r="N5530">
        <v>-1.239317E-2</v>
      </c>
      <c r="O5530">
        <v>5.5095440000000002E-2</v>
      </c>
      <c r="P5530">
        <v>0.86944869999999996</v>
      </c>
      <c r="Q5530">
        <v>0.41233579999999997</v>
      </c>
      <c r="R5530">
        <v>0.27210020000000001</v>
      </c>
      <c r="S5530">
        <v>2.874771</v>
      </c>
      <c r="T5530">
        <v>-0.1926464</v>
      </c>
      <c r="U5530">
        <v>2.141937</v>
      </c>
      <c r="V5530">
        <v>-0.22533329999999999</v>
      </c>
      <c r="W5530">
        <v>0.42242439999999998</v>
      </c>
      <c r="X5530">
        <v>0.87794219999999901</v>
      </c>
      <c r="Y5530">
        <v>-0.55143730000000002</v>
      </c>
      <c r="Z5530">
        <v>1.7571750000000001E-2</v>
      </c>
      <c r="AA5530">
        <v>0.83403130000000003</v>
      </c>
      <c r="AB5530">
        <v>29</v>
      </c>
      <c r="AC5530">
        <v>0.68160000000000298</v>
      </c>
      <c r="AD5530">
        <v>-5.5099000000000203E-2</v>
      </c>
      <c r="AE5530">
        <v>0.60357999999999301</v>
      </c>
      <c r="AF5530">
        <v>-0.56304492585447297</v>
      </c>
      <c r="AG5530">
        <v>-5.5099000000000203E-2</v>
      </c>
      <c r="AH5530">
        <v>0.71121669282417499</v>
      </c>
      <c r="AI5530">
        <v>93.475946462513406</v>
      </c>
      <c r="AJ5530">
        <v>128.367405027822</v>
      </c>
      <c r="AK5530">
        <v>0.90878197191803201</v>
      </c>
      <c r="AL5530">
        <v>65.012254798715105</v>
      </c>
      <c r="AM5530">
        <v>104.394860396642</v>
      </c>
      <c r="AN5530">
        <v>0.99999998817254399</v>
      </c>
    </row>
    <row r="5531" spans="1:40" x14ac:dyDescent="0.25">
      <c r="A5531" t="str">
        <f>"20190304164755345"</f>
        <v>20190304164755345</v>
      </c>
      <c r="B5531" t="str">
        <f>"1551689275334561"</f>
        <v>1551689275334561</v>
      </c>
      <c r="C5531" t="s">
        <v>40</v>
      </c>
      <c r="D5531">
        <v>4.4852030000000003</v>
      </c>
      <c r="E5531">
        <v>0.35435519999999998</v>
      </c>
      <c r="F5531" t="s">
        <v>41</v>
      </c>
      <c r="G5531">
        <v>-219.92400000000001</v>
      </c>
      <c r="H5531">
        <v>1.0648260000000001</v>
      </c>
      <c r="I5531">
        <v>-61.920630000000003</v>
      </c>
      <c r="J5531">
        <v>-220.4742</v>
      </c>
      <c r="K5531">
        <v>1.112603</v>
      </c>
      <c r="L5531">
        <v>-62.436459999999997</v>
      </c>
      <c r="M5531">
        <v>0.99834420000000001</v>
      </c>
      <c r="N5531">
        <v>-1.23897E-2</v>
      </c>
      <c r="O5531">
        <v>5.6174340000000003E-2</v>
      </c>
      <c r="P5531">
        <v>0.86869269999999998</v>
      </c>
      <c r="Q5531">
        <v>0.41237269999999998</v>
      </c>
      <c r="R5531">
        <v>0.27444849999999998</v>
      </c>
      <c r="S5531">
        <v>2.8710939999999998</v>
      </c>
      <c r="T5531">
        <v>-0.19500049999999999</v>
      </c>
      <c r="U5531">
        <v>2.14682</v>
      </c>
      <c r="V5531">
        <v>-0.2268085</v>
      </c>
      <c r="W5531">
        <v>0.4224252</v>
      </c>
      <c r="X5531">
        <v>0.87756190000000001</v>
      </c>
      <c r="Y5531">
        <v>-0.55193760000000003</v>
      </c>
      <c r="Z5531">
        <v>1.7706719999999999E-2</v>
      </c>
      <c r="AA5531">
        <v>0.83369740000000003</v>
      </c>
      <c r="AB5531">
        <v>29</v>
      </c>
      <c r="AC5531">
        <v>0.55019999999998903</v>
      </c>
      <c r="AD5531">
        <v>-4.7776999999999903E-2</v>
      </c>
      <c r="AE5531">
        <v>0.51582999999999402</v>
      </c>
      <c r="AF5531">
        <v>-0.48217088565844102</v>
      </c>
      <c r="AG5531">
        <v>-4.7776999999999903E-2</v>
      </c>
      <c r="AH5531">
        <v>0.57599819219912995</v>
      </c>
      <c r="AI5531">
        <v>93.639286479956795</v>
      </c>
      <c r="AJ5531">
        <v>129.93286478501301</v>
      </c>
      <c r="AK5531">
        <v>0.75269204999276496</v>
      </c>
      <c r="AL5531">
        <v>65.012204993041195</v>
      </c>
      <c r="AM5531">
        <v>104.491160474504</v>
      </c>
      <c r="AN5531">
        <v>1.0000000167994401</v>
      </c>
    </row>
    <row r="5532" spans="1:40" x14ac:dyDescent="0.25">
      <c r="A5532" t="str">
        <f>"20190304164755356"</f>
        <v>20190304164755356</v>
      </c>
      <c r="B5532" t="str">
        <f>"1551689275345298"</f>
        <v>1551689275345298</v>
      </c>
      <c r="C5532" t="s">
        <v>40</v>
      </c>
      <c r="D5532">
        <v>4.442437</v>
      </c>
      <c r="E5532">
        <v>0.35462959999999999</v>
      </c>
      <c r="F5532" t="s">
        <v>41</v>
      </c>
      <c r="G5532">
        <v>-219.68029999999999</v>
      </c>
      <c r="H5532">
        <v>1.0581700000000001</v>
      </c>
      <c r="I5532">
        <v>-61.841149999999999</v>
      </c>
      <c r="J5532">
        <v>-220.3348</v>
      </c>
      <c r="K5532">
        <v>1.112641</v>
      </c>
      <c r="L5532">
        <v>-62.427700000000002</v>
      </c>
      <c r="M5532">
        <v>0.9982877</v>
      </c>
      <c r="N5532">
        <v>-1.2387159999999999E-2</v>
      </c>
      <c r="O5532">
        <v>5.7169940000000002E-2</v>
      </c>
      <c r="P5532">
        <v>0.86795370000000005</v>
      </c>
      <c r="Q5532">
        <v>0.41233170000000002</v>
      </c>
      <c r="R5532">
        <v>0.27683780000000002</v>
      </c>
      <c r="S5532">
        <v>2.867416</v>
      </c>
      <c r="T5532">
        <v>-0.19659969999999999</v>
      </c>
      <c r="U5532">
        <v>2.150299</v>
      </c>
      <c r="V5532">
        <v>-0.22839419999999999</v>
      </c>
      <c r="W5532">
        <v>0.42235060000000002</v>
      </c>
      <c r="X5532">
        <v>0.87718649999999998</v>
      </c>
      <c r="Y5532">
        <v>-0.55225249999999904</v>
      </c>
      <c r="Z5532">
        <v>1.778834E-2</v>
      </c>
      <c r="AA5532">
        <v>0.83348709999999904</v>
      </c>
      <c r="AB5532">
        <v>29</v>
      </c>
      <c r="AC5532">
        <v>0.65450000000001296</v>
      </c>
      <c r="AD5532">
        <v>-5.4470999999999901E-2</v>
      </c>
      <c r="AE5532">
        <v>0.58655000000000201</v>
      </c>
      <c r="AF5532">
        <v>-0.54607228773540795</v>
      </c>
      <c r="AG5532">
        <v>-5.4470999999999901E-2</v>
      </c>
      <c r="AH5532">
        <v>0.68433620965948505</v>
      </c>
      <c r="AI5532">
        <v>93.560158672402295</v>
      </c>
      <c r="AJ5532">
        <v>128.58843450017599</v>
      </c>
      <c r="AK5532">
        <v>0.87719899744852303</v>
      </c>
      <c r="AL5532">
        <v>65.016921392913204</v>
      </c>
      <c r="AM5532">
        <v>104.59414191387199</v>
      </c>
      <c r="AN5532">
        <v>1.0000000478481199</v>
      </c>
    </row>
    <row r="5533" spans="1:40" x14ac:dyDescent="0.25">
      <c r="A5533" t="str">
        <f>"20190304164755366"</f>
        <v>20190304164755366</v>
      </c>
      <c r="B5533" t="str">
        <f>"1551689275355056"</f>
        <v>1551689275355056</v>
      </c>
      <c r="C5533" t="s">
        <v>40</v>
      </c>
      <c r="D5533">
        <v>4.4504710000000003</v>
      </c>
      <c r="E5533">
        <v>0.35500209999999999</v>
      </c>
      <c r="F5533" t="s">
        <v>53</v>
      </c>
      <c r="G5533">
        <v>-204.32929999999999</v>
      </c>
      <c r="H5533" s="1">
        <v>-5.6314580000000003E-6</v>
      </c>
      <c r="I5533">
        <v>-50.385440000000003</v>
      </c>
      <c r="J5533">
        <v>-220.18629999999999</v>
      </c>
      <c r="K5533">
        <v>1.1126849999999999</v>
      </c>
      <c r="L5533">
        <v>-62.418030000000002</v>
      </c>
      <c r="M5533">
        <v>0.99822370000000005</v>
      </c>
      <c r="N5533">
        <v>-1.2388059999999999E-2</v>
      </c>
      <c r="O5533">
        <v>5.8276439999999999E-2</v>
      </c>
      <c r="P5533">
        <v>0.86726859999999995</v>
      </c>
      <c r="Q5533">
        <v>0.41217979999999999</v>
      </c>
      <c r="R5533">
        <v>0.27920109999999998</v>
      </c>
      <c r="S5533">
        <v>2.8637540000000001</v>
      </c>
      <c r="T5533">
        <v>-0.19907759999999999</v>
      </c>
      <c r="U5533">
        <v>2.154633</v>
      </c>
      <c r="V5533">
        <v>-0.22985910000000001</v>
      </c>
      <c r="W5533">
        <v>0.42216599999999999</v>
      </c>
      <c r="X5533">
        <v>0.87689259999999902</v>
      </c>
      <c r="Y5533">
        <v>-0.55262429999999996</v>
      </c>
      <c r="Z5533">
        <v>1.7925529999999999E-2</v>
      </c>
      <c r="AA5533">
        <v>0.83323769999999997</v>
      </c>
      <c r="AB5533">
        <v>29</v>
      </c>
      <c r="AC5533">
        <v>15.856999999999999</v>
      </c>
      <c r="AD5533">
        <v>-1.1126906314579901</v>
      </c>
      <c r="AE5533">
        <v>12.032590000000001</v>
      </c>
      <c r="AF5533">
        <v>-11.053438594233301</v>
      </c>
      <c r="AG5533">
        <v>-1.1126906314579901</v>
      </c>
      <c r="AH5533">
        <v>16.479822908049201</v>
      </c>
      <c r="AI5533">
        <v>93.209408654143004</v>
      </c>
      <c r="AJ5533">
        <v>123.850767724791</v>
      </c>
      <c r="AK5533">
        <v>19.874635802411198</v>
      </c>
      <c r="AL5533">
        <v>65.028587755255202</v>
      </c>
      <c r="AM5533">
        <v>104.688422969424</v>
      </c>
      <c r="AN5533">
        <v>0.99999998467178397</v>
      </c>
    </row>
    <row r="5534" spans="1:40" x14ac:dyDescent="0.25">
      <c r="A5534" t="str">
        <f>"20190304164755378"</f>
        <v>20190304164755378</v>
      </c>
      <c r="B5534" t="str">
        <f>"1551689275374577"</f>
        <v>1551689275374577</v>
      </c>
      <c r="C5534" t="s">
        <v>40</v>
      </c>
      <c r="D5534">
        <v>4.437189</v>
      </c>
      <c r="E5534">
        <v>0.35585409999999901</v>
      </c>
      <c r="F5534" t="s">
        <v>41</v>
      </c>
      <c r="G5534">
        <v>-219.416</v>
      </c>
      <c r="H5534">
        <v>1.0586329999999999</v>
      </c>
      <c r="I5534">
        <v>-61.836959999999998</v>
      </c>
      <c r="J5534">
        <v>-220.0378</v>
      </c>
      <c r="K5534">
        <v>1.1127279999999999</v>
      </c>
      <c r="L5534">
        <v>-62.408259999999999</v>
      </c>
      <c r="M5534">
        <v>0.99815739999999997</v>
      </c>
      <c r="N5534">
        <v>-1.2391070000000001E-2</v>
      </c>
      <c r="O5534">
        <v>5.9401099999999998E-2</v>
      </c>
      <c r="P5534">
        <v>0.86664030000000003</v>
      </c>
      <c r="Q5534">
        <v>0.41180810000000001</v>
      </c>
      <c r="R5534">
        <v>0.28168890000000002</v>
      </c>
      <c r="S5534">
        <v>2.8596189999999999</v>
      </c>
      <c r="T5534">
        <v>-0.20070160000000001</v>
      </c>
      <c r="U5534">
        <v>2.1585390000000002</v>
      </c>
      <c r="V5534">
        <v>-0.23142889999999999</v>
      </c>
      <c r="W5534">
        <v>0.42176390000000002</v>
      </c>
      <c r="X5534">
        <v>0.87667320000000004</v>
      </c>
      <c r="Y5534">
        <v>-0.55297510000000005</v>
      </c>
      <c r="Z5534">
        <v>1.8005340000000002E-2</v>
      </c>
      <c r="AA5534">
        <v>0.83300319999999894</v>
      </c>
      <c r="AB5534">
        <v>29</v>
      </c>
      <c r="AC5534">
        <v>0.62180000000000701</v>
      </c>
      <c r="AD5534">
        <v>-5.4095000000000198E-2</v>
      </c>
      <c r="AE5534">
        <v>0.57130000000000003</v>
      </c>
      <c r="AF5534">
        <v>-0.53117264362278105</v>
      </c>
      <c r="AG5534">
        <v>-5.4095000000000198E-2</v>
      </c>
      <c r="AH5534">
        <v>0.65196460577246595</v>
      </c>
      <c r="AI5534">
        <v>93.680527019839801</v>
      </c>
      <c r="AJ5534">
        <v>129.17060634748901</v>
      </c>
      <c r="AK5534">
        <v>0.84269122075542002</v>
      </c>
      <c r="AL5534">
        <v>65.054000252095605</v>
      </c>
      <c r="AM5534">
        <v>104.787894046151</v>
      </c>
      <c r="AN5534">
        <v>1.0000000113483301</v>
      </c>
    </row>
    <row r="5535" spans="1:40" x14ac:dyDescent="0.25">
      <c r="A5535" t="str">
        <f>"20190304164755389"</f>
        <v>20190304164755389</v>
      </c>
      <c r="B5535" t="str">
        <f>"1551689275384336"</f>
        <v>1551689275384336</v>
      </c>
      <c r="C5535" t="s">
        <v>40</v>
      </c>
      <c r="D5535">
        <v>4.4262139999999999</v>
      </c>
      <c r="E5535">
        <v>0.35618319999999998</v>
      </c>
      <c r="F5535" t="s">
        <v>41</v>
      </c>
      <c r="G5535">
        <v>-219.17349999999999</v>
      </c>
      <c r="H5535">
        <v>1.0506059999999999</v>
      </c>
      <c r="I5535">
        <v>-61.755009999999999</v>
      </c>
      <c r="J5535">
        <v>-219.89009999999999</v>
      </c>
      <c r="K5535">
        <v>1.1127720000000001</v>
      </c>
      <c r="L5535">
        <v>-62.398350000000001</v>
      </c>
      <c r="M5535">
        <v>0.99808810000000003</v>
      </c>
      <c r="N5535">
        <v>-1.2397750000000001E-2</v>
      </c>
      <c r="O5535">
        <v>6.0552330000000001E-2</v>
      </c>
      <c r="P5535">
        <v>0.86604559999999997</v>
      </c>
      <c r="Q5535">
        <v>0.4114466</v>
      </c>
      <c r="R5535">
        <v>0.28403669999999998</v>
      </c>
      <c r="S5535">
        <v>2.8573460000000002</v>
      </c>
      <c r="T5535">
        <v>-0.2053642</v>
      </c>
      <c r="U5535">
        <v>2.159424</v>
      </c>
      <c r="V5535">
        <v>-0.23283490000000001</v>
      </c>
      <c r="W5535">
        <v>0.42137520000000001</v>
      </c>
      <c r="X5535">
        <v>0.87648780000000004</v>
      </c>
      <c r="Y5535">
        <v>-0.55245739999999999</v>
      </c>
      <c r="Z5535">
        <v>1.825017E-2</v>
      </c>
      <c r="AA5535">
        <v>0.83334129999999995</v>
      </c>
      <c r="AB5535">
        <v>29</v>
      </c>
      <c r="AC5535">
        <v>0.71659999999999902</v>
      </c>
      <c r="AD5535">
        <v>-6.2165999999999902E-2</v>
      </c>
      <c r="AE5535">
        <v>0.64334000000000202</v>
      </c>
      <c r="AF5535">
        <v>-0.59627939505313199</v>
      </c>
      <c r="AG5535">
        <v>-6.2165999999999902E-2</v>
      </c>
      <c r="AH5535">
        <v>0.75111358767119696</v>
      </c>
      <c r="AI5535">
        <v>93.708859472930499</v>
      </c>
      <c r="AJ5535">
        <v>128.444671998443</v>
      </c>
      <c r="AK5535">
        <v>0.96103348022076096</v>
      </c>
      <c r="AL5535">
        <v>65.078560081751604</v>
      </c>
      <c r="AM5535">
        <v>104.876770607293</v>
      </c>
      <c r="AN5535">
        <v>1.00000000669094</v>
      </c>
    </row>
    <row r="5536" spans="1:40" x14ac:dyDescent="0.25">
      <c r="A5536" t="str">
        <f>"20190304164755401"</f>
        <v>20190304164755401</v>
      </c>
      <c r="B5536" t="str">
        <f>"1551689275395072"</f>
        <v>1551689275395072</v>
      </c>
      <c r="C5536" t="s">
        <v>40</v>
      </c>
      <c r="D5536">
        <v>4.4012219999999997</v>
      </c>
      <c r="E5536">
        <v>0.35648400000000002</v>
      </c>
      <c r="F5536" t="s">
        <v>41</v>
      </c>
      <c r="G5536">
        <v>-219.15049999999999</v>
      </c>
      <c r="H5536">
        <v>1.058897</v>
      </c>
      <c r="I5536">
        <v>-61.83746</v>
      </c>
      <c r="J5536">
        <v>-219.7354</v>
      </c>
      <c r="K5536">
        <v>1.112819</v>
      </c>
      <c r="L5536">
        <v>-62.387700000000002</v>
      </c>
      <c r="M5536">
        <v>0.99801189999999995</v>
      </c>
      <c r="N5536">
        <v>-1.2406840000000001E-2</v>
      </c>
      <c r="O5536">
        <v>6.179465E-2</v>
      </c>
      <c r="P5536">
        <v>0.86544509999999897</v>
      </c>
      <c r="Q5536">
        <v>0.41098000000000001</v>
      </c>
      <c r="R5536">
        <v>0.2865316</v>
      </c>
      <c r="S5536">
        <v>2.85318</v>
      </c>
      <c r="T5536">
        <v>-0.2078245</v>
      </c>
      <c r="U5536">
        <v>2.1634829999999998</v>
      </c>
      <c r="V5536">
        <v>-0.23431099999999999</v>
      </c>
      <c r="W5536">
        <v>0.42088219999999998</v>
      </c>
      <c r="X5536">
        <v>0.87633130000000004</v>
      </c>
      <c r="Y5536">
        <v>-0.55273600000000001</v>
      </c>
      <c r="Z5536">
        <v>1.8376219999999999E-2</v>
      </c>
      <c r="AA5536">
        <v>0.83315380000000006</v>
      </c>
      <c r="AB5536">
        <v>29</v>
      </c>
      <c r="AC5536">
        <v>0.58490000000000397</v>
      </c>
      <c r="AD5536">
        <v>-5.3921999999999998E-2</v>
      </c>
      <c r="AE5536">
        <v>0.55024000000000195</v>
      </c>
      <c r="AF5536">
        <v>-0.51073899139031498</v>
      </c>
      <c r="AG5536">
        <v>-5.3921999999999998E-2</v>
      </c>
      <c r="AH5536">
        <v>0.61501356073232605</v>
      </c>
      <c r="AI5536">
        <v>93.8587643683355</v>
      </c>
      <c r="AJ5536">
        <v>129.707990011628</v>
      </c>
      <c r="AK5536">
        <v>0.80125125852946499</v>
      </c>
      <c r="AL5536">
        <v>65.109703248068797</v>
      </c>
      <c r="AM5536">
        <v>104.969417670249</v>
      </c>
      <c r="AN5536">
        <v>1.00000000917876</v>
      </c>
    </row>
    <row r="5537" spans="1:40" x14ac:dyDescent="0.25">
      <c r="A5537" t="str">
        <f>"20190304164755412"</f>
        <v>20190304164755412</v>
      </c>
      <c r="B5537" t="str">
        <f>"1551689275404833"</f>
        <v>1551689275404833</v>
      </c>
      <c r="C5537" t="s">
        <v>40</v>
      </c>
      <c r="D5537">
        <v>4.412185</v>
      </c>
      <c r="E5537">
        <v>0.35677789999999998</v>
      </c>
      <c r="F5537" t="s">
        <v>41</v>
      </c>
      <c r="G5537">
        <v>-218.9075</v>
      </c>
      <c r="H5537">
        <v>1.0515939999999999</v>
      </c>
      <c r="I5537">
        <v>-61.757420000000003</v>
      </c>
      <c r="J5537">
        <v>-219.5908</v>
      </c>
      <c r="K5537">
        <v>1.1128610000000001</v>
      </c>
      <c r="L5537">
        <v>-62.377589999999998</v>
      </c>
      <c r="M5537">
        <v>0.99793779999999999</v>
      </c>
      <c r="N5537">
        <v>-1.2416480000000001E-2</v>
      </c>
      <c r="O5537">
        <v>6.2977400000000003E-2</v>
      </c>
      <c r="P5537">
        <v>0.86490299999999998</v>
      </c>
      <c r="Q5537">
        <v>0.41054249999999998</v>
      </c>
      <c r="R5537">
        <v>0.28878730000000002</v>
      </c>
      <c r="S5537">
        <v>2.848465</v>
      </c>
      <c r="T5537">
        <v>-0.2106383</v>
      </c>
      <c r="U5537">
        <v>2.1686399999999999</v>
      </c>
      <c r="V5537">
        <v>-0.2355961</v>
      </c>
      <c r="W5537">
        <v>0.42042010000000002</v>
      </c>
      <c r="X5537">
        <v>0.87620849999999995</v>
      </c>
      <c r="Y5537">
        <v>-0.55334139999999998</v>
      </c>
      <c r="Z5537">
        <v>1.854165E-2</v>
      </c>
      <c r="AA5537">
        <v>0.83274820000000005</v>
      </c>
      <c r="AB5537">
        <v>29</v>
      </c>
      <c r="AC5537">
        <v>0.68330000000000202</v>
      </c>
      <c r="AD5537">
        <v>-6.1266999999999898E-2</v>
      </c>
      <c r="AE5537">
        <v>0.62017000000000799</v>
      </c>
      <c r="AF5537">
        <v>-0.57337540560684797</v>
      </c>
      <c r="AG5537">
        <v>-6.1266999999999898E-2</v>
      </c>
      <c r="AH5537">
        <v>0.71783871664915</v>
      </c>
      <c r="AI5537">
        <v>93.815242486325701</v>
      </c>
      <c r="AJ5537">
        <v>128.61619538746299</v>
      </c>
      <c r="AK5537">
        <v>0.920763500669046</v>
      </c>
      <c r="AL5537">
        <v>65.138885919019799</v>
      </c>
      <c r="AM5537">
        <v>105.049817882356</v>
      </c>
      <c r="AN5537">
        <v>0.99999995914573403</v>
      </c>
    </row>
    <row r="5538" spans="1:40" x14ac:dyDescent="0.25">
      <c r="A5538" t="str">
        <f>"20190304164755424"</f>
        <v>20190304164755424</v>
      </c>
      <c r="B5538" t="str">
        <f>"1551689275414593"</f>
        <v>1551689275414593</v>
      </c>
      <c r="C5538" t="s">
        <v>40</v>
      </c>
      <c r="D5538">
        <v>4.3825919999999998</v>
      </c>
      <c r="E5538">
        <v>0.35710930000000002</v>
      </c>
      <c r="F5538" t="s">
        <v>41</v>
      </c>
      <c r="G5538">
        <v>-218.88480000000001</v>
      </c>
      <c r="H5538">
        <v>1.060033</v>
      </c>
      <c r="I5538">
        <v>-61.837969999999999</v>
      </c>
      <c r="J5538">
        <v>-219.4444</v>
      </c>
      <c r="K5538">
        <v>1.112911</v>
      </c>
      <c r="L5538">
        <v>-62.367100000000001</v>
      </c>
      <c r="M5538">
        <v>0.99785789999999996</v>
      </c>
      <c r="N5538">
        <v>-1.2429330000000001E-2</v>
      </c>
      <c r="O5538">
        <v>6.4229190000000005E-2</v>
      </c>
      <c r="P5538">
        <v>0.86424749999999995</v>
      </c>
      <c r="Q5538">
        <v>0.41024709999999998</v>
      </c>
      <c r="R5538">
        <v>0.29115950000000002</v>
      </c>
      <c r="S5538">
        <v>2.8437190000000001</v>
      </c>
      <c r="T5538">
        <v>-0.21279380000000001</v>
      </c>
      <c r="U5538">
        <v>2.1739199999999999</v>
      </c>
      <c r="V5538">
        <v>-0.23694870000000001</v>
      </c>
      <c r="W5538">
        <v>0.4200991</v>
      </c>
      <c r="X5538">
        <v>0.87599780000000005</v>
      </c>
      <c r="Y5538">
        <v>-0.55392209999999997</v>
      </c>
      <c r="Z5538">
        <v>1.8658660000000001E-2</v>
      </c>
      <c r="AA5538">
        <v>0.83235939999999997</v>
      </c>
      <c r="AB5538">
        <v>29</v>
      </c>
      <c r="AC5538">
        <v>0.559599999999989</v>
      </c>
      <c r="AD5538">
        <v>-5.2877999999999897E-2</v>
      </c>
      <c r="AE5538">
        <v>0.52913000000000199</v>
      </c>
      <c r="AF5538">
        <v>-0.48978295294392798</v>
      </c>
      <c r="AG5538">
        <v>-5.2877999999999897E-2</v>
      </c>
      <c r="AH5538">
        <v>0.58965286920812698</v>
      </c>
      <c r="AI5538">
        <v>93.946185313892698</v>
      </c>
      <c r="AJ5538">
        <v>129.71401566437299</v>
      </c>
      <c r="AK5538">
        <v>0.76835794395831603</v>
      </c>
      <c r="AL5538">
        <v>65.159156894746502</v>
      </c>
      <c r="AM5538">
        <v>105.13574258441299</v>
      </c>
      <c r="AN5538">
        <v>1.00000004292866</v>
      </c>
    </row>
    <row r="5539" spans="1:40" x14ac:dyDescent="0.25">
      <c r="A5539" t="str">
        <f>"20190304164755437"</f>
        <v>20190304164755437</v>
      </c>
      <c r="B5539" t="str">
        <f>"1551689275424353"</f>
        <v>1551689275424353</v>
      </c>
      <c r="C5539" t="s">
        <v>40</v>
      </c>
      <c r="D5539">
        <v>4.4114440000000004</v>
      </c>
      <c r="E5539">
        <v>0.357404</v>
      </c>
      <c r="F5539" t="s">
        <v>41</v>
      </c>
      <c r="G5539">
        <v>-218.64349999999999</v>
      </c>
      <c r="H5539">
        <v>1.052419</v>
      </c>
      <c r="I5539">
        <v>-61.752429999999997</v>
      </c>
      <c r="J5539">
        <v>-219.27930000000001</v>
      </c>
      <c r="K5539">
        <v>1.11297</v>
      </c>
      <c r="L5539">
        <v>-62.355069999999998</v>
      </c>
      <c r="M5539">
        <v>0.99776419999999999</v>
      </c>
      <c r="N5539">
        <v>-1.2444729999999999E-2</v>
      </c>
      <c r="O5539">
        <v>6.5665340000000003E-2</v>
      </c>
      <c r="P5539">
        <v>0.86347830000000003</v>
      </c>
      <c r="Q5539">
        <v>0.40998600000000002</v>
      </c>
      <c r="R5539">
        <v>0.29379680000000002</v>
      </c>
      <c r="S5539">
        <v>2.8389739999999999</v>
      </c>
      <c r="T5539">
        <v>-0.2144384</v>
      </c>
      <c r="U5539">
        <v>2.1788639999999999</v>
      </c>
      <c r="V5539">
        <v>-0.23841979999999999</v>
      </c>
      <c r="W5539">
        <v>0.41980869999999998</v>
      </c>
      <c r="X5539">
        <v>0.87573780000000001</v>
      </c>
      <c r="Y5539">
        <v>-0.55429269999999997</v>
      </c>
      <c r="Z5539">
        <v>1.8723630000000002E-2</v>
      </c>
      <c r="AA5539">
        <v>0.83211119999999905</v>
      </c>
      <c r="AB5539">
        <v>29</v>
      </c>
      <c r="AC5539">
        <v>0.63580000000001702</v>
      </c>
      <c r="AD5539">
        <v>-6.0551000000000001E-2</v>
      </c>
      <c r="AE5539">
        <v>0.60263999999999296</v>
      </c>
      <c r="AF5539">
        <v>-0.55692509447724503</v>
      </c>
      <c r="AG5539">
        <v>-6.0551000000000001E-2</v>
      </c>
      <c r="AH5539">
        <v>0.67079834457937404</v>
      </c>
      <c r="AI5539">
        <v>93.972843953409793</v>
      </c>
      <c r="AJ5539">
        <v>129.70088884227701</v>
      </c>
      <c r="AK5539">
        <v>0.87395789575351801</v>
      </c>
      <c r="AL5539">
        <v>65.177490017447099</v>
      </c>
      <c r="AM5539">
        <v>105.229674277055</v>
      </c>
      <c r="AN5539">
        <v>1.0000000199882799</v>
      </c>
    </row>
    <row r="5540" spans="1:40" x14ac:dyDescent="0.25">
      <c r="A5540" t="str">
        <f>"20190304164755450"</f>
        <v>20190304164755450</v>
      </c>
      <c r="B5540" t="str">
        <f>"1551689275444849"</f>
        <v>1551689275444849</v>
      </c>
      <c r="C5540" t="s">
        <v>40</v>
      </c>
      <c r="D5540">
        <v>4.3851100000000001</v>
      </c>
      <c r="E5540">
        <v>0.35820770000000002</v>
      </c>
      <c r="F5540" t="s">
        <v>53</v>
      </c>
      <c r="G5540">
        <v>-204.6601</v>
      </c>
      <c r="H5540" s="1">
        <v>-5.3909509999999998E-6</v>
      </c>
      <c r="I5540">
        <v>-51.080779999999997</v>
      </c>
      <c r="J5540">
        <v>-219.10140000000001</v>
      </c>
      <c r="K5540">
        <v>1.1130439999999999</v>
      </c>
      <c r="L5540">
        <v>-62.341740000000001</v>
      </c>
      <c r="M5540">
        <v>0.99765619999999999</v>
      </c>
      <c r="N5540">
        <v>-1.246356E-2</v>
      </c>
      <c r="O5540">
        <v>6.7282519999999998E-2</v>
      </c>
      <c r="P5540">
        <v>0.86270219999999898</v>
      </c>
      <c r="Q5540">
        <v>0.40982980000000002</v>
      </c>
      <c r="R5540">
        <v>0.29628490000000002</v>
      </c>
      <c r="S5540">
        <v>2.8332820000000001</v>
      </c>
      <c r="T5540">
        <v>-0.21570149999999999</v>
      </c>
      <c r="U5540">
        <v>2.185028</v>
      </c>
      <c r="V5540">
        <v>-0.2395949</v>
      </c>
      <c r="W5540">
        <v>0.41962120000000003</v>
      </c>
      <c r="X5540">
        <v>0.87550689999999998</v>
      </c>
      <c r="Y5540">
        <v>-0.55487489999999995</v>
      </c>
      <c r="Z5540">
        <v>1.8764869999999999E-2</v>
      </c>
      <c r="AA5540">
        <v>0.83172209999999902</v>
      </c>
      <c r="AB5540">
        <v>29</v>
      </c>
      <c r="AC5540">
        <v>14.4413</v>
      </c>
      <c r="AD5540">
        <v>-1.113049390951</v>
      </c>
      <c r="AE5540">
        <v>11.260960000000001</v>
      </c>
      <c r="AF5540">
        <v>-10.2259394610952</v>
      </c>
      <c r="AG5540">
        <v>-1.113049390951</v>
      </c>
      <c r="AH5540">
        <v>15.1104742690697</v>
      </c>
      <c r="AI5540">
        <v>93.490958821781305</v>
      </c>
      <c r="AJ5540">
        <v>124.087984510505</v>
      </c>
      <c r="AK5540">
        <v>18.279364032835002</v>
      </c>
      <c r="AL5540">
        <v>65.189325418458296</v>
      </c>
      <c r="AM5540">
        <v>105.30507262453</v>
      </c>
      <c r="AN5540">
        <v>0.99999999977152998</v>
      </c>
    </row>
    <row r="5541" spans="1:40" x14ac:dyDescent="0.25">
      <c r="A5541" t="str">
        <f>"20190304164755463"</f>
        <v>20190304164755463</v>
      </c>
      <c r="B5541" t="str">
        <f>"1551689275454609"</f>
        <v>1551689275454609</v>
      </c>
      <c r="C5541" t="s">
        <v>40</v>
      </c>
      <c r="D5541">
        <v>4.3913440000000001</v>
      </c>
      <c r="E5541">
        <v>0.35859760000000002</v>
      </c>
      <c r="F5541" t="s">
        <v>41</v>
      </c>
      <c r="G5541">
        <v>-218.37100000000001</v>
      </c>
      <c r="H5541">
        <v>1.0571459999999999</v>
      </c>
      <c r="I5541">
        <v>-61.77711</v>
      </c>
      <c r="J5541">
        <v>-218.9331</v>
      </c>
      <c r="K5541">
        <v>1.113113</v>
      </c>
      <c r="L5541">
        <v>-62.328769999999999</v>
      </c>
      <c r="M5541">
        <v>0.99754790000000004</v>
      </c>
      <c r="N5541">
        <v>-1.248173E-2</v>
      </c>
      <c r="O5541">
        <v>6.8865109999999993E-2</v>
      </c>
      <c r="P5541">
        <v>0.86192809999999898</v>
      </c>
      <c r="Q5541">
        <v>0.40972409999999998</v>
      </c>
      <c r="R5541">
        <v>0.29867389999999999</v>
      </c>
      <c r="S5541">
        <v>2.8291019999999998</v>
      </c>
      <c r="T5541">
        <v>-0.21654219999999999</v>
      </c>
      <c r="U5541">
        <v>2.1873469999999999</v>
      </c>
      <c r="V5541">
        <v>-0.240702</v>
      </c>
      <c r="W5541">
        <v>0.41948459999999899</v>
      </c>
      <c r="X5541">
        <v>0.87526870000000001</v>
      </c>
      <c r="Y5541">
        <v>-0.55457000000000001</v>
      </c>
      <c r="Z5541">
        <v>1.8741230000000001E-2</v>
      </c>
      <c r="AA5541">
        <v>0.83192600000000005</v>
      </c>
      <c r="AB5541">
        <v>29</v>
      </c>
      <c r="AC5541">
        <v>0.56210000000001503</v>
      </c>
      <c r="AD5541">
        <v>-5.59670000000001E-2</v>
      </c>
      <c r="AE5541">
        <v>0.55165999999999804</v>
      </c>
      <c r="AF5541">
        <v>-0.50906737077251996</v>
      </c>
      <c r="AG5541">
        <v>-5.59670000000001E-2</v>
      </c>
      <c r="AH5541">
        <v>0.59575003341959099</v>
      </c>
      <c r="AI5541">
        <v>94.085166213251895</v>
      </c>
      <c r="AJ5541">
        <v>130.513831356689</v>
      </c>
      <c r="AK5541">
        <v>0.78562077072445802</v>
      </c>
      <c r="AL5541">
        <v>65.197948641632905</v>
      </c>
      <c r="AM5541">
        <v>105.37644036605199</v>
      </c>
      <c r="AN5541">
        <v>1.0000000398204201</v>
      </c>
    </row>
    <row r="5542" spans="1:40" x14ac:dyDescent="0.25">
      <c r="A5542" t="str">
        <f>"20190304164755475"</f>
        <v>20190304164755475</v>
      </c>
      <c r="B5542" t="str">
        <f>"1551689275464370"</f>
        <v>1551689275464370</v>
      </c>
      <c r="C5542" t="s">
        <v>40</v>
      </c>
      <c r="D5542">
        <v>4.3832680000000002</v>
      </c>
      <c r="E5542">
        <v>0.35857709999999998</v>
      </c>
      <c r="F5542" t="s">
        <v>41</v>
      </c>
      <c r="G5542">
        <v>-218.12700000000001</v>
      </c>
      <c r="H5542">
        <v>1.051302</v>
      </c>
      <c r="I5542">
        <v>-61.702860000000001</v>
      </c>
      <c r="J5542">
        <v>-218.78049999999999</v>
      </c>
      <c r="K5542">
        <v>1.1131759999999999</v>
      </c>
      <c r="L5542">
        <v>-62.316890000000001</v>
      </c>
      <c r="M5542">
        <v>0.99744580000000005</v>
      </c>
      <c r="N5542">
        <v>-1.2498230000000001E-2</v>
      </c>
      <c r="O5542">
        <v>7.0325830000000006E-2</v>
      </c>
      <c r="P5542">
        <v>0.86110929999999997</v>
      </c>
      <c r="Q5542">
        <v>0.40969850000000002</v>
      </c>
      <c r="R5542">
        <v>0.30106139999999998</v>
      </c>
      <c r="S5542">
        <v>2.8237000000000001</v>
      </c>
      <c r="T5542">
        <v>-0.21651509999999999</v>
      </c>
      <c r="U5542">
        <v>2.1926269999999999</v>
      </c>
      <c r="V5542">
        <v>-0.24191409999999999</v>
      </c>
      <c r="W5542">
        <v>0.41942780000000002</v>
      </c>
      <c r="X5542">
        <v>0.87496169999999995</v>
      </c>
      <c r="Y5542">
        <v>-0.55509229999999998</v>
      </c>
      <c r="Z5542">
        <v>1.870223E-2</v>
      </c>
      <c r="AA5542">
        <v>0.8315785</v>
      </c>
      <c r="AB5542">
        <v>29</v>
      </c>
      <c r="AC5542">
        <v>0.65349999999997899</v>
      </c>
      <c r="AD5542">
        <v>-6.1873999999999901E-2</v>
      </c>
      <c r="AE5542">
        <v>0.61402999999999897</v>
      </c>
      <c r="AF5542">
        <v>-0.56386333063567196</v>
      </c>
      <c r="AG5542">
        <v>-6.1873999999999901E-2</v>
      </c>
      <c r="AH5542">
        <v>0.69177365425047699</v>
      </c>
      <c r="AI5542">
        <v>93.965934748523196</v>
      </c>
      <c r="AJ5542">
        <v>129.183408287405</v>
      </c>
      <c r="AK5542">
        <v>0.89460663770542903</v>
      </c>
      <c r="AL5542">
        <v>65.201533774944593</v>
      </c>
      <c r="AM5542">
        <v>105.455342436118</v>
      </c>
      <c r="AN5542">
        <v>1.00000004382926</v>
      </c>
    </row>
    <row r="5543" spans="1:40" x14ac:dyDescent="0.25">
      <c r="A5543" t="str">
        <f>"20190304164755485"</f>
        <v>20190304164755485</v>
      </c>
      <c r="B5543" t="str">
        <f>"1551689275475106"</f>
        <v>1551689275475106</v>
      </c>
      <c r="C5543" t="s">
        <v>40</v>
      </c>
      <c r="D5543">
        <v>4.3803449999999904</v>
      </c>
      <c r="E5543">
        <v>0.35858309999999999</v>
      </c>
      <c r="F5543" t="s">
        <v>53</v>
      </c>
      <c r="G5543">
        <v>-204.36709999999999</v>
      </c>
      <c r="H5543" s="1">
        <v>-5.5119749999999999E-6</v>
      </c>
      <c r="I5543">
        <v>-51.058610000000002</v>
      </c>
      <c r="J5543">
        <v>-218.63460000000001</v>
      </c>
      <c r="K5543">
        <v>1.113235</v>
      </c>
      <c r="L5543">
        <v>-62.305079999999997</v>
      </c>
      <c r="M5543">
        <v>0.99734120000000004</v>
      </c>
      <c r="N5543">
        <v>-1.2513760000000001E-2</v>
      </c>
      <c r="O5543">
        <v>7.1792099999999998E-2</v>
      </c>
      <c r="P5543">
        <v>0.86036190000000001</v>
      </c>
      <c r="Q5543">
        <v>0.40945090000000001</v>
      </c>
      <c r="R5543">
        <v>0.30352560000000001</v>
      </c>
      <c r="S5543">
        <v>2.8178860000000001</v>
      </c>
      <c r="T5543">
        <v>-0.2176324</v>
      </c>
      <c r="U5543">
        <v>2.20105</v>
      </c>
      <c r="V5543">
        <v>-0.2431943</v>
      </c>
      <c r="W5543">
        <v>0.4191473</v>
      </c>
      <c r="X5543">
        <v>0.87474110000000005</v>
      </c>
      <c r="Y5543">
        <v>-0.5562338</v>
      </c>
      <c r="Z5543">
        <v>1.875982E-2</v>
      </c>
      <c r="AA5543">
        <v>0.8308141</v>
      </c>
      <c r="AB5543">
        <v>29</v>
      </c>
      <c r="AC5543">
        <v>14.2675</v>
      </c>
      <c r="AD5543">
        <v>-1.113240511975</v>
      </c>
      <c r="AE5543">
        <v>11.24647</v>
      </c>
      <c r="AF5543">
        <v>-10.154939962973</v>
      </c>
      <c r="AG5543">
        <v>-1.113240511975</v>
      </c>
      <c r="AH5543">
        <v>14.9818930790236</v>
      </c>
      <c r="AI5543">
        <v>93.519704588327102</v>
      </c>
      <c r="AJ5543">
        <v>124.129977235533</v>
      </c>
      <c r="AK5543">
        <v>18.1333733850154</v>
      </c>
      <c r="AL5543">
        <v>65.219234248378598</v>
      </c>
      <c r="AM5543">
        <v>105.536920139801</v>
      </c>
      <c r="AN5543">
        <v>0.99999995933949404</v>
      </c>
    </row>
    <row r="5544" spans="1:40" x14ac:dyDescent="0.25">
      <c r="A5544" t="str">
        <f>"20190304164755496"</f>
        <v>20190304164755496</v>
      </c>
      <c r="B5544" t="str">
        <f>"1551689275484865"</f>
        <v>1551689275484865</v>
      </c>
      <c r="C5544" t="s">
        <v>40</v>
      </c>
      <c r="D5544">
        <v>4.392989</v>
      </c>
      <c r="E5544">
        <v>0.35864359999999901</v>
      </c>
      <c r="F5544" t="s">
        <v>41</v>
      </c>
      <c r="G5544">
        <v>-217.86269999999999</v>
      </c>
      <c r="H5544">
        <v>1.052867</v>
      </c>
      <c r="I5544">
        <v>-61.69896</v>
      </c>
      <c r="J5544">
        <v>-218.4957</v>
      </c>
      <c r="K5544">
        <v>1.1132959999999901</v>
      </c>
      <c r="L5544">
        <v>-62.293729999999996</v>
      </c>
      <c r="M5544">
        <v>0.99723830000000002</v>
      </c>
      <c r="N5544">
        <v>-1.2528330000000001E-2</v>
      </c>
      <c r="O5544">
        <v>7.3204089999999999E-2</v>
      </c>
      <c r="P5544">
        <v>0.85954869999999906</v>
      </c>
      <c r="Q5544">
        <v>0.40950750000000002</v>
      </c>
      <c r="R5544">
        <v>0.30574430000000002</v>
      </c>
      <c r="S5544">
        <v>2.812271</v>
      </c>
      <c r="T5544">
        <v>-0.21994839999999999</v>
      </c>
      <c r="U5544">
        <v>2.2089840000000001</v>
      </c>
      <c r="V5544">
        <v>-0.24428140000000001</v>
      </c>
      <c r="W5544">
        <v>0.4191723</v>
      </c>
      <c r="X5544">
        <v>0.87442619999999904</v>
      </c>
      <c r="Y5544">
        <v>-0.55728979999999995</v>
      </c>
      <c r="Z5544">
        <v>1.8892860000000001E-2</v>
      </c>
      <c r="AA5544">
        <v>0.83010309999999898</v>
      </c>
      <c r="AB5544">
        <v>29</v>
      </c>
      <c r="AC5544">
        <v>0.633000000000009</v>
      </c>
      <c r="AD5544">
        <v>-6.0428999999999802E-2</v>
      </c>
      <c r="AE5544">
        <v>0.59477000000000402</v>
      </c>
      <c r="AF5544">
        <v>-0.54419810133534696</v>
      </c>
      <c r="AG5544">
        <v>-6.0428999999999802E-2</v>
      </c>
      <c r="AH5544">
        <v>0.67159372826694896</v>
      </c>
      <c r="AI5544">
        <v>93.9989557485261</v>
      </c>
      <c r="AJ5544">
        <v>129.01814378900801</v>
      </c>
      <c r="AK5544">
        <v>0.86651103477422398</v>
      </c>
      <c r="AL5544">
        <v>65.2176576279101</v>
      </c>
      <c r="AM5544">
        <v>105.608340510104</v>
      </c>
      <c r="AN5544">
        <v>0.99999999935984496</v>
      </c>
    </row>
    <row r="5545" spans="1:40" x14ac:dyDescent="0.25">
      <c r="A5545" t="str">
        <f>"20190304164755507"</f>
        <v>20190304164755507</v>
      </c>
      <c r="B5545" t="str">
        <f>"1551689275494625"</f>
        <v>1551689275494625</v>
      </c>
      <c r="C5545" t="s">
        <v>40</v>
      </c>
      <c r="D5545">
        <v>4.3853289999999996</v>
      </c>
      <c r="E5545">
        <v>0.35873630000000001</v>
      </c>
      <c r="F5545" t="s">
        <v>53</v>
      </c>
      <c r="G5545">
        <v>-204.36799999999999</v>
      </c>
      <c r="H5545" s="1">
        <v>-5.4984609999999999E-6</v>
      </c>
      <c r="I5545">
        <v>-51.143129999999999</v>
      </c>
      <c r="J5545">
        <v>-218.36170000000001</v>
      </c>
      <c r="K5545">
        <v>1.1133519999999999</v>
      </c>
      <c r="L5545">
        <v>-62.282470000000004</v>
      </c>
      <c r="M5545">
        <v>0.99713339999999995</v>
      </c>
      <c r="N5545">
        <v>-1.254218E-2</v>
      </c>
      <c r="O5545">
        <v>7.4618210000000004E-2</v>
      </c>
      <c r="P5545">
        <v>0.85850939999999998</v>
      </c>
      <c r="Q5545">
        <v>0.40974359999999999</v>
      </c>
      <c r="R5545">
        <v>0.30833749999999999</v>
      </c>
      <c r="S5545">
        <v>2.8074340000000002</v>
      </c>
      <c r="T5545">
        <v>-0.2212324</v>
      </c>
      <c r="U5545">
        <v>2.2158199999999999</v>
      </c>
      <c r="V5545">
        <v>-0.245758</v>
      </c>
      <c r="W5545">
        <v>0.41937150000000001</v>
      </c>
      <c r="X5545">
        <v>0.87391679999999905</v>
      </c>
      <c r="Y5545">
        <v>-0.55804089999999995</v>
      </c>
      <c r="Z5545">
        <v>1.8943649999999999E-2</v>
      </c>
      <c r="AA5545">
        <v>0.82959719999999904</v>
      </c>
      <c r="AB5545">
        <v>29</v>
      </c>
      <c r="AC5545">
        <v>13.9937</v>
      </c>
      <c r="AD5545">
        <v>-1.113357498461</v>
      </c>
      <c r="AE5545">
        <v>11.139339999999899</v>
      </c>
      <c r="AF5545">
        <v>-10.025168707676301</v>
      </c>
      <c r="AG5545">
        <v>-1.113357498461</v>
      </c>
      <c r="AH5545">
        <v>14.728874118251699</v>
      </c>
      <c r="AI5545">
        <v>93.575687519687804</v>
      </c>
      <c r="AJ5545">
        <v>124.24105606421899</v>
      </c>
      <c r="AK5545">
        <v>17.851703149225202</v>
      </c>
      <c r="AL5545">
        <v>65.205086284461899</v>
      </c>
      <c r="AM5545">
        <v>105.706748295325</v>
      </c>
      <c r="AN5545">
        <v>1.00000001144924</v>
      </c>
    </row>
    <row r="5546" spans="1:40" x14ac:dyDescent="0.25">
      <c r="A5546" t="str">
        <f>"20190304164755518"</f>
        <v>20190304164755518</v>
      </c>
      <c r="B5546" t="str">
        <f>"1551689275515122"</f>
        <v>1551689275515122</v>
      </c>
      <c r="C5546" t="s">
        <v>40</v>
      </c>
      <c r="D5546">
        <v>4.4083990000000002</v>
      </c>
      <c r="E5546">
        <v>0.35890949999999999</v>
      </c>
      <c r="F5546" t="s">
        <v>41</v>
      </c>
      <c r="G5546">
        <v>-217.6027</v>
      </c>
      <c r="H5546">
        <v>1.0531090000000001</v>
      </c>
      <c r="I5546">
        <v>-61.680329999999998</v>
      </c>
      <c r="J5546">
        <v>-218.2234</v>
      </c>
      <c r="K5546">
        <v>1.1134109999999999</v>
      </c>
      <c r="L5546">
        <v>-62.270690000000002</v>
      </c>
      <c r="M5546">
        <v>0.9970213</v>
      </c>
      <c r="N5546">
        <v>-1.255618E-2</v>
      </c>
      <c r="O5546">
        <v>7.6098849999999996E-2</v>
      </c>
      <c r="P5546">
        <v>0.85751939999999904</v>
      </c>
      <c r="Q5546">
        <v>0.40984340000000002</v>
      </c>
      <c r="R5546">
        <v>0.31094860000000002</v>
      </c>
      <c r="S5546">
        <v>2.8021699999999998</v>
      </c>
      <c r="T5546">
        <v>-0.2224092</v>
      </c>
      <c r="U5546">
        <v>2.2230219999999998</v>
      </c>
      <c r="V5546">
        <v>-0.2471923</v>
      </c>
      <c r="W5546">
        <v>0.41943520000000001</v>
      </c>
      <c r="X5546">
        <v>0.87348159999999897</v>
      </c>
      <c r="Y5546">
        <v>-0.55886469999999999</v>
      </c>
      <c r="Z5546">
        <v>1.8987500000000001E-2</v>
      </c>
      <c r="AA5546">
        <v>0.82904149999999999</v>
      </c>
      <c r="AB5546">
        <v>29</v>
      </c>
      <c r="AC5546">
        <v>0.62069999999999903</v>
      </c>
      <c r="AD5546">
        <v>-6.0302000000000001E-2</v>
      </c>
      <c r="AE5546">
        <v>0.590359999999996</v>
      </c>
      <c r="AF5546">
        <v>-0.53873983568428196</v>
      </c>
      <c r="AG5546">
        <v>-6.0302000000000001E-2</v>
      </c>
      <c r="AH5546">
        <v>0.66055571409969704</v>
      </c>
      <c r="AI5546">
        <v>94.046609879130202</v>
      </c>
      <c r="AJ5546">
        <v>129.20019487406</v>
      </c>
      <c r="AK5546">
        <v>0.85452372301001001</v>
      </c>
      <c r="AL5546">
        <v>65.201065897524899</v>
      </c>
      <c r="AM5546">
        <v>105.801331311441</v>
      </c>
      <c r="AN5546">
        <v>1.0000000128584401</v>
      </c>
    </row>
    <row r="5547" spans="1:40" x14ac:dyDescent="0.25">
      <c r="A5547" t="str">
        <f>"20190304164755527"</f>
        <v>20190304164755527</v>
      </c>
      <c r="B5547" t="str">
        <f>"1551689275524881"</f>
        <v>1551689275524881</v>
      </c>
      <c r="C5547" t="s">
        <v>40</v>
      </c>
      <c r="D5547">
        <v>4.4426180000000004</v>
      </c>
      <c r="E5547">
        <v>0.35917310000000002</v>
      </c>
      <c r="F5547" t="s">
        <v>53</v>
      </c>
      <c r="G5547">
        <v>-204.41640000000001</v>
      </c>
      <c r="H5547" s="1">
        <v>-5.4605280000000004E-6</v>
      </c>
      <c r="I5547">
        <v>-51.268749999999997</v>
      </c>
      <c r="J5547">
        <v>-218.08760000000001</v>
      </c>
      <c r="K5547">
        <v>1.113469</v>
      </c>
      <c r="L5547">
        <v>-62.258819999999901</v>
      </c>
      <c r="M5547">
        <v>0.99690529999999999</v>
      </c>
      <c r="N5547">
        <v>-1.256959E-2</v>
      </c>
      <c r="O5547">
        <v>7.7600639999999999E-2</v>
      </c>
      <c r="P5547">
        <v>0.85645339999999903</v>
      </c>
      <c r="Q5547">
        <v>0.40986850000000002</v>
      </c>
      <c r="R5547">
        <v>0.31384010000000001</v>
      </c>
      <c r="S5547">
        <v>2.7978670000000001</v>
      </c>
      <c r="T5547">
        <v>-0.2256223</v>
      </c>
      <c r="U5547">
        <v>2.2294309999999999</v>
      </c>
      <c r="V5547">
        <v>-0.2488938</v>
      </c>
      <c r="W5547">
        <v>0.41942089999999999</v>
      </c>
      <c r="X5547">
        <v>0.87300519999999904</v>
      </c>
      <c r="Y5547">
        <v>-0.55936869999999905</v>
      </c>
      <c r="Z5547">
        <v>1.9141740000000001E-2</v>
      </c>
      <c r="AA5547">
        <v>0.82869789999999999</v>
      </c>
      <c r="AB5547">
        <v>29</v>
      </c>
      <c r="AC5547">
        <v>13.671200000000001</v>
      </c>
      <c r="AD5547">
        <v>-1.113474460528</v>
      </c>
      <c r="AE5547">
        <v>10.9900699999999</v>
      </c>
      <c r="AF5547">
        <v>-9.8562306187442399</v>
      </c>
      <c r="AG5547">
        <v>-1.113474460528</v>
      </c>
      <c r="AH5547">
        <v>14.424746894796099</v>
      </c>
      <c r="AI5547">
        <v>93.646786814492003</v>
      </c>
      <c r="AJ5547">
        <v>124.344256774291</v>
      </c>
      <c r="AK5547">
        <v>17.505954140321801</v>
      </c>
      <c r="AL5547">
        <v>65.201969360352805</v>
      </c>
      <c r="AM5547">
        <v>105.912852005971</v>
      </c>
      <c r="AN5547">
        <v>1.0000000471311401</v>
      </c>
    </row>
    <row r="5548" spans="1:40" x14ac:dyDescent="0.25">
      <c r="A5548" t="str">
        <f>"20190304164755538"</f>
        <v>20190304164755538</v>
      </c>
      <c r="B5548" t="str">
        <f>"1551689275534641"</f>
        <v>1551689275534641</v>
      </c>
      <c r="C5548" t="s">
        <v>40</v>
      </c>
      <c r="D5548">
        <v>4.5115170000000004</v>
      </c>
      <c r="E5548">
        <v>0.35917310000000002</v>
      </c>
      <c r="F5548" t="s">
        <v>41</v>
      </c>
      <c r="G5548">
        <v>-217.3425</v>
      </c>
      <c r="H5548">
        <v>1.0528120000000001</v>
      </c>
      <c r="I5548">
        <v>-61.662199999999999</v>
      </c>
      <c r="J5548">
        <v>-217.95089999999999</v>
      </c>
      <c r="K5548">
        <v>1.113523</v>
      </c>
      <c r="L5548">
        <v>-62.246670000000002</v>
      </c>
      <c r="M5548">
        <v>0.99678420000000001</v>
      </c>
      <c r="N5548">
        <v>-1.258274E-2</v>
      </c>
      <c r="O5548">
        <v>7.9139080000000001E-2</v>
      </c>
      <c r="P5548">
        <v>0.85534659999999996</v>
      </c>
      <c r="Q5548">
        <v>0.4101939</v>
      </c>
      <c r="R5548">
        <v>0.31642239999999999</v>
      </c>
      <c r="S5548">
        <v>2.7922060000000002</v>
      </c>
      <c r="T5548">
        <v>-0.22732720000000001</v>
      </c>
      <c r="U5548">
        <v>2.2361149999999999</v>
      </c>
      <c r="V5548">
        <v>-0.25026090000000001</v>
      </c>
      <c r="W5548">
        <v>0.41970879999999999</v>
      </c>
      <c r="X5548">
        <v>0.87247580000000002</v>
      </c>
      <c r="Y5548">
        <v>-0.56010059999999995</v>
      </c>
      <c r="Z5548">
        <v>1.921148E-2</v>
      </c>
      <c r="AA5548">
        <v>0.82820179999999999</v>
      </c>
      <c r="AB5548">
        <v>29</v>
      </c>
      <c r="AC5548">
        <v>0.60839999999998895</v>
      </c>
      <c r="AD5548">
        <v>-6.0710999999999897E-2</v>
      </c>
      <c r="AE5548">
        <v>0.58446999999999505</v>
      </c>
      <c r="AF5548">
        <v>-0.53173097411263204</v>
      </c>
      <c r="AG5548">
        <v>-6.0710999999999897E-2</v>
      </c>
      <c r="AH5548">
        <v>0.64938673324891605</v>
      </c>
      <c r="AI5548">
        <v>94.137252074871398</v>
      </c>
      <c r="AJ5548">
        <v>129.31130970846601</v>
      </c>
      <c r="AK5548">
        <v>0.84150269379929299</v>
      </c>
      <c r="AL5548">
        <v>65.183796033499803</v>
      </c>
      <c r="AM5548">
        <v>106.005005457774</v>
      </c>
      <c r="AN5548">
        <v>1.0000000082259399</v>
      </c>
    </row>
    <row r="5549" spans="1:40" x14ac:dyDescent="0.25">
      <c r="A5549" t="str">
        <f>"20190304164755549"</f>
        <v>20190304164755549</v>
      </c>
      <c r="B5549" t="str">
        <f>"1551689275544401"</f>
        <v>1551689275544401</v>
      </c>
      <c r="C5549" t="s">
        <v>40</v>
      </c>
      <c r="D5549">
        <v>4.3796480000000004</v>
      </c>
      <c r="E5549">
        <v>0.41038380000000002</v>
      </c>
      <c r="F5549" t="s">
        <v>53</v>
      </c>
      <c r="G5549">
        <v>-204.2894</v>
      </c>
      <c r="H5549" s="1">
        <v>-5.5120370000000003E-6</v>
      </c>
      <c r="I5549">
        <v>-51.246560000000002</v>
      </c>
      <c r="J5549">
        <v>-217.80549999999999</v>
      </c>
      <c r="K5549">
        <v>1.1135900000000001</v>
      </c>
      <c r="L5549">
        <v>-62.233460000000001</v>
      </c>
      <c r="M5549">
        <v>0.99664929999999996</v>
      </c>
      <c r="N5549">
        <v>-1.259628E-2</v>
      </c>
      <c r="O5549">
        <v>8.0818299999999996E-2</v>
      </c>
      <c r="P5549">
        <v>0.85410699999999995</v>
      </c>
      <c r="Q5549">
        <v>0.41052759999999999</v>
      </c>
      <c r="R5549">
        <v>0.31932490000000002</v>
      </c>
      <c r="S5549">
        <v>2.7863009999999999</v>
      </c>
      <c r="T5549">
        <v>-0.2271069</v>
      </c>
      <c r="U5549">
        <v>2.2435</v>
      </c>
      <c r="V5549">
        <v>-0.25183939999999999</v>
      </c>
      <c r="W5549">
        <v>0.42</v>
      </c>
      <c r="X5549">
        <v>0.87188120000000002</v>
      </c>
      <c r="Y5549">
        <v>-0.56089619999999996</v>
      </c>
      <c r="Z5549">
        <v>1.9154009999999999E-2</v>
      </c>
      <c r="AA5549">
        <v>0.82766459999999997</v>
      </c>
      <c r="AB5549">
        <v>29</v>
      </c>
      <c r="AC5549">
        <v>13.5160999999999</v>
      </c>
      <c r="AD5549">
        <v>-1.11359551203699</v>
      </c>
      <c r="AE5549">
        <v>10.9869</v>
      </c>
      <c r="AF5549">
        <v>-9.8183882908753404</v>
      </c>
      <c r="AG5549">
        <v>-1.11359551203699</v>
      </c>
      <c r="AH5549">
        <v>14.3014375496046</v>
      </c>
      <c r="AI5549">
        <v>93.672996587563404</v>
      </c>
      <c r="AJ5549">
        <v>124.47082758176001</v>
      </c>
      <c r="AK5549">
        <v>17.383094073842798</v>
      </c>
      <c r="AL5549">
        <v>65.165411321116906</v>
      </c>
      <c r="AM5549">
        <v>106.111150316592</v>
      </c>
      <c r="AN5549">
        <v>0.99999995515289897</v>
      </c>
    </row>
    <row r="5550" spans="1:40" x14ac:dyDescent="0.25">
      <c r="A5550" t="str">
        <f>"20190304164755560"</f>
        <v>20190304164755560</v>
      </c>
      <c r="B5550" t="str">
        <f>"1551689275555138"</f>
        <v>1551689275555138</v>
      </c>
      <c r="C5550" t="s">
        <v>40</v>
      </c>
      <c r="D5550">
        <v>4.3769200000000001</v>
      </c>
      <c r="E5550">
        <v>0.4130375</v>
      </c>
      <c r="F5550" t="s">
        <v>41</v>
      </c>
      <c r="G5550">
        <v>-217.04310000000001</v>
      </c>
      <c r="H5550">
        <v>1.0358039999999999</v>
      </c>
      <c r="I5550">
        <v>-61.747860000000003</v>
      </c>
      <c r="J5550">
        <v>-217.66120000000001</v>
      </c>
      <c r="K5550">
        <v>1.1136490000000001</v>
      </c>
      <c r="L5550">
        <v>-62.220030000000001</v>
      </c>
      <c r="M5550">
        <v>0.99650939999999999</v>
      </c>
      <c r="N5550">
        <v>-1.2609199999999999E-2</v>
      </c>
      <c r="O5550">
        <v>8.2524689999999998E-2</v>
      </c>
      <c r="P5550">
        <v>0.85307630000000001</v>
      </c>
      <c r="Q5550">
        <v>0.41043970000000002</v>
      </c>
      <c r="R5550">
        <v>0.32218079999999999</v>
      </c>
      <c r="S5550">
        <v>2.9539490000000002</v>
      </c>
      <c r="T5550">
        <v>-0.30137259999999999</v>
      </c>
      <c r="U5550">
        <v>1.8812869999999999</v>
      </c>
      <c r="V5550">
        <v>-0.25332739999999998</v>
      </c>
      <c r="W5550">
        <v>0.41987400000000002</v>
      </c>
      <c r="X5550">
        <v>0.87151069999999997</v>
      </c>
      <c r="Y5550">
        <v>-0.46399669999999998</v>
      </c>
      <c r="Z5550">
        <v>1.8117609999999999E-2</v>
      </c>
      <c r="AA5550">
        <v>0.88565159999999998</v>
      </c>
      <c r="AB5550">
        <v>29</v>
      </c>
      <c r="AC5550">
        <v>0.61809999999999798</v>
      </c>
      <c r="AD5550">
        <v>-7.7844999999999706E-2</v>
      </c>
      <c r="AE5550">
        <v>0.47217000000000497</v>
      </c>
      <c r="AF5550">
        <v>-0.41538595052169103</v>
      </c>
      <c r="AG5550">
        <v>-7.7844999999999706E-2</v>
      </c>
      <c r="AH5550">
        <v>0.64846482915008796</v>
      </c>
      <c r="AI5550">
        <v>95.772104909885002</v>
      </c>
      <c r="AJ5550">
        <v>122.64233277999</v>
      </c>
      <c r="AK5550">
        <v>0.77402323386346905</v>
      </c>
      <c r="AL5550">
        <v>65.1733651412396</v>
      </c>
      <c r="AM5550">
        <v>106.207889276922</v>
      </c>
      <c r="AN5550">
        <v>0.99999992384062197</v>
      </c>
    </row>
    <row r="5551" spans="1:40" x14ac:dyDescent="0.25">
      <c r="A5551" t="str">
        <f>"20190304164755571"</f>
        <v>20190304164755571</v>
      </c>
      <c r="B5551" t="str">
        <f>"1551689275564897"</f>
        <v>1551689275564897</v>
      </c>
      <c r="C5551" t="s">
        <v>40</v>
      </c>
      <c r="D5551">
        <v>4.3590739999999997</v>
      </c>
      <c r="E5551">
        <v>0.4152593</v>
      </c>
      <c r="F5551" t="s">
        <v>41</v>
      </c>
      <c r="G5551">
        <v>-216.80629999999999</v>
      </c>
      <c r="H5551">
        <v>1.0263610000000001</v>
      </c>
      <c r="I5551">
        <v>-61.679310000000001</v>
      </c>
      <c r="J5551">
        <v>-217.51089999999999</v>
      </c>
      <c r="K5551">
        <v>1.113707</v>
      </c>
      <c r="L5551">
        <v>-62.205869999999997</v>
      </c>
      <c r="M5551">
        <v>0.99635799999999997</v>
      </c>
      <c r="N5551">
        <v>-1.262219E-2</v>
      </c>
      <c r="O5551">
        <v>8.4329550000000003E-2</v>
      </c>
      <c r="P5551">
        <v>0.85194559999999997</v>
      </c>
      <c r="Q5551">
        <v>0.41028009999999898</v>
      </c>
      <c r="R5551">
        <v>0.32535999999999998</v>
      </c>
      <c r="S5551">
        <v>2.9557340000000001</v>
      </c>
      <c r="T5551">
        <v>-0.30178749999999999</v>
      </c>
      <c r="U5551">
        <v>1.86972</v>
      </c>
      <c r="V5551">
        <v>-0.25506240000000002</v>
      </c>
      <c r="W5551">
        <v>0.41967280000000001</v>
      </c>
      <c r="X5551">
        <v>0.87110159999999903</v>
      </c>
      <c r="Y5551">
        <v>-0.4596923</v>
      </c>
      <c r="Z5551">
        <v>1.776995E-2</v>
      </c>
      <c r="AA5551">
        <v>0.88790049999999898</v>
      </c>
      <c r="AB5551">
        <v>29</v>
      </c>
      <c r="AC5551">
        <v>0.704599999999999</v>
      </c>
      <c r="AD5551">
        <v>-8.7345999999999896E-2</v>
      </c>
      <c r="AE5551">
        <v>0.52655999999999603</v>
      </c>
      <c r="AF5551">
        <v>-0.46071781476541501</v>
      </c>
      <c r="AG5551">
        <v>-8.7345999999999896E-2</v>
      </c>
      <c r="AH5551">
        <v>0.73920889937661904</v>
      </c>
      <c r="AI5551">
        <v>95.7264284123724</v>
      </c>
      <c r="AJ5551">
        <v>121.933551530004</v>
      </c>
      <c r="AK5551">
        <v>0.87539706732191702</v>
      </c>
      <c r="AL5551">
        <v>65.186069406399994</v>
      </c>
      <c r="AM5551">
        <v>106.320264082807</v>
      </c>
      <c r="AN5551">
        <v>1.0000000422380699</v>
      </c>
    </row>
    <row r="5552" spans="1:40" x14ac:dyDescent="0.25">
      <c r="A5552" t="str">
        <f>"20190304164755583"</f>
        <v>20190304164755583</v>
      </c>
      <c r="B5552" t="str">
        <f>"1551689275574657"</f>
        <v>1551689275574657</v>
      </c>
      <c r="C5552" t="s">
        <v>40</v>
      </c>
      <c r="D5552">
        <v>4.3374930000000003</v>
      </c>
      <c r="E5552">
        <v>0.41665190000000002</v>
      </c>
      <c r="F5552" t="s">
        <v>41</v>
      </c>
      <c r="G5552">
        <v>-216.70160000000001</v>
      </c>
      <c r="H5552">
        <v>1.0310159999999999</v>
      </c>
      <c r="I5552">
        <v>-61.695790000000002</v>
      </c>
      <c r="J5552">
        <v>-217.36500000000001</v>
      </c>
      <c r="K5552">
        <v>1.1137600000000001</v>
      </c>
      <c r="L5552">
        <v>-62.191679999999998</v>
      </c>
      <c r="M5552">
        <v>0.99620319999999996</v>
      </c>
      <c r="N5552">
        <v>-1.2629639999999999E-2</v>
      </c>
      <c r="O5552">
        <v>8.6137240000000004E-2</v>
      </c>
      <c r="P5552">
        <v>0.85081469999999904</v>
      </c>
      <c r="Q5552">
        <v>0.40981669999999998</v>
      </c>
      <c r="R5552">
        <v>0.32888400000000001</v>
      </c>
      <c r="S5552">
        <v>2.9553530000000001</v>
      </c>
      <c r="T5552">
        <v>-0.30194539999999997</v>
      </c>
      <c r="U5552">
        <v>1.8627929999999999</v>
      </c>
      <c r="V5552">
        <v>-0.25713330000000001</v>
      </c>
      <c r="W5552">
        <v>0.41916369999999997</v>
      </c>
      <c r="X5552">
        <v>0.87073780000000001</v>
      </c>
      <c r="Y5552">
        <v>-0.4566578</v>
      </c>
      <c r="Z5552">
        <v>1.7479890000000001E-2</v>
      </c>
      <c r="AA5552">
        <v>0.88947069999999995</v>
      </c>
      <c r="AB5552">
        <v>29</v>
      </c>
      <c r="AC5552">
        <v>0.66339999999999499</v>
      </c>
      <c r="AD5552">
        <v>-8.2744000000000095E-2</v>
      </c>
      <c r="AE5552">
        <v>0.495890000000002</v>
      </c>
      <c r="AF5552">
        <v>-0.43258131355635199</v>
      </c>
      <c r="AG5552">
        <v>-8.2744000000000095E-2</v>
      </c>
      <c r="AH5552">
        <v>0.696698657230999</v>
      </c>
      <c r="AI5552">
        <v>95.761567266632497</v>
      </c>
      <c r="AJ5552">
        <v>121.83621218013501</v>
      </c>
      <c r="AK5552">
        <v>0.82423430003950704</v>
      </c>
      <c r="AL5552">
        <v>65.218201132051504</v>
      </c>
      <c r="AM5552">
        <v>106.452138553582</v>
      </c>
      <c r="AN5552">
        <v>1.0000000288577</v>
      </c>
    </row>
    <row r="5553" spans="1:40" x14ac:dyDescent="0.25">
      <c r="A5553" t="str">
        <f>"20190304164755593"</f>
        <v>20190304164755593</v>
      </c>
      <c r="B5553" t="str">
        <f>"1551689275584417"</f>
        <v>1551689275584417</v>
      </c>
      <c r="C5553" t="s">
        <v>40</v>
      </c>
      <c r="D5553">
        <v>4.3601390000000002</v>
      </c>
      <c r="E5553">
        <v>0.41765479999999999</v>
      </c>
      <c r="F5553" t="s">
        <v>41</v>
      </c>
      <c r="G5553">
        <v>-216.54220000000001</v>
      </c>
      <c r="H5553">
        <v>1.029061</v>
      </c>
      <c r="I5553">
        <v>-61.67268</v>
      </c>
      <c r="J5553">
        <v>-217.2295</v>
      </c>
      <c r="K5553">
        <v>1.113809</v>
      </c>
      <c r="L5553">
        <v>-62.178379999999997</v>
      </c>
      <c r="M5553">
        <v>0.99605600000000005</v>
      </c>
      <c r="N5553">
        <v>-1.2635479999999999E-2</v>
      </c>
      <c r="O5553">
        <v>8.7824319999999997E-2</v>
      </c>
      <c r="P5553">
        <v>0.84987819999999903</v>
      </c>
      <c r="Q5553">
        <v>0.40901500000000002</v>
      </c>
      <c r="R5553">
        <v>0.33228609999999997</v>
      </c>
      <c r="S5553">
        <v>2.9524689999999998</v>
      </c>
      <c r="T5553">
        <v>-0.3039347</v>
      </c>
      <c r="U5553">
        <v>1.862549</v>
      </c>
      <c r="V5553">
        <v>-0.2591678</v>
      </c>
      <c r="W5553">
        <v>0.41831940000000001</v>
      </c>
      <c r="X5553">
        <v>0.870540599999999</v>
      </c>
      <c r="Y5553">
        <v>-0.45547860000000001</v>
      </c>
      <c r="Z5553">
        <v>1.7380840000000002E-2</v>
      </c>
      <c r="AA5553">
        <v>0.89007709999999995</v>
      </c>
      <c r="AB5553">
        <v>29</v>
      </c>
      <c r="AC5553">
        <v>0.68729999999999303</v>
      </c>
      <c r="AD5553">
        <v>-8.4748000000000004E-2</v>
      </c>
      <c r="AE5553">
        <v>0.50569999999999704</v>
      </c>
      <c r="AF5553">
        <v>-0.43904834933846798</v>
      </c>
      <c r="AG5553">
        <v>-8.4748000000000004E-2</v>
      </c>
      <c r="AH5553">
        <v>0.72193881889310496</v>
      </c>
      <c r="AI5553">
        <v>95.7275044731213</v>
      </c>
      <c r="AJ5553">
        <v>121.305948520569</v>
      </c>
      <c r="AK5553">
        <v>0.84920040908233596</v>
      </c>
      <c r="AL5553">
        <v>65.271470494853304</v>
      </c>
      <c r="AM5553">
        <v>106.578743886</v>
      </c>
      <c r="AN5553">
        <v>1.00000000261078</v>
      </c>
    </row>
    <row r="5554" spans="1:40" x14ac:dyDescent="0.25">
      <c r="A5554" t="str">
        <f>"20190304164755603"</f>
        <v>20190304164755603</v>
      </c>
      <c r="B5554" t="str">
        <f>"1551689275595153"</f>
        <v>1551689275595153</v>
      </c>
      <c r="C5554" t="s">
        <v>40</v>
      </c>
      <c r="D5554">
        <v>4.3472470000000003</v>
      </c>
      <c r="E5554">
        <v>0.41846149999999999</v>
      </c>
      <c r="F5554" t="s">
        <v>53</v>
      </c>
      <c r="G5554">
        <v>-206.5583</v>
      </c>
      <c r="H5554" s="1">
        <v>-3.3982330000000002E-6</v>
      </c>
      <c r="I5554">
        <v>-55.435980000000001</v>
      </c>
      <c r="J5554">
        <v>-217.10599999999999</v>
      </c>
      <c r="K5554">
        <v>1.1138520000000001</v>
      </c>
      <c r="L5554">
        <v>-62.165860000000002</v>
      </c>
      <c r="M5554">
        <v>0.99591439999999998</v>
      </c>
      <c r="N5554">
        <v>-1.263689E-2</v>
      </c>
      <c r="O5554">
        <v>8.9413909999999999E-2</v>
      </c>
      <c r="P5554">
        <v>0.84879490000000002</v>
      </c>
      <c r="Q5554">
        <v>0.40836040000000001</v>
      </c>
      <c r="R5554">
        <v>0.3358409</v>
      </c>
      <c r="S5554">
        <v>2.9494630000000002</v>
      </c>
      <c r="T5554">
        <v>-0.30785099999999999</v>
      </c>
      <c r="U5554">
        <v>1.863556</v>
      </c>
      <c r="V5554">
        <v>-0.26144790000000001</v>
      </c>
      <c r="W5554">
        <v>0.41761799999999999</v>
      </c>
      <c r="X5554">
        <v>0.87019550000000001</v>
      </c>
      <c r="Y5554">
        <v>-0.45465179999999999</v>
      </c>
      <c r="Z5554">
        <v>1.7386309999999999E-2</v>
      </c>
      <c r="AA5554">
        <v>0.89049959999999995</v>
      </c>
      <c r="AB5554">
        <v>29</v>
      </c>
      <c r="AC5554">
        <v>10.547699999999899</v>
      </c>
      <c r="AD5554">
        <v>-1.1138553982329999</v>
      </c>
      <c r="AE5554">
        <v>6.7298799999999801</v>
      </c>
      <c r="AF5554">
        <v>-5.7144442303939096</v>
      </c>
      <c r="AG5554">
        <v>-1.1138553982329999</v>
      </c>
      <c r="AH5554">
        <v>11.0199015043637</v>
      </c>
      <c r="AI5554">
        <v>95.127413309925601</v>
      </c>
      <c r="AJ5554">
        <v>117.409301439834</v>
      </c>
      <c r="AK5554">
        <v>12.4632971510886</v>
      </c>
      <c r="AL5554">
        <v>65.315707130575106</v>
      </c>
      <c r="AM5554">
        <v>106.722754331692</v>
      </c>
      <c r="AN5554">
        <v>1.0000000032793299</v>
      </c>
    </row>
    <row r="5555" spans="1:40" x14ac:dyDescent="0.25">
      <c r="A5555" t="str">
        <f>"20190304164755616"</f>
        <v>20190304164755616</v>
      </c>
      <c r="B5555" t="str">
        <f>"1551689275604913"</f>
        <v>1551689275604913</v>
      </c>
      <c r="C5555" t="s">
        <v>40</v>
      </c>
      <c r="D5555">
        <v>4.3455820000000003</v>
      </c>
      <c r="E5555">
        <v>0.41895100000000002</v>
      </c>
      <c r="F5555" t="s">
        <v>41</v>
      </c>
      <c r="G5555">
        <v>-216.28440000000001</v>
      </c>
      <c r="H5555">
        <v>1.027288</v>
      </c>
      <c r="I5555">
        <v>-61.645409999999998</v>
      </c>
      <c r="J5555">
        <v>-216.94309999999999</v>
      </c>
      <c r="K5555">
        <v>1.1139079999999999</v>
      </c>
      <c r="L5555">
        <v>-62.149169999999998</v>
      </c>
      <c r="M5555">
        <v>0.99572309999999997</v>
      </c>
      <c r="N5555">
        <v>-1.263775E-2</v>
      </c>
      <c r="O5555">
        <v>9.152072E-2</v>
      </c>
      <c r="P5555">
        <v>0.84754309999999999</v>
      </c>
      <c r="Q5555">
        <v>0.40765069999999998</v>
      </c>
      <c r="R5555">
        <v>0.33984029999999998</v>
      </c>
      <c r="S5555">
        <v>2.9453130000000001</v>
      </c>
      <c r="T5555">
        <v>-0.31033379999999999</v>
      </c>
      <c r="U5555">
        <v>1.8662719999999999</v>
      </c>
      <c r="V5555">
        <v>-0.26374699999999901</v>
      </c>
      <c r="W5555">
        <v>0.41685230000000001</v>
      </c>
      <c r="X5555">
        <v>0.8698688</v>
      </c>
      <c r="Y5555">
        <v>-0.45390350000000002</v>
      </c>
      <c r="Z5555">
        <v>1.7290549999999998E-2</v>
      </c>
      <c r="AA5555">
        <v>0.89088310000000004</v>
      </c>
      <c r="AB5555">
        <v>29</v>
      </c>
      <c r="AC5555">
        <v>0.65869999999998097</v>
      </c>
      <c r="AD5555">
        <v>-8.6619999999999905E-2</v>
      </c>
      <c r="AE5555">
        <v>0.50375999999999899</v>
      </c>
      <c r="AF5555">
        <v>-0.43659232407147203</v>
      </c>
      <c r="AG5555">
        <v>-8.6619999999999905E-2</v>
      </c>
      <c r="AH5555">
        <v>0.69446597613213201</v>
      </c>
      <c r="AI5555">
        <v>96.027822497261496</v>
      </c>
      <c r="AJ5555">
        <v>122.156485065521</v>
      </c>
      <c r="AK5555">
        <v>0.82486294245970604</v>
      </c>
      <c r="AL5555">
        <v>65.363981733590506</v>
      </c>
      <c r="AM5555">
        <v>106.86747121382101</v>
      </c>
      <c r="AN5555">
        <v>1.0000000246188601</v>
      </c>
    </row>
    <row r="5556" spans="1:40" x14ac:dyDescent="0.25">
      <c r="A5556" t="str">
        <f>"20190304164755627"</f>
        <v>20190304164755627</v>
      </c>
      <c r="B5556" t="str">
        <f>"1551689275614673"</f>
        <v>1551689275614673</v>
      </c>
      <c r="C5556" t="s">
        <v>40</v>
      </c>
      <c r="D5556">
        <v>4.3504630000000004</v>
      </c>
      <c r="E5556">
        <v>0.41931099999999999</v>
      </c>
      <c r="F5556" t="s">
        <v>41</v>
      </c>
      <c r="G5556">
        <v>-216.04060000000001</v>
      </c>
      <c r="H5556">
        <v>1.017741</v>
      </c>
      <c r="I5556">
        <v>-61.573720000000002</v>
      </c>
      <c r="J5556">
        <v>-216.7971</v>
      </c>
      <c r="K5556">
        <v>1.1139509999999999</v>
      </c>
      <c r="L5556">
        <v>-62.133789999999998</v>
      </c>
      <c r="M5556">
        <v>0.99554310000000001</v>
      </c>
      <c r="N5556">
        <v>-1.263505E-2</v>
      </c>
      <c r="O5556">
        <v>9.3457899999999997E-2</v>
      </c>
      <c r="P5556">
        <v>0.84638939999999996</v>
      </c>
      <c r="Q5556">
        <v>0.4070937</v>
      </c>
      <c r="R5556">
        <v>0.34336559999999999</v>
      </c>
      <c r="S5556">
        <v>2.9388730000000001</v>
      </c>
      <c r="T5556">
        <v>-0.3131449</v>
      </c>
      <c r="U5556">
        <v>1.873901</v>
      </c>
      <c r="V5556">
        <v>-0.26570860000000002</v>
      </c>
      <c r="W5556">
        <v>0.41624280000000002</v>
      </c>
      <c r="X5556">
        <v>0.86956359999999999</v>
      </c>
      <c r="Y5556">
        <v>-0.45467020000000002</v>
      </c>
      <c r="Z5556">
        <v>1.73058E-2</v>
      </c>
      <c r="AA5556">
        <v>0.8904917</v>
      </c>
      <c r="AB5556">
        <v>29</v>
      </c>
      <c r="AC5556">
        <v>0.75649999999998796</v>
      </c>
      <c r="AD5556">
        <v>-9.6209999999999907E-2</v>
      </c>
      <c r="AE5556">
        <v>0.56007000000000995</v>
      </c>
      <c r="AF5556">
        <v>-0.48187725567872097</v>
      </c>
      <c r="AG5556">
        <v>-9.6209999999999907E-2</v>
      </c>
      <c r="AH5556">
        <v>0.79720660508917096</v>
      </c>
      <c r="AI5556">
        <v>95.896711557857799</v>
      </c>
      <c r="AJ5556">
        <v>121.151164953367</v>
      </c>
      <c r="AK5556">
        <v>0.93648300830194298</v>
      </c>
      <c r="AL5556">
        <v>65.402393849013805</v>
      </c>
      <c r="AM5556">
        <v>106.99134222873001</v>
      </c>
      <c r="AN5556">
        <v>0.99999999155538</v>
      </c>
    </row>
    <row r="5557" spans="1:40" x14ac:dyDescent="0.25">
      <c r="A5557" t="str">
        <f>"20190304164755641"</f>
        <v>20190304164755641</v>
      </c>
      <c r="B5557" t="str">
        <f>"1551689275635169"</f>
        <v>1551689275635169</v>
      </c>
      <c r="C5557" t="s">
        <v>40</v>
      </c>
      <c r="D5557">
        <v>4.3630449999999996</v>
      </c>
      <c r="E5557">
        <v>0.41979929999999899</v>
      </c>
      <c r="F5557" t="s">
        <v>41</v>
      </c>
      <c r="G5557">
        <v>-216.02</v>
      </c>
      <c r="H5557">
        <v>1.030281</v>
      </c>
      <c r="I5557">
        <v>-61.635440000000003</v>
      </c>
      <c r="J5557">
        <v>-216.63239999999999</v>
      </c>
      <c r="K5557">
        <v>1.1140000000000001</v>
      </c>
      <c r="L5557">
        <v>-62.116149999999998</v>
      </c>
      <c r="M5557">
        <v>0.99533309999999997</v>
      </c>
      <c r="N5557">
        <v>-1.2630779999999999E-2</v>
      </c>
      <c r="O5557">
        <v>9.5669889999999994E-2</v>
      </c>
      <c r="P5557">
        <v>0.84527699999999995</v>
      </c>
      <c r="Q5557">
        <v>0.40627089999999999</v>
      </c>
      <c r="R5557">
        <v>0.3470607</v>
      </c>
      <c r="S5557">
        <v>2.9332280000000002</v>
      </c>
      <c r="T5557">
        <v>-0.3158145</v>
      </c>
      <c r="U5557">
        <v>1.8811340000000001</v>
      </c>
      <c r="V5557">
        <v>-0.26759860000000002</v>
      </c>
      <c r="W5557">
        <v>0.4153655</v>
      </c>
      <c r="X5557">
        <v>0.8694035</v>
      </c>
      <c r="Y5557">
        <v>-0.45500269999999998</v>
      </c>
      <c r="Z5557">
        <v>1.7261760000000001E-2</v>
      </c>
      <c r="AA5557">
        <v>0.89032269999999902</v>
      </c>
      <c r="AB5557">
        <v>29</v>
      </c>
      <c r="AC5557">
        <v>0.61239999999997896</v>
      </c>
      <c r="AD5557">
        <v>-8.3719000000000099E-2</v>
      </c>
      <c r="AE5557">
        <v>0.48070999999999398</v>
      </c>
      <c r="AF5557">
        <v>-0.41511160216161702</v>
      </c>
      <c r="AG5557">
        <v>-8.3719000000000099E-2</v>
      </c>
      <c r="AH5557">
        <v>0.64808944409473102</v>
      </c>
      <c r="AI5557">
        <v>96.208087164818195</v>
      </c>
      <c r="AJ5557">
        <v>122.640208401018</v>
      </c>
      <c r="AK5557">
        <v>0.774174683619403</v>
      </c>
      <c r="AL5557">
        <v>65.457663547158305</v>
      </c>
      <c r="AM5557">
        <v>107.10813687000601</v>
      </c>
      <c r="AN5557">
        <v>0.99999997756222903</v>
      </c>
    </row>
    <row r="5558" spans="1:40" x14ac:dyDescent="0.25">
      <c r="A5558" t="str">
        <f>"20190304164755652"</f>
        <v>20190304164755652</v>
      </c>
      <c r="B5558" t="str">
        <f>"1551689275644929"</f>
        <v>1551689275644929</v>
      </c>
      <c r="C5558" t="s">
        <v>40</v>
      </c>
      <c r="D5558">
        <v>4.3832199999999997</v>
      </c>
      <c r="E5558">
        <v>0.42008869999999998</v>
      </c>
      <c r="F5558" t="s">
        <v>41</v>
      </c>
      <c r="G5558">
        <v>-215.77699999999999</v>
      </c>
      <c r="H5558">
        <v>1.0209569999999999</v>
      </c>
      <c r="I5558">
        <v>-61.564369999999997</v>
      </c>
      <c r="J5558">
        <v>-216.46729999999999</v>
      </c>
      <c r="K5558">
        <v>1.114044</v>
      </c>
      <c r="L5558">
        <v>-62.098080000000003</v>
      </c>
      <c r="M5558">
        <v>0.99511439999999995</v>
      </c>
      <c r="N5558">
        <v>-1.262519E-2</v>
      </c>
      <c r="O5558">
        <v>9.7918270000000002E-2</v>
      </c>
      <c r="P5558">
        <v>0.84411440000000004</v>
      </c>
      <c r="Q5558">
        <v>0.40594150000000001</v>
      </c>
      <c r="R5558">
        <v>0.35026079999999998</v>
      </c>
      <c r="S5558">
        <v>2.926758</v>
      </c>
      <c r="T5558">
        <v>-0.31836999999999999</v>
      </c>
      <c r="U5558">
        <v>1.8884890000000001</v>
      </c>
      <c r="V5558">
        <v>-0.26897189999999999</v>
      </c>
      <c r="W5558">
        <v>0.41498370000000001</v>
      </c>
      <c r="X5558">
        <v>0.86916199999999999</v>
      </c>
      <c r="Y5558">
        <v>-0.45544390000000001</v>
      </c>
      <c r="Z5558">
        <v>1.721526E-2</v>
      </c>
      <c r="AA5558">
        <v>0.89009799999999994</v>
      </c>
      <c r="AB5558">
        <v>29</v>
      </c>
      <c r="AC5558">
        <v>0.69029999999997904</v>
      </c>
      <c r="AD5558">
        <v>-9.30870000000001E-2</v>
      </c>
      <c r="AE5558">
        <v>0.53371000000000601</v>
      </c>
      <c r="AF5558">
        <v>-0.45833011455932199</v>
      </c>
      <c r="AG5558">
        <v>-9.30870000000001E-2</v>
      </c>
      <c r="AH5558">
        <v>0.73092750321815303</v>
      </c>
      <c r="AI5558">
        <v>96.158210230142004</v>
      </c>
      <c r="AJ5558">
        <v>122.089882251906</v>
      </c>
      <c r="AK5558">
        <v>0.86774806161793605</v>
      </c>
      <c r="AL5558">
        <v>65.481709171174202</v>
      </c>
      <c r="AM5558">
        <v>107.19526659757101</v>
      </c>
      <c r="AN5558">
        <v>0.99999996824964899</v>
      </c>
    </row>
    <row r="5559" spans="1:40" x14ac:dyDescent="0.25">
      <c r="A5559" t="str">
        <f>"20190304164755666"</f>
        <v>20190304164755666</v>
      </c>
      <c r="B5559" t="str">
        <f>"1551689275654689"</f>
        <v>1551689275654689</v>
      </c>
      <c r="C5559" t="s">
        <v>40</v>
      </c>
      <c r="D5559">
        <v>4.380528</v>
      </c>
      <c r="E5559">
        <v>0.4203962</v>
      </c>
      <c r="F5559" t="s">
        <v>53</v>
      </c>
      <c r="G5559">
        <v>-206.31120000000001</v>
      </c>
      <c r="H5559" s="1">
        <v>-3.5181569999999999E-6</v>
      </c>
      <c r="I5559">
        <v>-55.504689999999997</v>
      </c>
      <c r="J5559">
        <v>-216.29519999999999</v>
      </c>
      <c r="K5559">
        <v>1.1140920000000001</v>
      </c>
      <c r="L5559">
        <v>-62.078670000000002</v>
      </c>
      <c r="M5559">
        <v>0.99487530000000002</v>
      </c>
      <c r="N5559">
        <v>-1.2618880000000001E-2</v>
      </c>
      <c r="O5559">
        <v>0.1003188</v>
      </c>
      <c r="P5559">
        <v>0.84285650000000001</v>
      </c>
      <c r="Q5559">
        <v>0.40567029999999998</v>
      </c>
      <c r="R5559">
        <v>0.35358810000000002</v>
      </c>
      <c r="S5559">
        <v>2.9211879999999999</v>
      </c>
      <c r="T5559">
        <v>-0.32043280000000002</v>
      </c>
      <c r="U5559">
        <v>1.8964540000000001</v>
      </c>
      <c r="V5559">
        <v>-0.27035110000000001</v>
      </c>
      <c r="W5559">
        <v>0.41465790000000002</v>
      </c>
      <c r="X5559">
        <v>0.86888960000000004</v>
      </c>
      <c r="Y5559">
        <v>-0.45576339999999999</v>
      </c>
      <c r="Z5559">
        <v>1.7121529999999999E-2</v>
      </c>
      <c r="AA5559">
        <v>0.88993630000000001</v>
      </c>
      <c r="AB5559">
        <v>29</v>
      </c>
      <c r="AC5559">
        <v>9.9839999999999804</v>
      </c>
      <c r="AD5559">
        <v>-1.114095518157</v>
      </c>
      <c r="AE5559">
        <v>6.5739799999999899</v>
      </c>
      <c r="AF5559">
        <v>-5.4914497823674298</v>
      </c>
      <c r="AG5559">
        <v>-1.114095518157</v>
      </c>
      <c r="AH5559">
        <v>10.501952369986199</v>
      </c>
      <c r="AI5559">
        <v>95.370494720046295</v>
      </c>
      <c r="AJ5559">
        <v>117.604977569051</v>
      </c>
      <c r="AK5559">
        <v>11.903286651899901</v>
      </c>
      <c r="AL5559">
        <v>65.502225702629005</v>
      </c>
      <c r="AM5559">
        <v>107.283295472143</v>
      </c>
      <c r="AN5559">
        <v>1.00000001414589</v>
      </c>
    </row>
    <row r="5560" spans="1:40" x14ac:dyDescent="0.25">
      <c r="A5560" t="str">
        <f>"20190304164755682"</f>
        <v>20190304164755682</v>
      </c>
      <c r="B5560" t="str">
        <f>"1551689275675185"</f>
        <v>1551689275675185</v>
      </c>
      <c r="C5560" t="s">
        <v>40</v>
      </c>
      <c r="D5560">
        <v>4.3796309999999998</v>
      </c>
      <c r="E5560">
        <v>0.42091050000000002</v>
      </c>
      <c r="F5560" t="s">
        <v>41</v>
      </c>
      <c r="G5560">
        <v>-215.50980000000001</v>
      </c>
      <c r="H5560">
        <v>1.02749</v>
      </c>
      <c r="I5560">
        <v>-61.565489999999997</v>
      </c>
      <c r="J5560">
        <v>-216.10290000000001</v>
      </c>
      <c r="K5560">
        <v>1.1141509999999999</v>
      </c>
      <c r="L5560">
        <v>-62.0565199999999</v>
      </c>
      <c r="M5560">
        <v>0.99459649999999999</v>
      </c>
      <c r="N5560">
        <v>-1.261022E-2</v>
      </c>
      <c r="O5560">
        <v>0.1030469</v>
      </c>
      <c r="P5560">
        <v>0.84064729999999999</v>
      </c>
      <c r="Q5560">
        <v>0.40545930000000002</v>
      </c>
      <c r="R5560">
        <v>0.35904740000000002</v>
      </c>
      <c r="S5560">
        <v>2.9150700000000001</v>
      </c>
      <c r="T5560">
        <v>-0.32143909999999998</v>
      </c>
      <c r="U5560">
        <v>1.9046019999999999</v>
      </c>
      <c r="V5560">
        <v>-0.27367329999999901</v>
      </c>
      <c r="W5560">
        <v>0.41436109999999998</v>
      </c>
      <c r="X5560">
        <v>0.867990699999999</v>
      </c>
      <c r="Y5560">
        <v>-0.45591880000000001</v>
      </c>
      <c r="Z5560">
        <v>1.694673E-2</v>
      </c>
      <c r="AA5560">
        <v>0.88985999999999998</v>
      </c>
      <c r="AB5560">
        <v>29</v>
      </c>
      <c r="AC5560">
        <v>0.59309999999999197</v>
      </c>
      <c r="AD5560">
        <v>-8.6661000000000099E-2</v>
      </c>
      <c r="AE5560">
        <v>0.49102999999998698</v>
      </c>
      <c r="AF5560">
        <v>-0.42194867855368301</v>
      </c>
      <c r="AG5560">
        <v>-8.6661000000000099E-2</v>
      </c>
      <c r="AH5560">
        <v>0.63253282796708399</v>
      </c>
      <c r="AI5560">
        <v>96.502200769175801</v>
      </c>
      <c r="AJ5560">
        <v>123.706377039527</v>
      </c>
      <c r="AK5560">
        <v>0.76527680920712304</v>
      </c>
      <c r="AL5560">
        <v>65.520912321736304</v>
      </c>
      <c r="AM5560">
        <v>107.49981288452101</v>
      </c>
      <c r="AN5560">
        <v>1.00000002580629</v>
      </c>
    </row>
    <row r="5561" spans="1:40" x14ac:dyDescent="0.25">
      <c r="A5561" t="str">
        <f>"20190304164755692"</f>
        <v>20190304164755692</v>
      </c>
      <c r="B5561" t="str">
        <f>"1551689275684945"</f>
        <v>1551689275684945</v>
      </c>
      <c r="C5561" t="s">
        <v>40</v>
      </c>
      <c r="D5561">
        <v>4.3895179999999998</v>
      </c>
      <c r="E5561">
        <v>0.42108770000000001</v>
      </c>
      <c r="F5561" t="s">
        <v>41</v>
      </c>
      <c r="G5561">
        <v>-215.26320000000001</v>
      </c>
      <c r="H5561">
        <v>1.0210140000000001</v>
      </c>
      <c r="I5561">
        <v>-61.502749999999999</v>
      </c>
      <c r="J5561">
        <v>-215.9504</v>
      </c>
      <c r="K5561">
        <v>1.114201</v>
      </c>
      <c r="L5561">
        <v>-62.038670000000003</v>
      </c>
      <c r="M5561">
        <v>0.99436670000000005</v>
      </c>
      <c r="N5561">
        <v>-1.260198E-2</v>
      </c>
      <c r="O5561">
        <v>0.1052438</v>
      </c>
      <c r="P5561">
        <v>0.83927830000000003</v>
      </c>
      <c r="Q5561">
        <v>0.40526760000000001</v>
      </c>
      <c r="R5561">
        <v>0.3624503</v>
      </c>
      <c r="S5561">
        <v>2.9054259999999998</v>
      </c>
      <c r="T5561">
        <v>-0.32230249999999999</v>
      </c>
      <c r="U5561">
        <v>1.9168400000000001</v>
      </c>
      <c r="V5561">
        <v>-0.27532269999999998</v>
      </c>
      <c r="W5561">
        <v>0.41411019999999998</v>
      </c>
      <c r="X5561">
        <v>0.86758869999999899</v>
      </c>
      <c r="Y5561">
        <v>-0.45790579999999997</v>
      </c>
      <c r="Z5561">
        <v>1.692486E-2</v>
      </c>
      <c r="AA5561">
        <v>0.88883959999999995</v>
      </c>
      <c r="AB5561">
        <v>29</v>
      </c>
      <c r="AC5561">
        <v>0.68719999999999004</v>
      </c>
      <c r="AD5561">
        <v>-9.3187000000000103E-2</v>
      </c>
      <c r="AE5561">
        <v>0.53591999999999695</v>
      </c>
      <c r="AF5561">
        <v>-0.45540674063520298</v>
      </c>
      <c r="AG5561">
        <v>-9.3187000000000103E-2</v>
      </c>
      <c r="AH5561">
        <v>0.73142638418731998</v>
      </c>
      <c r="AI5561">
        <v>96.172769255335794</v>
      </c>
      <c r="AJ5561">
        <v>121.90756008941599</v>
      </c>
      <c r="AK5561">
        <v>0.86663929744174195</v>
      </c>
      <c r="AL5561">
        <v>65.536705958903596</v>
      </c>
      <c r="AM5561">
        <v>107.606441200654</v>
      </c>
      <c r="AN5561">
        <v>0.99999999962350905</v>
      </c>
    </row>
    <row r="5562" spans="1:40" x14ac:dyDescent="0.25">
      <c r="A5562" t="str">
        <f>"20190304164755703"</f>
        <v>20190304164755703</v>
      </c>
      <c r="B5562" t="str">
        <f>"1551689275694705"</f>
        <v>1551689275694705</v>
      </c>
      <c r="C5562" t="s">
        <v>40</v>
      </c>
      <c r="D5562">
        <v>4.4032450000000001</v>
      </c>
      <c r="E5562">
        <v>0.42133609999999999</v>
      </c>
      <c r="F5562" t="s">
        <v>41</v>
      </c>
      <c r="G5562">
        <v>-215.15549999999999</v>
      </c>
      <c r="H5562">
        <v>1.025603</v>
      </c>
      <c r="I5562">
        <v>-61.511200000000002</v>
      </c>
      <c r="J5562">
        <v>-215.8158</v>
      </c>
      <c r="K5562">
        <v>1.114249</v>
      </c>
      <c r="L5562">
        <v>-62.022370000000002</v>
      </c>
      <c r="M5562">
        <v>0.99415379999999998</v>
      </c>
      <c r="N5562">
        <v>-1.25938E-2</v>
      </c>
      <c r="O5562">
        <v>0.1072359</v>
      </c>
      <c r="P5562">
        <v>0.83817489999999994</v>
      </c>
      <c r="Q5562">
        <v>0.40485949999999998</v>
      </c>
      <c r="R5562">
        <v>0.36544690000000002</v>
      </c>
      <c r="S5562">
        <v>2.8993530000000001</v>
      </c>
      <c r="T5562">
        <v>-0.32318740000000001</v>
      </c>
      <c r="U5562">
        <v>1.9246829999999999</v>
      </c>
      <c r="V5562">
        <v>-0.27671879999999999</v>
      </c>
      <c r="W5562">
        <v>0.41364800000000002</v>
      </c>
      <c r="X5562">
        <v>0.86736499999999905</v>
      </c>
      <c r="Y5562">
        <v>-0.4586442</v>
      </c>
      <c r="Z5562">
        <v>1.6840040000000001E-2</v>
      </c>
      <c r="AA5562">
        <v>0.88846039999999904</v>
      </c>
      <c r="AB5562">
        <v>29</v>
      </c>
      <c r="AC5562">
        <v>0.66030000000000599</v>
      </c>
      <c r="AD5562">
        <v>-8.8646000000000003E-2</v>
      </c>
      <c r="AE5562">
        <v>0.51116999999999202</v>
      </c>
      <c r="AF5562">
        <v>-0.43253400115417401</v>
      </c>
      <c r="AG5562">
        <v>-8.8646000000000003E-2</v>
      </c>
      <c r="AH5562">
        <v>0.70338517502939102</v>
      </c>
      <c r="AI5562">
        <v>96.127475245477299</v>
      </c>
      <c r="AJ5562">
        <v>121.588685676921</v>
      </c>
      <c r="AK5562">
        <v>0.83047846445381501</v>
      </c>
      <c r="AL5562">
        <v>65.565796649823596</v>
      </c>
      <c r="AM5562">
        <v>107.694443466561</v>
      </c>
      <c r="AN5562">
        <v>1.0000000027012099</v>
      </c>
    </row>
    <row r="5563" spans="1:40" x14ac:dyDescent="0.25">
      <c r="A5563" t="str">
        <f>"20190304164755715"</f>
        <v>20190304164755715</v>
      </c>
      <c r="B5563" t="str">
        <f>"1551689275704466"</f>
        <v>1551689275704466</v>
      </c>
      <c r="C5563" t="s">
        <v>40</v>
      </c>
      <c r="D5563">
        <v>4.4364509999999999</v>
      </c>
      <c r="E5563">
        <v>0.42133609999999999</v>
      </c>
      <c r="F5563" t="s">
        <v>41</v>
      </c>
      <c r="G5563">
        <v>-215.0034</v>
      </c>
      <c r="H5563">
        <v>1.023031</v>
      </c>
      <c r="I5563">
        <v>-61.4801</v>
      </c>
      <c r="J5563">
        <v>-215.6636</v>
      </c>
      <c r="K5563">
        <v>1.114304</v>
      </c>
      <c r="L5563">
        <v>-62.003810000000001</v>
      </c>
      <c r="M5563">
        <v>0.99390679999999998</v>
      </c>
      <c r="N5563">
        <v>-1.258427E-2</v>
      </c>
      <c r="O5563">
        <v>0.1095028</v>
      </c>
      <c r="P5563">
        <v>0.83700719999999995</v>
      </c>
      <c r="Q5563">
        <v>0.4044334</v>
      </c>
      <c r="R5563">
        <v>0.36858210000000002</v>
      </c>
      <c r="S5563">
        <v>2.893967</v>
      </c>
      <c r="T5563">
        <v>-0.32492490000000002</v>
      </c>
      <c r="U5563">
        <v>1.93161</v>
      </c>
      <c r="V5563">
        <v>-0.27802660000000001</v>
      </c>
      <c r="W5563">
        <v>0.41316209999999998</v>
      </c>
      <c r="X5563">
        <v>0.86717829999999996</v>
      </c>
      <c r="Y5563">
        <v>-0.4588411</v>
      </c>
      <c r="Z5563">
        <v>1.6728860000000002E-2</v>
      </c>
      <c r="AA5563">
        <v>0.88836090000000001</v>
      </c>
      <c r="AB5563">
        <v>29</v>
      </c>
      <c r="AC5563">
        <v>0.66020000000000301</v>
      </c>
      <c r="AD5563">
        <v>-9.1273000000000104E-2</v>
      </c>
      <c r="AE5563">
        <v>0.52370999999999401</v>
      </c>
      <c r="AF5563">
        <v>-0.44306301992611002</v>
      </c>
      <c r="AG5563">
        <v>-9.1273000000000104E-2</v>
      </c>
      <c r="AH5563">
        <v>0.70530738943867799</v>
      </c>
      <c r="AI5563">
        <v>96.253597323123898</v>
      </c>
      <c r="AJ5563">
        <v>122.136392779915</v>
      </c>
      <c r="AK5563">
        <v>0.83791056429182698</v>
      </c>
      <c r="AL5563">
        <v>65.596370518874295</v>
      </c>
      <c r="AM5563">
        <v>107.776403815954</v>
      </c>
      <c r="AN5563">
        <v>0.99999995758742899</v>
      </c>
    </row>
    <row r="5564" spans="1:40" x14ac:dyDescent="0.25">
      <c r="A5564" t="str">
        <f>"20190304164755727"</f>
        <v>20190304164755727</v>
      </c>
      <c r="B5564" t="str">
        <f>"1551689275724962"</f>
        <v>1551689275724962</v>
      </c>
      <c r="C5564" t="s">
        <v>40</v>
      </c>
      <c r="D5564">
        <v>4.4442209999999998</v>
      </c>
      <c r="E5564">
        <v>0.43049199999999999</v>
      </c>
      <c r="F5564" t="s">
        <v>41</v>
      </c>
      <c r="G5564">
        <v>-214.76329999999999</v>
      </c>
      <c r="H5564">
        <v>1.0124610000000001</v>
      </c>
      <c r="I5564">
        <v>-61.398389999999999</v>
      </c>
      <c r="J5564">
        <v>-215.50059999999999</v>
      </c>
      <c r="K5564">
        <v>1.1143689999999999</v>
      </c>
      <c r="L5564">
        <v>-61.983280000000001</v>
      </c>
      <c r="M5564">
        <v>0.9936277</v>
      </c>
      <c r="N5564">
        <v>-1.2574790000000001E-2</v>
      </c>
      <c r="O5564">
        <v>0.112009</v>
      </c>
      <c r="P5564">
        <v>0.83581919999999899</v>
      </c>
      <c r="Q5564">
        <v>0.40406599999999998</v>
      </c>
      <c r="R5564">
        <v>0.37166769999999999</v>
      </c>
      <c r="S5564">
        <v>2.8868710000000002</v>
      </c>
      <c r="T5564">
        <v>-0.32658310000000002</v>
      </c>
      <c r="U5564">
        <v>1.9418949999999999</v>
      </c>
      <c r="V5564">
        <v>-0.27909309999999998</v>
      </c>
      <c r="W5564">
        <v>0.41272910000000002</v>
      </c>
      <c r="X5564">
        <v>0.86704190000000003</v>
      </c>
      <c r="Y5564">
        <v>-0.45977669999999998</v>
      </c>
      <c r="Z5564">
        <v>1.6637079999999999E-2</v>
      </c>
      <c r="AA5564">
        <v>0.88787870000000002</v>
      </c>
      <c r="AB5564">
        <v>29</v>
      </c>
      <c r="AC5564">
        <v>0.73730000000000395</v>
      </c>
      <c r="AD5564">
        <v>-0.101907999999999</v>
      </c>
      <c r="AE5564">
        <v>0.58489000000000801</v>
      </c>
      <c r="AF5564">
        <v>-0.49283933793311102</v>
      </c>
      <c r="AG5564">
        <v>-0.101907999999999</v>
      </c>
      <c r="AH5564">
        <v>0.78892724096176103</v>
      </c>
      <c r="AI5564">
        <v>96.252013000111603</v>
      </c>
      <c r="AJ5564">
        <v>121.992837771623</v>
      </c>
      <c r="AK5564">
        <v>0.93577884407047995</v>
      </c>
      <c r="AL5564">
        <v>65.623610741792106</v>
      </c>
      <c r="AM5564">
        <v>107.842906761807</v>
      </c>
      <c r="AN5564">
        <v>0.99999996240501399</v>
      </c>
    </row>
    <row r="5565" spans="1:40" x14ac:dyDescent="0.25">
      <c r="A5565" t="str">
        <f>"20190304164755741"</f>
        <v>20190304164755741</v>
      </c>
      <c r="B5565" t="str">
        <f>"1551689275734721"</f>
        <v>1551689275734721</v>
      </c>
      <c r="C5565" t="s">
        <v>40</v>
      </c>
      <c r="D5565">
        <v>4.4557500000000001</v>
      </c>
      <c r="E5565">
        <v>0.43064259999999899</v>
      </c>
      <c r="F5565" t="s">
        <v>41</v>
      </c>
      <c r="G5565">
        <v>-214.684</v>
      </c>
      <c r="H5565">
        <v>1.016105</v>
      </c>
      <c r="I5565">
        <v>-61.454650000000001</v>
      </c>
      <c r="J5565">
        <v>-215.3235</v>
      </c>
      <c r="K5565">
        <v>1.1144430000000001</v>
      </c>
      <c r="L5565">
        <v>-61.960540000000002</v>
      </c>
      <c r="M5565">
        <v>0.99331130000000001</v>
      </c>
      <c r="N5565">
        <v>-1.2563629999999999E-2</v>
      </c>
      <c r="O5565">
        <v>0.11478140000000001</v>
      </c>
      <c r="P5565">
        <v>0.83458929999999998</v>
      </c>
      <c r="Q5565">
        <v>0.40364489999999997</v>
      </c>
      <c r="R5565">
        <v>0.37487549999999997</v>
      </c>
      <c r="S5565">
        <v>2.9186399999999999</v>
      </c>
      <c r="T5565">
        <v>-0.3512458</v>
      </c>
      <c r="U5565">
        <v>1.8901060000000001</v>
      </c>
      <c r="V5565">
        <v>-0.28006259999999999</v>
      </c>
      <c r="W5565">
        <v>0.41223480000000001</v>
      </c>
      <c r="X5565">
        <v>0.86696450000000003</v>
      </c>
      <c r="Y5565">
        <v>-0.44156899999999899</v>
      </c>
      <c r="Z5565">
        <v>1.6089119999999998E-2</v>
      </c>
      <c r="AA5565">
        <v>0.89708299999999996</v>
      </c>
      <c r="AB5565">
        <v>29</v>
      </c>
      <c r="AC5565">
        <v>0.63949999999996898</v>
      </c>
      <c r="AD5565">
        <v>-9.8337999999999995E-2</v>
      </c>
      <c r="AE5565">
        <v>0.50588999999999995</v>
      </c>
      <c r="AF5565">
        <v>-0.42298535382577601</v>
      </c>
      <c r="AG5565">
        <v>-9.8337999999999995E-2</v>
      </c>
      <c r="AH5565">
        <v>0.68340436117441306</v>
      </c>
      <c r="AI5565">
        <v>96.975711948025307</v>
      </c>
      <c r="AJ5565">
        <v>121.75496500077</v>
      </c>
      <c r="AK5565">
        <v>0.809708893780552</v>
      </c>
      <c r="AL5565">
        <v>65.654701482887504</v>
      </c>
      <c r="AM5565">
        <v>107.90243542423801</v>
      </c>
      <c r="AN5565">
        <v>1.0000000172550201</v>
      </c>
    </row>
    <row r="5566" spans="1:40" x14ac:dyDescent="0.25">
      <c r="A5566" t="str">
        <f>"20190304164755753"</f>
        <v>20190304164755753</v>
      </c>
      <c r="B5566" t="str">
        <f>"1551689275744482"</f>
        <v>1551689275744482</v>
      </c>
      <c r="C5566" t="s">
        <v>40</v>
      </c>
      <c r="D5566">
        <v>4.4726140000000001</v>
      </c>
      <c r="E5566">
        <v>0.43078260000000002</v>
      </c>
      <c r="F5566" t="s">
        <v>41</v>
      </c>
      <c r="G5566">
        <v>-214.4896</v>
      </c>
      <c r="H5566">
        <v>1.013601</v>
      </c>
      <c r="I5566">
        <v>-61.41621</v>
      </c>
      <c r="J5566">
        <v>-215.16739999999999</v>
      </c>
      <c r="K5566">
        <v>1.1145160000000001</v>
      </c>
      <c r="L5566">
        <v>-61.940190000000001</v>
      </c>
      <c r="M5566">
        <v>0.99302159999999995</v>
      </c>
      <c r="N5566">
        <v>-1.255304E-2</v>
      </c>
      <c r="O5566">
        <v>0.1172632</v>
      </c>
      <c r="P5566">
        <v>0.83349859999999898</v>
      </c>
      <c r="Q5566">
        <v>0.40320430000000002</v>
      </c>
      <c r="R5566">
        <v>0.37776539999999997</v>
      </c>
      <c r="S5566">
        <v>2.9112550000000001</v>
      </c>
      <c r="T5566">
        <v>-0.35205049999999999</v>
      </c>
      <c r="U5566">
        <v>1.90036</v>
      </c>
      <c r="V5566">
        <v>-0.28094960000000002</v>
      </c>
      <c r="W5566">
        <v>0.41172779999999998</v>
      </c>
      <c r="X5566">
        <v>0.86691839999999998</v>
      </c>
      <c r="Y5566">
        <v>-0.442579</v>
      </c>
      <c r="Z5566">
        <v>1.5953889999999998E-2</v>
      </c>
      <c r="AA5566">
        <v>0.89658760000000004</v>
      </c>
      <c r="AB5566">
        <v>29</v>
      </c>
      <c r="AC5566">
        <v>0.67779999999998997</v>
      </c>
      <c r="AD5566">
        <v>-0.100915</v>
      </c>
      <c r="AE5566">
        <v>0.523980000000001</v>
      </c>
      <c r="AF5566">
        <v>-0.43484369334787298</v>
      </c>
      <c r="AG5566">
        <v>-0.100915</v>
      </c>
      <c r="AH5566">
        <v>0.72451871158917702</v>
      </c>
      <c r="AI5566">
        <v>96.810392927114805</v>
      </c>
      <c r="AJ5566">
        <v>120.971458554892</v>
      </c>
      <c r="AK5566">
        <v>0.85099955247477099</v>
      </c>
      <c r="AL5566">
        <v>65.686580828906997</v>
      </c>
      <c r="AM5566">
        <v>107.956393758861</v>
      </c>
      <c r="AN5566">
        <v>0.99999998564577997</v>
      </c>
    </row>
    <row r="5567" spans="1:40" x14ac:dyDescent="0.25">
      <c r="A5567" t="str">
        <f>"20190304164755765"</f>
        <v>20190304164755765</v>
      </c>
      <c r="B5567" t="str">
        <f>"1551689275755217"</f>
        <v>1551689275755217</v>
      </c>
      <c r="C5567" t="s">
        <v>40</v>
      </c>
      <c r="D5567">
        <v>4.4674800000000001</v>
      </c>
      <c r="E5567">
        <v>0.43116690000000002</v>
      </c>
      <c r="F5567" t="s">
        <v>53</v>
      </c>
      <c r="G5567">
        <v>-205.94589999999999</v>
      </c>
      <c r="H5567" s="1">
        <v>-3.6355650000000001E-6</v>
      </c>
      <c r="I5567">
        <v>-55.876190000000001</v>
      </c>
      <c r="J5567">
        <v>-215.01650000000001</v>
      </c>
      <c r="K5567">
        <v>1.1145929999999999</v>
      </c>
      <c r="L5567">
        <v>-61.919739999999997</v>
      </c>
      <c r="M5567">
        <v>0.99272470000000002</v>
      </c>
      <c r="N5567">
        <v>-1.254247E-2</v>
      </c>
      <c r="O5567">
        <v>0.1197521</v>
      </c>
      <c r="P5567">
        <v>0.83202559999999903</v>
      </c>
      <c r="Q5567">
        <v>0.40344429999999998</v>
      </c>
      <c r="R5567">
        <v>0.38074419999999998</v>
      </c>
      <c r="S5567">
        <v>2.9036710000000001</v>
      </c>
      <c r="T5567">
        <v>-0.35093839999999998</v>
      </c>
      <c r="U5567">
        <v>1.909424</v>
      </c>
      <c r="V5567">
        <v>-0.28197549999999999</v>
      </c>
      <c r="W5567">
        <v>0.41189239999999999</v>
      </c>
      <c r="X5567">
        <v>0.86650709999999997</v>
      </c>
      <c r="Y5567">
        <v>-0.44337490000000002</v>
      </c>
      <c r="Z5567">
        <v>1.5743480000000001E-2</v>
      </c>
      <c r="AA5567">
        <v>0.89619799999999905</v>
      </c>
      <c r="AB5567">
        <v>29</v>
      </c>
      <c r="AC5567">
        <v>9.0706000000000095</v>
      </c>
      <c r="AD5567">
        <v>-1.1145966355650001</v>
      </c>
      <c r="AE5567">
        <v>6.0435499999999998</v>
      </c>
      <c r="AF5567">
        <v>-4.86289143371775</v>
      </c>
      <c r="AG5567">
        <v>-1.1145966355650001</v>
      </c>
      <c r="AH5567">
        <v>9.6284138943782906</v>
      </c>
      <c r="AI5567">
        <v>95.899443010735496</v>
      </c>
      <c r="AJ5567">
        <v>116.796347439494</v>
      </c>
      <c r="AK5567">
        <v>10.844187054712499</v>
      </c>
      <c r="AL5567">
        <v>65.6762331453195</v>
      </c>
      <c r="AM5567">
        <v>108.02573043707601</v>
      </c>
      <c r="AN5567">
        <v>1.0000000430642</v>
      </c>
    </row>
    <row r="5568" spans="1:40" x14ac:dyDescent="0.25">
      <c r="A5568" t="str">
        <f>"20190304164755782"</f>
        <v>20190304164755782</v>
      </c>
      <c r="B5568" t="str">
        <f>"1551689275774737"</f>
        <v>1551689275774737</v>
      </c>
      <c r="C5568" t="s">
        <v>40</v>
      </c>
      <c r="D5568">
        <v>4.4863099999999996</v>
      </c>
      <c r="E5568">
        <v>0.4312607</v>
      </c>
      <c r="F5568" t="s">
        <v>41</v>
      </c>
      <c r="G5568">
        <v>-214.2269</v>
      </c>
      <c r="H5568">
        <v>1.019061</v>
      </c>
      <c r="I5568">
        <v>-61.39725</v>
      </c>
      <c r="J5568">
        <v>-214.8099</v>
      </c>
      <c r="K5568">
        <v>1.114708</v>
      </c>
      <c r="L5568">
        <v>-61.891330000000004</v>
      </c>
      <c r="M5568">
        <v>0.99229860000000003</v>
      </c>
      <c r="N5568">
        <v>-1.2528559999999999E-2</v>
      </c>
      <c r="O5568">
        <v>0.1232341</v>
      </c>
      <c r="P5568">
        <v>0.82950729999999995</v>
      </c>
      <c r="Q5568">
        <v>0.40433780000000002</v>
      </c>
      <c r="R5568">
        <v>0.38526460000000001</v>
      </c>
      <c r="S5568">
        <v>2.8980260000000002</v>
      </c>
      <c r="T5568">
        <v>-0.3506302</v>
      </c>
      <c r="U5568">
        <v>1.9179379999999999</v>
      </c>
      <c r="V5568">
        <v>-0.28383380000000002</v>
      </c>
      <c r="W5568">
        <v>0.41266829999999999</v>
      </c>
      <c r="X5568">
        <v>0.86553060000000004</v>
      </c>
      <c r="Y5568">
        <v>-0.44288689999999997</v>
      </c>
      <c r="Z5568">
        <v>1.5378060000000001E-2</v>
      </c>
      <c r="AA5568">
        <v>0.89644559999999995</v>
      </c>
      <c r="AB5568">
        <v>29</v>
      </c>
      <c r="AC5568">
        <v>0.58299999999999796</v>
      </c>
      <c r="AD5568">
        <v>-9.5646999999999996E-2</v>
      </c>
      <c r="AE5568">
        <v>0.49408000000000302</v>
      </c>
      <c r="AF5568">
        <v>-0.41200817483267699</v>
      </c>
      <c r="AG5568">
        <v>-9.5646999999999996E-2</v>
      </c>
      <c r="AH5568">
        <v>0.62958536290031097</v>
      </c>
      <c r="AI5568">
        <v>97.244582853410407</v>
      </c>
      <c r="AJ5568">
        <v>123.20121433395001</v>
      </c>
      <c r="AK5568">
        <v>0.75847004813391905</v>
      </c>
      <c r="AL5568">
        <v>65.627435813784899</v>
      </c>
      <c r="AM5568">
        <v>108.15589020255899</v>
      </c>
      <c r="AN5568">
        <v>0.99999998569184401</v>
      </c>
    </row>
    <row r="5569" spans="1:40" x14ac:dyDescent="0.25">
      <c r="A5569" t="str">
        <f>"20190304164755792"</f>
        <v>20190304164755792</v>
      </c>
      <c r="B5569" t="str">
        <f>"1551689275784496"</f>
        <v>1551689275784496</v>
      </c>
      <c r="C5569" t="s">
        <v>40</v>
      </c>
      <c r="D5569">
        <v>4.4914569999999996</v>
      </c>
      <c r="E5569">
        <v>0.431311</v>
      </c>
      <c r="F5569" t="s">
        <v>41</v>
      </c>
      <c r="G5569">
        <v>-213.98089999999999</v>
      </c>
      <c r="H5569">
        <v>1.014486</v>
      </c>
      <c r="I5569">
        <v>-61.336039999999997</v>
      </c>
      <c r="J5569">
        <v>-214.6653</v>
      </c>
      <c r="K5569">
        <v>1.1147929999999999</v>
      </c>
      <c r="L5569">
        <v>-61.871000000000002</v>
      </c>
      <c r="M5569">
        <v>0.99198560000000002</v>
      </c>
      <c r="N5569">
        <v>-1.251932E-2</v>
      </c>
      <c r="O5569">
        <v>0.1257289</v>
      </c>
      <c r="P5569">
        <v>0.82797009999999904</v>
      </c>
      <c r="Q5569">
        <v>0.40492289999999997</v>
      </c>
      <c r="R5569">
        <v>0.38794709999999899</v>
      </c>
      <c r="S5569">
        <v>2.88829</v>
      </c>
      <c r="T5569">
        <v>-0.34917959999999998</v>
      </c>
      <c r="U5569">
        <v>1.9345699999999999</v>
      </c>
      <c r="V5569">
        <v>-0.28458860000000002</v>
      </c>
      <c r="W5569">
        <v>0.41317470000000001</v>
      </c>
      <c r="X5569">
        <v>0.86504110000000001</v>
      </c>
      <c r="Y5569">
        <v>-0.4456019</v>
      </c>
      <c r="Z5569">
        <v>1.527803E-2</v>
      </c>
      <c r="AA5569">
        <v>0.89510080000000003</v>
      </c>
      <c r="AB5569">
        <v>29</v>
      </c>
      <c r="AC5569">
        <v>0.68440000000001</v>
      </c>
      <c r="AD5569">
        <v>-0.10030699999999899</v>
      </c>
      <c r="AE5569">
        <v>0.53495999999999799</v>
      </c>
      <c r="AF5569">
        <v>-0.43880764875505601</v>
      </c>
      <c r="AG5569">
        <v>-0.10030699999999899</v>
      </c>
      <c r="AH5569">
        <v>0.73641418810443904</v>
      </c>
      <c r="AI5569">
        <v>96.673931365261197</v>
      </c>
      <c r="AJ5569">
        <v>120.789475892703</v>
      </c>
      <c r="AK5569">
        <v>0.86308719333359396</v>
      </c>
      <c r="AL5569">
        <v>65.595580277847802</v>
      </c>
      <c r="AM5569">
        <v>108.210612561557</v>
      </c>
      <c r="AN5569">
        <v>1.0000000543296199</v>
      </c>
    </row>
    <row r="5570" spans="1:40" x14ac:dyDescent="0.25">
      <c r="A5570" t="str">
        <f>"20190304164755804"</f>
        <v>20190304164755804</v>
      </c>
      <c r="B5570" t="str">
        <f>"1551689275795233"</f>
        <v>1551689275795233</v>
      </c>
      <c r="C5570" t="s">
        <v>40</v>
      </c>
      <c r="D5570">
        <v>4.4844339999999896</v>
      </c>
      <c r="E5570">
        <v>0.43138310000000002</v>
      </c>
      <c r="F5570" t="s">
        <v>53</v>
      </c>
      <c r="G5570">
        <v>-205.43559999999999</v>
      </c>
      <c r="H5570" s="1">
        <v>-3.96625999999999E-6</v>
      </c>
      <c r="I5570">
        <v>-55.643569999999997</v>
      </c>
      <c r="J5570">
        <v>-214.5247</v>
      </c>
      <c r="K5570">
        <v>1.114884</v>
      </c>
      <c r="L5570">
        <v>-61.850589999999997</v>
      </c>
      <c r="M5570">
        <v>0.99166319999999997</v>
      </c>
      <c r="N5570">
        <v>-1.251262E-2</v>
      </c>
      <c r="O5570">
        <v>0.1282478</v>
      </c>
      <c r="P5570">
        <v>0.82652969999999903</v>
      </c>
      <c r="Q5570">
        <v>0.40552840000000001</v>
      </c>
      <c r="R5570">
        <v>0.39037850000000002</v>
      </c>
      <c r="S5570">
        <v>2.882355</v>
      </c>
      <c r="T5570">
        <v>-0.34813959999999999</v>
      </c>
      <c r="U5570">
        <v>1.944763</v>
      </c>
      <c r="V5570">
        <v>-0.28506809999999899</v>
      </c>
      <c r="W5570">
        <v>0.41370440000000003</v>
      </c>
      <c r="X5570">
        <v>0.86462989999999995</v>
      </c>
      <c r="Y5570">
        <v>-0.4463762</v>
      </c>
      <c r="Z5570">
        <v>1.5063429999999999E-2</v>
      </c>
      <c r="AA5570">
        <v>0.89471859999999903</v>
      </c>
      <c r="AB5570">
        <v>29</v>
      </c>
      <c r="AC5570">
        <v>9.0891000000000002</v>
      </c>
      <c r="AD5570">
        <v>-1.11488796626</v>
      </c>
      <c r="AE5570">
        <v>6.20702</v>
      </c>
      <c r="AF5570">
        <v>-4.9393257868728897</v>
      </c>
      <c r="AG5570">
        <v>-1.11488796626</v>
      </c>
      <c r="AH5570">
        <v>9.7104938726653796</v>
      </c>
      <c r="AI5570">
        <v>95.843007494761693</v>
      </c>
      <c r="AJ5570">
        <v>116.960554031459</v>
      </c>
      <c r="AK5570">
        <v>10.951420257539599</v>
      </c>
      <c r="AL5570">
        <v>65.562247365299498</v>
      </c>
      <c r="AM5570">
        <v>108.247365257149</v>
      </c>
      <c r="AN5570">
        <v>1.0000000080954901</v>
      </c>
    </row>
    <row r="5571" spans="1:40" x14ac:dyDescent="0.25">
      <c r="A5571" t="str">
        <f>"20190304164755816"</f>
        <v>20190304164755816</v>
      </c>
      <c r="B5571" t="str">
        <f>"1551689275804993"</f>
        <v>1551689275804993</v>
      </c>
      <c r="C5571" t="s">
        <v>40</v>
      </c>
      <c r="D5571">
        <v>4.4812620000000001</v>
      </c>
      <c r="E5571">
        <v>0.43156660000000002</v>
      </c>
      <c r="F5571" t="s">
        <v>41</v>
      </c>
      <c r="G5571">
        <v>-213.7227</v>
      </c>
      <c r="H5571">
        <v>1.018386</v>
      </c>
      <c r="I5571">
        <v>-61.306150000000002</v>
      </c>
      <c r="J5571">
        <v>-214.37049999999999</v>
      </c>
      <c r="K5571">
        <v>1.114986</v>
      </c>
      <c r="L5571">
        <v>-61.828060000000001</v>
      </c>
      <c r="M5571">
        <v>0.99129820000000002</v>
      </c>
      <c r="N5571">
        <v>-1.2505550000000001E-2</v>
      </c>
      <c r="O5571">
        <v>0.1310404</v>
      </c>
      <c r="P5571">
        <v>0.82486680000000001</v>
      </c>
      <c r="Q5571">
        <v>0.40604839999999998</v>
      </c>
      <c r="R5571">
        <v>0.39334409999999997</v>
      </c>
      <c r="S5571">
        <v>2.8769529999999999</v>
      </c>
      <c r="T5571">
        <v>-0.3461571</v>
      </c>
      <c r="U5571">
        <v>1.953217</v>
      </c>
      <c r="V5571">
        <v>-0.28587889999999999</v>
      </c>
      <c r="W5571">
        <v>0.41413670000000002</v>
      </c>
      <c r="X5571">
        <v>0.86415509999999995</v>
      </c>
      <c r="Y5571">
        <v>-0.44646819999999998</v>
      </c>
      <c r="Z5571">
        <v>1.4754069999999999E-2</v>
      </c>
      <c r="AA5571">
        <v>0.89467790000000003</v>
      </c>
      <c r="AB5571">
        <v>29</v>
      </c>
      <c r="AC5571">
        <v>0.64779999999998905</v>
      </c>
      <c r="AD5571">
        <v>-9.6600000000000005E-2</v>
      </c>
      <c r="AE5571">
        <v>0.52190999999999799</v>
      </c>
      <c r="AF5571">
        <v>-0.42675974503865099</v>
      </c>
      <c r="AG5571">
        <v>-9.6600000000000005E-2</v>
      </c>
      <c r="AH5571">
        <v>0.70115526145089901</v>
      </c>
      <c r="AI5571">
        <v>96.712119075302098</v>
      </c>
      <c r="AJ5571">
        <v>121.326879401402</v>
      </c>
      <c r="AK5571">
        <v>0.82648299477105502</v>
      </c>
      <c r="AL5571">
        <v>65.535037721366706</v>
      </c>
      <c r="AM5571">
        <v>108.30519499754099</v>
      </c>
      <c r="AN5571">
        <v>0.99999999430405495</v>
      </c>
    </row>
    <row r="5572" spans="1:40" x14ac:dyDescent="0.25">
      <c r="A5572" t="str">
        <f>"20190304164755827"</f>
        <v>20190304164755827</v>
      </c>
      <c r="B5572" t="str">
        <f>"1551689275814753"</f>
        <v>1551689275814753</v>
      </c>
      <c r="C5572" t="s">
        <v>40</v>
      </c>
      <c r="D5572">
        <v>4.5120979999999999</v>
      </c>
      <c r="E5572">
        <v>0.43187710000000001</v>
      </c>
      <c r="F5572" t="s">
        <v>41</v>
      </c>
      <c r="G5572">
        <v>-213.48410000000001</v>
      </c>
      <c r="H5572">
        <v>1.0084219999999999</v>
      </c>
      <c r="I5572">
        <v>-61.221899999999998</v>
      </c>
      <c r="J5572">
        <v>-214.2175</v>
      </c>
      <c r="K5572">
        <v>1.1150929999999999</v>
      </c>
      <c r="L5572">
        <v>-61.804900000000004</v>
      </c>
      <c r="M5572">
        <v>0.99091260000000003</v>
      </c>
      <c r="N5572">
        <v>-1.250078E-2</v>
      </c>
      <c r="O5572">
        <v>0.13392660000000001</v>
      </c>
      <c r="P5572">
        <v>0.82322199999999901</v>
      </c>
      <c r="Q5572">
        <v>0.40676010000000001</v>
      </c>
      <c r="R5572">
        <v>0.39604539999999999</v>
      </c>
      <c r="S5572">
        <v>2.8708339999999999</v>
      </c>
      <c r="T5572">
        <v>-0.34510220000000003</v>
      </c>
      <c r="U5572">
        <v>1.96286</v>
      </c>
      <c r="V5572">
        <v>-0.28635749999999999</v>
      </c>
      <c r="W5572">
        <v>0.41476160000000001</v>
      </c>
      <c r="X5572">
        <v>0.86369680000000004</v>
      </c>
      <c r="Y5572">
        <v>-0.4468203</v>
      </c>
      <c r="Z5572">
        <v>1.4483269999999999E-2</v>
      </c>
      <c r="AA5572">
        <v>0.89450649999999998</v>
      </c>
      <c r="AB5572">
        <v>29</v>
      </c>
      <c r="AC5572">
        <v>0.73339999999998895</v>
      </c>
      <c r="AD5572">
        <v>-0.106671</v>
      </c>
      <c r="AE5572">
        <v>0.58300000000000496</v>
      </c>
      <c r="AF5572">
        <v>-0.473381085042264</v>
      </c>
      <c r="AG5572">
        <v>-0.106671</v>
      </c>
      <c r="AH5572">
        <v>0.79457692703323002</v>
      </c>
      <c r="AI5572">
        <v>96.578987953341993</v>
      </c>
      <c r="AJ5572">
        <v>120.785003747346</v>
      </c>
      <c r="AK5572">
        <v>0.9310321406323</v>
      </c>
      <c r="AL5572">
        <v>65.495695343638303</v>
      </c>
      <c r="AM5572">
        <v>108.34286978124599</v>
      </c>
      <c r="AN5572">
        <v>0.99999998248552402</v>
      </c>
    </row>
    <row r="5573" spans="1:40" x14ac:dyDescent="0.25">
      <c r="A5573" t="str">
        <f>"20190304164755841"</f>
        <v>20190304164755841</v>
      </c>
      <c r="B5573" t="str">
        <f>"1551689275835222"</f>
        <v>1551689275835222</v>
      </c>
      <c r="C5573" t="s">
        <v>40</v>
      </c>
      <c r="D5573">
        <v>4.4850490000000001</v>
      </c>
      <c r="E5573">
        <v>0.4322145</v>
      </c>
      <c r="F5573" t="s">
        <v>41</v>
      </c>
      <c r="G5573">
        <v>-213.43369999999999</v>
      </c>
      <c r="H5573">
        <v>1.0211840000000001</v>
      </c>
      <c r="I5573">
        <v>-61.265790000000003</v>
      </c>
      <c r="J5573">
        <v>-214.05699999999999</v>
      </c>
      <c r="K5573">
        <v>1.1152070000000001</v>
      </c>
      <c r="L5573">
        <v>-61.780149999999999</v>
      </c>
      <c r="M5573">
        <v>0.99048959999999997</v>
      </c>
      <c r="N5573">
        <v>-1.2496699999999999E-2</v>
      </c>
      <c r="O5573">
        <v>0.13702020000000001</v>
      </c>
      <c r="P5573">
        <v>0.82154249999999995</v>
      </c>
      <c r="Q5573">
        <v>0.40723700000000002</v>
      </c>
      <c r="R5573">
        <v>0.39903149999999998</v>
      </c>
      <c r="S5573">
        <v>2.8657680000000001</v>
      </c>
      <c r="T5573">
        <v>-0.34331270000000003</v>
      </c>
      <c r="U5573">
        <v>1.9707030000000001</v>
      </c>
      <c r="V5573">
        <v>-0.28695029999999999</v>
      </c>
      <c r="W5573">
        <v>0.41514640000000003</v>
      </c>
      <c r="X5573">
        <v>0.8633151</v>
      </c>
      <c r="Y5573">
        <v>-0.44646059999999999</v>
      </c>
      <c r="Z5573">
        <v>1.4129299999999999E-2</v>
      </c>
      <c r="AA5573">
        <v>0.89469179999999904</v>
      </c>
      <c r="AB5573">
        <v>29</v>
      </c>
      <c r="AC5573">
        <v>0.62330000000002805</v>
      </c>
      <c r="AD5573">
        <v>-9.4022999999999898E-2</v>
      </c>
      <c r="AE5573">
        <v>0.51435999999999604</v>
      </c>
      <c r="AF5573">
        <v>-0.41843243633205401</v>
      </c>
      <c r="AG5573">
        <v>-9.4022999999999898E-2</v>
      </c>
      <c r="AH5573">
        <v>0.67871597775466996</v>
      </c>
      <c r="AI5573">
        <v>96.725360863655695</v>
      </c>
      <c r="AJ5573">
        <v>121.65407907496299</v>
      </c>
      <c r="AK5573">
        <v>0.80285827314866498</v>
      </c>
      <c r="AL5573">
        <v>65.471463281931705</v>
      </c>
      <c r="AM5573">
        <v>108.38587223309101</v>
      </c>
      <c r="AN5573">
        <v>0.999999984995529</v>
      </c>
    </row>
    <row r="5574" spans="1:40" x14ac:dyDescent="0.25">
      <c r="A5574" t="str">
        <f>"20190304164755853"</f>
        <v>20190304164755853</v>
      </c>
      <c r="B5574" t="str">
        <f>"1551689275844961"</f>
        <v>1551689275844961</v>
      </c>
      <c r="C5574" t="s">
        <v>40</v>
      </c>
      <c r="D5574">
        <v>4.510491</v>
      </c>
      <c r="E5574">
        <v>0.43229119999999999</v>
      </c>
      <c r="F5574" t="s">
        <v>41</v>
      </c>
      <c r="G5574">
        <v>-213.22190000000001</v>
      </c>
      <c r="H5574">
        <v>1.014799</v>
      </c>
      <c r="I5574">
        <v>-61.202359999999999</v>
      </c>
      <c r="J5574">
        <v>-213.88730000000001</v>
      </c>
      <c r="K5574">
        <v>1.115327</v>
      </c>
      <c r="L5574">
        <v>-61.753450000000001</v>
      </c>
      <c r="M5574">
        <v>0.99002109999999999</v>
      </c>
      <c r="N5574">
        <v>-1.249343E-2</v>
      </c>
      <c r="O5574">
        <v>0.14036390000000001</v>
      </c>
      <c r="P5574">
        <v>0.81994990000000001</v>
      </c>
      <c r="Q5574">
        <v>0.40747509999999998</v>
      </c>
      <c r="R5574">
        <v>0.40205229999999997</v>
      </c>
      <c r="S5574">
        <v>2.860535</v>
      </c>
      <c r="T5574">
        <v>-0.34398230000000002</v>
      </c>
      <c r="U5574">
        <v>1.979919</v>
      </c>
      <c r="V5574">
        <v>-0.287356</v>
      </c>
      <c r="W5574">
        <v>0.41529090000000002</v>
      </c>
      <c r="X5574">
        <v>0.86311070000000001</v>
      </c>
      <c r="Y5574">
        <v>-0.44616509999999998</v>
      </c>
      <c r="Z5574">
        <v>1.382424E-2</v>
      </c>
      <c r="AA5574">
        <v>0.89484390000000003</v>
      </c>
      <c r="AB5574">
        <v>29</v>
      </c>
      <c r="AC5574">
        <v>0.66540000000000499</v>
      </c>
      <c r="AD5574">
        <v>-0.10052799999999899</v>
      </c>
      <c r="AE5574">
        <v>0.55109000000000197</v>
      </c>
      <c r="AF5574">
        <v>-0.44618722328396199</v>
      </c>
      <c r="AG5574">
        <v>-0.10052799999999899</v>
      </c>
      <c r="AH5574">
        <v>0.72633719470603597</v>
      </c>
      <c r="AI5574">
        <v>96.725833604338803</v>
      </c>
      <c r="AJ5574">
        <v>121.562307860049</v>
      </c>
      <c r="AK5574">
        <v>0.85834412528966897</v>
      </c>
      <c r="AL5574">
        <v>65.462363907387299</v>
      </c>
      <c r="AM5574">
        <v>108.414181084256</v>
      </c>
      <c r="AN5574">
        <v>1.0000000414066399</v>
      </c>
    </row>
    <row r="5575" spans="1:40" x14ac:dyDescent="0.25">
      <c r="A5575" t="str">
        <f>"20190304164755871"</f>
        <v>20190304164755871</v>
      </c>
      <c r="B5575" t="str">
        <f>"1551689275864481"</f>
        <v>1551689275864481</v>
      </c>
      <c r="C5575" t="s">
        <v>40</v>
      </c>
      <c r="D5575">
        <v>4.5122900000000001</v>
      </c>
      <c r="E5575">
        <v>0.4324713</v>
      </c>
      <c r="F5575" t="s">
        <v>53</v>
      </c>
      <c r="G5575">
        <v>-204.6499</v>
      </c>
      <c r="H5575" s="1">
        <v>-4.4587519999999999E-6</v>
      </c>
      <c r="I5575">
        <v>-55.308509999999998</v>
      </c>
      <c r="J5575">
        <v>-213.65710000000001</v>
      </c>
      <c r="K5575">
        <v>1.1154949999999999</v>
      </c>
      <c r="L5575">
        <v>-61.715879999999999</v>
      </c>
      <c r="M5575">
        <v>0.98933789999999999</v>
      </c>
      <c r="N5575">
        <v>-1.249202E-2</v>
      </c>
      <c r="O5575">
        <v>0.1451017</v>
      </c>
      <c r="P5575">
        <v>0.81761499999999998</v>
      </c>
      <c r="Q5575">
        <v>0.40785690000000002</v>
      </c>
      <c r="R5575">
        <v>0.4063968</v>
      </c>
      <c r="S5575">
        <v>2.8536990000000002</v>
      </c>
      <c r="T5575">
        <v>-0.34455809999999998</v>
      </c>
      <c r="U5575">
        <v>1.991028</v>
      </c>
      <c r="V5575">
        <v>-0.28801199999999999</v>
      </c>
      <c r="W5575">
        <v>0.4155412</v>
      </c>
      <c r="X5575">
        <v>0.86277150000000002</v>
      </c>
      <c r="Y5575">
        <v>-0.4452507</v>
      </c>
      <c r="Z5575">
        <v>1.3350549999999999E-2</v>
      </c>
      <c r="AA5575">
        <v>0.89530639999999995</v>
      </c>
      <c r="AB5575">
        <v>29</v>
      </c>
      <c r="AC5575">
        <v>9.0072000000000099</v>
      </c>
      <c r="AD5575">
        <v>-1.115499458752</v>
      </c>
      <c r="AE5575">
        <v>6.4073700000000002</v>
      </c>
      <c r="AF5575">
        <v>-4.9817516958109804</v>
      </c>
      <c r="AG5575">
        <v>-1.115499458752</v>
      </c>
      <c r="AH5575">
        <v>9.7424340864750594</v>
      </c>
      <c r="AI5575">
        <v>95.820865204301995</v>
      </c>
      <c r="AJ5575">
        <v>117.08273582463499</v>
      </c>
      <c r="AK5575">
        <v>10.998964084426399</v>
      </c>
      <c r="AL5575">
        <v>65.4465977675939</v>
      </c>
      <c r="AM5575">
        <v>108.46013737801999</v>
      </c>
      <c r="AN5575">
        <v>1.00000003112684</v>
      </c>
    </row>
    <row r="5576" spans="1:40" x14ac:dyDescent="0.25">
      <c r="A5576" t="str">
        <f>"20190304164755884"</f>
        <v>20190304164755884</v>
      </c>
      <c r="B5576" t="str">
        <f>"1551689275875217"</f>
        <v>1551689275875217</v>
      </c>
      <c r="C5576" t="s">
        <v>40</v>
      </c>
      <c r="D5576">
        <v>4.4986540000000002</v>
      </c>
      <c r="E5576">
        <v>0.4324713</v>
      </c>
      <c r="F5576" t="s">
        <v>53</v>
      </c>
      <c r="G5576">
        <v>-204.48580000000001</v>
      </c>
      <c r="H5576" s="1">
        <v>-4.5572789999999996E-6</v>
      </c>
      <c r="I5576">
        <v>-55.241320000000002</v>
      </c>
      <c r="J5576">
        <v>-213.49039999999999</v>
      </c>
      <c r="K5576">
        <v>1.1156299999999999</v>
      </c>
      <c r="L5576">
        <v>-61.687840000000001</v>
      </c>
      <c r="M5576">
        <v>0.98880769999999996</v>
      </c>
      <c r="N5576">
        <v>-1.249316E-2</v>
      </c>
      <c r="O5576">
        <v>0.14867169999999999</v>
      </c>
      <c r="P5576">
        <v>0.81581579999999998</v>
      </c>
      <c r="Q5576">
        <v>0.40807349999999998</v>
      </c>
      <c r="R5576">
        <v>0.40978140000000002</v>
      </c>
      <c r="S5576">
        <v>2.843842</v>
      </c>
      <c r="T5576">
        <v>-0.34589389999999998</v>
      </c>
      <c r="U5576">
        <v>2.0076290000000001</v>
      </c>
      <c r="V5576">
        <v>-0.28862860000000001</v>
      </c>
      <c r="W5576">
        <v>0.41565740000000001</v>
      </c>
      <c r="X5576">
        <v>0.86250939999999998</v>
      </c>
      <c r="Y5576">
        <v>-0.4469629</v>
      </c>
      <c r="Z5576">
        <v>1.316878E-2</v>
      </c>
      <c r="AA5576">
        <v>0.89445560000000002</v>
      </c>
      <c r="AB5576">
        <v>29</v>
      </c>
      <c r="AC5576">
        <v>9.0045999999999804</v>
      </c>
      <c r="AD5576">
        <v>-1.1156345572789901</v>
      </c>
      <c r="AE5576">
        <v>6.4465199999999996</v>
      </c>
      <c r="AF5576">
        <v>-4.9854367183796402</v>
      </c>
      <c r="AG5576">
        <v>-1.1156345572789901</v>
      </c>
      <c r="AH5576">
        <v>9.7639115702498493</v>
      </c>
      <c r="AI5576">
        <v>95.810594716046893</v>
      </c>
      <c r="AJ5576">
        <v>117.04877956723701</v>
      </c>
      <c r="AK5576">
        <v>11.019672812294401</v>
      </c>
      <c r="AL5576">
        <v>65.439277189947106</v>
      </c>
      <c r="AM5576">
        <v>108.50220989195699</v>
      </c>
      <c r="AN5576">
        <v>1.0000000040005399</v>
      </c>
    </row>
    <row r="5577" spans="1:40" x14ac:dyDescent="0.25">
      <c r="A5577" t="str">
        <f>"20190304164755895"</f>
        <v>20190304164755895</v>
      </c>
      <c r="B5577" t="str">
        <f>"1551689275884978"</f>
        <v>1551689275884978</v>
      </c>
      <c r="C5577" t="s">
        <v>40</v>
      </c>
      <c r="D5577">
        <v>4.5024730000000002</v>
      </c>
      <c r="E5577">
        <v>0.43517119999999998</v>
      </c>
      <c r="F5577" t="s">
        <v>41</v>
      </c>
      <c r="G5577">
        <v>-212.709</v>
      </c>
      <c r="H5577">
        <v>1.0206309999999901</v>
      </c>
      <c r="I5577">
        <v>-61.130670000000002</v>
      </c>
      <c r="J5577">
        <v>-213.3434</v>
      </c>
      <c r="K5577">
        <v>1.1157490000000001</v>
      </c>
      <c r="L5577">
        <v>-61.662689999999998</v>
      </c>
      <c r="M5577">
        <v>0.9883208</v>
      </c>
      <c r="N5577">
        <v>-1.249423E-2</v>
      </c>
      <c r="O5577">
        <v>0.15187479999999901</v>
      </c>
      <c r="P5577">
        <v>0.81441830000000004</v>
      </c>
      <c r="Q5577">
        <v>0.4080896</v>
      </c>
      <c r="R5577">
        <v>0.41253600000000001</v>
      </c>
      <c r="S5577">
        <v>2.8345030000000002</v>
      </c>
      <c r="T5577">
        <v>-0.34457529999999997</v>
      </c>
      <c r="U5577">
        <v>2.0209959999999998</v>
      </c>
      <c r="V5577">
        <v>-0.28887089999999999</v>
      </c>
      <c r="W5577">
        <v>0.41558889999999998</v>
      </c>
      <c r="X5577">
        <v>0.86246129999999999</v>
      </c>
      <c r="Y5577">
        <v>-0.44827129999999998</v>
      </c>
      <c r="Z5577">
        <v>1.293275E-2</v>
      </c>
      <c r="AA5577">
        <v>0.89380400000000004</v>
      </c>
      <c r="AB5577">
        <v>29</v>
      </c>
      <c r="AC5577">
        <v>0.63439999999999896</v>
      </c>
      <c r="AD5577">
        <v>-9.5117999999999994E-2</v>
      </c>
      <c r="AE5577">
        <v>0.53202000000000904</v>
      </c>
      <c r="AF5577">
        <v>-0.42389593461365299</v>
      </c>
      <c r="AG5577">
        <v>-9.5117999999999994E-2</v>
      </c>
      <c r="AH5577">
        <v>0.69862581925498002</v>
      </c>
      <c r="AI5577">
        <v>96.639315179677396</v>
      </c>
      <c r="AJ5577">
        <v>121.24756518458599</v>
      </c>
      <c r="AK5577">
        <v>0.82268659441835701</v>
      </c>
      <c r="AL5577">
        <v>65.443592528055703</v>
      </c>
      <c r="AM5577">
        <v>108.517645784923</v>
      </c>
      <c r="AN5577">
        <v>1.0000000123338499</v>
      </c>
    </row>
    <row r="5578" spans="1:40" x14ac:dyDescent="0.25">
      <c r="A5578" t="str">
        <f>"20190304164755907"</f>
        <v>20190304164755907</v>
      </c>
      <c r="B5578" t="str">
        <f>"1551689275894738"</f>
        <v>1551689275894738</v>
      </c>
      <c r="C5578" t="s">
        <v>40</v>
      </c>
      <c r="D5578">
        <v>4.5069239999999997</v>
      </c>
      <c r="E5578">
        <v>0.43491960000000002</v>
      </c>
      <c r="F5578" t="s">
        <v>41</v>
      </c>
      <c r="G5578">
        <v>-212.47149999999999</v>
      </c>
      <c r="H5578">
        <v>1.0020739999999999</v>
      </c>
      <c r="I5578">
        <v>-61.044879999999999</v>
      </c>
      <c r="J5578">
        <v>-213.1919</v>
      </c>
      <c r="K5578">
        <v>1.115874</v>
      </c>
      <c r="L5578">
        <v>-61.635930000000002</v>
      </c>
      <c r="M5578">
        <v>0.98778739999999998</v>
      </c>
      <c r="N5578">
        <v>-1.249574E-2</v>
      </c>
      <c r="O5578">
        <v>0.15530620000000001</v>
      </c>
      <c r="P5578">
        <v>0.81279309999999905</v>
      </c>
      <c r="Q5578">
        <v>0.40806310000000001</v>
      </c>
      <c r="R5578">
        <v>0.41575469999999998</v>
      </c>
      <c r="S5578">
        <v>2.847534</v>
      </c>
      <c r="T5578">
        <v>-0.37128080000000002</v>
      </c>
      <c r="U5578">
        <v>2.0178530000000001</v>
      </c>
      <c r="V5578">
        <v>-0.28941660000000002</v>
      </c>
      <c r="W5578">
        <v>0.41546699999999998</v>
      </c>
      <c r="X5578">
        <v>0.86233709999999997</v>
      </c>
      <c r="Y5578">
        <v>-0.44236999999999999</v>
      </c>
      <c r="Z5578">
        <v>1.279309E-2</v>
      </c>
      <c r="AA5578">
        <v>0.89674140000000002</v>
      </c>
      <c r="AB5578">
        <v>29</v>
      </c>
      <c r="AC5578">
        <v>0.72040000000001203</v>
      </c>
      <c r="AD5578">
        <v>-0.1138</v>
      </c>
      <c r="AE5578">
        <v>0.59104999999999497</v>
      </c>
      <c r="AF5578">
        <v>-0.46505002634876902</v>
      </c>
      <c r="AG5578">
        <v>-0.1138</v>
      </c>
      <c r="AH5578">
        <v>0.79165143146499195</v>
      </c>
      <c r="AI5578">
        <v>97.065551281446304</v>
      </c>
      <c r="AJ5578">
        <v>120.431804302138</v>
      </c>
      <c r="AK5578">
        <v>0.92516698814190401</v>
      </c>
      <c r="AL5578">
        <v>65.451271783910698</v>
      </c>
      <c r="AM5578">
        <v>108.552724164477</v>
      </c>
      <c r="AN5578">
        <v>1.0000000352404801</v>
      </c>
    </row>
    <row r="5579" spans="1:40" x14ac:dyDescent="0.25">
      <c r="A5579" t="str">
        <f>"20190304164755921"</f>
        <v>20190304164755921</v>
      </c>
      <c r="B5579" t="str">
        <f>"1551689275915234"</f>
        <v>1551689275915234</v>
      </c>
      <c r="C5579" t="s">
        <v>40</v>
      </c>
      <c r="D5579">
        <v>4.50807</v>
      </c>
      <c r="E5579">
        <v>0.43520239999999999</v>
      </c>
      <c r="F5579" t="s">
        <v>41</v>
      </c>
      <c r="G5579">
        <v>-212.4058</v>
      </c>
      <c r="H5579">
        <v>1.013404</v>
      </c>
      <c r="I5579">
        <v>-61.0732199999999</v>
      </c>
      <c r="J5579">
        <v>-213.03129999999999</v>
      </c>
      <c r="K5579">
        <v>1.1160060000000001</v>
      </c>
      <c r="L5579">
        <v>-61.606960000000001</v>
      </c>
      <c r="M5579">
        <v>0.98719659999999998</v>
      </c>
      <c r="N5579">
        <v>-1.2497060000000001E-2</v>
      </c>
      <c r="O5579">
        <v>0.15901799999999999</v>
      </c>
      <c r="P5579">
        <v>0.81090839999999997</v>
      </c>
      <c r="Q5579">
        <v>0.40789239999999999</v>
      </c>
      <c r="R5579">
        <v>0.41958479999999998</v>
      </c>
      <c r="S5579">
        <v>2.8376160000000001</v>
      </c>
      <c r="T5579">
        <v>-0.3699037</v>
      </c>
      <c r="U5579">
        <v>2.031342</v>
      </c>
      <c r="V5579">
        <v>-0.29036869999999998</v>
      </c>
      <c r="W5579">
        <v>0.41519070000000002</v>
      </c>
      <c r="X5579">
        <v>0.86215010000000003</v>
      </c>
      <c r="Y5579">
        <v>-0.44332450000000001</v>
      </c>
      <c r="Z5579">
        <v>1.246773E-2</v>
      </c>
      <c r="AA5579">
        <v>0.89627440000000003</v>
      </c>
      <c r="AB5579">
        <v>29</v>
      </c>
      <c r="AC5579">
        <v>0.62549999999998795</v>
      </c>
      <c r="AD5579">
        <v>-0.102601999999999</v>
      </c>
      <c r="AE5579">
        <v>0.53374000000000799</v>
      </c>
      <c r="AF5579">
        <v>-0.42092029623543398</v>
      </c>
      <c r="AG5579">
        <v>-0.102601999999999</v>
      </c>
      <c r="AH5579">
        <v>0.69165172243097495</v>
      </c>
      <c r="AI5579">
        <v>97.222123159260903</v>
      </c>
      <c r="AJ5579">
        <v>121.323548804974</v>
      </c>
      <c r="AK5579">
        <v>0.81613918624745596</v>
      </c>
      <c r="AL5579">
        <v>65.468674888906406</v>
      </c>
      <c r="AM5579">
        <v>108.613319218689</v>
      </c>
      <c r="AN5579">
        <v>1.0000000471180901</v>
      </c>
    </row>
    <row r="5580" spans="1:40" x14ac:dyDescent="0.25">
      <c r="A5580" t="str">
        <f>"20190304164755931"</f>
        <v>20190304164755931</v>
      </c>
      <c r="B5580" t="str">
        <f>"1551689275924993"</f>
        <v>1551689275924993</v>
      </c>
      <c r="C5580" t="s">
        <v>40</v>
      </c>
      <c r="D5580">
        <v>4.5265050000000002</v>
      </c>
      <c r="E5580">
        <v>0.43502689999999999</v>
      </c>
      <c r="F5580" t="s">
        <v>41</v>
      </c>
      <c r="G5580">
        <v>-212.2122</v>
      </c>
      <c r="H5580">
        <v>1.007957</v>
      </c>
      <c r="I5580">
        <v>-61.01538</v>
      </c>
      <c r="J5580">
        <v>-212.88200000000001</v>
      </c>
      <c r="K5580">
        <v>1.1161239999999999</v>
      </c>
      <c r="L5580">
        <v>-61.579560000000001</v>
      </c>
      <c r="M5580">
        <v>0.98662340000000004</v>
      </c>
      <c r="N5580">
        <v>-1.249801E-2</v>
      </c>
      <c r="O5580">
        <v>0.16253689999999901</v>
      </c>
      <c r="P5580">
        <v>0.80902459999999998</v>
      </c>
      <c r="Q5580">
        <v>0.40798000000000001</v>
      </c>
      <c r="R5580">
        <v>0.42312129999999998</v>
      </c>
      <c r="S5580">
        <v>2.8297270000000001</v>
      </c>
      <c r="T5580">
        <v>-0.3732761</v>
      </c>
      <c r="U5580">
        <v>2.0439759999999998</v>
      </c>
      <c r="V5580">
        <v>-0.29119620000000002</v>
      </c>
      <c r="W5580">
        <v>0.41517939999999998</v>
      </c>
      <c r="X5580">
        <v>0.86187639999999999</v>
      </c>
      <c r="Y5580">
        <v>-0.44392599999999999</v>
      </c>
      <c r="Z5580">
        <v>1.222902E-2</v>
      </c>
      <c r="AA5580">
        <v>0.895979999999999</v>
      </c>
      <c r="AB5580">
        <v>29</v>
      </c>
      <c r="AC5580">
        <v>0.66980000000000905</v>
      </c>
      <c r="AD5580">
        <v>-0.108166999999999</v>
      </c>
      <c r="AE5580">
        <v>0.56417999999999302</v>
      </c>
      <c r="AF5580">
        <v>-0.44107202991297401</v>
      </c>
      <c r="AG5580">
        <v>-0.108166999999999</v>
      </c>
      <c r="AH5580">
        <v>0.74129020618167496</v>
      </c>
      <c r="AI5580">
        <v>97.147491746985494</v>
      </c>
      <c r="AJ5580">
        <v>120.752894275041</v>
      </c>
      <c r="AK5580">
        <v>0.86934216810265297</v>
      </c>
      <c r="AL5580">
        <v>65.469386513665995</v>
      </c>
      <c r="AM5580">
        <v>108.66821147461999</v>
      </c>
      <c r="AN5580">
        <v>1.0000000449778701</v>
      </c>
    </row>
    <row r="5581" spans="1:40" x14ac:dyDescent="0.25">
      <c r="A5581" t="str">
        <f>"20190304164755943"</f>
        <v>20190304164755943</v>
      </c>
      <c r="B5581" t="str">
        <f>"1551689275935302"</f>
        <v>1551689275935302</v>
      </c>
      <c r="C5581" t="s">
        <v>40</v>
      </c>
      <c r="D5581">
        <v>4.5155029999999998</v>
      </c>
      <c r="E5581">
        <v>0.43514599999999998</v>
      </c>
      <c r="F5581" t="s">
        <v>53</v>
      </c>
      <c r="G5581">
        <v>-204.4288</v>
      </c>
      <c r="H5581" s="1">
        <v>-4.5481109999999998E-6</v>
      </c>
      <c r="I5581">
        <v>-55.413609999999998</v>
      </c>
      <c r="J5581">
        <v>-212.74539999999999</v>
      </c>
      <c r="K5581">
        <v>1.1162339999999999</v>
      </c>
      <c r="L5581">
        <v>-61.55368</v>
      </c>
      <c r="M5581">
        <v>0.98606959999999999</v>
      </c>
      <c r="N5581">
        <v>-1.2499659999999999E-2</v>
      </c>
      <c r="O5581">
        <v>0.16586300000000001</v>
      </c>
      <c r="P5581">
        <v>0.80734499999999998</v>
      </c>
      <c r="Q5581">
        <v>0.40787800000000002</v>
      </c>
      <c r="R5581">
        <v>0.42641469999999998</v>
      </c>
      <c r="S5581">
        <v>2.8200989999999999</v>
      </c>
      <c r="T5581">
        <v>-0.37235489999999999</v>
      </c>
      <c r="U5581">
        <v>2.0570369999999998</v>
      </c>
      <c r="V5581">
        <v>-0.29190890000000003</v>
      </c>
      <c r="W5581">
        <v>0.41499029999999998</v>
      </c>
      <c r="X5581">
        <v>0.86172629999999995</v>
      </c>
      <c r="Y5581">
        <v>-0.44508560000000003</v>
      </c>
      <c r="Z5581">
        <v>1.196414E-2</v>
      </c>
      <c r="AA5581">
        <v>0.89540810000000004</v>
      </c>
      <c r="AB5581">
        <v>29</v>
      </c>
      <c r="AC5581">
        <v>8.3165999999999904</v>
      </c>
      <c r="AD5581">
        <v>-1.116238548111</v>
      </c>
      <c r="AE5581">
        <v>6.1400699999999997</v>
      </c>
      <c r="AF5581">
        <v>-4.62160060674743</v>
      </c>
      <c r="AG5581">
        <v>-1.116238548111</v>
      </c>
      <c r="AH5581">
        <v>9.1136184013755095</v>
      </c>
      <c r="AI5581">
        <v>96.234117440375996</v>
      </c>
      <c r="AJ5581">
        <v>116.889989750534</v>
      </c>
      <c r="AK5581">
        <v>10.2792616967595</v>
      </c>
      <c r="AL5581">
        <v>65.481293992679696</v>
      </c>
      <c r="AM5581">
        <v>108.71375765869701</v>
      </c>
      <c r="AN5581">
        <v>0.99999998555249503</v>
      </c>
    </row>
    <row r="5582" spans="1:40" x14ac:dyDescent="0.25">
      <c r="A5582" t="str">
        <f>"20190304164755952"</f>
        <v>20190304164755952</v>
      </c>
      <c r="B5582" t="str">
        <f>"1551689275945045"</f>
        <v>1551689275945045</v>
      </c>
      <c r="C5582" t="s">
        <v>40</v>
      </c>
      <c r="D5582">
        <v>4.5144529999999996</v>
      </c>
      <c r="E5582">
        <v>0.43523889999999998</v>
      </c>
      <c r="F5582" t="s">
        <v>41</v>
      </c>
      <c r="G5582">
        <v>-211.9571</v>
      </c>
      <c r="H5582">
        <v>1.0112159999999999</v>
      </c>
      <c r="I5582">
        <v>-60.97419</v>
      </c>
      <c r="J5582">
        <v>-212.6087</v>
      </c>
      <c r="K5582">
        <v>1.1163430000000001</v>
      </c>
      <c r="L5582">
        <v>-61.527589999999996</v>
      </c>
      <c r="M5582">
        <v>0.98549989999999998</v>
      </c>
      <c r="N5582">
        <v>-1.250078E-2</v>
      </c>
      <c r="O5582">
        <v>0.16921510000000001</v>
      </c>
      <c r="P5582">
        <v>0.80549399999999904</v>
      </c>
      <c r="Q5582">
        <v>0.40773379999999998</v>
      </c>
      <c r="R5582">
        <v>0.43003789999999997</v>
      </c>
      <c r="S5582">
        <v>2.8130799999999998</v>
      </c>
      <c r="T5582">
        <v>-0.374747</v>
      </c>
      <c r="U5582">
        <v>2.06778</v>
      </c>
      <c r="V5582">
        <v>-0.29295349999999998</v>
      </c>
      <c r="W5582">
        <v>0.41475250000000002</v>
      </c>
      <c r="X5582">
        <v>0.86148630000000004</v>
      </c>
      <c r="Y5582">
        <v>-0.44531939999999998</v>
      </c>
      <c r="Z5582">
        <v>1.1691E-2</v>
      </c>
      <c r="AA5582">
        <v>0.89529539999999996</v>
      </c>
      <c r="AB5582">
        <v>29</v>
      </c>
      <c r="AC5582">
        <v>0.65160000000000196</v>
      </c>
      <c r="AD5582">
        <v>-0.105127</v>
      </c>
      <c r="AE5582">
        <v>0.553400000000003</v>
      </c>
      <c r="AF5582">
        <v>-0.42866676513084201</v>
      </c>
      <c r="AG5582">
        <v>-0.105127</v>
      </c>
      <c r="AH5582">
        <v>0.72489102785193305</v>
      </c>
      <c r="AI5582">
        <v>97.115492860985199</v>
      </c>
      <c r="AJ5582">
        <v>120.598091298803</v>
      </c>
      <c r="AK5582">
        <v>0.84868950972483004</v>
      </c>
      <c r="AL5582">
        <v>65.496269252123199</v>
      </c>
      <c r="AM5582">
        <v>108.78090418015</v>
      </c>
      <c r="AN5582">
        <v>1.0000000172530901</v>
      </c>
    </row>
    <row r="5583" spans="1:40" x14ac:dyDescent="0.25">
      <c r="A5583" t="str">
        <f>"20190304164755963"</f>
        <v>20190304164755963</v>
      </c>
      <c r="B5583" t="str">
        <f>"1551689275954805"</f>
        <v>1551689275954805</v>
      </c>
      <c r="C5583" t="s">
        <v>40</v>
      </c>
      <c r="D5583">
        <v>4.5086490000000001</v>
      </c>
      <c r="E5583">
        <v>0.4352975</v>
      </c>
      <c r="F5583" t="s">
        <v>53</v>
      </c>
      <c r="G5583">
        <v>-204.3082</v>
      </c>
      <c r="H5583" s="1">
        <v>-4.6177419999999997E-6</v>
      </c>
      <c r="I5583">
        <v>-55.376710000000003</v>
      </c>
      <c r="J5583">
        <v>-212.47929999999999</v>
      </c>
      <c r="K5583">
        <v>1.1164480000000001</v>
      </c>
      <c r="L5583">
        <v>-61.501950000000001</v>
      </c>
      <c r="M5583">
        <v>0.98492849999999998</v>
      </c>
      <c r="N5583">
        <v>-1.250151E-2</v>
      </c>
      <c r="O5583">
        <v>0.17250940000000001</v>
      </c>
      <c r="P5583">
        <v>0.80384619999999996</v>
      </c>
      <c r="Q5583">
        <v>0.4076863</v>
      </c>
      <c r="R5583">
        <v>0.43315490000000001</v>
      </c>
      <c r="S5583">
        <v>2.8054960000000002</v>
      </c>
      <c r="T5583">
        <v>-0.37731700000000001</v>
      </c>
      <c r="U5583">
        <v>2.0789490000000002</v>
      </c>
      <c r="V5583">
        <v>-0.29351389999999999</v>
      </c>
      <c r="W5583">
        <v>0.41462369999999998</v>
      </c>
      <c r="X5583">
        <v>0.86135759999999995</v>
      </c>
      <c r="Y5583">
        <v>-0.44577349999999999</v>
      </c>
      <c r="Z5583">
        <v>1.143738E-2</v>
      </c>
      <c r="AA5583">
        <v>0.8950728</v>
      </c>
      <c r="AB5583">
        <v>29</v>
      </c>
      <c r="AC5583">
        <v>8.1710999999999903</v>
      </c>
      <c r="AD5583">
        <v>-1.11645261774199</v>
      </c>
      <c r="AE5583">
        <v>6.1252399999999998</v>
      </c>
      <c r="AF5583">
        <v>-4.5690816567850696</v>
      </c>
      <c r="AG5583">
        <v>-1.11645261774199</v>
      </c>
      <c r="AH5583">
        <v>8.9977771350894198</v>
      </c>
      <c r="AI5583">
        <v>96.313186503595702</v>
      </c>
      <c r="AJ5583">
        <v>116.921513021903</v>
      </c>
      <c r="AK5583">
        <v>10.1529782333446</v>
      </c>
      <c r="AL5583">
        <v>65.504380472816393</v>
      </c>
      <c r="AM5583">
        <v>108.816918784035</v>
      </c>
      <c r="AN5583">
        <v>1.00000006858632</v>
      </c>
    </row>
    <row r="5584" spans="1:40" x14ac:dyDescent="0.25">
      <c r="A5584" t="str">
        <f>"20190304164755974"</f>
        <v>20190304164755974</v>
      </c>
      <c r="B5584" t="str">
        <f>"1551689275964566"</f>
        <v>1551689275964566</v>
      </c>
      <c r="C5584" t="s">
        <v>40</v>
      </c>
      <c r="D5584">
        <v>4.5256129999999999</v>
      </c>
      <c r="E5584">
        <v>0.4355077</v>
      </c>
      <c r="F5584" t="s">
        <v>41</v>
      </c>
      <c r="G5584">
        <v>-211.70519999999999</v>
      </c>
      <c r="H5584">
        <v>1.011455</v>
      </c>
      <c r="I5584">
        <v>-60.924280000000003</v>
      </c>
      <c r="J5584">
        <v>-212.3467</v>
      </c>
      <c r="K5584">
        <v>1.1165529999999999</v>
      </c>
      <c r="L5584">
        <v>-61.475589999999997</v>
      </c>
      <c r="M5584">
        <v>0.98433020000000004</v>
      </c>
      <c r="N5584">
        <v>-1.2501419999999999E-2</v>
      </c>
      <c r="O5584">
        <v>0.17589199999999999</v>
      </c>
      <c r="P5584">
        <v>0.80209649999999999</v>
      </c>
      <c r="Q5584">
        <v>0.40733200000000003</v>
      </c>
      <c r="R5584">
        <v>0.43671729999999997</v>
      </c>
      <c r="S5584">
        <v>2.7987669999999998</v>
      </c>
      <c r="T5584">
        <v>-0.37963429999999998</v>
      </c>
      <c r="U5584">
        <v>2.089264</v>
      </c>
      <c r="V5584">
        <v>-0.29445349999999998</v>
      </c>
      <c r="W5584">
        <v>0.41417969999999998</v>
      </c>
      <c r="X5584">
        <v>0.86125049999999903</v>
      </c>
      <c r="Y5584">
        <v>-0.44584410000000002</v>
      </c>
      <c r="Z5584">
        <v>1.113828E-2</v>
      </c>
      <c r="AA5584">
        <v>0.89504130000000004</v>
      </c>
      <c r="AB5584">
        <v>29</v>
      </c>
      <c r="AC5584">
        <v>0.64150000000000695</v>
      </c>
      <c r="AD5584">
        <v>-0.105098</v>
      </c>
      <c r="AE5584">
        <v>0.55130999999999997</v>
      </c>
      <c r="AF5584">
        <v>-0.42333433072019</v>
      </c>
      <c r="AG5584">
        <v>-0.105098</v>
      </c>
      <c r="AH5584">
        <v>0.71740022089585398</v>
      </c>
      <c r="AI5584">
        <v>97.190974167202995</v>
      </c>
      <c r="AJ5584">
        <v>120.544645095752</v>
      </c>
      <c r="AK5584">
        <v>0.83959551101213703</v>
      </c>
      <c r="AL5584">
        <v>65.532332547352098</v>
      </c>
      <c r="AM5584">
        <v>108.875078962118</v>
      </c>
      <c r="AN5584">
        <v>1.0000000556522901</v>
      </c>
    </row>
    <row r="5585" spans="1:40" x14ac:dyDescent="0.25">
      <c r="A5585" t="str">
        <f>"20190304164755984"</f>
        <v>20190304164755984</v>
      </c>
      <c r="B5585" t="str">
        <f>"1551689275975302"</f>
        <v>1551689275975302</v>
      </c>
      <c r="C5585" t="s">
        <v>40</v>
      </c>
      <c r="D5585">
        <v>4.540648</v>
      </c>
      <c r="E5585">
        <v>0.43558809999999898</v>
      </c>
      <c r="F5585" t="s">
        <v>41</v>
      </c>
      <c r="G5585">
        <v>-211.47579999999999</v>
      </c>
      <c r="H5585">
        <v>0.99729429999999997</v>
      </c>
      <c r="I5585">
        <v>-60.820079999999997</v>
      </c>
      <c r="J5585">
        <v>-212.21440000000001</v>
      </c>
      <c r="K5585">
        <v>1.1166480000000001</v>
      </c>
      <c r="L5585">
        <v>-61.448329999999999</v>
      </c>
      <c r="M5585">
        <v>0.98369810000000002</v>
      </c>
      <c r="N5585">
        <v>-1.2502020000000001E-2</v>
      </c>
      <c r="O5585">
        <v>0.17939340000000001</v>
      </c>
      <c r="P5585">
        <v>0.800423</v>
      </c>
      <c r="Q5585">
        <v>0.40721669999999999</v>
      </c>
      <c r="R5585">
        <v>0.43988389999999999</v>
      </c>
      <c r="S5585">
        <v>2.7907709999999999</v>
      </c>
      <c r="T5585">
        <v>-0.38212750000000001</v>
      </c>
      <c r="U5585">
        <v>2.1001889999999999</v>
      </c>
      <c r="V5585">
        <v>-0.29489120000000002</v>
      </c>
      <c r="W5585">
        <v>0.41398259999999998</v>
      </c>
      <c r="X5585">
        <v>0.86119539999999895</v>
      </c>
      <c r="Y5585">
        <v>-0.44612030000000003</v>
      </c>
      <c r="Z5585">
        <v>1.084067E-2</v>
      </c>
      <c r="AA5585">
        <v>0.89490740000000002</v>
      </c>
      <c r="AB5585">
        <v>29</v>
      </c>
      <c r="AC5585">
        <v>0.73860000000001902</v>
      </c>
      <c r="AD5585">
        <v>-0.11935369999999899</v>
      </c>
      <c r="AE5585">
        <v>0.62825000000000097</v>
      </c>
      <c r="AF5585">
        <v>-0.47829958212801299</v>
      </c>
      <c r="AG5585">
        <v>-0.11935369999999899</v>
      </c>
      <c r="AH5585">
        <v>0.82680201494518601</v>
      </c>
      <c r="AI5585">
        <v>97.122416966066993</v>
      </c>
      <c r="AJ5585">
        <v>120.049101922853</v>
      </c>
      <c r="AK5585">
        <v>0.962609665381011</v>
      </c>
      <c r="AL5585">
        <v>65.544736799806003</v>
      </c>
      <c r="AM5585">
        <v>108.902269476749</v>
      </c>
      <c r="AN5585">
        <v>0.999999964960679</v>
      </c>
    </row>
    <row r="5586" spans="1:40" x14ac:dyDescent="0.25">
      <c r="A5586" t="str">
        <f>"20190304164755993"</f>
        <v>20190304164755993</v>
      </c>
      <c r="B5586" t="str">
        <f>"1551689275985061"</f>
        <v>1551689275985061</v>
      </c>
      <c r="C5586" t="s">
        <v>40</v>
      </c>
      <c r="D5586">
        <v>4.5484879999999999</v>
      </c>
      <c r="E5586">
        <v>0.43573390000000001</v>
      </c>
      <c r="F5586" t="s">
        <v>41</v>
      </c>
      <c r="G5586">
        <v>-211.45419999999999</v>
      </c>
      <c r="H5586">
        <v>1.0118400000000001</v>
      </c>
      <c r="I5586">
        <v>-60.871699999999997</v>
      </c>
      <c r="J5586">
        <v>-212.0992</v>
      </c>
      <c r="K5586">
        <v>1.1167370000000001</v>
      </c>
      <c r="L5586">
        <v>-61.42456</v>
      </c>
      <c r="M5586">
        <v>0.98313720000000004</v>
      </c>
      <c r="N5586">
        <v>-1.250179E-2</v>
      </c>
      <c r="O5586">
        <v>0.18244160000000001</v>
      </c>
      <c r="P5586">
        <v>0.79890319999999904</v>
      </c>
      <c r="Q5586">
        <v>0.40698139999999999</v>
      </c>
      <c r="R5586">
        <v>0.44285419999999998</v>
      </c>
      <c r="S5586">
        <v>2.7832180000000002</v>
      </c>
      <c r="T5586">
        <v>-0.38368400000000003</v>
      </c>
      <c r="U5586">
        <v>2.1107480000000001</v>
      </c>
      <c r="V5586">
        <v>-0.29549209999999998</v>
      </c>
      <c r="W5586">
        <v>0.41367229999999999</v>
      </c>
      <c r="X5586">
        <v>0.86113859999999998</v>
      </c>
      <c r="Y5586">
        <v>-0.44666830000000002</v>
      </c>
      <c r="Z5586">
        <v>1.058982E-2</v>
      </c>
      <c r="AA5586">
        <v>0.89463689999999996</v>
      </c>
      <c r="AB5586">
        <v>29</v>
      </c>
      <c r="AC5586">
        <v>0.64500000000001001</v>
      </c>
      <c r="AD5586">
        <v>-0.104897</v>
      </c>
      <c r="AE5586">
        <v>0.55286000000000202</v>
      </c>
      <c r="AF5586">
        <v>-0.41949961261908297</v>
      </c>
      <c r="AG5586">
        <v>-0.104897</v>
      </c>
      <c r="AH5586">
        <v>0.72400673749840205</v>
      </c>
      <c r="AI5586">
        <v>97.145384428439797</v>
      </c>
      <c r="AJ5586">
        <v>120.088601440383</v>
      </c>
      <c r="AK5586">
        <v>0.84330840238885396</v>
      </c>
      <c r="AL5586">
        <v>65.564267856597496</v>
      </c>
      <c r="AM5586">
        <v>108.939204547873</v>
      </c>
      <c r="AN5586">
        <v>1.0000000206798201</v>
      </c>
    </row>
    <row r="5587" spans="1:40" x14ac:dyDescent="0.25">
      <c r="A5587" t="str">
        <f>"20190304164756004"</f>
        <v>20190304164756004</v>
      </c>
      <c r="B5587" t="str">
        <f>"1551689275994822"</f>
        <v>1551689275994822</v>
      </c>
      <c r="C5587" t="s">
        <v>40</v>
      </c>
      <c r="D5587">
        <v>4.5362879999999999</v>
      </c>
      <c r="E5587">
        <v>0.43585790000000002</v>
      </c>
      <c r="F5587" t="s">
        <v>53</v>
      </c>
      <c r="G5587">
        <v>-204.05680000000001</v>
      </c>
      <c r="H5587" s="1">
        <v>-4.7667170000000003E-6</v>
      </c>
      <c r="I5587">
        <v>-55.282409999999999</v>
      </c>
      <c r="J5587">
        <v>-211.96600000000001</v>
      </c>
      <c r="K5587">
        <v>1.1168370000000001</v>
      </c>
      <c r="L5587">
        <v>-61.396059999999999</v>
      </c>
      <c r="M5587">
        <v>0.98245610000000005</v>
      </c>
      <c r="N5587">
        <v>-1.2503240000000001E-2</v>
      </c>
      <c r="O5587">
        <v>0.1860752</v>
      </c>
      <c r="P5587">
        <v>0.79710530000000002</v>
      </c>
      <c r="Q5587">
        <v>0.40683530000000001</v>
      </c>
      <c r="R5587">
        <v>0.44621549999999999</v>
      </c>
      <c r="S5587">
        <v>2.7762150000000001</v>
      </c>
      <c r="T5587">
        <v>-0.38549939999999999</v>
      </c>
      <c r="U5587">
        <v>2.1202700000000001</v>
      </c>
      <c r="V5587">
        <v>-0.29602539999999999</v>
      </c>
      <c r="W5587">
        <v>0.41344690000000001</v>
      </c>
      <c r="X5587">
        <v>0.86106369999999899</v>
      </c>
      <c r="Y5587">
        <v>-0.44639109999999999</v>
      </c>
      <c r="Z5587">
        <v>1.022152E-2</v>
      </c>
      <c r="AA5587">
        <v>0.89477960000000001</v>
      </c>
      <c r="AB5587">
        <v>29</v>
      </c>
      <c r="AC5587">
        <v>7.90919999999997</v>
      </c>
      <c r="AD5587">
        <v>-1.1168417667170001</v>
      </c>
      <c r="AE5587">
        <v>6.1136499999999998</v>
      </c>
      <c r="AF5587">
        <v>-4.4791328396559802</v>
      </c>
      <c r="AG5587">
        <v>-1.1168417667170001</v>
      </c>
      <c r="AH5587">
        <v>8.7989090571949493</v>
      </c>
      <c r="AI5587">
        <v>96.453669897722804</v>
      </c>
      <c r="AJ5587">
        <v>116.978618400838</v>
      </c>
      <c r="AK5587">
        <v>9.9363356990369205</v>
      </c>
      <c r="AL5587">
        <v>65.578452543191503</v>
      </c>
      <c r="AM5587">
        <v>108.972475902583</v>
      </c>
      <c r="AN5587">
        <v>1.00000003601122</v>
      </c>
    </row>
    <row r="5588" spans="1:40" x14ac:dyDescent="0.25">
      <c r="A5588" t="str">
        <f>"20190304164756016"</f>
        <v>20190304164756016</v>
      </c>
      <c r="B5588" t="str">
        <f>"1551689276004582"</f>
        <v>1551689276004582</v>
      </c>
      <c r="C5588" t="s">
        <v>40</v>
      </c>
      <c r="D5588">
        <v>4.5381790000000004</v>
      </c>
      <c r="E5588">
        <v>0.43597380000000002</v>
      </c>
      <c r="F5588" t="s">
        <v>41</v>
      </c>
      <c r="G5588">
        <v>-211.2062</v>
      </c>
      <c r="H5588">
        <v>1.0107159999999999</v>
      </c>
      <c r="I5588">
        <v>-60.811250000000001</v>
      </c>
      <c r="J5588">
        <v>-211.82550000000001</v>
      </c>
      <c r="K5588">
        <v>1.1169420000000001</v>
      </c>
      <c r="L5588">
        <v>-61.365810000000003</v>
      </c>
      <c r="M5588">
        <v>0.98171850000000005</v>
      </c>
      <c r="N5588">
        <v>-1.250385E-2</v>
      </c>
      <c r="O5588">
        <v>0.18992709999999999</v>
      </c>
      <c r="P5588">
        <v>0.79520840000000004</v>
      </c>
      <c r="Q5588">
        <v>0.40682239999999997</v>
      </c>
      <c r="R5588">
        <v>0.44959880000000002</v>
      </c>
      <c r="S5588">
        <v>2.7680359999999999</v>
      </c>
      <c r="T5588">
        <v>-0.38662089999999999</v>
      </c>
      <c r="U5588">
        <v>2.1309809999999998</v>
      </c>
      <c r="V5588">
        <v>-0.2964155</v>
      </c>
      <c r="W5588">
        <v>0.41335230000000001</v>
      </c>
      <c r="X5588">
        <v>0.86097489999999999</v>
      </c>
      <c r="Y5588">
        <v>-0.4463434</v>
      </c>
      <c r="Z5588">
        <v>9.8342329999999995E-3</v>
      </c>
      <c r="AA5588">
        <v>0.89480780000000004</v>
      </c>
      <c r="AB5588">
        <v>29</v>
      </c>
      <c r="AC5588">
        <v>0.61930000000000895</v>
      </c>
      <c r="AD5588">
        <v>-0.106226</v>
      </c>
      <c r="AE5588">
        <v>0.55455999999999495</v>
      </c>
      <c r="AF5588">
        <v>-0.41997587797083102</v>
      </c>
      <c r="AG5588">
        <v>-0.106226</v>
      </c>
      <c r="AH5588">
        <v>0.70189925854122803</v>
      </c>
      <c r="AI5588">
        <v>97.399506413896006</v>
      </c>
      <c r="AJ5588">
        <v>120.893859456887</v>
      </c>
      <c r="AK5588">
        <v>0.82481893182328003</v>
      </c>
      <c r="AL5588">
        <v>65.584404916089596</v>
      </c>
      <c r="AM5588">
        <v>108.997505240395</v>
      </c>
      <c r="AN5588">
        <v>1.0000000254927699</v>
      </c>
    </row>
    <row r="5589" spans="1:40" x14ac:dyDescent="0.25">
      <c r="A5589" t="str">
        <f>"20190304164756041"</f>
        <v>20190304164756041</v>
      </c>
      <c r="B5589" t="str">
        <f>"1551689276025077"</f>
        <v>1551689276025077</v>
      </c>
      <c r="C5589" t="s">
        <v>40</v>
      </c>
      <c r="D5589">
        <v>4.5302519999999999</v>
      </c>
      <c r="E5589">
        <v>0.43635689999999999</v>
      </c>
      <c r="F5589" t="s">
        <v>41</v>
      </c>
      <c r="G5589">
        <v>-210.9769</v>
      </c>
      <c r="H5589">
        <v>0.99761100000000003</v>
      </c>
      <c r="I5589">
        <v>-60.707479999999997</v>
      </c>
      <c r="J5589">
        <v>-211.68549999999999</v>
      </c>
      <c r="K5589">
        <v>1.117043</v>
      </c>
      <c r="L5589">
        <v>-61.33466</v>
      </c>
      <c r="M5589">
        <v>0.98094760000000003</v>
      </c>
      <c r="N5589">
        <v>-1.250354E-2</v>
      </c>
      <c r="O5589">
        <v>0.19386990000000001</v>
      </c>
      <c r="P5589">
        <v>0.79318089999999997</v>
      </c>
      <c r="Q5589">
        <v>0.40689259999999999</v>
      </c>
      <c r="R5589">
        <v>0.45310319999999998</v>
      </c>
      <c r="S5589">
        <v>2.7603300000000002</v>
      </c>
      <c r="T5589">
        <v>-0.38815860000000002</v>
      </c>
      <c r="U5589">
        <v>2.1416019999999998</v>
      </c>
      <c r="V5589">
        <v>-0.29686970000000001</v>
      </c>
      <c r="W5589">
        <v>0.41334019999999999</v>
      </c>
      <c r="X5589">
        <v>0.86082420000000004</v>
      </c>
      <c r="Y5589">
        <v>-0.44611580000000001</v>
      </c>
      <c r="Z5589">
        <v>9.4252180000000008E-3</v>
      </c>
      <c r="AA5589">
        <v>0.89492559999999999</v>
      </c>
      <c r="AB5589">
        <v>29</v>
      </c>
      <c r="AC5589">
        <v>0.70859999999998902</v>
      </c>
      <c r="AD5589">
        <v>-0.119431999999999</v>
      </c>
      <c r="AE5589">
        <v>0.62717999999999496</v>
      </c>
      <c r="AF5589">
        <v>-0.4703988200516</v>
      </c>
      <c r="AG5589">
        <v>-0.119431999999999</v>
      </c>
      <c r="AH5589">
        <v>0.80394844407108301</v>
      </c>
      <c r="AI5589">
        <v>97.306649781860997</v>
      </c>
      <c r="AJ5589">
        <v>120.332358467113</v>
      </c>
      <c r="AK5589">
        <v>0.93908048284172796</v>
      </c>
      <c r="AL5589">
        <v>65.585166177272995</v>
      </c>
      <c r="AM5589">
        <v>109.02761479290299</v>
      </c>
      <c r="AN5589">
        <v>1.0000000215098801</v>
      </c>
    </row>
    <row r="5590" spans="1:40" x14ac:dyDescent="0.25">
      <c r="A5590" t="str">
        <f>"20190304164756055"</f>
        <v>20190304164756055</v>
      </c>
      <c r="B5590" t="str">
        <f>"1551689276044597"</f>
        <v>1551689276044597</v>
      </c>
      <c r="C5590" t="s">
        <v>40</v>
      </c>
      <c r="D5590">
        <v>4.5500030000000002</v>
      </c>
      <c r="E5590">
        <v>0.4364963</v>
      </c>
      <c r="F5590" t="s">
        <v>41</v>
      </c>
      <c r="G5590">
        <v>-210.9357</v>
      </c>
      <c r="H5590">
        <v>1.0105440000000001</v>
      </c>
      <c r="I5590">
        <v>-60.748980000000003</v>
      </c>
      <c r="J5590">
        <v>-211.33869999999999</v>
      </c>
      <c r="K5590">
        <v>1.1170549999999999</v>
      </c>
      <c r="L5590">
        <v>-61.255679999999998</v>
      </c>
      <c r="M5590">
        <v>0.97872539999999997</v>
      </c>
      <c r="N5590">
        <v>-1.203328E-2</v>
      </c>
      <c r="O5590">
        <v>0.20482139999999999</v>
      </c>
      <c r="P5590">
        <v>0.78766119999999995</v>
      </c>
      <c r="Q5590">
        <v>0.40731650000000003</v>
      </c>
      <c r="R5590">
        <v>0.46225880000000003</v>
      </c>
      <c r="S5590">
        <v>2.754013</v>
      </c>
      <c r="T5590">
        <v>-0.3911288</v>
      </c>
      <c r="U5590">
        <v>2.1512150000000001</v>
      </c>
      <c r="V5590">
        <v>-0.2974154</v>
      </c>
      <c r="W5590">
        <v>0.41324159999999999</v>
      </c>
      <c r="X5590">
        <v>0.86068310000000003</v>
      </c>
      <c r="Y5590">
        <v>-0.4391428</v>
      </c>
      <c r="Z5590">
        <v>7.6028429999999998E-3</v>
      </c>
      <c r="AA5590">
        <v>0.89838510000000005</v>
      </c>
      <c r="AB5590">
        <v>29</v>
      </c>
      <c r="AC5590">
        <v>0.40299999999999098</v>
      </c>
      <c r="AD5590">
        <v>-0.106510999999999</v>
      </c>
      <c r="AE5590">
        <v>0.50670000000000204</v>
      </c>
      <c r="AF5590">
        <v>-0.40251286852801599</v>
      </c>
      <c r="AG5590">
        <v>-0.106510999999999</v>
      </c>
      <c r="AH5590">
        <v>0.485115534816352</v>
      </c>
      <c r="AI5590">
        <v>99.590596875664602</v>
      </c>
      <c r="AJ5590">
        <v>129.68336921894701</v>
      </c>
      <c r="AK5590">
        <v>0.63929514668250698</v>
      </c>
      <c r="AL5590">
        <v>65.591368829672803</v>
      </c>
      <c r="AM5590">
        <v>109.06296832732799</v>
      </c>
      <c r="AN5590">
        <v>0.99999996937666402</v>
      </c>
    </row>
    <row r="5591" spans="1:40" x14ac:dyDescent="0.25">
      <c r="A5591" t="str">
        <f>"20190304164756068"</f>
        <v>20190304164756068</v>
      </c>
      <c r="B5591" t="str">
        <f>"1551689276065093"</f>
        <v>1551689276065093</v>
      </c>
      <c r="C5591" t="s">
        <v>40</v>
      </c>
      <c r="D5591">
        <v>4.6166749999999999</v>
      </c>
      <c r="E5591">
        <v>0.43809229999999999</v>
      </c>
      <c r="F5591" t="s">
        <v>53</v>
      </c>
      <c r="G5591">
        <v>-203.53460000000001</v>
      </c>
      <c r="H5591" s="1">
        <v>-5.0917330000000002E-6</v>
      </c>
      <c r="I5591">
        <v>-55.016800000000003</v>
      </c>
      <c r="J5591">
        <v>-211.16210000000001</v>
      </c>
      <c r="K5591">
        <v>1.1172230000000001</v>
      </c>
      <c r="L5591">
        <v>-61.213619999999999</v>
      </c>
      <c r="M5591">
        <v>0.97765020000000002</v>
      </c>
      <c r="N5591">
        <v>-1.2232740000000001E-2</v>
      </c>
      <c r="O5591">
        <v>0.20988200000000001</v>
      </c>
      <c r="P5591">
        <v>0.78504909999999894</v>
      </c>
      <c r="Q5591">
        <v>0.40702250000000001</v>
      </c>
      <c r="R5591">
        <v>0.46693750000000001</v>
      </c>
      <c r="S5591">
        <v>2.729965</v>
      </c>
      <c r="T5591">
        <v>-0.39076109999999997</v>
      </c>
      <c r="U5591">
        <v>2.1824340000000002</v>
      </c>
      <c r="V5591">
        <v>-0.29819909999999999</v>
      </c>
      <c r="W5591">
        <v>0.41300409999999999</v>
      </c>
      <c r="X5591">
        <v>0.86052600000000001</v>
      </c>
      <c r="Y5591">
        <v>-0.44459530000000003</v>
      </c>
      <c r="Z5591">
        <v>7.5408949999999997E-3</v>
      </c>
      <c r="AA5591">
        <v>0.89569979999999905</v>
      </c>
      <c r="AB5591">
        <v>29</v>
      </c>
      <c r="AC5591">
        <v>7.6274999999999897</v>
      </c>
      <c r="AD5591">
        <v>-1.11722809173299</v>
      </c>
      <c r="AE5591">
        <v>6.19681999999999</v>
      </c>
      <c r="AF5591">
        <v>-4.4009032780951802</v>
      </c>
      <c r="AG5591">
        <v>-1.11722809173299</v>
      </c>
      <c r="AH5591">
        <v>8.6465346950219892</v>
      </c>
      <c r="AI5591">
        <v>96.568868775849694</v>
      </c>
      <c r="AJ5591">
        <v>116.975131458249</v>
      </c>
      <c r="AK5591">
        <v>9.7662024607482607</v>
      </c>
      <c r="AL5591">
        <v>65.6063132302898</v>
      </c>
      <c r="AM5591">
        <v>109.11279663779899</v>
      </c>
      <c r="AN5591">
        <v>1.0000000432667999</v>
      </c>
    </row>
    <row r="5592" spans="1:40" x14ac:dyDescent="0.25">
      <c r="A5592" t="str">
        <f>"20190304164756082"</f>
        <v>20190304164756082</v>
      </c>
      <c r="B5592" t="str">
        <f>"1551689276074853"</f>
        <v>1551689276074853</v>
      </c>
      <c r="C5592" t="s">
        <v>40</v>
      </c>
      <c r="D5592">
        <v>4.5509029999999999</v>
      </c>
      <c r="E5592">
        <v>0.43809229999999999</v>
      </c>
      <c r="F5592" t="s">
        <v>41</v>
      </c>
      <c r="G5592">
        <v>-210.40110000000001</v>
      </c>
      <c r="H5592">
        <v>1.007682</v>
      </c>
      <c r="I5592">
        <v>-60.60284</v>
      </c>
      <c r="J5592">
        <v>-210.97989999999999</v>
      </c>
      <c r="K5592">
        <v>1.1174219999999999</v>
      </c>
      <c r="L5592">
        <v>-61.169339999999998</v>
      </c>
      <c r="M5592">
        <v>0.97655579999999997</v>
      </c>
      <c r="N5592">
        <v>-1.251768E-2</v>
      </c>
      <c r="O5592">
        <v>0.2149006</v>
      </c>
      <c r="P5592">
        <v>0.78241729999999998</v>
      </c>
      <c r="Q5592">
        <v>0.40668589999999999</v>
      </c>
      <c r="R5592">
        <v>0.47162470000000001</v>
      </c>
      <c r="S5592">
        <v>2.7241819999999999</v>
      </c>
      <c r="T5592">
        <v>-0.39213170000000003</v>
      </c>
      <c r="U5592">
        <v>2.1865540000000001</v>
      </c>
      <c r="V5592">
        <v>-0.2990718</v>
      </c>
      <c r="W5592">
        <v>0.41276950000000001</v>
      </c>
      <c r="X5592">
        <v>0.86033559999999998</v>
      </c>
      <c r="Y5592">
        <v>-0.44176460000000001</v>
      </c>
      <c r="Z5592">
        <v>6.9413390000000004E-3</v>
      </c>
      <c r="AA5592">
        <v>0.89710409999999996</v>
      </c>
      <c r="AB5592">
        <v>29</v>
      </c>
      <c r="AC5592">
        <v>0.578799999999972</v>
      </c>
      <c r="AD5592">
        <v>-0.10973999999999901</v>
      </c>
      <c r="AE5592">
        <v>0.566500000000004</v>
      </c>
      <c r="AF5592">
        <v>-0.421135922993013</v>
      </c>
      <c r="AG5592">
        <v>-0.10973999999999901</v>
      </c>
      <c r="AH5592">
        <v>0.67463911451285596</v>
      </c>
      <c r="AI5592">
        <v>97.856438276824207</v>
      </c>
      <c r="AJ5592">
        <v>121.974010643151</v>
      </c>
      <c r="AK5592">
        <v>0.80283016140767105</v>
      </c>
      <c r="AL5592">
        <v>65.621069698958493</v>
      </c>
      <c r="AM5592">
        <v>109.168589011397</v>
      </c>
      <c r="AN5592">
        <v>0.99999997315642397</v>
      </c>
    </row>
    <row r="5593" spans="1:40" x14ac:dyDescent="0.25">
      <c r="A5593" t="str">
        <f>"20190304164756093"</f>
        <v>20190304164756093</v>
      </c>
      <c r="B5593" t="str">
        <f>"1551689276084614"</f>
        <v>1551689276084614</v>
      </c>
      <c r="C5593" t="s">
        <v>40</v>
      </c>
      <c r="D5593">
        <v>4.5616599999999998</v>
      </c>
      <c r="E5593">
        <v>0.46211229999999998</v>
      </c>
      <c r="F5593" t="s">
        <v>41</v>
      </c>
      <c r="G5593">
        <v>-210.2193</v>
      </c>
      <c r="H5593">
        <v>1.0070479999999999</v>
      </c>
      <c r="I5593">
        <v>-60.551679999999998</v>
      </c>
      <c r="J5593">
        <v>-210.8441</v>
      </c>
      <c r="K5593">
        <v>1.11759599999999</v>
      </c>
      <c r="L5593">
        <v>-61.135829999999999</v>
      </c>
      <c r="M5593">
        <v>0.97574419999999995</v>
      </c>
      <c r="N5593">
        <v>-1.277062E-2</v>
      </c>
      <c r="O5593">
        <v>0.21854080000000001</v>
      </c>
      <c r="P5593">
        <v>0.78051429999999999</v>
      </c>
      <c r="Q5593">
        <v>0.40642800000000001</v>
      </c>
      <c r="R5593">
        <v>0.47498809999999902</v>
      </c>
      <c r="S5593">
        <v>2.7113800000000001</v>
      </c>
      <c r="T5593">
        <v>-0.39348450000000001</v>
      </c>
      <c r="U5593">
        <v>2.2021790000000001</v>
      </c>
      <c r="V5593">
        <v>-0.2996897</v>
      </c>
      <c r="W5593">
        <v>0.41261189999999998</v>
      </c>
      <c r="X5593">
        <v>0.86019619999999997</v>
      </c>
      <c r="Y5593">
        <v>-0.44358710000000001</v>
      </c>
      <c r="Z5593">
        <v>6.8029579999999996E-3</v>
      </c>
      <c r="AA5593">
        <v>0.89620549999999999</v>
      </c>
      <c r="AB5593">
        <v>29</v>
      </c>
      <c r="AC5593">
        <v>0.62479999999999303</v>
      </c>
      <c r="AD5593">
        <v>-0.11054799999999899</v>
      </c>
      <c r="AE5593">
        <v>0.58415000000000095</v>
      </c>
      <c r="AF5593">
        <v>-0.42635023194520799</v>
      </c>
      <c r="AG5593">
        <v>-0.11054799999999899</v>
      </c>
      <c r="AH5593">
        <v>0.725251044925734</v>
      </c>
      <c r="AI5593">
        <v>97.485973467195393</v>
      </c>
      <c r="AJ5593">
        <v>120.449811044641</v>
      </c>
      <c r="AK5593">
        <v>0.84851897960481804</v>
      </c>
      <c r="AL5593">
        <v>65.630983762933894</v>
      </c>
      <c r="AM5593">
        <v>109.20817892785099</v>
      </c>
      <c r="AN5593">
        <v>0.99999999940106998</v>
      </c>
    </row>
    <row r="5594" spans="1:40" x14ac:dyDescent="0.25">
      <c r="A5594" t="str">
        <f>"20190304164756105"</f>
        <v>20190304164756105</v>
      </c>
      <c r="B5594" t="str">
        <f>"1551689276095350"</f>
        <v>1551689276095350</v>
      </c>
      <c r="C5594" t="s">
        <v>40</v>
      </c>
      <c r="D5594">
        <v>4.5619880000000004</v>
      </c>
      <c r="E5594">
        <v>0.46285219999999999</v>
      </c>
      <c r="F5594" t="s">
        <v>53</v>
      </c>
      <c r="G5594">
        <v>-202.26230000000001</v>
      </c>
      <c r="H5594" s="1">
        <v>-5.7163029999999997E-6</v>
      </c>
      <c r="I5594">
        <v>-54.850520000000003</v>
      </c>
      <c r="J5594">
        <v>-210.7064</v>
      </c>
      <c r="K5594">
        <v>1.1177269999999999</v>
      </c>
      <c r="L5594">
        <v>-61.1006199999999</v>
      </c>
      <c r="M5594">
        <v>0.97487120000000005</v>
      </c>
      <c r="N5594">
        <v>-1.2875289999999999E-2</v>
      </c>
      <c r="O5594">
        <v>0.2223967</v>
      </c>
      <c r="P5594">
        <v>0.7783679</v>
      </c>
      <c r="Q5594">
        <v>0.40662959999999998</v>
      </c>
      <c r="R5594">
        <v>0.47832590000000003</v>
      </c>
      <c r="S5594">
        <v>2.78952</v>
      </c>
      <c r="T5594">
        <v>-0.3632745</v>
      </c>
      <c r="U5594">
        <v>2.0430299999999999</v>
      </c>
      <c r="V5594">
        <v>-0.30015989999999998</v>
      </c>
      <c r="W5594">
        <v>0.4127808</v>
      </c>
      <c r="X5594">
        <v>0.85995119999999903</v>
      </c>
      <c r="Y5594">
        <v>-0.39517960000000002</v>
      </c>
      <c r="Z5594">
        <v>3.18856E-3</v>
      </c>
      <c r="AA5594">
        <v>0.91859840000000004</v>
      </c>
      <c r="AB5594">
        <v>29</v>
      </c>
      <c r="AC5594">
        <v>8.4440999999999899</v>
      </c>
      <c r="AD5594">
        <v>-1.117732716303</v>
      </c>
      <c r="AE5594">
        <v>6.25009999999999</v>
      </c>
      <c r="AF5594">
        <v>-4.1682681766399599</v>
      </c>
      <c r="AG5594">
        <v>-1.117732716303</v>
      </c>
      <c r="AH5594">
        <v>9.5150016979056495</v>
      </c>
      <c r="AI5594">
        <v>96.141333062179598</v>
      </c>
      <c r="AJ5594">
        <v>113.65694234499</v>
      </c>
      <c r="AK5594">
        <v>10.4479205265273</v>
      </c>
      <c r="AL5594">
        <v>65.620359841556294</v>
      </c>
      <c r="AM5594">
        <v>109.241180715665</v>
      </c>
      <c r="AN5594">
        <v>1.0000000103990401</v>
      </c>
    </row>
    <row r="5595" spans="1:40" x14ac:dyDescent="0.25">
      <c r="A5595" t="str">
        <f>"20190304164756116"</f>
        <v>20190304164756116</v>
      </c>
      <c r="B5595" t="str">
        <f>"1551689276105110"</f>
        <v>1551689276105110</v>
      </c>
      <c r="C5595" t="s">
        <v>40</v>
      </c>
      <c r="D5595">
        <v>4.5782550000000004</v>
      </c>
      <c r="E5595">
        <v>0.46331660000000002</v>
      </c>
      <c r="F5595" t="s">
        <v>53</v>
      </c>
      <c r="G5595">
        <v>-202.07470000000001</v>
      </c>
      <c r="H5595" s="1">
        <v>-5.8041909999999998E-6</v>
      </c>
      <c r="I5595">
        <v>-54.74241</v>
      </c>
      <c r="J5595">
        <v>-210.5641</v>
      </c>
      <c r="K5595">
        <v>1.1178549999999901</v>
      </c>
      <c r="L5595">
        <v>-61.064030000000002</v>
      </c>
      <c r="M5595">
        <v>0.97394159999999996</v>
      </c>
      <c r="N5595">
        <v>-1.2953599999999999E-2</v>
      </c>
      <c r="O5595">
        <v>0.22642889999999999</v>
      </c>
      <c r="P5595">
        <v>0.77611379999999996</v>
      </c>
      <c r="Q5595">
        <v>0.40667330000000002</v>
      </c>
      <c r="R5595">
        <v>0.48193789999999997</v>
      </c>
      <c r="S5595">
        <v>2.782791</v>
      </c>
      <c r="T5595">
        <v>-0.36034830000000001</v>
      </c>
      <c r="U5595">
        <v>2.0498349999999999</v>
      </c>
      <c r="V5595">
        <v>-0.30076700000000001</v>
      </c>
      <c r="W5595">
        <v>0.41276560000000001</v>
      </c>
      <c r="X5595">
        <v>0.85974629999999996</v>
      </c>
      <c r="Y5595">
        <v>-0.39393440000000002</v>
      </c>
      <c r="Z5595">
        <v>2.7688460000000002E-3</v>
      </c>
      <c r="AA5595">
        <v>0.91913440000000002</v>
      </c>
      <c r="AB5595">
        <v>29</v>
      </c>
      <c r="AC5595">
        <v>8.4893999999999892</v>
      </c>
      <c r="AD5595">
        <v>-1.1178608041910001</v>
      </c>
      <c r="AE5595">
        <v>6.3216200000000002</v>
      </c>
      <c r="AF5595">
        <v>-4.1882822770283301</v>
      </c>
      <c r="AG5595">
        <v>-1.1178608041910001</v>
      </c>
      <c r="AH5595">
        <v>9.5933862112406096</v>
      </c>
      <c r="AI5595">
        <v>96.095541002769096</v>
      </c>
      <c r="AJ5595">
        <v>113.585127826986</v>
      </c>
      <c r="AK5595">
        <v>10.527315907088401</v>
      </c>
      <c r="AL5595">
        <v>65.621314804603699</v>
      </c>
      <c r="AM5595">
        <v>109.281484341949</v>
      </c>
      <c r="AN5595">
        <v>0.99999996459802398</v>
      </c>
    </row>
    <row r="5596" spans="1:40" x14ac:dyDescent="0.25">
      <c r="A5596" t="str">
        <f>"20190304164756139"</f>
        <v>20190304164756139</v>
      </c>
      <c r="B5596" t="str">
        <f>"1551689276134390"</f>
        <v>1551689276134390</v>
      </c>
      <c r="C5596" t="s">
        <v>40</v>
      </c>
      <c r="D5596">
        <v>4.5996680000000003</v>
      </c>
      <c r="E5596">
        <v>0.46461360000000002</v>
      </c>
      <c r="F5596" t="s">
        <v>41</v>
      </c>
      <c r="G5596">
        <v>-209.66220000000001</v>
      </c>
      <c r="H5596">
        <v>1.000248</v>
      </c>
      <c r="I5596">
        <v>-60.394779999999997</v>
      </c>
      <c r="J5596">
        <v>-210.2851</v>
      </c>
      <c r="K5596">
        <v>1.1179870000000001</v>
      </c>
      <c r="L5596">
        <v>-60.989530000000002</v>
      </c>
      <c r="M5596">
        <v>0.97194630000000004</v>
      </c>
      <c r="N5596">
        <v>-1.290315E-2</v>
      </c>
      <c r="O5596">
        <v>0.23484869999999999</v>
      </c>
      <c r="P5596">
        <v>0.77092930000000004</v>
      </c>
      <c r="Q5596">
        <v>0.40687760000000001</v>
      </c>
      <c r="R5596">
        <v>0.49001899999999998</v>
      </c>
      <c r="S5596">
        <v>2.775757</v>
      </c>
      <c r="T5596">
        <v>-0.36199880000000001</v>
      </c>
      <c r="U5596">
        <v>2.0602420000000001</v>
      </c>
      <c r="V5596">
        <v>-0.30258770000000001</v>
      </c>
      <c r="W5596">
        <v>0.41271390000000002</v>
      </c>
      <c r="X5596">
        <v>0.85913209999999995</v>
      </c>
      <c r="Y5596">
        <v>-0.3893703</v>
      </c>
      <c r="Z5596">
        <v>1.6211680000000001E-3</v>
      </c>
      <c r="AA5596">
        <v>0.92107989999999995</v>
      </c>
      <c r="AB5596">
        <v>29</v>
      </c>
      <c r="AC5596">
        <v>0.62289999999998702</v>
      </c>
      <c r="AD5596">
        <v>-0.117739</v>
      </c>
      <c r="AE5596">
        <v>0.594749999999997</v>
      </c>
      <c r="AF5596">
        <v>-0.42389150457650698</v>
      </c>
      <c r="AG5596">
        <v>-0.117739</v>
      </c>
      <c r="AH5596">
        <v>0.73149253985663598</v>
      </c>
      <c r="AI5596">
        <v>97.928242378204899</v>
      </c>
      <c r="AJ5596">
        <v>120.091798034964</v>
      </c>
      <c r="AK5596">
        <v>0.85359698666235095</v>
      </c>
      <c r="AL5596">
        <v>65.624568425677097</v>
      </c>
      <c r="AM5596">
        <v>109.40234526424599</v>
      </c>
      <c r="AN5596">
        <v>1.0000000223474499</v>
      </c>
    </row>
    <row r="5597" spans="1:40" x14ac:dyDescent="0.25">
      <c r="A5597" t="str">
        <f>"20190304164756150"</f>
        <v>20190304164756150</v>
      </c>
      <c r="B5597" t="str">
        <f>"1551689276145125"</f>
        <v>1551689276145125</v>
      </c>
      <c r="C5597" t="s">
        <v>40</v>
      </c>
      <c r="D5597">
        <v>4.6034139999999999</v>
      </c>
      <c r="E5597">
        <v>0.46506560000000002</v>
      </c>
      <c r="F5597" t="s">
        <v>53</v>
      </c>
      <c r="G5597">
        <v>-201.8785</v>
      </c>
      <c r="H5597" s="1">
        <v>-5.8913169999999997E-6</v>
      </c>
      <c r="I5597">
        <v>-54.659840000000003</v>
      </c>
      <c r="J5597">
        <v>-210.13589999999999</v>
      </c>
      <c r="K5597">
        <v>1.118028</v>
      </c>
      <c r="L5597">
        <v>-60.948549999999997</v>
      </c>
      <c r="M5597">
        <v>0.97080480000000002</v>
      </c>
      <c r="N5597">
        <v>-1.2874409999999999E-2</v>
      </c>
      <c r="O5597">
        <v>0.23952580000000001</v>
      </c>
      <c r="P5597">
        <v>0.76811079999999998</v>
      </c>
      <c r="Q5597">
        <v>0.40682079999999998</v>
      </c>
      <c r="R5597">
        <v>0.49447239999999998</v>
      </c>
      <c r="S5597">
        <v>2.7629999999999999</v>
      </c>
      <c r="T5597">
        <v>-0.36745139999999998</v>
      </c>
      <c r="U5597">
        <v>2.0803829999999999</v>
      </c>
      <c r="V5597">
        <v>-0.30350009999999999</v>
      </c>
      <c r="W5597">
        <v>0.4125549</v>
      </c>
      <c r="X5597">
        <v>0.8588865</v>
      </c>
      <c r="Y5597">
        <v>-0.39124429999999999</v>
      </c>
      <c r="Z5597">
        <v>1.2109149999999999E-3</v>
      </c>
      <c r="AA5597">
        <v>0.9202861</v>
      </c>
      <c r="AB5597">
        <v>29</v>
      </c>
      <c r="AC5597">
        <v>8.2573999999999899</v>
      </c>
      <c r="AD5597">
        <v>-1.118033891317</v>
      </c>
      <c r="AE5597">
        <v>6.2887099999999903</v>
      </c>
      <c r="AF5597">
        <v>-4.0802486047001398</v>
      </c>
      <c r="AG5597">
        <v>-1.118033891317</v>
      </c>
      <c r="AH5597">
        <v>9.4141886005671296</v>
      </c>
      <c r="AI5597">
        <v>96.2187643296906</v>
      </c>
      <c r="AJ5597">
        <v>113.432622132318</v>
      </c>
      <c r="AK5597">
        <v>10.3211130923626</v>
      </c>
      <c r="AL5597">
        <v>65.634567403454398</v>
      </c>
      <c r="AM5597">
        <v>109.461605956269</v>
      </c>
      <c r="AN5597">
        <v>0.99999993804813303</v>
      </c>
    </row>
    <row r="5598" spans="1:40" x14ac:dyDescent="0.25">
      <c r="A5598" t="str">
        <f>"20190304164756161"</f>
        <v>20190304164756161</v>
      </c>
      <c r="B5598" t="str">
        <f>"1551689276154886"</f>
        <v>1551689276154886</v>
      </c>
      <c r="C5598" t="s">
        <v>40</v>
      </c>
      <c r="D5598">
        <v>4.5855620000000004</v>
      </c>
      <c r="E5598">
        <v>0.46538269999999998</v>
      </c>
      <c r="F5598" t="s">
        <v>53</v>
      </c>
      <c r="G5598">
        <v>-201.7816</v>
      </c>
      <c r="H5598" s="1">
        <v>-5.9371289999999996E-6</v>
      </c>
      <c r="I5598">
        <v>-54.60136</v>
      </c>
      <c r="J5598">
        <v>-209.9956</v>
      </c>
      <c r="K5598">
        <v>1.1180460000000001</v>
      </c>
      <c r="L5598">
        <v>-60.909089999999999</v>
      </c>
      <c r="M5598">
        <v>0.96968189999999999</v>
      </c>
      <c r="N5598">
        <v>-1.2862490000000001E-2</v>
      </c>
      <c r="O5598">
        <v>0.244032</v>
      </c>
      <c r="P5598">
        <v>0.76536949999999904</v>
      </c>
      <c r="Q5598">
        <v>0.40660420000000003</v>
      </c>
      <c r="R5598">
        <v>0.49888130000000003</v>
      </c>
      <c r="S5598">
        <v>2.753952</v>
      </c>
      <c r="T5598">
        <v>-0.36855389999999999</v>
      </c>
      <c r="U5598">
        <v>2.0923159999999998</v>
      </c>
      <c r="V5598">
        <v>-0.30446770000000001</v>
      </c>
      <c r="W5598">
        <v>0.41227609999999998</v>
      </c>
      <c r="X5598">
        <v>0.85867800000000005</v>
      </c>
      <c r="Y5598">
        <v>-0.3909705</v>
      </c>
      <c r="Z5598">
        <v>7.2620439999999996E-4</v>
      </c>
      <c r="AA5598">
        <v>0.92040290000000002</v>
      </c>
      <c r="AB5598">
        <v>29</v>
      </c>
      <c r="AC5598">
        <v>8.2139999999999898</v>
      </c>
      <c r="AD5598">
        <v>-1.1180519371290001</v>
      </c>
      <c r="AE5598">
        <v>6.3077299999999896</v>
      </c>
      <c r="AF5598">
        <v>-4.0649771866347502</v>
      </c>
      <c r="AG5598">
        <v>-1.1180519371290001</v>
      </c>
      <c r="AH5598">
        <v>9.3955399359948792</v>
      </c>
      <c r="AI5598">
        <v>96.232835465509595</v>
      </c>
      <c r="AJ5598">
        <v>113.39570583424</v>
      </c>
      <c r="AK5598">
        <v>10.298070224602901</v>
      </c>
      <c r="AL5598">
        <v>65.652104653756396</v>
      </c>
      <c r="AM5598">
        <v>109.52334953415</v>
      </c>
      <c r="AN5598">
        <v>1.00000003532924</v>
      </c>
    </row>
    <row r="5599" spans="1:40" x14ac:dyDescent="0.25">
      <c r="A5599" t="str">
        <f>"20190304164756172"</f>
        <v>20190304164756172</v>
      </c>
      <c r="B5599" t="str">
        <f>"1551689276164645"</f>
        <v>1551689276164645</v>
      </c>
      <c r="C5599" t="s">
        <v>40</v>
      </c>
      <c r="D5599">
        <v>4.584136</v>
      </c>
      <c r="E5599">
        <v>0.46570739999999999</v>
      </c>
      <c r="F5599" t="s">
        <v>53</v>
      </c>
      <c r="G5599">
        <v>-201.71559999999999</v>
      </c>
      <c r="H5599" s="1">
        <v>-5.9686290000000001E-6</v>
      </c>
      <c r="I5599">
        <v>-54.559550000000002</v>
      </c>
      <c r="J5599">
        <v>-209.86240000000001</v>
      </c>
      <c r="K5599">
        <v>1.118053</v>
      </c>
      <c r="L5599">
        <v>-60.871279999999999</v>
      </c>
      <c r="M5599">
        <v>0.96858390000000005</v>
      </c>
      <c r="N5599">
        <v>-1.2858380000000001E-2</v>
      </c>
      <c r="O5599">
        <v>0.24835470000000001</v>
      </c>
      <c r="P5599">
        <v>0.76269149999999997</v>
      </c>
      <c r="Q5599">
        <v>0.40630240000000001</v>
      </c>
      <c r="R5599">
        <v>0.50320959999999904</v>
      </c>
      <c r="S5599">
        <v>2.744659</v>
      </c>
      <c r="T5599">
        <v>-0.37061549999999999</v>
      </c>
      <c r="U5599">
        <v>2.1047669999999998</v>
      </c>
      <c r="V5599">
        <v>-0.30548940000000002</v>
      </c>
      <c r="W5599">
        <v>0.4119312</v>
      </c>
      <c r="X5599">
        <v>0.85848060000000004</v>
      </c>
      <c r="Y5599">
        <v>-0.39100669999999998</v>
      </c>
      <c r="Z5599">
        <v>2.6618319999999998E-4</v>
      </c>
      <c r="AA5599">
        <v>0.92038779999999998</v>
      </c>
      <c r="AB5599">
        <v>29</v>
      </c>
      <c r="AC5599">
        <v>8.1468000000000096</v>
      </c>
      <c r="AD5599">
        <v>-1.1180589686289999</v>
      </c>
      <c r="AE5599">
        <v>6.3117299999999998</v>
      </c>
      <c r="AF5599">
        <v>-4.0428975116119199</v>
      </c>
      <c r="AG5599">
        <v>-1.1180589686289999</v>
      </c>
      <c r="AH5599">
        <v>9.3491502351173104</v>
      </c>
      <c r="AI5599">
        <v>96.264042733324203</v>
      </c>
      <c r="AJ5599">
        <v>113.385333270723</v>
      </c>
      <c r="AK5599">
        <v>10.247033046961601</v>
      </c>
      <c r="AL5599">
        <v>65.673792727542505</v>
      </c>
      <c r="AM5599">
        <v>109.58804687979</v>
      </c>
      <c r="AN5599">
        <v>1.0000000138110801</v>
      </c>
    </row>
    <row r="5600" spans="1:40" x14ac:dyDescent="0.25">
      <c r="A5600" t="str">
        <f>"20190304164756185"</f>
        <v>20190304164756185</v>
      </c>
      <c r="B5600" t="str">
        <f>"1551689276174406"</f>
        <v>1551689276174406</v>
      </c>
      <c r="C5600" t="s">
        <v>40</v>
      </c>
      <c r="D5600">
        <v>4.5849289999999998</v>
      </c>
      <c r="E5600">
        <v>0.46611469999999999</v>
      </c>
      <c r="F5600" t="s">
        <v>53</v>
      </c>
      <c r="G5600">
        <v>-201.68369999999999</v>
      </c>
      <c r="H5600" s="1">
        <v>-5.9828359999999999E-6</v>
      </c>
      <c r="I5600">
        <v>-54.546100000000003</v>
      </c>
      <c r="J5600">
        <v>-209.7139</v>
      </c>
      <c r="K5600">
        <v>1.118045</v>
      </c>
      <c r="L5600">
        <v>-60.827939999999998</v>
      </c>
      <c r="M5600">
        <v>0.96730740000000004</v>
      </c>
      <c r="N5600">
        <v>-1.2852489999999999E-2</v>
      </c>
      <c r="O5600">
        <v>0.25328070000000003</v>
      </c>
      <c r="P5600">
        <v>0.75962980000000002</v>
      </c>
      <c r="Q5600">
        <v>0.40626640000000003</v>
      </c>
      <c r="R5600">
        <v>0.50784859999999998</v>
      </c>
      <c r="S5600">
        <v>2.7364350000000002</v>
      </c>
      <c r="T5600">
        <v>-0.37407950000000001</v>
      </c>
      <c r="U5600">
        <v>2.1162719999999999</v>
      </c>
      <c r="V5600">
        <v>-0.30636390000000002</v>
      </c>
      <c r="W5600">
        <v>0.41186159999999999</v>
      </c>
      <c r="X5600">
        <v>0.85820229999999997</v>
      </c>
      <c r="Y5600">
        <v>-0.3900923</v>
      </c>
      <c r="Z5600">
        <v>-3.462788E-4</v>
      </c>
      <c r="AA5600">
        <v>0.92077569999999997</v>
      </c>
      <c r="AB5600">
        <v>29</v>
      </c>
      <c r="AC5600">
        <v>8.0302000000000007</v>
      </c>
      <c r="AD5600">
        <v>-1.1180509828359999</v>
      </c>
      <c r="AE5600">
        <v>6.2818399999999999</v>
      </c>
      <c r="AF5600">
        <v>-3.99486794515723</v>
      </c>
      <c r="AG5600">
        <v>-1.1180509828359999</v>
      </c>
      <c r="AH5600">
        <v>9.2482952993939005</v>
      </c>
      <c r="AI5600">
        <v>96.332849213904097</v>
      </c>
      <c r="AJ5600">
        <v>113.362278917995</v>
      </c>
      <c r="AK5600">
        <v>10.136072900500301</v>
      </c>
      <c r="AL5600">
        <v>65.678168692368601</v>
      </c>
      <c r="AM5600">
        <v>109.645716498971</v>
      </c>
      <c r="AN5600">
        <v>1.0000000022515301</v>
      </c>
    </row>
    <row r="5601" spans="1:40" x14ac:dyDescent="0.25">
      <c r="A5601" t="str">
        <f>"20190304164756195"</f>
        <v>20190304164756195</v>
      </c>
      <c r="B5601" t="str">
        <f>"1551689276185141"</f>
        <v>1551689276185141</v>
      </c>
      <c r="C5601" t="s">
        <v>40</v>
      </c>
      <c r="D5601">
        <v>4.6155489999999997</v>
      </c>
      <c r="E5601">
        <v>0.46633540000000001</v>
      </c>
      <c r="F5601" t="s">
        <v>53</v>
      </c>
      <c r="G5601">
        <v>-201.59569999999999</v>
      </c>
      <c r="H5601" s="1">
        <v>-6.0250419999999998E-6</v>
      </c>
      <c r="I5601">
        <v>-54.488909999999997</v>
      </c>
      <c r="J5601">
        <v>-209.57409999999999</v>
      </c>
      <c r="K5601">
        <v>1.118039</v>
      </c>
      <c r="L5601">
        <v>-60.786769999999997</v>
      </c>
      <c r="M5601">
        <v>0.96607460000000001</v>
      </c>
      <c r="N5601">
        <v>-1.284485E-2</v>
      </c>
      <c r="O5601">
        <v>0.25794349999999999</v>
      </c>
      <c r="P5601">
        <v>0.7567682</v>
      </c>
      <c r="Q5601">
        <v>0.40606330000000002</v>
      </c>
      <c r="R5601">
        <v>0.51226400000000005</v>
      </c>
      <c r="S5601">
        <v>2.7267000000000001</v>
      </c>
      <c r="T5601">
        <v>-0.37552550000000001</v>
      </c>
      <c r="U5601">
        <v>2.1291199999999999</v>
      </c>
      <c r="V5601">
        <v>-0.30720439999999999</v>
      </c>
      <c r="W5601">
        <v>0.41162779999999999</v>
      </c>
      <c r="X5601">
        <v>0.85801399999999906</v>
      </c>
      <c r="Y5601">
        <v>-0.38995580000000002</v>
      </c>
      <c r="Z5601">
        <v>-8.5727869999999997E-4</v>
      </c>
      <c r="AA5601">
        <v>0.92083320000000002</v>
      </c>
      <c r="AB5601">
        <v>29</v>
      </c>
      <c r="AC5601">
        <v>7.9783999999999899</v>
      </c>
      <c r="AD5601">
        <v>-1.118045025042</v>
      </c>
      <c r="AE5601">
        <v>6.29786</v>
      </c>
      <c r="AF5601">
        <v>-3.97842416638828</v>
      </c>
      <c r="AG5601">
        <v>-1.118045025042</v>
      </c>
      <c r="AH5601">
        <v>9.2214233929877203</v>
      </c>
      <c r="AI5601">
        <v>96.352321715565594</v>
      </c>
      <c r="AJ5601">
        <v>113.33694991884499</v>
      </c>
      <c r="AK5601">
        <v>10.105074612216599</v>
      </c>
      <c r="AL5601">
        <v>65.692868427136602</v>
      </c>
      <c r="AM5601">
        <v>109.699462016006</v>
      </c>
      <c r="AN5601">
        <v>1.0000000066540999</v>
      </c>
    </row>
    <row r="5602" spans="1:40" x14ac:dyDescent="0.25">
      <c r="A5602" t="str">
        <f>"20190304164756207"</f>
        <v>20190304164756207</v>
      </c>
      <c r="B5602" t="str">
        <f>"1551689276194901"</f>
        <v>1551689276194901</v>
      </c>
      <c r="C5602" t="s">
        <v>40</v>
      </c>
      <c r="D5602">
        <v>4.6090939999999998</v>
      </c>
      <c r="E5602">
        <v>0.46667829999999899</v>
      </c>
      <c r="F5602" t="s">
        <v>41</v>
      </c>
      <c r="G5602">
        <v>-208.67420000000001</v>
      </c>
      <c r="H5602">
        <v>0.99324730000000006</v>
      </c>
      <c r="I5602">
        <v>-60.077129999999997</v>
      </c>
      <c r="J5602">
        <v>-209.4325</v>
      </c>
      <c r="K5602">
        <v>1.118042</v>
      </c>
      <c r="L5602">
        <v>-60.743960000000001</v>
      </c>
      <c r="M5602">
        <v>0.96478719999999996</v>
      </c>
      <c r="N5602">
        <v>-1.282576E-2</v>
      </c>
      <c r="O5602">
        <v>0.26271879999999997</v>
      </c>
      <c r="P5602">
        <v>0.75385279999999999</v>
      </c>
      <c r="Q5602">
        <v>0.40570079999999997</v>
      </c>
      <c r="R5602">
        <v>0.51682969999999995</v>
      </c>
      <c r="S5602">
        <v>2.7162480000000002</v>
      </c>
      <c r="T5602">
        <v>-0.37670330000000002</v>
      </c>
      <c r="U5602">
        <v>2.1422729999999999</v>
      </c>
      <c r="V5602">
        <v>-0.30810559999999998</v>
      </c>
      <c r="W5602">
        <v>0.4112227</v>
      </c>
      <c r="X5602">
        <v>0.85788509999999996</v>
      </c>
      <c r="Y5602">
        <v>-0.38988970000000001</v>
      </c>
      <c r="Z5602">
        <v>-1.3805759999999999E-3</v>
      </c>
      <c r="AA5602">
        <v>0.92086049999999997</v>
      </c>
      <c r="AB5602">
        <v>29</v>
      </c>
      <c r="AC5602">
        <v>0.75829999999999098</v>
      </c>
      <c r="AD5602">
        <v>-0.12479469999999999</v>
      </c>
      <c r="AE5602">
        <v>0.66682999999999004</v>
      </c>
      <c r="AF5602">
        <v>-0.437484164470332</v>
      </c>
      <c r="AG5602">
        <v>-0.12479469999999999</v>
      </c>
      <c r="AH5602">
        <v>0.89321925047609696</v>
      </c>
      <c r="AI5602">
        <v>97.151642641797196</v>
      </c>
      <c r="AJ5602">
        <v>116.094856184317</v>
      </c>
      <c r="AK5602">
        <v>1.0024004891915499</v>
      </c>
      <c r="AL5602">
        <v>65.718334114121404</v>
      </c>
      <c r="AM5602">
        <v>109.75552403626401</v>
      </c>
      <c r="AN5602">
        <v>1.00000000727433</v>
      </c>
    </row>
    <row r="5603" spans="1:40" x14ac:dyDescent="0.25">
      <c r="A5603" t="str">
        <f>"20190304164756220"</f>
        <v>20190304164756220</v>
      </c>
      <c r="B5603" t="str">
        <f>"1551689276214421"</f>
        <v>1551689276214421</v>
      </c>
      <c r="C5603" t="s">
        <v>40</v>
      </c>
      <c r="D5603">
        <v>4.636819</v>
      </c>
      <c r="E5603">
        <v>0.46701169999999997</v>
      </c>
      <c r="F5603" t="s">
        <v>53</v>
      </c>
      <c r="G5603">
        <v>-201.46600000000001</v>
      </c>
      <c r="H5603" s="1">
        <v>-6.0880519999999997E-6</v>
      </c>
      <c r="I5603">
        <v>-54.399920000000002</v>
      </c>
      <c r="J5603">
        <v>-209.2946</v>
      </c>
      <c r="K5603">
        <v>1.1180490000000001</v>
      </c>
      <c r="L5603">
        <v>-60.701720000000002</v>
      </c>
      <c r="M5603">
        <v>0.96350729999999996</v>
      </c>
      <c r="N5603">
        <v>-1.2804350000000001E-2</v>
      </c>
      <c r="O5603">
        <v>0.26737559999999999</v>
      </c>
      <c r="P5603">
        <v>0.75084869999999904</v>
      </c>
      <c r="Q5603">
        <v>0.40580450000000001</v>
      </c>
      <c r="R5603">
        <v>0.5211036</v>
      </c>
      <c r="S5603">
        <v>2.7064210000000002</v>
      </c>
      <c r="T5603">
        <v>-0.37982650000000001</v>
      </c>
      <c r="U5603">
        <v>2.1552120000000001</v>
      </c>
      <c r="V5603">
        <v>-0.3088689</v>
      </c>
      <c r="W5603">
        <v>0.41128100000000001</v>
      </c>
      <c r="X5603">
        <v>0.85758259999999897</v>
      </c>
      <c r="Y5603">
        <v>-0.38977279999999997</v>
      </c>
      <c r="Z5603">
        <v>-1.9394359999999999E-3</v>
      </c>
      <c r="AA5603">
        <v>0.92090899999999998</v>
      </c>
      <c r="AB5603">
        <v>29</v>
      </c>
      <c r="AC5603">
        <v>7.8286000000000202</v>
      </c>
      <c r="AD5603">
        <v>-1.1180550880519999</v>
      </c>
      <c r="AE5603">
        <v>6.3018000000000001</v>
      </c>
      <c r="AF5603">
        <v>-3.9303351528121002</v>
      </c>
      <c r="AG5603">
        <v>-1.1180550880519999</v>
      </c>
      <c r="AH5603">
        <v>9.1157935861522201</v>
      </c>
      <c r="AI5603">
        <v>96.426014636373793</v>
      </c>
      <c r="AJ5603">
        <v>113.323611756971</v>
      </c>
      <c r="AK5603">
        <v>9.9897584704878408</v>
      </c>
      <c r="AL5603">
        <v>65.714669012726802</v>
      </c>
      <c r="AM5603">
        <v>109.807106858491</v>
      </c>
      <c r="AN5603">
        <v>0.99999998708548499</v>
      </c>
    </row>
    <row r="5604" spans="1:40" x14ac:dyDescent="0.25">
      <c r="A5604" t="str">
        <f>"20190304164756231"</f>
        <v>20190304164756231</v>
      </c>
      <c r="B5604" t="str">
        <f>"1551689276225157"</f>
        <v>1551689276225157</v>
      </c>
      <c r="C5604" t="s">
        <v>40</v>
      </c>
      <c r="D5604">
        <v>4.640104</v>
      </c>
      <c r="E5604">
        <v>0.47339560000000003</v>
      </c>
      <c r="F5604" t="s">
        <v>53</v>
      </c>
      <c r="G5604">
        <v>-201.37270000000001</v>
      </c>
      <c r="H5604" s="1">
        <v>-6.1335330000000001E-6</v>
      </c>
      <c r="I5604">
        <v>-54.334629999999997</v>
      </c>
      <c r="J5604">
        <v>-209.1294</v>
      </c>
      <c r="K5604">
        <v>1.1180650000000001</v>
      </c>
      <c r="L5604">
        <v>-60.650179999999999</v>
      </c>
      <c r="M5604">
        <v>0.9619394</v>
      </c>
      <c r="N5604">
        <v>-1.27732E-2</v>
      </c>
      <c r="O5604">
        <v>0.27296419999999999</v>
      </c>
      <c r="P5604">
        <v>0.74726870000000001</v>
      </c>
      <c r="Q5604">
        <v>0.40598699999999999</v>
      </c>
      <c r="R5604">
        <v>0.52608359999999998</v>
      </c>
      <c r="S5604">
        <v>2.696869</v>
      </c>
      <c r="T5604">
        <v>-0.3806235</v>
      </c>
      <c r="U5604">
        <v>2.1675719999999998</v>
      </c>
      <c r="V5604">
        <v>-0.30964560000000002</v>
      </c>
      <c r="W5604">
        <v>0.41140399999999999</v>
      </c>
      <c r="X5604">
        <v>0.85724349999999905</v>
      </c>
      <c r="Y5604">
        <v>-0.3886154</v>
      </c>
      <c r="Z5604">
        <v>-2.6274979999999998E-3</v>
      </c>
      <c r="AA5604">
        <v>0.92139629999999995</v>
      </c>
      <c r="AB5604">
        <v>29</v>
      </c>
      <c r="AC5604">
        <v>7.7566999999999897</v>
      </c>
      <c r="AD5604">
        <v>-1.11807113353299</v>
      </c>
      <c r="AE5604">
        <v>6.31555</v>
      </c>
      <c r="AF5604">
        <v>-3.9093533553622999</v>
      </c>
      <c r="AG5604">
        <v>-1.11807113353299</v>
      </c>
      <c r="AH5604">
        <v>9.0727859525541099</v>
      </c>
      <c r="AI5604">
        <v>96.456936612572903</v>
      </c>
      <c r="AJ5604">
        <v>113.31062356941599</v>
      </c>
      <c r="AK5604">
        <v>9.94226189846081</v>
      </c>
      <c r="AL5604">
        <v>65.706938421794405</v>
      </c>
      <c r="AM5604">
        <v>109.860266445931</v>
      </c>
      <c r="AN5604">
        <v>1.0000000335538</v>
      </c>
    </row>
    <row r="5605" spans="1:40" x14ac:dyDescent="0.25">
      <c r="A5605" t="str">
        <f>"20190304164756245"</f>
        <v>20190304164756245</v>
      </c>
      <c r="B5605" t="str">
        <f>"1551689276234917"</f>
        <v>1551689276234917</v>
      </c>
      <c r="C5605" t="s">
        <v>40</v>
      </c>
      <c r="D5605">
        <v>4.6261869999999998</v>
      </c>
      <c r="E5605">
        <v>0.47296519999999997</v>
      </c>
      <c r="F5605" t="s">
        <v>53</v>
      </c>
      <c r="G5605">
        <v>-201.6387</v>
      </c>
      <c r="H5605" s="1">
        <v>-5.9708139999999996E-6</v>
      </c>
      <c r="I5605">
        <v>-54.732100000000003</v>
      </c>
      <c r="J5605">
        <v>-208.9727</v>
      </c>
      <c r="K5605">
        <v>1.1180870000000001</v>
      </c>
      <c r="L5605">
        <v>-60.600070000000002</v>
      </c>
      <c r="M5605">
        <v>0.9604182</v>
      </c>
      <c r="N5605">
        <v>-1.2740019999999999E-2</v>
      </c>
      <c r="O5605">
        <v>0.27827069999999998</v>
      </c>
      <c r="P5605">
        <v>0.74400119999999903</v>
      </c>
      <c r="Q5605">
        <v>0.40599560000000001</v>
      </c>
      <c r="R5605">
        <v>0.530688099999999</v>
      </c>
      <c r="S5605">
        <v>2.7215729999999998</v>
      </c>
      <c r="T5605">
        <v>-0.40622150000000001</v>
      </c>
      <c r="U5605">
        <v>2.1501769999999998</v>
      </c>
      <c r="V5605">
        <v>-0.31023279999999998</v>
      </c>
      <c r="W5605">
        <v>0.41135450000000001</v>
      </c>
      <c r="X5605">
        <v>0.85705489999999995</v>
      </c>
      <c r="Y5605">
        <v>-0.375776</v>
      </c>
      <c r="Z5605">
        <v>-4.685519E-3</v>
      </c>
      <c r="AA5605">
        <v>0.92669869999999999</v>
      </c>
      <c r="AB5605">
        <v>29</v>
      </c>
      <c r="AC5605">
        <v>7.3339999999999996</v>
      </c>
      <c r="AD5605">
        <v>-1.1180929708139999</v>
      </c>
      <c r="AE5605">
        <v>5.8679699999999899</v>
      </c>
      <c r="AF5605">
        <v>-3.5449261916275701</v>
      </c>
      <c r="AG5605">
        <v>-1.1180929708139999</v>
      </c>
      <c r="AH5605">
        <v>8.5560517088199095</v>
      </c>
      <c r="AI5605">
        <v>96.883823450820202</v>
      </c>
      <c r="AJ5605">
        <v>112.505107104118</v>
      </c>
      <c r="AK5605">
        <v>9.3285933794688898</v>
      </c>
      <c r="AL5605">
        <v>65.7100493987802</v>
      </c>
      <c r="AM5605">
        <v>109.899010392528</v>
      </c>
      <c r="AN5605">
        <v>1.00000000824005</v>
      </c>
    </row>
    <row r="5606" spans="1:40" x14ac:dyDescent="0.25">
      <c r="A5606" t="str">
        <f>"20190304164756258"</f>
        <v>20190304164756258</v>
      </c>
      <c r="B5606" t="str">
        <f>"1551689276254438"</f>
        <v>1551689276254438</v>
      </c>
      <c r="C5606" t="s">
        <v>40</v>
      </c>
      <c r="D5606">
        <v>4.6487759999999998</v>
      </c>
      <c r="E5606">
        <v>0.47375970000000001</v>
      </c>
      <c r="F5606" t="s">
        <v>53</v>
      </c>
      <c r="G5606">
        <v>-201.58609999999999</v>
      </c>
      <c r="H5606" s="1">
        <v>-5.9991379999999997E-6</v>
      </c>
      <c r="I5606">
        <v>-54.678179999999998</v>
      </c>
      <c r="J5606">
        <v>-208.8057</v>
      </c>
      <c r="K5606">
        <v>1.118115</v>
      </c>
      <c r="L5606">
        <v>-60.545900000000003</v>
      </c>
      <c r="M5606">
        <v>0.95876209999999995</v>
      </c>
      <c r="N5606">
        <v>-1.270311E-2</v>
      </c>
      <c r="O5606">
        <v>0.28392580000000001</v>
      </c>
      <c r="P5606">
        <v>0.74056160000000004</v>
      </c>
      <c r="Q5606">
        <v>0.40580490000000002</v>
      </c>
      <c r="R5606">
        <v>0.53562209999999999</v>
      </c>
      <c r="S5606">
        <v>2.7075960000000001</v>
      </c>
      <c r="T5606">
        <v>-0.40984009999999998</v>
      </c>
      <c r="U5606">
        <v>2.1706850000000002</v>
      </c>
      <c r="V5606">
        <v>-0.31087409999999999</v>
      </c>
      <c r="W5606">
        <v>0.4111011</v>
      </c>
      <c r="X5606">
        <v>0.85694409999999899</v>
      </c>
      <c r="Y5606">
        <v>-0.3769324</v>
      </c>
      <c r="Z5606">
        <v>-5.3460540000000003E-3</v>
      </c>
      <c r="AA5606">
        <v>0.92622539999999998</v>
      </c>
      <c r="AB5606">
        <v>29</v>
      </c>
      <c r="AC5606">
        <v>7.2196000000000096</v>
      </c>
      <c r="AD5606">
        <v>-1.1181209991379999</v>
      </c>
      <c r="AE5606">
        <v>5.8677199999999896</v>
      </c>
      <c r="AF5606">
        <v>-3.5252851152855902</v>
      </c>
      <c r="AG5606">
        <v>-1.1181209991379999</v>
      </c>
      <c r="AH5606">
        <v>8.4662794437616498</v>
      </c>
      <c r="AI5606">
        <v>96.951220170003495</v>
      </c>
      <c r="AJ5606">
        <v>112.606420279784</v>
      </c>
      <c r="AK5606">
        <v>9.2388157970937304</v>
      </c>
      <c r="AL5606">
        <v>65.725977173332495</v>
      </c>
      <c r="AM5606">
        <v>109.939281484654</v>
      </c>
      <c r="AN5606">
        <v>1.0000000054984099</v>
      </c>
    </row>
    <row r="5607" spans="1:40" x14ac:dyDescent="0.25">
      <c r="A5607" t="str">
        <f>"20190304164756274"</f>
        <v>20190304164756274</v>
      </c>
      <c r="B5607" t="str">
        <f>"1551689276265173"</f>
        <v>1551689276265173</v>
      </c>
      <c r="C5607" t="s">
        <v>40</v>
      </c>
      <c r="D5607">
        <v>4.7407250000000003</v>
      </c>
      <c r="E5607">
        <v>0.47375970000000001</v>
      </c>
      <c r="F5607" t="s">
        <v>53</v>
      </c>
      <c r="G5607">
        <v>-201.48689999999999</v>
      </c>
      <c r="H5607" s="1">
        <v>-6.0457819999999997E-6</v>
      </c>
      <c r="I5607">
        <v>-54.619810000000001</v>
      </c>
      <c r="J5607">
        <v>-208.6045</v>
      </c>
      <c r="K5607">
        <v>1.1181490000000001</v>
      </c>
      <c r="L5607">
        <v>-60.479190000000003</v>
      </c>
      <c r="M5607">
        <v>0.95671759999999995</v>
      </c>
      <c r="N5607">
        <v>-1.265705E-2</v>
      </c>
      <c r="O5607">
        <v>0.29074319999999998</v>
      </c>
      <c r="P5607">
        <v>0.7361531</v>
      </c>
      <c r="Q5607">
        <v>0.40530880000000002</v>
      </c>
      <c r="R5607">
        <v>0.54203650000000003</v>
      </c>
      <c r="S5607">
        <v>2.6972200000000002</v>
      </c>
      <c r="T5607">
        <v>-0.41206429999999999</v>
      </c>
      <c r="U5607">
        <v>2.1839599999999999</v>
      </c>
      <c r="V5607">
        <v>-0.31216729999999998</v>
      </c>
      <c r="W5607">
        <v>0.41051720000000003</v>
      </c>
      <c r="X5607">
        <v>0.85675389999999996</v>
      </c>
      <c r="Y5607">
        <v>-0.37487999999999999</v>
      </c>
      <c r="Z5607">
        <v>-6.3450950000000002E-3</v>
      </c>
      <c r="AA5607">
        <v>0.92705159999999998</v>
      </c>
      <c r="AB5607">
        <v>29</v>
      </c>
      <c r="AC5607">
        <v>7.1176000000000004</v>
      </c>
      <c r="AD5607">
        <v>-1.118155045782</v>
      </c>
      <c r="AE5607">
        <v>5.8593799999999998</v>
      </c>
      <c r="AF5607">
        <v>-3.4853894928312199</v>
      </c>
      <c r="AG5607">
        <v>-1.118155045782</v>
      </c>
      <c r="AH5607">
        <v>8.3903632541444502</v>
      </c>
      <c r="AI5607">
        <v>97.016134262858699</v>
      </c>
      <c r="AJ5607">
        <v>112.55818823105</v>
      </c>
      <c r="AK5607">
        <v>9.1540376970844708</v>
      </c>
      <c r="AL5607">
        <v>65.762671877465905</v>
      </c>
      <c r="AM5607">
        <v>110.019743628776</v>
      </c>
      <c r="AN5607">
        <v>1.00000001992517</v>
      </c>
    </row>
    <row r="5608" spans="1:40" x14ac:dyDescent="0.25">
      <c r="A5608" t="str">
        <f>"20190304164756288"</f>
        <v>20190304164756288</v>
      </c>
      <c r="B5608" t="str">
        <f>"1551689276284694"</f>
        <v>1551689276284694</v>
      </c>
      <c r="C5608" t="s">
        <v>40</v>
      </c>
      <c r="D5608">
        <v>4.6273960000000001</v>
      </c>
      <c r="E5608">
        <v>0.4157536</v>
      </c>
      <c r="F5608" t="s">
        <v>53</v>
      </c>
      <c r="G5608">
        <v>-201.3689</v>
      </c>
      <c r="H5608" s="1">
        <v>-6.10750599999999E-6</v>
      </c>
      <c r="I5608">
        <v>-54.510620000000003</v>
      </c>
      <c r="J5608">
        <v>-208.4348</v>
      </c>
      <c r="K5608">
        <v>1.118179</v>
      </c>
      <c r="L5608">
        <v>-60.421329999999998</v>
      </c>
      <c r="M5608">
        <v>0.95494860000000004</v>
      </c>
      <c r="N5608">
        <v>-1.261898E-2</v>
      </c>
      <c r="O5608">
        <v>0.29650290000000001</v>
      </c>
      <c r="P5608">
        <v>0.73251709999999903</v>
      </c>
      <c r="Q5608">
        <v>0.40507209999999899</v>
      </c>
      <c r="R5608">
        <v>0.54711560000000004</v>
      </c>
      <c r="S5608">
        <v>2.677063</v>
      </c>
      <c r="T5608">
        <v>-0.41370170000000001</v>
      </c>
      <c r="U5608">
        <v>2.2082820000000001</v>
      </c>
      <c r="V5608">
        <v>-0.312913</v>
      </c>
      <c r="W5608">
        <v>0.41021669999999999</v>
      </c>
      <c r="X5608">
        <v>0.85662579999999999</v>
      </c>
      <c r="Y5608">
        <v>-0.37773400000000001</v>
      </c>
      <c r="Z5608">
        <v>-6.8691019999999898E-3</v>
      </c>
      <c r="AA5608">
        <v>0.92588870000000001</v>
      </c>
      <c r="AB5608">
        <v>29</v>
      </c>
      <c r="AC5608">
        <v>7.0658999999999903</v>
      </c>
      <c r="AD5608">
        <v>-1.1181851075059901</v>
      </c>
      <c r="AE5608">
        <v>5.9107099999999999</v>
      </c>
      <c r="AF5608">
        <v>-3.49810749434072</v>
      </c>
      <c r="AG5608">
        <v>-1.1181851075059901</v>
      </c>
      <c r="AH5608">
        <v>8.3773625470642799</v>
      </c>
      <c r="AI5608">
        <v>97.021762524731898</v>
      </c>
      <c r="AJ5608">
        <v>112.66378978573</v>
      </c>
      <c r="AK5608">
        <v>9.1469829573234804</v>
      </c>
      <c r="AL5608">
        <v>65.7815523332266</v>
      </c>
      <c r="AM5608">
        <v>110.066516643162</v>
      </c>
      <c r="AN5608">
        <v>1.0000000238767599</v>
      </c>
    </row>
    <row r="5609" spans="1:40" x14ac:dyDescent="0.25">
      <c r="A5609" t="str">
        <f>"20190304164756300"</f>
        <v>20190304164756300</v>
      </c>
      <c r="B5609" t="str">
        <f>"1551689276294454"</f>
        <v>1551689276294454</v>
      </c>
      <c r="C5609" t="s">
        <v>40</v>
      </c>
      <c r="D5609">
        <v>4.6291039999999999</v>
      </c>
      <c r="E5609">
        <v>0.40363759999999999</v>
      </c>
      <c r="F5609" t="s">
        <v>41</v>
      </c>
      <c r="G5609">
        <v>-207.81229999999999</v>
      </c>
      <c r="H5609">
        <v>1.0239750000000001</v>
      </c>
      <c r="I5609">
        <v>-59.741190000000003</v>
      </c>
      <c r="J5609">
        <v>-208.29300000000001</v>
      </c>
      <c r="K5609">
        <v>1.1182019999999999</v>
      </c>
      <c r="L5609">
        <v>-60.372280000000003</v>
      </c>
      <c r="M5609">
        <v>0.95344019999999996</v>
      </c>
      <c r="N5609">
        <v>-1.2586760000000001E-2</v>
      </c>
      <c r="O5609">
        <v>0.30131960000000002</v>
      </c>
      <c r="P5609">
        <v>0.72945799999999905</v>
      </c>
      <c r="Q5609">
        <v>0.4048696</v>
      </c>
      <c r="R5609">
        <v>0.55133639999999995</v>
      </c>
      <c r="S5609">
        <v>2.3637700000000001</v>
      </c>
      <c r="T5609">
        <v>-0.35777510000000001</v>
      </c>
      <c r="U5609">
        <v>2.583405</v>
      </c>
      <c r="V5609">
        <v>-0.31351669999999998</v>
      </c>
      <c r="W5609">
        <v>0.4099623</v>
      </c>
      <c r="X5609">
        <v>0.85652689999999998</v>
      </c>
      <c r="Y5609">
        <v>-0.49844290000000002</v>
      </c>
      <c r="Z5609">
        <v>2.2330599999999998E-3</v>
      </c>
      <c r="AA5609">
        <v>0.86691969999999996</v>
      </c>
      <c r="AB5609">
        <v>29</v>
      </c>
      <c r="AC5609">
        <v>0.48070000000001201</v>
      </c>
      <c r="AD5609">
        <v>-9.4227000000000005E-2</v>
      </c>
      <c r="AE5609">
        <v>0.63109000000000004</v>
      </c>
      <c r="AF5609">
        <v>-0.45054222789792597</v>
      </c>
      <c r="AG5609">
        <v>-9.4227000000000005E-2</v>
      </c>
      <c r="AH5609">
        <v>0.639507745781007</v>
      </c>
      <c r="AI5609">
        <v>96.868308036882496</v>
      </c>
      <c r="AJ5609">
        <v>125.165235704436</v>
      </c>
      <c r="AK5609">
        <v>0.78793222015737696</v>
      </c>
      <c r="AL5609">
        <v>65.7975352214293</v>
      </c>
      <c r="AM5609">
        <v>110.104268938096</v>
      </c>
      <c r="AN5609">
        <v>1.00000006951189</v>
      </c>
    </row>
    <row r="5610" spans="1:40" x14ac:dyDescent="0.25">
      <c r="A5610" t="str">
        <f>"20190304164756317"</f>
        <v>20190304164756317</v>
      </c>
      <c r="B5610" t="str">
        <f>"1551689276305189"</f>
        <v>1551689276305189</v>
      </c>
      <c r="C5610" t="s">
        <v>40</v>
      </c>
      <c r="D5610">
        <v>4.619059</v>
      </c>
      <c r="E5610">
        <v>0.39588879999999999</v>
      </c>
      <c r="F5610" t="s">
        <v>41</v>
      </c>
      <c r="G5610">
        <v>-207.61529999999999</v>
      </c>
      <c r="H5610">
        <v>1.015056</v>
      </c>
      <c r="I5610">
        <v>-59.579949999999997</v>
      </c>
      <c r="J5610">
        <v>-208.08080000000001</v>
      </c>
      <c r="K5610">
        <v>1.1182319999999999</v>
      </c>
      <c r="L5610">
        <v>-60.297420000000002</v>
      </c>
      <c r="M5610">
        <v>0.95112870000000005</v>
      </c>
      <c r="N5610">
        <v>-1.253817E-2</v>
      </c>
      <c r="O5610">
        <v>0.30854029999999999</v>
      </c>
      <c r="P5610">
        <v>0.7246456</v>
      </c>
      <c r="Q5610">
        <v>0.40487210000000001</v>
      </c>
      <c r="R5610">
        <v>0.55764449999999999</v>
      </c>
      <c r="S5610">
        <v>2.2858580000000002</v>
      </c>
      <c r="T5610">
        <v>-0.34789720000000002</v>
      </c>
      <c r="U5610">
        <v>2.6724239999999999</v>
      </c>
      <c r="V5610">
        <v>-0.314480599999999</v>
      </c>
      <c r="W5610">
        <v>0.40988449999999998</v>
      </c>
      <c r="X5610">
        <v>0.85621059999999904</v>
      </c>
      <c r="Y5610">
        <v>-0.52066679999999999</v>
      </c>
      <c r="Z5610">
        <v>3.1353119999999999E-3</v>
      </c>
      <c r="AA5610">
        <v>0.85375419999999902</v>
      </c>
      <c r="AB5610">
        <v>29</v>
      </c>
      <c r="AC5610">
        <v>0.46550000000002001</v>
      </c>
      <c r="AD5610">
        <v>-0.103175999999999</v>
      </c>
      <c r="AE5610">
        <v>0.71746999999999805</v>
      </c>
      <c r="AF5610">
        <v>-0.53109378844356203</v>
      </c>
      <c r="AG5610">
        <v>-0.103175999999999</v>
      </c>
      <c r="AH5610">
        <v>0.65464355880351599</v>
      </c>
      <c r="AI5610">
        <v>96.977957188997095</v>
      </c>
      <c r="AJ5610">
        <v>129.05144172784699</v>
      </c>
      <c r="AK5610">
        <v>0.84927268187683302</v>
      </c>
      <c r="AL5610">
        <v>65.802419782555305</v>
      </c>
      <c r="AM5610">
        <v>110.167956302946</v>
      </c>
      <c r="AN5610">
        <v>0.99999997133448404</v>
      </c>
    </row>
    <row r="5611" spans="1:40" x14ac:dyDescent="0.25">
      <c r="A5611" t="str">
        <f>"20190304164756328"</f>
        <v>20190304164756328</v>
      </c>
      <c r="B5611" t="str">
        <f>"1551689276324710"</f>
        <v>1551689276324710</v>
      </c>
      <c r="C5611" t="s">
        <v>40</v>
      </c>
      <c r="D5611">
        <v>4.5912959999999998</v>
      </c>
      <c r="E5611">
        <v>0.38625530000000002</v>
      </c>
      <c r="F5611" t="s">
        <v>41</v>
      </c>
      <c r="G5611">
        <v>-207.3981</v>
      </c>
      <c r="H5611">
        <v>1.014429</v>
      </c>
      <c r="I5611">
        <v>-59.454859999999996</v>
      </c>
      <c r="J5611">
        <v>-207.9453</v>
      </c>
      <c r="K5611">
        <v>1.1182529999999999</v>
      </c>
      <c r="L5611">
        <v>-60.248539999999998</v>
      </c>
      <c r="M5611">
        <v>0.94961569999999995</v>
      </c>
      <c r="N5611">
        <v>-1.2507529999999999E-2</v>
      </c>
      <c r="O5611">
        <v>0.31316739999999998</v>
      </c>
      <c r="P5611">
        <v>0.72159629999999997</v>
      </c>
      <c r="Q5611">
        <v>0.40496700000000002</v>
      </c>
      <c r="R5611">
        <v>0.56151649999999997</v>
      </c>
      <c r="S5611">
        <v>2.219894</v>
      </c>
      <c r="T5611">
        <v>-0.33753880000000003</v>
      </c>
      <c r="U5611">
        <v>2.7401119999999999</v>
      </c>
      <c r="V5611">
        <v>-0.31492999999999999</v>
      </c>
      <c r="W5611">
        <v>0.40993269999999998</v>
      </c>
      <c r="X5611">
        <v>0.85602239999999996</v>
      </c>
      <c r="Y5611">
        <v>-0.53916919999999902</v>
      </c>
      <c r="Z5611">
        <v>4.0312819999999997E-3</v>
      </c>
      <c r="AA5611">
        <v>0.84218780000000004</v>
      </c>
      <c r="AB5611">
        <v>29</v>
      </c>
      <c r="AC5611">
        <v>0.54720000000000302</v>
      </c>
      <c r="AD5611">
        <v>-0.103824</v>
      </c>
      <c r="AE5611">
        <v>0.79368000000000904</v>
      </c>
      <c r="AF5611">
        <v>-0.57569390763072703</v>
      </c>
      <c r="AG5611">
        <v>-0.103824</v>
      </c>
      <c r="AH5611">
        <v>0.75943586225858595</v>
      </c>
      <c r="AI5611">
        <v>96.217677528135795</v>
      </c>
      <c r="AJ5611">
        <v>127.164116901867</v>
      </c>
      <c r="AK5611">
        <v>0.95861656940800799</v>
      </c>
      <c r="AL5611">
        <v>65.799393745127503</v>
      </c>
      <c r="AM5611">
        <v>110.19853101691101</v>
      </c>
      <c r="AN5611">
        <v>1.0000000363655199</v>
      </c>
    </row>
    <row r="5612" spans="1:40" x14ac:dyDescent="0.25">
      <c r="A5612" t="str">
        <f>"20190304164756341"</f>
        <v>20190304164756341</v>
      </c>
      <c r="B5612" t="str">
        <f>"1551689276334469"</f>
        <v>1551689276334469</v>
      </c>
      <c r="C5612" t="s">
        <v>40</v>
      </c>
      <c r="D5612">
        <v>4.595294</v>
      </c>
      <c r="E5612">
        <v>0.38409949999999998</v>
      </c>
      <c r="F5612" t="s">
        <v>41</v>
      </c>
      <c r="G5612">
        <v>-207.37139999999999</v>
      </c>
      <c r="H5612">
        <v>1.0300309999999999</v>
      </c>
      <c r="I5612">
        <v>-59.500010000000003</v>
      </c>
      <c r="J5612">
        <v>-207.80160000000001</v>
      </c>
      <c r="K5612">
        <v>1.1182749999999999</v>
      </c>
      <c r="L5612">
        <v>-60.195950000000003</v>
      </c>
      <c r="M5612">
        <v>0.94798340000000003</v>
      </c>
      <c r="N5612">
        <v>-1.2476330000000001E-2</v>
      </c>
      <c r="O5612">
        <v>0.31807540000000001</v>
      </c>
      <c r="P5612">
        <v>0.71833849999999999</v>
      </c>
      <c r="Q5612">
        <v>0.40526010000000001</v>
      </c>
      <c r="R5612">
        <v>0.56546790000000002</v>
      </c>
      <c r="S5612">
        <v>2.1552120000000001</v>
      </c>
      <c r="T5612">
        <v>-0.33139109999999899</v>
      </c>
      <c r="U5612">
        <v>2.8120419999999999</v>
      </c>
      <c r="V5612">
        <v>-0.31527329999999998</v>
      </c>
      <c r="W5612">
        <v>0.41017890000000001</v>
      </c>
      <c r="X5612">
        <v>0.85577800000000004</v>
      </c>
      <c r="Y5612">
        <v>-0.55737029999999999</v>
      </c>
      <c r="Z5612">
        <v>4.8311630000000003E-3</v>
      </c>
      <c r="AA5612">
        <v>0.83025000000000004</v>
      </c>
      <c r="AB5612">
        <v>29</v>
      </c>
      <c r="AC5612">
        <v>0.43020000000001302</v>
      </c>
      <c r="AD5612">
        <v>-8.8243999999999906E-2</v>
      </c>
      <c r="AE5612">
        <v>0.695940000000007</v>
      </c>
      <c r="AF5612">
        <v>-0.51693087584108199</v>
      </c>
      <c r="AG5612">
        <v>-8.8243999999999906E-2</v>
      </c>
      <c r="AH5612">
        <v>0.62199725400647898</v>
      </c>
      <c r="AI5612">
        <v>96.2268983842674</v>
      </c>
      <c r="AJ5612">
        <v>129.729368779281</v>
      </c>
      <c r="AK5612">
        <v>0.81356322306593298</v>
      </c>
      <c r="AL5612">
        <v>65.783926086409195</v>
      </c>
      <c r="AM5612">
        <v>110.224073528716</v>
      </c>
      <c r="AN5612">
        <v>0.99999998449104899</v>
      </c>
    </row>
    <row r="5613" spans="1:40" x14ac:dyDescent="0.25">
      <c r="A5613" t="str">
        <f>"20190304164756352"</f>
        <v>20190304164756352</v>
      </c>
      <c r="B5613" t="str">
        <f>"1551689276345205"</f>
        <v>1551689276345205</v>
      </c>
      <c r="C5613" t="s">
        <v>40</v>
      </c>
      <c r="D5613">
        <v>4.5726719999999998</v>
      </c>
      <c r="E5613">
        <v>0.38190879999999999</v>
      </c>
      <c r="F5613" t="s">
        <v>41</v>
      </c>
      <c r="G5613">
        <v>-207.16829999999999</v>
      </c>
      <c r="H5613">
        <v>1.020499</v>
      </c>
      <c r="I5613">
        <v>-59.351059999999997</v>
      </c>
      <c r="J5613">
        <v>-207.65629999999999</v>
      </c>
      <c r="K5613">
        <v>1.1182920000000001</v>
      </c>
      <c r="L5613">
        <v>-60.142150000000001</v>
      </c>
      <c r="M5613">
        <v>0.94630250000000005</v>
      </c>
      <c r="N5613">
        <v>-1.244582E-2</v>
      </c>
      <c r="O5613">
        <v>0.32304310000000003</v>
      </c>
      <c r="P5613">
        <v>0.71527030000000003</v>
      </c>
      <c r="Q5613">
        <v>0.4055204</v>
      </c>
      <c r="R5613">
        <v>0.56915879999999996</v>
      </c>
      <c r="S5613">
        <v>2.1274869999999999</v>
      </c>
      <c r="T5613">
        <v>-0.3284667</v>
      </c>
      <c r="U5613">
        <v>2.838104</v>
      </c>
      <c r="V5613">
        <v>-0.31525629999999999</v>
      </c>
      <c r="W5613">
        <v>0.41040110000000002</v>
      </c>
      <c r="X5613">
        <v>0.85567780000000004</v>
      </c>
      <c r="Y5613">
        <v>-0.56188890000000002</v>
      </c>
      <c r="Z5613">
        <v>4.6845949999999997E-3</v>
      </c>
      <c r="AA5613">
        <v>0.82719949999999998</v>
      </c>
      <c r="AB5613">
        <v>29</v>
      </c>
      <c r="AC5613">
        <v>0.48799999999999899</v>
      </c>
      <c r="AD5613">
        <v>-9.7793000000000005E-2</v>
      </c>
      <c r="AE5613">
        <v>0.79109000000000396</v>
      </c>
      <c r="AF5613">
        <v>-0.58454071130417995</v>
      </c>
      <c r="AG5613">
        <v>-9.7793000000000005E-2</v>
      </c>
      <c r="AH5613">
        <v>0.709553071584337</v>
      </c>
      <c r="AI5613">
        <v>96.072010251794296</v>
      </c>
      <c r="AJ5613">
        <v>129.48222071811</v>
      </c>
      <c r="AK5613">
        <v>0.92450899152780797</v>
      </c>
      <c r="AL5613">
        <v>65.769967459597694</v>
      </c>
      <c r="AM5613">
        <v>110.22524761579901</v>
      </c>
      <c r="AN5613">
        <v>1.00000004749186</v>
      </c>
    </row>
    <row r="5614" spans="1:40" x14ac:dyDescent="0.25">
      <c r="A5614" t="str">
        <f>"20190304164756363"</f>
        <v>20190304164756363</v>
      </c>
      <c r="B5614" t="str">
        <f>"1551689276354966"</f>
        <v>1551689276354966</v>
      </c>
      <c r="C5614" t="s">
        <v>40</v>
      </c>
      <c r="D5614">
        <v>4.5682510000000001</v>
      </c>
      <c r="E5614">
        <v>0.38065379999999999</v>
      </c>
      <c r="F5614" t="s">
        <v>41</v>
      </c>
      <c r="G5614">
        <v>-207.1268</v>
      </c>
      <c r="H5614">
        <v>1.036289</v>
      </c>
      <c r="I5614">
        <v>-59.420119999999997</v>
      </c>
      <c r="J5614">
        <v>-207.52889999999999</v>
      </c>
      <c r="K5614">
        <v>1.1183129999999999</v>
      </c>
      <c r="L5614">
        <v>-60.093780000000002</v>
      </c>
      <c r="M5614">
        <v>0.94479749999999996</v>
      </c>
      <c r="N5614">
        <v>-1.241942E-2</v>
      </c>
      <c r="O5614">
        <v>0.32741920000000002</v>
      </c>
      <c r="P5614">
        <v>0.71256239999999904</v>
      </c>
      <c r="Q5614">
        <v>0.40590789999999999</v>
      </c>
      <c r="R5614">
        <v>0.57227059999999996</v>
      </c>
      <c r="S5614">
        <v>2.1001430000000001</v>
      </c>
      <c r="T5614">
        <v>-0.32522069999999997</v>
      </c>
      <c r="U5614">
        <v>2.8633419999999998</v>
      </c>
      <c r="V5614">
        <v>-0.31511729999999999</v>
      </c>
      <c r="W5614">
        <v>0.41075630000000002</v>
      </c>
      <c r="X5614">
        <v>0.855558499999999</v>
      </c>
      <c r="Y5614">
        <v>-0.56669190000000003</v>
      </c>
      <c r="Z5614">
        <v>4.6196229999999998E-3</v>
      </c>
      <c r="AA5614">
        <v>0.82391689999999995</v>
      </c>
      <c r="AB5614">
        <v>29</v>
      </c>
      <c r="AC5614">
        <v>0.40209999999999002</v>
      </c>
      <c r="AD5614">
        <v>-8.2023999999999805E-2</v>
      </c>
      <c r="AE5614">
        <v>0.67366000000000503</v>
      </c>
      <c r="AF5614">
        <v>-0.499397172935161</v>
      </c>
      <c r="AG5614">
        <v>-8.2023999999999805E-2</v>
      </c>
      <c r="AH5614">
        <v>0.59402546186767202</v>
      </c>
      <c r="AI5614">
        <v>96.033381646105994</v>
      </c>
      <c r="AJ5614">
        <v>130.05376422874801</v>
      </c>
      <c r="AK5614">
        <v>0.78037921695720003</v>
      </c>
      <c r="AL5614">
        <v>65.747646727597896</v>
      </c>
      <c r="AM5614">
        <v>110.219643002517</v>
      </c>
      <c r="AN5614">
        <v>0.99999999883561397</v>
      </c>
    </row>
    <row r="5615" spans="1:40" x14ac:dyDescent="0.25">
      <c r="A5615" t="str">
        <f>"20190304164756375"</f>
        <v>20190304164756375</v>
      </c>
      <c r="B5615" t="str">
        <f>"1551689276364725"</f>
        <v>1551689276364725</v>
      </c>
      <c r="C5615" t="s">
        <v>40</v>
      </c>
      <c r="D5615">
        <v>4.5712219999999997</v>
      </c>
      <c r="E5615">
        <v>0.37945430000000002</v>
      </c>
      <c r="F5615" t="s">
        <v>41</v>
      </c>
      <c r="G5615">
        <v>-206.9289</v>
      </c>
      <c r="H5615">
        <v>1.025029</v>
      </c>
      <c r="I5615">
        <v>-59.262720000000002</v>
      </c>
      <c r="J5615">
        <v>-207.37960000000001</v>
      </c>
      <c r="K5615">
        <v>1.1183399999999999</v>
      </c>
      <c r="L5615">
        <v>-60.036799999999999</v>
      </c>
      <c r="M5615">
        <v>0.94300740000000005</v>
      </c>
      <c r="N5615">
        <v>-1.238856E-2</v>
      </c>
      <c r="O5615">
        <v>0.33254119999999998</v>
      </c>
      <c r="P5615">
        <v>0.70946659999999995</v>
      </c>
      <c r="Q5615">
        <v>0.40598960000000001</v>
      </c>
      <c r="R5615">
        <v>0.57604669999999902</v>
      </c>
      <c r="S5615">
        <v>2.0801539999999998</v>
      </c>
      <c r="T5615">
        <v>-0.3234358</v>
      </c>
      <c r="U5615">
        <v>2.8815919999999999</v>
      </c>
      <c r="V5615">
        <v>-0.31505179999999999</v>
      </c>
      <c r="W5615">
        <v>0.4108002</v>
      </c>
      <c r="X5615">
        <v>0.85556160000000003</v>
      </c>
      <c r="Y5615">
        <v>-0.56848369999999904</v>
      </c>
      <c r="Z5615">
        <v>4.2766929999999998E-3</v>
      </c>
      <c r="AA5615">
        <v>0.82268349999999901</v>
      </c>
      <c r="AB5615">
        <v>29</v>
      </c>
      <c r="AC5615">
        <v>0.45070000000001098</v>
      </c>
      <c r="AD5615">
        <v>-9.33109999999997E-2</v>
      </c>
      <c r="AE5615">
        <v>0.77408000000000499</v>
      </c>
      <c r="AF5615">
        <v>-0.57390330808684797</v>
      </c>
      <c r="AG5615">
        <v>-9.33109999999997E-2</v>
      </c>
      <c r="AH5615">
        <v>0.675152473338681</v>
      </c>
      <c r="AI5615">
        <v>96.011306262682297</v>
      </c>
      <c r="AJ5615">
        <v>130.365704478574</v>
      </c>
      <c r="AK5615">
        <v>0.89101224010075497</v>
      </c>
      <c r="AL5615">
        <v>65.744889161932605</v>
      </c>
      <c r="AM5615">
        <v>110.215713103289</v>
      </c>
      <c r="AN5615">
        <v>1.00000004619891</v>
      </c>
    </row>
    <row r="5616" spans="1:40" x14ac:dyDescent="0.25">
      <c r="A5616" t="str">
        <f>"20190304164756387"</f>
        <v>20190304164756387</v>
      </c>
      <c r="B5616" t="str">
        <f>"1551689276374485"</f>
        <v>1551689276374485</v>
      </c>
      <c r="C5616" t="s">
        <v>40</v>
      </c>
      <c r="D5616">
        <v>4.581226</v>
      </c>
      <c r="E5616">
        <v>0.37853500000000001</v>
      </c>
      <c r="F5616" t="s">
        <v>53</v>
      </c>
      <c r="G5616">
        <v>-200.24420000000001</v>
      </c>
      <c r="H5616" s="1">
        <v>-7.0278120000000002E-6</v>
      </c>
      <c r="I5616">
        <v>-49.976840000000003</v>
      </c>
      <c r="J5616">
        <v>-207.2432</v>
      </c>
      <c r="K5616">
        <v>1.118366</v>
      </c>
      <c r="L5616">
        <v>-59.983519999999999</v>
      </c>
      <c r="M5616">
        <v>0.94133659999999997</v>
      </c>
      <c r="N5616">
        <v>-1.2361230000000001E-2</v>
      </c>
      <c r="O5616">
        <v>0.33724270000000001</v>
      </c>
      <c r="P5616">
        <v>0.70678090000000005</v>
      </c>
      <c r="Q5616">
        <v>0.40603699999999998</v>
      </c>
      <c r="R5616">
        <v>0.57930550000000003</v>
      </c>
      <c r="S5616">
        <v>2.0576319999999999</v>
      </c>
      <c r="T5616">
        <v>-0.32249529999999998</v>
      </c>
      <c r="U5616">
        <v>2.90097</v>
      </c>
      <c r="V5616">
        <v>-0.31474550000000001</v>
      </c>
      <c r="W5616">
        <v>0.4108176</v>
      </c>
      <c r="X5616">
        <v>0.85566589999999998</v>
      </c>
      <c r="Y5616">
        <v>-0.57123400000000002</v>
      </c>
      <c r="Z5616">
        <v>4.0290090000000001E-3</v>
      </c>
      <c r="AA5616">
        <v>0.82077739999999999</v>
      </c>
      <c r="AB5616">
        <v>29</v>
      </c>
      <c r="AC5616">
        <v>6.9989999999999899</v>
      </c>
      <c r="AD5616">
        <v>-1.1183730278120001</v>
      </c>
      <c r="AE5616">
        <v>10.0066799999999</v>
      </c>
      <c r="AF5616">
        <v>-7.0011091352427099</v>
      </c>
      <c r="AG5616">
        <v>-1.1183730278120001</v>
      </c>
      <c r="AH5616">
        <v>9.88097790487355</v>
      </c>
      <c r="AI5616">
        <v>95.276418592885307</v>
      </c>
      <c r="AJ5616">
        <v>125.319256105647</v>
      </c>
      <c r="AK5616">
        <v>12.1614148728474</v>
      </c>
      <c r="AL5616">
        <v>65.743794010177297</v>
      </c>
      <c r="AM5616">
        <v>110.19538484556099</v>
      </c>
      <c r="AN5616">
        <v>0.99999998133140899</v>
      </c>
    </row>
    <row r="5617" spans="1:40" x14ac:dyDescent="0.25">
      <c r="A5617" t="str">
        <f>"20190304164756398"</f>
        <v>20190304164756398</v>
      </c>
      <c r="B5617" t="str">
        <f>"1551689276394982"</f>
        <v>1551689276394982</v>
      </c>
      <c r="C5617" t="s">
        <v>40</v>
      </c>
      <c r="D5617">
        <v>4.5974899999999996</v>
      </c>
      <c r="E5617">
        <v>0.3774595</v>
      </c>
      <c r="F5617" t="s">
        <v>41</v>
      </c>
      <c r="G5617">
        <v>-206.68360000000001</v>
      </c>
      <c r="H5617">
        <v>1.0299969999999901</v>
      </c>
      <c r="I5617">
        <v>-59.182490000000001</v>
      </c>
      <c r="J5617">
        <v>-207.1095</v>
      </c>
      <c r="K5617">
        <v>1.1183890000000001</v>
      </c>
      <c r="L5617">
        <v>-59.930819999999997</v>
      </c>
      <c r="M5617">
        <v>0.93967259999999997</v>
      </c>
      <c r="N5617">
        <v>-1.233427E-2</v>
      </c>
      <c r="O5617">
        <v>0.34185290000000002</v>
      </c>
      <c r="P5617">
        <v>0.70424549999999997</v>
      </c>
      <c r="Q5617">
        <v>0.406028</v>
      </c>
      <c r="R5617">
        <v>0.58239110000000005</v>
      </c>
      <c r="S5617">
        <v>2.0383</v>
      </c>
      <c r="T5617">
        <v>-0.3218548</v>
      </c>
      <c r="U5617">
        <v>2.917389</v>
      </c>
      <c r="V5617">
        <v>-0.31430659999999999</v>
      </c>
      <c r="W5617">
        <v>0.41078239999999999</v>
      </c>
      <c r="X5617">
        <v>0.855844099999999</v>
      </c>
      <c r="Y5617">
        <v>-0.57305010000000001</v>
      </c>
      <c r="Z5617">
        <v>3.726142E-3</v>
      </c>
      <c r="AA5617">
        <v>0.81951189999999996</v>
      </c>
      <c r="AB5617">
        <v>29</v>
      </c>
      <c r="AC5617">
        <v>0.42589999999998401</v>
      </c>
      <c r="AD5617">
        <v>-8.8391999999999998E-2</v>
      </c>
      <c r="AE5617">
        <v>0.74832999999999505</v>
      </c>
      <c r="AF5617">
        <v>-0.55181708751565395</v>
      </c>
      <c r="AG5617">
        <v>-8.8391999999999998E-2</v>
      </c>
      <c r="AH5617">
        <v>0.64923324076828204</v>
      </c>
      <c r="AI5617">
        <v>95.922632737107705</v>
      </c>
      <c r="AJ5617">
        <v>130.36293970200899</v>
      </c>
      <c r="AK5617">
        <v>0.85663238594904001</v>
      </c>
      <c r="AL5617">
        <v>65.746005831333804</v>
      </c>
      <c r="AM5617">
        <v>110.16563288568599</v>
      </c>
      <c r="AN5617">
        <v>0.99999997122906403</v>
      </c>
    </row>
    <row r="5618" spans="1:40" x14ac:dyDescent="0.25">
      <c r="A5618" t="str">
        <f>"20190304164756408"</f>
        <v>20190304164756408</v>
      </c>
      <c r="B5618" t="str">
        <f>"1551689276404742"</f>
        <v>1551689276404742</v>
      </c>
      <c r="C5618" t="s">
        <v>40</v>
      </c>
      <c r="D5618">
        <v>4.6078039999999998</v>
      </c>
      <c r="E5618">
        <v>0.3770001</v>
      </c>
      <c r="F5618" t="s">
        <v>53</v>
      </c>
      <c r="G5618">
        <v>-200.13499999999999</v>
      </c>
      <c r="H5618" s="1">
        <v>-6.9914100000000004E-6</v>
      </c>
      <c r="I5618">
        <v>-49.796030000000002</v>
      </c>
      <c r="J5618">
        <v>-206.9726</v>
      </c>
      <c r="K5618">
        <v>1.1184130000000001</v>
      </c>
      <c r="L5618">
        <v>-59.875889999999998</v>
      </c>
      <c r="M5618">
        <v>0.93793740000000003</v>
      </c>
      <c r="N5618">
        <v>-1.230649E-2</v>
      </c>
      <c r="O5618">
        <v>0.34658620000000001</v>
      </c>
      <c r="P5618">
        <v>0.70154640000000001</v>
      </c>
      <c r="Q5618">
        <v>0.40593170000000001</v>
      </c>
      <c r="R5618">
        <v>0.58570639999999996</v>
      </c>
      <c r="S5618">
        <v>2.0196230000000002</v>
      </c>
      <c r="T5618">
        <v>-0.3238531</v>
      </c>
      <c r="U5618">
        <v>2.934723</v>
      </c>
      <c r="V5618">
        <v>-0.31402429999999998</v>
      </c>
      <c r="W5618">
        <v>0.41065499999999999</v>
      </c>
      <c r="X5618">
        <v>0.85600889999999996</v>
      </c>
      <c r="Y5618">
        <v>-0.57471859999999997</v>
      </c>
      <c r="Z5618">
        <v>3.3674989999999999E-3</v>
      </c>
      <c r="AA5618">
        <v>0.81834419999999897</v>
      </c>
      <c r="AB5618">
        <v>29</v>
      </c>
      <c r="AC5618">
        <v>6.8376000000000001</v>
      </c>
      <c r="AD5618">
        <v>-1.1184199914099999</v>
      </c>
      <c r="AE5618">
        <v>10.07986</v>
      </c>
      <c r="AF5618">
        <v>-7.0257588451957202</v>
      </c>
      <c r="AG5618">
        <v>-1.1184199914099999</v>
      </c>
      <c r="AH5618">
        <v>9.8246946705101799</v>
      </c>
      <c r="AI5618">
        <v>95.290347651398505</v>
      </c>
      <c r="AJ5618">
        <v>125.56902098314301</v>
      </c>
      <c r="AK5618">
        <v>12.129994888572</v>
      </c>
      <c r="AL5618">
        <v>65.754012827662905</v>
      </c>
      <c r="AM5618">
        <v>110.145410918333</v>
      </c>
      <c r="AN5618">
        <v>1.0000000134473499</v>
      </c>
    </row>
    <row r="5619" spans="1:40" x14ac:dyDescent="0.25">
      <c r="A5619" t="str">
        <f>"20190304164756420"</f>
        <v>20190304164756420</v>
      </c>
      <c r="B5619" t="str">
        <f>"1551689276414502"</f>
        <v>1551689276414502</v>
      </c>
      <c r="C5619" t="s">
        <v>40</v>
      </c>
      <c r="D5619">
        <v>4.6308369999999996</v>
      </c>
      <c r="E5619">
        <v>0.37674530000000001</v>
      </c>
      <c r="F5619" t="s">
        <v>41</v>
      </c>
      <c r="G5619">
        <v>-206.44200000000001</v>
      </c>
      <c r="H5619">
        <v>1.0324690000000001</v>
      </c>
      <c r="I5619">
        <v>-59.095019999999998</v>
      </c>
      <c r="J5619">
        <v>-206.84100000000001</v>
      </c>
      <c r="K5619">
        <v>1.118433</v>
      </c>
      <c r="L5619">
        <v>-59.822270000000003</v>
      </c>
      <c r="M5619">
        <v>0.93623920000000005</v>
      </c>
      <c r="N5619">
        <v>-1.227868E-2</v>
      </c>
      <c r="O5619">
        <v>0.35114889999999999</v>
      </c>
      <c r="P5619">
        <v>0.69891250000000005</v>
      </c>
      <c r="Q5619">
        <v>0.40564169999999999</v>
      </c>
      <c r="R5619">
        <v>0.58904679999999998</v>
      </c>
      <c r="S5619">
        <v>2.0028839999999999</v>
      </c>
      <c r="T5619">
        <v>-0.32441629999999999</v>
      </c>
      <c r="U5619">
        <v>2.947845</v>
      </c>
      <c r="V5619">
        <v>-0.31389400000000001</v>
      </c>
      <c r="W5619">
        <v>0.41033199999999997</v>
      </c>
      <c r="X5619">
        <v>0.85621150000000001</v>
      </c>
      <c r="Y5619">
        <v>-0.57561709999999899</v>
      </c>
      <c r="Z5619">
        <v>2.987731E-3</v>
      </c>
      <c r="AA5619">
        <v>0.81771400000000005</v>
      </c>
      <c r="AB5619">
        <v>29</v>
      </c>
      <c r="AC5619">
        <v>0.39899999999997199</v>
      </c>
      <c r="AD5619">
        <v>-8.5963999999999902E-2</v>
      </c>
      <c r="AE5619">
        <v>0.72724999999999795</v>
      </c>
      <c r="AF5619">
        <v>-0.535065912102901</v>
      </c>
      <c r="AG5619">
        <v>-8.5963999999999902E-2</v>
      </c>
      <c r="AH5619">
        <v>0.62229666477599599</v>
      </c>
      <c r="AI5619">
        <v>95.979625380407597</v>
      </c>
      <c r="AJ5619">
        <v>130.68974989210199</v>
      </c>
      <c r="AK5619">
        <v>0.82518996514853304</v>
      </c>
      <c r="AL5619">
        <v>65.774306821746094</v>
      </c>
      <c r="AM5619">
        <v>110.133341227708</v>
      </c>
      <c r="AN5619">
        <v>0.99999996309612404</v>
      </c>
    </row>
    <row r="5620" spans="1:40" x14ac:dyDescent="0.25">
      <c r="A5620" t="str">
        <f>"20190304164756432"</f>
        <v>20190304164756432</v>
      </c>
      <c r="B5620" t="str">
        <f>"1551689276425238"</f>
        <v>1551689276425238</v>
      </c>
      <c r="C5620" t="s">
        <v>40</v>
      </c>
      <c r="D5620">
        <v>4.6162549999999998</v>
      </c>
      <c r="E5620">
        <v>0.37659359999999997</v>
      </c>
      <c r="F5620" t="s">
        <v>53</v>
      </c>
      <c r="G5620">
        <v>-200.03389999999999</v>
      </c>
      <c r="H5620" s="1">
        <v>-6.9811500000000001E-6</v>
      </c>
      <c r="I5620">
        <v>-49.686990000000002</v>
      </c>
      <c r="J5620">
        <v>-206.6934</v>
      </c>
      <c r="K5620">
        <v>1.11846</v>
      </c>
      <c r="L5620">
        <v>-59.761539999999997</v>
      </c>
      <c r="M5620">
        <v>0.93430310000000005</v>
      </c>
      <c r="N5620">
        <v>-1.2246470000000001E-2</v>
      </c>
      <c r="O5620">
        <v>0.35626930000000001</v>
      </c>
      <c r="P5620">
        <v>0.69578309999999999</v>
      </c>
      <c r="Q5620">
        <v>0.4057656</v>
      </c>
      <c r="R5620">
        <v>0.59265519999999905</v>
      </c>
      <c r="S5620">
        <v>1.9876560000000001</v>
      </c>
      <c r="T5620">
        <v>-0.32658160000000003</v>
      </c>
      <c r="U5620">
        <v>2.959473</v>
      </c>
      <c r="V5620">
        <v>-0.31368410000000002</v>
      </c>
      <c r="W5620">
        <v>0.41041680000000003</v>
      </c>
      <c r="X5620">
        <v>0.8562478</v>
      </c>
      <c r="Y5620">
        <v>-0.57553259999999995</v>
      </c>
      <c r="Z5620">
        <v>2.460584E-3</v>
      </c>
      <c r="AA5620">
        <v>0.81777519999999904</v>
      </c>
      <c r="AB5620">
        <v>29</v>
      </c>
      <c r="AC5620">
        <v>6.6595000000000004</v>
      </c>
      <c r="AD5620">
        <v>-1.1184669811499901</v>
      </c>
      <c r="AE5620">
        <v>10.07455</v>
      </c>
      <c r="AF5620">
        <v>-6.9807591804863902</v>
      </c>
      <c r="AG5620">
        <v>-1.1184669811499901</v>
      </c>
      <c r="AH5620">
        <v>9.7285347407383505</v>
      </c>
      <c r="AI5620">
        <v>95.336421894012801</v>
      </c>
      <c r="AJ5620">
        <v>125.661521542073</v>
      </c>
      <c r="AK5620">
        <v>12.0260698204201</v>
      </c>
      <c r="AL5620">
        <v>65.7689792621983</v>
      </c>
      <c r="AM5620">
        <v>110.120173753339</v>
      </c>
      <c r="AN5620">
        <v>0.99999997965994403</v>
      </c>
    </row>
    <row r="5621" spans="1:40" x14ac:dyDescent="0.25">
      <c r="A5621" t="str">
        <f>"20190304164756445"</f>
        <v>20190304164756445</v>
      </c>
      <c r="B5621" t="str">
        <f>"1551689276434998"</f>
        <v>1551689276434998</v>
      </c>
      <c r="C5621" t="s">
        <v>40</v>
      </c>
      <c r="D5621">
        <v>4.6082809999999998</v>
      </c>
      <c r="E5621">
        <v>0.37640420000000002</v>
      </c>
      <c r="F5621" t="s">
        <v>41</v>
      </c>
      <c r="G5621">
        <v>-206.19630000000001</v>
      </c>
      <c r="H5621">
        <v>1.035874</v>
      </c>
      <c r="I5621">
        <v>-59.01238</v>
      </c>
      <c r="J5621">
        <v>-206.54150000000001</v>
      </c>
      <c r="K5621">
        <v>1.118487</v>
      </c>
      <c r="L5621">
        <v>-59.697629999999997</v>
      </c>
      <c r="M5621">
        <v>0.93226920000000002</v>
      </c>
      <c r="N5621">
        <v>-1.221097E-2</v>
      </c>
      <c r="O5621">
        <v>0.36155949999999998</v>
      </c>
      <c r="P5621">
        <v>0.69231030000000005</v>
      </c>
      <c r="Q5621">
        <v>0.40634389999999998</v>
      </c>
      <c r="R5621">
        <v>0.59631469999999998</v>
      </c>
      <c r="S5621">
        <v>1.9717249999999999</v>
      </c>
      <c r="T5621">
        <v>-0.32756999999999997</v>
      </c>
      <c r="U5621">
        <v>2.9714360000000002</v>
      </c>
      <c r="V5621">
        <v>-0.31349660000000001</v>
      </c>
      <c r="W5621">
        <v>0.41094979999999998</v>
      </c>
      <c r="X5621">
        <v>0.85606090000000001</v>
      </c>
      <c r="Y5621">
        <v>-0.57547280000000001</v>
      </c>
      <c r="Z5621">
        <v>1.9310149999999999E-3</v>
      </c>
      <c r="AA5621">
        <v>0.81781859999999995</v>
      </c>
      <c r="AB5621">
        <v>29</v>
      </c>
      <c r="AC5621">
        <v>0.345200000000005</v>
      </c>
      <c r="AD5621">
        <v>-8.2613000000000006E-2</v>
      </c>
      <c r="AE5621">
        <v>0.68524999999999603</v>
      </c>
      <c r="AF5621">
        <v>-0.50817434221307001</v>
      </c>
      <c r="AG5621">
        <v>-8.2613000000000006E-2</v>
      </c>
      <c r="AH5621">
        <v>0.56309267752122205</v>
      </c>
      <c r="AI5621">
        <v>96.215982565088694</v>
      </c>
      <c r="AJ5621">
        <v>132.06530994463</v>
      </c>
      <c r="AK5621">
        <v>0.76298062447922299</v>
      </c>
      <c r="AL5621">
        <v>65.735487833169103</v>
      </c>
      <c r="AM5621">
        <v>110.113149516653</v>
      </c>
      <c r="AN5621">
        <v>1.0000000604202</v>
      </c>
    </row>
    <row r="5622" spans="1:40" x14ac:dyDescent="0.25">
      <c r="A5622" t="str">
        <f>"20190304164756458"</f>
        <v>20190304164756458</v>
      </c>
      <c r="B5622" t="str">
        <f>"1551689276454517"</f>
        <v>1551689276454517</v>
      </c>
      <c r="C5622" t="s">
        <v>40</v>
      </c>
      <c r="D5622">
        <v>4.6337760000000001</v>
      </c>
      <c r="E5622">
        <v>0.3760677</v>
      </c>
      <c r="F5622" t="s">
        <v>41</v>
      </c>
      <c r="G5622">
        <v>-205.994</v>
      </c>
      <c r="H5622">
        <v>1.026937</v>
      </c>
      <c r="I5622">
        <v>-58.862540000000003</v>
      </c>
      <c r="J5622">
        <v>-206.39089999999999</v>
      </c>
      <c r="K5622">
        <v>1.118519</v>
      </c>
      <c r="L5622">
        <v>-59.633580000000002</v>
      </c>
      <c r="M5622">
        <v>0.93021549999999997</v>
      </c>
      <c r="N5622">
        <v>-1.217528E-2</v>
      </c>
      <c r="O5622">
        <v>0.36681170000000002</v>
      </c>
      <c r="P5622">
        <v>0.68895729999999999</v>
      </c>
      <c r="Q5622">
        <v>0.40681679999999998</v>
      </c>
      <c r="R5622">
        <v>0.59986499999999998</v>
      </c>
      <c r="S5622">
        <v>1.955597</v>
      </c>
      <c r="T5622">
        <v>-0.32702979999999998</v>
      </c>
      <c r="U5622">
        <v>2.9833069999999999</v>
      </c>
      <c r="V5622">
        <v>-0.31319780000000003</v>
      </c>
      <c r="W5622">
        <v>0.41138140000000001</v>
      </c>
      <c r="X5622">
        <v>0.85596289999999997</v>
      </c>
      <c r="Y5622">
        <v>-0.57547009999999998</v>
      </c>
      <c r="Z5622">
        <v>1.4348640000000001E-3</v>
      </c>
      <c r="AA5622">
        <v>0.81782149999999998</v>
      </c>
      <c r="AB5622">
        <v>29</v>
      </c>
      <c r="AC5622">
        <v>0.39689999999995901</v>
      </c>
      <c r="AD5622">
        <v>-9.1581999999999997E-2</v>
      </c>
      <c r="AE5622">
        <v>0.77103999999999895</v>
      </c>
      <c r="AF5622">
        <v>-0.56538259103493504</v>
      </c>
      <c r="AG5622">
        <v>-9.1581999999999997E-2</v>
      </c>
      <c r="AH5622">
        <v>0.64488510651890996</v>
      </c>
      <c r="AI5622">
        <v>96.095209706779499</v>
      </c>
      <c r="AJ5622">
        <v>131.24163859760301</v>
      </c>
      <c r="AK5622">
        <v>0.86250886231927104</v>
      </c>
      <c r="AL5622">
        <v>65.708358284124103</v>
      </c>
      <c r="AM5622">
        <v>110.097630440183</v>
      </c>
      <c r="AN5622">
        <v>1.0000000021836</v>
      </c>
    </row>
    <row r="5623" spans="1:40" x14ac:dyDescent="0.25">
      <c r="A5623" t="str">
        <f>"20190304164756475"</f>
        <v>20190304164756475</v>
      </c>
      <c r="B5623" t="str">
        <f>"1551689276465253"</f>
        <v>1551689276465253</v>
      </c>
      <c r="C5623" t="s">
        <v>40</v>
      </c>
      <c r="D5623">
        <v>4.6569609999999999</v>
      </c>
      <c r="E5623">
        <v>0.3758206</v>
      </c>
      <c r="F5623" t="s">
        <v>53</v>
      </c>
      <c r="G5623">
        <v>-199.78049999999999</v>
      </c>
      <c r="H5623" s="1">
        <v>-3.5531759999999999E-6</v>
      </c>
      <c r="I5623">
        <v>-49.414000000000001</v>
      </c>
      <c r="J5623">
        <v>-206.18809999999999</v>
      </c>
      <c r="K5623">
        <v>1.118555</v>
      </c>
      <c r="L5623">
        <v>-59.545679999999997</v>
      </c>
      <c r="M5623">
        <v>0.92739050000000001</v>
      </c>
      <c r="N5623">
        <v>-1.2127249999999999E-2</v>
      </c>
      <c r="O5623">
        <v>0.37389820000000001</v>
      </c>
      <c r="P5623">
        <v>0.68475390000000003</v>
      </c>
      <c r="Q5623">
        <v>0.40753529999999999</v>
      </c>
      <c r="R5623">
        <v>0.60417469999999995</v>
      </c>
      <c r="S5623">
        <v>1.938599</v>
      </c>
      <c r="T5623">
        <v>-0.3280264</v>
      </c>
      <c r="U5623">
        <v>2.9970699999999999</v>
      </c>
      <c r="V5623">
        <v>-0.31222850000000002</v>
      </c>
      <c r="W5623">
        <v>0.41205750000000002</v>
      </c>
      <c r="X5623">
        <v>0.85599179999999997</v>
      </c>
      <c r="Y5623">
        <v>-0.57424310000000001</v>
      </c>
      <c r="Z5623">
        <v>6.5049719999999995E-4</v>
      </c>
      <c r="AA5623">
        <v>0.81868459999999998</v>
      </c>
      <c r="AB5623">
        <v>29</v>
      </c>
      <c r="AC5623">
        <v>6.4076000000000004</v>
      </c>
      <c r="AD5623">
        <v>-1.1185585531760001</v>
      </c>
      <c r="AE5623">
        <v>10.131679999999999</v>
      </c>
      <c r="AF5623">
        <v>-6.9403234157043299</v>
      </c>
      <c r="AG5623">
        <v>-1.1185585531760001</v>
      </c>
      <c r="AH5623">
        <v>9.6472869732406092</v>
      </c>
      <c r="AI5623">
        <v>95.376847225386697</v>
      </c>
      <c r="AJ5623">
        <v>125.73149526351401</v>
      </c>
      <c r="AK5623">
        <v>11.9368927403874</v>
      </c>
      <c r="AL5623">
        <v>65.665850329564506</v>
      </c>
      <c r="AM5623">
        <v>110.03976552479</v>
      </c>
      <c r="AN5623">
        <v>0.99999999059287004</v>
      </c>
    </row>
    <row r="5624" spans="1:40" x14ac:dyDescent="0.25">
      <c r="A5624" t="str">
        <f>"20190304164756488"</f>
        <v>20190304164756488</v>
      </c>
      <c r="B5624" t="str">
        <f>"1551689276484774"</f>
        <v>1551689276484774</v>
      </c>
      <c r="C5624" t="s">
        <v>40</v>
      </c>
      <c r="D5624">
        <v>4.6640649999999999</v>
      </c>
      <c r="E5624">
        <v>0.37559769999999998</v>
      </c>
      <c r="F5624" t="s">
        <v>53</v>
      </c>
      <c r="G5624">
        <v>-199.6011</v>
      </c>
      <c r="H5624" s="1">
        <v>-3.6338619999999999E-6</v>
      </c>
      <c r="I5624">
        <v>-49.190190000000001</v>
      </c>
      <c r="J5624">
        <v>-206.01910000000001</v>
      </c>
      <c r="K5624">
        <v>1.1185830000000001</v>
      </c>
      <c r="L5624">
        <v>-59.470730000000003</v>
      </c>
      <c r="M5624">
        <v>0.92498040000000004</v>
      </c>
      <c r="N5624">
        <v>-1.2089519999999999E-2</v>
      </c>
      <c r="O5624">
        <v>0.37982270000000001</v>
      </c>
      <c r="P5624">
        <v>0.68102369999999901</v>
      </c>
      <c r="Q5624">
        <v>0.40791680000000002</v>
      </c>
      <c r="R5624">
        <v>0.60812069999999996</v>
      </c>
      <c r="S5624">
        <v>1.9164730000000001</v>
      </c>
      <c r="T5624">
        <v>-0.32544220000000001</v>
      </c>
      <c r="U5624">
        <v>3.0129090000000001</v>
      </c>
      <c r="V5624">
        <v>-0.31180849999999999</v>
      </c>
      <c r="W5624">
        <v>0.4124003</v>
      </c>
      <c r="X5624">
        <v>0.85597990000000002</v>
      </c>
      <c r="Y5624">
        <v>-0.5752718</v>
      </c>
      <c r="Z5624">
        <v>2.0653199999999999E-4</v>
      </c>
      <c r="AA5624">
        <v>0.81796230000000003</v>
      </c>
      <c r="AB5624">
        <v>29</v>
      </c>
      <c r="AC5624">
        <v>6.4180000000000001</v>
      </c>
      <c r="AD5624">
        <v>-1.1185866338620001</v>
      </c>
      <c r="AE5624">
        <v>10.28054</v>
      </c>
      <c r="AF5624">
        <v>-7.0123754323665697</v>
      </c>
      <c r="AG5624">
        <v>-1.1185866338620001</v>
      </c>
      <c r="AH5624">
        <v>9.7588914791069996</v>
      </c>
      <c r="AI5624">
        <v>95.317958414152301</v>
      </c>
      <c r="AJ5624">
        <v>125.69961484047001</v>
      </c>
      <c r="AK5624">
        <v>12.0689936681937</v>
      </c>
      <c r="AL5624">
        <v>65.644294437473903</v>
      </c>
      <c r="AM5624">
        <v>110.01520619435</v>
      </c>
      <c r="AN5624">
        <v>1.00000006865817</v>
      </c>
    </row>
    <row r="5625" spans="1:40" x14ac:dyDescent="0.25">
      <c r="A5625" t="str">
        <f>"20190304164756500"</f>
        <v>20190304164756500</v>
      </c>
      <c r="B5625" t="str">
        <f>"1551689276494534"</f>
        <v>1551689276494534</v>
      </c>
      <c r="C5625" t="s">
        <v>40</v>
      </c>
      <c r="D5625">
        <v>4.639475</v>
      </c>
      <c r="E5625">
        <v>0.37539050000000002</v>
      </c>
      <c r="F5625" t="s">
        <v>41</v>
      </c>
      <c r="G5625">
        <v>-205.5171</v>
      </c>
      <c r="H5625">
        <v>1.0321039999999999</v>
      </c>
      <c r="I5625">
        <v>-58.670270000000002</v>
      </c>
      <c r="J5625">
        <v>-205.8828</v>
      </c>
      <c r="K5625">
        <v>1.118598</v>
      </c>
      <c r="L5625">
        <v>-59.409419999999997</v>
      </c>
      <c r="M5625">
        <v>0.92300159999999998</v>
      </c>
      <c r="N5625">
        <v>-1.2060359999999999E-2</v>
      </c>
      <c r="O5625">
        <v>0.38460699999999998</v>
      </c>
      <c r="P5625">
        <v>0.67803349999999996</v>
      </c>
      <c r="Q5625">
        <v>0.40796969999999999</v>
      </c>
      <c r="R5625">
        <v>0.61141749999999995</v>
      </c>
      <c r="S5625">
        <v>1.8981319999999999</v>
      </c>
      <c r="T5625">
        <v>-0.32699420000000001</v>
      </c>
      <c r="U5625">
        <v>3.0269170000000001</v>
      </c>
      <c r="V5625">
        <v>-0.31155460000000001</v>
      </c>
      <c r="W5625">
        <v>0.41242380000000001</v>
      </c>
      <c r="X5625">
        <v>0.85606099999999996</v>
      </c>
      <c r="Y5625">
        <v>-0.57630289999999995</v>
      </c>
      <c r="Z5625">
        <v>-2.242159E-4</v>
      </c>
      <c r="AA5625">
        <v>0.81723610000000002</v>
      </c>
      <c r="AB5625">
        <v>29</v>
      </c>
      <c r="AC5625">
        <v>0.36570000000000302</v>
      </c>
      <c r="AD5625">
        <v>-8.6493999999999793E-2</v>
      </c>
      <c r="AE5625">
        <v>0.73915000000000197</v>
      </c>
      <c r="AF5625">
        <v>-0.535731938233037</v>
      </c>
      <c r="AG5625">
        <v>-8.6493999999999793E-2</v>
      </c>
      <c r="AH5625">
        <v>0.61510275396446601</v>
      </c>
      <c r="AI5625">
        <v>96.052856765989404</v>
      </c>
      <c r="AJ5625">
        <v>131.05466978065601</v>
      </c>
      <c r="AK5625">
        <v>0.82026905318535404</v>
      </c>
      <c r="AL5625">
        <v>65.642815896477401</v>
      </c>
      <c r="AM5625">
        <v>109.99845612496701</v>
      </c>
      <c r="AN5625">
        <v>1.0000000476542901</v>
      </c>
    </row>
    <row r="5626" spans="1:40" x14ac:dyDescent="0.25">
      <c r="A5626" t="str">
        <f>"20190304164756512"</f>
        <v>20190304164756512</v>
      </c>
      <c r="B5626" t="str">
        <f>"1551689276505271"</f>
        <v>1551689276505271</v>
      </c>
      <c r="C5626" t="s">
        <v>40</v>
      </c>
      <c r="D5626">
        <v>4.6791989999999997</v>
      </c>
      <c r="E5626">
        <v>0.37520140000000002</v>
      </c>
      <c r="F5626" t="s">
        <v>53</v>
      </c>
      <c r="G5626">
        <v>-199.45089999999999</v>
      </c>
      <c r="H5626" s="1">
        <v>-3.6905129999999998E-6</v>
      </c>
      <c r="I5626">
        <v>-49.02449</v>
      </c>
      <c r="J5626">
        <v>-205.74700000000001</v>
      </c>
      <c r="K5626">
        <v>1.1186130000000001</v>
      </c>
      <c r="L5626">
        <v>-59.347720000000002</v>
      </c>
      <c r="M5626">
        <v>0.92100130000000002</v>
      </c>
      <c r="N5626">
        <v>-1.203224E-2</v>
      </c>
      <c r="O5626">
        <v>0.3893739</v>
      </c>
      <c r="P5626">
        <v>0.67512450000000002</v>
      </c>
      <c r="Q5626">
        <v>0.4077519</v>
      </c>
      <c r="R5626">
        <v>0.61477269999999995</v>
      </c>
      <c r="S5626">
        <v>1.881729</v>
      </c>
      <c r="T5626">
        <v>-0.327264</v>
      </c>
      <c r="U5626">
        <v>3.0382690000000001</v>
      </c>
      <c r="V5626">
        <v>-0.31133</v>
      </c>
      <c r="W5626">
        <v>0.41217880000000001</v>
      </c>
      <c r="X5626">
        <v>0.85626069999999999</v>
      </c>
      <c r="Y5626">
        <v>-0.57664899999999997</v>
      </c>
      <c r="Z5626">
        <v>-6.6982019999999997E-4</v>
      </c>
      <c r="AA5626">
        <v>0.81699180000000005</v>
      </c>
      <c r="AB5626">
        <v>29</v>
      </c>
      <c r="AC5626">
        <v>6.2961000000000196</v>
      </c>
      <c r="AD5626">
        <v>-1.1186166905129999</v>
      </c>
      <c r="AE5626">
        <v>10.323229999999899</v>
      </c>
      <c r="AF5626">
        <v>-6.9968008884450699</v>
      </c>
      <c r="AG5626">
        <v>-1.1186166905129999</v>
      </c>
      <c r="AH5626">
        <v>9.7357017107419601</v>
      </c>
      <c r="AI5626">
        <v>95.330414077355897</v>
      </c>
      <c r="AJ5626">
        <v>125.703840257647</v>
      </c>
      <c r="AK5626">
        <v>12.041196525818499</v>
      </c>
      <c r="AL5626">
        <v>65.658224245135401</v>
      </c>
      <c r="AM5626">
        <v>109.980888659795</v>
      </c>
      <c r="AN5626">
        <v>1.00000005921696</v>
      </c>
    </row>
    <row r="5627" spans="1:40" x14ac:dyDescent="0.25">
      <c r="A5627" t="str">
        <f>"20190304164756522"</f>
        <v>20190304164756522</v>
      </c>
      <c r="B5627" t="str">
        <f>"1551689276515029"</f>
        <v>1551689276515029</v>
      </c>
      <c r="C5627" t="s">
        <v>40</v>
      </c>
      <c r="D5627">
        <v>4.649915</v>
      </c>
      <c r="E5627">
        <v>0.37510209999999999</v>
      </c>
      <c r="F5627" t="s">
        <v>41</v>
      </c>
      <c r="G5627">
        <v>-205.27520000000001</v>
      </c>
      <c r="H5627">
        <v>1.0353540000000001</v>
      </c>
      <c r="I5627">
        <v>-58.576889999999999</v>
      </c>
      <c r="J5627">
        <v>-205.62119999999999</v>
      </c>
      <c r="K5627">
        <v>1.1186179999999999</v>
      </c>
      <c r="L5627">
        <v>-59.289459999999998</v>
      </c>
      <c r="M5627">
        <v>0.91911770000000004</v>
      </c>
      <c r="N5627">
        <v>-1.200611E-2</v>
      </c>
      <c r="O5627">
        <v>0.39380009999999999</v>
      </c>
      <c r="P5627">
        <v>0.67222740000000003</v>
      </c>
      <c r="Q5627">
        <v>0.40746139999999997</v>
      </c>
      <c r="R5627">
        <v>0.61813059999999997</v>
      </c>
      <c r="S5627">
        <v>1.866028</v>
      </c>
      <c r="T5627">
        <v>-0.32934210000000003</v>
      </c>
      <c r="U5627">
        <v>3.0491030000000001</v>
      </c>
      <c r="V5627">
        <v>-0.3114152</v>
      </c>
      <c r="W5627">
        <v>0.41185769999999999</v>
      </c>
      <c r="X5627">
        <v>0.85638419999999904</v>
      </c>
      <c r="Y5627">
        <v>-0.57707379999999997</v>
      </c>
      <c r="Z5627">
        <v>-1.1300780000000001E-3</v>
      </c>
      <c r="AA5627">
        <v>0.81669130000000001</v>
      </c>
      <c r="AB5627">
        <v>29</v>
      </c>
      <c r="AC5627">
        <v>0.34599999999997499</v>
      </c>
      <c r="AD5627">
        <v>-8.3264000000000005E-2</v>
      </c>
      <c r="AE5627">
        <v>0.71256999999999904</v>
      </c>
      <c r="AF5627">
        <v>-0.51304960024896096</v>
      </c>
      <c r="AG5627">
        <v>-8.3264000000000005E-2</v>
      </c>
      <c r="AH5627">
        <v>0.59212565309366505</v>
      </c>
      <c r="AI5627">
        <v>96.066354835935599</v>
      </c>
      <c r="AJ5627">
        <v>130.90742187260801</v>
      </c>
      <c r="AK5627">
        <v>0.78788677807361196</v>
      </c>
      <c r="AL5627">
        <v>65.678415014674201</v>
      </c>
      <c r="AM5627">
        <v>109.983269826808</v>
      </c>
      <c r="AN5627">
        <v>1.00000004492498</v>
      </c>
    </row>
    <row r="5628" spans="1:40" x14ac:dyDescent="0.25">
      <c r="A5628" t="str">
        <f>"20190304164756536"</f>
        <v>20190304164756536</v>
      </c>
      <c r="B5628" t="str">
        <f>"1551689276524790"</f>
        <v>1551689276524790</v>
      </c>
      <c r="C5628" t="s">
        <v>40</v>
      </c>
      <c r="D5628">
        <v>4.6685910000000002</v>
      </c>
      <c r="E5628">
        <v>0.37499700000000002</v>
      </c>
      <c r="F5628" t="s">
        <v>41</v>
      </c>
      <c r="G5628">
        <v>-205.08699999999999</v>
      </c>
      <c r="H5628">
        <v>1.022818</v>
      </c>
      <c r="I5628">
        <v>-58.407049999999998</v>
      </c>
      <c r="J5628">
        <v>-205.4641</v>
      </c>
      <c r="K5628">
        <v>1.118633</v>
      </c>
      <c r="L5628">
        <v>-59.216030000000003</v>
      </c>
      <c r="M5628">
        <v>0.91673039999999995</v>
      </c>
      <c r="N5628">
        <v>-1.197339E-2</v>
      </c>
      <c r="O5628">
        <v>0.39932709999999999</v>
      </c>
      <c r="P5628">
        <v>0.66861419999999905</v>
      </c>
      <c r="Q5628">
        <v>0.40706560000000003</v>
      </c>
      <c r="R5628">
        <v>0.62229630000000002</v>
      </c>
      <c r="S5628">
        <v>1.85141</v>
      </c>
      <c r="T5628">
        <v>-0.33203700000000003</v>
      </c>
      <c r="U5628">
        <v>3.0587770000000001</v>
      </c>
      <c r="V5628">
        <v>-0.31148959999999998</v>
      </c>
      <c r="W5628">
        <v>0.41142570000000001</v>
      </c>
      <c r="X5628">
        <v>0.85656469999999996</v>
      </c>
      <c r="Y5628">
        <v>-0.57616540000000005</v>
      </c>
      <c r="Z5628">
        <v>-1.8114279999999999E-3</v>
      </c>
      <c r="AA5628">
        <v>0.81733109999999998</v>
      </c>
      <c r="AB5628">
        <v>29</v>
      </c>
      <c r="AC5628">
        <v>0.377099999999984</v>
      </c>
      <c r="AD5628">
        <v>-9.58149999999999E-2</v>
      </c>
      <c r="AE5628">
        <v>0.80898000000000503</v>
      </c>
      <c r="AF5628">
        <v>-0.58433880830499096</v>
      </c>
      <c r="AG5628">
        <v>-9.58149999999999E-2</v>
      </c>
      <c r="AH5628">
        <v>0.66117528419502802</v>
      </c>
      <c r="AI5628">
        <v>96.197255378524403</v>
      </c>
      <c r="AJ5628">
        <v>131.469864338485</v>
      </c>
      <c r="AK5628">
        <v>0.88757259621209195</v>
      </c>
      <c r="AL5628">
        <v>65.705572960084695</v>
      </c>
      <c r="AM5628">
        <v>109.983787529493</v>
      </c>
      <c r="AN5628">
        <v>0.99999998140736901</v>
      </c>
    </row>
    <row r="5629" spans="1:40" x14ac:dyDescent="0.25">
      <c r="A5629" t="str">
        <f>"20190304164756553"</f>
        <v>20190304164756553</v>
      </c>
      <c r="B5629" t="str">
        <f>"1551689276545286"</f>
        <v>1551689276545286</v>
      </c>
      <c r="C5629" t="s">
        <v>40</v>
      </c>
      <c r="D5629">
        <v>4.6790279999999997</v>
      </c>
      <c r="E5629">
        <v>0.37460890000000002</v>
      </c>
      <c r="F5629" t="s">
        <v>53</v>
      </c>
      <c r="G5629">
        <v>-199.33590000000001</v>
      </c>
      <c r="H5629" s="1">
        <v>-3.7099740000000002E-6</v>
      </c>
      <c r="I5629">
        <v>-48.945120000000003</v>
      </c>
      <c r="J5629">
        <v>-205.26320000000001</v>
      </c>
      <c r="K5629">
        <v>1.1186400000000001</v>
      </c>
      <c r="L5629">
        <v>-59.12039</v>
      </c>
      <c r="M5629">
        <v>0.91361680000000001</v>
      </c>
      <c r="N5629">
        <v>-1.19319E-2</v>
      </c>
      <c r="O5629">
        <v>0.40640130000000002</v>
      </c>
      <c r="P5629">
        <v>0.66388480000000005</v>
      </c>
      <c r="Q5629">
        <v>0.40651710000000002</v>
      </c>
      <c r="R5629">
        <v>0.627695</v>
      </c>
      <c r="S5629">
        <v>1.832306</v>
      </c>
      <c r="T5629">
        <v>-0.33446690000000001</v>
      </c>
      <c r="U5629">
        <v>3.0709529999999998</v>
      </c>
      <c r="V5629">
        <v>-0.3116795</v>
      </c>
      <c r="W5629">
        <v>0.41082980000000002</v>
      </c>
      <c r="X5629">
        <v>0.85678169999999898</v>
      </c>
      <c r="Y5629">
        <v>-0.57504029999999995</v>
      </c>
      <c r="Z5629">
        <v>-2.6646389999999999E-3</v>
      </c>
      <c r="AA5629">
        <v>0.81812069999999903</v>
      </c>
      <c r="AB5629">
        <v>29</v>
      </c>
      <c r="AC5629">
        <v>5.9272999999999998</v>
      </c>
      <c r="AD5629">
        <v>-1.1186437099740001</v>
      </c>
      <c r="AE5629">
        <v>10.1752699999999</v>
      </c>
      <c r="AF5629">
        <v>-6.82632390621011</v>
      </c>
      <c r="AG5629">
        <v>-1.1186437099740001</v>
      </c>
      <c r="AH5629">
        <v>9.4657833029696601</v>
      </c>
      <c r="AI5629">
        <v>95.475218663086196</v>
      </c>
      <c r="AJ5629">
        <v>125.797553828818</v>
      </c>
      <c r="AK5629">
        <v>11.723954766252699</v>
      </c>
      <c r="AL5629">
        <v>65.743029302747601</v>
      </c>
      <c r="AM5629">
        <v>109.99034251009201</v>
      </c>
      <c r="AN5629">
        <v>1.00000005837158</v>
      </c>
    </row>
    <row r="5630" spans="1:40" x14ac:dyDescent="0.25">
      <c r="A5630" t="str">
        <f>"20190304164756564"</f>
        <v>20190304164756564</v>
      </c>
      <c r="B5630" t="str">
        <f>"1551689276555046"</f>
        <v>1551689276555046</v>
      </c>
      <c r="C5630" t="s">
        <v>40</v>
      </c>
      <c r="D5630">
        <v>4.6820550000000001</v>
      </c>
      <c r="E5630">
        <v>0.37441049999999998</v>
      </c>
      <c r="F5630" t="s">
        <v>41</v>
      </c>
      <c r="G5630">
        <v>-204.81460000000001</v>
      </c>
      <c r="H5630">
        <v>1.03443</v>
      </c>
      <c r="I5630">
        <v>-58.353760000000001</v>
      </c>
      <c r="J5630">
        <v>-205.13829999999999</v>
      </c>
      <c r="K5630">
        <v>1.11864599999999</v>
      </c>
      <c r="L5630">
        <v>-59.059629999999999</v>
      </c>
      <c r="M5630">
        <v>0.91164480000000003</v>
      </c>
      <c r="N5630">
        <v>-1.1905529999999999E-2</v>
      </c>
      <c r="O5630">
        <v>0.41080670000000002</v>
      </c>
      <c r="P5630">
        <v>0.66060390000000002</v>
      </c>
      <c r="Q5630">
        <v>0.40656579999999998</v>
      </c>
      <c r="R5630">
        <v>0.63111539999999999</v>
      </c>
      <c r="S5630">
        <v>1.807007</v>
      </c>
      <c r="T5630">
        <v>-0.33919450000000001</v>
      </c>
      <c r="U5630">
        <v>3.0878909999999999</v>
      </c>
      <c r="V5630">
        <v>-0.31199130000000003</v>
      </c>
      <c r="W5630">
        <v>0.4108424</v>
      </c>
      <c r="X5630">
        <v>0.85666209999999898</v>
      </c>
      <c r="Y5630">
        <v>-0.57801210000000003</v>
      </c>
      <c r="Z5630">
        <v>-3.0685349999999998E-3</v>
      </c>
      <c r="AA5630">
        <v>0.81602240000000004</v>
      </c>
      <c r="AB5630">
        <v>29</v>
      </c>
      <c r="AC5630">
        <v>0.32369999999997301</v>
      </c>
      <c r="AD5630">
        <v>-8.4215999999999805E-2</v>
      </c>
      <c r="AE5630">
        <v>0.70587000000000399</v>
      </c>
      <c r="AF5630">
        <v>-0.50462579287056797</v>
      </c>
      <c r="AG5630">
        <v>-8.4215999999999805E-2</v>
      </c>
      <c r="AH5630">
        <v>0.578315363897836</v>
      </c>
      <c r="AI5630">
        <v>96.261673392988698</v>
      </c>
      <c r="AJ5630">
        <v>131.10726492259499</v>
      </c>
      <c r="AK5630">
        <v>0.77213223323892899</v>
      </c>
      <c r="AL5630">
        <v>65.742235988941303</v>
      </c>
      <c r="AM5630">
        <v>110.01132635661099</v>
      </c>
      <c r="AN5630">
        <v>1.0000000012449299</v>
      </c>
    </row>
    <row r="5631" spans="1:40" x14ac:dyDescent="0.25">
      <c r="A5631" t="str">
        <f>"20190304164756575"</f>
        <v>20190304164756575</v>
      </c>
      <c r="B5631" t="str">
        <f>"1551689276564806"</f>
        <v>1551689276564806</v>
      </c>
      <c r="C5631" t="s">
        <v>40</v>
      </c>
      <c r="D5631">
        <v>4.6805909999999997</v>
      </c>
      <c r="E5631">
        <v>0.3741874</v>
      </c>
      <c r="F5631" t="s">
        <v>41</v>
      </c>
      <c r="G5631">
        <v>-204.62970000000001</v>
      </c>
      <c r="H5631">
        <v>1.0219320000000001</v>
      </c>
      <c r="I5631">
        <v>-58.179470000000002</v>
      </c>
      <c r="J5631">
        <v>-205.00489999999999</v>
      </c>
      <c r="K5631">
        <v>1.11866</v>
      </c>
      <c r="L5631">
        <v>-58.994450000000001</v>
      </c>
      <c r="M5631">
        <v>0.90951269999999995</v>
      </c>
      <c r="N5631">
        <v>-1.18773E-2</v>
      </c>
      <c r="O5631">
        <v>0.41550670000000001</v>
      </c>
      <c r="P5631">
        <v>0.65727290000000005</v>
      </c>
      <c r="Q5631">
        <v>0.40689310000000001</v>
      </c>
      <c r="R5631">
        <v>0.63437410000000005</v>
      </c>
      <c r="S5631">
        <v>1.7904359999999999</v>
      </c>
      <c r="T5631">
        <v>-0.34046910000000002</v>
      </c>
      <c r="U5631">
        <v>3.0987550000000001</v>
      </c>
      <c r="V5631">
        <v>-0.31190299999999999</v>
      </c>
      <c r="W5631">
        <v>0.41113929999999999</v>
      </c>
      <c r="X5631">
        <v>0.85655179999999997</v>
      </c>
      <c r="Y5631">
        <v>-0.57832139999999999</v>
      </c>
      <c r="Z5631">
        <v>-3.5703480000000001E-3</v>
      </c>
      <c r="AA5631">
        <v>0.81580129999999995</v>
      </c>
      <c r="AB5631">
        <v>29</v>
      </c>
      <c r="AC5631">
        <v>0.375199999999978</v>
      </c>
      <c r="AD5631">
        <v>-9.6727999999999897E-2</v>
      </c>
      <c r="AE5631">
        <v>0.81498000000000503</v>
      </c>
      <c r="AF5631">
        <v>-0.57865197378307498</v>
      </c>
      <c r="AG5631">
        <v>-9.6727999999999897E-2</v>
      </c>
      <c r="AH5631">
        <v>0.67211456534457104</v>
      </c>
      <c r="AI5631">
        <v>96.224311309166595</v>
      </c>
      <c r="AJ5631">
        <v>130.72655793107299</v>
      </c>
      <c r="AK5631">
        <v>0.89215043669516403</v>
      </c>
      <c r="AL5631">
        <v>65.723575929670801</v>
      </c>
      <c r="AM5631">
        <v>110.008483883867</v>
      </c>
      <c r="AN5631">
        <v>0.99999999574836396</v>
      </c>
    </row>
    <row r="5632" spans="1:40" x14ac:dyDescent="0.25">
      <c r="A5632" t="str">
        <f>"20190304164756587"</f>
        <v>20190304164756587</v>
      </c>
      <c r="B5632" t="str">
        <f>"1551689276574566"</f>
        <v>1551689276574566</v>
      </c>
      <c r="C5632" t="s">
        <v>40</v>
      </c>
      <c r="D5632">
        <v>4.6784809999999997</v>
      </c>
      <c r="E5632">
        <v>0.37398239999999999</v>
      </c>
      <c r="F5632" t="s">
        <v>53</v>
      </c>
      <c r="G5632">
        <v>-199.17769999999999</v>
      </c>
      <c r="H5632" s="1">
        <v>-3.7656430000000001E-6</v>
      </c>
      <c r="I5632">
        <v>-48.778559999999999</v>
      </c>
      <c r="J5632">
        <v>-204.86799999999999</v>
      </c>
      <c r="K5632">
        <v>1.118668</v>
      </c>
      <c r="L5632">
        <v>-58.92615</v>
      </c>
      <c r="M5632">
        <v>0.90728989999999998</v>
      </c>
      <c r="N5632">
        <v>-1.18487E-2</v>
      </c>
      <c r="O5632">
        <v>0.42033880000000001</v>
      </c>
      <c r="P5632">
        <v>0.65363769999999999</v>
      </c>
      <c r="Q5632">
        <v>0.4068658</v>
      </c>
      <c r="R5632">
        <v>0.63813640000000005</v>
      </c>
      <c r="S5632">
        <v>1.773773</v>
      </c>
      <c r="T5632">
        <v>-0.34051740000000003</v>
      </c>
      <c r="U5632">
        <v>3.10968</v>
      </c>
      <c r="V5632">
        <v>-0.31226530000000002</v>
      </c>
      <c r="W5632">
        <v>0.41107280000000002</v>
      </c>
      <c r="X5632">
        <v>0.85645170000000004</v>
      </c>
      <c r="Y5632">
        <v>-0.57853219999999905</v>
      </c>
      <c r="Z5632">
        <v>-4.0515639999999997E-3</v>
      </c>
      <c r="AA5632">
        <v>0.81564950000000003</v>
      </c>
      <c r="AB5632">
        <v>29</v>
      </c>
      <c r="AC5632">
        <v>5.6902999999999997</v>
      </c>
      <c r="AD5632">
        <v>-1.1186717656430001</v>
      </c>
      <c r="AE5632">
        <v>10.147589999999999</v>
      </c>
      <c r="AF5632">
        <v>-6.7529944846014196</v>
      </c>
      <c r="AG5632">
        <v>-1.1186717656430001</v>
      </c>
      <c r="AH5632">
        <v>9.3424620457112102</v>
      </c>
      <c r="AI5632">
        <v>95.5428141636079</v>
      </c>
      <c r="AJ5632">
        <v>125.860462210764</v>
      </c>
      <c r="AK5632">
        <v>11.5817079096245</v>
      </c>
      <c r="AL5632">
        <v>65.727755474817002</v>
      </c>
      <c r="AM5632">
        <v>110.032033317141</v>
      </c>
      <c r="AN5632">
        <v>0.99999998945840995</v>
      </c>
    </row>
    <row r="5633" spans="1:40" x14ac:dyDescent="0.25">
      <c r="A5633" t="str">
        <f>"20190304164756599"</f>
        <v>20190304164756599</v>
      </c>
      <c r="B5633" t="str">
        <f>"1551689276595062"</f>
        <v>1551689276595062</v>
      </c>
      <c r="C5633" t="s">
        <v>40</v>
      </c>
      <c r="D5633">
        <v>4.6863349999999997</v>
      </c>
      <c r="E5633">
        <v>0.37367909999999999</v>
      </c>
      <c r="F5633" t="s">
        <v>41</v>
      </c>
      <c r="G5633">
        <v>-204.39080000000001</v>
      </c>
      <c r="H5633">
        <v>1.0257210000000001</v>
      </c>
      <c r="I5633">
        <v>-58.07761</v>
      </c>
      <c r="J5633">
        <v>-204.7294</v>
      </c>
      <c r="K5633">
        <v>1.1186739999999999</v>
      </c>
      <c r="L5633">
        <v>-58.856409999999997</v>
      </c>
      <c r="M5633">
        <v>0.90501100000000001</v>
      </c>
      <c r="N5633">
        <v>-1.1820539999999999E-2</v>
      </c>
      <c r="O5633">
        <v>0.42522389999999999</v>
      </c>
      <c r="P5633">
        <v>0.65030519999999903</v>
      </c>
      <c r="Q5633">
        <v>0.40692499999999998</v>
      </c>
      <c r="R5633">
        <v>0.64149449999999997</v>
      </c>
      <c r="S5633">
        <v>1.75528</v>
      </c>
      <c r="T5633">
        <v>-0.34190290000000001</v>
      </c>
      <c r="U5633">
        <v>3.1212460000000002</v>
      </c>
      <c r="V5633">
        <v>-0.31208380000000002</v>
      </c>
      <c r="W5633">
        <v>0.41110580000000002</v>
      </c>
      <c r="X5633">
        <v>0.85650210000000004</v>
      </c>
      <c r="Y5633">
        <v>-0.57910669999999898</v>
      </c>
      <c r="Z5633">
        <v>-4.5666429999999996E-3</v>
      </c>
      <c r="AA5633">
        <v>0.81523900000000005</v>
      </c>
      <c r="AB5633">
        <v>29</v>
      </c>
      <c r="AC5633">
        <v>0.33859999999998502</v>
      </c>
      <c r="AD5633">
        <v>-9.2952999999999994E-2</v>
      </c>
      <c r="AE5633">
        <v>0.77879999999999605</v>
      </c>
      <c r="AF5633">
        <v>-0.55424072809841995</v>
      </c>
      <c r="AG5633">
        <v>-9.2952999999999994E-2</v>
      </c>
      <c r="AH5633">
        <v>0.63009662540870304</v>
      </c>
      <c r="AI5633">
        <v>96.320767401184995</v>
      </c>
      <c r="AJ5633">
        <v>131.335255183714</v>
      </c>
      <c r="AK5633">
        <v>0.84430136932466404</v>
      </c>
      <c r="AL5633">
        <v>65.725683229898394</v>
      </c>
      <c r="AM5633">
        <v>110.020230593796</v>
      </c>
      <c r="AN5633">
        <v>1.0000000621602401</v>
      </c>
    </row>
    <row r="5634" spans="1:40" x14ac:dyDescent="0.25">
      <c r="A5634" t="str">
        <f>"20190304164756611"</f>
        <v>20190304164756611</v>
      </c>
      <c r="B5634" t="str">
        <f>"1551689276604822"</f>
        <v>1551689276604822</v>
      </c>
      <c r="C5634" t="s">
        <v>40</v>
      </c>
      <c r="D5634">
        <v>4.7110949999999896</v>
      </c>
      <c r="E5634">
        <v>0.37371260000000001</v>
      </c>
      <c r="F5634" t="s">
        <v>53</v>
      </c>
      <c r="G5634">
        <v>-199.07859999999999</v>
      </c>
      <c r="H5634" s="1">
        <v>-3.8019980000000001E-6</v>
      </c>
      <c r="I5634">
        <v>-48.671230000000001</v>
      </c>
      <c r="J5634">
        <v>-204.57820000000001</v>
      </c>
      <c r="K5634">
        <v>1.118682</v>
      </c>
      <c r="L5634">
        <v>-58.779359999999997</v>
      </c>
      <c r="M5634">
        <v>0.90248910000000004</v>
      </c>
      <c r="N5634">
        <v>-1.179097E-2</v>
      </c>
      <c r="O5634">
        <v>0.43055149999999998</v>
      </c>
      <c r="P5634">
        <v>0.64659169999999999</v>
      </c>
      <c r="Q5634">
        <v>0.4066227</v>
      </c>
      <c r="R5634">
        <v>0.64542790000000005</v>
      </c>
      <c r="S5634">
        <v>1.738113</v>
      </c>
      <c r="T5634">
        <v>-0.34408879999999997</v>
      </c>
      <c r="U5634">
        <v>3.1328130000000001</v>
      </c>
      <c r="V5634">
        <v>-0.3121524</v>
      </c>
      <c r="W5634">
        <v>0.41077200000000003</v>
      </c>
      <c r="X5634">
        <v>0.85663719999999999</v>
      </c>
      <c r="Y5634">
        <v>-0.57900419999999997</v>
      </c>
      <c r="Z5634">
        <v>-5.2054299999999996E-3</v>
      </c>
      <c r="AA5634">
        <v>0.81530800000000003</v>
      </c>
      <c r="AB5634">
        <v>30</v>
      </c>
      <c r="AC5634">
        <v>5.4996000000000098</v>
      </c>
      <c r="AD5634">
        <v>-1.1186858019979999</v>
      </c>
      <c r="AE5634">
        <v>10.1081299999999</v>
      </c>
      <c r="AF5634">
        <v>-6.6918425806632698</v>
      </c>
      <c r="AG5634">
        <v>-1.1186858019979999</v>
      </c>
      <c r="AH5634">
        <v>9.2288275957691397</v>
      </c>
      <c r="AI5634">
        <v>95.604681323832594</v>
      </c>
      <c r="AJ5634">
        <v>125.94594737640401</v>
      </c>
      <c r="AK5634">
        <v>11.454408489328401</v>
      </c>
      <c r="AL5634">
        <v>65.7466607717882</v>
      </c>
      <c r="AM5634">
        <v>110.021374505884</v>
      </c>
      <c r="AN5634">
        <v>1.0000000246167899</v>
      </c>
    </row>
    <row r="5635" spans="1:40" x14ac:dyDescent="0.25">
      <c r="A5635" t="str">
        <f>"20190304164756624"</f>
        <v>20190304164756624</v>
      </c>
      <c r="B5635" t="str">
        <f>"1551689276614582"</f>
        <v>1551689276614582</v>
      </c>
      <c r="C5635" t="s">
        <v>40</v>
      </c>
      <c r="D5635">
        <v>4.6932340000000003</v>
      </c>
      <c r="E5635">
        <v>0.37356240000000002</v>
      </c>
      <c r="F5635" t="s">
        <v>41</v>
      </c>
      <c r="G5635">
        <v>-204.14359999999999</v>
      </c>
      <c r="H5635">
        <v>1.03102</v>
      </c>
      <c r="I5635">
        <v>-57.985030000000002</v>
      </c>
      <c r="J5635">
        <v>-204.4434</v>
      </c>
      <c r="K5635">
        <v>1.11869</v>
      </c>
      <c r="L5635">
        <v>-58.709319999999998</v>
      </c>
      <c r="M5635">
        <v>0.90020409999999995</v>
      </c>
      <c r="N5635">
        <v>-1.1766510000000001E-2</v>
      </c>
      <c r="O5635">
        <v>0.43530920000000001</v>
      </c>
      <c r="P5635">
        <v>0.64316870000000004</v>
      </c>
      <c r="Q5635">
        <v>0.40632469999999998</v>
      </c>
      <c r="R5635">
        <v>0.64902559999999998</v>
      </c>
      <c r="S5635">
        <v>1.719803</v>
      </c>
      <c r="T5635">
        <v>-0.34689160000000002</v>
      </c>
      <c r="U5635">
        <v>3.143707</v>
      </c>
      <c r="V5635">
        <v>-0.31233159999999999</v>
      </c>
      <c r="W5635">
        <v>0.41044449999999999</v>
      </c>
      <c r="X5635">
        <v>0.85672879999999996</v>
      </c>
      <c r="Y5635">
        <v>-0.57954499999999998</v>
      </c>
      <c r="Z5635">
        <v>-5.778175E-3</v>
      </c>
      <c r="AA5635">
        <v>0.81491979999999997</v>
      </c>
      <c r="AB5635">
        <v>30</v>
      </c>
      <c r="AC5635">
        <v>0.29980000000000401</v>
      </c>
      <c r="AD5635">
        <v>-8.7669999999999901E-2</v>
      </c>
      <c r="AE5635">
        <v>0.72428999999999599</v>
      </c>
      <c r="AF5635">
        <v>-0.51509628118966999</v>
      </c>
      <c r="AG5635">
        <v>-8.7669999999999901E-2</v>
      </c>
      <c r="AH5635">
        <v>0.57798225580483198</v>
      </c>
      <c r="AI5635">
        <v>96.460611609923802</v>
      </c>
      <c r="AJ5635">
        <v>131.707342171363</v>
      </c>
      <c r="AK5635">
        <v>0.77914934115397305</v>
      </c>
      <c r="AL5635">
        <v>65.767238736530899</v>
      </c>
      <c r="AM5635">
        <v>110.029983076322</v>
      </c>
      <c r="AN5635">
        <v>0.99999997634412396</v>
      </c>
    </row>
    <row r="5636" spans="1:40" x14ac:dyDescent="0.25">
      <c r="A5636" t="str">
        <f>"20190304164756635"</f>
        <v>20190304164756635</v>
      </c>
      <c r="B5636" t="str">
        <f>"1551689276624343"</f>
        <v>1551689276624343</v>
      </c>
      <c r="C5636" t="s">
        <v>40</v>
      </c>
      <c r="D5636">
        <v>4.7158100000000003</v>
      </c>
      <c r="E5636">
        <v>0.3734171</v>
      </c>
      <c r="F5636" t="s">
        <v>41</v>
      </c>
      <c r="G5636">
        <v>-203.95859999999999</v>
      </c>
      <c r="H5636">
        <v>1.019088</v>
      </c>
      <c r="I5636">
        <v>-57.811259999999997</v>
      </c>
      <c r="J5636">
        <v>-204.31190000000001</v>
      </c>
      <c r="K5636">
        <v>1.1186959999999999</v>
      </c>
      <c r="L5636">
        <v>-58.640590000000003</v>
      </c>
      <c r="M5636">
        <v>0.89794769999999902</v>
      </c>
      <c r="N5636">
        <v>-1.1743190000000001E-2</v>
      </c>
      <c r="O5636">
        <v>0.43994549999999999</v>
      </c>
      <c r="P5636">
        <v>0.63976929999999999</v>
      </c>
      <c r="Q5636">
        <v>0.40593299999999999</v>
      </c>
      <c r="R5636">
        <v>0.65262069999999905</v>
      </c>
      <c r="S5636">
        <v>1.70285</v>
      </c>
      <c r="T5636">
        <v>-0.34979270000000001</v>
      </c>
      <c r="U5636">
        <v>3.1538089999999999</v>
      </c>
      <c r="V5636">
        <v>-0.3126082</v>
      </c>
      <c r="W5636">
        <v>0.41002280000000002</v>
      </c>
      <c r="X5636">
        <v>0.85682990000000003</v>
      </c>
      <c r="Y5636">
        <v>-0.57982609999999901</v>
      </c>
      <c r="Z5636">
        <v>-6.3678959999999996E-3</v>
      </c>
      <c r="AA5636">
        <v>0.81471539999999998</v>
      </c>
      <c r="AB5636">
        <v>30</v>
      </c>
      <c r="AC5636">
        <v>0.35330000000001799</v>
      </c>
      <c r="AD5636">
        <v>-9.9607999999999905E-2</v>
      </c>
      <c r="AE5636">
        <v>0.82933000000000501</v>
      </c>
      <c r="AF5636">
        <v>-0.58219440277336398</v>
      </c>
      <c r="AG5636">
        <v>-9.9607999999999905E-2</v>
      </c>
      <c r="AH5636">
        <v>0.673923517806442</v>
      </c>
      <c r="AI5636">
        <v>96.381830885757907</v>
      </c>
      <c r="AJ5636">
        <v>130.82333922350099</v>
      </c>
      <c r="AK5636">
        <v>0.89612777221624196</v>
      </c>
      <c r="AL5636">
        <v>65.793733712836001</v>
      </c>
      <c r="AM5636">
        <v>110.044132551487</v>
      </c>
      <c r="AN5636">
        <v>1.0000000303805401</v>
      </c>
    </row>
    <row r="5637" spans="1:40" x14ac:dyDescent="0.25">
      <c r="A5637" t="str">
        <f>"20190304164756647"</f>
        <v>20190304164756647</v>
      </c>
      <c r="B5637" t="str">
        <f>"1551689276635078"</f>
        <v>1551689276635078</v>
      </c>
      <c r="C5637" t="s">
        <v>40</v>
      </c>
      <c r="D5637">
        <v>4.6999190000000004</v>
      </c>
      <c r="E5637">
        <v>0.37333759999999999</v>
      </c>
      <c r="F5637" t="s">
        <v>53</v>
      </c>
      <c r="G5637">
        <v>-198.96530000000001</v>
      </c>
      <c r="H5637" s="1">
        <v>-3.8171350000000002E-6</v>
      </c>
      <c r="I5637">
        <v>-48.601059999999997</v>
      </c>
      <c r="J5637">
        <v>-204.17179999999999</v>
      </c>
      <c r="K5637">
        <v>1.118706</v>
      </c>
      <c r="L5637">
        <v>-58.566009999999999</v>
      </c>
      <c r="M5637">
        <v>0.89551000000000003</v>
      </c>
      <c r="N5637">
        <v>-1.1720619999999999E-2</v>
      </c>
      <c r="O5637">
        <v>0.44488719999999998</v>
      </c>
      <c r="P5637">
        <v>0.63613809999999904</v>
      </c>
      <c r="Q5637">
        <v>0.40542549999999999</v>
      </c>
      <c r="R5637">
        <v>0.65647440000000001</v>
      </c>
      <c r="S5637">
        <v>1.6851349999999901</v>
      </c>
      <c r="T5637">
        <v>-0.35259030000000002</v>
      </c>
      <c r="U5637">
        <v>3.1642459999999999</v>
      </c>
      <c r="V5637">
        <v>-0.31292029999999998</v>
      </c>
      <c r="W5637">
        <v>0.4094855</v>
      </c>
      <c r="X5637">
        <v>0.85697289999999904</v>
      </c>
      <c r="Y5637">
        <v>-0.58000799999999997</v>
      </c>
      <c r="Z5637">
        <v>-6.9999939999999998E-3</v>
      </c>
      <c r="AA5637">
        <v>0.81458069999999905</v>
      </c>
      <c r="AB5637">
        <v>30</v>
      </c>
      <c r="AC5637">
        <v>5.2064999999999699</v>
      </c>
      <c r="AD5637">
        <v>-1.1187098171349901</v>
      </c>
      <c r="AE5637">
        <v>9.96495</v>
      </c>
      <c r="AF5637">
        <v>-6.5430802348984596</v>
      </c>
      <c r="AG5637">
        <v>-1.1187098171349901</v>
      </c>
      <c r="AH5637">
        <v>9.0071991134576006</v>
      </c>
      <c r="AI5637">
        <v>95.738207207959107</v>
      </c>
      <c r="AJ5637">
        <v>125.99569905948201</v>
      </c>
      <c r="AK5637">
        <v>11.1889698580675</v>
      </c>
      <c r="AL5637">
        <v>65.827481702111299</v>
      </c>
      <c r="AM5637">
        <v>110.059467882498</v>
      </c>
      <c r="AN5637">
        <v>1.0000000200983701</v>
      </c>
    </row>
    <row r="5638" spans="1:40" x14ac:dyDescent="0.25">
      <c r="A5638" t="str">
        <f>"20190304164756666"</f>
        <v>20190304164756666</v>
      </c>
      <c r="B5638" t="str">
        <f>"1551689276654597"</f>
        <v>1551689276654597</v>
      </c>
      <c r="C5638" t="s">
        <v>40</v>
      </c>
      <c r="D5638">
        <v>4.7013490000000004</v>
      </c>
      <c r="E5638">
        <v>0.37312919999999999</v>
      </c>
      <c r="F5638" t="s">
        <v>41</v>
      </c>
      <c r="G5638">
        <v>-203.71979999999999</v>
      </c>
      <c r="H5638">
        <v>1.022189</v>
      </c>
      <c r="I5638">
        <v>-57.705570000000002</v>
      </c>
      <c r="J5638">
        <v>-203.96170000000001</v>
      </c>
      <c r="K5638">
        <v>1.1187210000000001</v>
      </c>
      <c r="L5638">
        <v>-58.452480000000001</v>
      </c>
      <c r="M5638">
        <v>0.89178880000000005</v>
      </c>
      <c r="N5638">
        <v>-1.1688860000000001E-2</v>
      </c>
      <c r="O5638">
        <v>0.45230110000000001</v>
      </c>
      <c r="P5638">
        <v>0.63021309999999997</v>
      </c>
      <c r="Q5638">
        <v>0.40462229999999999</v>
      </c>
      <c r="R5638">
        <v>0.66265549999999995</v>
      </c>
      <c r="S5638">
        <v>1.667343</v>
      </c>
      <c r="T5638">
        <v>-0.35601369999999999</v>
      </c>
      <c r="U5638">
        <v>3.174042</v>
      </c>
      <c r="V5638">
        <v>-0.31394879999999997</v>
      </c>
      <c r="W5638">
        <v>0.40862569999999998</v>
      </c>
      <c r="X5638">
        <v>0.85700710000000002</v>
      </c>
      <c r="Y5638">
        <v>-0.57788300000000004</v>
      </c>
      <c r="Z5638">
        <v>-8.0934839999999997E-3</v>
      </c>
      <c r="AA5638">
        <v>0.81607949999999996</v>
      </c>
      <c r="AB5638">
        <v>30</v>
      </c>
      <c r="AC5638">
        <v>0.24190000000001499</v>
      </c>
      <c r="AD5638">
        <v>-9.6531999999999799E-2</v>
      </c>
      <c r="AE5638">
        <v>0.74691000000000596</v>
      </c>
      <c r="AF5638">
        <v>-0.54842142651204795</v>
      </c>
      <c r="AG5638">
        <v>-9.6531999999999799E-2</v>
      </c>
      <c r="AH5638">
        <v>0.54534530625560296</v>
      </c>
      <c r="AI5638">
        <v>97.114467481508001</v>
      </c>
      <c r="AJ5638">
        <v>135.16113878581399</v>
      </c>
      <c r="AK5638">
        <v>0.77941387666407802</v>
      </c>
      <c r="AL5638">
        <v>65.881467139262597</v>
      </c>
      <c r="AM5638">
        <v>110.119379909987</v>
      </c>
      <c r="AN5638">
        <v>0.99999999058616995</v>
      </c>
    </row>
    <row r="5639" spans="1:40" x14ac:dyDescent="0.25">
      <c r="A5639" t="str">
        <f>"20190304164756680"</f>
        <v>20190304164756680</v>
      </c>
      <c r="B5639" t="str">
        <f>"1551689276675094"</f>
        <v>1551689276675094</v>
      </c>
      <c r="C5639" t="s">
        <v>40</v>
      </c>
      <c r="D5639">
        <v>4.6935229999999999</v>
      </c>
      <c r="E5639">
        <v>0.37294110000000003</v>
      </c>
      <c r="F5639" t="s">
        <v>41</v>
      </c>
      <c r="G5639">
        <v>-203.5067</v>
      </c>
      <c r="H5639">
        <v>1.018165</v>
      </c>
      <c r="I5639">
        <v>-57.566780000000001</v>
      </c>
      <c r="J5639">
        <v>-203.79470000000001</v>
      </c>
      <c r="K5639">
        <v>1.118735</v>
      </c>
      <c r="L5639">
        <v>-58.360719999999901</v>
      </c>
      <c r="M5639">
        <v>0.88877490000000003</v>
      </c>
      <c r="N5639">
        <v>-1.16659E-2</v>
      </c>
      <c r="O5639">
        <v>0.45819549999999998</v>
      </c>
      <c r="P5639">
        <v>0.62541159999999996</v>
      </c>
      <c r="Q5639">
        <v>0.40450750000000002</v>
      </c>
      <c r="R5639">
        <v>0.66725859999999904</v>
      </c>
      <c r="S5639">
        <v>1.638779</v>
      </c>
      <c r="T5639">
        <v>-0.36215849999999999</v>
      </c>
      <c r="U5639">
        <v>3.189819</v>
      </c>
      <c r="V5639">
        <v>-0.31453720000000002</v>
      </c>
      <c r="W5639">
        <v>0.40846909999999997</v>
      </c>
      <c r="X5639">
        <v>0.85686600000000002</v>
      </c>
      <c r="Y5639">
        <v>-0.57988059999999997</v>
      </c>
      <c r="Z5639">
        <v>-8.8913289999999999E-3</v>
      </c>
      <c r="AA5639">
        <v>0.81465299999999996</v>
      </c>
      <c r="AB5639">
        <v>30</v>
      </c>
      <c r="AC5639">
        <v>0.28800000000001003</v>
      </c>
      <c r="AD5639">
        <v>-0.10057000000000001</v>
      </c>
      <c r="AE5639">
        <v>0.79393999999999199</v>
      </c>
      <c r="AF5639">
        <v>-0.56569121160838598</v>
      </c>
      <c r="AG5639">
        <v>-0.10057000000000001</v>
      </c>
      <c r="AH5639">
        <v>0.61112338776241304</v>
      </c>
      <c r="AI5639">
        <v>96.886149933225596</v>
      </c>
      <c r="AJ5639">
        <v>132.78913358656999</v>
      </c>
      <c r="AK5639">
        <v>0.83880430784609905</v>
      </c>
      <c r="AL5639">
        <v>65.891297695782598</v>
      </c>
      <c r="AM5639">
        <v>110.15710726091</v>
      </c>
      <c r="AN5639">
        <v>0.99999999889732405</v>
      </c>
    </row>
    <row r="5640" spans="1:40" x14ac:dyDescent="0.25">
      <c r="A5640" t="str">
        <f>"20190304164756698"</f>
        <v>20190304164756698</v>
      </c>
      <c r="B5640" t="str">
        <f>"1551689276694614"</f>
        <v>1551689276694614</v>
      </c>
      <c r="C5640" t="s">
        <v>40</v>
      </c>
      <c r="D5640">
        <v>4.7075740000000001</v>
      </c>
      <c r="E5640">
        <v>0.37266379999999999</v>
      </c>
      <c r="F5640" t="s">
        <v>53</v>
      </c>
      <c r="G5640">
        <v>-198.84100000000001</v>
      </c>
      <c r="H5640" s="1">
        <v>-3.8240659999999999E-6</v>
      </c>
      <c r="I5640">
        <v>-48.543320000000001</v>
      </c>
      <c r="J5640">
        <v>-203.58609999999999</v>
      </c>
      <c r="K5640">
        <v>1.1187590000000001</v>
      </c>
      <c r="L5640">
        <v>-58.244109999999999</v>
      </c>
      <c r="M5640">
        <v>0.88493559999999905</v>
      </c>
      <c r="N5640">
        <v>-1.164041E-2</v>
      </c>
      <c r="O5640">
        <v>0.46556809999999998</v>
      </c>
      <c r="P5640">
        <v>0.61909700000000001</v>
      </c>
      <c r="Q5640">
        <v>0.40422520000000001</v>
      </c>
      <c r="R5640">
        <v>0.67329110000000003</v>
      </c>
      <c r="S5640">
        <v>1.6159969999999999</v>
      </c>
      <c r="T5640">
        <v>-0.3649522</v>
      </c>
      <c r="U5640">
        <v>3.2026059999999998</v>
      </c>
      <c r="V5640">
        <v>-0.31565480000000001</v>
      </c>
      <c r="W5640">
        <v>0.4081265</v>
      </c>
      <c r="X5640">
        <v>0.856618199999999</v>
      </c>
      <c r="Y5640">
        <v>-0.57905519999999999</v>
      </c>
      <c r="Z5640">
        <v>-9.8966790000000002E-3</v>
      </c>
      <c r="AA5640">
        <v>0.81522819999999996</v>
      </c>
      <c r="AB5640">
        <v>30</v>
      </c>
      <c r="AC5640">
        <v>4.7450999999999999</v>
      </c>
      <c r="AD5640">
        <v>-1.1187628240659999</v>
      </c>
      <c r="AE5640">
        <v>9.7007899999999907</v>
      </c>
      <c r="AF5640">
        <v>-6.3081370019015299</v>
      </c>
      <c r="AG5640">
        <v>-1.1187628240659999</v>
      </c>
      <c r="AH5640">
        <v>8.6235246715026594</v>
      </c>
      <c r="AI5640">
        <v>95.977618630228505</v>
      </c>
      <c r="AJ5640">
        <v>126.185594406353</v>
      </c>
      <c r="AK5640">
        <v>10.742876730712601</v>
      </c>
      <c r="AL5640">
        <v>65.9128004692856</v>
      </c>
      <c r="AM5640">
        <v>110.228311684453</v>
      </c>
      <c r="AN5640">
        <v>0.99999996666826396</v>
      </c>
    </row>
    <row r="5641" spans="1:40" x14ac:dyDescent="0.25">
      <c r="A5641" t="str">
        <f>"20190304164756712"</f>
        <v>20190304164756712</v>
      </c>
      <c r="B5641" t="str">
        <f>"1551689276705350"</f>
        <v>1551689276705350</v>
      </c>
      <c r="C5641" t="s">
        <v>40</v>
      </c>
      <c r="D5641">
        <v>4.6998790000000001</v>
      </c>
      <c r="E5641">
        <v>0.37251420000000002</v>
      </c>
      <c r="F5641" t="s">
        <v>53</v>
      </c>
      <c r="G5641">
        <v>-198.7747</v>
      </c>
      <c r="H5641" s="1">
        <v>-3.8477569999999997E-6</v>
      </c>
      <c r="I5641">
        <v>-48.472810000000003</v>
      </c>
      <c r="J5641">
        <v>-203.43109999999999</v>
      </c>
      <c r="K5641">
        <v>1.1187739999999999</v>
      </c>
      <c r="L5641">
        <v>-58.156010000000002</v>
      </c>
      <c r="M5641">
        <v>0.88202590000000003</v>
      </c>
      <c r="N5641">
        <v>-1.1623690000000001E-2</v>
      </c>
      <c r="O5641">
        <v>0.47105760000000002</v>
      </c>
      <c r="P5641">
        <v>0.61471690000000001</v>
      </c>
      <c r="Q5641">
        <v>0.40387580000000001</v>
      </c>
      <c r="R5641">
        <v>0.67750100000000002</v>
      </c>
      <c r="S5641">
        <v>1.5852360000000001</v>
      </c>
      <c r="T5641">
        <v>-0.36860330000000002</v>
      </c>
      <c r="U5641">
        <v>3.2193909999999999</v>
      </c>
      <c r="V5641">
        <v>-0.31608439999999999</v>
      </c>
      <c r="W5641">
        <v>0.40774080000000001</v>
      </c>
      <c r="X5641">
        <v>0.8566435</v>
      </c>
      <c r="Y5641">
        <v>-0.58192909999999998</v>
      </c>
      <c r="Z5641">
        <v>-1.049634E-2</v>
      </c>
      <c r="AA5641">
        <v>0.81317169999999905</v>
      </c>
      <c r="AB5641">
        <v>30</v>
      </c>
      <c r="AC5641">
        <v>4.6563999999999899</v>
      </c>
      <c r="AD5641">
        <v>-1.1187778477569901</v>
      </c>
      <c r="AE5641">
        <v>9.6831999999999994</v>
      </c>
      <c r="AF5641">
        <v>-6.2797445844401896</v>
      </c>
      <c r="AG5641">
        <v>-1.1187778477569901</v>
      </c>
      <c r="AH5641">
        <v>8.57601505228223</v>
      </c>
      <c r="AI5641">
        <v>96.008463146064202</v>
      </c>
      <c r="AJ5641">
        <v>126.213268600514</v>
      </c>
      <c r="AK5641">
        <v>10.6880723283204</v>
      </c>
      <c r="AL5641">
        <v>65.937005739444103</v>
      </c>
      <c r="AM5641">
        <v>110.253057015514</v>
      </c>
      <c r="AN5641">
        <v>0.99999999700012498</v>
      </c>
    </row>
    <row r="5642" spans="1:40" x14ac:dyDescent="0.25">
      <c r="A5642" t="str">
        <f>"20190304164756733"</f>
        <v>20190304164756733</v>
      </c>
      <c r="B5642" t="str">
        <f>"1551689276724869"</f>
        <v>1551689276724869</v>
      </c>
      <c r="C5642" t="s">
        <v>40</v>
      </c>
      <c r="D5642">
        <v>4.7168970000000003</v>
      </c>
      <c r="E5642">
        <v>0.37232929999999997</v>
      </c>
      <c r="F5642" t="s">
        <v>41</v>
      </c>
      <c r="G5642">
        <v>-203.03630000000001</v>
      </c>
      <c r="H5642">
        <v>1.0251250000000001</v>
      </c>
      <c r="I5642">
        <v>-57.339820000000003</v>
      </c>
      <c r="J5642">
        <v>-203.18629999999999</v>
      </c>
      <c r="K5642">
        <v>1.118816</v>
      </c>
      <c r="L5642">
        <v>-58.014159999999997</v>
      </c>
      <c r="M5642">
        <v>0.87732339999999998</v>
      </c>
      <c r="N5642">
        <v>-1.160216E-2</v>
      </c>
      <c r="O5642">
        <v>0.4797594</v>
      </c>
      <c r="P5642">
        <v>0.60779150000000004</v>
      </c>
      <c r="Q5642">
        <v>0.40418300000000001</v>
      </c>
      <c r="R5642">
        <v>0.68353920000000001</v>
      </c>
      <c r="S5642">
        <v>1.5629879999999901</v>
      </c>
      <c r="T5642">
        <v>-0.37072929999999998</v>
      </c>
      <c r="U5642">
        <v>3.230896</v>
      </c>
      <c r="V5642">
        <v>-0.31621280000000002</v>
      </c>
      <c r="W5642">
        <v>0.40799590000000002</v>
      </c>
      <c r="X5642">
        <v>0.85647459999999898</v>
      </c>
      <c r="Y5642">
        <v>-0.57959209999999906</v>
      </c>
      <c r="Z5642">
        <v>-1.174737E-2</v>
      </c>
      <c r="AA5642">
        <v>0.81482209999999999</v>
      </c>
      <c r="AB5642">
        <v>30</v>
      </c>
      <c r="AC5642">
        <v>0.14999999999997701</v>
      </c>
      <c r="AD5642">
        <v>-9.3690999999999899E-2</v>
      </c>
      <c r="AE5642">
        <v>0.67434000000000005</v>
      </c>
      <c r="AF5642">
        <v>-0.51029914115869202</v>
      </c>
      <c r="AG5642">
        <v>-9.3690999999999899E-2</v>
      </c>
      <c r="AH5642">
        <v>0.44692949943027199</v>
      </c>
      <c r="AI5642">
        <v>97.863777422000396</v>
      </c>
      <c r="AJ5642">
        <v>138.78752018626699</v>
      </c>
      <c r="AK5642">
        <v>0.68478404947055604</v>
      </c>
      <c r="AL5642">
        <v>65.920996700890498</v>
      </c>
      <c r="AM5642">
        <v>110.264285997589</v>
      </c>
      <c r="AN5642">
        <v>0.99999996487290399</v>
      </c>
    </row>
    <row r="5643" spans="1:40" x14ac:dyDescent="0.25">
      <c r="A5643" t="str">
        <f>"20190304164756747"</f>
        <v>20190304164756747</v>
      </c>
      <c r="B5643" t="str">
        <f>"1551689276734630"</f>
        <v>1551689276734630</v>
      </c>
      <c r="C5643" t="s">
        <v>40</v>
      </c>
      <c r="D5643">
        <v>4.7297419999999999</v>
      </c>
      <c r="E5643">
        <v>0.37224020000000002</v>
      </c>
      <c r="F5643" t="s">
        <v>41</v>
      </c>
      <c r="G5643">
        <v>-202.8098</v>
      </c>
      <c r="H5643">
        <v>1.0275639999999999</v>
      </c>
      <c r="I5643">
        <v>-57.214039999999997</v>
      </c>
      <c r="J5643">
        <v>-203.0403</v>
      </c>
      <c r="K5643">
        <v>1.1188579999999999</v>
      </c>
      <c r="L5643">
        <v>-57.927610000000001</v>
      </c>
      <c r="M5643">
        <v>0.87443749999999998</v>
      </c>
      <c r="N5643">
        <v>-1.159336E-2</v>
      </c>
      <c r="O5643">
        <v>0.48499979999999998</v>
      </c>
      <c r="P5643">
        <v>0.60397109999999998</v>
      </c>
      <c r="Q5643">
        <v>0.40453339999999999</v>
      </c>
      <c r="R5643">
        <v>0.68671079999999995</v>
      </c>
      <c r="S5643">
        <v>1.528152</v>
      </c>
      <c r="T5643">
        <v>-0.37052740000000001</v>
      </c>
      <c r="U5643">
        <v>3.2492070000000002</v>
      </c>
      <c r="V5643">
        <v>-0.31572610000000001</v>
      </c>
      <c r="W5643">
        <v>0.40832020000000002</v>
      </c>
      <c r="X5643">
        <v>0.85649959999999903</v>
      </c>
      <c r="Y5643">
        <v>-0.58363419999999999</v>
      </c>
      <c r="Z5643">
        <v>-1.2043959999999999E-2</v>
      </c>
      <c r="AA5643">
        <v>0.81192739999999997</v>
      </c>
      <c r="AB5643">
        <v>30</v>
      </c>
      <c r="AC5643">
        <v>0.23050000000000601</v>
      </c>
      <c r="AD5643">
        <v>-9.1294E-2</v>
      </c>
      <c r="AE5643">
        <v>0.71356999999999005</v>
      </c>
      <c r="AF5643">
        <v>-0.50473314243424505</v>
      </c>
      <c r="AG5643">
        <v>-9.1294E-2</v>
      </c>
      <c r="AH5643">
        <v>0.53967682570152098</v>
      </c>
      <c r="AI5643">
        <v>97.043209592932698</v>
      </c>
      <c r="AJ5643">
        <v>133.08372281265599</v>
      </c>
      <c r="AK5643">
        <v>0.74454094293518802</v>
      </c>
      <c r="AL5643">
        <v>65.900642995251602</v>
      </c>
      <c r="AM5643">
        <v>110.235084811531</v>
      </c>
      <c r="AN5643">
        <v>0.99999996037470396</v>
      </c>
    </row>
    <row r="5644" spans="1:40" x14ac:dyDescent="0.25">
      <c r="A5644" t="str">
        <f>"20190304164756761"</f>
        <v>20190304164756761</v>
      </c>
      <c r="B5644" t="str">
        <f>"1551689276755126"</f>
        <v>1551689276755126</v>
      </c>
      <c r="C5644" t="s">
        <v>40</v>
      </c>
      <c r="D5644">
        <v>4.7260220000000004</v>
      </c>
      <c r="E5644">
        <v>0.37212840000000003</v>
      </c>
      <c r="F5644" t="s">
        <v>41</v>
      </c>
      <c r="G5644">
        <v>-202.62790000000001</v>
      </c>
      <c r="H5644">
        <v>1.018027</v>
      </c>
      <c r="I5644">
        <v>-57.036459999999998</v>
      </c>
      <c r="J5644">
        <v>-202.87020000000001</v>
      </c>
      <c r="K5644">
        <v>1.1189129999999901</v>
      </c>
      <c r="L5644">
        <v>-57.825589999999998</v>
      </c>
      <c r="M5644">
        <v>0.87100460000000002</v>
      </c>
      <c r="N5644">
        <v>-1.1585949999999999E-2</v>
      </c>
      <c r="O5644">
        <v>0.49113830000000003</v>
      </c>
      <c r="P5644">
        <v>0.59954609999999997</v>
      </c>
      <c r="Q5644">
        <v>0.40507840000000001</v>
      </c>
      <c r="R5644">
        <v>0.69025789999999998</v>
      </c>
      <c r="S5644">
        <v>1.50827</v>
      </c>
      <c r="T5644">
        <v>-0.36877890000000002</v>
      </c>
      <c r="U5644">
        <v>3.2593380000000001</v>
      </c>
      <c r="V5644">
        <v>-0.31498959999999998</v>
      </c>
      <c r="W5644">
        <v>0.4088329</v>
      </c>
      <c r="X5644">
        <v>0.85652629999999996</v>
      </c>
      <c r="Y5644">
        <v>-0.58300069999999904</v>
      </c>
      <c r="Z5644">
        <v>-1.267306E-2</v>
      </c>
      <c r="AA5644">
        <v>0.81237289999999995</v>
      </c>
      <c r="AB5644">
        <v>30</v>
      </c>
      <c r="AC5644">
        <v>0.24229999999999999</v>
      </c>
      <c r="AD5644">
        <v>-0.100885999999999</v>
      </c>
      <c r="AE5644">
        <v>0.78913000000000699</v>
      </c>
      <c r="AF5644">
        <v>-0.56000686066691097</v>
      </c>
      <c r="AG5644">
        <v>-0.100885999999999</v>
      </c>
      <c r="AH5644">
        <v>0.58984653534912901</v>
      </c>
      <c r="AI5644">
        <v>97.070779439495894</v>
      </c>
      <c r="AJ5644">
        <v>133.513459378547</v>
      </c>
      <c r="AK5644">
        <v>0.81957586851577102</v>
      </c>
      <c r="AL5644">
        <v>65.868460698976804</v>
      </c>
      <c r="AM5644">
        <v>110.19111962499601</v>
      </c>
      <c r="AN5644">
        <v>1.00000004541112</v>
      </c>
    </row>
    <row r="5645" spans="1:40" x14ac:dyDescent="0.25">
      <c r="A5645" t="str">
        <f>"20190304164756777"</f>
        <v>20190304164756777</v>
      </c>
      <c r="B5645" t="str">
        <f>"1551689276774646"</f>
        <v>1551689276774646</v>
      </c>
      <c r="C5645" t="s">
        <v>40</v>
      </c>
      <c r="D5645">
        <v>4.7280280000000001</v>
      </c>
      <c r="E5645">
        <v>0.37196800000000002</v>
      </c>
      <c r="F5645" t="s">
        <v>53</v>
      </c>
      <c r="G5645">
        <v>-198.34100000000001</v>
      </c>
      <c r="H5645" s="1">
        <v>-4.0825490000000002E-6</v>
      </c>
      <c r="I5645">
        <v>-47.852789999999999</v>
      </c>
      <c r="J5645">
        <v>-202.7002</v>
      </c>
      <c r="K5645">
        <v>1.118978</v>
      </c>
      <c r="L5645">
        <v>-57.722169999999998</v>
      </c>
      <c r="M5645">
        <v>0.86749009999999904</v>
      </c>
      <c r="N5645">
        <v>-1.158206E-2</v>
      </c>
      <c r="O5645">
        <v>0.49731979999999998</v>
      </c>
      <c r="P5645">
        <v>0.59531309999999904</v>
      </c>
      <c r="Q5645">
        <v>0.40664509999999998</v>
      </c>
      <c r="R5645">
        <v>0.69299509999999998</v>
      </c>
      <c r="S5645">
        <v>1.485641</v>
      </c>
      <c r="T5645">
        <v>-0.36701929999999999</v>
      </c>
      <c r="U5645">
        <v>3.27121</v>
      </c>
      <c r="V5645">
        <v>-0.31343739999999998</v>
      </c>
      <c r="W5645">
        <v>0.41037449999999998</v>
      </c>
      <c r="X5645">
        <v>0.85635839999999996</v>
      </c>
      <c r="Y5645">
        <v>-0.58302519999999902</v>
      </c>
      <c r="Z5645">
        <v>-1.3250049999999999E-2</v>
      </c>
      <c r="AA5645">
        <v>0.81234600000000001</v>
      </c>
      <c r="AB5645">
        <v>30</v>
      </c>
      <c r="AC5645">
        <v>4.3592000000000102</v>
      </c>
      <c r="AD5645">
        <v>-1.118982082549</v>
      </c>
      <c r="AE5645">
        <v>9.8693799999999996</v>
      </c>
      <c r="AF5645">
        <v>-6.3260557537249804</v>
      </c>
      <c r="AG5645">
        <v>-1.118982082549</v>
      </c>
      <c r="AH5645">
        <v>8.5979006796061803</v>
      </c>
      <c r="AI5645">
        <v>95.984376023072301</v>
      </c>
      <c r="AJ5645">
        <v>126.344426092633</v>
      </c>
      <c r="AK5645">
        <v>10.732893291031701</v>
      </c>
      <c r="AL5645">
        <v>65.771636792787902</v>
      </c>
      <c r="AM5645">
        <v>110.103229120175</v>
      </c>
      <c r="AN5645">
        <v>0.99999997160978404</v>
      </c>
    </row>
    <row r="5646" spans="1:40" x14ac:dyDescent="0.25">
      <c r="A5646" t="str">
        <f>"20190304164756800"</f>
        <v>20190304164756800</v>
      </c>
      <c r="B5646" t="str">
        <f>"1551689276795142"</f>
        <v>1551689276795142</v>
      </c>
      <c r="C5646" t="s">
        <v>40</v>
      </c>
      <c r="D5646">
        <v>4.7410579999999998</v>
      </c>
      <c r="E5646">
        <v>0.37185049999999997</v>
      </c>
      <c r="F5646" t="s">
        <v>53</v>
      </c>
      <c r="G5646">
        <v>-198.15549999999999</v>
      </c>
      <c r="H5646" s="1">
        <v>-4.2127719999999998E-6</v>
      </c>
      <c r="I5646">
        <v>-47.528390000000002</v>
      </c>
      <c r="J5646">
        <v>-202.4562</v>
      </c>
      <c r="K5646">
        <v>1.119103</v>
      </c>
      <c r="L5646">
        <v>-57.5702199999999</v>
      </c>
      <c r="M5646">
        <v>0.86226589999999903</v>
      </c>
      <c r="N5646">
        <v>-1.158374E-2</v>
      </c>
      <c r="O5646">
        <v>0.50632339999999998</v>
      </c>
      <c r="P5646">
        <v>0.58853509999999998</v>
      </c>
      <c r="Q5646">
        <v>0.40836610000000001</v>
      </c>
      <c r="R5646">
        <v>0.69775619999999905</v>
      </c>
      <c r="S5646">
        <v>1.46373</v>
      </c>
      <c r="T5646">
        <v>-0.36039100000000002</v>
      </c>
      <c r="U5646">
        <v>3.283112</v>
      </c>
      <c r="V5646">
        <v>-0.31215029999999999</v>
      </c>
      <c r="W5646">
        <v>0.41203020000000001</v>
      </c>
      <c r="X5646">
        <v>0.856033499999999</v>
      </c>
      <c r="Y5646">
        <v>-0.58026239999999996</v>
      </c>
      <c r="Z5646">
        <v>-1.400127E-2</v>
      </c>
      <c r="AA5646">
        <v>0.81430930000000001</v>
      </c>
      <c r="AB5646">
        <v>30</v>
      </c>
      <c r="AC5646">
        <v>4.3007</v>
      </c>
      <c r="AD5646">
        <v>-1.1191072127720001</v>
      </c>
      <c r="AE5646">
        <v>10.0418299999999</v>
      </c>
      <c r="AF5646">
        <v>-6.4142998835031104</v>
      </c>
      <c r="AG5646">
        <v>-1.1191072127720001</v>
      </c>
      <c r="AH5646">
        <v>8.7020234508806098</v>
      </c>
      <c r="AI5646">
        <v>95.910190575511706</v>
      </c>
      <c r="AJ5646">
        <v>126.394091178602</v>
      </c>
      <c r="AK5646">
        <v>10.8683419199463</v>
      </c>
      <c r="AL5646">
        <v>65.667567880736499</v>
      </c>
      <c r="AM5646">
        <v>110.03424736752901</v>
      </c>
      <c r="AN5646">
        <v>1.00000002431218</v>
      </c>
    </row>
    <row r="5647" spans="1:40" x14ac:dyDescent="0.25">
      <c r="A5647" t="str">
        <f>"20190304164756812"</f>
        <v>20190304164756812</v>
      </c>
      <c r="B5647" t="str">
        <f>"1551689276804902"</f>
        <v>1551689276804902</v>
      </c>
      <c r="C5647" t="s">
        <v>40</v>
      </c>
      <c r="D5647">
        <v>4.7915369999999999</v>
      </c>
      <c r="E5647">
        <v>0.37185049999999997</v>
      </c>
      <c r="F5647" t="s">
        <v>53</v>
      </c>
      <c r="G5647">
        <v>-197.93610000000001</v>
      </c>
      <c r="H5647" s="1">
        <v>-4.3614599999999901E-6</v>
      </c>
      <c r="I5647">
        <v>-47.155299999999997</v>
      </c>
      <c r="J5647">
        <v>-202.3099</v>
      </c>
      <c r="K5647">
        <v>1.119184</v>
      </c>
      <c r="L5647">
        <v>-57.477569999999901</v>
      </c>
      <c r="M5647">
        <v>0.85903949999999996</v>
      </c>
      <c r="N5647">
        <v>-1.1587E-2</v>
      </c>
      <c r="O5647">
        <v>0.51177810000000001</v>
      </c>
      <c r="P5647">
        <v>0.58410260000000003</v>
      </c>
      <c r="Q5647">
        <v>0.40946539999999998</v>
      </c>
      <c r="R5647">
        <v>0.70082959999999905</v>
      </c>
      <c r="S5647">
        <v>1.4318850000000001</v>
      </c>
      <c r="T5647">
        <v>-0.35450920000000002</v>
      </c>
      <c r="U5647">
        <v>3.2992249999999999</v>
      </c>
      <c r="V5647">
        <v>-0.31169999999999998</v>
      </c>
      <c r="W5647">
        <v>0.41307870000000002</v>
      </c>
      <c r="X5647">
        <v>0.85569219999999901</v>
      </c>
      <c r="Y5647">
        <v>-0.58319779999999999</v>
      </c>
      <c r="Z5647">
        <v>-1.4010689999999999E-2</v>
      </c>
      <c r="AA5647">
        <v>0.81220939999999997</v>
      </c>
      <c r="AB5647">
        <v>30</v>
      </c>
      <c r="AC5647">
        <v>4.3737999999999797</v>
      </c>
      <c r="AD5647">
        <v>-1.11918836146</v>
      </c>
      <c r="AE5647">
        <v>10.3222699999999</v>
      </c>
      <c r="AF5647">
        <v>-6.5638492701850399</v>
      </c>
      <c r="AG5647">
        <v>-1.11918836146</v>
      </c>
      <c r="AH5647">
        <v>8.9513720726811492</v>
      </c>
      <c r="AI5647">
        <v>95.7575206425212</v>
      </c>
      <c r="AJ5647">
        <v>126.251797088995</v>
      </c>
      <c r="AK5647">
        <v>11.1563328120719</v>
      </c>
      <c r="AL5647">
        <v>65.601619350543302</v>
      </c>
      <c r="AM5647">
        <v>110.014987513294</v>
      </c>
      <c r="AN5647">
        <v>1.00000002176726</v>
      </c>
    </row>
    <row r="5648" spans="1:40" x14ac:dyDescent="0.25">
      <c r="A5648" t="str">
        <f>"20190304164756826"</f>
        <v>20190304164756826</v>
      </c>
      <c r="B5648" t="str">
        <f>"1551689276814662"</f>
        <v>1551689276814662</v>
      </c>
      <c r="C5648" t="s">
        <v>40</v>
      </c>
      <c r="D5648">
        <v>4.7907659999999996</v>
      </c>
      <c r="E5648">
        <v>0.39329190000000003</v>
      </c>
      <c r="F5648" t="s">
        <v>41</v>
      </c>
      <c r="G5648">
        <v>-201.9546</v>
      </c>
      <c r="H5648">
        <v>1.0311709999999901</v>
      </c>
      <c r="I5648">
        <v>-56.645119999999999</v>
      </c>
      <c r="J5648">
        <v>-202.15819999999999</v>
      </c>
      <c r="K5648">
        <v>1.1192770000000001</v>
      </c>
      <c r="L5648">
        <v>-57.379550000000002</v>
      </c>
      <c r="M5648">
        <v>0.85559030000000003</v>
      </c>
      <c r="N5648">
        <v>-1.159313E-2</v>
      </c>
      <c r="O5648">
        <v>0.51752379999999998</v>
      </c>
      <c r="P5648">
        <v>0.57937320000000003</v>
      </c>
      <c r="Q5648">
        <v>0.41049750000000002</v>
      </c>
      <c r="R5648">
        <v>0.70414390000000004</v>
      </c>
      <c r="S5648">
        <v>1.4118040000000001</v>
      </c>
      <c r="T5648">
        <v>-0.34975840000000002</v>
      </c>
      <c r="U5648">
        <v>3.3083499999999999</v>
      </c>
      <c r="V5648">
        <v>-0.31132189999999998</v>
      </c>
      <c r="W5648">
        <v>0.41405429999999999</v>
      </c>
      <c r="X5648">
        <v>0.85535819999999996</v>
      </c>
      <c r="Y5648">
        <v>-0.58277400000000001</v>
      </c>
      <c r="Z5648">
        <v>-1.433219E-2</v>
      </c>
      <c r="AA5648">
        <v>0.81250789999999995</v>
      </c>
      <c r="AB5648">
        <v>30</v>
      </c>
      <c r="AC5648">
        <v>0.20359999999999401</v>
      </c>
      <c r="AD5648">
        <v>-8.8106000000000198E-2</v>
      </c>
      <c r="AE5648">
        <v>0.73443000000000302</v>
      </c>
      <c r="AF5648">
        <v>-0.51614049329284695</v>
      </c>
      <c r="AG5648">
        <v>-8.8106000000000198E-2</v>
      </c>
      <c r="AH5648">
        <v>0.547009890534919</v>
      </c>
      <c r="AI5648">
        <v>96.681752157526006</v>
      </c>
      <c r="AJ5648">
        <v>133.33683982018101</v>
      </c>
      <c r="AK5648">
        <v>0.75722090330075198</v>
      </c>
      <c r="AL5648">
        <v>65.540223846727699</v>
      </c>
      <c r="AM5648">
        <v>109.999821107939</v>
      </c>
      <c r="AN5648">
        <v>0.99999996953766901</v>
      </c>
    </row>
    <row r="5649" spans="1:40" x14ac:dyDescent="0.25">
      <c r="A5649" t="str">
        <f>"20190304164756844"</f>
        <v>20190304164756844</v>
      </c>
      <c r="B5649" t="str">
        <f>"1551689276835157"</f>
        <v>1551689276835157</v>
      </c>
      <c r="C5649" t="s">
        <v>40</v>
      </c>
      <c r="D5649">
        <v>4.7681100000000001</v>
      </c>
      <c r="E5649">
        <v>0.3976867</v>
      </c>
      <c r="F5649" t="s">
        <v>41</v>
      </c>
      <c r="G5649">
        <v>-201.7415</v>
      </c>
      <c r="H5649">
        <v>1.0265759999999999</v>
      </c>
      <c r="I5649">
        <v>-56.500570000000003</v>
      </c>
      <c r="J5649">
        <v>-201.95480000000001</v>
      </c>
      <c r="K5649">
        <v>1.1194120000000001</v>
      </c>
      <c r="L5649">
        <v>-57.246119999999998</v>
      </c>
      <c r="M5649">
        <v>0.85081890000000004</v>
      </c>
      <c r="N5649">
        <v>-1.1604379999999999E-2</v>
      </c>
      <c r="O5649">
        <v>0.52533099999999999</v>
      </c>
      <c r="P5649">
        <v>0.57256260000000003</v>
      </c>
      <c r="Q5649">
        <v>0.41260259999999999</v>
      </c>
      <c r="R5649">
        <v>0.70847099999999996</v>
      </c>
      <c r="S5649">
        <v>1.5204770000000001</v>
      </c>
      <c r="T5649">
        <v>-0.33820929999999999</v>
      </c>
      <c r="U5649">
        <v>3.206604</v>
      </c>
      <c r="V5649">
        <v>-0.31087819999999999</v>
      </c>
      <c r="W5649">
        <v>0.41607070000000002</v>
      </c>
      <c r="X5649">
        <v>0.85454079999999999</v>
      </c>
      <c r="Y5649">
        <v>-0.54287019999999997</v>
      </c>
      <c r="Z5649">
        <v>-1.707092E-2</v>
      </c>
      <c r="AA5649">
        <v>0.83964319999999903</v>
      </c>
      <c r="AB5649">
        <v>30</v>
      </c>
      <c r="AC5649">
        <v>0.21330000000000299</v>
      </c>
      <c r="AD5649">
        <v>-9.2836000000000099E-2</v>
      </c>
      <c r="AE5649">
        <v>0.74555000000000105</v>
      </c>
      <c r="AF5649">
        <v>-0.51493000836765102</v>
      </c>
      <c r="AG5649">
        <v>-9.2836000000000099E-2</v>
      </c>
      <c r="AH5649">
        <v>0.56507994355039703</v>
      </c>
      <c r="AI5649">
        <v>96.923686828458997</v>
      </c>
      <c r="AJ5649">
        <v>132.34139753459999</v>
      </c>
      <c r="AK5649">
        <v>0.770121275525115</v>
      </c>
      <c r="AL5649">
        <v>65.413239131313802</v>
      </c>
      <c r="AM5649">
        <v>109.99116515776301</v>
      </c>
      <c r="AN5649">
        <v>1.0000000307491801</v>
      </c>
    </row>
    <row r="5650" spans="1:40" x14ac:dyDescent="0.25">
      <c r="A5650" t="str">
        <f>"20190304164756859"</f>
        <v>20190304164756859</v>
      </c>
      <c r="B5650" t="str">
        <f>"1551689276854677"</f>
        <v>1551689276854677</v>
      </c>
      <c r="C5650" t="s">
        <v>40</v>
      </c>
      <c r="D5650">
        <v>4.7509600000000001</v>
      </c>
      <c r="E5650">
        <v>0.3994104</v>
      </c>
      <c r="F5650" t="s">
        <v>41</v>
      </c>
      <c r="G5650">
        <v>-201.53059999999999</v>
      </c>
      <c r="H5650">
        <v>1.028519</v>
      </c>
      <c r="I5650">
        <v>-56.353000000000002</v>
      </c>
      <c r="J5650">
        <v>-201.79920000000001</v>
      </c>
      <c r="K5650">
        <v>1.119529</v>
      </c>
      <c r="L5650">
        <v>-57.142270000000003</v>
      </c>
      <c r="M5650">
        <v>0.84704120000000005</v>
      </c>
      <c r="N5650">
        <v>-1.161625E-2</v>
      </c>
      <c r="O5650">
        <v>0.53140030000000005</v>
      </c>
      <c r="P5650">
        <v>0.56741839999999999</v>
      </c>
      <c r="Q5650">
        <v>0.41347830000000002</v>
      </c>
      <c r="R5650">
        <v>0.71209</v>
      </c>
      <c r="S5650">
        <v>1.517944</v>
      </c>
      <c r="T5650">
        <v>-0.32533509999999999</v>
      </c>
      <c r="U5650">
        <v>3.197174</v>
      </c>
      <c r="V5650">
        <v>-0.3106603</v>
      </c>
      <c r="W5650">
        <v>0.41687400000000002</v>
      </c>
      <c r="X5650">
        <v>0.85422849999999995</v>
      </c>
      <c r="Y5650">
        <v>-0.53651599999999999</v>
      </c>
      <c r="Z5650">
        <v>-1.7100819999999999E-2</v>
      </c>
      <c r="AA5650">
        <v>0.84371689999999999</v>
      </c>
      <c r="AB5650">
        <v>30</v>
      </c>
      <c r="AC5650">
        <v>0.26860000000001999</v>
      </c>
      <c r="AD5650">
        <v>-9.1009999999999994E-2</v>
      </c>
      <c r="AE5650">
        <v>0.78926999999999403</v>
      </c>
      <c r="AF5650">
        <v>-0.51965330714022995</v>
      </c>
      <c r="AG5650">
        <v>-9.1009999999999994E-2</v>
      </c>
      <c r="AH5650">
        <v>0.63935854980903895</v>
      </c>
      <c r="AI5650">
        <v>96.303440483309799</v>
      </c>
      <c r="AJ5650">
        <v>129.10327627129399</v>
      </c>
      <c r="AK5650">
        <v>0.82891599992743303</v>
      </c>
      <c r="AL5650">
        <v>65.362614358174994</v>
      </c>
      <c r="AM5650">
        <v>109.98498763147499</v>
      </c>
      <c r="AN5650">
        <v>1.00000004204216</v>
      </c>
    </row>
    <row r="5651" spans="1:40" x14ac:dyDescent="0.25">
      <c r="A5651" t="str">
        <f>"20190304164756880"</f>
        <v>20190304164756880</v>
      </c>
      <c r="B5651" t="str">
        <f>"1551689276875173"</f>
        <v>1551689276875173</v>
      </c>
      <c r="C5651" t="s">
        <v>40</v>
      </c>
      <c r="D5651">
        <v>4.785717</v>
      </c>
      <c r="E5651">
        <v>0.4007676</v>
      </c>
      <c r="F5651" t="s">
        <v>41</v>
      </c>
      <c r="G5651">
        <v>-201.34549999999999</v>
      </c>
      <c r="H5651">
        <v>1.0224219999999999</v>
      </c>
      <c r="I5651">
        <v>-56.178759999999997</v>
      </c>
      <c r="J5651">
        <v>-201.5838</v>
      </c>
      <c r="K5651">
        <v>1.119704</v>
      </c>
      <c r="L5651">
        <v>-56.99539</v>
      </c>
      <c r="M5651">
        <v>0.84160230000000003</v>
      </c>
      <c r="N5651">
        <v>-1.1638859999999999E-2</v>
      </c>
      <c r="O5651">
        <v>0.53997229999999996</v>
      </c>
      <c r="P5651">
        <v>0.56007059999999997</v>
      </c>
      <c r="Q5651">
        <v>0.41403279999999998</v>
      </c>
      <c r="R5651">
        <v>0.71756379999999997</v>
      </c>
      <c r="S5651">
        <v>1.5067900000000001</v>
      </c>
      <c r="T5651">
        <v>-0.3224669</v>
      </c>
      <c r="U5651">
        <v>3.1995239999999998</v>
      </c>
      <c r="V5651">
        <v>-0.31068449999999997</v>
      </c>
      <c r="W5651">
        <v>0.4173191</v>
      </c>
      <c r="X5651">
        <v>0.85400229999999999</v>
      </c>
      <c r="Y5651">
        <v>-0.5306324</v>
      </c>
      <c r="Z5651">
        <v>-1.8040580000000001E-2</v>
      </c>
      <c r="AA5651">
        <v>0.84741010000000005</v>
      </c>
      <c r="AB5651">
        <v>30</v>
      </c>
      <c r="AC5651">
        <v>0.238300000000009</v>
      </c>
      <c r="AD5651">
        <v>-9.7281999999999993E-2</v>
      </c>
      <c r="AE5651">
        <v>0.81663000000000296</v>
      </c>
      <c r="AF5651">
        <v>-0.55142884081458499</v>
      </c>
      <c r="AG5651">
        <v>-9.7281999999999993E-2</v>
      </c>
      <c r="AH5651">
        <v>0.63327326061007905</v>
      </c>
      <c r="AI5651">
        <v>96.608384006513802</v>
      </c>
      <c r="AJ5651">
        <v>131.04803526644201</v>
      </c>
      <c r="AK5651">
        <v>0.84532394773236996</v>
      </c>
      <c r="AL5651">
        <v>65.334553845632499</v>
      </c>
      <c r="AM5651">
        <v>109.991295739855</v>
      </c>
      <c r="AN5651">
        <v>1.0000000090851699</v>
      </c>
    </row>
    <row r="5652" spans="1:40" x14ac:dyDescent="0.25">
      <c r="A5652" t="str">
        <f>"20190304164756901"</f>
        <v>20190304164756901</v>
      </c>
      <c r="B5652" t="str">
        <f>"1551689276894694"</f>
        <v>1551689276894694</v>
      </c>
      <c r="C5652" t="s">
        <v>40</v>
      </c>
      <c r="D5652">
        <v>4.7824629999999999</v>
      </c>
      <c r="E5652">
        <v>0.40121960000000001</v>
      </c>
      <c r="F5652" t="s">
        <v>41</v>
      </c>
      <c r="G5652">
        <v>-201.13650000000001</v>
      </c>
      <c r="H5652">
        <v>1.022813</v>
      </c>
      <c r="I5652">
        <v>-56.028559999999999</v>
      </c>
      <c r="J5652">
        <v>-201.34630000000001</v>
      </c>
      <c r="K5652">
        <v>1.1199079999999999</v>
      </c>
      <c r="L5652">
        <v>-56.829410000000003</v>
      </c>
      <c r="M5652">
        <v>0.83531939999999905</v>
      </c>
      <c r="N5652">
        <v>-1.167089E-2</v>
      </c>
      <c r="O5652">
        <v>0.54964109999999999</v>
      </c>
      <c r="P5652">
        <v>0.55202559999999901</v>
      </c>
      <c r="Q5652">
        <v>0.41415269999999998</v>
      </c>
      <c r="R5652">
        <v>0.72370249999999903</v>
      </c>
      <c r="S5652">
        <v>1.4839020000000001</v>
      </c>
      <c r="T5652">
        <v>-0.32147379999999998</v>
      </c>
      <c r="U5652">
        <v>3.2080989999999998</v>
      </c>
      <c r="V5652">
        <v>-0.31051689999999998</v>
      </c>
      <c r="W5652">
        <v>0.41732380000000002</v>
      </c>
      <c r="X5652">
        <v>0.85406090000000001</v>
      </c>
      <c r="Y5652">
        <v>-0.52673319999999901</v>
      </c>
      <c r="Z5652">
        <v>-1.9108279999999998E-2</v>
      </c>
      <c r="AA5652">
        <v>0.84981589999999996</v>
      </c>
      <c r="AB5652">
        <v>30</v>
      </c>
      <c r="AC5652">
        <v>0.20980000000000101</v>
      </c>
      <c r="AD5652">
        <v>-9.7094999999999904E-2</v>
      </c>
      <c r="AE5652">
        <v>0.80084999999999695</v>
      </c>
      <c r="AF5652">
        <v>-0.546175821931009</v>
      </c>
      <c r="AG5652">
        <v>-9.7094999999999904E-2</v>
      </c>
      <c r="AH5652">
        <v>0.60712096694222095</v>
      </c>
      <c r="AI5652">
        <v>96.780377668216005</v>
      </c>
      <c r="AJ5652">
        <v>131.975059098624</v>
      </c>
      <c r="AK5652">
        <v>0.82239366241956802</v>
      </c>
      <c r="AL5652">
        <v>65.334256228588899</v>
      </c>
      <c r="AM5652">
        <v>109.980102418789</v>
      </c>
      <c r="AN5652">
        <v>0.99999996007042902</v>
      </c>
    </row>
    <row r="5653" spans="1:40" x14ac:dyDescent="0.25">
      <c r="A5653" t="str">
        <f>"20190304164756924"</f>
        <v>20190304164756924</v>
      </c>
      <c r="B5653" t="str">
        <f>"1551689276915080"</f>
        <v>1551689276915080</v>
      </c>
      <c r="C5653" t="s">
        <v>40</v>
      </c>
      <c r="D5653">
        <v>4.7855460000000001</v>
      </c>
      <c r="E5653">
        <v>0.40196009999999999</v>
      </c>
      <c r="F5653" t="s">
        <v>41</v>
      </c>
      <c r="G5653">
        <v>-200.92060000000001</v>
      </c>
      <c r="H5653">
        <v>1.0251429999999999</v>
      </c>
      <c r="I5653">
        <v>-55.884369999999997</v>
      </c>
      <c r="J5653">
        <v>-201.10050000000001</v>
      </c>
      <c r="K5653">
        <v>1.120112</v>
      </c>
      <c r="L5653">
        <v>-56.652949999999997</v>
      </c>
      <c r="M5653">
        <v>0.82848849999999996</v>
      </c>
      <c r="N5653">
        <v>-1.171207E-2</v>
      </c>
      <c r="O5653">
        <v>0.55988369999999998</v>
      </c>
      <c r="P5653">
        <v>0.54366329999999996</v>
      </c>
      <c r="Q5653">
        <v>0.41492000000000001</v>
      </c>
      <c r="R5653">
        <v>0.72956960000000004</v>
      </c>
      <c r="S5653">
        <v>1.45163</v>
      </c>
      <c r="T5653">
        <v>-0.3231657</v>
      </c>
      <c r="U5653">
        <v>3.2230219999999998</v>
      </c>
      <c r="V5653">
        <v>-0.30969410000000003</v>
      </c>
      <c r="W5653">
        <v>0.41799190000000003</v>
      </c>
      <c r="X5653">
        <v>0.85403300000000004</v>
      </c>
      <c r="Y5653">
        <v>-0.5248408</v>
      </c>
      <c r="Z5653">
        <v>-2.0339110000000001E-2</v>
      </c>
      <c r="AA5653">
        <v>0.85095739999999997</v>
      </c>
      <c r="AB5653">
        <v>30</v>
      </c>
      <c r="AC5653">
        <v>0.179900000000003</v>
      </c>
      <c r="AD5653">
        <v>-9.4968999999999804E-2</v>
      </c>
      <c r="AE5653">
        <v>0.76858000000000004</v>
      </c>
      <c r="AF5653">
        <v>-0.52842437280013899</v>
      </c>
      <c r="AG5653">
        <v>-9.4968999999999804E-2</v>
      </c>
      <c r="AH5653">
        <v>0.57113301317008403</v>
      </c>
      <c r="AI5653">
        <v>96.958753452975401</v>
      </c>
      <c r="AJ5653">
        <v>132.77565464296001</v>
      </c>
      <c r="AK5653">
        <v>0.78386500589257102</v>
      </c>
      <c r="AL5653">
        <v>65.292127873212905</v>
      </c>
      <c r="AM5653">
        <v>109.931933286667</v>
      </c>
      <c r="AN5653">
        <v>1.0000000145647101</v>
      </c>
    </row>
    <row r="5654" spans="1:40" x14ac:dyDescent="0.25">
      <c r="A5654" t="str">
        <f>"20190304164756945"</f>
        <v>20190304164756945</v>
      </c>
      <c r="B5654" t="str">
        <f>"1551689276934604"</f>
        <v>1551689276934604</v>
      </c>
      <c r="C5654" t="s">
        <v>40</v>
      </c>
      <c r="D5654">
        <v>4.7951220000000001</v>
      </c>
      <c r="E5654">
        <v>0.40272790000000003</v>
      </c>
      <c r="F5654" t="s">
        <v>41</v>
      </c>
      <c r="G5654">
        <v>-200.70140000000001</v>
      </c>
      <c r="H5654">
        <v>1.0289980000000001</v>
      </c>
      <c r="I5654">
        <v>-55.7423</v>
      </c>
      <c r="J5654">
        <v>-200.87710000000001</v>
      </c>
      <c r="K5654">
        <v>1.1202970000000001</v>
      </c>
      <c r="L5654">
        <v>-56.488309999999998</v>
      </c>
      <c r="M5654">
        <v>0.82197469999999995</v>
      </c>
      <c r="N5654">
        <v>-1.1753990000000001E-2</v>
      </c>
      <c r="O5654">
        <v>0.56940269999999904</v>
      </c>
      <c r="P5654">
        <v>0.53585169999999904</v>
      </c>
      <c r="Q5654">
        <v>0.41456419999999999</v>
      </c>
      <c r="R5654">
        <v>0.73552669999999998</v>
      </c>
      <c r="S5654">
        <v>1.419403</v>
      </c>
      <c r="T5654">
        <v>-0.324021</v>
      </c>
      <c r="U5654">
        <v>3.238556</v>
      </c>
      <c r="V5654">
        <v>-0.30929699999999999</v>
      </c>
      <c r="W5654">
        <v>0.417547</v>
      </c>
      <c r="X5654">
        <v>0.85439449999999995</v>
      </c>
      <c r="Y5654">
        <v>-0.52365249999999997</v>
      </c>
      <c r="Z5654">
        <v>-2.13869E-2</v>
      </c>
      <c r="AA5654">
        <v>0.85166350000000002</v>
      </c>
      <c r="AB5654">
        <v>30</v>
      </c>
      <c r="AC5654">
        <v>0.17570000000000599</v>
      </c>
      <c r="AD5654">
        <v>-9.1299000000000005E-2</v>
      </c>
      <c r="AE5654">
        <v>0.74600999999999795</v>
      </c>
      <c r="AF5654">
        <v>-0.50601218821647298</v>
      </c>
      <c r="AG5654">
        <v>-9.1299000000000005E-2</v>
      </c>
      <c r="AH5654">
        <v>0.56127561699157302</v>
      </c>
      <c r="AI5654">
        <v>96.888758149787606</v>
      </c>
      <c r="AJ5654">
        <v>132.035911040901</v>
      </c>
      <c r="AK5654">
        <v>0.76119259077706103</v>
      </c>
      <c r="AL5654">
        <v>65.320185294983006</v>
      </c>
      <c r="AM5654">
        <v>109.90062306500499</v>
      </c>
      <c r="AN5654">
        <v>1.0000000465241199</v>
      </c>
    </row>
    <row r="5655" spans="1:40" x14ac:dyDescent="0.25">
      <c r="A5655" t="str">
        <f>"20190304164756967"</f>
        <v>20190304164756967</v>
      </c>
      <c r="B5655" t="str">
        <f>"1551689276955097"</f>
        <v>1551689276955097</v>
      </c>
      <c r="C5655" t="s">
        <v>40</v>
      </c>
      <c r="D5655">
        <v>4.7868700000000004</v>
      </c>
      <c r="E5655">
        <v>0.40349659999999998</v>
      </c>
      <c r="F5655" t="s">
        <v>41</v>
      </c>
      <c r="G5655">
        <v>-200.4931</v>
      </c>
      <c r="H5655">
        <v>1.0289699999999999</v>
      </c>
      <c r="I5655">
        <v>-55.588830000000002</v>
      </c>
      <c r="J5655">
        <v>-200.64570000000001</v>
      </c>
      <c r="K5655">
        <v>1.120487</v>
      </c>
      <c r="L5655">
        <v>-56.313290000000002</v>
      </c>
      <c r="M5655">
        <v>0.81490640000000003</v>
      </c>
      <c r="N5655">
        <v>-1.18002E-2</v>
      </c>
      <c r="O5655">
        <v>0.57947249999999995</v>
      </c>
      <c r="P5655">
        <v>0.52678349999999996</v>
      </c>
      <c r="Q5655">
        <v>0.41388950000000002</v>
      </c>
      <c r="R5655">
        <v>0.7424248</v>
      </c>
      <c r="S5655">
        <v>1.3889469999999999</v>
      </c>
      <c r="T5655">
        <v>-0.33030179999999998</v>
      </c>
      <c r="U5655">
        <v>3.2529599999999999</v>
      </c>
      <c r="V5655">
        <v>-0.30976130000000002</v>
      </c>
      <c r="W5655">
        <v>0.41676089999999999</v>
      </c>
      <c r="X5655">
        <v>0.85460999999999998</v>
      </c>
      <c r="Y5655">
        <v>-0.52129570000000003</v>
      </c>
      <c r="Z5655">
        <v>-2.3090070000000001E-2</v>
      </c>
      <c r="AA5655">
        <v>0.85306360000000003</v>
      </c>
      <c r="AB5655">
        <v>30</v>
      </c>
      <c r="AC5655">
        <v>0.15260000000000601</v>
      </c>
      <c r="AD5655">
        <v>-9.1516999999999807E-2</v>
      </c>
      <c r="AE5655">
        <v>0.72445999999999999</v>
      </c>
      <c r="AF5655">
        <v>-0.49441983154654601</v>
      </c>
      <c r="AG5655">
        <v>-9.1516999999999807E-2</v>
      </c>
      <c r="AH5655">
        <v>0.53600709731394802</v>
      </c>
      <c r="AI5655">
        <v>97.153261381826894</v>
      </c>
      <c r="AJ5655">
        <v>132.688839195686</v>
      </c>
      <c r="AK5655">
        <v>0.73493533013894397</v>
      </c>
      <c r="AL5655">
        <v>65.369741722988906</v>
      </c>
      <c r="AM5655">
        <v>109.92351702319</v>
      </c>
      <c r="AN5655">
        <v>0.99999998142324897</v>
      </c>
    </row>
    <row r="5656" spans="1:40" x14ac:dyDescent="0.25">
      <c r="A5656" t="str">
        <f>"20190304164756991"</f>
        <v>20190304164756991</v>
      </c>
      <c r="B5656" t="str">
        <f>"1551689276985353"</f>
        <v>1551689276985353</v>
      </c>
      <c r="C5656" t="s">
        <v>40</v>
      </c>
      <c r="D5656">
        <v>4.7926159999999998</v>
      </c>
      <c r="E5656">
        <v>0.40409089999999998</v>
      </c>
      <c r="F5656" t="s">
        <v>41</v>
      </c>
      <c r="G5656">
        <v>-200.28210000000001</v>
      </c>
      <c r="H5656">
        <v>1.029822</v>
      </c>
      <c r="I5656">
        <v>-55.436990000000002</v>
      </c>
      <c r="J5656">
        <v>-200.41069999999999</v>
      </c>
      <c r="K5656">
        <v>1.1206799999999999</v>
      </c>
      <c r="L5656">
        <v>-56.130740000000003</v>
      </c>
      <c r="M5656">
        <v>0.80738339999999997</v>
      </c>
      <c r="N5656">
        <v>-1.184908E-2</v>
      </c>
      <c r="O5656">
        <v>0.58990810000000005</v>
      </c>
      <c r="P5656">
        <v>0.51649769999999995</v>
      </c>
      <c r="Q5656">
        <v>0.41348819999999997</v>
      </c>
      <c r="R5656">
        <v>0.74983849999999996</v>
      </c>
      <c r="S5656">
        <v>1.3553770000000001</v>
      </c>
      <c r="T5656">
        <v>-0.33804060000000002</v>
      </c>
      <c r="U5656">
        <v>3.2675779999999999</v>
      </c>
      <c r="V5656">
        <v>-0.3109209</v>
      </c>
      <c r="W5656">
        <v>0.41622979999999998</v>
      </c>
      <c r="X5656">
        <v>0.85444769999999903</v>
      </c>
      <c r="Y5656">
        <v>-0.51916110000000004</v>
      </c>
      <c r="Z5656">
        <v>-2.502039E-2</v>
      </c>
      <c r="AA5656">
        <v>0.85431009999999996</v>
      </c>
      <c r="AB5656">
        <v>30</v>
      </c>
      <c r="AC5656">
        <v>0.12859999999997701</v>
      </c>
      <c r="AD5656">
        <v>-9.08579999999998E-2</v>
      </c>
      <c r="AE5656">
        <v>0.69375000000000098</v>
      </c>
      <c r="AF5656">
        <v>-0.47639430006301298</v>
      </c>
      <c r="AG5656">
        <v>-9.08579999999998E-2</v>
      </c>
      <c r="AH5656">
        <v>0.50474440860434899</v>
      </c>
      <c r="AI5656">
        <v>97.458072017661493</v>
      </c>
      <c r="AJ5656">
        <v>133.34489281573099</v>
      </c>
      <c r="AK5656">
        <v>0.69998115925636295</v>
      </c>
      <c r="AL5656">
        <v>65.403212260850694</v>
      </c>
      <c r="AM5656">
        <v>109.99569935177</v>
      </c>
      <c r="AN5656">
        <v>0.99999996225006904</v>
      </c>
    </row>
    <row r="5657" spans="1:40" x14ac:dyDescent="0.25">
      <c r="A5657" t="str">
        <f>"20190304164757013"</f>
        <v>20190304164757013</v>
      </c>
      <c r="B5657" t="str">
        <f>"1551689277004873"</f>
        <v>1551689277004873</v>
      </c>
      <c r="C5657" t="s">
        <v>40</v>
      </c>
      <c r="D5657">
        <v>4.7901350000000003</v>
      </c>
      <c r="E5657">
        <v>0.4138772</v>
      </c>
      <c r="F5657" t="s">
        <v>41</v>
      </c>
      <c r="G5657">
        <v>-200.07140000000001</v>
      </c>
      <c r="H5657">
        <v>1.031652</v>
      </c>
      <c r="I5657">
        <v>-55.283819999999999</v>
      </c>
      <c r="J5657">
        <v>-200.1644</v>
      </c>
      <c r="K5657">
        <v>1.1208659999999999</v>
      </c>
      <c r="L5657">
        <v>-55.933990000000001</v>
      </c>
      <c r="M5657">
        <v>0.79912309999999998</v>
      </c>
      <c r="N5657">
        <v>-1.190066E-2</v>
      </c>
      <c r="O5657">
        <v>0.60104969999999902</v>
      </c>
      <c r="P5657">
        <v>0.50639219999999996</v>
      </c>
      <c r="Q5657">
        <v>0.41284189999999998</v>
      </c>
      <c r="R5657">
        <v>0.75705250000000002</v>
      </c>
      <c r="S5657">
        <v>1.31636</v>
      </c>
      <c r="T5657">
        <v>-0.3452865</v>
      </c>
      <c r="U5657">
        <v>3.2845460000000002</v>
      </c>
      <c r="V5657">
        <v>-0.31099339999999998</v>
      </c>
      <c r="W5657">
        <v>0.41548689999999999</v>
      </c>
      <c r="X5657">
        <v>0.85478279999999995</v>
      </c>
      <c r="Y5657">
        <v>-0.51759549999999999</v>
      </c>
      <c r="Z5657">
        <v>-2.6997230000000001E-2</v>
      </c>
      <c r="AA5657">
        <v>0.85519940000000005</v>
      </c>
      <c r="AB5657">
        <v>30</v>
      </c>
      <c r="AC5657">
        <v>9.29999999999893E-2</v>
      </c>
      <c r="AD5657">
        <v>-8.9213999999999904E-2</v>
      </c>
      <c r="AE5657">
        <v>0.65017000000000202</v>
      </c>
      <c r="AF5657">
        <v>-0.45530038570999998</v>
      </c>
      <c r="AG5657">
        <v>-8.9213999999999904E-2</v>
      </c>
      <c r="AH5657">
        <v>0.45670918170357899</v>
      </c>
      <c r="AI5657">
        <v>97.876312391685303</v>
      </c>
      <c r="AJ5657">
        <v>134.911494349062</v>
      </c>
      <c r="AK5657">
        <v>0.65103061039864096</v>
      </c>
      <c r="AL5657">
        <v>65.450015978218801</v>
      </c>
      <c r="AM5657">
        <v>109.99277297212601</v>
      </c>
      <c r="AN5657">
        <v>0.99999994704550299</v>
      </c>
    </row>
    <row r="5658" spans="1:40" x14ac:dyDescent="0.25">
      <c r="A5658" t="str">
        <f>"20190304164757037"</f>
        <v>20190304164757037</v>
      </c>
      <c r="B5658" t="str">
        <f>"1551689277025369"</f>
        <v>1551689277025369</v>
      </c>
      <c r="C5658" t="s">
        <v>40</v>
      </c>
      <c r="D5658">
        <v>4.8051940000000002</v>
      </c>
      <c r="E5658">
        <v>0.41420669999999998</v>
      </c>
      <c r="F5658" t="s">
        <v>41</v>
      </c>
      <c r="G5658">
        <v>-199.8407</v>
      </c>
      <c r="H5658">
        <v>1.026581</v>
      </c>
      <c r="I5658">
        <v>-55.1468699999999</v>
      </c>
      <c r="J5658">
        <v>-199.9417</v>
      </c>
      <c r="K5658">
        <v>1.1210150000000001</v>
      </c>
      <c r="L5658">
        <v>-55.750489999999999</v>
      </c>
      <c r="M5658">
        <v>0.79129689999999997</v>
      </c>
      <c r="N5658">
        <v>-1.194594E-2</v>
      </c>
      <c r="O5658">
        <v>0.61131550000000001</v>
      </c>
      <c r="P5658">
        <v>0.49715809999999999</v>
      </c>
      <c r="Q5658">
        <v>0.4122497</v>
      </c>
      <c r="R5658">
        <v>0.76346840000000005</v>
      </c>
      <c r="S5658">
        <v>1.3467249999999999</v>
      </c>
      <c r="T5658">
        <v>-0.3923546</v>
      </c>
      <c r="U5658">
        <v>3.275909</v>
      </c>
      <c r="V5658">
        <v>-0.3107412</v>
      </c>
      <c r="W5658">
        <v>0.41482720000000001</v>
      </c>
      <c r="X5658">
        <v>0.85519489999999998</v>
      </c>
      <c r="Y5658">
        <v>-0.49889149999999999</v>
      </c>
      <c r="Z5658">
        <v>-3.430602E-2</v>
      </c>
      <c r="AA5658">
        <v>0.86598519999999901</v>
      </c>
      <c r="AB5658">
        <v>30</v>
      </c>
      <c r="AC5658">
        <v>0.10099999999999899</v>
      </c>
      <c r="AD5658">
        <v>-9.4433999999999907E-2</v>
      </c>
      <c r="AE5658">
        <v>0.60362000000000604</v>
      </c>
      <c r="AF5658">
        <v>-0.40625692955030501</v>
      </c>
      <c r="AG5658">
        <v>-9.4433999999999907E-2</v>
      </c>
      <c r="AH5658">
        <v>0.438514743740195</v>
      </c>
      <c r="AI5658">
        <v>98.977098842450999</v>
      </c>
      <c r="AJ5658">
        <v>132.81320901223901</v>
      </c>
      <c r="AK5658">
        <v>0.60519224519252601</v>
      </c>
      <c r="AL5658">
        <v>65.491565294730705</v>
      </c>
      <c r="AM5658">
        <v>109.968976935385</v>
      </c>
      <c r="AN5658">
        <v>1.00000000811164</v>
      </c>
    </row>
    <row r="5659" spans="1:40" x14ac:dyDescent="0.25">
      <c r="A5659" t="str">
        <f>"20190304164757050"</f>
        <v>20190304164757050</v>
      </c>
      <c r="B5659" t="str">
        <f>"1551689277044889"</f>
        <v>1551689277044889</v>
      </c>
      <c r="C5659" t="s">
        <v>40</v>
      </c>
      <c r="D5659">
        <v>4.7927559999999998</v>
      </c>
      <c r="E5659">
        <v>0.4145142</v>
      </c>
      <c r="F5659" t="s">
        <v>41</v>
      </c>
      <c r="G5659">
        <v>-199.5384</v>
      </c>
      <c r="H5659">
        <v>1.0001930000000001</v>
      </c>
      <c r="I5659">
        <v>-54.734879999999997</v>
      </c>
      <c r="J5659">
        <v>-199.78909999999999</v>
      </c>
      <c r="K5659">
        <v>1.121105</v>
      </c>
      <c r="L5659">
        <v>-55.62189</v>
      </c>
      <c r="M5659">
        <v>0.78575209999999995</v>
      </c>
      <c r="N5659">
        <v>-1.1975349999999999E-2</v>
      </c>
      <c r="O5659">
        <v>0.61842569999999997</v>
      </c>
      <c r="P5659">
        <v>0.4907126</v>
      </c>
      <c r="Q5659">
        <v>0.41152460000000002</v>
      </c>
      <c r="R5659">
        <v>0.76801609999999998</v>
      </c>
      <c r="S5659">
        <v>1.3060149999999999</v>
      </c>
      <c r="T5659">
        <v>-0.39139750000000001</v>
      </c>
      <c r="U5659">
        <v>3.2903440000000002</v>
      </c>
      <c r="V5659">
        <v>-0.31061630000000001</v>
      </c>
      <c r="W5659">
        <v>0.41406209999999999</v>
      </c>
      <c r="X5659">
        <v>0.85561100000000001</v>
      </c>
      <c r="Y5659">
        <v>-0.501637</v>
      </c>
      <c r="Z5659">
        <v>-3.4913090000000001E-2</v>
      </c>
      <c r="AA5659">
        <v>0.86437339999999996</v>
      </c>
      <c r="AB5659">
        <v>30</v>
      </c>
      <c r="AC5659">
        <v>0.25069999999999398</v>
      </c>
      <c r="AD5659">
        <v>-0.12091199999999901</v>
      </c>
      <c r="AE5659">
        <v>0.88700999999999597</v>
      </c>
      <c r="AF5659">
        <v>-0.53280155938199703</v>
      </c>
      <c r="AG5659">
        <v>-0.12091199999999901</v>
      </c>
      <c r="AH5659">
        <v>0.73297888078253803</v>
      </c>
      <c r="AI5659">
        <v>97.6002320511178</v>
      </c>
      <c r="AJ5659">
        <v>126.013362770539</v>
      </c>
      <c r="AK5659">
        <v>0.91419650682832398</v>
      </c>
      <c r="AL5659">
        <v>65.539734865419604</v>
      </c>
      <c r="AM5659">
        <v>109.952643062229</v>
      </c>
      <c r="AN5659">
        <v>1.0000000459015399</v>
      </c>
    </row>
    <row r="5660" spans="1:40" x14ac:dyDescent="0.25">
      <c r="A5660" t="str">
        <f>"20190304164757069"</f>
        <v>20190304164757069</v>
      </c>
      <c r="B5660" t="str">
        <f>"1551689277065385"</f>
        <v>1551689277065385</v>
      </c>
      <c r="C5660" t="s">
        <v>40</v>
      </c>
      <c r="D5660">
        <v>4.7944129999999996</v>
      </c>
      <c r="E5660">
        <v>0.41520289999999999</v>
      </c>
      <c r="F5660" t="s">
        <v>41</v>
      </c>
      <c r="G5660">
        <v>-199.46789999999999</v>
      </c>
      <c r="H5660">
        <v>1.0225390000000001</v>
      </c>
      <c r="I5660">
        <v>-54.79318</v>
      </c>
      <c r="J5660">
        <v>-199.61019999999999</v>
      </c>
      <c r="K5660">
        <v>1.1211960000000001</v>
      </c>
      <c r="L5660">
        <v>-55.46799</v>
      </c>
      <c r="M5660">
        <v>0.77906419999999998</v>
      </c>
      <c r="N5660">
        <v>-1.2007429999999999E-2</v>
      </c>
      <c r="O5660">
        <v>0.62682919999999998</v>
      </c>
      <c r="P5660">
        <v>0.4822227</v>
      </c>
      <c r="Q5660">
        <v>0.4101823</v>
      </c>
      <c r="R5660">
        <v>0.77408769999999905</v>
      </c>
      <c r="S5660">
        <v>1.2782750000000001</v>
      </c>
      <c r="T5660">
        <v>-0.39241890000000001</v>
      </c>
      <c r="U5660">
        <v>3.2997130000000001</v>
      </c>
      <c r="V5660">
        <v>-0.31147909999999901</v>
      </c>
      <c r="W5660">
        <v>0.41265309999999999</v>
      </c>
      <c r="X5660">
        <v>0.85597789999999996</v>
      </c>
      <c r="Y5660">
        <v>-0.49952049999999998</v>
      </c>
      <c r="Z5660">
        <v>-3.6191760000000003E-2</v>
      </c>
      <c r="AA5660">
        <v>0.86554569999999997</v>
      </c>
      <c r="AB5660">
        <v>30</v>
      </c>
      <c r="AC5660">
        <v>0.14230000000000501</v>
      </c>
      <c r="AD5660">
        <v>-9.8656999999999995E-2</v>
      </c>
      <c r="AE5660">
        <v>0.67480999999999303</v>
      </c>
      <c r="AF5660">
        <v>-0.42779934804966202</v>
      </c>
      <c r="AG5660">
        <v>-9.8656999999999995E-2</v>
      </c>
      <c r="AH5660">
        <v>0.52318332325982297</v>
      </c>
      <c r="AI5660">
        <v>98.305435710169704</v>
      </c>
      <c r="AJ5660">
        <v>129.27236416852901</v>
      </c>
      <c r="AK5660">
        <v>0.68298336405648097</v>
      </c>
      <c r="AL5660">
        <v>65.628391972022996</v>
      </c>
      <c r="AM5660">
        <v>109.995781089012</v>
      </c>
      <c r="AN5660">
        <v>0.99999998798241496</v>
      </c>
    </row>
    <row r="5661" spans="1:40" x14ac:dyDescent="0.25">
      <c r="A5661" t="str">
        <f>"20190304164757093"</f>
        <v>20190304164757093</v>
      </c>
      <c r="B5661" t="str">
        <f>"1551689277084904"</f>
        <v>1551689277084904</v>
      </c>
      <c r="C5661" t="s">
        <v>40</v>
      </c>
      <c r="D5661">
        <v>4.8190710000000001</v>
      </c>
      <c r="E5661">
        <v>0.41616300000000001</v>
      </c>
      <c r="F5661" t="s">
        <v>41</v>
      </c>
      <c r="G5661">
        <v>-199.28739999999999</v>
      </c>
      <c r="H5661">
        <v>1.0181450000000001</v>
      </c>
      <c r="I5661">
        <v>-54.610930000000003</v>
      </c>
      <c r="J5661">
        <v>-199.36660000000001</v>
      </c>
      <c r="K5661">
        <v>1.1213089999999999</v>
      </c>
      <c r="L5661">
        <v>-55.253390000000003</v>
      </c>
      <c r="M5661">
        <v>0.76965260000000002</v>
      </c>
      <c r="N5661">
        <v>-1.204647E-2</v>
      </c>
      <c r="O5661">
        <v>0.63834930000000001</v>
      </c>
      <c r="P5661">
        <v>0.47089259999999999</v>
      </c>
      <c r="Q5661">
        <v>0.40896339999999998</v>
      </c>
      <c r="R5661">
        <v>0.78167069999999905</v>
      </c>
      <c r="S5661">
        <v>1.246475</v>
      </c>
      <c r="T5661">
        <v>-0.39795970000000003</v>
      </c>
      <c r="U5661">
        <v>3.3099370000000001</v>
      </c>
      <c r="V5661">
        <v>-0.31179810000000002</v>
      </c>
      <c r="W5661">
        <v>0.41137699999999999</v>
      </c>
      <c r="X5661">
        <v>0.85647580000000001</v>
      </c>
      <c r="Y5661">
        <v>-0.49483739999999998</v>
      </c>
      <c r="Z5661">
        <v>-3.8569039999999999E-2</v>
      </c>
      <c r="AA5661">
        <v>0.86812929999999999</v>
      </c>
      <c r="AB5661">
        <v>30</v>
      </c>
      <c r="AC5661">
        <v>7.9200000000014301E-2</v>
      </c>
      <c r="AD5661">
        <v>-0.10316400000000001</v>
      </c>
      <c r="AE5661">
        <v>0.64245999999999903</v>
      </c>
      <c r="AF5661">
        <v>-0.43294952798007003</v>
      </c>
      <c r="AG5661">
        <v>-0.10316400000000001</v>
      </c>
      <c r="AH5661">
        <v>0.45943541921330699</v>
      </c>
      <c r="AI5661">
        <v>99.281119854151697</v>
      </c>
      <c r="AJ5661">
        <v>133.29996636646001</v>
      </c>
      <c r="AK5661">
        <v>0.63966319974020203</v>
      </c>
      <c r="AL5661">
        <v>65.708633359659103</v>
      </c>
      <c r="AM5661">
        <v>110.003922404006</v>
      </c>
      <c r="AN5661">
        <v>0.99999994363912303</v>
      </c>
    </row>
    <row r="5662" spans="1:40" x14ac:dyDescent="0.25">
      <c r="A5662" t="str">
        <f>"20190304164757116"</f>
        <v>20190304164757116</v>
      </c>
      <c r="B5662" t="str">
        <f>"1551689277105401"</f>
        <v>1551689277105401</v>
      </c>
      <c r="C5662" t="s">
        <v>40</v>
      </c>
      <c r="D5662">
        <v>4.8090409999999997</v>
      </c>
      <c r="E5662">
        <v>0.4169658</v>
      </c>
      <c r="F5662" t="s">
        <v>41</v>
      </c>
      <c r="G5662">
        <v>-199.07640000000001</v>
      </c>
      <c r="H5662">
        <v>1.024305</v>
      </c>
      <c r="I5662">
        <v>-54.452260000000003</v>
      </c>
      <c r="J5662">
        <v>-199.15129999999999</v>
      </c>
      <c r="K5662">
        <v>1.121383</v>
      </c>
      <c r="L5662">
        <v>-55.05771</v>
      </c>
      <c r="M5662">
        <v>0.76101540000000001</v>
      </c>
      <c r="N5662">
        <v>-1.2076699999999999E-2</v>
      </c>
      <c r="O5662">
        <v>0.64862140000000001</v>
      </c>
      <c r="P5662">
        <v>0.46078659999999999</v>
      </c>
      <c r="Q5662">
        <v>0.40747860000000002</v>
      </c>
      <c r="R5662">
        <v>0.78843960000000002</v>
      </c>
      <c r="S5662">
        <v>1.2034910000000001</v>
      </c>
      <c r="T5662">
        <v>-0.4023815</v>
      </c>
      <c r="U5662">
        <v>3.3234249999999999</v>
      </c>
      <c r="V5662">
        <v>-0.31196200000000002</v>
      </c>
      <c r="W5662">
        <v>0.40985969999999999</v>
      </c>
      <c r="X5662">
        <v>0.8571434</v>
      </c>
      <c r="Y5662">
        <v>-0.49425239999999998</v>
      </c>
      <c r="Z5662">
        <v>-4.0471149999999997E-2</v>
      </c>
      <c r="AA5662">
        <v>0.86837589999999998</v>
      </c>
      <c r="AB5662">
        <v>30</v>
      </c>
      <c r="AC5662">
        <v>7.4899999999985298E-2</v>
      </c>
      <c r="AD5662">
        <v>-9.7077999999999998E-2</v>
      </c>
      <c r="AE5662">
        <v>0.60545000000000404</v>
      </c>
      <c r="AF5662">
        <v>-0.40202521998936502</v>
      </c>
      <c r="AG5662">
        <v>-9.7077999999999998E-2</v>
      </c>
      <c r="AH5662">
        <v>0.43863382251658001</v>
      </c>
      <c r="AI5662">
        <v>99.266532425616106</v>
      </c>
      <c r="AJ5662">
        <v>132.506487269579</v>
      </c>
      <c r="AK5662">
        <v>0.60286652407228902</v>
      </c>
      <c r="AL5662">
        <v>65.803979237160405</v>
      </c>
      <c r="AM5662">
        <v>109.999251309323</v>
      </c>
      <c r="AN5662">
        <v>1.0000000356458201</v>
      </c>
    </row>
    <row r="5663" spans="1:40" x14ac:dyDescent="0.25">
      <c r="A5663" t="str">
        <f>"20190304164757136"</f>
        <v>20190304164757136</v>
      </c>
      <c r="B5663" t="str">
        <f>"1551689277124925"</f>
        <v>1551689277124925</v>
      </c>
      <c r="C5663" t="s">
        <v>40</v>
      </c>
      <c r="D5663">
        <v>4.868131</v>
      </c>
      <c r="E5663">
        <v>0.43560739999999998</v>
      </c>
      <c r="F5663" t="s">
        <v>41</v>
      </c>
      <c r="G5663">
        <v>-198.79179999999999</v>
      </c>
      <c r="H5663">
        <v>0.99518720000000005</v>
      </c>
      <c r="I5663">
        <v>-54.027209999999997</v>
      </c>
      <c r="J5663">
        <v>-198.95410000000001</v>
      </c>
      <c r="K5663">
        <v>1.121442</v>
      </c>
      <c r="L5663">
        <v>-54.873719999999999</v>
      </c>
      <c r="M5663">
        <v>0.75285400000000002</v>
      </c>
      <c r="N5663">
        <v>-1.210136E-2</v>
      </c>
      <c r="O5663">
        <v>0.65807629999999995</v>
      </c>
      <c r="P5663">
        <v>0.45084580000000002</v>
      </c>
      <c r="Q5663">
        <v>0.40693750000000001</v>
      </c>
      <c r="R5663">
        <v>0.79444320000000002</v>
      </c>
      <c r="S5663">
        <v>1.1636200000000001</v>
      </c>
      <c r="T5663">
        <v>-0.40852050000000001</v>
      </c>
      <c r="U5663">
        <v>3.3360599999999998</v>
      </c>
      <c r="V5663">
        <v>-0.31228129999999998</v>
      </c>
      <c r="W5663">
        <v>0.40928720000000002</v>
      </c>
      <c r="X5663">
        <v>0.85730059999999997</v>
      </c>
      <c r="Y5663">
        <v>-0.49369299999999999</v>
      </c>
      <c r="Z5663">
        <v>-4.251812E-2</v>
      </c>
      <c r="AA5663">
        <v>0.86859629999999999</v>
      </c>
      <c r="AB5663">
        <v>30</v>
      </c>
      <c r="AC5663">
        <v>0.16230000000001599</v>
      </c>
      <c r="AD5663">
        <v>-0.1262548</v>
      </c>
      <c r="AE5663">
        <v>0.84651000000000198</v>
      </c>
      <c r="AF5663">
        <v>-0.51938740541550399</v>
      </c>
      <c r="AG5663">
        <v>-0.1262548</v>
      </c>
      <c r="AH5663">
        <v>0.66503692580051499</v>
      </c>
      <c r="AI5663">
        <v>98.509603345241601</v>
      </c>
      <c r="AJ5663">
        <v>127.989492159289</v>
      </c>
      <c r="AK5663">
        <v>0.85321607117159304</v>
      </c>
      <c r="AL5663">
        <v>65.839933560877299</v>
      </c>
      <c r="AM5663">
        <v>110.01471690861101</v>
      </c>
      <c r="AN5663">
        <v>0.99999997058694401</v>
      </c>
    </row>
    <row r="5664" spans="1:40" x14ac:dyDescent="0.25">
      <c r="A5664" t="str">
        <f>"20190304164757158"</f>
        <v>20190304164757158</v>
      </c>
      <c r="B5664" t="str">
        <f>"1551689277155179"</f>
        <v>1551689277155179</v>
      </c>
      <c r="C5664" t="s">
        <v>40</v>
      </c>
      <c r="D5664">
        <v>4.8466139999999998</v>
      </c>
      <c r="E5664">
        <v>0.44326520000000003</v>
      </c>
      <c r="F5664" t="s">
        <v>41</v>
      </c>
      <c r="G5664">
        <v>-198.57210000000001</v>
      </c>
      <c r="H5664">
        <v>1.000197</v>
      </c>
      <c r="I5664">
        <v>-53.872439999999997</v>
      </c>
      <c r="J5664">
        <v>-198.75040000000001</v>
      </c>
      <c r="K5664">
        <v>1.121483</v>
      </c>
      <c r="L5664">
        <v>-54.678769999999901</v>
      </c>
      <c r="M5664">
        <v>0.74417440000000001</v>
      </c>
      <c r="N5664">
        <v>-1.212414E-2</v>
      </c>
      <c r="O5664">
        <v>0.66787529999999995</v>
      </c>
      <c r="P5664">
        <v>0.44015710000000002</v>
      </c>
      <c r="Q5664">
        <v>0.40698909999999999</v>
      </c>
      <c r="R5664">
        <v>0.80038849999999995</v>
      </c>
      <c r="S5664">
        <v>1.2477419999999999</v>
      </c>
      <c r="T5664">
        <v>-0.39609220000000001</v>
      </c>
      <c r="U5664">
        <v>3.2710270000000001</v>
      </c>
      <c r="V5664">
        <v>-0.31258590000000003</v>
      </c>
      <c r="W5664">
        <v>0.4093098</v>
      </c>
      <c r="X5664">
        <v>0.85717880000000002</v>
      </c>
      <c r="Y5664">
        <v>-0.45706160000000001</v>
      </c>
      <c r="Z5664">
        <v>-4.4696020000000003E-2</v>
      </c>
      <c r="AA5664">
        <v>0.88831130000000003</v>
      </c>
      <c r="AB5664">
        <v>30</v>
      </c>
      <c r="AC5664">
        <v>0.17830000000000701</v>
      </c>
      <c r="AD5664">
        <v>-0.12128599999999901</v>
      </c>
      <c r="AE5664">
        <v>0.806329999999988</v>
      </c>
      <c r="AF5664">
        <v>-0.47084687387357699</v>
      </c>
      <c r="AG5664">
        <v>-0.12128599999999901</v>
      </c>
      <c r="AH5664">
        <v>0.65708969357258995</v>
      </c>
      <c r="AI5664">
        <v>98.532869602540401</v>
      </c>
      <c r="AJ5664">
        <v>125.624023940199</v>
      </c>
      <c r="AK5664">
        <v>0.817419071120707</v>
      </c>
      <c r="AL5664">
        <v>65.838514499083203</v>
      </c>
      <c r="AM5664">
        <v>110.035307513424</v>
      </c>
      <c r="AN5664">
        <v>0.99999997621214398</v>
      </c>
    </row>
    <row r="5665" spans="1:40" x14ac:dyDescent="0.25">
      <c r="A5665" t="str">
        <f>"20190304164757182"</f>
        <v>20190304164757182</v>
      </c>
      <c r="B5665" t="str">
        <f>"1551689277174698"</f>
        <v>1551689277174698</v>
      </c>
      <c r="C5665" t="s">
        <v>40</v>
      </c>
      <c r="D5665">
        <v>4.8365780000000003</v>
      </c>
      <c r="E5665">
        <v>0.44540380000000002</v>
      </c>
      <c r="F5665" t="s">
        <v>41</v>
      </c>
      <c r="G5665">
        <v>-198.37309999999999</v>
      </c>
      <c r="H5665">
        <v>0.9996254</v>
      </c>
      <c r="I5665">
        <v>-53.700699999999998</v>
      </c>
      <c r="J5665">
        <v>-198.5204</v>
      </c>
      <c r="K5665">
        <v>1.121523</v>
      </c>
      <c r="L5665">
        <v>-54.452359999999999</v>
      </c>
      <c r="M5665">
        <v>0.73406669999999996</v>
      </c>
      <c r="N5665">
        <v>-1.2147099999999999E-2</v>
      </c>
      <c r="O5665">
        <v>0.67896869999999998</v>
      </c>
      <c r="P5665">
        <v>0.42837979999999998</v>
      </c>
      <c r="Q5665">
        <v>0.40665000000000001</v>
      </c>
      <c r="R5665">
        <v>0.80692410000000003</v>
      </c>
      <c r="S5665">
        <v>1.258499</v>
      </c>
      <c r="T5665">
        <v>-0.40651619999999999</v>
      </c>
      <c r="U5665">
        <v>3.2628170000000001</v>
      </c>
      <c r="V5665">
        <v>-0.31244939999999999</v>
      </c>
      <c r="W5665">
        <v>0.40895910000000002</v>
      </c>
      <c r="X5665">
        <v>0.85739589999999999</v>
      </c>
      <c r="Y5665">
        <v>-0.44045299999999998</v>
      </c>
      <c r="Z5665">
        <v>-4.855073E-2</v>
      </c>
      <c r="AA5665">
        <v>0.89646190000000003</v>
      </c>
      <c r="AB5665">
        <v>30</v>
      </c>
      <c r="AC5665">
        <v>0.14730000000000101</v>
      </c>
      <c r="AD5665">
        <v>-0.121897599999999</v>
      </c>
      <c r="AE5665">
        <v>0.75166000000000099</v>
      </c>
      <c r="AF5665">
        <v>-0.44063004436868403</v>
      </c>
      <c r="AG5665">
        <v>-0.121897599999999</v>
      </c>
      <c r="AH5665">
        <v>0.603248873872545</v>
      </c>
      <c r="AI5665">
        <v>99.267551700641704</v>
      </c>
      <c r="AJ5665">
        <v>126.145449295525</v>
      </c>
      <c r="AK5665">
        <v>0.75691681492394003</v>
      </c>
      <c r="AL5665">
        <v>65.860534898397404</v>
      </c>
      <c r="AM5665">
        <v>110.022585914346</v>
      </c>
      <c r="AN5665">
        <v>0.99999995118498797</v>
      </c>
    </row>
    <row r="5666" spans="1:40" x14ac:dyDescent="0.25">
      <c r="A5666" t="str">
        <f>"20190304164757203"</f>
        <v>20190304164757203</v>
      </c>
      <c r="B5666" t="str">
        <f>"1551689277195193"</f>
        <v>1551689277195193</v>
      </c>
      <c r="C5666" t="s">
        <v>40</v>
      </c>
      <c r="D5666">
        <v>4.8354869999999996</v>
      </c>
      <c r="E5666">
        <v>0.44721119999999998</v>
      </c>
      <c r="F5666" t="s">
        <v>41</v>
      </c>
      <c r="G5666">
        <v>-198.1746</v>
      </c>
      <c r="H5666">
        <v>1.0055889999999901</v>
      </c>
      <c r="I5666">
        <v>-53.527160000000002</v>
      </c>
      <c r="J5666">
        <v>-198.32239999999999</v>
      </c>
      <c r="K5666">
        <v>1.1215550000000001</v>
      </c>
      <c r="L5666">
        <v>-54.252009999999999</v>
      </c>
      <c r="M5666">
        <v>0.725101</v>
      </c>
      <c r="N5666">
        <v>-1.2164970000000001E-2</v>
      </c>
      <c r="O5666">
        <v>0.68853509999999996</v>
      </c>
      <c r="P5666">
        <v>0.41862120000000003</v>
      </c>
      <c r="Q5666">
        <v>0.4070645</v>
      </c>
      <c r="R5666">
        <v>0.81182189999999999</v>
      </c>
      <c r="S5666">
        <v>1.22435</v>
      </c>
      <c r="T5666">
        <v>-0.41036210000000001</v>
      </c>
      <c r="U5666">
        <v>3.2746580000000001</v>
      </c>
      <c r="V5666">
        <v>-0.31143759999999998</v>
      </c>
      <c r="W5666">
        <v>0.40938989999999997</v>
      </c>
      <c r="X5666">
        <v>0.857558499999999</v>
      </c>
      <c r="Y5666">
        <v>-0.43798680000000001</v>
      </c>
      <c r="Z5666">
        <v>-5.0507469999999999E-2</v>
      </c>
      <c r="AA5666">
        <v>0.89756139999999995</v>
      </c>
      <c r="AB5666">
        <v>30</v>
      </c>
      <c r="AC5666">
        <v>0.147799999999989</v>
      </c>
      <c r="AD5666">
        <v>-0.115966</v>
      </c>
      <c r="AE5666">
        <v>0.72485000000000299</v>
      </c>
      <c r="AF5666">
        <v>-0.413689376624505</v>
      </c>
      <c r="AG5666">
        <v>-0.115966</v>
      </c>
      <c r="AH5666">
        <v>0.59175766833297405</v>
      </c>
      <c r="AI5666">
        <v>99.124507701519605</v>
      </c>
      <c r="AJ5666">
        <v>124.956850455946</v>
      </c>
      <c r="AK5666">
        <v>0.73127570144156295</v>
      </c>
      <c r="AL5666">
        <v>65.8334856052617</v>
      </c>
      <c r="AM5666">
        <v>109.959389622784</v>
      </c>
      <c r="AN5666">
        <v>1.000000024919</v>
      </c>
    </row>
    <row r="5667" spans="1:40" x14ac:dyDescent="0.25">
      <c r="A5667" t="str">
        <f>"20190304164757226"</f>
        <v>20190304164757226</v>
      </c>
      <c r="B5667" t="str">
        <f>"1551689277214716"</f>
        <v>1551689277214716</v>
      </c>
      <c r="C5667" t="s">
        <v>40</v>
      </c>
      <c r="D5667">
        <v>4.8491739999999997</v>
      </c>
      <c r="E5667">
        <v>0.44860739999999999</v>
      </c>
      <c r="F5667" t="s">
        <v>41</v>
      </c>
      <c r="G5667">
        <v>-197.9906</v>
      </c>
      <c r="H5667">
        <v>1.007566</v>
      </c>
      <c r="I5667">
        <v>-53.341079999999998</v>
      </c>
      <c r="J5667">
        <v>-198.11760000000001</v>
      </c>
      <c r="K5667">
        <v>1.1215980000000001</v>
      </c>
      <c r="L5667">
        <v>-54.039149999999999</v>
      </c>
      <c r="M5667">
        <v>0.71556039999999999</v>
      </c>
      <c r="N5667">
        <v>-1.217934E-2</v>
      </c>
      <c r="O5667">
        <v>0.69844469999999903</v>
      </c>
      <c r="P5667">
        <v>0.40813490000000002</v>
      </c>
      <c r="Q5667">
        <v>0.40740320000000002</v>
      </c>
      <c r="R5667">
        <v>0.81697519999999901</v>
      </c>
      <c r="S5667">
        <v>1.196396</v>
      </c>
      <c r="T5667">
        <v>-0.41098849999999998</v>
      </c>
      <c r="U5667">
        <v>3.2845460000000002</v>
      </c>
      <c r="V5667">
        <v>-0.3106006</v>
      </c>
      <c r="W5667">
        <v>0.40973910000000002</v>
      </c>
      <c r="X5667">
        <v>0.85769519999999899</v>
      </c>
      <c r="Y5667">
        <v>-0.43327719999999997</v>
      </c>
      <c r="Z5667">
        <v>-5.2169069999999998E-2</v>
      </c>
      <c r="AA5667">
        <v>0.89974949999999998</v>
      </c>
      <c r="AB5667">
        <v>30</v>
      </c>
      <c r="AC5667">
        <v>0.12700000000000899</v>
      </c>
      <c r="AD5667">
        <v>-0.114031999999999</v>
      </c>
      <c r="AE5667">
        <v>0.69806999999999397</v>
      </c>
      <c r="AF5667">
        <v>-0.40049471444941998</v>
      </c>
      <c r="AG5667">
        <v>-0.114031999999999</v>
      </c>
      <c r="AH5667">
        <v>0.56391675014671805</v>
      </c>
      <c r="AI5667">
        <v>99.361930039897899</v>
      </c>
      <c r="AJ5667">
        <v>125.38243987564201</v>
      </c>
      <c r="AK5667">
        <v>0.70100029559334598</v>
      </c>
      <c r="AL5667">
        <v>65.811552429602898</v>
      </c>
      <c r="AM5667">
        <v>109.907044183396</v>
      </c>
      <c r="AN5667">
        <v>0.99999995944610398</v>
      </c>
    </row>
    <row r="5668" spans="1:40" x14ac:dyDescent="0.25">
      <c r="A5668" t="str">
        <f>"20190304164757247"</f>
        <v>20190304164757247</v>
      </c>
      <c r="B5668" t="str">
        <f>"1551689277244969"</f>
        <v>1551689277244969</v>
      </c>
      <c r="C5668" t="s">
        <v>40</v>
      </c>
      <c r="D5668">
        <v>4.8498619999999999</v>
      </c>
      <c r="E5668">
        <v>0.45889429999999998</v>
      </c>
      <c r="F5668" t="s">
        <v>41</v>
      </c>
      <c r="G5668">
        <v>-197.78489999999999</v>
      </c>
      <c r="H5668">
        <v>1.004033</v>
      </c>
      <c r="I5668">
        <v>-53.095939999999999</v>
      </c>
      <c r="J5668">
        <v>-197.92230000000001</v>
      </c>
      <c r="K5668">
        <v>1.1216299999999999</v>
      </c>
      <c r="L5668">
        <v>-53.830629999999999</v>
      </c>
      <c r="M5668">
        <v>0.70620130000000003</v>
      </c>
      <c r="N5668">
        <v>-1.218735E-2</v>
      </c>
      <c r="O5668">
        <v>0.70790620000000004</v>
      </c>
      <c r="P5668">
        <v>0.39761449999999998</v>
      </c>
      <c r="Q5668">
        <v>0.40830899999999998</v>
      </c>
      <c r="R5668">
        <v>0.82169740000000002</v>
      </c>
      <c r="S5668">
        <v>1.1625209999999999</v>
      </c>
      <c r="T5668">
        <v>-0.41083359999999902</v>
      </c>
      <c r="U5668">
        <v>3.296173</v>
      </c>
      <c r="V5668">
        <v>-0.30993080000000001</v>
      </c>
      <c r="W5668">
        <v>0.41064509999999999</v>
      </c>
      <c r="X5668">
        <v>0.85750419999999905</v>
      </c>
      <c r="Y5668">
        <v>-0.43053799999999998</v>
      </c>
      <c r="Z5668">
        <v>-5.3557319999999999E-2</v>
      </c>
      <c r="AA5668">
        <v>0.90098210000000001</v>
      </c>
      <c r="AB5668">
        <v>30</v>
      </c>
      <c r="AC5668">
        <v>0.13740000000001301</v>
      </c>
      <c r="AD5668">
        <v>-0.11759699999999899</v>
      </c>
      <c r="AE5668">
        <v>0.73469000000000695</v>
      </c>
      <c r="AF5668">
        <v>-0.41141954980699902</v>
      </c>
      <c r="AG5668">
        <v>-0.11759699999999899</v>
      </c>
      <c r="AH5668">
        <v>0.60226083787478901</v>
      </c>
      <c r="AI5668">
        <v>99.158999914336107</v>
      </c>
      <c r="AJ5668">
        <v>124.337967001584</v>
      </c>
      <c r="AK5668">
        <v>0.738791727897678</v>
      </c>
      <c r="AL5668">
        <v>65.754633962780403</v>
      </c>
      <c r="AM5668">
        <v>109.87155665767401</v>
      </c>
      <c r="AN5668">
        <v>0.99999997598014401</v>
      </c>
    </row>
    <row r="5669" spans="1:40" x14ac:dyDescent="0.25">
      <c r="A5669" t="str">
        <f>"20190304164757273"</f>
        <v>20190304164757273</v>
      </c>
      <c r="B5669" t="str">
        <f>"1551689277264490"</f>
        <v>1551689277264490</v>
      </c>
      <c r="C5669" t="s">
        <v>40</v>
      </c>
      <c r="D5669">
        <v>4.8533390000000001</v>
      </c>
      <c r="E5669">
        <v>0.4599627</v>
      </c>
      <c r="F5669" t="s">
        <v>53</v>
      </c>
      <c r="G5669">
        <v>-194.7955</v>
      </c>
      <c r="H5669" s="1">
        <v>-4.7523170000000001E-6</v>
      </c>
      <c r="I5669">
        <v>-45.258290000000002</v>
      </c>
      <c r="J5669">
        <v>-197.7</v>
      </c>
      <c r="K5669">
        <v>1.1216630000000001</v>
      </c>
      <c r="L5669">
        <v>-53.586790000000001</v>
      </c>
      <c r="M5669">
        <v>0.69524039999999998</v>
      </c>
      <c r="N5669">
        <v>-1.2188610000000001E-2</v>
      </c>
      <c r="O5669">
        <v>0.71867389999999998</v>
      </c>
      <c r="P5669">
        <v>0.38544699999999998</v>
      </c>
      <c r="Q5669">
        <v>0.40861340000000002</v>
      </c>
      <c r="R5669">
        <v>0.82732450000000002</v>
      </c>
      <c r="S5669">
        <v>1.198105</v>
      </c>
      <c r="T5669">
        <v>-0.42978929999999999</v>
      </c>
      <c r="U5669">
        <v>3.2847599999999999</v>
      </c>
      <c r="V5669">
        <v>-0.30934089999999997</v>
      </c>
      <c r="W5669">
        <v>0.41094320000000001</v>
      </c>
      <c r="X5669">
        <v>0.85757439999999996</v>
      </c>
      <c r="Y5669">
        <v>-0.40707270000000001</v>
      </c>
      <c r="Z5669">
        <v>-5.9240330000000001E-2</v>
      </c>
      <c r="AA5669">
        <v>0.91147270000000002</v>
      </c>
      <c r="AB5669">
        <v>30</v>
      </c>
      <c r="AC5669">
        <v>2.9044999999999801</v>
      </c>
      <c r="AD5669">
        <v>-1.12166775231699</v>
      </c>
      <c r="AE5669">
        <v>8.3284999999999894</v>
      </c>
      <c r="AF5669">
        <v>-3.6442635198358602</v>
      </c>
      <c r="AG5669">
        <v>-1.12166775231699</v>
      </c>
      <c r="AH5669">
        <v>7.8779976229197297</v>
      </c>
      <c r="AI5669">
        <v>97.363154157428298</v>
      </c>
      <c r="AJ5669">
        <v>114.824672918863</v>
      </c>
      <c r="AK5669">
        <v>8.7522363825095209</v>
      </c>
      <c r="AL5669">
        <v>65.735900520210706</v>
      </c>
      <c r="AM5669">
        <v>109.835190630599</v>
      </c>
      <c r="AN5669">
        <v>0.99999997878720404</v>
      </c>
    </row>
    <row r="5670" spans="1:40" x14ac:dyDescent="0.25">
      <c r="A5670" t="str">
        <f>"20190304164757295"</f>
        <v>20190304164757295</v>
      </c>
      <c r="B5670" t="str">
        <f>"1551689277284985"</f>
        <v>1551689277284985</v>
      </c>
      <c r="C5670" t="s">
        <v>40</v>
      </c>
      <c r="D5670">
        <v>4.8578159999999997</v>
      </c>
      <c r="E5670">
        <v>0.46201920000000002</v>
      </c>
      <c r="F5670" t="s">
        <v>53</v>
      </c>
      <c r="G5670">
        <v>-194.6927</v>
      </c>
      <c r="H5670" s="1">
        <v>-4.854437E-6</v>
      </c>
      <c r="I5670">
        <v>-44.999749999999999</v>
      </c>
      <c r="J5670">
        <v>-197.5068</v>
      </c>
      <c r="K5670">
        <v>1.1216790000000001</v>
      </c>
      <c r="L5670">
        <v>-53.368290000000002</v>
      </c>
      <c r="M5670">
        <v>0.685419</v>
      </c>
      <c r="N5670">
        <v>-1.218311E-2</v>
      </c>
      <c r="O5670">
        <v>0.72804690000000005</v>
      </c>
      <c r="P5670">
        <v>0.37513099999999999</v>
      </c>
      <c r="Q5670">
        <v>0.40909040000000002</v>
      </c>
      <c r="R5670">
        <v>0.83181830000000001</v>
      </c>
      <c r="S5670">
        <v>1.1559140000000001</v>
      </c>
      <c r="T5670">
        <v>-0.43112719999999999</v>
      </c>
      <c r="U5670">
        <v>3.3005369999999998</v>
      </c>
      <c r="V5670">
        <v>-0.30823020000000001</v>
      </c>
      <c r="W5670">
        <v>0.41143000000000002</v>
      </c>
      <c r="X5670">
        <v>0.85774089999999903</v>
      </c>
      <c r="Y5670">
        <v>-0.406447</v>
      </c>
      <c r="Z5670">
        <v>-6.0793489999999999E-2</v>
      </c>
      <c r="AA5670">
        <v>0.91164959999999995</v>
      </c>
      <c r="AB5670">
        <v>30</v>
      </c>
      <c r="AC5670">
        <v>2.8140999999999901</v>
      </c>
      <c r="AD5670">
        <v>-1.121683854437</v>
      </c>
      <c r="AE5670">
        <v>8.3685399999999994</v>
      </c>
      <c r="AF5670">
        <v>-3.6288618660473402</v>
      </c>
      <c r="AG5670">
        <v>-1.121683854437</v>
      </c>
      <c r="AH5670">
        <v>7.8946988641979496</v>
      </c>
      <c r="AI5670">
        <v>97.355952413862795</v>
      </c>
      <c r="AJ5670">
        <v>114.68625741939201</v>
      </c>
      <c r="AK5670">
        <v>8.7608837036297693</v>
      </c>
      <c r="AL5670">
        <v>65.705302518441698</v>
      </c>
      <c r="AM5670">
        <v>109.765959714979</v>
      </c>
      <c r="AN5670">
        <v>0.99999997631242399</v>
      </c>
    </row>
    <row r="5671" spans="1:40" x14ac:dyDescent="0.25">
      <c r="A5671" t="str">
        <f>"20190304164757317"</f>
        <v>20190304164757317</v>
      </c>
      <c r="B5671" t="str">
        <f>"1551689277304505"</f>
        <v>1551689277304505</v>
      </c>
      <c r="C5671" t="s">
        <v>40</v>
      </c>
      <c r="D5671">
        <v>4.8332220000000001</v>
      </c>
      <c r="E5671">
        <v>0.46299129999999999</v>
      </c>
      <c r="F5671" t="s">
        <v>41</v>
      </c>
      <c r="G5671">
        <v>-197.15880000000001</v>
      </c>
      <c r="H5671">
        <v>0.98760130000000002</v>
      </c>
      <c r="I5671">
        <v>-52.346870000000003</v>
      </c>
      <c r="J5671">
        <v>-197.31829999999999</v>
      </c>
      <c r="K5671">
        <v>1.1216870000000001</v>
      </c>
      <c r="L5671">
        <v>-53.148989999999998</v>
      </c>
      <c r="M5671">
        <v>0.67556769999999999</v>
      </c>
      <c r="N5671">
        <v>-1.2170129999999999E-2</v>
      </c>
      <c r="O5671">
        <v>0.73719749999999995</v>
      </c>
      <c r="P5671">
        <v>0.3644232</v>
      </c>
      <c r="Q5671">
        <v>0.40905449999999999</v>
      </c>
      <c r="R5671">
        <v>0.83658239999999995</v>
      </c>
      <c r="S5671">
        <v>1.1283570000000001</v>
      </c>
      <c r="T5671">
        <v>-0.43468259999999997</v>
      </c>
      <c r="U5671">
        <v>3.3114620000000001</v>
      </c>
      <c r="V5671">
        <v>-0.30773119999999998</v>
      </c>
      <c r="W5671">
        <v>0.41138710000000001</v>
      </c>
      <c r="X5671">
        <v>0.857940699999999</v>
      </c>
      <c r="Y5671">
        <v>-0.40193180000000001</v>
      </c>
      <c r="Z5671">
        <v>-6.2896369999999993E-2</v>
      </c>
      <c r="AA5671">
        <v>0.91350690000000001</v>
      </c>
      <c r="AB5671">
        <v>30</v>
      </c>
      <c r="AC5671">
        <v>0.15949999999997999</v>
      </c>
      <c r="AD5671">
        <v>-0.134085699999999</v>
      </c>
      <c r="AE5671">
        <v>0.80212000000000205</v>
      </c>
      <c r="AF5671">
        <v>-0.41322685620420002</v>
      </c>
      <c r="AG5671">
        <v>-0.134085699999999</v>
      </c>
      <c r="AH5671">
        <v>0.68082447245716504</v>
      </c>
      <c r="AI5671">
        <v>99.556772343608401</v>
      </c>
      <c r="AJ5671">
        <v>121.25568448763499</v>
      </c>
      <c r="AK5671">
        <v>0.807624524101066</v>
      </c>
      <c r="AL5671">
        <v>65.708000980741303</v>
      </c>
      <c r="AM5671">
        <v>109.73219253480799</v>
      </c>
      <c r="AN5671">
        <v>1.00000004110816</v>
      </c>
    </row>
    <row r="5672" spans="1:40" x14ac:dyDescent="0.25">
      <c r="A5672" t="str">
        <f>"20190304164757339"</f>
        <v>20190304164757339</v>
      </c>
      <c r="B5672" t="str">
        <f>"1551689277334761"</f>
        <v>1551689277334761</v>
      </c>
      <c r="C5672" t="s">
        <v>40</v>
      </c>
      <c r="D5672">
        <v>4.8145939999999996</v>
      </c>
      <c r="E5672">
        <v>0.47172839999999999</v>
      </c>
      <c r="F5672" t="s">
        <v>41</v>
      </c>
      <c r="G5672">
        <v>-196.9794</v>
      </c>
      <c r="H5672">
        <v>0.98635700000000004</v>
      </c>
      <c r="I5672">
        <v>-52.117640000000002</v>
      </c>
      <c r="J5672">
        <v>-197.1309</v>
      </c>
      <c r="K5672">
        <v>1.1216870000000001</v>
      </c>
      <c r="L5672">
        <v>-52.924900000000001</v>
      </c>
      <c r="M5672">
        <v>0.66550310000000001</v>
      </c>
      <c r="N5672">
        <v>-1.2152319999999999E-2</v>
      </c>
      <c r="O5672">
        <v>0.74629619999999997</v>
      </c>
      <c r="P5672">
        <v>0.35387020000000002</v>
      </c>
      <c r="Q5672">
        <v>0.40840490000000002</v>
      </c>
      <c r="R5672">
        <v>0.84141619999999995</v>
      </c>
      <c r="S5672">
        <v>1.0919190000000001</v>
      </c>
      <c r="T5672">
        <v>-0.43608839999999999</v>
      </c>
      <c r="U5672">
        <v>3.3236080000000001</v>
      </c>
      <c r="V5672">
        <v>-0.30708089999999999</v>
      </c>
      <c r="W5672">
        <v>0.4107384</v>
      </c>
      <c r="X5672">
        <v>0.85848429999999998</v>
      </c>
      <c r="Y5672">
        <v>-0.39957789999999999</v>
      </c>
      <c r="Z5672">
        <v>-6.4570619999999995E-2</v>
      </c>
      <c r="AA5672">
        <v>0.91442230000000002</v>
      </c>
      <c r="AB5672">
        <v>30</v>
      </c>
      <c r="AC5672">
        <v>0.151499999999998</v>
      </c>
      <c r="AD5672">
        <v>-0.13533000000000001</v>
      </c>
      <c r="AE5672">
        <v>0.80725999999999898</v>
      </c>
      <c r="AF5672">
        <v>-0.412989863240042</v>
      </c>
      <c r="AG5672">
        <v>-0.13533000000000001</v>
      </c>
      <c r="AH5672">
        <v>0.68474173797551796</v>
      </c>
      <c r="AI5672">
        <v>99.605586438217699</v>
      </c>
      <c r="AJ5672">
        <v>121.09553588270499</v>
      </c>
      <c r="AK5672">
        <v>0.81101546456572704</v>
      </c>
      <c r="AL5672">
        <v>65.748771696201999</v>
      </c>
      <c r="AM5672">
        <v>109.682192984918</v>
      </c>
      <c r="AN5672">
        <v>1.0000000028629299</v>
      </c>
    </row>
    <row r="5673" spans="1:40" x14ac:dyDescent="0.25">
      <c r="A5673" t="str">
        <f>"20190304164757361"</f>
        <v>20190304164757361</v>
      </c>
      <c r="B5673" t="str">
        <f>"1551689277355257"</f>
        <v>1551689277355257</v>
      </c>
      <c r="C5673" t="s">
        <v>40</v>
      </c>
      <c r="D5673">
        <v>4.9360589999999904</v>
      </c>
      <c r="E5673">
        <v>0.4726669</v>
      </c>
      <c r="F5673" t="s">
        <v>53</v>
      </c>
      <c r="G5673">
        <v>-194.3879</v>
      </c>
      <c r="H5673" s="1">
        <v>-4.9039879999999996E-6</v>
      </c>
      <c r="I5673">
        <v>-44.776910000000001</v>
      </c>
      <c r="J5673">
        <v>-196.94319999999999</v>
      </c>
      <c r="K5673">
        <v>1.1216699999999999</v>
      </c>
      <c r="L5673">
        <v>-52.694400000000002</v>
      </c>
      <c r="M5673">
        <v>0.65516470000000004</v>
      </c>
      <c r="N5673">
        <v>-1.2130760000000001E-2</v>
      </c>
      <c r="O5673">
        <v>0.75538870000000002</v>
      </c>
      <c r="P5673">
        <v>0.34381400000000001</v>
      </c>
      <c r="Q5673">
        <v>0.40717360000000002</v>
      </c>
      <c r="R5673">
        <v>0.84616880000000005</v>
      </c>
      <c r="S5673">
        <v>1.116776</v>
      </c>
      <c r="T5673">
        <v>-0.45669169999999998</v>
      </c>
      <c r="U5673">
        <v>3.3174130000000002</v>
      </c>
      <c r="V5673">
        <v>-0.30584299999999998</v>
      </c>
      <c r="W5673">
        <v>0.40953250000000002</v>
      </c>
      <c r="X5673">
        <v>0.85950170000000004</v>
      </c>
      <c r="Y5673">
        <v>-0.38036829999999999</v>
      </c>
      <c r="Z5673">
        <v>-7.0438840000000003E-2</v>
      </c>
      <c r="AA5673">
        <v>0.92214879999999999</v>
      </c>
      <c r="AB5673">
        <v>30</v>
      </c>
      <c r="AC5673">
        <v>2.5552999999999799</v>
      </c>
      <c r="AD5673">
        <v>-1.1216749039880001</v>
      </c>
      <c r="AE5673">
        <v>7.9174899999999999</v>
      </c>
      <c r="AF5673">
        <v>-3.1991041870605201</v>
      </c>
      <c r="AG5673">
        <v>-1.1216749039880001</v>
      </c>
      <c r="AH5673">
        <v>7.5188172222424399</v>
      </c>
      <c r="AI5673">
        <v>97.816335078436694</v>
      </c>
      <c r="AJ5673">
        <v>113.04876843560599</v>
      </c>
      <c r="AK5673">
        <v>8.2477290578312594</v>
      </c>
      <c r="AL5673">
        <v>65.824529195056797</v>
      </c>
      <c r="AM5673">
        <v>109.587469544475</v>
      </c>
      <c r="AN5673">
        <v>0.99999999075406998</v>
      </c>
    </row>
    <row r="5674" spans="1:40" x14ac:dyDescent="0.25">
      <c r="A5674" t="str">
        <f>"20190304164757383"</f>
        <v>20190304164757383</v>
      </c>
      <c r="B5674" t="str">
        <f>"1551689277374778"</f>
        <v>1551689277374778</v>
      </c>
      <c r="C5674" t="s">
        <v>40</v>
      </c>
      <c r="D5674">
        <v>4.8688099999999999</v>
      </c>
      <c r="E5674">
        <v>0.49870750000000003</v>
      </c>
      <c r="F5674" t="s">
        <v>53</v>
      </c>
      <c r="G5674">
        <v>-194.32390000000001</v>
      </c>
      <c r="H5674" s="1">
        <v>-4.9602009999999998E-6</v>
      </c>
      <c r="I5674">
        <v>-44.631749999999997</v>
      </c>
      <c r="J5674">
        <v>-196.75819999999999</v>
      </c>
      <c r="K5674">
        <v>1.121653</v>
      </c>
      <c r="L5674">
        <v>-52.460720000000002</v>
      </c>
      <c r="M5674">
        <v>0.64471109999999998</v>
      </c>
      <c r="N5674">
        <v>-1.2102720000000001E-2</v>
      </c>
      <c r="O5674">
        <v>0.76433059999999997</v>
      </c>
      <c r="P5674">
        <v>0.3334763</v>
      </c>
      <c r="Q5674">
        <v>0.4064333</v>
      </c>
      <c r="R5674">
        <v>0.85065000000000002</v>
      </c>
      <c r="S5674">
        <v>1.081467</v>
      </c>
      <c r="T5674">
        <v>-0.46310630000000003</v>
      </c>
      <c r="U5674">
        <v>3.3288269999999902</v>
      </c>
      <c r="V5674">
        <v>-0.30468089999999998</v>
      </c>
      <c r="W5674">
        <v>0.40881729999999999</v>
      </c>
      <c r="X5674">
        <v>0.86025459999999998</v>
      </c>
      <c r="Y5674">
        <v>-0.37748429999999999</v>
      </c>
      <c r="Z5674">
        <v>-7.3103559999999998E-2</v>
      </c>
      <c r="AA5674">
        <v>0.92312590000000005</v>
      </c>
      <c r="AB5674">
        <v>30</v>
      </c>
      <c r="AC5674">
        <v>2.4342999999999702</v>
      </c>
      <c r="AD5674">
        <v>-1.1216579602009999</v>
      </c>
      <c r="AE5674">
        <v>7.8289699999999902</v>
      </c>
      <c r="AF5674">
        <v>-3.1284917312728702</v>
      </c>
      <c r="AG5674">
        <v>-1.1216579602009999</v>
      </c>
      <c r="AH5674">
        <v>7.4151072268808003</v>
      </c>
      <c r="AI5674">
        <v>97.934203392860098</v>
      </c>
      <c r="AJ5674">
        <v>112.87526154624</v>
      </c>
      <c r="AK5674">
        <v>8.1258471729700208</v>
      </c>
      <c r="AL5674">
        <v>65.869439094189502</v>
      </c>
      <c r="AM5674">
        <v>109.50288619152499</v>
      </c>
      <c r="AN5674">
        <v>1.00000000621263</v>
      </c>
    </row>
    <row r="5675" spans="1:40" x14ac:dyDescent="0.25">
      <c r="A5675" t="str">
        <f>"20190304164757406"</f>
        <v>20190304164757406</v>
      </c>
      <c r="B5675" t="str">
        <f>"1551689277395273"</f>
        <v>1551689277395273</v>
      </c>
      <c r="C5675" t="s">
        <v>40</v>
      </c>
      <c r="D5675">
        <v>4.8303979999999997</v>
      </c>
      <c r="E5675">
        <v>0.50317049999999997</v>
      </c>
      <c r="F5675" t="s">
        <v>53</v>
      </c>
      <c r="G5675">
        <v>-193.88560000000001</v>
      </c>
      <c r="H5675" s="1">
        <v>-4.7802469999999998E-6</v>
      </c>
      <c r="I5675">
        <v>-44.8506</v>
      </c>
      <c r="J5675">
        <v>-196.57339999999999</v>
      </c>
      <c r="K5675">
        <v>1.1216159999999999</v>
      </c>
      <c r="L5675">
        <v>-52.220829999999999</v>
      </c>
      <c r="M5675">
        <v>0.63403209999999999</v>
      </c>
      <c r="N5675">
        <v>-1.206896E-2</v>
      </c>
      <c r="O5675">
        <v>0.77321260000000003</v>
      </c>
      <c r="P5675">
        <v>0.32276830000000001</v>
      </c>
      <c r="Q5675">
        <v>0.4057576</v>
      </c>
      <c r="R5675">
        <v>0.8550915</v>
      </c>
      <c r="S5675">
        <v>1.2353970000000001</v>
      </c>
      <c r="T5675">
        <v>-0.48239140000000003</v>
      </c>
      <c r="U5675">
        <v>3.272888</v>
      </c>
      <c r="V5675">
        <v>-0.3036798</v>
      </c>
      <c r="W5675">
        <v>0.40816960000000002</v>
      </c>
      <c r="X5675">
        <v>0.86091589999999996</v>
      </c>
      <c r="Y5675">
        <v>-0.32113530000000001</v>
      </c>
      <c r="Z5675">
        <v>-8.0969059999999995E-2</v>
      </c>
      <c r="AA5675">
        <v>0.94356569999999995</v>
      </c>
      <c r="AB5675">
        <v>30</v>
      </c>
      <c r="AC5675">
        <v>2.6877999999999802</v>
      </c>
      <c r="AD5675">
        <v>-1.121620780247</v>
      </c>
      <c r="AE5675">
        <v>7.3702299999999896</v>
      </c>
      <c r="AF5675">
        <v>-2.5429303825622802</v>
      </c>
      <c r="AG5675">
        <v>-1.121620780247</v>
      </c>
      <c r="AH5675">
        <v>7.2551425946466903</v>
      </c>
      <c r="AI5675">
        <v>98.300580320381798</v>
      </c>
      <c r="AJ5675">
        <v>109.315584163059</v>
      </c>
      <c r="AK5675">
        <v>7.7692742372693298</v>
      </c>
      <c r="AL5675">
        <v>65.910096697392504</v>
      </c>
      <c r="AM5675">
        <v>109.429803668548</v>
      </c>
      <c r="AN5675">
        <v>1.0000000150824999</v>
      </c>
    </row>
    <row r="5676" spans="1:40" x14ac:dyDescent="0.25">
      <c r="A5676" t="str">
        <f>"20190304164757430"</f>
        <v>20190304164757430</v>
      </c>
      <c r="B5676" t="str">
        <f>"1551689277424553"</f>
        <v>1551689277424553</v>
      </c>
      <c r="C5676" t="s">
        <v>40</v>
      </c>
      <c r="D5676">
        <v>4.7837909999999999</v>
      </c>
      <c r="E5676">
        <v>0.50722449999999997</v>
      </c>
      <c r="F5676" t="s">
        <v>53</v>
      </c>
      <c r="G5676">
        <v>-193.75659999999999</v>
      </c>
      <c r="H5676" s="1">
        <v>-4.8230750000000004E-6</v>
      </c>
      <c r="I5676">
        <v>-44.709350000000001</v>
      </c>
      <c r="J5676">
        <v>-196.38560000000001</v>
      </c>
      <c r="K5676">
        <v>1.1215539999999999</v>
      </c>
      <c r="L5676">
        <v>-51.970210000000002</v>
      </c>
      <c r="M5676">
        <v>0.62295710000000004</v>
      </c>
      <c r="N5676">
        <v>-1.2030000000000001E-2</v>
      </c>
      <c r="O5676">
        <v>0.78216350000000001</v>
      </c>
      <c r="P5676">
        <v>0.31211949999999999</v>
      </c>
      <c r="Q5676">
        <v>0.40486159999999999</v>
      </c>
      <c r="R5676">
        <v>0.85945830000000001</v>
      </c>
      <c r="S5676">
        <v>1.228775</v>
      </c>
      <c r="T5676">
        <v>-0.48928959999999999</v>
      </c>
      <c r="U5676">
        <v>3.276764</v>
      </c>
      <c r="V5676">
        <v>-0.30228880000000002</v>
      </c>
      <c r="W5676">
        <v>0.40732889999999999</v>
      </c>
      <c r="X5676">
        <v>0.86180319999999899</v>
      </c>
      <c r="Y5676">
        <v>-0.30978899999999998</v>
      </c>
      <c r="Z5676">
        <v>-8.4239510000000004E-2</v>
      </c>
      <c r="AA5676">
        <v>0.94706619999999997</v>
      </c>
      <c r="AB5676">
        <v>30</v>
      </c>
      <c r="AC5676">
        <v>2.6290000000000102</v>
      </c>
      <c r="AD5676">
        <v>-1.121558823075</v>
      </c>
      <c r="AE5676">
        <v>7.2608599999999903</v>
      </c>
      <c r="AF5676">
        <v>-2.4161086526030999</v>
      </c>
      <c r="AG5676">
        <v>-1.121558823075</v>
      </c>
      <c r="AH5676">
        <v>7.1662948361200502</v>
      </c>
      <c r="AI5676">
        <v>98.435637311307801</v>
      </c>
      <c r="AJ5676">
        <v>108.631479032944</v>
      </c>
      <c r="AK5676">
        <v>7.6453421697790596</v>
      </c>
      <c r="AL5676">
        <v>65.962850808199093</v>
      </c>
      <c r="AM5676">
        <v>109.328990117274</v>
      </c>
      <c r="AN5676">
        <v>1.0000000534554401</v>
      </c>
    </row>
    <row r="5677" spans="1:40" x14ac:dyDescent="0.25">
      <c r="A5677" t="str">
        <f>"20190304164757450"</f>
        <v>20190304164757450</v>
      </c>
      <c r="B5677" t="str">
        <f>"1551689277444714"</f>
        <v>1551689277444714</v>
      </c>
      <c r="C5677" t="s">
        <v>40</v>
      </c>
      <c r="D5677">
        <v>4.7737150000000002</v>
      </c>
      <c r="E5677">
        <v>0.50913790000000003</v>
      </c>
      <c r="F5677" t="s">
        <v>53</v>
      </c>
      <c r="G5677">
        <v>-193.6233</v>
      </c>
      <c r="H5677" s="1">
        <v>-4.8805689999999997E-6</v>
      </c>
      <c r="I5677">
        <v>-44.534990000000001</v>
      </c>
      <c r="J5677">
        <v>-196.22630000000001</v>
      </c>
      <c r="K5677">
        <v>1.121467</v>
      </c>
      <c r="L5677">
        <v>-51.751649999999998</v>
      </c>
      <c r="M5677">
        <v>0.61339769999999905</v>
      </c>
      <c r="N5677">
        <v>-1.198976E-2</v>
      </c>
      <c r="O5677">
        <v>0.78968319999999903</v>
      </c>
      <c r="P5677">
        <v>0.30304170000000002</v>
      </c>
      <c r="Q5677">
        <v>0.40468730000000003</v>
      </c>
      <c r="R5677">
        <v>0.86278259999999996</v>
      </c>
      <c r="S5677">
        <v>1.2189479999999999</v>
      </c>
      <c r="T5677">
        <v>-0.4949248</v>
      </c>
      <c r="U5677">
        <v>3.2810359999999998</v>
      </c>
      <c r="V5677">
        <v>-0.30085410000000001</v>
      </c>
      <c r="W5677">
        <v>0.40721740000000001</v>
      </c>
      <c r="X5677">
        <v>0.86235769999999901</v>
      </c>
      <c r="Y5677">
        <v>-0.30120839999999999</v>
      </c>
      <c r="Z5677">
        <v>-8.6957179999999995E-2</v>
      </c>
      <c r="AA5677">
        <v>0.94958509999999996</v>
      </c>
      <c r="AB5677">
        <v>30</v>
      </c>
      <c r="AC5677">
        <v>2.6030000000000002</v>
      </c>
      <c r="AD5677">
        <v>-1.121471880569</v>
      </c>
      <c r="AE5677">
        <v>7.2166599999999903</v>
      </c>
      <c r="AF5677">
        <v>-2.3216949806606002</v>
      </c>
      <c r="AG5677">
        <v>-1.121471880569</v>
      </c>
      <c r="AH5677">
        <v>7.1434246074437704</v>
      </c>
      <c r="AI5677">
        <v>98.491859350523001</v>
      </c>
      <c r="AJ5677">
        <v>108.00475635247</v>
      </c>
      <c r="AK5677">
        <v>7.5945033994570599</v>
      </c>
      <c r="AL5677">
        <v>65.969844373533903</v>
      </c>
      <c r="AM5677">
        <v>109.23254687043701</v>
      </c>
      <c r="AN5677">
        <v>1.0000000015494299</v>
      </c>
    </row>
    <row r="5678" spans="1:40" x14ac:dyDescent="0.25">
      <c r="A5678" t="str">
        <f>"20190304164757476"</f>
        <v>20190304164757476</v>
      </c>
      <c r="B5678" t="str">
        <f>"1551689277465195"</f>
        <v>1551689277465195</v>
      </c>
      <c r="C5678" t="s">
        <v>40</v>
      </c>
      <c r="D5678">
        <v>4.7885580000000001</v>
      </c>
      <c r="E5678">
        <v>0.51050969999999996</v>
      </c>
      <c r="F5678" t="s">
        <v>53</v>
      </c>
      <c r="G5678">
        <v>-193.5197</v>
      </c>
      <c r="H5678" s="1">
        <v>-4.9596529999999999E-6</v>
      </c>
      <c r="I5678">
        <v>-44.325609999999998</v>
      </c>
      <c r="J5678">
        <v>-196.03039999999999</v>
      </c>
      <c r="K5678">
        <v>1.121327</v>
      </c>
      <c r="L5678">
        <v>-51.475650000000002</v>
      </c>
      <c r="M5678">
        <v>0.60148900000000005</v>
      </c>
      <c r="N5678">
        <v>-1.193076E-2</v>
      </c>
      <c r="O5678">
        <v>0.79879199999999995</v>
      </c>
      <c r="P5678">
        <v>0.29082940000000002</v>
      </c>
      <c r="Q5678">
        <v>0.40529009999999999</v>
      </c>
      <c r="R5678">
        <v>0.86669379999999996</v>
      </c>
      <c r="S5678">
        <v>1.198761</v>
      </c>
      <c r="T5678">
        <v>-0.49670599999999998</v>
      </c>
      <c r="U5678">
        <v>3.2890320000000002</v>
      </c>
      <c r="V5678">
        <v>-0.29981449999999998</v>
      </c>
      <c r="W5678">
        <v>0.4078871</v>
      </c>
      <c r="X5678">
        <v>0.86240329999999998</v>
      </c>
      <c r="Y5678">
        <v>-0.2928711</v>
      </c>
      <c r="Z5678">
        <v>-8.9197929999999995E-2</v>
      </c>
      <c r="AA5678">
        <v>0.95198229999999995</v>
      </c>
      <c r="AB5678">
        <v>30</v>
      </c>
      <c r="AC5678">
        <v>2.5106999999999799</v>
      </c>
      <c r="AD5678">
        <v>-1.121331959653</v>
      </c>
      <c r="AE5678">
        <v>7.1500399999999997</v>
      </c>
      <c r="AF5678">
        <v>-2.2461266387618002</v>
      </c>
      <c r="AG5678">
        <v>-1.121331959653</v>
      </c>
      <c r="AH5678">
        <v>7.0673246116202799</v>
      </c>
      <c r="AI5678">
        <v>98.598620045294695</v>
      </c>
      <c r="AJ5678">
        <v>107.63122032835599</v>
      </c>
      <c r="AK5678">
        <v>7.4999698270798598</v>
      </c>
      <c r="AL5678">
        <v>65.927826268565497</v>
      </c>
      <c r="AM5678">
        <v>109.170006932901</v>
      </c>
      <c r="AN5678">
        <v>1.00000003630377</v>
      </c>
    </row>
    <row r="5679" spans="1:40" x14ac:dyDescent="0.25">
      <c r="A5679" t="str">
        <f>"20190304164757498"</f>
        <v>20190304164757498</v>
      </c>
      <c r="B5679" t="str">
        <f>"1551689277494476"</f>
        <v>1551689277494476</v>
      </c>
      <c r="C5679" t="s">
        <v>40</v>
      </c>
      <c r="D5679">
        <v>4.793056</v>
      </c>
      <c r="E5679">
        <v>0.52004419999999996</v>
      </c>
      <c r="F5679" t="s">
        <v>53</v>
      </c>
      <c r="G5679">
        <v>-193.38910000000001</v>
      </c>
      <c r="H5679" s="1">
        <v>-5.089871E-6</v>
      </c>
      <c r="I5679">
        <v>-43.996169999999999</v>
      </c>
      <c r="J5679">
        <v>-195.86519999999999</v>
      </c>
      <c r="K5679">
        <v>1.121181</v>
      </c>
      <c r="L5679">
        <v>-51.235840000000003</v>
      </c>
      <c r="M5679">
        <v>0.59133269999999905</v>
      </c>
      <c r="N5679">
        <v>-1.187478E-2</v>
      </c>
      <c r="O5679">
        <v>0.80634030000000001</v>
      </c>
      <c r="P5679">
        <v>0.28112720000000002</v>
      </c>
      <c r="Q5679">
        <v>0.40607359999999998</v>
      </c>
      <c r="R5679">
        <v>0.86952379999999996</v>
      </c>
      <c r="S5679">
        <v>1.1659550000000001</v>
      </c>
      <c r="T5679">
        <v>-0.49498979999999998</v>
      </c>
      <c r="U5679">
        <v>3.301666</v>
      </c>
      <c r="V5679">
        <v>-0.29819570000000001</v>
      </c>
      <c r="W5679">
        <v>0.4087633</v>
      </c>
      <c r="X5679">
        <v>0.86254969999999997</v>
      </c>
      <c r="Y5679">
        <v>-0.29035549999999999</v>
      </c>
      <c r="Z5679">
        <v>-9.0201219999999999E-2</v>
      </c>
      <c r="AA5679">
        <v>0.95265809999999995</v>
      </c>
      <c r="AB5679">
        <v>30</v>
      </c>
      <c r="AC5679">
        <v>2.47609999999997</v>
      </c>
      <c r="AD5679">
        <v>-1.121186089871</v>
      </c>
      <c r="AE5679">
        <v>7.2396700000000003</v>
      </c>
      <c r="AF5679">
        <v>-2.2366107657038499</v>
      </c>
      <c r="AG5679">
        <v>-1.121186089871</v>
      </c>
      <c r="AH5679">
        <v>7.1488506773275704</v>
      </c>
      <c r="AI5679">
        <v>98.512826261915507</v>
      </c>
      <c r="AJ5679">
        <v>107.372969899506</v>
      </c>
      <c r="AK5679">
        <v>7.57400501532112</v>
      </c>
      <c r="AL5679">
        <v>65.872830342706806</v>
      </c>
      <c r="AM5679">
        <v>109.070995640978</v>
      </c>
      <c r="AN5679">
        <v>1.00000004794773</v>
      </c>
    </row>
    <row r="5680" spans="1:40" x14ac:dyDescent="0.25">
      <c r="A5680" t="str">
        <f>"20190304164757521"</f>
        <v>20190304164757521</v>
      </c>
      <c r="B5680" t="str">
        <f>"1551689277514972"</f>
        <v>1551689277514972</v>
      </c>
      <c r="C5680" t="s">
        <v>40</v>
      </c>
      <c r="D5680">
        <v>4.7465489999999999</v>
      </c>
      <c r="E5680">
        <v>0.52106049999999904</v>
      </c>
      <c r="F5680" t="s">
        <v>53</v>
      </c>
      <c r="G5680">
        <v>-193.17529999999999</v>
      </c>
      <c r="H5680" s="1">
        <v>-5.1107489999999999E-6</v>
      </c>
      <c r="I5680">
        <v>-43.869630000000001</v>
      </c>
      <c r="J5680">
        <v>-195.68799999999999</v>
      </c>
      <c r="K5680">
        <v>1.1210290000000001</v>
      </c>
      <c r="L5680">
        <v>-50.971710000000002</v>
      </c>
      <c r="M5680">
        <v>0.58032819999999996</v>
      </c>
      <c r="N5680">
        <v>-1.1812710000000001E-2</v>
      </c>
      <c r="O5680">
        <v>0.81429700000000005</v>
      </c>
      <c r="P5680">
        <v>0.271401</v>
      </c>
      <c r="Q5680">
        <v>0.40636830000000002</v>
      </c>
      <c r="R5680">
        <v>0.87247140000000001</v>
      </c>
      <c r="S5680">
        <v>1.2033389999999999</v>
      </c>
      <c r="T5680">
        <v>-0.50157379999999996</v>
      </c>
      <c r="U5680">
        <v>3.2953489999999999</v>
      </c>
      <c r="V5680">
        <v>-0.29587350000000001</v>
      </c>
      <c r="W5680">
        <v>0.40917890000000001</v>
      </c>
      <c r="X5680">
        <v>0.86315209999999998</v>
      </c>
      <c r="Y5680">
        <v>-0.26729849999999999</v>
      </c>
      <c r="Z5680">
        <v>-9.3755530000000004E-2</v>
      </c>
      <c r="AA5680">
        <v>0.95904199999999995</v>
      </c>
      <c r="AB5680">
        <v>30</v>
      </c>
      <c r="AC5680">
        <v>2.5126999999999899</v>
      </c>
      <c r="AD5680">
        <v>-1.1210341107490001</v>
      </c>
      <c r="AE5680">
        <v>7.1020799999999902</v>
      </c>
      <c r="AF5680">
        <v>-2.0306326674389101</v>
      </c>
      <c r="AG5680">
        <v>-1.1210341107490001</v>
      </c>
      <c r="AH5680">
        <v>7.0850112065648396</v>
      </c>
      <c r="AI5680">
        <v>98.648526710766006</v>
      </c>
      <c r="AJ5680">
        <v>105.99281416428499</v>
      </c>
      <c r="AK5680">
        <v>7.4550365729942696</v>
      </c>
      <c r="AL5680">
        <v>65.846735600905305</v>
      </c>
      <c r="AM5680">
        <v>108.920821337768</v>
      </c>
      <c r="AN5680">
        <v>1.0000000239709299</v>
      </c>
    </row>
    <row r="5681" spans="1:40" x14ac:dyDescent="0.25">
      <c r="A5681" t="str">
        <f>"20190304164757541"</f>
        <v>20190304164757541</v>
      </c>
      <c r="B5681" t="str">
        <f>"1551689277534492"</f>
        <v>1551689277534492</v>
      </c>
      <c r="C5681" t="s">
        <v>40</v>
      </c>
      <c r="D5681">
        <v>4.8224349999999996</v>
      </c>
      <c r="E5681">
        <v>0.52171120000000004</v>
      </c>
      <c r="F5681" t="s">
        <v>53</v>
      </c>
      <c r="G5681">
        <v>-193.1009</v>
      </c>
      <c r="H5681" s="1">
        <v>-5.1939170000000002E-6</v>
      </c>
      <c r="I5681">
        <v>-43.662640000000003</v>
      </c>
      <c r="J5681">
        <v>-195.54759999999999</v>
      </c>
      <c r="K5681">
        <v>1.1208929999999999</v>
      </c>
      <c r="L5681">
        <v>-50.757480000000001</v>
      </c>
      <c r="M5681">
        <v>0.5715557</v>
      </c>
      <c r="N5681">
        <v>-1.176044E-2</v>
      </c>
      <c r="O5681">
        <v>0.82047899999999996</v>
      </c>
      <c r="P5681">
        <v>0.26353159999999998</v>
      </c>
      <c r="Q5681">
        <v>0.40770380000000001</v>
      </c>
      <c r="R5681">
        <v>0.87425900000000001</v>
      </c>
      <c r="S5681">
        <v>1.1717679999999999</v>
      </c>
      <c r="T5681">
        <v>-0.50774849999999905</v>
      </c>
      <c r="U5681">
        <v>3.310486</v>
      </c>
      <c r="V5681">
        <v>-0.29392020000000002</v>
      </c>
      <c r="W5681">
        <v>0.41061110000000001</v>
      </c>
      <c r="X5681">
        <v>0.86313930000000005</v>
      </c>
      <c r="Y5681">
        <v>-0.26654129999999998</v>
      </c>
      <c r="Z5681">
        <v>-9.5988900000000002E-2</v>
      </c>
      <c r="AA5681">
        <v>0.95903179999999999</v>
      </c>
      <c r="AB5681">
        <v>30</v>
      </c>
      <c r="AC5681">
        <v>2.4466999999999901</v>
      </c>
      <c r="AD5681">
        <v>-1.120898193917</v>
      </c>
      <c r="AE5681">
        <v>7.0948399999999898</v>
      </c>
      <c r="AF5681">
        <v>-2.00308849959116</v>
      </c>
      <c r="AG5681">
        <v>-1.120898193917</v>
      </c>
      <c r="AH5681">
        <v>7.0625459177973902</v>
      </c>
      <c r="AI5681">
        <v>98.681316952112596</v>
      </c>
      <c r="AJ5681">
        <v>105.83446631000101</v>
      </c>
      <c r="AK5681">
        <v>7.4261922368948499</v>
      </c>
      <c r="AL5681">
        <v>65.756771208105405</v>
      </c>
      <c r="AM5681">
        <v>108.80497378323901</v>
      </c>
      <c r="AN5681">
        <v>1.0000000053078699</v>
      </c>
    </row>
    <row r="5682" spans="1:40" x14ac:dyDescent="0.25">
      <c r="A5682" t="str">
        <f>"20190304164757563"</f>
        <v>20190304164757563</v>
      </c>
      <c r="B5682" t="str">
        <f>"1551689277554988"</f>
        <v>1551689277554988</v>
      </c>
      <c r="C5682" t="s">
        <v>40</v>
      </c>
      <c r="D5682">
        <v>4.7760610000000003</v>
      </c>
      <c r="E5682">
        <v>0.52240089999999995</v>
      </c>
      <c r="F5682" t="s">
        <v>53</v>
      </c>
      <c r="G5682">
        <v>-193.01390000000001</v>
      </c>
      <c r="H5682" s="1">
        <v>-5.2894050000000001E-6</v>
      </c>
      <c r="I5682">
        <v>-43.424430000000001</v>
      </c>
      <c r="J5682">
        <v>-195.3835</v>
      </c>
      <c r="K5682">
        <v>1.1207129999999901</v>
      </c>
      <c r="L5682">
        <v>-50.50076</v>
      </c>
      <c r="M5682">
        <v>0.56127309999999997</v>
      </c>
      <c r="N5682">
        <v>-1.169413E-2</v>
      </c>
      <c r="O5682">
        <v>0.82754799999999995</v>
      </c>
      <c r="P5682">
        <v>0.25339970000000001</v>
      </c>
      <c r="Q5682">
        <v>0.40897869999999997</v>
      </c>
      <c r="R5682">
        <v>0.87665559999999998</v>
      </c>
      <c r="S5682">
        <v>1.1479029999999999</v>
      </c>
      <c r="T5682">
        <v>-0.50783210000000001</v>
      </c>
      <c r="U5682">
        <v>3.3222960000000001</v>
      </c>
      <c r="V5682">
        <v>-0.29265079999999999</v>
      </c>
      <c r="W5682">
        <v>0.41197980000000001</v>
      </c>
      <c r="X5682">
        <v>0.86291839999999997</v>
      </c>
      <c r="Y5682">
        <v>-0.26176840000000001</v>
      </c>
      <c r="Z5682">
        <v>-9.7327620000000004E-2</v>
      </c>
      <c r="AA5682">
        <v>0.96021069999999997</v>
      </c>
      <c r="AB5682">
        <v>30</v>
      </c>
      <c r="AC5682">
        <v>2.3695999999999899</v>
      </c>
      <c r="AD5682">
        <v>-1.1207182894049901</v>
      </c>
      <c r="AE5682">
        <v>7.0763299999999898</v>
      </c>
      <c r="AF5682">
        <v>-1.96657963203248</v>
      </c>
      <c r="AG5682">
        <v>-1.1207182894049901</v>
      </c>
      <c r="AH5682">
        <v>7.0279793661410199</v>
      </c>
      <c r="AI5682">
        <v>98.730502758249301</v>
      </c>
      <c r="AJ5682">
        <v>105.63276152149599</v>
      </c>
      <c r="AK5682">
        <v>7.3834909700111204</v>
      </c>
      <c r="AL5682">
        <v>65.6707365882787</v>
      </c>
      <c r="AM5682">
        <v>108.733892093241</v>
      </c>
      <c r="AN5682">
        <v>1.00000000570362</v>
      </c>
    </row>
    <row r="5683" spans="1:40" x14ac:dyDescent="0.25">
      <c r="A5683" t="str">
        <f>"20190304164757586"</f>
        <v>20190304164757586</v>
      </c>
      <c r="B5683" t="str">
        <f>"1551689277575484"</f>
        <v>1551689277575484</v>
      </c>
      <c r="C5683" t="s">
        <v>40</v>
      </c>
      <c r="D5683">
        <v>4.7799149999999999</v>
      </c>
      <c r="E5683">
        <v>0.52266550000000001</v>
      </c>
      <c r="F5683" t="s">
        <v>53</v>
      </c>
      <c r="G5683">
        <v>-192.90299999999999</v>
      </c>
      <c r="H5683" s="1">
        <v>-5.4231459999999998E-6</v>
      </c>
      <c r="I5683">
        <v>-43.094920000000002</v>
      </c>
      <c r="J5683">
        <v>-195.22239999999999</v>
      </c>
      <c r="K5683">
        <v>1.120519</v>
      </c>
      <c r="L5683">
        <v>-50.242339999999999</v>
      </c>
      <c r="M5683">
        <v>0.55118330000000004</v>
      </c>
      <c r="N5683">
        <v>-1.1621630000000001E-2</v>
      </c>
      <c r="O5683">
        <v>0.83430329999999997</v>
      </c>
      <c r="P5683">
        <v>0.24415880000000001</v>
      </c>
      <c r="Q5683">
        <v>0.4105144</v>
      </c>
      <c r="R5683">
        <v>0.87855819999999996</v>
      </c>
      <c r="S5683">
        <v>1.1169279999999999</v>
      </c>
      <c r="T5683">
        <v>-0.50463440000000004</v>
      </c>
      <c r="U5683">
        <v>3.334686</v>
      </c>
      <c r="V5683">
        <v>-0.2906879</v>
      </c>
      <c r="W5683">
        <v>0.41363709999999998</v>
      </c>
      <c r="X5683">
        <v>0.86278899999999903</v>
      </c>
      <c r="Y5683">
        <v>-0.25915919999999998</v>
      </c>
      <c r="Z5683">
        <v>-9.7873020000000005E-2</v>
      </c>
      <c r="AA5683">
        <v>0.96086289999999996</v>
      </c>
      <c r="AB5683">
        <v>30</v>
      </c>
      <c r="AC5683">
        <v>2.3193999999999999</v>
      </c>
      <c r="AD5683">
        <v>-1.1205244231460001</v>
      </c>
      <c r="AE5683">
        <v>7.1474200000000003</v>
      </c>
      <c r="AF5683">
        <v>-1.9609857845193801</v>
      </c>
      <c r="AG5683">
        <v>-1.1205244231460001</v>
      </c>
      <c r="AH5683">
        <v>7.0844869674122597</v>
      </c>
      <c r="AI5683">
        <v>98.667110003621303</v>
      </c>
      <c r="AJ5683">
        <v>105.47208686662999</v>
      </c>
      <c r="AK5683">
        <v>7.43579153966731</v>
      </c>
      <c r="AL5683">
        <v>65.566482072773198</v>
      </c>
      <c r="AM5683">
        <v>108.619523048313</v>
      </c>
      <c r="AN5683">
        <v>0.99999998211190899</v>
      </c>
    </row>
    <row r="5684" spans="1:40" x14ac:dyDescent="0.25">
      <c r="A5684" t="str">
        <f>"20190304164757609"</f>
        <v>20190304164757609</v>
      </c>
      <c r="B5684" t="str">
        <f>"1551689277604764"</f>
        <v>1551689277604764</v>
      </c>
      <c r="C5684" t="s">
        <v>40</v>
      </c>
      <c r="D5684">
        <v>4.7376909999999999</v>
      </c>
      <c r="E5684">
        <v>0.52707760000000003</v>
      </c>
      <c r="F5684" t="s">
        <v>53</v>
      </c>
      <c r="G5684">
        <v>-192.7927</v>
      </c>
      <c r="H5684" s="1">
        <v>-5.5651929999999997E-6</v>
      </c>
      <c r="I5684">
        <v>-42.74783</v>
      </c>
      <c r="J5684">
        <v>-195.06540000000001</v>
      </c>
      <c r="K5684">
        <v>1.1203080000000001</v>
      </c>
      <c r="L5684">
        <v>-49.984220000000001</v>
      </c>
      <c r="M5684">
        <v>0.54137669999999904</v>
      </c>
      <c r="N5684">
        <v>-1.1543909999999999E-2</v>
      </c>
      <c r="O5684">
        <v>0.84070089999999997</v>
      </c>
      <c r="P5684">
        <v>0.23641809999999999</v>
      </c>
      <c r="Q5684">
        <v>0.41242230000000002</v>
      </c>
      <c r="R5684">
        <v>0.87978080000000003</v>
      </c>
      <c r="S5684">
        <v>1.085083</v>
      </c>
      <c r="T5684">
        <v>-0.50041190000000002</v>
      </c>
      <c r="U5684">
        <v>3.3469540000000002</v>
      </c>
      <c r="V5684">
        <v>-0.28750290000000001</v>
      </c>
      <c r="W5684">
        <v>0.41570430000000003</v>
      </c>
      <c r="X5684">
        <v>0.86286269999999998</v>
      </c>
      <c r="Y5684">
        <v>-0.25716109999999998</v>
      </c>
      <c r="Z5684">
        <v>-9.8107979999999997E-2</v>
      </c>
      <c r="AA5684">
        <v>0.9613756</v>
      </c>
      <c r="AB5684">
        <v>30</v>
      </c>
      <c r="AC5684">
        <v>2.2727000000000102</v>
      </c>
      <c r="AD5684">
        <v>-1.1203135651930001</v>
      </c>
      <c r="AE5684">
        <v>7.2363899999999903</v>
      </c>
      <c r="AF5684">
        <v>-1.9642334482128201</v>
      </c>
      <c r="AG5684">
        <v>-1.1203135651930001</v>
      </c>
      <c r="AH5684">
        <v>7.1583452419611504</v>
      </c>
      <c r="AI5684">
        <v>98.582632575884404</v>
      </c>
      <c r="AJ5684">
        <v>105.34416317423199</v>
      </c>
      <c r="AK5684">
        <v>7.5070115309982999</v>
      </c>
      <c r="AL5684">
        <v>65.436322842543802</v>
      </c>
      <c r="AM5684">
        <v>108.427896644863</v>
      </c>
      <c r="AN5684">
        <v>1.0000000107990901</v>
      </c>
    </row>
    <row r="5685" spans="1:40" x14ac:dyDescent="0.25">
      <c r="A5685" t="str">
        <f>"20190304164757631"</f>
        <v>20190304164757631</v>
      </c>
      <c r="B5685" t="str">
        <f>"1551689277625260"</f>
        <v>1551689277625260</v>
      </c>
      <c r="C5685" t="s">
        <v>40</v>
      </c>
      <c r="D5685">
        <v>4.8717410000000001</v>
      </c>
      <c r="E5685">
        <v>0.52674650000000001</v>
      </c>
      <c r="F5685" t="s">
        <v>53</v>
      </c>
      <c r="G5685">
        <v>-192.75389999999999</v>
      </c>
      <c r="H5685" s="1">
        <v>-5.5104120000000001E-6</v>
      </c>
      <c r="I5685">
        <v>-42.850630000000002</v>
      </c>
      <c r="J5685">
        <v>-194.9128</v>
      </c>
      <c r="K5685">
        <v>1.1200810000000001</v>
      </c>
      <c r="L5685">
        <v>-49.72739</v>
      </c>
      <c r="M5685">
        <v>0.53189889999999995</v>
      </c>
      <c r="N5685">
        <v>-1.146583E-2</v>
      </c>
      <c r="O5685">
        <v>0.84673019999999999</v>
      </c>
      <c r="P5685">
        <v>0.228718</v>
      </c>
      <c r="Q5685">
        <v>0.414016</v>
      </c>
      <c r="R5685">
        <v>0.88106689999999999</v>
      </c>
      <c r="S5685">
        <v>1.090225</v>
      </c>
      <c r="T5685">
        <v>-0.52841569999999904</v>
      </c>
      <c r="U5685">
        <v>3.3646850000000001</v>
      </c>
      <c r="V5685">
        <v>-0.284742</v>
      </c>
      <c r="W5685">
        <v>0.41745339999999997</v>
      </c>
      <c r="X5685">
        <v>0.86293379999999997</v>
      </c>
      <c r="Y5685">
        <v>-0.2466911</v>
      </c>
      <c r="Z5685">
        <v>-0.1050437</v>
      </c>
      <c r="AA5685">
        <v>0.96338429999999997</v>
      </c>
      <c r="AB5685">
        <v>31</v>
      </c>
      <c r="AC5685">
        <v>2.1589000000000098</v>
      </c>
      <c r="AD5685">
        <v>-1.1200865104119999</v>
      </c>
      <c r="AE5685">
        <v>6.87676</v>
      </c>
      <c r="AF5685">
        <v>-1.7867071347583601</v>
      </c>
      <c r="AG5685">
        <v>-1.1200865104119999</v>
      </c>
      <c r="AH5685">
        <v>6.80714482514498</v>
      </c>
      <c r="AI5685">
        <v>99.043046223979999</v>
      </c>
      <c r="AJ5685">
        <v>104.706977983961</v>
      </c>
      <c r="AK5685">
        <v>7.1262989585549601</v>
      </c>
      <c r="AL5685">
        <v>65.326087128293096</v>
      </c>
      <c r="AM5685">
        <v>108.261323931205</v>
      </c>
      <c r="AN5685">
        <v>1.0000000454589899</v>
      </c>
    </row>
    <row r="5686" spans="1:40" x14ac:dyDescent="0.25">
      <c r="A5686" t="str">
        <f>"20190304164757654"</f>
        <v>20190304164757654</v>
      </c>
      <c r="B5686" t="str">
        <f>"1551689277645421"</f>
        <v>1551689277645421</v>
      </c>
      <c r="C5686" t="s">
        <v>40</v>
      </c>
      <c r="D5686">
        <v>4.723509</v>
      </c>
      <c r="E5686">
        <v>0.52746369999999998</v>
      </c>
      <c r="F5686" t="s">
        <v>53</v>
      </c>
      <c r="G5686">
        <v>-192.68680000000001</v>
      </c>
      <c r="H5686" s="1">
        <v>-5.6130579999999998E-6</v>
      </c>
      <c r="I5686">
        <v>-42.604619999999997</v>
      </c>
      <c r="J5686">
        <v>-194.755</v>
      </c>
      <c r="K5686">
        <v>1.119823</v>
      </c>
      <c r="L5686">
        <v>-49.455689999999997</v>
      </c>
      <c r="M5686">
        <v>0.52217630000000004</v>
      </c>
      <c r="N5686">
        <v>-1.1381290000000001E-2</v>
      </c>
      <c r="O5686">
        <v>0.85276160000000001</v>
      </c>
      <c r="P5686">
        <v>0.22104509999999999</v>
      </c>
      <c r="Q5686">
        <v>0.41503820000000002</v>
      </c>
      <c r="R5686">
        <v>0.88254310000000002</v>
      </c>
      <c r="S5686">
        <v>1.0564420000000001</v>
      </c>
      <c r="T5686">
        <v>-0.5315974</v>
      </c>
      <c r="U5686">
        <v>3.380493</v>
      </c>
      <c r="V5686">
        <v>-0.28187079999999998</v>
      </c>
      <c r="W5686">
        <v>0.41864370000000001</v>
      </c>
      <c r="X5686">
        <v>0.863299699999999</v>
      </c>
      <c r="Y5686">
        <v>-0.24571689999999999</v>
      </c>
      <c r="Z5686">
        <v>-0.10670789999999999</v>
      </c>
      <c r="AA5686">
        <v>0.96345040000000004</v>
      </c>
      <c r="AB5686">
        <v>31</v>
      </c>
      <c r="AC5686">
        <v>2.0681999999999898</v>
      </c>
      <c r="AD5686">
        <v>-1.119828613058</v>
      </c>
      <c r="AE5686">
        <v>6.85107</v>
      </c>
      <c r="AF5686">
        <v>-1.7705495388599399</v>
      </c>
      <c r="AG5686">
        <v>-1.119828613058</v>
      </c>
      <c r="AH5686">
        <v>6.7572872695480299</v>
      </c>
      <c r="AI5686">
        <v>99.107590866201207</v>
      </c>
      <c r="AJ5686">
        <v>104.68261247981</v>
      </c>
      <c r="AK5686">
        <v>7.0745878350174198</v>
      </c>
      <c r="AL5686">
        <v>65.251012713173594</v>
      </c>
      <c r="AM5686">
        <v>108.082067198522</v>
      </c>
      <c r="AN5686">
        <v>1.0000000337312001</v>
      </c>
    </row>
    <row r="5687" spans="1:40" x14ac:dyDescent="0.25">
      <c r="A5687" t="str">
        <f>"20190304164757677"</f>
        <v>20190304164757677</v>
      </c>
      <c r="B5687" t="str">
        <f>"1551689277664944"</f>
        <v>1551689277664944</v>
      </c>
      <c r="C5687" t="s">
        <v>40</v>
      </c>
      <c r="D5687">
        <v>4.7548339999999998</v>
      </c>
      <c r="E5687">
        <v>0.52790059999999905</v>
      </c>
      <c r="F5687" t="s">
        <v>53</v>
      </c>
      <c r="G5687">
        <v>-192.57</v>
      </c>
      <c r="H5687" s="1">
        <v>-5.7389729999999999E-6</v>
      </c>
      <c r="I5687">
        <v>-42.289679999999997</v>
      </c>
      <c r="J5687">
        <v>-194.60339999999999</v>
      </c>
      <c r="K5687">
        <v>1.119567</v>
      </c>
      <c r="L5687">
        <v>-49.187649999999998</v>
      </c>
      <c r="M5687">
        <v>0.51293089999999997</v>
      </c>
      <c r="N5687">
        <v>-1.1290909999999999E-2</v>
      </c>
      <c r="O5687">
        <v>0.8583556</v>
      </c>
      <c r="P5687">
        <v>0.21432760000000001</v>
      </c>
      <c r="Q5687">
        <v>0.41529830000000001</v>
      </c>
      <c r="R5687">
        <v>0.88407639999999998</v>
      </c>
      <c r="S5687">
        <v>1.0335080000000001</v>
      </c>
      <c r="T5687">
        <v>-0.52968000000000004</v>
      </c>
      <c r="U5687">
        <v>3.389526</v>
      </c>
      <c r="V5687">
        <v>-0.27877259999999998</v>
      </c>
      <c r="W5687">
        <v>0.41907109999999897</v>
      </c>
      <c r="X5687">
        <v>0.86409799999999903</v>
      </c>
      <c r="Y5687">
        <v>-0.2419452</v>
      </c>
      <c r="Z5687">
        <v>-0.1074203</v>
      </c>
      <c r="AA5687">
        <v>0.9643254</v>
      </c>
      <c r="AB5687">
        <v>31</v>
      </c>
      <c r="AC5687">
        <v>2.0333999999999999</v>
      </c>
      <c r="AD5687">
        <v>-1.1195727389729999</v>
      </c>
      <c r="AE5687">
        <v>6.8979699999999999</v>
      </c>
      <c r="AF5687">
        <v>-1.75048990817846</v>
      </c>
      <c r="AG5687">
        <v>-1.1195727389729999</v>
      </c>
      <c r="AH5687">
        <v>6.7995502853405396</v>
      </c>
      <c r="AI5687">
        <v>99.059808839198695</v>
      </c>
      <c r="AJ5687">
        <v>104.436849227121</v>
      </c>
      <c r="AK5687">
        <v>7.1099607677792998</v>
      </c>
      <c r="AL5687">
        <v>65.224045327439697</v>
      </c>
      <c r="AM5687">
        <v>107.880576958557</v>
      </c>
      <c r="AN5687">
        <v>1.0000000514849801</v>
      </c>
    </row>
    <row r="5688" spans="1:40" x14ac:dyDescent="0.25">
      <c r="A5688" t="str">
        <f>"20190304164757703"</f>
        <v>20190304164757703</v>
      </c>
      <c r="B5688" t="str">
        <f>"1551689277695200"</f>
        <v>1551689277695200</v>
      </c>
      <c r="C5688" t="s">
        <v>40</v>
      </c>
      <c r="D5688">
        <v>4.7467969999999999</v>
      </c>
      <c r="E5688">
        <v>0.52830769999999905</v>
      </c>
      <c r="F5688" t="s">
        <v>53</v>
      </c>
      <c r="G5688">
        <v>-192.49850000000001</v>
      </c>
      <c r="H5688" s="1">
        <v>-5.8119640000000003E-6</v>
      </c>
      <c r="I5688">
        <v>-42.10566</v>
      </c>
      <c r="J5688">
        <v>-194.4332</v>
      </c>
      <c r="K5688">
        <v>1.119275</v>
      </c>
      <c r="L5688">
        <v>-48.879390000000001</v>
      </c>
      <c r="M5688">
        <v>0.50266219999999995</v>
      </c>
      <c r="N5688">
        <v>-1.118125E-2</v>
      </c>
      <c r="O5688">
        <v>0.86441060000000003</v>
      </c>
      <c r="P5688">
        <v>0.20837320000000001</v>
      </c>
      <c r="Q5688">
        <v>0.41492699999999999</v>
      </c>
      <c r="R5688">
        <v>0.88567269999999898</v>
      </c>
      <c r="S5688">
        <v>1.010788</v>
      </c>
      <c r="T5688">
        <v>-0.53763559999999999</v>
      </c>
      <c r="U5688">
        <v>3.4008790000000002</v>
      </c>
      <c r="V5688">
        <v>-0.27405180000000001</v>
      </c>
      <c r="W5688">
        <v>0.41890559999999899</v>
      </c>
      <c r="X5688">
        <v>0.86568679999999998</v>
      </c>
      <c r="Y5688">
        <v>-0.23727680000000001</v>
      </c>
      <c r="Z5688">
        <v>-0.1103497</v>
      </c>
      <c r="AA5688">
        <v>0.96515419999999996</v>
      </c>
      <c r="AB5688">
        <v>31</v>
      </c>
      <c r="AC5688">
        <v>1.9346999999999901</v>
      </c>
      <c r="AD5688">
        <v>-1.1192808119640001</v>
      </c>
      <c r="AE5688">
        <v>6.7737299999999996</v>
      </c>
      <c r="AF5688">
        <v>-1.6899689426231399</v>
      </c>
      <c r="AG5688">
        <v>-1.1192808119640001</v>
      </c>
      <c r="AH5688">
        <v>6.6600818369567802</v>
      </c>
      <c r="AI5688">
        <v>99.251975364384904</v>
      </c>
      <c r="AJ5688">
        <v>104.238067956637</v>
      </c>
      <c r="AK5688">
        <v>6.9617149207665197</v>
      </c>
      <c r="AL5688">
        <v>65.234486319430005</v>
      </c>
      <c r="AM5688">
        <v>107.566304817503</v>
      </c>
      <c r="AN5688">
        <v>0.99999996324441898</v>
      </c>
    </row>
    <row r="5689" spans="1:40" x14ac:dyDescent="0.25">
      <c r="A5689" t="str">
        <f>"20190304164757726"</f>
        <v>20190304164757726</v>
      </c>
      <c r="B5689" t="str">
        <f>"1551689277714720"</f>
        <v>1551689277714720</v>
      </c>
      <c r="C5689" t="s">
        <v>40</v>
      </c>
      <c r="D5689">
        <v>4.7471459999999999</v>
      </c>
      <c r="E5689">
        <v>0.52800279999999999</v>
      </c>
      <c r="F5689" t="s">
        <v>53</v>
      </c>
      <c r="G5689">
        <v>-192.416</v>
      </c>
      <c r="H5689" s="1">
        <v>-5.8985450000000001E-6</v>
      </c>
      <c r="I5689">
        <v>-41.888260000000002</v>
      </c>
      <c r="J5689">
        <v>-194.2859</v>
      </c>
      <c r="K5689">
        <v>1.119046</v>
      </c>
      <c r="L5689">
        <v>-48.606479999999998</v>
      </c>
      <c r="M5689">
        <v>0.49383110000000002</v>
      </c>
      <c r="N5689">
        <v>-1.108874E-2</v>
      </c>
      <c r="O5689">
        <v>0.86948719999999902</v>
      </c>
      <c r="P5689">
        <v>0.20429659999999999</v>
      </c>
      <c r="Q5689">
        <v>0.413823</v>
      </c>
      <c r="R5689">
        <v>0.88713779999999998</v>
      </c>
      <c r="S5689">
        <v>0.98434449999999996</v>
      </c>
      <c r="T5689">
        <v>-0.54619149999999905</v>
      </c>
      <c r="U5689">
        <v>3.4115600000000001</v>
      </c>
      <c r="V5689">
        <v>-0.26919539999999997</v>
      </c>
      <c r="W5689">
        <v>0.41798370000000001</v>
      </c>
      <c r="X5689">
        <v>0.86765400000000004</v>
      </c>
      <c r="Y5689">
        <v>-0.2351857</v>
      </c>
      <c r="Z5689">
        <v>-0.11319510000000001</v>
      </c>
      <c r="AA5689">
        <v>0.96533650000000004</v>
      </c>
      <c r="AB5689">
        <v>31</v>
      </c>
      <c r="AC5689">
        <v>1.8698999999999999</v>
      </c>
      <c r="AD5689">
        <v>-1.119051898545</v>
      </c>
      <c r="AE5689">
        <v>6.7182199999999996</v>
      </c>
      <c r="AF5689">
        <v>-1.64944169102567</v>
      </c>
      <c r="AG5689">
        <v>-1.119051898545</v>
      </c>
      <c r="AH5689">
        <v>6.5954011716747898</v>
      </c>
      <c r="AI5689">
        <v>99.347190038694507</v>
      </c>
      <c r="AJ5689">
        <v>104.04107876590299</v>
      </c>
      <c r="AK5689">
        <v>6.8900110057285104</v>
      </c>
      <c r="AL5689">
        <v>65.292644667702405</v>
      </c>
      <c r="AM5689">
        <v>107.236849519573</v>
      </c>
      <c r="AN5689">
        <v>1.00000000028142</v>
      </c>
    </row>
    <row r="5690" spans="1:40" x14ac:dyDescent="0.25">
      <c r="A5690" t="str">
        <f>"20190304164757746"</f>
        <v>20190304164757746</v>
      </c>
      <c r="B5690" t="str">
        <f>"1551689277735216"</f>
        <v>1551689277735216</v>
      </c>
      <c r="C5690" t="s">
        <v>40</v>
      </c>
      <c r="D5690">
        <v>4.7187060000000001</v>
      </c>
      <c r="E5690">
        <v>0.51171429999999996</v>
      </c>
      <c r="F5690" t="s">
        <v>53</v>
      </c>
      <c r="G5690">
        <v>-192.32689999999999</v>
      </c>
      <c r="H5690" s="1">
        <v>-5.9997950000000002E-6</v>
      </c>
      <c r="I5690">
        <v>-41.636830000000003</v>
      </c>
      <c r="J5690">
        <v>-194.15110000000001</v>
      </c>
      <c r="K5690">
        <v>1.1188450000000001</v>
      </c>
      <c r="L5690">
        <v>-48.350949999999997</v>
      </c>
      <c r="M5690">
        <v>0.48578840000000001</v>
      </c>
      <c r="N5690">
        <v>-1.100569E-2</v>
      </c>
      <c r="O5690">
        <v>0.87400719999999998</v>
      </c>
      <c r="P5690">
        <v>0.2003685</v>
      </c>
      <c r="Q5690">
        <v>0.4134081</v>
      </c>
      <c r="R5690">
        <v>0.88822639999999997</v>
      </c>
      <c r="S5690">
        <v>0.9603119</v>
      </c>
      <c r="T5690">
        <v>-0.54853750000000001</v>
      </c>
      <c r="U5690">
        <v>3.416382</v>
      </c>
      <c r="V5690">
        <v>-0.26489879999999999</v>
      </c>
      <c r="W5690">
        <v>0.41771809999999998</v>
      </c>
      <c r="X5690">
        <v>0.86910309999999902</v>
      </c>
      <c r="Y5690">
        <v>-0.2329087</v>
      </c>
      <c r="Z5690">
        <v>-0.1147468</v>
      </c>
      <c r="AA5690">
        <v>0.96570529999999999</v>
      </c>
      <c r="AB5690">
        <v>31</v>
      </c>
      <c r="AC5690">
        <v>1.82420000000001</v>
      </c>
      <c r="AD5690">
        <v>-1.118850999795</v>
      </c>
      <c r="AE5690">
        <v>6.7141200000000003</v>
      </c>
      <c r="AF5690">
        <v>-1.6253464762010099</v>
      </c>
      <c r="AG5690">
        <v>-1.118850999795</v>
      </c>
      <c r="AH5690">
        <v>6.5844955256275197</v>
      </c>
      <c r="AI5690">
        <v>99.367732039544805</v>
      </c>
      <c r="AJ5690">
        <v>103.865955568335</v>
      </c>
      <c r="AK5690">
        <v>6.8738024451136397</v>
      </c>
      <c r="AL5690">
        <v>65.309394580999395</v>
      </c>
      <c r="AM5690">
        <v>106.95099068817601</v>
      </c>
      <c r="AN5690">
        <v>0.99999999186932897</v>
      </c>
    </row>
    <row r="5691" spans="1:40" x14ac:dyDescent="0.25">
      <c r="A5691" t="str">
        <f>"20190304164757789"</f>
        <v>20190304164757789</v>
      </c>
      <c r="B5691" t="str">
        <f>"1551689277784992"</f>
        <v>1551689277784992</v>
      </c>
      <c r="C5691" t="s">
        <v>40</v>
      </c>
      <c r="D5691">
        <v>4.7069199999999896</v>
      </c>
      <c r="E5691">
        <v>0.51167299999999905</v>
      </c>
      <c r="F5691" t="s">
        <v>42</v>
      </c>
      <c r="G5691">
        <v>-192.01570000000001</v>
      </c>
      <c r="H5691" s="1">
        <v>-9.8765009999999992E-7</v>
      </c>
      <c r="I5691">
        <v>-39.358809999999998</v>
      </c>
      <c r="J5691">
        <v>-193.88650000000001</v>
      </c>
      <c r="K5691">
        <v>1.118465</v>
      </c>
      <c r="L5691">
        <v>-47.834009999999999</v>
      </c>
      <c r="M5691">
        <v>0.47018169999999998</v>
      </c>
      <c r="N5691">
        <v>-1.0825380000000001E-2</v>
      </c>
      <c r="O5691">
        <v>0.88250319999999904</v>
      </c>
      <c r="P5691">
        <v>0.19513820000000001</v>
      </c>
      <c r="Q5691">
        <v>0.41184670000000001</v>
      </c>
      <c r="R5691">
        <v>0.89011419999999997</v>
      </c>
      <c r="S5691">
        <v>0.80557250000000002</v>
      </c>
      <c r="T5691">
        <v>-0.42207929999999999</v>
      </c>
      <c r="U5691">
        <v>3.392242</v>
      </c>
      <c r="V5691">
        <v>-0.25441970000000003</v>
      </c>
      <c r="W5691">
        <v>0.41647909999999999</v>
      </c>
      <c r="X5691">
        <v>0.87282059999999995</v>
      </c>
      <c r="Y5691">
        <v>-0.2543531</v>
      </c>
      <c r="Z5691">
        <v>-8.8671070000000005E-2</v>
      </c>
      <c r="AA5691">
        <v>0.96303780000000005</v>
      </c>
      <c r="AB5691">
        <v>31</v>
      </c>
      <c r="AC5691">
        <v>1.8708</v>
      </c>
      <c r="AD5691">
        <v>-1.1184659876501</v>
      </c>
      <c r="AE5691">
        <v>8.4751999999999992</v>
      </c>
      <c r="AF5691">
        <v>-2.2959063420589398</v>
      </c>
      <c r="AG5691">
        <v>-1.1184659876501</v>
      </c>
      <c r="AH5691">
        <v>8.2229411320272394</v>
      </c>
      <c r="AI5691">
        <v>97.463649953902902</v>
      </c>
      <c r="AJ5691">
        <v>105.600128795652</v>
      </c>
      <c r="AK5691">
        <v>8.6103956330601896</v>
      </c>
      <c r="AL5691">
        <v>65.387503274170598</v>
      </c>
      <c r="AM5691">
        <v>106.250949610147</v>
      </c>
      <c r="AN5691">
        <v>1.00000001213463</v>
      </c>
    </row>
    <row r="5692" spans="1:40" x14ac:dyDescent="0.25">
      <c r="A5692" t="str">
        <f>"20190304164757810"</f>
        <v>20190304164757810</v>
      </c>
      <c r="B5692" t="str">
        <f>"1551689277804512"</f>
        <v>1551689277804512</v>
      </c>
      <c r="C5692" t="s">
        <v>40</v>
      </c>
      <c r="D5692">
        <v>4.6701220000000001</v>
      </c>
      <c r="E5692">
        <v>0.51369129999999996</v>
      </c>
      <c r="F5692" t="s">
        <v>42</v>
      </c>
      <c r="G5692">
        <v>-191.8458</v>
      </c>
      <c r="H5692" s="1">
        <v>-1.144537E-6</v>
      </c>
      <c r="I5692">
        <v>-38.887749999999997</v>
      </c>
      <c r="J5692">
        <v>-193.75800000000001</v>
      </c>
      <c r="K5692">
        <v>1.118277</v>
      </c>
      <c r="L5692">
        <v>-47.575499999999998</v>
      </c>
      <c r="M5692">
        <v>0.46266689999999999</v>
      </c>
      <c r="N5692">
        <v>-1.073208E-2</v>
      </c>
      <c r="O5692">
        <v>0.88646719999999901</v>
      </c>
      <c r="P5692">
        <v>0.19239400000000001</v>
      </c>
      <c r="Q5692">
        <v>0.41170099999999998</v>
      </c>
      <c r="R5692">
        <v>0.89077879999999998</v>
      </c>
      <c r="S5692">
        <v>0.77485660000000001</v>
      </c>
      <c r="T5692">
        <v>-0.42469109999999999</v>
      </c>
      <c r="U5692">
        <v>3.396973</v>
      </c>
      <c r="V5692">
        <v>-0.24950800000000001</v>
      </c>
      <c r="W5692">
        <v>0.41646870000000002</v>
      </c>
      <c r="X5692">
        <v>0.87424230000000003</v>
      </c>
      <c r="Y5692">
        <v>-0.25472149999999999</v>
      </c>
      <c r="Z5692">
        <v>-8.9980829999999998E-2</v>
      </c>
      <c r="AA5692">
        <v>0.96281899999999998</v>
      </c>
      <c r="AB5692">
        <v>31</v>
      </c>
      <c r="AC5692">
        <v>1.9121999999999799</v>
      </c>
      <c r="AD5692">
        <v>-1.118278144537</v>
      </c>
      <c r="AE5692">
        <v>8.6877499999999994</v>
      </c>
      <c r="AF5692">
        <v>-2.2884021345677401</v>
      </c>
      <c r="AG5692">
        <v>-1.118278144537</v>
      </c>
      <c r="AH5692">
        <v>8.4530287265320894</v>
      </c>
      <c r="AI5692">
        <v>97.277088657144105</v>
      </c>
      <c r="AJ5692">
        <v>105.148006728342</v>
      </c>
      <c r="AK5692">
        <v>8.8284214324883692</v>
      </c>
      <c r="AL5692">
        <v>65.388158631124497</v>
      </c>
      <c r="AM5692">
        <v>105.92870071376601</v>
      </c>
      <c r="AN5692">
        <v>1.00000000962649</v>
      </c>
    </row>
    <row r="5693" spans="1:40" x14ac:dyDescent="0.25">
      <c r="A5693" t="str">
        <f>"20190304164757833"</f>
        <v>20190304164757833</v>
      </c>
      <c r="B5693" t="str">
        <f>"1551689277825008"</f>
        <v>1551689277825008</v>
      </c>
      <c r="C5693" t="s">
        <v>40</v>
      </c>
      <c r="D5693">
        <v>4.6337469999999996</v>
      </c>
      <c r="E5693">
        <v>0.51482470000000002</v>
      </c>
      <c r="F5693" t="s">
        <v>42</v>
      </c>
      <c r="G5693">
        <v>-191.19030000000001</v>
      </c>
      <c r="H5693" s="1">
        <v>-2.0361580000000002E-6</v>
      </c>
      <c r="I5693">
        <v>-36.402790000000003</v>
      </c>
      <c r="J5693">
        <v>-193.619</v>
      </c>
      <c r="K5693">
        <v>1.118066</v>
      </c>
      <c r="L5693">
        <v>-47.28989</v>
      </c>
      <c r="M5693">
        <v>0.45459149999999998</v>
      </c>
      <c r="N5693">
        <v>-1.0630250000000001E-2</v>
      </c>
      <c r="O5693">
        <v>0.8906366</v>
      </c>
      <c r="P5693">
        <v>0.1882788</v>
      </c>
      <c r="Q5693">
        <v>0.41182489999999999</v>
      </c>
      <c r="R5693">
        <v>0.89160039999999996</v>
      </c>
      <c r="S5693">
        <v>0.77140810000000004</v>
      </c>
      <c r="T5693">
        <v>-0.33595320000000001</v>
      </c>
      <c r="U5693">
        <v>3.3565059999999902</v>
      </c>
      <c r="V5693">
        <v>-0.2453408</v>
      </c>
      <c r="W5693">
        <v>0.41671449999999999</v>
      </c>
      <c r="X5693">
        <v>0.87530390000000002</v>
      </c>
      <c r="Y5693">
        <v>-0.24401890000000001</v>
      </c>
      <c r="Z5693">
        <v>-7.1008660000000001E-2</v>
      </c>
      <c r="AA5693">
        <v>0.96716729999999995</v>
      </c>
      <c r="AB5693">
        <v>31</v>
      </c>
      <c r="AC5693">
        <v>2.4287000000000201</v>
      </c>
      <c r="AD5693">
        <v>-1.118068036158</v>
      </c>
      <c r="AE5693">
        <v>10.887099999999901</v>
      </c>
      <c r="AF5693">
        <v>-2.7585374793225799</v>
      </c>
      <c r="AG5693">
        <v>-1.118068036158</v>
      </c>
      <c r="AH5693">
        <v>10.6936910132825</v>
      </c>
      <c r="AI5693">
        <v>95.780918213590496</v>
      </c>
      <c r="AJ5693">
        <v>104.464644091767</v>
      </c>
      <c r="AK5693">
        <v>11.100208675780101</v>
      </c>
      <c r="AL5693">
        <v>65.372666793996103</v>
      </c>
      <c r="AM5693">
        <v>105.65776658360799</v>
      </c>
      <c r="AN5693">
        <v>1.00000000000505</v>
      </c>
    </row>
    <row r="5694" spans="1:40" x14ac:dyDescent="0.25">
      <c r="A5694" t="str">
        <f>"20190304164757856"</f>
        <v>20190304164757856</v>
      </c>
      <c r="B5694" t="str">
        <f>"1551689277844528"</f>
        <v>1551689277844528</v>
      </c>
      <c r="C5694" t="s">
        <v>40</v>
      </c>
      <c r="D5694">
        <v>4.6492300000000002</v>
      </c>
      <c r="E5694">
        <v>0.51598440000000001</v>
      </c>
      <c r="F5694" t="s">
        <v>42</v>
      </c>
      <c r="G5694">
        <v>-191.58199999999999</v>
      </c>
      <c r="H5694" s="1">
        <v>-1.3333330000000001E-6</v>
      </c>
      <c r="I5694">
        <v>-38.284019999999998</v>
      </c>
      <c r="J5694">
        <v>-193.49039999999999</v>
      </c>
      <c r="K5694">
        <v>1.1178459999999999</v>
      </c>
      <c r="L5694">
        <v>-47.02008</v>
      </c>
      <c r="M5694">
        <v>0.44723819999999997</v>
      </c>
      <c r="N5694">
        <v>-1.052876E-2</v>
      </c>
      <c r="O5694">
        <v>0.89435290000000001</v>
      </c>
      <c r="P5694">
        <v>0.18476000000000001</v>
      </c>
      <c r="Q5694">
        <v>0.41133330000000001</v>
      </c>
      <c r="R5694">
        <v>0.892562999999999</v>
      </c>
      <c r="S5694">
        <v>0.76841740000000003</v>
      </c>
      <c r="T5694">
        <v>-0.42176770000000002</v>
      </c>
      <c r="U5694">
        <v>3.397278</v>
      </c>
      <c r="V5694">
        <v>-0.2414337</v>
      </c>
      <c r="W5694">
        <v>0.41634090000000001</v>
      </c>
      <c r="X5694">
        <v>0.87656719999999899</v>
      </c>
      <c r="Y5694">
        <v>-0.23972840000000001</v>
      </c>
      <c r="Z5694">
        <v>-9.1106500000000007E-2</v>
      </c>
      <c r="AA5694">
        <v>0.96655570000000002</v>
      </c>
      <c r="AB5694">
        <v>31</v>
      </c>
      <c r="AC5694">
        <v>1.9084000000000001</v>
      </c>
      <c r="AD5694">
        <v>-1.1178473333329999</v>
      </c>
      <c r="AE5694">
        <v>8.7360600000000002</v>
      </c>
      <c r="AF5694">
        <v>-2.1665805373785298</v>
      </c>
      <c r="AG5694">
        <v>-1.1178473333329999</v>
      </c>
      <c r="AH5694">
        <v>8.5337497296929605</v>
      </c>
      <c r="AI5694">
        <v>97.235753208047996</v>
      </c>
      <c r="AJ5694">
        <v>104.245485227687</v>
      </c>
      <c r="AK5694">
        <v>8.8751641300103099</v>
      </c>
      <c r="AL5694">
        <v>65.396212663849198</v>
      </c>
      <c r="AM5694">
        <v>105.399202091915</v>
      </c>
      <c r="AN5694">
        <v>1.0000000163121601</v>
      </c>
    </row>
    <row r="5695" spans="1:40" x14ac:dyDescent="0.25">
      <c r="A5695" t="str">
        <f>"20190304164757877"</f>
        <v>20190304164757877</v>
      </c>
      <c r="B5695" t="str">
        <f>"1551689277874784"</f>
        <v>1551689277874784</v>
      </c>
      <c r="C5695" t="s">
        <v>40</v>
      </c>
      <c r="D5695">
        <v>4.5881809999999996</v>
      </c>
      <c r="E5695">
        <v>0.5164436</v>
      </c>
      <c r="F5695" t="s">
        <v>42</v>
      </c>
      <c r="G5695">
        <v>-191.49950000000001</v>
      </c>
      <c r="H5695" s="1">
        <v>-1.373435E-6</v>
      </c>
      <c r="I5695">
        <v>-38.139360000000003</v>
      </c>
      <c r="J5695">
        <v>-193.36070000000001</v>
      </c>
      <c r="K5695">
        <v>1.1175980000000001</v>
      </c>
      <c r="L5695">
        <v>-46.74277</v>
      </c>
      <c r="M5695">
        <v>0.43995400000000001</v>
      </c>
      <c r="N5695">
        <v>-1.041853E-2</v>
      </c>
      <c r="O5695">
        <v>0.89795990000000003</v>
      </c>
      <c r="P5695">
        <v>0.18152850000000001</v>
      </c>
      <c r="Q5695">
        <v>0.41086220000000001</v>
      </c>
      <c r="R5695">
        <v>0.89344259999999998</v>
      </c>
      <c r="S5695">
        <v>0.76235959999999903</v>
      </c>
      <c r="T5695">
        <v>-0.42804239999999999</v>
      </c>
      <c r="U5695">
        <v>3.4005740000000002</v>
      </c>
      <c r="V5695">
        <v>-0.2373053</v>
      </c>
      <c r="W5695">
        <v>0.41599219999999998</v>
      </c>
      <c r="X5695">
        <v>0.87785919999999895</v>
      </c>
      <c r="Y5695">
        <v>-0.2337236</v>
      </c>
      <c r="Z5695">
        <v>-9.3340839999999994E-2</v>
      </c>
      <c r="AA5695">
        <v>0.96781240000000002</v>
      </c>
      <c r="AB5695">
        <v>31</v>
      </c>
      <c r="AC5695">
        <v>1.86119999999999</v>
      </c>
      <c r="AD5695">
        <v>-1.1175993734349901</v>
      </c>
      <c r="AE5695">
        <v>8.6034100000000002</v>
      </c>
      <c r="AF5695">
        <v>-2.0804001253475302</v>
      </c>
      <c r="AG5695">
        <v>-1.1175993734349901</v>
      </c>
      <c r="AH5695">
        <v>8.4092650329169008</v>
      </c>
      <c r="AI5695">
        <v>97.351214629755702</v>
      </c>
      <c r="AJ5695">
        <v>103.895617635419</v>
      </c>
      <c r="AK5695">
        <v>8.7345767748006704</v>
      </c>
      <c r="AL5695">
        <v>65.418185596058706</v>
      </c>
      <c r="AM5695">
        <v>105.126808656118</v>
      </c>
      <c r="AN5695">
        <v>1.0000000454467799</v>
      </c>
    </row>
    <row r="5696" spans="1:40" x14ac:dyDescent="0.25">
      <c r="A5696" t="str">
        <f>"20190304164757902"</f>
        <v>20190304164757902</v>
      </c>
      <c r="B5696" t="str">
        <f>"1551689277895280"</f>
        <v>1551689277895280</v>
      </c>
      <c r="C5696" t="s">
        <v>40</v>
      </c>
      <c r="D5696">
        <v>4.6041660000000002</v>
      </c>
      <c r="E5696">
        <v>0.51660509999999904</v>
      </c>
      <c r="F5696" t="s">
        <v>42</v>
      </c>
      <c r="G5696">
        <v>-191.37119999999999</v>
      </c>
      <c r="H5696" s="1">
        <v>-1.5046709999999901E-6</v>
      </c>
      <c r="I5696">
        <v>-37.75394</v>
      </c>
      <c r="J5696">
        <v>-193.22239999999999</v>
      </c>
      <c r="K5696">
        <v>1.117348</v>
      </c>
      <c r="L5696">
        <v>-46.440890000000003</v>
      </c>
      <c r="M5696">
        <v>0.43228689999999997</v>
      </c>
      <c r="N5696">
        <v>-1.0301380000000001E-2</v>
      </c>
      <c r="O5696">
        <v>0.90167730000000001</v>
      </c>
      <c r="P5696">
        <v>0.1764695</v>
      </c>
      <c r="Q5696">
        <v>0.41065210000000002</v>
      </c>
      <c r="R5696">
        <v>0.89455209999999996</v>
      </c>
      <c r="S5696">
        <v>0.75236510000000001</v>
      </c>
      <c r="T5696">
        <v>-0.42264099999999999</v>
      </c>
      <c r="U5696">
        <v>3.399292</v>
      </c>
      <c r="V5696">
        <v>-0.23457069999999999</v>
      </c>
      <c r="W5696">
        <v>0.41586810000000002</v>
      </c>
      <c r="X5696">
        <v>0.87865249999999995</v>
      </c>
      <c r="Y5696">
        <v>-0.2280652</v>
      </c>
      <c r="Z5696">
        <v>-9.2958280000000004E-2</v>
      </c>
      <c r="AA5696">
        <v>0.96919820000000001</v>
      </c>
      <c r="AB5696">
        <v>31</v>
      </c>
      <c r="AC5696">
        <v>1.8512</v>
      </c>
      <c r="AD5696">
        <v>-1.117349504671</v>
      </c>
      <c r="AE5696">
        <v>8.6869499999999995</v>
      </c>
      <c r="AF5696">
        <v>-2.0536799288746099</v>
      </c>
      <c r="AG5696">
        <v>-1.117349504671</v>
      </c>
      <c r="AH5696">
        <v>8.4990321226165193</v>
      </c>
      <c r="AI5696">
        <v>97.282360563494393</v>
      </c>
      <c r="AJ5696">
        <v>103.58438078189199</v>
      </c>
      <c r="AK5696">
        <v>8.8147386908018106</v>
      </c>
      <c r="AL5696">
        <v>65.426001986939198</v>
      </c>
      <c r="AM5696">
        <v>104.947449607942</v>
      </c>
      <c r="AN5696">
        <v>0.99999995282617304</v>
      </c>
    </row>
    <row r="5697" spans="1:40" x14ac:dyDescent="0.25">
      <c r="A5697" t="str">
        <f>"20190304164757925"</f>
        <v>20190304164757925</v>
      </c>
      <c r="B5697" t="str">
        <f>"1551689277914800"</f>
        <v>1551689277914800</v>
      </c>
      <c r="C5697" t="s">
        <v>40</v>
      </c>
      <c r="D5697">
        <v>4.6181710000000002</v>
      </c>
      <c r="E5697">
        <v>0.5169241</v>
      </c>
      <c r="F5697" t="s">
        <v>42</v>
      </c>
      <c r="G5697">
        <v>-191.25880000000001</v>
      </c>
      <c r="H5697" s="1">
        <v>-1.6438390000000001E-6</v>
      </c>
      <c r="I5697">
        <v>-37.359810000000003</v>
      </c>
      <c r="J5697">
        <v>-193.08760000000001</v>
      </c>
      <c r="K5697">
        <v>1.117108</v>
      </c>
      <c r="L5697">
        <v>-46.141199999999998</v>
      </c>
      <c r="M5697">
        <v>0.4249561</v>
      </c>
      <c r="N5697">
        <v>-1.018699E-2</v>
      </c>
      <c r="O5697">
        <v>0.90515659999999998</v>
      </c>
      <c r="P5697">
        <v>0.1709263</v>
      </c>
      <c r="Q5697">
        <v>0.41050779999999998</v>
      </c>
      <c r="R5697">
        <v>0.89569390000000004</v>
      </c>
      <c r="S5697">
        <v>0.73530580000000001</v>
      </c>
      <c r="T5697">
        <v>-0.4184233</v>
      </c>
      <c r="U5697">
        <v>3.400665</v>
      </c>
      <c r="V5697">
        <v>-0.2326636</v>
      </c>
      <c r="W5697">
        <v>0.41578749999999998</v>
      </c>
      <c r="X5697">
        <v>0.87919760000000002</v>
      </c>
      <c r="Y5697">
        <v>-0.22488259999999999</v>
      </c>
      <c r="Z5697">
        <v>-9.2700039999999997E-2</v>
      </c>
      <c r="AA5697">
        <v>0.9699662</v>
      </c>
      <c r="AB5697">
        <v>31</v>
      </c>
      <c r="AC5697">
        <v>1.8288</v>
      </c>
      <c r="AD5697">
        <v>-1.117109643839</v>
      </c>
      <c r="AE5697">
        <v>8.78139</v>
      </c>
      <c r="AF5697">
        <v>-2.0447475969443998</v>
      </c>
      <c r="AG5697">
        <v>-1.117109643839</v>
      </c>
      <c r="AH5697">
        <v>8.5928661901427503</v>
      </c>
      <c r="AI5697">
        <v>97.208093294130904</v>
      </c>
      <c r="AJ5697">
        <v>103.38509623785799</v>
      </c>
      <c r="AK5697">
        <v>8.9031610146771101</v>
      </c>
      <c r="AL5697">
        <v>65.431081304520205</v>
      </c>
      <c r="AM5697">
        <v>104.822510586714</v>
      </c>
      <c r="AN5697">
        <v>1.0000000078834801</v>
      </c>
    </row>
    <row r="5698" spans="1:40" x14ac:dyDescent="0.25">
      <c r="A5698" t="str">
        <f>"20190304164757967"</f>
        <v>20190304164757967</v>
      </c>
      <c r="B5698" t="str">
        <f>"1551689277954816"</f>
        <v>1551689277954816</v>
      </c>
      <c r="C5698" t="s">
        <v>40</v>
      </c>
      <c r="D5698">
        <v>4.5838179999999999</v>
      </c>
      <c r="E5698">
        <v>0.51711739999999995</v>
      </c>
      <c r="F5698" t="s">
        <v>42</v>
      </c>
      <c r="G5698">
        <v>-191.15440000000001</v>
      </c>
      <c r="H5698" s="1">
        <v>-1.770812E-6</v>
      </c>
      <c r="I5698">
        <v>-36.999040000000001</v>
      </c>
      <c r="J5698">
        <v>-192.8569</v>
      </c>
      <c r="K5698">
        <v>1.11666</v>
      </c>
      <c r="L5698">
        <v>-45.614780000000003</v>
      </c>
      <c r="M5698">
        <v>0.41286479999999998</v>
      </c>
      <c r="N5698">
        <v>-9.984761E-3</v>
      </c>
      <c r="O5698">
        <v>0.91073760000000004</v>
      </c>
      <c r="P5698">
        <v>0.1620374</v>
      </c>
      <c r="Q5698">
        <v>0.40948390000000001</v>
      </c>
      <c r="R5698">
        <v>0.89781219999999995</v>
      </c>
      <c r="S5698">
        <v>0.7195435</v>
      </c>
      <c r="T5698">
        <v>-0.4157766</v>
      </c>
      <c r="U5698">
        <v>3.4026179999999999</v>
      </c>
      <c r="V5698">
        <v>-0.22939799999999999</v>
      </c>
      <c r="W5698">
        <v>0.41488219999999998</v>
      </c>
      <c r="X5698">
        <v>0.8804824</v>
      </c>
      <c r="Y5698">
        <v>-0.21632850000000001</v>
      </c>
      <c r="Z5698">
        <v>-9.3309920000000005E-2</v>
      </c>
      <c r="AA5698">
        <v>0.97185149999999998</v>
      </c>
      <c r="AB5698">
        <v>31</v>
      </c>
      <c r="AC5698">
        <v>1.7024999999999799</v>
      </c>
      <c r="AD5698">
        <v>-1.1166617708119999</v>
      </c>
      <c r="AE5698">
        <v>8.61573999999999</v>
      </c>
      <c r="AF5698">
        <v>-1.9747792513231199</v>
      </c>
      <c r="AG5698">
        <v>-1.1166617708119999</v>
      </c>
      <c r="AH5698">
        <v>8.4139800762076806</v>
      </c>
      <c r="AI5698">
        <v>97.362065878134104</v>
      </c>
      <c r="AJ5698">
        <v>103.208377935364</v>
      </c>
      <c r="AK5698">
        <v>8.7144562265622199</v>
      </c>
      <c r="AL5698">
        <v>65.488100926658007</v>
      </c>
      <c r="AM5698">
        <v>104.603017243297</v>
      </c>
      <c r="AN5698">
        <v>0.99999996949529901</v>
      </c>
    </row>
    <row r="5699" spans="1:40" x14ac:dyDescent="0.25">
      <c r="A5699" t="str">
        <f>"20190304164757989"</f>
        <v>20190304164757989</v>
      </c>
      <c r="B5699" t="str">
        <f>"1551689277985074"</f>
        <v>1551689277985074</v>
      </c>
      <c r="C5699" t="s">
        <v>40</v>
      </c>
      <c r="D5699">
        <v>4.5805360000000004</v>
      </c>
      <c r="E5699">
        <v>0.4860101</v>
      </c>
      <c r="F5699" t="s">
        <v>42</v>
      </c>
      <c r="G5699">
        <v>-191.0318</v>
      </c>
      <c r="H5699" s="1">
        <v>-1.9288489999999999E-6</v>
      </c>
      <c r="I5699">
        <v>-36.55462</v>
      </c>
      <c r="J5699">
        <v>-192.73159999999999</v>
      </c>
      <c r="K5699">
        <v>1.116409</v>
      </c>
      <c r="L5699">
        <v>-45.321869999999997</v>
      </c>
      <c r="M5699">
        <v>0.40655079999999999</v>
      </c>
      <c r="N5699">
        <v>-9.8743540000000001E-3</v>
      </c>
      <c r="O5699">
        <v>0.91357480000000002</v>
      </c>
      <c r="P5699">
        <v>0.1565378</v>
      </c>
      <c r="Q5699">
        <v>0.40869820000000001</v>
      </c>
      <c r="R5699">
        <v>0.89914499999999997</v>
      </c>
      <c r="S5699">
        <v>0.68676759999999903</v>
      </c>
      <c r="T5699">
        <v>-0.42017690000000002</v>
      </c>
      <c r="U5699">
        <v>3.4091490000000002</v>
      </c>
      <c r="V5699">
        <v>-0.228577</v>
      </c>
      <c r="W5699">
        <v>0.41414889999999999</v>
      </c>
      <c r="X5699">
        <v>0.88104099999999996</v>
      </c>
      <c r="Y5699">
        <v>-0.21893219999999999</v>
      </c>
      <c r="Z5699">
        <v>-9.4825670000000001E-2</v>
      </c>
      <c r="AA5699">
        <v>0.97112140000000002</v>
      </c>
      <c r="AB5699">
        <v>31</v>
      </c>
      <c r="AC5699">
        <v>1.69979999999998</v>
      </c>
      <c r="AD5699">
        <v>-1.1164109288490001</v>
      </c>
      <c r="AE5699">
        <v>8.7672500000000007</v>
      </c>
      <c r="AF5699">
        <v>-1.9805841314346799</v>
      </c>
      <c r="AG5699">
        <v>-1.1164109288490001</v>
      </c>
      <c r="AH5699">
        <v>8.5671332470995996</v>
      </c>
      <c r="AI5699">
        <v>97.235817024300701</v>
      </c>
      <c r="AJ5699">
        <v>103.017177682332</v>
      </c>
      <c r="AK5699">
        <v>8.8636820191895307</v>
      </c>
      <c r="AL5699">
        <v>65.534269907232101</v>
      </c>
      <c r="AM5699">
        <v>104.54414123420101</v>
      </c>
      <c r="AN5699">
        <v>0.99999999999060496</v>
      </c>
    </row>
    <row r="5700" spans="1:40" x14ac:dyDescent="0.25">
      <c r="A5700" t="str">
        <f>"20190304164758010"</f>
        <v>20190304164758010</v>
      </c>
      <c r="B5700" t="str">
        <f>"1551689278004592"</f>
        <v>1551689278004592</v>
      </c>
      <c r="C5700" t="s">
        <v>40</v>
      </c>
      <c r="D5700">
        <v>4.5724400000000003</v>
      </c>
      <c r="E5700">
        <v>0.48183490000000001</v>
      </c>
      <c r="F5700" t="s">
        <v>42</v>
      </c>
      <c r="G5700">
        <v>-191.33439999999999</v>
      </c>
      <c r="H5700" s="1">
        <v>-3.15327E-6</v>
      </c>
      <c r="I5700">
        <v>-33.888150000000003</v>
      </c>
      <c r="J5700">
        <v>-192.61930000000001</v>
      </c>
      <c r="K5700">
        <v>1.1161799999999999</v>
      </c>
      <c r="L5700">
        <v>-45.05518</v>
      </c>
      <c r="M5700">
        <v>0.40106229999999998</v>
      </c>
      <c r="N5700">
        <v>-9.7770400000000007E-3</v>
      </c>
      <c r="O5700">
        <v>0.9159986</v>
      </c>
      <c r="P5700">
        <v>0.1522271</v>
      </c>
      <c r="Q5700">
        <v>0.4079238</v>
      </c>
      <c r="R5700">
        <v>0.90023609999999898</v>
      </c>
      <c r="S5700">
        <v>0.41737370000000001</v>
      </c>
      <c r="T5700">
        <v>-0.33349030000000002</v>
      </c>
      <c r="U5700">
        <v>3.4154360000000001</v>
      </c>
      <c r="V5700">
        <v>-0.22741220000000001</v>
      </c>
      <c r="W5700">
        <v>0.4134313</v>
      </c>
      <c r="X5700">
        <v>0.8816792</v>
      </c>
      <c r="Y5700">
        <v>-0.28716239999999998</v>
      </c>
      <c r="Z5700">
        <v>-7.3223469999999999E-2</v>
      </c>
      <c r="AA5700">
        <v>0.95507909999999996</v>
      </c>
      <c r="AB5700">
        <v>31</v>
      </c>
      <c r="AC5700">
        <v>1.2849000000000199</v>
      </c>
      <c r="AD5700">
        <v>-1.11618315327</v>
      </c>
      <c r="AE5700">
        <v>11.167029999999899</v>
      </c>
      <c r="AF5700">
        <v>-3.2696269469306101</v>
      </c>
      <c r="AG5700">
        <v>-1.11618315327</v>
      </c>
      <c r="AH5700">
        <v>10.639911260810001</v>
      </c>
      <c r="AI5700">
        <v>95.726328520199004</v>
      </c>
      <c r="AJ5700">
        <v>107.082105635858</v>
      </c>
      <c r="AK5700">
        <v>11.1867795563178</v>
      </c>
      <c r="AL5700">
        <v>65.579432728861605</v>
      </c>
      <c r="AM5700">
        <v>104.463109562429</v>
      </c>
      <c r="AN5700">
        <v>0.999999980120584</v>
      </c>
    </row>
    <row r="5701" spans="1:40" x14ac:dyDescent="0.25">
      <c r="A5701" t="str">
        <f>"20190304164758035"</f>
        <v>20190304164758035</v>
      </c>
      <c r="B5701" t="str">
        <f>"1551689278025088"</f>
        <v>1551689278025088</v>
      </c>
      <c r="C5701" t="s">
        <v>40</v>
      </c>
      <c r="D5701">
        <v>4.5540219999999998</v>
      </c>
      <c r="E5701">
        <v>0.48050870000000001</v>
      </c>
      <c r="F5701" t="s">
        <v>42</v>
      </c>
      <c r="G5701">
        <v>-191.3768</v>
      </c>
      <c r="H5701" s="1">
        <v>-3.3526019999999999E-6</v>
      </c>
      <c r="I5701">
        <v>-33.449829999999999</v>
      </c>
      <c r="J5701">
        <v>-192.48689999999999</v>
      </c>
      <c r="K5701">
        <v>1.1159030000000001</v>
      </c>
      <c r="L5701">
        <v>-44.736049999999999</v>
      </c>
      <c r="M5701">
        <v>0.39483180000000001</v>
      </c>
      <c r="N5701">
        <v>-9.6600939999999993E-3</v>
      </c>
      <c r="O5701">
        <v>0.91870269999999998</v>
      </c>
      <c r="P5701">
        <v>0.14672839999999901</v>
      </c>
      <c r="Q5701">
        <v>0.40742299999999998</v>
      </c>
      <c r="R5701">
        <v>0.90137520000000004</v>
      </c>
      <c r="S5701">
        <v>0.36610409999999999</v>
      </c>
      <c r="T5701">
        <v>-0.32889030000000002</v>
      </c>
      <c r="U5701">
        <v>3.4195859999999998</v>
      </c>
      <c r="V5701">
        <v>-0.22660939999999999</v>
      </c>
      <c r="W5701">
        <v>0.4129893</v>
      </c>
      <c r="X5701">
        <v>0.88209300000000002</v>
      </c>
      <c r="Y5701">
        <v>-0.29491020000000001</v>
      </c>
      <c r="Z5701">
        <v>-7.2400229999999996E-2</v>
      </c>
      <c r="AA5701">
        <v>0.95277820000000002</v>
      </c>
      <c r="AB5701">
        <v>31</v>
      </c>
      <c r="AC5701">
        <v>1.1100999999999801</v>
      </c>
      <c r="AD5701">
        <v>-1.1159063526019899</v>
      </c>
      <c r="AE5701">
        <v>11.28622</v>
      </c>
      <c r="AF5701">
        <v>-3.4035131052375198</v>
      </c>
      <c r="AG5701">
        <v>-1.1159063526019899</v>
      </c>
      <c r="AH5701">
        <v>10.703849660187201</v>
      </c>
      <c r="AI5701">
        <v>95.6737874462885</v>
      </c>
      <c r="AJ5701">
        <v>107.639151729586</v>
      </c>
      <c r="AK5701">
        <v>11.287229332001299</v>
      </c>
      <c r="AL5701">
        <v>65.607243755162798</v>
      </c>
      <c r="AM5701">
        <v>104.40770290879399</v>
      </c>
      <c r="AN5701">
        <v>1.0000000213659199</v>
      </c>
    </row>
    <row r="5702" spans="1:40" x14ac:dyDescent="0.25">
      <c r="A5702" t="str">
        <f>"20190304164758056"</f>
        <v>20190304164758056</v>
      </c>
      <c r="B5702" t="str">
        <f>"1551689278044608"</f>
        <v>1551689278044608</v>
      </c>
      <c r="C5702" t="s">
        <v>40</v>
      </c>
      <c r="D5702">
        <v>4.5158019999999999</v>
      </c>
      <c r="E5702">
        <v>0.48049429999999999</v>
      </c>
      <c r="F5702" t="s">
        <v>42</v>
      </c>
      <c r="G5702">
        <v>-191.34719999999999</v>
      </c>
      <c r="H5702" s="1">
        <v>-3.5059089999999998E-6</v>
      </c>
      <c r="I5702">
        <v>-33.074060000000003</v>
      </c>
      <c r="J5702">
        <v>-192.3759</v>
      </c>
      <c r="K5702">
        <v>1.115659</v>
      </c>
      <c r="L5702">
        <v>-44.464260000000003</v>
      </c>
      <c r="M5702">
        <v>0.38981959999999999</v>
      </c>
      <c r="N5702">
        <v>-9.5629770000000003E-3</v>
      </c>
      <c r="O5702">
        <v>0.92084160000000004</v>
      </c>
      <c r="P5702">
        <v>0.14291289999999901</v>
      </c>
      <c r="Q5702">
        <v>0.4063602</v>
      </c>
      <c r="R5702">
        <v>0.90246729999999997</v>
      </c>
      <c r="S5702">
        <v>0.33442690000000003</v>
      </c>
      <c r="T5702">
        <v>-0.32742450000000001</v>
      </c>
      <c r="U5702">
        <v>3.4218139999999999</v>
      </c>
      <c r="V5702">
        <v>-0.22547159999999999</v>
      </c>
      <c r="W5702">
        <v>0.4119855</v>
      </c>
      <c r="X5702">
        <v>0.88285360000000002</v>
      </c>
      <c r="Y5702">
        <v>-0.29849369999999997</v>
      </c>
      <c r="Z5702">
        <v>-7.2339390000000003E-2</v>
      </c>
      <c r="AA5702">
        <v>0.95166620000000002</v>
      </c>
      <c r="AB5702">
        <v>32</v>
      </c>
      <c r="AC5702">
        <v>1.0287000000000099</v>
      </c>
      <c r="AD5702">
        <v>-1.115662505909</v>
      </c>
      <c r="AE5702">
        <v>11.3902</v>
      </c>
      <c r="AF5702">
        <v>-3.46008540881303</v>
      </c>
      <c r="AG5702">
        <v>-1.115662505909</v>
      </c>
      <c r="AH5702">
        <v>10.7874173415659</v>
      </c>
      <c r="AI5702">
        <v>95.624389281242699</v>
      </c>
      <c r="AJ5702">
        <v>107.783745952603</v>
      </c>
      <c r="AK5702">
        <v>11.383552466804399</v>
      </c>
      <c r="AL5702">
        <v>65.670377682926201</v>
      </c>
      <c r="AM5702">
        <v>104.326507740802</v>
      </c>
      <c r="AN5702">
        <v>0.999999986824884</v>
      </c>
    </row>
    <row r="5703" spans="1:40" x14ac:dyDescent="0.25">
      <c r="A5703" t="str">
        <f>"20190304164758080"</f>
        <v>20190304164758080</v>
      </c>
      <c r="B5703" t="str">
        <f>"1551689278074865"</f>
        <v>1551689278074865</v>
      </c>
      <c r="C5703" t="s">
        <v>40</v>
      </c>
      <c r="D5703">
        <v>4.4912320000000001</v>
      </c>
      <c r="E5703">
        <v>0.4811551</v>
      </c>
      <c r="F5703" t="s">
        <v>42</v>
      </c>
      <c r="G5703">
        <v>-191.2978</v>
      </c>
      <c r="H5703" s="1">
        <v>-3.5753019999999999E-6</v>
      </c>
      <c r="I5703">
        <v>-32.88167</v>
      </c>
      <c r="J5703">
        <v>-192.245</v>
      </c>
      <c r="K5703">
        <v>1.1154109999999999</v>
      </c>
      <c r="L5703">
        <v>-44.138849999999998</v>
      </c>
      <c r="M5703">
        <v>0.38408759999999997</v>
      </c>
      <c r="N5703">
        <v>-9.4576739999999992E-3</v>
      </c>
      <c r="O5703">
        <v>0.92324819999999996</v>
      </c>
      <c r="P5703">
        <v>0.13852449999999999</v>
      </c>
      <c r="Q5703">
        <v>0.40614719999999999</v>
      </c>
      <c r="R5703">
        <v>0.90324720000000003</v>
      </c>
      <c r="S5703">
        <v>0.3185577</v>
      </c>
      <c r="T5703">
        <v>-0.32963540000000002</v>
      </c>
      <c r="U5703">
        <v>3.4222109999999999</v>
      </c>
      <c r="V5703">
        <v>-0.22406519999999999</v>
      </c>
      <c r="W5703">
        <v>0.4118269</v>
      </c>
      <c r="X5703">
        <v>0.8832856</v>
      </c>
      <c r="Y5703">
        <v>-0.296952299999999</v>
      </c>
      <c r="Z5703">
        <v>-7.3347549999999997E-2</v>
      </c>
      <c r="AA5703">
        <v>0.95207109999999995</v>
      </c>
      <c r="AB5703">
        <v>32</v>
      </c>
      <c r="AC5703">
        <v>0.94720000000000903</v>
      </c>
      <c r="AD5703">
        <v>-1.1154145753019999</v>
      </c>
      <c r="AE5703">
        <v>11.2571799999999</v>
      </c>
      <c r="AF5703">
        <v>-3.4160941859232001</v>
      </c>
      <c r="AG5703">
        <v>-1.1154145753019999</v>
      </c>
      <c r="AH5703">
        <v>10.6536008018342</v>
      </c>
      <c r="AI5703">
        <v>95.693481909311004</v>
      </c>
      <c r="AJ5703">
        <v>107.77853147348</v>
      </c>
      <c r="AK5703">
        <v>11.243356225199699</v>
      </c>
      <c r="AL5703">
        <v>65.680351206358907</v>
      </c>
      <c r="AM5703">
        <v>104.23410883021801</v>
      </c>
      <c r="AN5703">
        <v>1.0000000302909999</v>
      </c>
    </row>
    <row r="5704" spans="1:40" x14ac:dyDescent="0.25">
      <c r="A5704" t="str">
        <f>"20190304164758104"</f>
        <v>20190304164758104</v>
      </c>
      <c r="B5704" t="str">
        <f>"1551689278095361"</f>
        <v>1551689278095361</v>
      </c>
      <c r="C5704" t="s">
        <v>40</v>
      </c>
      <c r="D5704">
        <v>4.5058030000000002</v>
      </c>
      <c r="E5704">
        <v>0.4817631</v>
      </c>
      <c r="F5704" t="s">
        <v>42</v>
      </c>
      <c r="G5704">
        <v>-191.2055</v>
      </c>
      <c r="H5704" s="1">
        <v>-3.699605E-6</v>
      </c>
      <c r="I5704">
        <v>-32.534709999999997</v>
      </c>
      <c r="J5704">
        <v>-192.12459999999999</v>
      </c>
      <c r="K5704">
        <v>1.1152280000000001</v>
      </c>
      <c r="L5704">
        <v>-43.834989999999998</v>
      </c>
      <c r="M5704">
        <v>0.37896340000000001</v>
      </c>
      <c r="N5704">
        <v>-9.3709550000000003E-3</v>
      </c>
      <c r="O5704">
        <v>0.92536419999999997</v>
      </c>
      <c r="P5704">
        <v>0.134772</v>
      </c>
      <c r="Q5704">
        <v>0.40589740000000002</v>
      </c>
      <c r="R5704">
        <v>0.90392689999999998</v>
      </c>
      <c r="S5704">
        <v>0.30656430000000001</v>
      </c>
      <c r="T5704">
        <v>-0.32895279999999999</v>
      </c>
      <c r="U5704">
        <v>3.4222410000000001</v>
      </c>
      <c r="V5704">
        <v>-0.22268089999999999</v>
      </c>
      <c r="W5704">
        <v>0.41162090000000001</v>
      </c>
      <c r="X5704">
        <v>0.88373159999999895</v>
      </c>
      <c r="Y5704">
        <v>-0.29497240000000002</v>
      </c>
      <c r="Z5704">
        <v>-7.3592790000000005E-2</v>
      </c>
      <c r="AA5704">
        <v>0.9526675</v>
      </c>
      <c r="AB5704">
        <v>32</v>
      </c>
      <c r="AC5704">
        <v>0.91909999999998604</v>
      </c>
      <c r="AD5704">
        <v>-1.115231699605</v>
      </c>
      <c r="AE5704">
        <v>11.300280000000001</v>
      </c>
      <c r="AF5704">
        <v>-3.3991514142141201</v>
      </c>
      <c r="AG5704">
        <v>-1.115231699605</v>
      </c>
      <c r="AH5704">
        <v>10.7021026706838</v>
      </c>
      <c r="AI5704">
        <v>95.671877569354706</v>
      </c>
      <c r="AJ5704">
        <v>107.620643679026</v>
      </c>
      <c r="AK5704">
        <v>11.284191315925799</v>
      </c>
      <c r="AL5704">
        <v>65.693303206696896</v>
      </c>
      <c r="AM5704">
        <v>104.142856957844</v>
      </c>
      <c r="AN5704">
        <v>1.0000000446900801</v>
      </c>
    </row>
    <row r="5705" spans="1:40" x14ac:dyDescent="0.25">
      <c r="A5705" t="str">
        <f>"20190304164758127"</f>
        <v>20190304164758127</v>
      </c>
      <c r="B5705" t="str">
        <f>"1551689278114881"</f>
        <v>1551689278114881</v>
      </c>
      <c r="C5705" t="s">
        <v>40</v>
      </c>
      <c r="D5705">
        <v>4.5063000000000004</v>
      </c>
      <c r="E5705">
        <v>0.48235739999999999</v>
      </c>
      <c r="F5705" t="s">
        <v>42</v>
      </c>
      <c r="G5705">
        <v>-191.1259</v>
      </c>
      <c r="H5705" s="1">
        <v>-3.7979629999999999E-6</v>
      </c>
      <c r="I5705">
        <v>-32.256019999999999</v>
      </c>
      <c r="J5705">
        <v>-192.00640000000001</v>
      </c>
      <c r="K5705">
        <v>1.1150610000000001</v>
      </c>
      <c r="L5705">
        <v>-43.532649999999997</v>
      </c>
      <c r="M5705">
        <v>0.37406460000000002</v>
      </c>
      <c r="N5705">
        <v>-9.2941780000000002E-3</v>
      </c>
      <c r="O5705">
        <v>0.92735610000000002</v>
      </c>
      <c r="P5705">
        <v>0.13167760000000001</v>
      </c>
      <c r="Q5705">
        <v>0.40607460000000001</v>
      </c>
      <c r="R5705">
        <v>0.90430330000000003</v>
      </c>
      <c r="S5705">
        <v>0.29522710000000002</v>
      </c>
      <c r="T5705">
        <v>-0.32967580000000002</v>
      </c>
      <c r="U5705">
        <v>3.422882</v>
      </c>
      <c r="V5705">
        <v>-0.2208329</v>
      </c>
      <c r="W5705">
        <v>0.41184029999999999</v>
      </c>
      <c r="X5705">
        <v>0.88409300000000002</v>
      </c>
      <c r="Y5705">
        <v>-0.29307169999999999</v>
      </c>
      <c r="Z5705">
        <v>-7.4145569999999994E-2</v>
      </c>
      <c r="AA5705">
        <v>0.95321109999999998</v>
      </c>
      <c r="AB5705">
        <v>32</v>
      </c>
      <c r="AC5705">
        <v>0.88050000000001205</v>
      </c>
      <c r="AD5705">
        <v>-1.115064797963</v>
      </c>
      <c r="AE5705">
        <v>11.2766299999999</v>
      </c>
      <c r="AF5705">
        <v>-3.3690555421847099</v>
      </c>
      <c r="AG5705">
        <v>-1.115064797963</v>
      </c>
      <c r="AH5705">
        <v>10.6834534360398</v>
      </c>
      <c r="AI5705">
        <v>95.684543631284399</v>
      </c>
      <c r="AJ5705">
        <v>107.502807848511</v>
      </c>
      <c r="AK5705">
        <v>11.257445628117001</v>
      </c>
      <c r="AL5705">
        <v>65.679508345769904</v>
      </c>
      <c r="AM5705">
        <v>104.024632441356</v>
      </c>
      <c r="AN5705">
        <v>1.0000000175377499</v>
      </c>
    </row>
    <row r="5706" spans="1:40" x14ac:dyDescent="0.25">
      <c r="A5706" t="str">
        <f>"20190304164758149"</f>
        <v>20190304164758149</v>
      </c>
      <c r="B5706" t="str">
        <f>"1551689278145136"</f>
        <v>1551689278145136</v>
      </c>
      <c r="C5706" t="s">
        <v>40</v>
      </c>
      <c r="D5706">
        <v>4.4569419999999997</v>
      </c>
      <c r="E5706">
        <v>0.48322690000000001</v>
      </c>
      <c r="F5706" t="s">
        <v>42</v>
      </c>
      <c r="G5706">
        <v>-191.02959999999999</v>
      </c>
      <c r="H5706" s="1">
        <v>-3.9398069999999999E-6</v>
      </c>
      <c r="I5706">
        <v>-31.865690000000001</v>
      </c>
      <c r="J5706">
        <v>-191.89789999999999</v>
      </c>
      <c r="K5706">
        <v>1.1149290000000001</v>
      </c>
      <c r="L5706">
        <v>-43.251309999999997</v>
      </c>
      <c r="M5706">
        <v>0.36965490000000001</v>
      </c>
      <c r="N5706">
        <v>-9.2304239999999992E-3</v>
      </c>
      <c r="O5706">
        <v>0.92912329999999999</v>
      </c>
      <c r="P5706">
        <v>0.12848219999999999</v>
      </c>
      <c r="Q5706">
        <v>0.4058234</v>
      </c>
      <c r="R5706">
        <v>0.90487550000000005</v>
      </c>
      <c r="S5706">
        <v>0.28654479999999999</v>
      </c>
      <c r="T5706">
        <v>-0.32711709999999999</v>
      </c>
      <c r="U5706">
        <v>3.4226380000000001</v>
      </c>
      <c r="V5706">
        <v>-0.21965760000000001</v>
      </c>
      <c r="W5706">
        <v>0.4116187</v>
      </c>
      <c r="X5706">
        <v>0.88448890000000002</v>
      </c>
      <c r="Y5706">
        <v>-0.29092590000000002</v>
      </c>
      <c r="Z5706">
        <v>-7.3853929999999998E-2</v>
      </c>
      <c r="AA5706">
        <v>0.95389089999999999</v>
      </c>
      <c r="AB5706">
        <v>32</v>
      </c>
      <c r="AC5706">
        <v>0.86830000000000496</v>
      </c>
      <c r="AD5706">
        <v>-1.114932939807</v>
      </c>
      <c r="AE5706">
        <v>11.3856199999999</v>
      </c>
      <c r="AF5706">
        <v>-3.37000835603002</v>
      </c>
      <c r="AG5706">
        <v>-1.114932939807</v>
      </c>
      <c r="AH5706">
        <v>10.7971425604867</v>
      </c>
      <c r="AI5706">
        <v>95.629574446192294</v>
      </c>
      <c r="AJ5706">
        <v>107.334207546697</v>
      </c>
      <c r="AK5706">
        <v>11.365664047975899</v>
      </c>
      <c r="AL5706">
        <v>65.693440745073104</v>
      </c>
      <c r="AM5706">
        <v>103.94691361026599</v>
      </c>
      <c r="AN5706">
        <v>1.0000000148253301</v>
      </c>
    </row>
    <row r="5707" spans="1:40" x14ac:dyDescent="0.25">
      <c r="A5707" t="str">
        <f>"20190304164758168"</f>
        <v>20190304164758168</v>
      </c>
      <c r="B5707" t="str">
        <f>"1551689278164657"</f>
        <v>1551689278164657</v>
      </c>
      <c r="C5707" t="s">
        <v>40</v>
      </c>
      <c r="D5707">
        <v>4.4998559999999896</v>
      </c>
      <c r="E5707">
        <v>0.48392360000000001</v>
      </c>
      <c r="F5707" t="s">
        <v>42</v>
      </c>
      <c r="G5707">
        <v>-190.9451</v>
      </c>
      <c r="H5707" s="1">
        <v>-4.0673110000000001E-6</v>
      </c>
      <c r="I5707">
        <v>-31.516069999999999</v>
      </c>
      <c r="J5707">
        <v>-191.7972</v>
      </c>
      <c r="K5707">
        <v>1.114824</v>
      </c>
      <c r="L5707">
        <v>-42.986759999999997</v>
      </c>
      <c r="M5707">
        <v>0.3656065</v>
      </c>
      <c r="N5707">
        <v>-9.1774730000000002E-3</v>
      </c>
      <c r="O5707">
        <v>0.93072429999999995</v>
      </c>
      <c r="P5707">
        <v>0.12607489999999999</v>
      </c>
      <c r="Q5707">
        <v>0.40593059999999997</v>
      </c>
      <c r="R5707">
        <v>0.90516600000000003</v>
      </c>
      <c r="S5707">
        <v>0.27780149999999998</v>
      </c>
      <c r="T5707">
        <v>-0.3250885</v>
      </c>
      <c r="U5707">
        <v>3.4217219999999999</v>
      </c>
      <c r="V5707">
        <v>-0.21803149999999999</v>
      </c>
      <c r="W5707">
        <v>0.4117538</v>
      </c>
      <c r="X5707">
        <v>0.88482830000000001</v>
      </c>
      <c r="Y5707">
        <v>-0.28916199999999997</v>
      </c>
      <c r="Z5707">
        <v>-7.3668289999999997E-2</v>
      </c>
      <c r="AA5707">
        <v>0.9544414</v>
      </c>
      <c r="AB5707">
        <v>32</v>
      </c>
      <c r="AC5707">
        <v>0.85210000000000696</v>
      </c>
      <c r="AD5707">
        <v>-1.114828067311</v>
      </c>
      <c r="AE5707">
        <v>11.4706899999999</v>
      </c>
      <c r="AF5707">
        <v>-3.3691819479707701</v>
      </c>
      <c r="AG5707">
        <v>-1.114828067311</v>
      </c>
      <c r="AH5707">
        <v>10.8857854606568</v>
      </c>
      <c r="AI5707">
        <v>95.587619458903802</v>
      </c>
      <c r="AJ5707">
        <v>107.197446867384</v>
      </c>
      <c r="AK5707">
        <v>11.449652995337599</v>
      </c>
      <c r="AL5707">
        <v>65.684947127367394</v>
      </c>
      <c r="AM5707">
        <v>103.842546731097</v>
      </c>
      <c r="AN5707">
        <v>1.00000002364378</v>
      </c>
    </row>
    <row r="5708" spans="1:40" x14ac:dyDescent="0.25">
      <c r="A5708" t="str">
        <f>"20190304164758191"</f>
        <v>20190304164758191</v>
      </c>
      <c r="B5708" t="str">
        <f>"1551689278185153"</f>
        <v>1551689278185153</v>
      </c>
      <c r="C5708" t="s">
        <v>40</v>
      </c>
      <c r="D5708">
        <v>4.4841240000000004</v>
      </c>
      <c r="E5708">
        <v>0.48458309999999999</v>
      </c>
      <c r="F5708" t="s">
        <v>42</v>
      </c>
      <c r="G5708">
        <v>-190.86680000000001</v>
      </c>
      <c r="H5708" s="1">
        <v>-4.1789699999999997E-6</v>
      </c>
      <c r="I5708">
        <v>-31.184920000000002</v>
      </c>
      <c r="J5708">
        <v>-191.6849</v>
      </c>
      <c r="K5708">
        <v>1.1147309999999999</v>
      </c>
      <c r="L5708">
        <v>-42.68817</v>
      </c>
      <c r="M5708">
        <v>0.3611143</v>
      </c>
      <c r="N5708">
        <v>-9.1257149999999995E-3</v>
      </c>
      <c r="O5708">
        <v>0.93247690000000005</v>
      </c>
      <c r="P5708">
        <v>0.123558</v>
      </c>
      <c r="Q5708">
        <v>0.40612419999999999</v>
      </c>
      <c r="R5708">
        <v>0.90542619999999896</v>
      </c>
      <c r="S5708">
        <v>0.26974490000000001</v>
      </c>
      <c r="T5708">
        <v>-0.32322070000000003</v>
      </c>
      <c r="U5708">
        <v>3.4216920000000002</v>
      </c>
      <c r="V5708">
        <v>-0.2160918</v>
      </c>
      <c r="W5708">
        <v>0.41197460000000002</v>
      </c>
      <c r="X5708">
        <v>0.88520129999999997</v>
      </c>
      <c r="Y5708">
        <v>-0.28678009999999998</v>
      </c>
      <c r="Z5708">
        <v>-7.3527120000000001E-2</v>
      </c>
      <c r="AA5708">
        <v>0.95517059999999998</v>
      </c>
      <c r="AB5708">
        <v>32</v>
      </c>
      <c r="AC5708">
        <v>0.81809999999998695</v>
      </c>
      <c r="AD5708">
        <v>-1.11473517897</v>
      </c>
      <c r="AE5708">
        <v>11.5032499999999</v>
      </c>
      <c r="AF5708">
        <v>-3.3598768314152401</v>
      </c>
      <c r="AG5708">
        <v>-1.11473517897</v>
      </c>
      <c r="AH5708">
        <v>10.9203667376237</v>
      </c>
      <c r="AI5708">
        <v>95.572433360127803</v>
      </c>
      <c r="AJ5708">
        <v>107.101597780137</v>
      </c>
      <c r="AK5708">
        <v>11.4798003695932</v>
      </c>
      <c r="AL5708">
        <v>65.671064433888503</v>
      </c>
      <c r="AM5708">
        <v>103.718509507319</v>
      </c>
      <c r="AN5708">
        <v>1.0000000392970401</v>
      </c>
    </row>
    <row r="5709" spans="1:40" x14ac:dyDescent="0.25">
      <c r="A5709" t="str">
        <f>"20190304164758212"</f>
        <v>20190304164758212</v>
      </c>
      <c r="B5709" t="str">
        <f>"1551689278204673"</f>
        <v>1551689278204673</v>
      </c>
      <c r="C5709" t="s">
        <v>40</v>
      </c>
      <c r="D5709">
        <v>4.4641419999999998</v>
      </c>
      <c r="E5709">
        <v>0.48492190000000002</v>
      </c>
      <c r="F5709" t="s">
        <v>42</v>
      </c>
      <c r="G5709">
        <v>-190.7884</v>
      </c>
      <c r="H5709" s="1">
        <v>-4.2938819999999996E-6</v>
      </c>
      <c r="I5709">
        <v>-30.8064</v>
      </c>
      <c r="J5709">
        <v>-191.57660000000001</v>
      </c>
      <c r="K5709">
        <v>1.114662</v>
      </c>
      <c r="L5709">
        <v>-42.395870000000002</v>
      </c>
      <c r="M5709">
        <v>0.35676999999999998</v>
      </c>
      <c r="N5709">
        <v>-9.0828079999999995E-3</v>
      </c>
      <c r="O5709">
        <v>0.93414810000000004</v>
      </c>
      <c r="P5709">
        <v>0.12118180000000001</v>
      </c>
      <c r="Q5709">
        <v>0.40719959999999999</v>
      </c>
      <c r="R5709">
        <v>0.90526430000000002</v>
      </c>
      <c r="S5709">
        <v>0.25820920000000003</v>
      </c>
      <c r="T5709">
        <v>-0.3210595</v>
      </c>
      <c r="U5709">
        <v>3.4221189999999999</v>
      </c>
      <c r="V5709">
        <v>-0.21405740000000001</v>
      </c>
      <c r="W5709">
        <v>0.41306700000000002</v>
      </c>
      <c r="X5709">
        <v>0.88518639999999904</v>
      </c>
      <c r="Y5709">
        <v>-0.2855318</v>
      </c>
      <c r="Z5709">
        <v>-7.3262179999999996E-2</v>
      </c>
      <c r="AA5709">
        <v>0.95556490000000005</v>
      </c>
      <c r="AB5709">
        <v>32</v>
      </c>
      <c r="AC5709">
        <v>0.788200000000017</v>
      </c>
      <c r="AD5709">
        <v>-1.114666293882</v>
      </c>
      <c r="AE5709">
        <v>11.58947</v>
      </c>
      <c r="AF5709">
        <v>-3.3676113901356701</v>
      </c>
      <c r="AG5709">
        <v>-1.114666293882</v>
      </c>
      <c r="AH5709">
        <v>11.006598517609699</v>
      </c>
      <c r="AI5709">
        <v>95.531339691600905</v>
      </c>
      <c r="AJ5709">
        <v>107.01216981397</v>
      </c>
      <c r="AK5709">
        <v>11.564103871443599</v>
      </c>
      <c r="AL5709">
        <v>65.602353317482198</v>
      </c>
      <c r="AM5709">
        <v>103.594390849227</v>
      </c>
      <c r="AN5709">
        <v>0.99999993986435798</v>
      </c>
    </row>
    <row r="5710" spans="1:40" x14ac:dyDescent="0.25">
      <c r="A5710" t="str">
        <f>"20190304164758234"</f>
        <v>20190304164758234</v>
      </c>
      <c r="B5710" t="str">
        <f>"1551689278225169"</f>
        <v>1551689278225169</v>
      </c>
      <c r="C5710" t="s">
        <v>40</v>
      </c>
      <c r="D5710">
        <v>4.4645359999999998</v>
      </c>
      <c r="E5710">
        <v>0.49440699999999999</v>
      </c>
      <c r="F5710" t="s">
        <v>42</v>
      </c>
      <c r="G5710">
        <v>-190.70679999999999</v>
      </c>
      <c r="H5710" s="1">
        <v>-2.2683940000000001E-7</v>
      </c>
      <c r="I5710">
        <v>-30.32048</v>
      </c>
      <c r="J5710">
        <v>-191.46809999999999</v>
      </c>
      <c r="K5710">
        <v>1.1146039999999999</v>
      </c>
      <c r="L5710">
        <v>-42.099119999999999</v>
      </c>
      <c r="M5710">
        <v>0.35239239999999999</v>
      </c>
      <c r="N5710">
        <v>-9.0417750000000002E-3</v>
      </c>
      <c r="O5710">
        <v>0.93580870000000005</v>
      </c>
      <c r="P5710">
        <v>0.1184205</v>
      </c>
      <c r="Q5710">
        <v>0.40718500000000002</v>
      </c>
      <c r="R5710">
        <v>0.90563629999999995</v>
      </c>
      <c r="S5710">
        <v>0.2465668</v>
      </c>
      <c r="T5710">
        <v>-0.31597819999999999</v>
      </c>
      <c r="U5710">
        <v>3.4230649999999998</v>
      </c>
      <c r="V5710">
        <v>-0.2125631</v>
      </c>
      <c r="W5710">
        <v>0.41305740000000002</v>
      </c>
      <c r="X5710">
        <v>0.88555099999999998</v>
      </c>
      <c r="Y5710">
        <v>-0.28429529999999997</v>
      </c>
      <c r="Z5710">
        <v>-7.2233749999999999E-2</v>
      </c>
      <c r="AA5710">
        <v>0.95601179999999997</v>
      </c>
      <c r="AB5710">
        <v>32</v>
      </c>
      <c r="AC5710">
        <v>0.76130000000000497</v>
      </c>
      <c r="AD5710">
        <v>-1.1146042268393901</v>
      </c>
      <c r="AE5710">
        <v>11.778639999999999</v>
      </c>
      <c r="AF5710">
        <v>-3.4080216170194801</v>
      </c>
      <c r="AG5710">
        <v>-1.1146042268393901</v>
      </c>
      <c r="AH5710">
        <v>11.191491687747</v>
      </c>
      <c r="AI5710">
        <v>95.442389626645394</v>
      </c>
      <c r="AJ5710">
        <v>106.93648761804501</v>
      </c>
      <c r="AK5710">
        <v>11.7518696436554</v>
      </c>
      <c r="AL5710">
        <v>65.602959642506704</v>
      </c>
      <c r="AM5710">
        <v>103.497621185634</v>
      </c>
      <c r="AN5710">
        <v>1.00000003038868</v>
      </c>
    </row>
    <row r="5711" spans="1:40" x14ac:dyDescent="0.25">
      <c r="A5711" t="str">
        <f>"20190304164758259"</f>
        <v>20190304164758259</v>
      </c>
      <c r="B5711" t="str">
        <f>"1551689278255425"</f>
        <v>1551689278255425</v>
      </c>
      <c r="C5711" t="s">
        <v>40</v>
      </c>
      <c r="D5711">
        <v>4.4126110000000001</v>
      </c>
      <c r="E5711">
        <v>0.4952221</v>
      </c>
      <c r="F5711" t="s">
        <v>42</v>
      </c>
      <c r="G5711">
        <v>-190.3845</v>
      </c>
      <c r="H5711" s="1">
        <v>-2.0041429999999999E-7</v>
      </c>
      <c r="I5711">
        <v>-30.182169999999999</v>
      </c>
      <c r="J5711">
        <v>-191.35400000000001</v>
      </c>
      <c r="K5711">
        <v>1.1145750000000001</v>
      </c>
      <c r="L5711">
        <v>-41.781829999999999</v>
      </c>
      <c r="M5711">
        <v>0.34773310000000002</v>
      </c>
      <c r="N5711">
        <v>-9.0006289999999996E-3</v>
      </c>
      <c r="O5711">
        <v>0.93755040000000001</v>
      </c>
      <c r="P5711">
        <v>0.1160872</v>
      </c>
      <c r="Q5711">
        <v>0.4072675</v>
      </c>
      <c r="R5711">
        <v>0.90590119999999996</v>
      </c>
      <c r="S5711">
        <v>0.3105927</v>
      </c>
      <c r="T5711">
        <v>-0.31946639999999998</v>
      </c>
      <c r="U5711">
        <v>3.415619</v>
      </c>
      <c r="V5711">
        <v>-0.2103884</v>
      </c>
      <c r="W5711">
        <v>0.41314430000000002</v>
      </c>
      <c r="X5711">
        <v>0.88602969999999903</v>
      </c>
      <c r="Y5711">
        <v>-0.26152409999999998</v>
      </c>
      <c r="Z5711">
        <v>-7.3857409999999998E-2</v>
      </c>
      <c r="AA5711">
        <v>0.96236699999999997</v>
      </c>
      <c r="AB5711">
        <v>32</v>
      </c>
      <c r="AC5711">
        <v>0.96950000000001002</v>
      </c>
      <c r="AD5711">
        <v>-1.1145752004142999</v>
      </c>
      <c r="AE5711">
        <v>11.599659999999901</v>
      </c>
      <c r="AF5711">
        <v>-3.0963675947919498</v>
      </c>
      <c r="AG5711">
        <v>-1.1145752004142999</v>
      </c>
      <c r="AH5711">
        <v>11.1109743650134</v>
      </c>
      <c r="AI5711">
        <v>95.519408667835194</v>
      </c>
      <c r="AJ5711">
        <v>105.57190499383</v>
      </c>
      <c r="AK5711">
        <v>11.588076695441799</v>
      </c>
      <c r="AL5711">
        <v>65.597493107358105</v>
      </c>
      <c r="AM5711">
        <v>103.35754623985299</v>
      </c>
      <c r="AN5711">
        <v>1.00000006037956</v>
      </c>
    </row>
    <row r="5712" spans="1:40" x14ac:dyDescent="0.25">
      <c r="A5712" t="str">
        <f>"20190304164758280"</f>
        <v>20190304164758280</v>
      </c>
      <c r="B5712" t="str">
        <f>"1551689278274944"</f>
        <v>1551689278274944</v>
      </c>
      <c r="C5712" t="s">
        <v>40</v>
      </c>
      <c r="D5712">
        <v>4.4298039999999999</v>
      </c>
      <c r="E5712">
        <v>0.49584600000000001</v>
      </c>
      <c r="F5712" t="s">
        <v>42</v>
      </c>
      <c r="G5712">
        <v>-190.27959999999999</v>
      </c>
      <c r="H5712" s="1">
        <v>-3.1500099999999998E-7</v>
      </c>
      <c r="I5712">
        <v>-29.85005</v>
      </c>
      <c r="J5712">
        <v>-191.24789999999999</v>
      </c>
      <c r="K5712">
        <v>1.1145590000000001</v>
      </c>
      <c r="L5712">
        <v>-41.482669999999999</v>
      </c>
      <c r="M5712">
        <v>0.34334690000000001</v>
      </c>
      <c r="N5712">
        <v>-8.9661159999999997E-3</v>
      </c>
      <c r="O5712">
        <v>0.9391659</v>
      </c>
      <c r="P5712">
        <v>0.1141862</v>
      </c>
      <c r="Q5712">
        <v>0.40812300000000001</v>
      </c>
      <c r="R5712">
        <v>0.90575779999999995</v>
      </c>
      <c r="S5712">
        <v>0.30754090000000001</v>
      </c>
      <c r="T5712">
        <v>-0.31906370000000001</v>
      </c>
      <c r="U5712">
        <v>3.4156490000000002</v>
      </c>
      <c r="V5712">
        <v>-0.2079549</v>
      </c>
      <c r="W5712">
        <v>0.41400350000000002</v>
      </c>
      <c r="X5712">
        <v>0.88620309999999902</v>
      </c>
      <c r="Y5712">
        <v>-0.2578684</v>
      </c>
      <c r="Z5712">
        <v>-7.4055019999999999E-2</v>
      </c>
      <c r="AA5712">
        <v>0.96333780000000002</v>
      </c>
      <c r="AB5712">
        <v>32</v>
      </c>
      <c r="AC5712">
        <v>0.96829999999999905</v>
      </c>
      <c r="AD5712">
        <v>-1.114559315001</v>
      </c>
      <c r="AE5712">
        <v>11.632619999999999</v>
      </c>
      <c r="AF5712">
        <v>-3.0568839144955899</v>
      </c>
      <c r="AG5712">
        <v>-1.114559315001</v>
      </c>
      <c r="AH5712">
        <v>11.1561640811204</v>
      </c>
      <c r="AI5712">
        <v>95.503662300978505</v>
      </c>
      <c r="AJ5712">
        <v>105.323423830992</v>
      </c>
      <c r="AK5712">
        <v>11.620962900647999</v>
      </c>
      <c r="AL5712">
        <v>65.543423153395807</v>
      </c>
      <c r="AM5712">
        <v>103.205995631728</v>
      </c>
      <c r="AN5712">
        <v>1.00000003644793</v>
      </c>
    </row>
    <row r="5713" spans="1:40" x14ac:dyDescent="0.25">
      <c r="A5713" t="str">
        <f>"20190304164758304"</f>
        <v>20190304164758304</v>
      </c>
      <c r="B5713" t="str">
        <f>"1551689278294464"</f>
        <v>1551689278294464</v>
      </c>
      <c r="C5713" t="s">
        <v>40</v>
      </c>
      <c r="D5713">
        <v>4.4123109999999999</v>
      </c>
      <c r="E5713">
        <v>0.49614180000000002</v>
      </c>
      <c r="F5713" t="s">
        <v>42</v>
      </c>
      <c r="G5713">
        <v>-190.17939999999999</v>
      </c>
      <c r="H5713" s="1">
        <v>-4.1985650000000001E-7</v>
      </c>
      <c r="I5713">
        <v>-29.54344</v>
      </c>
      <c r="J5713">
        <v>-191.13589999999999</v>
      </c>
      <c r="K5713">
        <v>1.1145480000000001</v>
      </c>
      <c r="L5713">
        <v>-41.161799999999999</v>
      </c>
      <c r="M5713">
        <v>0.338642</v>
      </c>
      <c r="N5713">
        <v>-8.9319269999999992E-3</v>
      </c>
      <c r="O5713">
        <v>0.94087290000000001</v>
      </c>
      <c r="P5713">
        <v>0.1113677</v>
      </c>
      <c r="Q5713">
        <v>0.40807529999999997</v>
      </c>
      <c r="R5713">
        <v>0.90613010000000005</v>
      </c>
      <c r="S5713">
        <v>0.30584719999999999</v>
      </c>
      <c r="T5713">
        <v>-0.31901679999999999</v>
      </c>
      <c r="U5713">
        <v>3.4173279999999999</v>
      </c>
      <c r="V5713">
        <v>-0.20626530000000001</v>
      </c>
      <c r="W5713">
        <v>0.41395189999999998</v>
      </c>
      <c r="X5713">
        <v>0.88662199999999902</v>
      </c>
      <c r="Y5713">
        <v>-0.25355109999999997</v>
      </c>
      <c r="Z5713">
        <v>-7.4323199999999895E-2</v>
      </c>
      <c r="AA5713">
        <v>0.9644625</v>
      </c>
      <c r="AB5713">
        <v>32</v>
      </c>
      <c r="AC5713">
        <v>0.95650000000000501</v>
      </c>
      <c r="AD5713">
        <v>-1.1145484198565001</v>
      </c>
      <c r="AE5713">
        <v>11.6183599999999</v>
      </c>
      <c r="AF5713">
        <v>-3.0071536105631602</v>
      </c>
      <c r="AG5713">
        <v>-1.1145484198565001</v>
      </c>
      <c r="AH5713">
        <v>11.153807669838001</v>
      </c>
      <c r="AI5713">
        <v>95.510861573580698</v>
      </c>
      <c r="AJ5713">
        <v>105.08862881068799</v>
      </c>
      <c r="AK5713">
        <v>11.605714823028601</v>
      </c>
      <c r="AL5713">
        <v>65.546671607058499</v>
      </c>
      <c r="AM5713">
        <v>103.09643810134</v>
      </c>
      <c r="AN5713">
        <v>1.0000000601908401</v>
      </c>
    </row>
    <row r="5714" spans="1:40" x14ac:dyDescent="0.25">
      <c r="A5714" t="str">
        <f>"20190304164758327"</f>
        <v>20190304164758327</v>
      </c>
      <c r="B5714" t="str">
        <f>"1551689278314961"</f>
        <v>1551689278314961</v>
      </c>
      <c r="C5714" t="s">
        <v>40</v>
      </c>
      <c r="D5714">
        <v>4.3986039999999997</v>
      </c>
      <c r="E5714">
        <v>0.50000670000000003</v>
      </c>
      <c r="F5714" t="s">
        <v>42</v>
      </c>
      <c r="G5714">
        <v>-190.09440000000001</v>
      </c>
      <c r="H5714" s="1">
        <v>-5.0870679999999999E-7</v>
      </c>
      <c r="I5714">
        <v>-29.283650000000002</v>
      </c>
      <c r="J5714">
        <v>-191.02780000000001</v>
      </c>
      <c r="K5714">
        <v>1.1145350000000001</v>
      </c>
      <c r="L5714">
        <v>-40.847259999999999</v>
      </c>
      <c r="M5714">
        <v>0.33402769999999998</v>
      </c>
      <c r="N5714">
        <v>-8.8981110000000002E-3</v>
      </c>
      <c r="O5714">
        <v>0.94252130000000001</v>
      </c>
      <c r="P5714">
        <v>0.10787629999999999</v>
      </c>
      <c r="Q5714">
        <v>0.40726069999999998</v>
      </c>
      <c r="R5714">
        <v>0.90691860000000002</v>
      </c>
      <c r="S5714">
        <v>0.29971310000000001</v>
      </c>
      <c r="T5714">
        <v>-0.32075429999999999</v>
      </c>
      <c r="U5714">
        <v>3.418396</v>
      </c>
      <c r="V5714">
        <v>-0.2054417</v>
      </c>
      <c r="W5714">
        <v>0.41312219999999999</v>
      </c>
      <c r="X5714">
        <v>0.88719989999999904</v>
      </c>
      <c r="Y5714">
        <v>-0.25056030000000001</v>
      </c>
      <c r="Z5714">
        <v>-7.5045429999999996E-2</v>
      </c>
      <c r="AA5714">
        <v>0.96518789999999999</v>
      </c>
      <c r="AB5714">
        <v>32</v>
      </c>
      <c r="AC5714">
        <v>0.933400000000006</v>
      </c>
      <c r="AD5714">
        <v>-1.1145355087068001</v>
      </c>
      <c r="AE5714">
        <v>11.563609999999899</v>
      </c>
      <c r="AF5714">
        <v>-2.95565527525148</v>
      </c>
      <c r="AG5714">
        <v>-1.1145355087068001</v>
      </c>
      <c r="AH5714">
        <v>11.108645776920101</v>
      </c>
      <c r="AI5714">
        <v>95.537929815183404</v>
      </c>
      <c r="AJ5714">
        <v>104.899389117208</v>
      </c>
      <c r="AK5714">
        <v>11.549030197526299</v>
      </c>
      <c r="AL5714">
        <v>65.598880770851594</v>
      </c>
      <c r="AM5714">
        <v>103.037729888293</v>
      </c>
      <c r="AN5714">
        <v>0.999999953395868</v>
      </c>
    </row>
    <row r="5715" spans="1:40" x14ac:dyDescent="0.25">
      <c r="A5715" t="str">
        <f>"20190304164758350"</f>
        <v>20190304164758350</v>
      </c>
      <c r="B5715" t="str">
        <f>"1551689278345217"</f>
        <v>1551689278345217</v>
      </c>
      <c r="C5715" t="s">
        <v>40</v>
      </c>
      <c r="D5715">
        <v>4.2995650000000003</v>
      </c>
      <c r="E5715">
        <v>0.49619530000000001</v>
      </c>
      <c r="F5715" t="s">
        <v>42</v>
      </c>
      <c r="G5715">
        <v>-189.97669999999999</v>
      </c>
      <c r="H5715" s="1">
        <v>-3.478714E-7</v>
      </c>
      <c r="I5715">
        <v>-29.585519999999999</v>
      </c>
      <c r="J5715">
        <v>-190.92310000000001</v>
      </c>
      <c r="K5715">
        <v>1.11452</v>
      </c>
      <c r="L5715">
        <v>-40.538209999999999</v>
      </c>
      <c r="M5715">
        <v>0.32949079999999997</v>
      </c>
      <c r="N5715">
        <v>-8.8633730000000008E-3</v>
      </c>
      <c r="O5715">
        <v>0.94411719999999999</v>
      </c>
      <c r="P5715">
        <v>0.1038927</v>
      </c>
      <c r="Q5715">
        <v>0.40597490000000003</v>
      </c>
      <c r="R5715">
        <v>0.90795959999999998</v>
      </c>
      <c r="S5715">
        <v>0.31938169999999999</v>
      </c>
      <c r="T5715">
        <v>-0.33866299999999999</v>
      </c>
      <c r="U5715">
        <v>3.4219970000000002</v>
      </c>
      <c r="V5715">
        <v>-0.2052447</v>
      </c>
      <c r="W5715">
        <v>0.41181380000000001</v>
      </c>
      <c r="X5715">
        <v>0.88785360000000002</v>
      </c>
      <c r="Y5715">
        <v>-0.24051339999999999</v>
      </c>
      <c r="Z5715">
        <v>-7.9971360000000005E-2</v>
      </c>
      <c r="AA5715">
        <v>0.96734580000000003</v>
      </c>
      <c r="AB5715">
        <v>32</v>
      </c>
      <c r="AC5715">
        <v>0.94640000000001101</v>
      </c>
      <c r="AD5715">
        <v>-1.1145203478713901</v>
      </c>
      <c r="AE5715">
        <v>10.952689999999899</v>
      </c>
      <c r="AF5715">
        <v>-2.6877799875986401</v>
      </c>
      <c r="AG5715">
        <v>-1.1145203478713901</v>
      </c>
      <c r="AH5715">
        <v>10.5444962293424</v>
      </c>
      <c r="AI5715">
        <v>95.847950044376603</v>
      </c>
      <c r="AJ5715">
        <v>104.300110215598</v>
      </c>
      <c r="AK5715">
        <v>10.9385884646133</v>
      </c>
      <c r="AL5715">
        <v>65.681174185099806</v>
      </c>
      <c r="AM5715">
        <v>103.01639071520199</v>
      </c>
      <c r="AN5715">
        <v>1.00000000389074</v>
      </c>
    </row>
    <row r="5716" spans="1:40" x14ac:dyDescent="0.25">
      <c r="A5716" t="str">
        <f>"20190304164758371"</f>
        <v>20190304164758371</v>
      </c>
      <c r="B5716" t="str">
        <f>"1551689278364738"</f>
        <v>1551689278364738</v>
      </c>
      <c r="C5716" t="s">
        <v>40</v>
      </c>
      <c r="D5716">
        <v>4.287617</v>
      </c>
      <c r="E5716">
        <v>0.49174709999999999</v>
      </c>
      <c r="F5716" t="s">
        <v>42</v>
      </c>
      <c r="G5716">
        <v>-189.99180000000001</v>
      </c>
      <c r="H5716" s="1">
        <v>-6.1866250000000002E-7</v>
      </c>
      <c r="I5716">
        <v>-28.963660000000001</v>
      </c>
      <c r="J5716">
        <v>-190.82419999999999</v>
      </c>
      <c r="K5716">
        <v>1.11452</v>
      </c>
      <c r="L5716">
        <v>-40.241459999999996</v>
      </c>
      <c r="M5716">
        <v>0.325134599999999</v>
      </c>
      <c r="N5716">
        <v>-8.8291369999999904E-3</v>
      </c>
      <c r="O5716">
        <v>0.94562659999999998</v>
      </c>
      <c r="P5716">
        <v>9.9026069999999994E-2</v>
      </c>
      <c r="Q5716">
        <v>0.40475179999999999</v>
      </c>
      <c r="R5716">
        <v>0.90904890000000005</v>
      </c>
      <c r="S5716">
        <v>0.275177</v>
      </c>
      <c r="T5716">
        <v>-0.3293006</v>
      </c>
      <c r="U5716">
        <v>3.419861</v>
      </c>
      <c r="V5716">
        <v>-0.20607929999999999</v>
      </c>
      <c r="W5716">
        <v>0.41055370000000002</v>
      </c>
      <c r="X5716">
        <v>0.88824380000000003</v>
      </c>
      <c r="Y5716">
        <v>-0.2483679</v>
      </c>
      <c r="Z5716">
        <v>-7.7768390000000007E-2</v>
      </c>
      <c r="AA5716">
        <v>0.96553900000000004</v>
      </c>
      <c r="AB5716">
        <v>32</v>
      </c>
      <c r="AC5716">
        <v>0.83239999999997805</v>
      </c>
      <c r="AD5716">
        <v>-1.1145206186624901</v>
      </c>
      <c r="AE5716">
        <v>11.277799999999999</v>
      </c>
      <c r="AF5716">
        <v>-2.85207236473188</v>
      </c>
      <c r="AG5716">
        <v>-1.1145206186624901</v>
      </c>
      <c r="AH5716">
        <v>10.8304555145685</v>
      </c>
      <c r="AI5716">
        <v>95.682994139340394</v>
      </c>
      <c r="AJ5716">
        <v>104.753222586834</v>
      </c>
      <c r="AK5716">
        <v>11.255009535141999</v>
      </c>
      <c r="AL5716">
        <v>65.760378745615697</v>
      </c>
      <c r="AM5716">
        <v>103.06196354008701</v>
      </c>
      <c r="AN5716">
        <v>1.0000000333553001</v>
      </c>
    </row>
    <row r="5717" spans="1:40" x14ac:dyDescent="0.25">
      <c r="A5717" t="str">
        <f>"20190304164758392"</f>
        <v>20190304164758392</v>
      </c>
      <c r="B5717" t="str">
        <f>"1551689278385233"</f>
        <v>1551689278385233</v>
      </c>
      <c r="C5717" t="s">
        <v>40</v>
      </c>
      <c r="D5717">
        <v>4.2951079999999999</v>
      </c>
      <c r="E5717">
        <v>0.48914550000000001</v>
      </c>
      <c r="F5717" t="s">
        <v>42</v>
      </c>
      <c r="G5717">
        <v>-190.04400000000001</v>
      </c>
      <c r="H5717" s="1">
        <v>-9.3515639999999998E-7</v>
      </c>
      <c r="I5717">
        <v>-28.258299999999998</v>
      </c>
      <c r="J5717">
        <v>-190.73410000000001</v>
      </c>
      <c r="K5717">
        <v>1.1145069999999999</v>
      </c>
      <c r="L5717">
        <v>-39.967129999999997</v>
      </c>
      <c r="M5717">
        <v>0.3211077</v>
      </c>
      <c r="N5717">
        <v>-8.795733E-3</v>
      </c>
      <c r="O5717">
        <v>0.9470018</v>
      </c>
      <c r="P5717">
        <v>9.3900839999999999E-2</v>
      </c>
      <c r="Q5717">
        <v>0.40396359999999998</v>
      </c>
      <c r="R5717">
        <v>0.9099429</v>
      </c>
      <c r="S5717">
        <v>0.2225037</v>
      </c>
      <c r="T5717">
        <v>-0.31784469999999998</v>
      </c>
      <c r="U5717">
        <v>3.4174190000000002</v>
      </c>
      <c r="V5717">
        <v>-0.20741970000000001</v>
      </c>
      <c r="W5717">
        <v>0.40972009999999998</v>
      </c>
      <c r="X5717">
        <v>0.88831669999999996</v>
      </c>
      <c r="Y5717">
        <v>-0.25896190000000002</v>
      </c>
      <c r="Z5717">
        <v>-7.4952980000000002E-2</v>
      </c>
      <c r="AA5717">
        <v>0.96297500000000003</v>
      </c>
      <c r="AB5717">
        <v>33</v>
      </c>
      <c r="AC5717">
        <v>0.69010000000000105</v>
      </c>
      <c r="AD5717">
        <v>-1.1145079351564</v>
      </c>
      <c r="AE5717">
        <v>11.708830000000001</v>
      </c>
      <c r="AF5717">
        <v>-3.0785935879953299</v>
      </c>
      <c r="AG5717">
        <v>-1.1145079351564</v>
      </c>
      <c r="AH5717">
        <v>11.2091118354366</v>
      </c>
      <c r="AI5717">
        <v>95.476680209027606</v>
      </c>
      <c r="AJ5717">
        <v>105.357658369982</v>
      </c>
      <c r="AK5717">
        <v>11.6775020683747</v>
      </c>
      <c r="AL5717">
        <v>65.812747530871107</v>
      </c>
      <c r="AM5717">
        <v>103.14294062079399</v>
      </c>
      <c r="AN5717">
        <v>1.00000002589549</v>
      </c>
    </row>
    <row r="5718" spans="1:40" x14ac:dyDescent="0.25">
      <c r="A5718" t="str">
        <f>"20190304164758414"</f>
        <v>20190304164758414</v>
      </c>
      <c r="B5718" t="str">
        <f>"1551689278404753"</f>
        <v>1551689278404753</v>
      </c>
      <c r="C5718" t="s">
        <v>40</v>
      </c>
      <c r="D5718">
        <v>4.2502319999999996</v>
      </c>
      <c r="E5718">
        <v>0.487645</v>
      </c>
      <c r="F5718" t="s">
        <v>42</v>
      </c>
      <c r="G5718">
        <v>-190.07759999999999</v>
      </c>
      <c r="H5718" s="1">
        <v>-1.183592E-6</v>
      </c>
      <c r="I5718">
        <v>-27.700050000000001</v>
      </c>
      <c r="J5718">
        <v>-190.6326</v>
      </c>
      <c r="K5718">
        <v>1.114506</v>
      </c>
      <c r="L5718">
        <v>-39.653469999999999</v>
      </c>
      <c r="M5718">
        <v>0.3165037</v>
      </c>
      <c r="N5718">
        <v>-8.7569459999999998E-3</v>
      </c>
      <c r="O5718">
        <v>0.94855089999999997</v>
      </c>
      <c r="P5718">
        <v>8.8572479999999995E-2</v>
      </c>
      <c r="Q5718">
        <v>0.40287269999999997</v>
      </c>
      <c r="R5718">
        <v>0.91096029999999995</v>
      </c>
      <c r="S5718">
        <v>0.1828003</v>
      </c>
      <c r="T5718">
        <v>-0.31034050000000002</v>
      </c>
      <c r="U5718">
        <v>3.4158330000000001</v>
      </c>
      <c r="V5718">
        <v>-0.2084579</v>
      </c>
      <c r="W5718">
        <v>0.40858230000000001</v>
      </c>
      <c r="X5718">
        <v>0.88859769999999905</v>
      </c>
      <c r="Y5718">
        <v>-0.26538089999999998</v>
      </c>
      <c r="Z5718">
        <v>-7.3204259999999993E-2</v>
      </c>
      <c r="AA5718">
        <v>0.96136060000000001</v>
      </c>
      <c r="AB5718">
        <v>33</v>
      </c>
      <c r="AC5718">
        <v>0.55500000000000604</v>
      </c>
      <c r="AD5718">
        <v>-1.114507183592</v>
      </c>
      <c r="AE5718">
        <v>11.9534199999999</v>
      </c>
      <c r="AF5718">
        <v>-3.2289708322130002</v>
      </c>
      <c r="AG5718">
        <v>-1.114507183592</v>
      </c>
      <c r="AH5718">
        <v>11.4155036805465</v>
      </c>
      <c r="AI5718">
        <v>95.366905872783505</v>
      </c>
      <c r="AJ5718">
        <v>105.794000020274</v>
      </c>
      <c r="AK5718">
        <v>11.9156243301864</v>
      </c>
      <c r="AL5718">
        <v>65.884192655698897</v>
      </c>
      <c r="AM5718">
        <v>103.20239520491999</v>
      </c>
      <c r="AN5718">
        <v>1.0000000321954901</v>
      </c>
    </row>
    <row r="5719" spans="1:40" x14ac:dyDescent="0.25">
      <c r="A5719" t="str">
        <f>"20190304164758436"</f>
        <v>20190304164758436</v>
      </c>
      <c r="B5719" t="str">
        <f>"1551689278425249"</f>
        <v>1551689278425249</v>
      </c>
      <c r="C5719" t="s">
        <v>40</v>
      </c>
      <c r="D5719">
        <v>4.2409089999999896</v>
      </c>
      <c r="E5719">
        <v>0.48672880000000002</v>
      </c>
      <c r="F5719" t="s">
        <v>42</v>
      </c>
      <c r="G5719">
        <v>-190.08539999999999</v>
      </c>
      <c r="H5719" s="1">
        <v>-1.3725349999999999E-6</v>
      </c>
      <c r="I5719">
        <v>-27.26445</v>
      </c>
      <c r="J5719">
        <v>-190.53309999999999</v>
      </c>
      <c r="K5719">
        <v>1.1145130000000001</v>
      </c>
      <c r="L5719">
        <v>-39.340299999999999</v>
      </c>
      <c r="M5719">
        <v>0.31191089999999999</v>
      </c>
      <c r="N5719">
        <v>-8.7210340000000008E-3</v>
      </c>
      <c r="O5719">
        <v>0.95007129999999995</v>
      </c>
      <c r="P5719">
        <v>8.2783300000000004E-2</v>
      </c>
      <c r="Q5719">
        <v>0.40172380000000002</v>
      </c>
      <c r="R5719">
        <v>0.91201140000000003</v>
      </c>
      <c r="S5719">
        <v>0.15080260000000001</v>
      </c>
      <c r="T5719">
        <v>-0.30715679999999901</v>
      </c>
      <c r="U5719">
        <v>3.4143979999999998</v>
      </c>
      <c r="V5719">
        <v>-0.2099664</v>
      </c>
      <c r="W5719">
        <v>0.40738239999999998</v>
      </c>
      <c r="X5719">
        <v>0.88879339999999996</v>
      </c>
      <c r="Y5719">
        <v>-0.2696769</v>
      </c>
      <c r="Z5719">
        <v>-7.2590199999999994E-2</v>
      </c>
      <c r="AA5719">
        <v>0.96021089999999998</v>
      </c>
      <c r="AB5719">
        <v>33</v>
      </c>
      <c r="AC5719">
        <v>0.44769999999999699</v>
      </c>
      <c r="AD5719">
        <v>-1.114514372535</v>
      </c>
      <c r="AE5719">
        <v>12.075850000000001</v>
      </c>
      <c r="AF5719">
        <v>-3.3131866122645501</v>
      </c>
      <c r="AG5719">
        <v>-1.114514372535</v>
      </c>
      <c r="AH5719">
        <v>11.515052787420901</v>
      </c>
      <c r="AI5719">
        <v>95.314019743698395</v>
      </c>
      <c r="AJ5719">
        <v>106.051932869838</v>
      </c>
      <c r="AK5719">
        <v>12.0339431821563</v>
      </c>
      <c r="AL5719">
        <v>65.959493228839804</v>
      </c>
      <c r="AM5719">
        <v>103.291729676369</v>
      </c>
      <c r="AN5719">
        <v>1.00000000842114</v>
      </c>
    </row>
    <row r="5720" spans="1:40" x14ac:dyDescent="0.25">
      <c r="A5720" t="str">
        <f>"20190304164758460"</f>
        <v>20190304164758460</v>
      </c>
      <c r="B5720" t="str">
        <f>"1551689278454528"</f>
        <v>1551689278454528</v>
      </c>
      <c r="C5720" t="s">
        <v>40</v>
      </c>
      <c r="D5720">
        <v>4.2565809999999997</v>
      </c>
      <c r="E5720">
        <v>0.4863865</v>
      </c>
      <c r="F5720" t="s">
        <v>42</v>
      </c>
      <c r="G5720">
        <v>-190.08330000000001</v>
      </c>
      <c r="H5720" s="1">
        <v>-1.544838E-6</v>
      </c>
      <c r="I5720">
        <v>-26.861509999999999</v>
      </c>
      <c r="J5720">
        <v>-190.43209999999999</v>
      </c>
      <c r="K5720">
        <v>1.114509</v>
      </c>
      <c r="L5720">
        <v>-39.017209999999999</v>
      </c>
      <c r="M5720">
        <v>0.307174</v>
      </c>
      <c r="N5720">
        <v>-8.6882019999999904E-3</v>
      </c>
      <c r="O5720">
        <v>0.95161370000000001</v>
      </c>
      <c r="P5720">
        <v>7.6749650000000003E-2</v>
      </c>
      <c r="Q5720">
        <v>0.39995520000000001</v>
      </c>
      <c r="R5720">
        <v>0.91331549999999995</v>
      </c>
      <c r="S5720">
        <v>0.12298580000000001</v>
      </c>
      <c r="T5720">
        <v>-0.30478270000000002</v>
      </c>
      <c r="U5720">
        <v>3.4125369999999999</v>
      </c>
      <c r="V5720">
        <v>-0.21165539999999999</v>
      </c>
      <c r="W5720">
        <v>0.40556439999999999</v>
      </c>
      <c r="X5720">
        <v>0.88922409999999996</v>
      </c>
      <c r="Y5720">
        <v>-0.27266820000000003</v>
      </c>
      <c r="Z5720">
        <v>-7.2208430000000004E-2</v>
      </c>
      <c r="AA5720">
        <v>0.95939459999999999</v>
      </c>
      <c r="AB5720">
        <v>33</v>
      </c>
      <c r="AC5720">
        <v>0.34879999999998201</v>
      </c>
      <c r="AD5720">
        <v>-1.1145105448379999</v>
      </c>
      <c r="AE5720">
        <v>12.1557</v>
      </c>
      <c r="AF5720">
        <v>-3.3737826380185001</v>
      </c>
      <c r="AG5720">
        <v>-1.1145105448379999</v>
      </c>
      <c r="AH5720">
        <v>11.5778659507003</v>
      </c>
      <c r="AI5720">
        <v>95.280181109440704</v>
      </c>
      <c r="AJ5720">
        <v>106.246088477794</v>
      </c>
      <c r="AK5720">
        <v>12.110801914635401</v>
      </c>
      <c r="AL5720">
        <v>66.073499701949501</v>
      </c>
      <c r="AM5720">
        <v>103.388557141099</v>
      </c>
      <c r="AN5720">
        <v>0.99999999545866403</v>
      </c>
    </row>
    <row r="5721" spans="1:40" x14ac:dyDescent="0.25">
      <c r="A5721" t="str">
        <f>"20190304164758481"</f>
        <v>20190304164758481</v>
      </c>
      <c r="B5721" t="str">
        <f>"1551689278475024"</f>
        <v>1551689278475024</v>
      </c>
      <c r="C5721" t="s">
        <v>40</v>
      </c>
      <c r="D5721">
        <v>4.2279970000000002</v>
      </c>
      <c r="E5721">
        <v>0.48648639999999999</v>
      </c>
      <c r="F5721" t="s">
        <v>42</v>
      </c>
      <c r="G5721">
        <v>-190.06960000000001</v>
      </c>
      <c r="H5721" s="1">
        <v>-1.645377E-6</v>
      </c>
      <c r="I5721">
        <v>-26.61863</v>
      </c>
      <c r="J5721">
        <v>-190.33920000000001</v>
      </c>
      <c r="K5721">
        <v>1.1145160000000001</v>
      </c>
      <c r="L5721">
        <v>-38.715299999999999</v>
      </c>
      <c r="M5721">
        <v>0.30274959999999901</v>
      </c>
      <c r="N5721">
        <v>-8.6613409999999995E-3</v>
      </c>
      <c r="O5721">
        <v>0.95303079999999996</v>
      </c>
      <c r="P5721">
        <v>7.1631710000000001E-2</v>
      </c>
      <c r="Q5721">
        <v>0.39945239999999999</v>
      </c>
      <c r="R5721">
        <v>0.91395110000000002</v>
      </c>
      <c r="S5721">
        <v>9.9716189999999996E-2</v>
      </c>
      <c r="T5721">
        <v>-0.30658079999999999</v>
      </c>
      <c r="U5721">
        <v>3.4106139999999998</v>
      </c>
      <c r="V5721">
        <v>-0.2125843</v>
      </c>
      <c r="W5721">
        <v>0.40502129999999997</v>
      </c>
      <c r="X5721">
        <v>0.88925010000000004</v>
      </c>
      <c r="Y5721">
        <v>-0.27471669999999998</v>
      </c>
      <c r="Z5721">
        <v>-7.2914229999999997E-2</v>
      </c>
      <c r="AA5721">
        <v>0.95875659999999896</v>
      </c>
      <c r="AB5721">
        <v>33</v>
      </c>
      <c r="AC5721">
        <v>0.26959999999999601</v>
      </c>
      <c r="AD5721">
        <v>-1.114517645377</v>
      </c>
      <c r="AE5721">
        <v>12.09667</v>
      </c>
      <c r="AF5721">
        <v>-3.3768020651063102</v>
      </c>
      <c r="AG5721">
        <v>-1.114517645377</v>
      </c>
      <c r="AH5721">
        <v>11.5128745783413</v>
      </c>
      <c r="AI5721">
        <v>95.307140708629305</v>
      </c>
      <c r="AJ5721">
        <v>106.346761028727</v>
      </c>
      <c r="AK5721">
        <v>12.0495320583573</v>
      </c>
      <c r="AL5721">
        <v>66.107539079968106</v>
      </c>
      <c r="AM5721">
        <v>103.444808090667</v>
      </c>
      <c r="AN5721">
        <v>1.0000000392050901</v>
      </c>
    </row>
    <row r="5722" spans="1:40" x14ac:dyDescent="0.25">
      <c r="A5722" t="str">
        <f>"20190304164758506"</f>
        <v>20190304164758506</v>
      </c>
      <c r="B5722" t="str">
        <f>"1551689278494546"</f>
        <v>1551689278494546</v>
      </c>
      <c r="C5722" t="s">
        <v>40</v>
      </c>
      <c r="D5722">
        <v>4.214728</v>
      </c>
      <c r="E5722">
        <v>0.48673810000000001</v>
      </c>
      <c r="F5722" t="s">
        <v>42</v>
      </c>
      <c r="G5722">
        <v>-190.03630000000001</v>
      </c>
      <c r="H5722" s="1">
        <v>-1.784567E-6</v>
      </c>
      <c r="I5722">
        <v>-26.273499999999999</v>
      </c>
      <c r="J5722">
        <v>-190.23670000000001</v>
      </c>
      <c r="K5722">
        <v>1.1145350000000001</v>
      </c>
      <c r="L5722">
        <v>-38.376010000000001</v>
      </c>
      <c r="M5722">
        <v>0.29777789999999998</v>
      </c>
      <c r="N5722">
        <v>-8.6355540000000001E-3</v>
      </c>
      <c r="O5722">
        <v>0.95459609999999995</v>
      </c>
      <c r="P5722">
        <v>6.6684720000000003E-2</v>
      </c>
      <c r="Q5722">
        <v>0.39939000000000002</v>
      </c>
      <c r="R5722">
        <v>0.91435270000000002</v>
      </c>
      <c r="S5722">
        <v>8.3023070000000004E-2</v>
      </c>
      <c r="T5722">
        <v>-0.30541109999999999</v>
      </c>
      <c r="U5722">
        <v>3.409424</v>
      </c>
      <c r="V5722">
        <v>-0.21278720000000001</v>
      </c>
      <c r="W5722">
        <v>0.40492440000000002</v>
      </c>
      <c r="X5722">
        <v>0.88924559999999997</v>
      </c>
      <c r="Y5722">
        <v>-0.274387099999999</v>
      </c>
      <c r="Z5722">
        <v>-7.2868710000000003E-2</v>
      </c>
      <c r="AA5722">
        <v>0.9588544</v>
      </c>
      <c r="AB5722">
        <v>33</v>
      </c>
      <c r="AC5722">
        <v>0.20040000000000099</v>
      </c>
      <c r="AD5722">
        <v>-1.114536784567</v>
      </c>
      <c r="AE5722">
        <v>12.102510000000001</v>
      </c>
      <c r="AF5722">
        <v>-3.3839950727128598</v>
      </c>
      <c r="AG5722">
        <v>-1.114536784567</v>
      </c>
      <c r="AH5722">
        <v>11.5154827799679</v>
      </c>
      <c r="AI5722">
        <v>95.305240196310507</v>
      </c>
      <c r="AJ5722">
        <v>106.376205912663</v>
      </c>
      <c r="AK5722">
        <v>12.054043244987801</v>
      </c>
      <c r="AL5722">
        <v>66.113608979403395</v>
      </c>
      <c r="AM5722">
        <v>103.457239501949</v>
      </c>
      <c r="AN5722">
        <v>0.99999994965927796</v>
      </c>
    </row>
    <row r="5723" spans="1:40" x14ac:dyDescent="0.25">
      <c r="A5723" t="str">
        <f>"20190304164758527"</f>
        <v>20190304164758527</v>
      </c>
      <c r="B5723" t="str">
        <f>"1551689278515040"</f>
        <v>1551689278515040</v>
      </c>
      <c r="C5723" t="s">
        <v>40</v>
      </c>
      <c r="D5723">
        <v>4.1932609999999997</v>
      </c>
      <c r="E5723">
        <v>0.48701549999999999</v>
      </c>
      <c r="F5723" t="s">
        <v>42</v>
      </c>
      <c r="G5723">
        <v>-189.9967</v>
      </c>
      <c r="H5723" s="1">
        <v>-1.9626730000000002E-6</v>
      </c>
      <c r="I5723">
        <v>-25.833770000000001</v>
      </c>
      <c r="J5723">
        <v>-190.1473</v>
      </c>
      <c r="K5723">
        <v>1.1145480000000001</v>
      </c>
      <c r="L5723">
        <v>-38.074649999999998</v>
      </c>
      <c r="M5723">
        <v>0.29335450000000002</v>
      </c>
      <c r="N5723">
        <v>-8.6164120000000004E-3</v>
      </c>
      <c r="O5723">
        <v>0.95596490000000001</v>
      </c>
      <c r="P5723">
        <v>6.232116E-2</v>
      </c>
      <c r="Q5723">
        <v>0.39882909999999999</v>
      </c>
      <c r="R5723">
        <v>0.91490510000000003</v>
      </c>
      <c r="S5723">
        <v>6.5246579999999998E-2</v>
      </c>
      <c r="T5723">
        <v>-0.30289450000000001</v>
      </c>
      <c r="U5723">
        <v>3.408569</v>
      </c>
      <c r="V5723">
        <v>-0.21299889999999999</v>
      </c>
      <c r="W5723">
        <v>0.40433530000000001</v>
      </c>
      <c r="X5723">
        <v>0.889462999999999</v>
      </c>
      <c r="Y5723">
        <v>-0.27492739999999999</v>
      </c>
      <c r="Z5723">
        <v>-7.2411429999999999E-2</v>
      </c>
      <c r="AA5723">
        <v>0.95873430000000004</v>
      </c>
      <c r="AB5723">
        <v>33</v>
      </c>
      <c r="AC5723">
        <v>0.15059999999999699</v>
      </c>
      <c r="AD5723">
        <v>-1.11454996267299</v>
      </c>
      <c r="AE5723">
        <v>12.240879999999899</v>
      </c>
      <c r="AF5723">
        <v>-3.41873857740589</v>
      </c>
      <c r="AG5723">
        <v>-1.11454996267299</v>
      </c>
      <c r="AH5723">
        <v>11.649899556453301</v>
      </c>
      <c r="AI5723">
        <v>95.245008904333602</v>
      </c>
      <c r="AJ5723">
        <v>106.35466838147001</v>
      </c>
      <c r="AK5723">
        <v>12.1922169745862</v>
      </c>
      <c r="AL5723">
        <v>66.150519605860495</v>
      </c>
      <c r="AM5723">
        <v>103.46696791046401</v>
      </c>
      <c r="AN5723">
        <v>0.99999999729814903</v>
      </c>
    </row>
    <row r="5724" spans="1:40" x14ac:dyDescent="0.25">
      <c r="A5724" t="str">
        <f>"20190304164758550"</f>
        <v>20190304164758550</v>
      </c>
      <c r="B5724" t="str">
        <f>"1551689278545297"</f>
        <v>1551689278545297</v>
      </c>
      <c r="C5724" t="s">
        <v>40</v>
      </c>
      <c r="D5724">
        <v>4.1856970000000002</v>
      </c>
      <c r="E5724">
        <v>0.48764980000000002</v>
      </c>
      <c r="F5724" t="s">
        <v>42</v>
      </c>
      <c r="G5724">
        <v>-189.96</v>
      </c>
      <c r="H5724" s="1">
        <v>-2.0973069999999998E-6</v>
      </c>
      <c r="I5724">
        <v>-25.497219999999999</v>
      </c>
      <c r="J5724">
        <v>-190.0565</v>
      </c>
      <c r="K5724">
        <v>1.114568</v>
      </c>
      <c r="L5724">
        <v>-37.76361</v>
      </c>
      <c r="M5724">
        <v>0.28877190000000003</v>
      </c>
      <c r="N5724">
        <v>-8.6004830000000008E-3</v>
      </c>
      <c r="O5724">
        <v>0.95735930000000002</v>
      </c>
      <c r="P5724">
        <v>5.7800200000000003E-2</v>
      </c>
      <c r="Q5724">
        <v>0.39852720000000003</v>
      </c>
      <c r="R5724">
        <v>0.91533339999999996</v>
      </c>
      <c r="S5724">
        <v>5.0720210000000002E-2</v>
      </c>
      <c r="T5724">
        <v>-0.3019289</v>
      </c>
      <c r="U5724">
        <v>3.4071959999999999</v>
      </c>
      <c r="V5724">
        <v>-0.213195</v>
      </c>
      <c r="W5724">
        <v>0.40400429999999998</v>
      </c>
      <c r="X5724">
        <v>0.88956639999999998</v>
      </c>
      <c r="Y5724">
        <v>-0.27440199999999998</v>
      </c>
      <c r="Z5724">
        <v>-7.2389839999999997E-2</v>
      </c>
      <c r="AA5724">
        <v>0.95888649999999997</v>
      </c>
      <c r="AB5724">
        <v>33</v>
      </c>
      <c r="AC5724">
        <v>9.6499999999991801E-2</v>
      </c>
      <c r="AD5724">
        <v>-1.1145700973070001</v>
      </c>
      <c r="AE5724">
        <v>12.2663899999999</v>
      </c>
      <c r="AF5724">
        <v>-3.4216827397282499</v>
      </c>
      <c r="AG5724">
        <v>-1.1145700973070001</v>
      </c>
      <c r="AH5724">
        <v>11.6752568392986</v>
      </c>
      <c r="AI5724">
        <v>95.234316106460099</v>
      </c>
      <c r="AJ5724">
        <v>106.33434681838</v>
      </c>
      <c r="AK5724">
        <v>12.217274718068399</v>
      </c>
      <c r="AL5724">
        <v>66.171253030495393</v>
      </c>
      <c r="AM5724">
        <v>103.477404638716</v>
      </c>
      <c r="AN5724">
        <v>0.99999998122622402</v>
      </c>
    </row>
    <row r="5725" spans="1:40" x14ac:dyDescent="0.25">
      <c r="A5725" t="str">
        <f>"20190304164758593"</f>
        <v>20190304164758593</v>
      </c>
      <c r="B5725" t="str">
        <f>"1551689278585313"</f>
        <v>1551689278585313</v>
      </c>
      <c r="C5725" t="s">
        <v>40</v>
      </c>
      <c r="D5725">
        <v>4.2042070000000002</v>
      </c>
      <c r="E5725">
        <v>0.48833339999999997</v>
      </c>
      <c r="F5725" t="s">
        <v>42</v>
      </c>
      <c r="G5725">
        <v>-189.91040000000001</v>
      </c>
      <c r="H5725" s="1">
        <v>-2.269006E-6</v>
      </c>
      <c r="I5725">
        <v>-25.11514</v>
      </c>
      <c r="J5725">
        <v>-189.8802</v>
      </c>
      <c r="K5725">
        <v>1.1146450000000001</v>
      </c>
      <c r="L5725">
        <v>-37.143009999999997</v>
      </c>
      <c r="M5725">
        <v>0.2795356</v>
      </c>
      <c r="N5725">
        <v>-8.5800470000000004E-3</v>
      </c>
      <c r="O5725">
        <v>0.96009699999999998</v>
      </c>
      <c r="P5725">
        <v>4.995082E-2</v>
      </c>
      <c r="Q5725">
        <v>0.39828360000000002</v>
      </c>
      <c r="R5725">
        <v>0.91590119999999997</v>
      </c>
      <c r="S5725">
        <v>3.9337160000000003E-2</v>
      </c>
      <c r="T5725">
        <v>-0.30010439999999999</v>
      </c>
      <c r="U5725">
        <v>3.4056700000000002</v>
      </c>
      <c r="V5725">
        <v>-0.21235609999999999</v>
      </c>
      <c r="W5725">
        <v>0.40371200000000002</v>
      </c>
      <c r="X5725">
        <v>0.88989969999999996</v>
      </c>
      <c r="Y5725">
        <v>-0.26833610000000002</v>
      </c>
      <c r="Z5725">
        <v>-7.239102E-2</v>
      </c>
      <c r="AA5725">
        <v>0.9606015</v>
      </c>
      <c r="AB5725">
        <v>33</v>
      </c>
      <c r="AC5725">
        <v>-3.02000000000077E-2</v>
      </c>
      <c r="AD5725">
        <v>-1.1146472690060001</v>
      </c>
      <c r="AE5725">
        <v>12.027869999999901</v>
      </c>
      <c r="AF5725">
        <v>-3.3624605979272499</v>
      </c>
      <c r="AG5725">
        <v>-1.1146472690060001</v>
      </c>
      <c r="AH5725">
        <v>11.4416431587597</v>
      </c>
      <c r="AI5725">
        <v>95.339786366806393</v>
      </c>
      <c r="AJ5725">
        <v>106.376963683673</v>
      </c>
      <c r="AK5725">
        <v>11.9774695983463</v>
      </c>
      <c r="AL5725">
        <v>66.189560013070803</v>
      </c>
      <c r="AM5725">
        <v>103.421449568691</v>
      </c>
      <c r="AN5725">
        <v>0.99999998410564905</v>
      </c>
    </row>
    <row r="5726" spans="1:40" x14ac:dyDescent="0.25">
      <c r="A5726" t="str">
        <f>"20190304164758615"</f>
        <v>20190304164758615</v>
      </c>
      <c r="B5726" t="str">
        <f>"1551689278604833"</f>
        <v>1551689278604833</v>
      </c>
      <c r="C5726" t="s">
        <v>40</v>
      </c>
      <c r="D5726">
        <v>4.19916</v>
      </c>
      <c r="E5726">
        <v>0.49733280000000002</v>
      </c>
      <c r="F5726" t="s">
        <v>42</v>
      </c>
      <c r="G5726">
        <v>-189.83320000000001</v>
      </c>
      <c r="H5726" s="1">
        <v>-2.5795239999999999E-6</v>
      </c>
      <c r="I5726">
        <v>-24.423249999999999</v>
      </c>
      <c r="J5726">
        <v>-189.7929</v>
      </c>
      <c r="K5726">
        <v>1.114692</v>
      </c>
      <c r="L5726">
        <v>-36.826509999999999</v>
      </c>
      <c r="M5726">
        <v>0.27476850000000003</v>
      </c>
      <c r="N5726">
        <v>-8.5744429999999993E-3</v>
      </c>
      <c r="O5726">
        <v>0.9614722</v>
      </c>
      <c r="P5726">
        <v>4.7000519999999997E-2</v>
      </c>
      <c r="Q5726">
        <v>0.39777180000000001</v>
      </c>
      <c r="R5726">
        <v>0.91627970000000003</v>
      </c>
      <c r="S5726">
        <v>1.2588500000000001E-2</v>
      </c>
      <c r="T5726">
        <v>-0.29834129999999998</v>
      </c>
      <c r="U5726">
        <v>3.4045100000000001</v>
      </c>
      <c r="V5726">
        <v>-0.21090629999999999</v>
      </c>
      <c r="W5726">
        <v>0.40318979999999999</v>
      </c>
      <c r="X5726">
        <v>0.89048109999999903</v>
      </c>
      <c r="Y5726">
        <v>-0.2710978</v>
      </c>
      <c r="Z5726">
        <v>-7.2088289999999999E-2</v>
      </c>
      <c r="AA5726">
        <v>0.95984860000000005</v>
      </c>
      <c r="AB5726">
        <v>33</v>
      </c>
      <c r="AC5726">
        <v>-4.0300000000002001E-2</v>
      </c>
      <c r="AD5726">
        <v>-1.114694579524</v>
      </c>
      <c r="AE5726">
        <v>12.40326</v>
      </c>
      <c r="AF5726">
        <v>-3.4192824991100199</v>
      </c>
      <c r="AG5726">
        <v>-1.114694579524</v>
      </c>
      <c r="AH5726">
        <v>11.8192930410433</v>
      </c>
      <c r="AI5726">
        <v>95.176664107092094</v>
      </c>
      <c r="AJ5726">
        <v>106.134982027953</v>
      </c>
      <c r="AK5726">
        <v>12.3543403225099</v>
      </c>
      <c r="AL5726">
        <v>66.222260570063497</v>
      </c>
      <c r="AM5726">
        <v>103.32470682185399</v>
      </c>
      <c r="AN5726">
        <v>1.0000000358304599</v>
      </c>
    </row>
    <row r="5727" spans="1:40" x14ac:dyDescent="0.25">
      <c r="A5727" t="str">
        <f>"20190304164758637"</f>
        <v>20190304164758637</v>
      </c>
      <c r="B5727" t="str">
        <f>"1551689278625329"</f>
        <v>1551689278625329</v>
      </c>
      <c r="C5727" t="s">
        <v>40</v>
      </c>
      <c r="D5727">
        <v>4.1918540000000002</v>
      </c>
      <c r="E5727">
        <v>0.49777589999999999</v>
      </c>
      <c r="F5727" t="s">
        <v>42</v>
      </c>
      <c r="G5727">
        <v>-189.5027</v>
      </c>
      <c r="H5727" s="1">
        <v>-3.1531910000000001E-6</v>
      </c>
      <c r="I5727">
        <v>-23.22268</v>
      </c>
      <c r="J5727">
        <v>-189.7097</v>
      </c>
      <c r="K5727">
        <v>1.114743</v>
      </c>
      <c r="L5727">
        <v>-36.518650000000001</v>
      </c>
      <c r="M5727">
        <v>0.2700805</v>
      </c>
      <c r="N5727">
        <v>-8.5715019999999999E-3</v>
      </c>
      <c r="O5727">
        <v>0.96279959999999998</v>
      </c>
      <c r="P5727">
        <v>4.3825240000000001E-2</v>
      </c>
      <c r="Q5727">
        <v>0.39706540000000001</v>
      </c>
      <c r="R5727">
        <v>0.91674339999999999</v>
      </c>
      <c r="S5727">
        <v>7.2341920000000004E-2</v>
      </c>
      <c r="T5727">
        <v>-0.27785969999999999</v>
      </c>
      <c r="U5727">
        <v>3.391022</v>
      </c>
      <c r="V5727">
        <v>-0.2097774</v>
      </c>
      <c r="W5727">
        <v>0.40247050000000001</v>
      </c>
      <c r="X5727">
        <v>0.89107289999999995</v>
      </c>
      <c r="Y5727">
        <v>-0.2494306</v>
      </c>
      <c r="Z5727">
        <v>-6.7303199999999994E-2</v>
      </c>
      <c r="AA5727">
        <v>0.96605110000000005</v>
      </c>
      <c r="AB5727">
        <v>33</v>
      </c>
      <c r="AC5727">
        <v>0.206999999999993</v>
      </c>
      <c r="AD5727">
        <v>-1.1147461531909999</v>
      </c>
      <c r="AE5727">
        <v>13.295970000000001</v>
      </c>
      <c r="AF5727">
        <v>-3.3681373793629099</v>
      </c>
      <c r="AG5727">
        <v>-1.1147461531909999</v>
      </c>
      <c r="AH5727">
        <v>12.7680051387844</v>
      </c>
      <c r="AI5727">
        <v>94.825460973444606</v>
      </c>
      <c r="AJ5727">
        <v>104.777702851567</v>
      </c>
      <c r="AK5727">
        <v>13.2517532280201</v>
      </c>
      <c r="AL5727">
        <v>66.267287190366702</v>
      </c>
      <c r="AM5727">
        <v>103.24741590145</v>
      </c>
      <c r="AN5727">
        <v>0.99999998701770898</v>
      </c>
    </row>
    <row r="5728" spans="1:40" x14ac:dyDescent="0.25">
      <c r="A5728" t="str">
        <f>"20190304164758661"</f>
        <v>20190304164758661</v>
      </c>
      <c r="B5728" t="str">
        <f>"1551689278654609"</f>
        <v>1551689278654609</v>
      </c>
      <c r="C5728" t="s">
        <v>40</v>
      </c>
      <c r="D5728">
        <v>4.1755509999999996</v>
      </c>
      <c r="E5728">
        <v>0.49849860000000001</v>
      </c>
      <c r="F5728" t="s">
        <v>42</v>
      </c>
      <c r="G5728">
        <v>-189.46520000000001</v>
      </c>
      <c r="H5728" s="1">
        <v>-3.1935730000000001E-6</v>
      </c>
      <c r="I5728">
        <v>-23.14406</v>
      </c>
      <c r="J5728">
        <v>-189.61660000000001</v>
      </c>
      <c r="K5728">
        <v>1.1148070000000001</v>
      </c>
      <c r="L5728">
        <v>-36.166690000000003</v>
      </c>
      <c r="M5728">
        <v>0.26466319999999999</v>
      </c>
      <c r="N5728">
        <v>-8.570767E-3</v>
      </c>
      <c r="O5728">
        <v>0.96430280000000002</v>
      </c>
      <c r="P5728">
        <v>3.999221E-2</v>
      </c>
      <c r="Q5728">
        <v>0.39646789999999998</v>
      </c>
      <c r="R5728">
        <v>0.91717709999999997</v>
      </c>
      <c r="S5728">
        <v>6.2011719999999999E-2</v>
      </c>
      <c r="T5728">
        <v>-0.2827115</v>
      </c>
      <c r="U5728">
        <v>3.391937</v>
      </c>
      <c r="V5728">
        <v>-0.20861270000000001</v>
      </c>
      <c r="W5728">
        <v>0.40185799999999999</v>
      </c>
      <c r="X5728">
        <v>0.89162269999999899</v>
      </c>
      <c r="Y5728">
        <v>-0.24693319999999999</v>
      </c>
      <c r="Z5728">
        <v>-6.881031E-2</v>
      </c>
      <c r="AA5728">
        <v>0.96658639999999996</v>
      </c>
      <c r="AB5728">
        <v>33</v>
      </c>
      <c r="AC5728">
        <v>0.15139999999999501</v>
      </c>
      <c r="AD5728">
        <v>-1.1148101935729999</v>
      </c>
      <c r="AE5728">
        <v>13.022629999999999</v>
      </c>
      <c r="AF5728">
        <v>-3.2767271277479399</v>
      </c>
      <c r="AG5728">
        <v>-1.1148101935729999</v>
      </c>
      <c r="AH5728">
        <v>12.5066512164092</v>
      </c>
      <c r="AI5728">
        <v>94.928255801229497</v>
      </c>
      <c r="AJ5728">
        <v>104.681433076622</v>
      </c>
      <c r="AK5728">
        <v>12.976751021974801</v>
      </c>
      <c r="AL5728">
        <v>66.305619361009093</v>
      </c>
      <c r="AM5728">
        <v>103.168596215813</v>
      </c>
      <c r="AN5728">
        <v>1.00000007496028</v>
      </c>
    </row>
    <row r="5729" spans="1:40" x14ac:dyDescent="0.25">
      <c r="A5729" t="str">
        <f>"20190304164758681"</f>
        <v>20190304164758681</v>
      </c>
      <c r="B5729" t="str">
        <f>"1551689278675105"</f>
        <v>1551689278675105</v>
      </c>
      <c r="C5729" t="s">
        <v>40</v>
      </c>
      <c r="D5729">
        <v>4.1934480000000001</v>
      </c>
      <c r="E5729">
        <v>0.49855850000000002</v>
      </c>
      <c r="F5729" t="s">
        <v>42</v>
      </c>
      <c r="G5729">
        <v>-189.404</v>
      </c>
      <c r="H5729" s="1">
        <v>-3.3242770000000001E-6</v>
      </c>
      <c r="I5729">
        <v>-22.86469</v>
      </c>
      <c r="J5729">
        <v>-189.53800000000001</v>
      </c>
      <c r="K5729">
        <v>1.1148629999999999</v>
      </c>
      <c r="L5729">
        <v>-35.863280000000003</v>
      </c>
      <c r="M5729">
        <v>0.25994479999999998</v>
      </c>
      <c r="N5729">
        <v>-8.5718589999999994E-3</v>
      </c>
      <c r="O5729">
        <v>0.96558540000000004</v>
      </c>
      <c r="P5729">
        <v>3.7092979999999998E-2</v>
      </c>
      <c r="Q5729">
        <v>0.3963161</v>
      </c>
      <c r="R5729">
        <v>0.91736450000000003</v>
      </c>
      <c r="S5729">
        <v>5.4199219999999999E-2</v>
      </c>
      <c r="T5729">
        <v>-0.28422700000000001</v>
      </c>
      <c r="U5729">
        <v>3.3914179999999998</v>
      </c>
      <c r="V5729">
        <v>-0.2071345</v>
      </c>
      <c r="W5729">
        <v>0.40169949999999999</v>
      </c>
      <c r="X5729">
        <v>0.89203860000000001</v>
      </c>
      <c r="Y5729">
        <v>-0.244419</v>
      </c>
      <c r="Z5729">
        <v>-6.9418060000000004E-2</v>
      </c>
      <c r="AA5729">
        <v>0.96718170000000003</v>
      </c>
      <c r="AB5729">
        <v>33</v>
      </c>
      <c r="AC5729">
        <v>0.13399999999995699</v>
      </c>
      <c r="AD5729">
        <v>-1.1148663242769901</v>
      </c>
      <c r="AE5729">
        <v>12.998589999999901</v>
      </c>
      <c r="AF5729">
        <v>-3.2259189596291198</v>
      </c>
      <c r="AG5729">
        <v>-1.1148663242769901</v>
      </c>
      <c r="AH5729">
        <v>12.4946408991725</v>
      </c>
      <c r="AI5729">
        <v>94.937780552762106</v>
      </c>
      <c r="AJ5729">
        <v>104.476723533895</v>
      </c>
      <c r="AK5729">
        <v>12.9524334105362</v>
      </c>
      <c r="AL5729">
        <v>66.315535167010594</v>
      </c>
      <c r="AM5729">
        <v>103.072615671413</v>
      </c>
      <c r="AN5729">
        <v>1.00000002664022</v>
      </c>
    </row>
    <row r="5730" spans="1:40" x14ac:dyDescent="0.25">
      <c r="A5730" t="str">
        <f>"20190304164758706"</f>
        <v>20190304164758706</v>
      </c>
      <c r="B5730" t="str">
        <f>"1551689278694625"</f>
        <v>1551689278694625</v>
      </c>
      <c r="C5730" t="s">
        <v>40</v>
      </c>
      <c r="D5730">
        <v>4.2111349999999996</v>
      </c>
      <c r="E5730">
        <v>0.48973250000000002</v>
      </c>
      <c r="F5730" t="s">
        <v>42</v>
      </c>
      <c r="G5730">
        <v>-189.36439999999999</v>
      </c>
      <c r="H5730" s="1">
        <v>-3.4525410000000001E-6</v>
      </c>
      <c r="I5730">
        <v>-22.582070000000002</v>
      </c>
      <c r="J5730">
        <v>-189.45</v>
      </c>
      <c r="K5730">
        <v>1.1149260000000001</v>
      </c>
      <c r="L5730">
        <v>-35.516080000000002</v>
      </c>
      <c r="M5730">
        <v>0.25448490000000001</v>
      </c>
      <c r="N5730">
        <v>-8.5726919999999998E-3</v>
      </c>
      <c r="O5730">
        <v>0.96703879999999998</v>
      </c>
      <c r="P5730">
        <v>3.3658449999999999E-2</v>
      </c>
      <c r="Q5730">
        <v>0.39646789999999998</v>
      </c>
      <c r="R5730">
        <v>0.91743140000000001</v>
      </c>
      <c r="S5730">
        <v>4.4326780000000003E-2</v>
      </c>
      <c r="T5730">
        <v>-0.28468880000000002</v>
      </c>
      <c r="U5730">
        <v>3.3914490000000002</v>
      </c>
      <c r="V5730">
        <v>-0.20547579999999999</v>
      </c>
      <c r="W5730">
        <v>0.40184049999999999</v>
      </c>
      <c r="X5730">
        <v>0.892358599999999</v>
      </c>
      <c r="Y5730">
        <v>-0.241756</v>
      </c>
      <c r="Z5730">
        <v>-6.9749740000000005E-2</v>
      </c>
      <c r="AA5730">
        <v>0.96782699999999999</v>
      </c>
      <c r="AB5730">
        <v>34</v>
      </c>
      <c r="AC5730">
        <v>8.5599999999999399E-2</v>
      </c>
      <c r="AD5730">
        <v>-1.1149294525409901</v>
      </c>
      <c r="AE5730">
        <v>12.934010000000001</v>
      </c>
      <c r="AF5730">
        <v>-3.1851824532345301</v>
      </c>
      <c r="AG5730">
        <v>-1.1149294525409901</v>
      </c>
      <c r="AH5730">
        <v>12.4375181088944</v>
      </c>
      <c r="AI5730">
        <v>94.963113435363397</v>
      </c>
      <c r="AJ5730">
        <v>104.364428549547</v>
      </c>
      <c r="AK5730">
        <v>12.887215046456401</v>
      </c>
      <c r="AL5730">
        <v>66.306711985014402</v>
      </c>
      <c r="AM5730">
        <v>102.966991960177</v>
      </c>
      <c r="AN5730">
        <v>0.99999998140992397</v>
      </c>
    </row>
    <row r="5731" spans="1:40" x14ac:dyDescent="0.25">
      <c r="A5731" t="str">
        <f>"20190304164758729"</f>
        <v>20190304164758729</v>
      </c>
      <c r="B5731" t="str">
        <f>"1551689278724880"</f>
        <v>1551689278724880</v>
      </c>
      <c r="C5731" t="s">
        <v>40</v>
      </c>
      <c r="D5731">
        <v>4.3282829999999999</v>
      </c>
      <c r="E5731">
        <v>0.48984080000000002</v>
      </c>
      <c r="F5731" t="s">
        <v>42</v>
      </c>
      <c r="G5731">
        <v>-189.62370000000001</v>
      </c>
      <c r="H5731" s="1">
        <v>-1.63876299999999E-7</v>
      </c>
      <c r="I5731">
        <v>-20.164580000000001</v>
      </c>
      <c r="J5731">
        <v>-189.36490000000001</v>
      </c>
      <c r="K5731">
        <v>1.114981</v>
      </c>
      <c r="L5731">
        <v>-35.171779999999998</v>
      </c>
      <c r="M5731">
        <v>0.24900810000000001</v>
      </c>
      <c r="N5731">
        <v>-8.5705350000000007E-3</v>
      </c>
      <c r="O5731">
        <v>0.96846350000000003</v>
      </c>
      <c r="P5731">
        <v>3.0623580000000001E-2</v>
      </c>
      <c r="Q5731">
        <v>0.39637080000000002</v>
      </c>
      <c r="R5731">
        <v>0.9175797</v>
      </c>
      <c r="S5731">
        <v>-3.8208010000000001E-2</v>
      </c>
      <c r="T5731">
        <v>-0.2452896</v>
      </c>
      <c r="U5731">
        <v>3.3774109999999999</v>
      </c>
      <c r="V5731">
        <v>-0.20344429999999999</v>
      </c>
      <c r="W5731">
        <v>0.40173710000000001</v>
      </c>
      <c r="X5731">
        <v>0.89287050000000001</v>
      </c>
      <c r="Y5731">
        <v>-0.2598336</v>
      </c>
      <c r="Z5731">
        <v>-5.9205349999999997E-2</v>
      </c>
      <c r="AA5731">
        <v>0.96383669999999999</v>
      </c>
      <c r="AB5731">
        <v>34</v>
      </c>
      <c r="AC5731">
        <v>-0.25880000000000702</v>
      </c>
      <c r="AD5731">
        <v>-1.1149811638763001</v>
      </c>
      <c r="AE5731">
        <v>15.007199999999999</v>
      </c>
      <c r="AF5731">
        <v>-3.9658144755062299</v>
      </c>
      <c r="AG5731">
        <v>-1.1149811638763001</v>
      </c>
      <c r="AH5731">
        <v>14.390601421549899</v>
      </c>
      <c r="AI5731">
        <v>94.271792583521005</v>
      </c>
      <c r="AJ5731">
        <v>105.40733618012899</v>
      </c>
      <c r="AK5731">
        <v>14.9686431156551</v>
      </c>
      <c r="AL5731">
        <v>66.313182142221393</v>
      </c>
      <c r="AM5731">
        <v>102.83594206999101</v>
      </c>
      <c r="AN5731">
        <v>1.0000000052445699</v>
      </c>
    </row>
    <row r="5732" spans="1:40" x14ac:dyDescent="0.25">
      <c r="A5732" t="str">
        <f>"20190304164758757"</f>
        <v>20190304164758757</v>
      </c>
      <c r="B5732" t="str">
        <f>"1551689278745376"</f>
        <v>1551689278745376</v>
      </c>
      <c r="C5732" t="s">
        <v>40</v>
      </c>
      <c r="D5732">
        <v>4.2086069999999998</v>
      </c>
      <c r="E5732">
        <v>0.49057319999999999</v>
      </c>
      <c r="F5732" t="s">
        <v>42</v>
      </c>
      <c r="G5732">
        <v>-189.5985</v>
      </c>
      <c r="H5732" s="1">
        <v>-5.3360989999999998E-7</v>
      </c>
      <c r="I5732">
        <v>-19.289349999999999</v>
      </c>
      <c r="J5732">
        <v>-189.27279999999999</v>
      </c>
      <c r="K5732">
        <v>1.115049</v>
      </c>
      <c r="L5732">
        <v>-34.789859999999997</v>
      </c>
      <c r="M5732">
        <v>0.24286379999999999</v>
      </c>
      <c r="N5732">
        <v>-8.5674010000000005E-3</v>
      </c>
      <c r="O5732">
        <v>0.97002259999999996</v>
      </c>
      <c r="P5732">
        <v>2.5987079999999999E-2</v>
      </c>
      <c r="Q5732">
        <v>0.39655960000000001</v>
      </c>
      <c r="R5732">
        <v>0.91764109999999999</v>
      </c>
      <c r="S5732">
        <v>-4.9636840000000002E-2</v>
      </c>
      <c r="T5732">
        <v>-0.23682320000000001</v>
      </c>
      <c r="U5732">
        <v>3.3734440000000001</v>
      </c>
      <c r="V5732">
        <v>-0.2023469</v>
      </c>
      <c r="W5732">
        <v>0.40190039999999999</v>
      </c>
      <c r="X5732">
        <v>0.89304640000000002</v>
      </c>
      <c r="Y5732">
        <v>-0.25699559999999999</v>
      </c>
      <c r="Z5732">
        <v>-5.714122E-2</v>
      </c>
      <c r="AA5732">
        <v>0.96472179999999996</v>
      </c>
      <c r="AB5732">
        <v>34</v>
      </c>
      <c r="AC5732">
        <v>-0.32570000000001098</v>
      </c>
      <c r="AD5732">
        <v>-1.11504953360989</v>
      </c>
      <c r="AE5732">
        <v>15.500509999999901</v>
      </c>
      <c r="AF5732">
        <v>-4.0596002569485599</v>
      </c>
      <c r="AG5732">
        <v>-1.11504953360989</v>
      </c>
      <c r="AH5732">
        <v>14.880323484825899</v>
      </c>
      <c r="AI5732">
        <v>94.134859061107306</v>
      </c>
      <c r="AJ5732">
        <v>105.25988591509601</v>
      </c>
      <c r="AK5732">
        <v>15.4644015959779</v>
      </c>
      <c r="AL5732">
        <v>66.302965372546794</v>
      </c>
      <c r="AM5732">
        <v>102.766546757581</v>
      </c>
      <c r="AN5732">
        <v>1.0000000360063599</v>
      </c>
    </row>
    <row r="5733" spans="1:40" x14ac:dyDescent="0.25">
      <c r="A5733" t="str">
        <f>"20190304164758795"</f>
        <v>20190304164758795</v>
      </c>
      <c r="B5733" t="str">
        <f>"1551689278785393"</f>
        <v>1551689278785393</v>
      </c>
      <c r="C5733" t="s">
        <v>40</v>
      </c>
      <c r="D5733">
        <v>4.1839899999999997</v>
      </c>
      <c r="E5733">
        <v>0.49141820000000003</v>
      </c>
      <c r="F5733" t="s">
        <v>42</v>
      </c>
      <c r="G5733">
        <v>-189.56469999999999</v>
      </c>
      <c r="H5733" s="1">
        <v>-8.8450580000000003E-7</v>
      </c>
      <c r="I5733">
        <v>-18.485379999999999</v>
      </c>
      <c r="J5733">
        <v>-189.14089999999999</v>
      </c>
      <c r="K5733">
        <v>1.115146</v>
      </c>
      <c r="L5733">
        <v>-34.222499999999997</v>
      </c>
      <c r="M5733">
        <v>0.23362340000000001</v>
      </c>
      <c r="N5733">
        <v>-8.5648510000000001E-3</v>
      </c>
      <c r="O5733">
        <v>0.97228939999999997</v>
      </c>
      <c r="P5733">
        <v>1.8565189999999999E-2</v>
      </c>
      <c r="Q5733">
        <v>0.39618429999999999</v>
      </c>
      <c r="R5733">
        <v>0.91798329999999995</v>
      </c>
      <c r="S5733">
        <v>-6.0348510000000001E-2</v>
      </c>
      <c r="T5733">
        <v>-0.23051079999999999</v>
      </c>
      <c r="U5733">
        <v>3.3705750000000001</v>
      </c>
      <c r="V5733">
        <v>-0.20120189999999999</v>
      </c>
      <c r="W5733">
        <v>0.40149030000000002</v>
      </c>
      <c r="X5733">
        <v>0.89348939999999999</v>
      </c>
      <c r="Y5733">
        <v>-0.25087969999999998</v>
      </c>
      <c r="Z5733">
        <v>-5.573587E-2</v>
      </c>
      <c r="AA5733">
        <v>0.96641239999999995</v>
      </c>
      <c r="AB5733">
        <v>34</v>
      </c>
      <c r="AC5733">
        <v>-0.42380000000000001</v>
      </c>
      <c r="AD5733">
        <v>-1.1151468845057999</v>
      </c>
      <c r="AE5733">
        <v>15.7371199999999</v>
      </c>
      <c r="AF5733">
        <v>-4.0683523550664598</v>
      </c>
      <c r="AG5733">
        <v>-1.1151468845057999</v>
      </c>
      <c r="AH5733">
        <v>15.1266834076488</v>
      </c>
      <c r="AI5733">
        <v>94.0720549635233</v>
      </c>
      <c r="AJ5733">
        <v>105.053596440917</v>
      </c>
      <c r="AK5733">
        <v>15.7038719548472</v>
      </c>
      <c r="AL5733">
        <v>66.328622228499498</v>
      </c>
      <c r="AM5733">
        <v>102.690562960737</v>
      </c>
      <c r="AN5733">
        <v>0.99999998673502899</v>
      </c>
    </row>
    <row r="5734" spans="1:40" x14ac:dyDescent="0.25">
      <c r="A5734" t="str">
        <f>"20190304164758817"</f>
        <v>20190304164758817</v>
      </c>
      <c r="B5734" t="str">
        <f>"1551689278814673"</f>
        <v>1551689278814673</v>
      </c>
      <c r="C5734" t="s">
        <v>40</v>
      </c>
      <c r="D5734">
        <v>4.174785</v>
      </c>
      <c r="E5734">
        <v>0.49208750000000001</v>
      </c>
      <c r="F5734" t="s">
        <v>42</v>
      </c>
      <c r="G5734">
        <v>-189.5213</v>
      </c>
      <c r="H5734" s="1">
        <v>-1.0562599999999999E-6</v>
      </c>
      <c r="I5734">
        <v>-18.102969999999999</v>
      </c>
      <c r="J5734">
        <v>-189.06630000000001</v>
      </c>
      <c r="K5734">
        <v>1.115194</v>
      </c>
      <c r="L5734">
        <v>-33.889589999999998</v>
      </c>
      <c r="M5734">
        <v>0.22815840000000001</v>
      </c>
      <c r="N5734">
        <v>-8.564281E-3</v>
      </c>
      <c r="O5734">
        <v>0.97358639999999996</v>
      </c>
      <c r="P5734">
        <v>1.383795E-2</v>
      </c>
      <c r="Q5734">
        <v>0.39626400000000001</v>
      </c>
      <c r="R5734">
        <v>0.91803230000000002</v>
      </c>
      <c r="S5734">
        <v>-7.9528810000000005E-2</v>
      </c>
      <c r="T5734">
        <v>-0.2331548</v>
      </c>
      <c r="U5734">
        <v>3.3702700000000001</v>
      </c>
      <c r="V5734">
        <v>-0.20082459999999999</v>
      </c>
      <c r="W5734">
        <v>0.40155059999999998</v>
      </c>
      <c r="X5734">
        <v>0.89354719999999999</v>
      </c>
      <c r="Y5734">
        <v>-0.25093949999999998</v>
      </c>
      <c r="Z5734">
        <v>-5.6600919999999999E-2</v>
      </c>
      <c r="AA5734">
        <v>0.96634659999999994</v>
      </c>
      <c r="AB5734">
        <v>34</v>
      </c>
      <c r="AC5734">
        <v>-0.45499999999998397</v>
      </c>
      <c r="AD5734">
        <v>-1.1151950562599999</v>
      </c>
      <c r="AE5734">
        <v>15.786619999999999</v>
      </c>
      <c r="AF5734">
        <v>-4.0249112643041904</v>
      </c>
      <c r="AG5734">
        <v>-1.1151950562599999</v>
      </c>
      <c r="AH5734">
        <v>15.1906433542651</v>
      </c>
      <c r="AI5734">
        <v>94.059164224251205</v>
      </c>
      <c r="AJ5734">
        <v>104.840079953816</v>
      </c>
      <c r="AK5734">
        <v>15.7543395994725</v>
      </c>
      <c r="AL5734">
        <v>66.324850217608798</v>
      </c>
      <c r="AM5734">
        <v>102.666740894819</v>
      </c>
      <c r="AN5734">
        <v>1.0000000014766799</v>
      </c>
    </row>
    <row r="5735" spans="1:40" x14ac:dyDescent="0.25">
      <c r="A5735" t="str">
        <f>"20190304164758840"</f>
        <v>20190304164758840</v>
      </c>
      <c r="B5735" t="str">
        <f>"1551689278835168"</f>
        <v>1551689278835168</v>
      </c>
      <c r="C5735" t="s">
        <v>40</v>
      </c>
      <c r="D5735">
        <v>4.1735730000000002</v>
      </c>
      <c r="E5735">
        <v>0.4923884</v>
      </c>
      <c r="F5735" t="s">
        <v>42</v>
      </c>
      <c r="G5735">
        <v>-189.4991</v>
      </c>
      <c r="H5735" s="1">
        <v>-1.145251E-6</v>
      </c>
      <c r="I5735">
        <v>-17.90474</v>
      </c>
      <c r="J5735">
        <v>-188.994</v>
      </c>
      <c r="K5735">
        <v>1.1152340000000001</v>
      </c>
      <c r="L5735">
        <v>-33.558349999999997</v>
      </c>
      <c r="M5735">
        <v>0.2227027</v>
      </c>
      <c r="N5735">
        <v>-8.564271E-3</v>
      </c>
      <c r="O5735">
        <v>0.97484879999999996</v>
      </c>
      <c r="P5735">
        <v>8.9379690000000005E-3</v>
      </c>
      <c r="Q5735">
        <v>0.39591569999999998</v>
      </c>
      <c r="R5735">
        <v>0.91824329999999998</v>
      </c>
      <c r="S5735">
        <v>-9.1247560000000005E-2</v>
      </c>
      <c r="T5735">
        <v>-0.2351635</v>
      </c>
      <c r="U5735">
        <v>3.3707579999999999</v>
      </c>
      <c r="V5735">
        <v>-0.20065930000000001</v>
      </c>
      <c r="W5735">
        <v>0.40118589999999998</v>
      </c>
      <c r="X5735">
        <v>0.89374809999999905</v>
      </c>
      <c r="Y5735">
        <v>-0.2488716</v>
      </c>
      <c r="Z5735">
        <v>-5.7294959999999999E-2</v>
      </c>
      <c r="AA5735">
        <v>0.96684029999999999</v>
      </c>
      <c r="AB5735">
        <v>34</v>
      </c>
      <c r="AC5735">
        <v>-0.50509999999997002</v>
      </c>
      <c r="AD5735">
        <v>-1.1152351452509901</v>
      </c>
      <c r="AE5735">
        <v>15.653609999999899</v>
      </c>
      <c r="AF5735">
        <v>-3.95857122111385</v>
      </c>
      <c r="AG5735">
        <v>-1.1152351452509901</v>
      </c>
      <c r="AH5735">
        <v>15.071550660548001</v>
      </c>
      <c r="AI5735">
        <v>94.0935987969942</v>
      </c>
      <c r="AJ5735">
        <v>104.716445081204</v>
      </c>
      <c r="AK5735">
        <v>15.622601411266301</v>
      </c>
      <c r="AL5735">
        <v>66.347663569183496</v>
      </c>
      <c r="AM5735">
        <v>102.653897444406</v>
      </c>
      <c r="AN5735">
        <v>0.99999997364445403</v>
      </c>
    </row>
    <row r="5736" spans="1:40" x14ac:dyDescent="0.25">
      <c r="A5736" t="str">
        <f>"20190304164758860"</f>
        <v>20190304164758860</v>
      </c>
      <c r="B5736" t="str">
        <f>"1551689278854692"</f>
        <v>1551689278854692</v>
      </c>
      <c r="C5736" t="s">
        <v>40</v>
      </c>
      <c r="D5736">
        <v>4.1849439999999998</v>
      </c>
      <c r="E5736">
        <v>0.4926181</v>
      </c>
      <c r="F5736" t="s">
        <v>42</v>
      </c>
      <c r="G5736">
        <v>-189.50460000000001</v>
      </c>
      <c r="H5736" s="1">
        <v>-1.217924E-6</v>
      </c>
      <c r="I5736">
        <v>-17.733029999999999</v>
      </c>
      <c r="J5736">
        <v>-188.92920000000001</v>
      </c>
      <c r="K5736">
        <v>1.1152580000000001</v>
      </c>
      <c r="L5736">
        <v>-33.253570000000003</v>
      </c>
      <c r="M5736">
        <v>0.2176729</v>
      </c>
      <c r="N5736">
        <v>-8.5649699999999999E-3</v>
      </c>
      <c r="O5736">
        <v>0.97598419999999997</v>
      </c>
      <c r="P5736">
        <v>4.8036859999999997E-3</v>
      </c>
      <c r="Q5736">
        <v>0.39525680000000002</v>
      </c>
      <c r="R5736">
        <v>0.91855810000000004</v>
      </c>
      <c r="S5736">
        <v>-0.1087494</v>
      </c>
      <c r="T5736">
        <v>-0.23752960000000001</v>
      </c>
      <c r="U5736">
        <v>3.3705750000000001</v>
      </c>
      <c r="V5736">
        <v>-0.20015810000000001</v>
      </c>
      <c r="W5736">
        <v>0.40052149999999997</v>
      </c>
      <c r="X5736">
        <v>0.89415840000000002</v>
      </c>
      <c r="Y5736">
        <v>-0.24889259999999999</v>
      </c>
      <c r="Z5736">
        <v>-5.8067460000000001E-2</v>
      </c>
      <c r="AA5736">
        <v>0.9667888</v>
      </c>
      <c r="AB5736">
        <v>34</v>
      </c>
      <c r="AC5736">
        <v>-0.57540000000000102</v>
      </c>
      <c r="AD5736">
        <v>-1.115259217924</v>
      </c>
      <c r="AE5736">
        <v>15.52054</v>
      </c>
      <c r="AF5736">
        <v>-3.91991435836441</v>
      </c>
      <c r="AG5736">
        <v>-1.115259217924</v>
      </c>
      <c r="AH5736">
        <v>14.9460369733352</v>
      </c>
      <c r="AI5736">
        <v>94.128331032069298</v>
      </c>
      <c r="AJ5736">
        <v>104.696036527251</v>
      </c>
      <c r="AK5736">
        <v>15.4917253044449</v>
      </c>
      <c r="AL5736">
        <v>66.389215757245694</v>
      </c>
      <c r="AM5736">
        <v>102.617698164278</v>
      </c>
      <c r="AN5736">
        <v>0.99999999062420897</v>
      </c>
    </row>
    <row r="5737" spans="1:40" x14ac:dyDescent="0.25">
      <c r="A5737" t="str">
        <f>"20190304164758883"</f>
        <v>20190304164758883</v>
      </c>
      <c r="B5737" t="str">
        <f>"1551689278875186"</f>
        <v>1551689278875186</v>
      </c>
      <c r="C5737" t="s">
        <v>40</v>
      </c>
      <c r="D5737">
        <v>4.1782750000000002</v>
      </c>
      <c r="E5737">
        <v>0.49890610000000002</v>
      </c>
      <c r="F5737" t="s">
        <v>42</v>
      </c>
      <c r="G5737">
        <v>-189.50309999999999</v>
      </c>
      <c r="H5737" s="1">
        <v>-1.278519E-6</v>
      </c>
      <c r="I5737">
        <v>-17.592420000000001</v>
      </c>
      <c r="J5737">
        <v>-188.85730000000001</v>
      </c>
      <c r="K5737">
        <v>1.1152820000000001</v>
      </c>
      <c r="L5737">
        <v>-32.906309999999998</v>
      </c>
      <c r="M5737">
        <v>0.21193609999999999</v>
      </c>
      <c r="N5737">
        <v>-8.566845E-3</v>
      </c>
      <c r="O5737">
        <v>0.97724599999999995</v>
      </c>
      <c r="P5737">
        <v>-1.2179459999999999E-4</v>
      </c>
      <c r="Q5737">
        <v>0.39528190000000002</v>
      </c>
      <c r="R5737">
        <v>0.91855980000000004</v>
      </c>
      <c r="S5737">
        <v>-0.1234894</v>
      </c>
      <c r="T5737">
        <v>-0.239977</v>
      </c>
      <c r="U5737">
        <v>3.369904</v>
      </c>
      <c r="V5737">
        <v>-0.1997293</v>
      </c>
      <c r="W5737">
        <v>0.40053850000000002</v>
      </c>
      <c r="X5737">
        <v>0.89424669999999895</v>
      </c>
      <c r="Y5737">
        <v>-0.24743129999999999</v>
      </c>
      <c r="Z5737">
        <v>-5.8901769999999999E-2</v>
      </c>
      <c r="AA5737">
        <v>0.96711340000000001</v>
      </c>
      <c r="AB5737">
        <v>34</v>
      </c>
      <c r="AC5737">
        <v>-0.64579999999997995</v>
      </c>
      <c r="AD5737">
        <v>-1.1152832785190001</v>
      </c>
      <c r="AE5737">
        <v>15.313889999999899</v>
      </c>
      <c r="AF5737">
        <v>-3.8563959477333301</v>
      </c>
      <c r="AG5737">
        <v>-1.1152832785190001</v>
      </c>
      <c r="AH5737">
        <v>14.7510135127305</v>
      </c>
      <c r="AI5737">
        <v>94.183665786991696</v>
      </c>
      <c r="AJ5737">
        <v>104.651074357477</v>
      </c>
      <c r="AK5737">
        <v>15.2875127522366</v>
      </c>
      <c r="AL5737">
        <v>66.3881535191381</v>
      </c>
      <c r="AM5737">
        <v>102.59032634821899</v>
      </c>
      <c r="AN5737">
        <v>1.0000000218608101</v>
      </c>
    </row>
    <row r="5738" spans="1:40" x14ac:dyDescent="0.25">
      <c r="A5738" t="str">
        <f>"20190304164758908"</f>
        <v>20190304164758908</v>
      </c>
      <c r="B5738" t="str">
        <f>"1551689278905442"</f>
        <v>1551689278905442</v>
      </c>
      <c r="C5738" t="s">
        <v>40</v>
      </c>
      <c r="D5738">
        <v>4.1439320000000004</v>
      </c>
      <c r="E5738">
        <v>0.499774</v>
      </c>
      <c r="F5738" t="s">
        <v>42</v>
      </c>
      <c r="G5738">
        <v>-189.26089999999999</v>
      </c>
      <c r="H5738" s="1">
        <v>-1.0169369999999999E-6</v>
      </c>
      <c r="I5738">
        <v>-18.302320000000002</v>
      </c>
      <c r="J5738">
        <v>-188.7843</v>
      </c>
      <c r="K5738">
        <v>1.11531</v>
      </c>
      <c r="L5738">
        <v>-32.542819999999999</v>
      </c>
      <c r="M5738">
        <v>0.20592920000000001</v>
      </c>
      <c r="N5738">
        <v>-8.5699279999999992E-3</v>
      </c>
      <c r="O5738">
        <v>0.97852939999999999</v>
      </c>
      <c r="P5738">
        <v>-4.4775040000000002E-3</v>
      </c>
      <c r="Q5738">
        <v>0.3948295</v>
      </c>
      <c r="R5738">
        <v>0.91874350000000005</v>
      </c>
      <c r="S5738">
        <v>-9.3322749999999996E-2</v>
      </c>
      <c r="T5738">
        <v>-0.25789240000000002</v>
      </c>
      <c r="U5738">
        <v>3.3769529999999999</v>
      </c>
      <c r="V5738">
        <v>-0.19853680000000001</v>
      </c>
      <c r="W5738">
        <v>0.40009230000000001</v>
      </c>
      <c r="X5738">
        <v>0.8947119</v>
      </c>
      <c r="Y5738">
        <v>-0.232739</v>
      </c>
      <c r="Z5738">
        <v>-6.4066490000000004E-2</v>
      </c>
      <c r="AA5738">
        <v>0.97042669999999998</v>
      </c>
      <c r="AB5738">
        <v>34</v>
      </c>
      <c r="AC5738">
        <v>-0.47659999999998998</v>
      </c>
      <c r="AD5738">
        <v>-1.115311016937</v>
      </c>
      <c r="AE5738">
        <v>14.2404999999999</v>
      </c>
      <c r="AF5738">
        <v>-3.3783272278809799</v>
      </c>
      <c r="AG5738">
        <v>-1.115311016937</v>
      </c>
      <c r="AH5738">
        <v>13.7528446188287</v>
      </c>
      <c r="AI5738">
        <v>94.503059201896093</v>
      </c>
      <c r="AJ5738">
        <v>103.801196760363</v>
      </c>
      <c r="AK5738">
        <v>14.2055534433822</v>
      </c>
      <c r="AL5738">
        <v>66.416052446071305</v>
      </c>
      <c r="AM5738">
        <v>102.511227334856</v>
      </c>
      <c r="AN5738">
        <v>1.00000004673756</v>
      </c>
    </row>
    <row r="5739" spans="1:40" x14ac:dyDescent="0.25">
      <c r="A5739" t="str">
        <f>"20190304164758932"</f>
        <v>20190304164758932</v>
      </c>
      <c r="B5739" t="str">
        <f>"1551689278924961"</f>
        <v>1551689278924961</v>
      </c>
      <c r="C5739" t="s">
        <v>40</v>
      </c>
      <c r="D5739">
        <v>4.1319670000000004</v>
      </c>
      <c r="E5739">
        <v>0.50023809999999902</v>
      </c>
      <c r="F5739" t="s">
        <v>42</v>
      </c>
      <c r="G5739">
        <v>-189.2302</v>
      </c>
      <c r="H5739" s="1">
        <v>-1.1372140000000001E-6</v>
      </c>
      <c r="I5739">
        <v>-18.03462</v>
      </c>
      <c r="J5739">
        <v>-188.71270000000001</v>
      </c>
      <c r="K5739">
        <v>1.1153360000000001</v>
      </c>
      <c r="L5739">
        <v>-32.175319999999999</v>
      </c>
      <c r="M5739">
        <v>0.19985829999999999</v>
      </c>
      <c r="N5739">
        <v>-8.5741099999999994E-3</v>
      </c>
      <c r="O5739">
        <v>0.97978730000000003</v>
      </c>
      <c r="P5739">
        <v>-8.1927000000000007E-3</v>
      </c>
      <c r="Q5739">
        <v>0.39478439999999998</v>
      </c>
      <c r="R5739">
        <v>0.91873729999999998</v>
      </c>
      <c r="S5739">
        <v>-0.1037903</v>
      </c>
      <c r="T5739">
        <v>-0.25955719999999999</v>
      </c>
      <c r="U5739">
        <v>3.3763730000000001</v>
      </c>
      <c r="V5739">
        <v>-0.1966328</v>
      </c>
      <c r="W5739">
        <v>0.40006399999999998</v>
      </c>
      <c r="X5739">
        <v>0.89514490000000002</v>
      </c>
      <c r="Y5739">
        <v>-0.2297186</v>
      </c>
      <c r="Z5739">
        <v>-6.4707990000000007E-2</v>
      </c>
      <c r="AA5739">
        <v>0.97110359999999996</v>
      </c>
      <c r="AB5739">
        <v>34</v>
      </c>
      <c r="AC5739">
        <v>-0.51749999999998397</v>
      </c>
      <c r="AD5739">
        <v>-1.115337137214</v>
      </c>
      <c r="AE5739">
        <v>14.140700000000001</v>
      </c>
      <c r="AF5739">
        <v>-3.3127173634818199</v>
      </c>
      <c r="AG5739">
        <v>-1.115337137214</v>
      </c>
      <c r="AH5739">
        <v>13.6670460526183</v>
      </c>
      <c r="AI5739">
        <v>94.534704251711105</v>
      </c>
      <c r="AJ5739">
        <v>103.62499161615099</v>
      </c>
      <c r="AK5739">
        <v>14.106956477722299</v>
      </c>
      <c r="AL5739">
        <v>66.417821189193702</v>
      </c>
      <c r="AM5739">
        <v>102.389157837498</v>
      </c>
      <c r="AN5739">
        <v>1.00000002706392</v>
      </c>
    </row>
    <row r="5740" spans="1:40" x14ac:dyDescent="0.25">
      <c r="A5740" t="str">
        <f>"20190304164758972"</f>
        <v>20190304164758972</v>
      </c>
      <c r="B5740" t="str">
        <f>"1551689278964529"</f>
        <v>1551689278964529</v>
      </c>
      <c r="C5740" t="s">
        <v>40</v>
      </c>
      <c r="D5740">
        <v>4.1022489999999996</v>
      </c>
      <c r="E5740">
        <v>0.50396409999999903</v>
      </c>
      <c r="F5740" t="s">
        <v>42</v>
      </c>
      <c r="G5740">
        <v>-189.2183</v>
      </c>
      <c r="H5740" s="1">
        <v>-1.32418E-6</v>
      </c>
      <c r="I5740">
        <v>-17.603729999999999</v>
      </c>
      <c r="J5740">
        <v>-188.601</v>
      </c>
      <c r="K5740">
        <v>1.1153660000000001</v>
      </c>
      <c r="L5740">
        <v>-31.575320000000001</v>
      </c>
      <c r="M5740">
        <v>0.18995310000000001</v>
      </c>
      <c r="N5740">
        <v>-8.5833530000000002E-3</v>
      </c>
      <c r="O5740">
        <v>0.98175570000000001</v>
      </c>
      <c r="P5740">
        <v>-1.3880129999999999E-2</v>
      </c>
      <c r="Q5740">
        <v>0.39383259999999998</v>
      </c>
      <c r="R5740">
        <v>0.91907740000000004</v>
      </c>
      <c r="S5740">
        <v>-0.11712649999999999</v>
      </c>
      <c r="T5740">
        <v>-0.25835229999999998</v>
      </c>
      <c r="U5740">
        <v>3.375305</v>
      </c>
      <c r="V5740">
        <v>-0.1932296</v>
      </c>
      <c r="W5740">
        <v>0.39915210000000001</v>
      </c>
      <c r="X5740">
        <v>0.89629230000000004</v>
      </c>
      <c r="Y5740">
        <v>-0.22373119999999999</v>
      </c>
      <c r="Z5740">
        <v>-6.4654900000000001E-2</v>
      </c>
      <c r="AA5740">
        <v>0.97250400000000004</v>
      </c>
      <c r="AB5740">
        <v>34</v>
      </c>
      <c r="AC5740">
        <v>-0.61729999999999996</v>
      </c>
      <c r="AD5740">
        <v>-1.11536732418</v>
      </c>
      <c r="AE5740">
        <v>13.971590000000001</v>
      </c>
      <c r="AF5740">
        <v>-3.2394994249497802</v>
      </c>
      <c r="AG5740">
        <v>-1.11536732418</v>
      </c>
      <c r="AH5740">
        <v>13.513973515636</v>
      </c>
      <c r="AI5740">
        <v>94.588755424128607</v>
      </c>
      <c r="AJ5740">
        <v>103.48028135582101</v>
      </c>
      <c r="AK5740">
        <v>13.9415164517139</v>
      </c>
      <c r="AL5740">
        <v>66.474816703755593</v>
      </c>
      <c r="AM5740">
        <v>102.166061535438</v>
      </c>
      <c r="AN5740">
        <v>0.99999998214492902</v>
      </c>
    </row>
    <row r="5741" spans="1:40" x14ac:dyDescent="0.25">
      <c r="A5741" t="str">
        <f>"20190304164758995"</f>
        <v>20190304164758995</v>
      </c>
      <c r="B5741" t="str">
        <f>"1551689278985025"</f>
        <v>1551689278985025</v>
      </c>
      <c r="C5741" t="s">
        <v>40</v>
      </c>
      <c r="D5741">
        <v>4.1055989999999998</v>
      </c>
      <c r="E5741">
        <v>0.50469560000000002</v>
      </c>
      <c r="F5741" t="s">
        <v>42</v>
      </c>
      <c r="G5741">
        <v>-189.10040000000001</v>
      </c>
      <c r="H5741" s="1">
        <v>-1.889412E-6</v>
      </c>
      <c r="I5741">
        <v>-16.334900000000001</v>
      </c>
      <c r="J5741">
        <v>-188.54069999999999</v>
      </c>
      <c r="K5741">
        <v>1.115389</v>
      </c>
      <c r="L5741">
        <v>-31.236879999999999</v>
      </c>
      <c r="M5741">
        <v>0.1843699</v>
      </c>
      <c r="N5741">
        <v>-8.5894999999999999E-3</v>
      </c>
      <c r="O5741">
        <v>0.98281940000000001</v>
      </c>
      <c r="P5741">
        <v>-1.8360410000000001E-2</v>
      </c>
      <c r="Q5741">
        <v>0.39327709999999999</v>
      </c>
      <c r="R5741">
        <v>0.91923670000000002</v>
      </c>
      <c r="S5741">
        <v>-0.1103821</v>
      </c>
      <c r="T5741">
        <v>-0.24649409999999999</v>
      </c>
      <c r="U5741">
        <v>3.3681030000000001</v>
      </c>
      <c r="V5741">
        <v>-0.19256219999999999</v>
      </c>
      <c r="W5741">
        <v>0.39860250000000003</v>
      </c>
      <c r="X5741">
        <v>0.89668049999999999</v>
      </c>
      <c r="Y5741">
        <v>-0.21632570000000001</v>
      </c>
      <c r="Z5741">
        <v>-6.1633889999999997E-2</v>
      </c>
      <c r="AA5741">
        <v>0.97437390000000001</v>
      </c>
      <c r="AB5741">
        <v>34</v>
      </c>
      <c r="AC5741">
        <v>-0.55970000000001996</v>
      </c>
      <c r="AD5741">
        <v>-1.1153908894119999</v>
      </c>
      <c r="AE5741">
        <v>14.901979999999901</v>
      </c>
      <c r="AF5741">
        <v>-3.2793362725380502</v>
      </c>
      <c r="AG5741">
        <v>-1.1153908894119999</v>
      </c>
      <c r="AH5741">
        <v>14.462391131277</v>
      </c>
      <c r="AI5741">
        <v>94.301357436348795</v>
      </c>
      <c r="AJ5741">
        <v>102.775742675367</v>
      </c>
      <c r="AK5741">
        <v>14.871412187771799</v>
      </c>
      <c r="AL5741">
        <v>66.509157875635395</v>
      </c>
      <c r="AM5741">
        <v>102.12019221771899</v>
      </c>
      <c r="AN5741">
        <v>1.00000003647766</v>
      </c>
    </row>
    <row r="5742" spans="1:40" x14ac:dyDescent="0.25">
      <c r="A5742" t="str">
        <f>"20190304164759017"</f>
        <v>20190304164759017</v>
      </c>
      <c r="B5742" t="str">
        <f>"1551689279005521"</f>
        <v>1551689279005521</v>
      </c>
      <c r="C5742" t="s">
        <v>40</v>
      </c>
      <c r="D5742">
        <v>4.0554800000000002</v>
      </c>
      <c r="E5742">
        <v>0.50561160000000005</v>
      </c>
      <c r="F5742" t="s">
        <v>42</v>
      </c>
      <c r="G5742">
        <v>-189.06700000000001</v>
      </c>
      <c r="H5742" s="1">
        <v>-1.9128230000000001E-6</v>
      </c>
      <c r="I5742">
        <v>-16.294160000000002</v>
      </c>
      <c r="J5742">
        <v>-188.48310000000001</v>
      </c>
      <c r="K5742">
        <v>1.115418</v>
      </c>
      <c r="L5742">
        <v>-30.902280000000001</v>
      </c>
      <c r="M5742">
        <v>0.17885279999999901</v>
      </c>
      <c r="N5742">
        <v>-8.5961779999999995E-3</v>
      </c>
      <c r="O5742">
        <v>0.98383830000000005</v>
      </c>
      <c r="P5742">
        <v>-2.2637029999999999E-2</v>
      </c>
      <c r="Q5742">
        <v>0.3931192</v>
      </c>
      <c r="R5742">
        <v>0.91920880000000005</v>
      </c>
      <c r="S5742">
        <v>-0.1186523</v>
      </c>
      <c r="T5742">
        <v>-0.25146030000000003</v>
      </c>
      <c r="U5742">
        <v>3.3687740000000002</v>
      </c>
      <c r="V5742">
        <v>-0.1917316</v>
      </c>
      <c r="W5742">
        <v>0.3984529</v>
      </c>
      <c r="X5742">
        <v>0.89692490000000002</v>
      </c>
      <c r="Y5742">
        <v>-0.21322640000000001</v>
      </c>
      <c r="Z5742">
        <v>-6.3156080000000003E-2</v>
      </c>
      <c r="AA5742">
        <v>0.97495940000000003</v>
      </c>
      <c r="AB5742">
        <v>35</v>
      </c>
      <c r="AC5742">
        <v>-0.58389999999999898</v>
      </c>
      <c r="AD5742">
        <v>-1.115419912823</v>
      </c>
      <c r="AE5742">
        <v>14.6081199999999</v>
      </c>
      <c r="AF5742">
        <v>-3.1688383908132098</v>
      </c>
      <c r="AG5742">
        <v>-1.115419912823</v>
      </c>
      <c r="AH5742">
        <v>14.185549283691101</v>
      </c>
      <c r="AI5742">
        <v>94.388240134416705</v>
      </c>
      <c r="AJ5742">
        <v>102.59227708658401</v>
      </c>
      <c r="AK5742">
        <v>14.5779116065726</v>
      </c>
      <c r="AL5742">
        <v>66.518502599252898</v>
      </c>
      <c r="AM5742">
        <v>102.066256536145</v>
      </c>
      <c r="AN5742">
        <v>0.99999999809849005</v>
      </c>
    </row>
    <row r="5743" spans="1:40" x14ac:dyDescent="0.25">
      <c r="A5743" t="str">
        <f>"20190304164759040"</f>
        <v>20190304164759040</v>
      </c>
      <c r="B5743" t="str">
        <f>"1551689279034801"</f>
        <v>1551689279034801</v>
      </c>
      <c r="C5743" t="s">
        <v>40</v>
      </c>
      <c r="D5743">
        <v>4.03362</v>
      </c>
      <c r="E5743">
        <v>0.50642790000000004</v>
      </c>
      <c r="F5743" t="s">
        <v>42</v>
      </c>
      <c r="G5743">
        <v>-189.0427</v>
      </c>
      <c r="H5743" s="1">
        <v>-2.0485170000000002E-6</v>
      </c>
      <c r="I5743">
        <v>-15.987909999999999</v>
      </c>
      <c r="J5743">
        <v>-188.42359999999999</v>
      </c>
      <c r="K5743">
        <v>1.115432</v>
      </c>
      <c r="L5743">
        <v>-30.543980000000001</v>
      </c>
      <c r="M5743">
        <v>0.17294760000000001</v>
      </c>
      <c r="N5743">
        <v>-8.6037049999999997E-3</v>
      </c>
      <c r="O5743">
        <v>0.98489340000000003</v>
      </c>
      <c r="P5743">
        <v>-2.7090360000000001E-2</v>
      </c>
      <c r="Q5743">
        <v>0.39175919999999997</v>
      </c>
      <c r="R5743">
        <v>0.91966890000000001</v>
      </c>
      <c r="S5743">
        <v>-0.12637329999999999</v>
      </c>
      <c r="T5743">
        <v>-0.25190820000000003</v>
      </c>
      <c r="U5743">
        <v>3.3682859999999999</v>
      </c>
      <c r="V5743">
        <v>-0.19079850000000001</v>
      </c>
      <c r="W5743">
        <v>0.39710770000000001</v>
      </c>
      <c r="X5743">
        <v>0.89772019999999997</v>
      </c>
      <c r="Y5743">
        <v>-0.20960200000000001</v>
      </c>
      <c r="Z5743">
        <v>-6.34295E-2</v>
      </c>
      <c r="AA5743">
        <v>0.97572729999999996</v>
      </c>
      <c r="AB5743">
        <v>35</v>
      </c>
      <c r="AC5743">
        <v>-0.61910000000000298</v>
      </c>
      <c r="AD5743">
        <v>-1.115434048517</v>
      </c>
      <c r="AE5743">
        <v>14.556069999999901</v>
      </c>
      <c r="AF5743">
        <v>-3.1090766753481698</v>
      </c>
      <c r="AG5743">
        <v>-1.115434048517</v>
      </c>
      <c r="AH5743">
        <v>14.146710702772699</v>
      </c>
      <c r="AI5743">
        <v>94.403640172794994</v>
      </c>
      <c r="AJ5743">
        <v>102.395057140476</v>
      </c>
      <c r="AK5743">
        <v>14.5272149635685</v>
      </c>
      <c r="AL5743">
        <v>66.602510958645993</v>
      </c>
      <c r="AM5743">
        <v>101.99891187994901</v>
      </c>
      <c r="AN5743">
        <v>1.00000007524478</v>
      </c>
    </row>
    <row r="5744" spans="1:40" x14ac:dyDescent="0.25">
      <c r="A5744" t="str">
        <f>"20190304164759063"</f>
        <v>20190304164759063</v>
      </c>
      <c r="B5744" t="str">
        <f>"1551689279054957"</f>
        <v>1551689279054957</v>
      </c>
      <c r="C5744" t="s">
        <v>40</v>
      </c>
      <c r="D5744">
        <v>4.0159570000000002</v>
      </c>
      <c r="E5744">
        <v>0.50689319999999904</v>
      </c>
      <c r="F5744" t="s">
        <v>42</v>
      </c>
      <c r="G5744">
        <v>-189.0198</v>
      </c>
      <c r="H5744" s="1">
        <v>-2.1254739999999999E-6</v>
      </c>
      <c r="I5744">
        <v>-15.81798</v>
      </c>
      <c r="J5744">
        <v>-188.3681</v>
      </c>
      <c r="K5744">
        <v>1.115448</v>
      </c>
      <c r="L5744">
        <v>-30.19772</v>
      </c>
      <c r="M5744">
        <v>0.16724259999999999</v>
      </c>
      <c r="N5744">
        <v>-8.611357E-3</v>
      </c>
      <c r="O5744">
        <v>0.98587820000000004</v>
      </c>
      <c r="P5744">
        <v>-3.1528059999999997E-2</v>
      </c>
      <c r="Q5744">
        <v>0.39013759999999997</v>
      </c>
      <c r="R5744">
        <v>0.92021660000000005</v>
      </c>
      <c r="S5744">
        <v>-0.13630680000000001</v>
      </c>
      <c r="T5744">
        <v>-0.2550114</v>
      </c>
      <c r="U5744">
        <v>3.3666689999999999</v>
      </c>
      <c r="V5744">
        <v>-0.19004509999999999</v>
      </c>
      <c r="W5744">
        <v>0.39550099999999999</v>
      </c>
      <c r="X5744">
        <v>0.89858879999999997</v>
      </c>
      <c r="Y5744">
        <v>-0.20683009999999999</v>
      </c>
      <c r="Z5744">
        <v>-6.4468059999999994E-2</v>
      </c>
      <c r="AA5744">
        <v>0.97625059999999997</v>
      </c>
      <c r="AB5744">
        <v>35</v>
      </c>
      <c r="AC5744">
        <v>-0.65170000000000505</v>
      </c>
      <c r="AD5744">
        <v>-1.1154501254739999</v>
      </c>
      <c r="AE5744">
        <v>14.37974</v>
      </c>
      <c r="AF5744">
        <v>-3.02932397703839</v>
      </c>
      <c r="AG5744">
        <v>-1.1154501254739999</v>
      </c>
      <c r="AH5744">
        <v>13.984227186057399</v>
      </c>
      <c r="AI5744">
        <v>94.457576853002706</v>
      </c>
      <c r="AJ5744">
        <v>102.22280622852</v>
      </c>
      <c r="AK5744">
        <v>14.3519908978353</v>
      </c>
      <c r="AL5744">
        <v>66.702776345295206</v>
      </c>
      <c r="AM5744">
        <v>101.941675367378</v>
      </c>
      <c r="AN5744">
        <v>1.0000000062602199</v>
      </c>
    </row>
    <row r="5745" spans="1:40" x14ac:dyDescent="0.25">
      <c r="A5745" t="str">
        <f>"20190304164759085"</f>
        <v>20190304164759085</v>
      </c>
      <c r="B5745" t="str">
        <f>"1551689279075434"</f>
        <v>1551689279075434</v>
      </c>
      <c r="C5745" t="s">
        <v>40</v>
      </c>
      <c r="D5745">
        <v>4.0138290000000003</v>
      </c>
      <c r="E5745">
        <v>0.51030120000000001</v>
      </c>
      <c r="F5745" t="s">
        <v>42</v>
      </c>
      <c r="G5745">
        <v>-189.00470000000001</v>
      </c>
      <c r="H5745" s="1">
        <v>-2.1599510000000002E-6</v>
      </c>
      <c r="I5745">
        <v>-15.74385</v>
      </c>
      <c r="J5745">
        <v>-188.3176</v>
      </c>
      <c r="K5745">
        <v>1.1154580000000001</v>
      </c>
      <c r="L5745">
        <v>-29.87106</v>
      </c>
      <c r="M5745">
        <v>0.16186210000000001</v>
      </c>
      <c r="N5745">
        <v>-8.6189639999999998E-3</v>
      </c>
      <c r="O5745">
        <v>0.98677579999999998</v>
      </c>
      <c r="P5745">
        <v>-3.5687169999999997E-2</v>
      </c>
      <c r="Q5745">
        <v>0.38809660000000001</v>
      </c>
      <c r="R5745">
        <v>0.92092750000000001</v>
      </c>
      <c r="S5745">
        <v>-0.1482086</v>
      </c>
      <c r="T5745">
        <v>-0.2596984</v>
      </c>
      <c r="U5745">
        <v>3.3651430000000002</v>
      </c>
      <c r="V5745">
        <v>-0.18933410000000001</v>
      </c>
      <c r="W5745">
        <v>0.39347569999999998</v>
      </c>
      <c r="X5745">
        <v>0.89962739999999997</v>
      </c>
      <c r="Y5745">
        <v>-0.20495260000000001</v>
      </c>
      <c r="Z5745">
        <v>-6.5941890000000003E-2</v>
      </c>
      <c r="AA5745">
        <v>0.97654810000000003</v>
      </c>
      <c r="AB5745">
        <v>35</v>
      </c>
      <c r="AC5745">
        <v>-0.68710000000001503</v>
      </c>
      <c r="AD5745">
        <v>-1.1154601599509999</v>
      </c>
      <c r="AE5745">
        <v>14.1272099999999</v>
      </c>
      <c r="AF5745">
        <v>-2.94645742600038</v>
      </c>
      <c r="AG5745">
        <v>-1.1154601599509999</v>
      </c>
      <c r="AH5745">
        <v>13.7442016954223</v>
      </c>
      <c r="AI5745">
        <v>94.537231085306701</v>
      </c>
      <c r="AJ5745">
        <v>102.099824202684</v>
      </c>
      <c r="AK5745">
        <v>14.1006717207415</v>
      </c>
      <c r="AL5745">
        <v>66.829058605006395</v>
      </c>
      <c r="AM5745">
        <v>101.884929213372</v>
      </c>
      <c r="AN5745">
        <v>0.99999999337202905</v>
      </c>
    </row>
    <row r="5746" spans="1:40" x14ac:dyDescent="0.25">
      <c r="A5746" t="str">
        <f>"20190304164759108"</f>
        <v>20190304164759108</v>
      </c>
      <c r="B5746" t="str">
        <f>"1551689279104714"</f>
        <v>1551689279104714</v>
      </c>
      <c r="C5746" t="s">
        <v>40</v>
      </c>
      <c r="D5746">
        <v>3.9786739999999998</v>
      </c>
      <c r="E5746">
        <v>0.51108279999999995</v>
      </c>
      <c r="F5746" t="s">
        <v>42</v>
      </c>
      <c r="G5746">
        <v>-188.89689999999999</v>
      </c>
      <c r="H5746" s="1">
        <v>-2.323858E-6</v>
      </c>
      <c r="I5746">
        <v>-15.40634</v>
      </c>
      <c r="J5746">
        <v>-188.26480000000001</v>
      </c>
      <c r="K5746">
        <v>1.1154729999999999</v>
      </c>
      <c r="L5746">
        <v>-29.51605</v>
      </c>
      <c r="M5746">
        <v>0.1560182</v>
      </c>
      <c r="N5746">
        <v>-8.6274379999999994E-3</v>
      </c>
      <c r="O5746">
        <v>0.9877165</v>
      </c>
      <c r="P5746">
        <v>-3.976391E-2</v>
      </c>
      <c r="Q5746">
        <v>0.38633600000000001</v>
      </c>
      <c r="R5746">
        <v>0.9215006</v>
      </c>
      <c r="S5746">
        <v>-0.13462829999999901</v>
      </c>
      <c r="T5746">
        <v>-0.2592332</v>
      </c>
      <c r="U5746">
        <v>3.3616030000000001</v>
      </c>
      <c r="V5746">
        <v>-0.18809819999999999</v>
      </c>
      <c r="W5746">
        <v>0.3917387</v>
      </c>
      <c r="X5746">
        <v>0.90064419999999901</v>
      </c>
      <c r="Y5746">
        <v>-0.1952603</v>
      </c>
      <c r="Z5746">
        <v>-6.6073380000000001E-2</v>
      </c>
      <c r="AA5746">
        <v>0.97852329999999998</v>
      </c>
      <c r="AB5746">
        <v>35</v>
      </c>
      <c r="AC5746">
        <v>-0.63209999999997901</v>
      </c>
      <c r="AD5746">
        <v>-1.115475323858</v>
      </c>
      <c r="AE5746">
        <v>14.10971</v>
      </c>
      <c r="AF5746">
        <v>-2.8082954879774702</v>
      </c>
      <c r="AG5746">
        <v>-1.115475323858</v>
      </c>
      <c r="AH5746">
        <v>13.7525075685468</v>
      </c>
      <c r="AI5746">
        <v>94.543786082660006</v>
      </c>
      <c r="AJ5746">
        <v>101.54126503362301</v>
      </c>
      <c r="AK5746">
        <v>14.0805636665891</v>
      </c>
      <c r="AL5746">
        <v>66.937271692508901</v>
      </c>
      <c r="AM5746">
        <v>101.79657566960999</v>
      </c>
      <c r="AN5746">
        <v>1.0000000584572799</v>
      </c>
    </row>
    <row r="5747" spans="1:40" x14ac:dyDescent="0.25">
      <c r="A5747" t="str">
        <f>"20190304164759151"</f>
        <v>20190304164759151</v>
      </c>
      <c r="B5747" t="str">
        <f>"1551689279144730"</f>
        <v>1551689279144730</v>
      </c>
      <c r="C5747" t="s">
        <v>40</v>
      </c>
      <c r="D5747">
        <v>3.9257789999999999</v>
      </c>
      <c r="E5747">
        <v>0.51163859999999906</v>
      </c>
      <c r="F5747" t="s">
        <v>42</v>
      </c>
      <c r="G5747">
        <v>-188.87870000000001</v>
      </c>
      <c r="H5747" s="1">
        <v>-2.4982500000000002E-6</v>
      </c>
      <c r="I5747">
        <v>-15.00737</v>
      </c>
      <c r="J5747">
        <v>-188.17140000000001</v>
      </c>
      <c r="K5747">
        <v>1.115499</v>
      </c>
      <c r="L5747">
        <v>-28.850159999999999</v>
      </c>
      <c r="M5747">
        <v>0.14509059999999999</v>
      </c>
      <c r="N5747">
        <v>-8.6432560000000002E-3</v>
      </c>
      <c r="O5747">
        <v>0.98938060000000005</v>
      </c>
      <c r="P5747">
        <v>-4.6016439999999999E-2</v>
      </c>
      <c r="Q5747">
        <v>0.38496279999999999</v>
      </c>
      <c r="R5747">
        <v>0.92178419999999905</v>
      </c>
      <c r="S5747">
        <v>-0.1420746</v>
      </c>
      <c r="T5747">
        <v>-0.2581484</v>
      </c>
      <c r="U5747">
        <v>3.357666</v>
      </c>
      <c r="V5747">
        <v>-0.18432809999999999</v>
      </c>
      <c r="W5747">
        <v>0.39042860000000001</v>
      </c>
      <c r="X5747">
        <v>0.90199149999999995</v>
      </c>
      <c r="Y5747">
        <v>-0.1866283</v>
      </c>
      <c r="Z5747">
        <v>-6.6086030000000004E-2</v>
      </c>
      <c r="AA5747">
        <v>0.9802054</v>
      </c>
      <c r="AB5747">
        <v>35</v>
      </c>
      <c r="AC5747">
        <v>-0.70730000000000304</v>
      </c>
      <c r="AD5747">
        <v>-1.11550149825</v>
      </c>
      <c r="AE5747">
        <v>13.8427899999999</v>
      </c>
      <c r="AF5747">
        <v>-2.69092026494438</v>
      </c>
      <c r="AG5747">
        <v>-1.11550149825</v>
      </c>
      <c r="AH5747">
        <v>13.5061963633168</v>
      </c>
      <c r="AI5747">
        <v>94.630838652833603</v>
      </c>
      <c r="AJ5747">
        <v>101.267834818791</v>
      </c>
      <c r="AK5747">
        <v>13.8167556129997</v>
      </c>
      <c r="AL5747">
        <v>67.018829304944205</v>
      </c>
      <c r="AM5747">
        <v>101.549755589363</v>
      </c>
      <c r="AN5747">
        <v>1.0000000031098999</v>
      </c>
    </row>
    <row r="5748" spans="1:40" x14ac:dyDescent="0.25">
      <c r="A5748" t="str">
        <f>"20190304164759174"</f>
        <v>20190304164759174</v>
      </c>
      <c r="B5748" t="str">
        <f>"1551689279165129"</f>
        <v>1551689279165129</v>
      </c>
      <c r="C5748" t="s">
        <v>40</v>
      </c>
      <c r="D5748">
        <v>4.0130929999999996</v>
      </c>
      <c r="E5748">
        <v>0.51300449999999997</v>
      </c>
      <c r="F5748" t="s">
        <v>42</v>
      </c>
      <c r="G5748">
        <v>-188.8536</v>
      </c>
      <c r="H5748" s="1">
        <v>-2.7023470000000002E-6</v>
      </c>
      <c r="I5748">
        <v>-14.542020000000001</v>
      </c>
      <c r="J5748">
        <v>-188.12440000000001</v>
      </c>
      <c r="K5748">
        <v>1.115497</v>
      </c>
      <c r="L5748">
        <v>-28.49399</v>
      </c>
      <c r="M5748">
        <v>0.13927639999999999</v>
      </c>
      <c r="N5748">
        <v>-8.6513749999999993E-3</v>
      </c>
      <c r="O5748">
        <v>0.99021579999999998</v>
      </c>
      <c r="P5748">
        <v>-4.9519479999999998E-2</v>
      </c>
      <c r="Q5748">
        <v>0.38517210000000002</v>
      </c>
      <c r="R5748">
        <v>0.92151519999999998</v>
      </c>
      <c r="S5748">
        <v>-0.1600037</v>
      </c>
      <c r="T5748">
        <v>-0.26163009999999998</v>
      </c>
      <c r="U5748">
        <v>3.3558349999999999</v>
      </c>
      <c r="V5748">
        <v>-0.18244550000000001</v>
      </c>
      <c r="W5748">
        <v>0.39067010000000002</v>
      </c>
      <c r="X5748">
        <v>0.90226969999999995</v>
      </c>
      <c r="Y5748">
        <v>-0.1861022</v>
      </c>
      <c r="Z5748">
        <v>-6.7211409999999999E-2</v>
      </c>
      <c r="AA5748">
        <v>0.98022880000000001</v>
      </c>
      <c r="AB5748">
        <v>35</v>
      </c>
      <c r="AC5748">
        <v>-0.72919999999999097</v>
      </c>
      <c r="AD5748">
        <v>-1.1154997023469999</v>
      </c>
      <c r="AE5748">
        <v>13.951969999999999</v>
      </c>
      <c r="AF5748">
        <v>-2.64846108618269</v>
      </c>
      <c r="AG5748">
        <v>-1.1154997023469999</v>
      </c>
      <c r="AH5748">
        <v>13.627537257113501</v>
      </c>
      <c r="AI5748">
        <v>94.594010425078096</v>
      </c>
      <c r="AJ5748">
        <v>100.99812090224</v>
      </c>
      <c r="AK5748">
        <v>13.9272559179824</v>
      </c>
      <c r="AL5748">
        <v>67.003799799742893</v>
      </c>
      <c r="AM5748">
        <v>101.431484262892</v>
      </c>
      <c r="AN5748">
        <v>1.0000000495211701</v>
      </c>
    </row>
    <row r="5749" spans="1:40" x14ac:dyDescent="0.25">
      <c r="A5749" t="str">
        <f>"20190304164759286"</f>
        <v>20190304164759286</v>
      </c>
      <c r="B5749" t="str">
        <f>"1551689279275418"</f>
        <v>1551689279275418</v>
      </c>
      <c r="C5749" t="s">
        <v>40</v>
      </c>
      <c r="D5749">
        <v>3.7533750000000001</v>
      </c>
      <c r="E5749">
        <v>0.52478029999999998</v>
      </c>
      <c r="F5749" t="s">
        <v>42</v>
      </c>
      <c r="G5749">
        <v>-188.78049999999999</v>
      </c>
      <c r="H5749" s="1">
        <v>-2.501717E-6</v>
      </c>
      <c r="I5749">
        <v>-15.039870000000001</v>
      </c>
      <c r="J5749">
        <v>-187.92449999999999</v>
      </c>
      <c r="K5749">
        <v>1.1152610000000001</v>
      </c>
      <c r="L5749">
        <v>-26.756070000000001</v>
      </c>
      <c r="M5749">
        <v>0.1120212</v>
      </c>
      <c r="N5749">
        <v>-8.6745569999999994E-3</v>
      </c>
      <c r="O5749">
        <v>0.993668</v>
      </c>
      <c r="P5749">
        <v>-6.9784689999999996E-2</v>
      </c>
      <c r="Q5749">
        <v>0.38061469999999997</v>
      </c>
      <c r="R5749">
        <v>0.92209680000000005</v>
      </c>
      <c r="S5749">
        <v>-0.16403199999999901</v>
      </c>
      <c r="T5749">
        <v>-0.27885189999999999</v>
      </c>
      <c r="U5749">
        <v>3.363251</v>
      </c>
      <c r="V5749">
        <v>-0.17744499999999999</v>
      </c>
      <c r="W5749">
        <v>0.38631179999999998</v>
      </c>
      <c r="X5749">
        <v>0.90513889999999997</v>
      </c>
      <c r="Y5749">
        <v>-0.16010429999999901</v>
      </c>
      <c r="Z5749">
        <v>-7.2595019999999996E-2</v>
      </c>
      <c r="AA5749">
        <v>0.98442700000000005</v>
      </c>
      <c r="AB5749">
        <v>35</v>
      </c>
      <c r="AC5749">
        <v>-0.85599999999999399</v>
      </c>
      <c r="AD5749">
        <v>-1.1152635017170001</v>
      </c>
      <c r="AE5749">
        <v>11.716200000000001</v>
      </c>
      <c r="AF5749">
        <v>-2.1438017946805599</v>
      </c>
      <c r="AG5749">
        <v>-1.1152635017170001</v>
      </c>
      <c r="AH5749">
        <v>11.4434172668151</v>
      </c>
      <c r="AI5749">
        <v>95.471809026338505</v>
      </c>
      <c r="AJ5749">
        <v>100.610760359981</v>
      </c>
      <c r="AK5749">
        <v>11.695789736293101</v>
      </c>
      <c r="AL5749">
        <v>67.274796975418894</v>
      </c>
      <c r="AM5749">
        <v>101.091698270873</v>
      </c>
      <c r="AN5749">
        <v>0.99999998156872405</v>
      </c>
    </row>
    <row r="5750" spans="1:40" x14ac:dyDescent="0.25">
      <c r="A5750" t="str">
        <f>"20190304164759309"</f>
        <v>20190304164759309</v>
      </c>
      <c r="B5750" t="str">
        <f>"1551689279304697"</f>
        <v>1551689279304697</v>
      </c>
      <c r="C5750" t="s">
        <v>40</v>
      </c>
      <c r="D5750">
        <v>3.7686679999999999</v>
      </c>
      <c r="E5750">
        <v>0.53938009999999903</v>
      </c>
      <c r="F5750" t="s">
        <v>42</v>
      </c>
      <c r="G5750">
        <v>-188.15690000000001</v>
      </c>
      <c r="H5750" s="1">
        <v>-3.679581E-6</v>
      </c>
      <c r="I5750">
        <v>-22.552099999999999</v>
      </c>
      <c r="J5750">
        <v>-187.88820000000001</v>
      </c>
      <c r="K5750">
        <v>1.115156</v>
      </c>
      <c r="L5750">
        <v>-26.39246</v>
      </c>
      <c r="M5750">
        <v>0.1067009</v>
      </c>
      <c r="N5750">
        <v>-8.6757750000000002E-3</v>
      </c>
      <c r="O5750">
        <v>0.99425330000000001</v>
      </c>
      <c r="P5750">
        <v>-7.2147840000000005E-2</v>
      </c>
      <c r="Q5750">
        <v>0.3794669</v>
      </c>
      <c r="R5750">
        <v>0.92238799999999999</v>
      </c>
      <c r="S5750">
        <v>-0.2010498</v>
      </c>
      <c r="T5750">
        <v>-0.96470529999999999</v>
      </c>
      <c r="U5750">
        <v>3.636444</v>
      </c>
      <c r="V5750">
        <v>-0.17485229999999999</v>
      </c>
      <c r="W5750">
        <v>0.3852468</v>
      </c>
      <c r="X5750">
        <v>0.90609689999999998</v>
      </c>
      <c r="Y5750">
        <v>-0.15953970000000001</v>
      </c>
      <c r="Z5750">
        <v>-0.2439916</v>
      </c>
      <c r="AA5750">
        <v>0.95656419999999998</v>
      </c>
      <c r="AB5750">
        <v>35</v>
      </c>
      <c r="AC5750">
        <v>-0.268699999999995</v>
      </c>
      <c r="AD5750">
        <v>-1.1151596795809999</v>
      </c>
      <c r="AE5750">
        <v>3.8403599999999898</v>
      </c>
      <c r="AF5750">
        <v>-0.62454607930594896</v>
      </c>
      <c r="AG5750">
        <v>-1.1151596795809999</v>
      </c>
      <c r="AH5750">
        <v>3.4963840974207101</v>
      </c>
      <c r="AI5750">
        <v>107.43107903903901</v>
      </c>
      <c r="AJ5750">
        <v>100.127717176495</v>
      </c>
      <c r="AK5750">
        <v>3.72267923313788</v>
      </c>
      <c r="AL5750">
        <v>67.340937429437801</v>
      </c>
      <c r="AM5750">
        <v>100.922286210853</v>
      </c>
      <c r="AN5750">
        <v>1.0000000079575699</v>
      </c>
    </row>
    <row r="5751" spans="1:40" x14ac:dyDescent="0.25">
      <c r="A5751" t="str">
        <f>"20190304164759333"</f>
        <v>20190304164759333</v>
      </c>
      <c r="B5751" t="str">
        <f>"1551689279325193"</f>
        <v>1551689279325193</v>
      </c>
      <c r="C5751" t="s">
        <v>40</v>
      </c>
      <c r="D5751">
        <v>3.7740260000000001</v>
      </c>
      <c r="E5751">
        <v>0.5393985</v>
      </c>
      <c r="F5751" t="s">
        <v>42</v>
      </c>
      <c r="G5751">
        <v>-188.02449999999999</v>
      </c>
      <c r="H5751" s="1">
        <v>-3.6323540000000002E-6</v>
      </c>
      <c r="I5751">
        <v>-12.71696</v>
      </c>
      <c r="J5751">
        <v>-187.85169999999999</v>
      </c>
      <c r="K5751">
        <v>1.1150199999999999</v>
      </c>
      <c r="L5751">
        <v>-26.006350000000001</v>
      </c>
      <c r="M5751">
        <v>0.1012377</v>
      </c>
      <c r="N5751">
        <v>-8.676553E-3</v>
      </c>
      <c r="O5751">
        <v>0.99482440000000005</v>
      </c>
      <c r="P5751">
        <v>-7.4396249999999997E-2</v>
      </c>
      <c r="Q5751">
        <v>0.37846249999999998</v>
      </c>
      <c r="R5751">
        <v>0.92262200000000005</v>
      </c>
      <c r="S5751">
        <v>-3.3493040000000002E-2</v>
      </c>
      <c r="T5751">
        <v>-0.274202</v>
      </c>
      <c r="U5751">
        <v>3.3626100000000001</v>
      </c>
      <c r="V5751">
        <v>-0.171988</v>
      </c>
      <c r="W5751">
        <v>0.38433580000000001</v>
      </c>
      <c r="X5751">
        <v>0.90703149999999999</v>
      </c>
      <c r="Y5751">
        <v>-0.1110749</v>
      </c>
      <c r="Z5751">
        <v>-7.1740059999999994E-2</v>
      </c>
      <c r="AA5751">
        <v>0.99121930000000003</v>
      </c>
      <c r="AB5751">
        <v>35</v>
      </c>
      <c r="AC5751">
        <v>-0.17279999999999501</v>
      </c>
      <c r="AD5751">
        <v>-1.1150236323539999</v>
      </c>
      <c r="AE5751">
        <v>13.289389999999999</v>
      </c>
      <c r="AF5751">
        <v>-1.5067447616995</v>
      </c>
      <c r="AG5751">
        <v>-1.1150236323539999</v>
      </c>
      <c r="AH5751">
        <v>13.1113279156235</v>
      </c>
      <c r="AI5751">
        <v>94.829263506130701</v>
      </c>
      <c r="AJ5751">
        <v>96.555633525273905</v>
      </c>
      <c r="AK5751">
        <v>13.2446395643153</v>
      </c>
      <c r="AL5751">
        <v>67.397488148010396</v>
      </c>
      <c r="AM5751">
        <v>100.736749811281</v>
      </c>
      <c r="AN5751">
        <v>1.00000001064894</v>
      </c>
    </row>
    <row r="5752" spans="1:40" x14ac:dyDescent="0.25">
      <c r="A5752" t="str">
        <f>"20190304164759356"</f>
        <v>20190304164759356</v>
      </c>
      <c r="B5752" t="str">
        <f>"1551689279344712"</f>
        <v>1551689279344712</v>
      </c>
      <c r="C5752" t="s">
        <v>40</v>
      </c>
      <c r="D5752">
        <v>3.786864</v>
      </c>
      <c r="E5752">
        <v>0.53928209999999999</v>
      </c>
      <c r="F5752" t="s">
        <v>42</v>
      </c>
      <c r="G5752">
        <v>-188.0333</v>
      </c>
      <c r="H5752" s="1">
        <v>-3.747802E-6</v>
      </c>
      <c r="I5752">
        <v>-12.444179999999999</v>
      </c>
      <c r="J5752">
        <v>-187.82050000000001</v>
      </c>
      <c r="K5752">
        <v>1.1149</v>
      </c>
      <c r="L5752">
        <v>-25.658940000000001</v>
      </c>
      <c r="M5752">
        <v>9.6517710000000007E-2</v>
      </c>
      <c r="N5752">
        <v>-8.6770579999999996E-3</v>
      </c>
      <c r="O5752">
        <v>0.99529339999999999</v>
      </c>
      <c r="P5752">
        <v>-7.5000220000000006E-2</v>
      </c>
      <c r="Q5752">
        <v>0.37755929999999999</v>
      </c>
      <c r="R5752">
        <v>0.92294310000000002</v>
      </c>
      <c r="S5752">
        <v>-4.5028690000000003E-2</v>
      </c>
      <c r="T5752">
        <v>-0.27635419999999999</v>
      </c>
      <c r="U5752">
        <v>3.3613279999999999</v>
      </c>
      <c r="V5752">
        <v>-0.16817739999999901</v>
      </c>
      <c r="W5752">
        <v>0.38353569999999998</v>
      </c>
      <c r="X5752">
        <v>0.90808409999999995</v>
      </c>
      <c r="Y5752">
        <v>-0.1097654</v>
      </c>
      <c r="Z5752">
        <v>-7.2458179999999997E-2</v>
      </c>
      <c r="AA5752">
        <v>0.991313</v>
      </c>
      <c r="AB5752">
        <v>35</v>
      </c>
      <c r="AC5752">
        <v>-0.212799999999987</v>
      </c>
      <c r="AD5752">
        <v>-1.1149037478020001</v>
      </c>
      <c r="AE5752">
        <v>13.21476</v>
      </c>
      <c r="AF5752">
        <v>-1.47680374597228</v>
      </c>
      <c r="AG5752">
        <v>-1.1149037478020001</v>
      </c>
      <c r="AH5752">
        <v>13.039727081215901</v>
      </c>
      <c r="AI5752">
        <v>94.856041066231697</v>
      </c>
      <c r="AJ5752">
        <v>96.461455062060395</v>
      </c>
      <c r="AK5752">
        <v>13.170362258631201</v>
      </c>
      <c r="AL5752">
        <v>67.447135274886705</v>
      </c>
      <c r="AM5752">
        <v>100.492311398537</v>
      </c>
      <c r="AN5752">
        <v>1.00000000185902</v>
      </c>
    </row>
    <row r="5753" spans="1:40" x14ac:dyDescent="0.25">
      <c r="A5753" t="str">
        <f>"20190304164759397"</f>
        <v>20190304164759397</v>
      </c>
      <c r="B5753" t="str">
        <f>"1551689279394998"</f>
        <v>1551689279394998</v>
      </c>
      <c r="C5753" t="s">
        <v>40</v>
      </c>
      <c r="D5753">
        <v>3.7460719999999998</v>
      </c>
      <c r="E5753">
        <v>0.53939619999999999</v>
      </c>
      <c r="F5753" t="s">
        <v>42</v>
      </c>
      <c r="G5753">
        <v>-188.0301</v>
      </c>
      <c r="H5753" s="1">
        <v>-3.9179999999999996E-6</v>
      </c>
      <c r="I5753">
        <v>-12.048769999999999</v>
      </c>
      <c r="J5753">
        <v>-187.7653</v>
      </c>
      <c r="K5753">
        <v>1.1146579999999999</v>
      </c>
      <c r="L5753">
        <v>-24.996549999999999</v>
      </c>
      <c r="M5753">
        <v>8.7979909999999995E-2</v>
      </c>
      <c r="N5753">
        <v>-8.6783209999999993E-3</v>
      </c>
      <c r="O5753">
        <v>0.99608450000000004</v>
      </c>
      <c r="P5753">
        <v>-7.6854469999999994E-2</v>
      </c>
      <c r="Q5753">
        <v>0.3737877</v>
      </c>
      <c r="R5753">
        <v>0.92432479999999995</v>
      </c>
      <c r="S5753">
        <v>-5.1727290000000002E-2</v>
      </c>
      <c r="T5753">
        <v>-0.27514480000000002</v>
      </c>
      <c r="U5753">
        <v>3.3588260000000001</v>
      </c>
      <c r="V5753">
        <v>-0.162067299999999</v>
      </c>
      <c r="W5753">
        <v>0.37994729999999999</v>
      </c>
      <c r="X5753">
        <v>0.91069979999999995</v>
      </c>
      <c r="Y5753">
        <v>-0.1032298</v>
      </c>
      <c r="Z5753">
        <v>-7.2287799999999999E-2</v>
      </c>
      <c r="AA5753">
        <v>0.99202729999999995</v>
      </c>
      <c r="AB5753">
        <v>36</v>
      </c>
      <c r="AC5753">
        <v>-0.26480000000000797</v>
      </c>
      <c r="AD5753">
        <v>-1.1146619179999999</v>
      </c>
      <c r="AE5753">
        <v>12.94778</v>
      </c>
      <c r="AF5753">
        <v>-1.3926434357426101</v>
      </c>
      <c r="AG5753">
        <v>-1.1146619179999999</v>
      </c>
      <c r="AH5753">
        <v>12.779595889849199</v>
      </c>
      <c r="AI5753">
        <v>94.955646307058501</v>
      </c>
      <c r="AJ5753">
        <v>96.219208269132807</v>
      </c>
      <c r="AK5753">
        <v>12.9034878245537</v>
      </c>
      <c r="AL5753">
        <v>67.669580323796595</v>
      </c>
      <c r="AM5753">
        <v>100.090667363362</v>
      </c>
      <c r="AN5753">
        <v>0.99999994311330798</v>
      </c>
    </row>
    <row r="5754" spans="1:40" x14ac:dyDescent="0.25">
      <c r="A5754" t="str">
        <f>"20190304164759421"</f>
        <v>20190304164759421</v>
      </c>
      <c r="B5754" t="str">
        <f>"1551689279415493"</f>
        <v>1551689279415493</v>
      </c>
      <c r="C5754" t="s">
        <v>40</v>
      </c>
      <c r="D5754">
        <v>3.7642890000000002</v>
      </c>
      <c r="E5754">
        <v>0.53939769999999998</v>
      </c>
      <c r="F5754" t="s">
        <v>42</v>
      </c>
      <c r="G5754">
        <v>-188.00450000000001</v>
      </c>
      <c r="H5754" s="1">
        <v>-4.0025759999999998E-6</v>
      </c>
      <c r="I5754">
        <v>-11.862220000000001</v>
      </c>
      <c r="J5754">
        <v>-187.73660000000001</v>
      </c>
      <c r="K5754">
        <v>1.1145370000000001</v>
      </c>
      <c r="L5754">
        <v>-24.625889999999998</v>
      </c>
      <c r="M5754">
        <v>8.3429999999999893E-2</v>
      </c>
      <c r="N5754">
        <v>-8.6803709999999992E-3</v>
      </c>
      <c r="O5754">
        <v>0.99647580000000002</v>
      </c>
      <c r="P5754">
        <v>-7.8904989999999994E-2</v>
      </c>
      <c r="Q5754">
        <v>0.37260840000000001</v>
      </c>
      <c r="R5754">
        <v>0.92462800000000001</v>
      </c>
      <c r="S5754">
        <v>-6.1126710000000001E-2</v>
      </c>
      <c r="T5754">
        <v>-0.28478409999999998</v>
      </c>
      <c r="U5754">
        <v>3.3556819999999998</v>
      </c>
      <c r="V5754">
        <v>-0.1598407</v>
      </c>
      <c r="W5754">
        <v>0.3788453</v>
      </c>
      <c r="X5754">
        <v>0.91155209999999998</v>
      </c>
      <c r="Y5754">
        <v>-0.10147490000000001</v>
      </c>
      <c r="Z5754">
        <v>-7.5236129999999998E-2</v>
      </c>
      <c r="AA5754">
        <v>0.99198909999999996</v>
      </c>
      <c r="AB5754">
        <v>36</v>
      </c>
      <c r="AC5754">
        <v>-0.26789999999999697</v>
      </c>
      <c r="AD5754">
        <v>-1.1145410025759901</v>
      </c>
      <c r="AE5754">
        <v>12.763669999999999</v>
      </c>
      <c r="AF5754">
        <v>-1.3218047290088399</v>
      </c>
      <c r="AG5754">
        <v>-1.1145410025759901</v>
      </c>
      <c r="AH5754">
        <v>12.6007772877576</v>
      </c>
      <c r="AI5754">
        <v>95.027226762494095</v>
      </c>
      <c r="AJ5754">
        <v>95.988350195724493</v>
      </c>
      <c r="AK5754">
        <v>12.718842622020301</v>
      </c>
      <c r="AL5754">
        <v>67.737824279238197</v>
      </c>
      <c r="AM5754">
        <v>99.945704376817801</v>
      </c>
      <c r="AN5754">
        <v>1.0000000208614901</v>
      </c>
    </row>
    <row r="5755" spans="1:40" x14ac:dyDescent="0.25">
      <c r="A5755" t="str">
        <f>"20190304164759440"</f>
        <v>20190304164759440</v>
      </c>
      <c r="B5755" t="str">
        <f>"1551689279435013"</f>
        <v>1551689279435013</v>
      </c>
      <c r="C5755" t="s">
        <v>40</v>
      </c>
      <c r="D5755">
        <v>3.7586889999999999</v>
      </c>
      <c r="E5755">
        <v>0.53940589999999999</v>
      </c>
      <c r="F5755" t="s">
        <v>42</v>
      </c>
      <c r="G5755">
        <v>-188.00210000000001</v>
      </c>
      <c r="H5755" s="1">
        <v>-4.080885E-6</v>
      </c>
      <c r="I5755">
        <v>-11.68065</v>
      </c>
      <c r="J5755">
        <v>-187.71360000000001</v>
      </c>
      <c r="K5755">
        <v>1.1144430000000001</v>
      </c>
      <c r="L5755">
        <v>-24.312069999999999</v>
      </c>
      <c r="M5755">
        <v>7.9687270000000004E-2</v>
      </c>
      <c r="N5755">
        <v>-8.6827580000000005E-3</v>
      </c>
      <c r="O5755">
        <v>0.9967821</v>
      </c>
      <c r="P5755">
        <v>-8.0555249999999995E-2</v>
      </c>
      <c r="Q5755">
        <v>0.3716083</v>
      </c>
      <c r="R5755">
        <v>0.92488809999999999</v>
      </c>
      <c r="S5755">
        <v>-6.8817139999999999E-2</v>
      </c>
      <c r="T5755">
        <v>-0.28886060000000002</v>
      </c>
      <c r="U5755">
        <v>3.3550719999999998</v>
      </c>
      <c r="V5755">
        <v>-0.157975799999999</v>
      </c>
      <c r="W5755">
        <v>0.37790780000000002</v>
      </c>
      <c r="X5755">
        <v>0.91226609999999997</v>
      </c>
      <c r="Y5755">
        <v>-0.1000132</v>
      </c>
      <c r="Z5755">
        <v>-7.6485449999999996E-2</v>
      </c>
      <c r="AA5755">
        <v>0.99204199999999998</v>
      </c>
      <c r="AB5755">
        <v>36</v>
      </c>
      <c r="AC5755">
        <v>-0.28849999999999898</v>
      </c>
      <c r="AD5755">
        <v>-1.114447080885</v>
      </c>
      <c r="AE5755">
        <v>12.63142</v>
      </c>
      <c r="AF5755">
        <v>-1.2841925803807499</v>
      </c>
      <c r="AG5755">
        <v>-1.114447080885</v>
      </c>
      <c r="AH5755">
        <v>12.471229255289799</v>
      </c>
      <c r="AI5755">
        <v>95.079751563207495</v>
      </c>
      <c r="AJ5755">
        <v>95.879163605199295</v>
      </c>
      <c r="AK5755">
        <v>12.586608042582199</v>
      </c>
      <c r="AL5755">
        <v>67.795854073966396</v>
      </c>
      <c r="AM5755">
        <v>99.824397845146507</v>
      </c>
      <c r="AN5755">
        <v>1.0000000479478399</v>
      </c>
    </row>
    <row r="5756" spans="1:40" x14ac:dyDescent="0.25">
      <c r="A5756" t="str">
        <f>"20190304164759464"</f>
        <v>20190304164759464</v>
      </c>
      <c r="B5756" t="str">
        <f>"1551689279455510"</f>
        <v>1551689279455510</v>
      </c>
      <c r="C5756" t="s">
        <v>40</v>
      </c>
      <c r="D5756">
        <v>3.7794120000000002</v>
      </c>
      <c r="E5756">
        <v>0.53947279999999997</v>
      </c>
      <c r="F5756" t="s">
        <v>42</v>
      </c>
      <c r="G5756">
        <v>-187.99879999999999</v>
      </c>
      <c r="H5756" s="1">
        <v>-4.1910540000000004E-6</v>
      </c>
      <c r="I5756">
        <v>-11.425240000000001</v>
      </c>
      <c r="J5756">
        <v>-187.68709999999999</v>
      </c>
      <c r="K5756">
        <v>1.1143259999999999</v>
      </c>
      <c r="L5756">
        <v>-23.930910000000001</v>
      </c>
      <c r="M5756">
        <v>7.5311329999999996E-2</v>
      </c>
      <c r="N5756">
        <v>-8.6852609999999997E-3</v>
      </c>
      <c r="O5756">
        <v>0.99712219999999996</v>
      </c>
      <c r="P5756">
        <v>-8.287543E-2</v>
      </c>
      <c r="Q5756">
        <v>0.37005710000000003</v>
      </c>
      <c r="R5756">
        <v>0.92530500000000004</v>
      </c>
      <c r="S5756">
        <v>-7.421875E-2</v>
      </c>
      <c r="T5756">
        <v>-0.29002630000000001</v>
      </c>
      <c r="U5756">
        <v>3.3536990000000002</v>
      </c>
      <c r="V5756">
        <v>-0.15617420000000001</v>
      </c>
      <c r="W5756">
        <v>0.37643009999999999</v>
      </c>
      <c r="X5756">
        <v>0.91318670000000002</v>
      </c>
      <c r="Y5756">
        <v>-9.7251329999999997E-2</v>
      </c>
      <c r="Z5756">
        <v>-7.691315E-2</v>
      </c>
      <c r="AA5756">
        <v>0.99228349999999998</v>
      </c>
      <c r="AB5756">
        <v>36</v>
      </c>
      <c r="AC5756">
        <v>-0.31170000000000098</v>
      </c>
      <c r="AD5756">
        <v>-1.114330191054</v>
      </c>
      <c r="AE5756">
        <v>12.50567</v>
      </c>
      <c r="AF5756">
        <v>-1.2428073199123</v>
      </c>
      <c r="AG5756">
        <v>-1.114330191054</v>
      </c>
      <c r="AH5756">
        <v>12.348690417551101</v>
      </c>
      <c r="AI5756">
        <v>95.130554008640203</v>
      </c>
      <c r="AJ5756">
        <v>95.747058368449402</v>
      </c>
      <c r="AK5756">
        <v>12.460997425472801</v>
      </c>
      <c r="AL5756">
        <v>67.887270058959899</v>
      </c>
      <c r="AM5756">
        <v>99.7048975006212</v>
      </c>
      <c r="AN5756">
        <v>0.99999997499426896</v>
      </c>
    </row>
    <row r="5757" spans="1:40" x14ac:dyDescent="0.25">
      <c r="A5757" t="str">
        <f>"20190304164759487"</f>
        <v>20190304164759487</v>
      </c>
      <c r="B5757" t="str">
        <f>"1551689279475029"</f>
        <v>1551689279475029</v>
      </c>
      <c r="C5757" t="s">
        <v>40</v>
      </c>
      <c r="D5757">
        <v>3.7909299999999999</v>
      </c>
      <c r="E5757">
        <v>0.53943299999999905</v>
      </c>
      <c r="F5757" t="s">
        <v>42</v>
      </c>
      <c r="G5757">
        <v>-188.0001</v>
      </c>
      <c r="H5757" s="1">
        <v>-4.2974910000000003E-6</v>
      </c>
      <c r="I5757">
        <v>-11.17658</v>
      </c>
      <c r="J5757">
        <v>-187.66319999999999</v>
      </c>
      <c r="K5757">
        <v>1.114185</v>
      </c>
      <c r="L5757">
        <v>-23.56747</v>
      </c>
      <c r="M5757">
        <v>7.1315630000000005E-2</v>
      </c>
      <c r="N5757">
        <v>-8.6863800000000005E-3</v>
      </c>
      <c r="O5757">
        <v>0.99741599999999997</v>
      </c>
      <c r="P5757">
        <v>-8.4553110000000001E-2</v>
      </c>
      <c r="Q5757">
        <v>0.36838470000000001</v>
      </c>
      <c r="R5757">
        <v>0.92582039999999999</v>
      </c>
      <c r="S5757">
        <v>-8.2260130000000001E-2</v>
      </c>
      <c r="T5757">
        <v>-0.2928538</v>
      </c>
      <c r="U5757">
        <v>3.3519290000000002</v>
      </c>
      <c r="V5757">
        <v>-0.15407290000000001</v>
      </c>
      <c r="W5757">
        <v>0.3748379</v>
      </c>
      <c r="X5757">
        <v>0.91419810000000001</v>
      </c>
      <c r="Y5757">
        <v>-9.5653000000000002E-2</v>
      </c>
      <c r="Z5757">
        <v>-7.7828240000000007E-2</v>
      </c>
      <c r="AA5757">
        <v>0.99236749999999996</v>
      </c>
      <c r="AB5757">
        <v>36</v>
      </c>
      <c r="AC5757">
        <v>-0.33690000000001402</v>
      </c>
      <c r="AD5757">
        <v>-1.1141892974909999</v>
      </c>
      <c r="AE5757">
        <v>12.390889999999899</v>
      </c>
      <c r="AF5757">
        <v>-1.2099634946615101</v>
      </c>
      <c r="AG5757">
        <v>-1.1141892974909999</v>
      </c>
      <c r="AH5757">
        <v>12.236444707118199</v>
      </c>
      <c r="AI5757">
        <v>95.177606862295804</v>
      </c>
      <c r="AJ5757">
        <v>95.647160759917696</v>
      </c>
      <c r="AK5757">
        <v>12.346497824056</v>
      </c>
      <c r="AL5757">
        <v>67.9857064543707</v>
      </c>
      <c r="AM5757">
        <v>99.566354984383693</v>
      </c>
      <c r="AN5757">
        <v>1.00000003791721</v>
      </c>
    </row>
    <row r="5758" spans="1:40" x14ac:dyDescent="0.25">
      <c r="A5758" t="str">
        <f>"20190304164759512"</f>
        <v>20190304164759512</v>
      </c>
      <c r="B5758" t="str">
        <f>"1551689279505287"</f>
        <v>1551689279505287</v>
      </c>
      <c r="C5758" t="s">
        <v>40</v>
      </c>
      <c r="D5758">
        <v>3.7960560000000001</v>
      </c>
      <c r="E5758">
        <v>0.53970059999999997</v>
      </c>
      <c r="F5758" t="s">
        <v>42</v>
      </c>
      <c r="G5758">
        <v>-188.00200000000001</v>
      </c>
      <c r="H5758" s="1">
        <v>-4.3698759999999996E-6</v>
      </c>
      <c r="I5758">
        <v>-11.007059999999999</v>
      </c>
      <c r="J5758">
        <v>-187.63910000000001</v>
      </c>
      <c r="K5758">
        <v>1.1140190000000001</v>
      </c>
      <c r="L5758">
        <v>-23.178709999999999</v>
      </c>
      <c r="M5758">
        <v>6.7238229999999996E-2</v>
      </c>
      <c r="N5758">
        <v>-8.686615E-3</v>
      </c>
      <c r="O5758">
        <v>0.99769909999999995</v>
      </c>
      <c r="P5758">
        <v>-8.6665619999999999E-2</v>
      </c>
      <c r="Q5758">
        <v>0.36721169999999997</v>
      </c>
      <c r="R5758">
        <v>0.92609109999999994</v>
      </c>
      <c r="S5758">
        <v>-9.036255E-2</v>
      </c>
      <c r="T5758">
        <v>-0.29719950000000001</v>
      </c>
      <c r="U5758">
        <v>3.3503720000000001</v>
      </c>
      <c r="V5758">
        <v>-0.15228910000000001</v>
      </c>
      <c r="W5758">
        <v>0.373747</v>
      </c>
      <c r="X5758">
        <v>0.91494330000000001</v>
      </c>
      <c r="Y5758">
        <v>-9.399122E-2</v>
      </c>
      <c r="Z5758">
        <v>-7.9184409999999997E-2</v>
      </c>
      <c r="AA5758">
        <v>0.99241900000000005</v>
      </c>
      <c r="AB5758">
        <v>36</v>
      </c>
      <c r="AC5758">
        <v>-0.362899999999996</v>
      </c>
      <c r="AD5758">
        <v>-1.114023369876</v>
      </c>
      <c r="AE5758">
        <v>12.1716499999999</v>
      </c>
      <c r="AF5758">
        <v>-1.17071142024857</v>
      </c>
      <c r="AG5758">
        <v>-1.114023369876</v>
      </c>
      <c r="AH5758">
        <v>12.019106280806</v>
      </c>
      <c r="AI5758">
        <v>95.270681837316005</v>
      </c>
      <c r="AJ5758">
        <v>95.563299724365507</v>
      </c>
      <c r="AK5758">
        <v>12.127263874734499</v>
      </c>
      <c r="AL5758">
        <v>68.053109429903003</v>
      </c>
      <c r="AM5758">
        <v>99.450047476569196</v>
      </c>
      <c r="AN5758">
        <v>1.00000001610134</v>
      </c>
    </row>
    <row r="5759" spans="1:40" x14ac:dyDescent="0.25">
      <c r="A5759" t="str">
        <f>"20190304164759535"</f>
        <v>20190304164759535</v>
      </c>
      <c r="B5759" t="str">
        <f>"1551689279524806"</f>
        <v>1551689279524806</v>
      </c>
      <c r="C5759" t="s">
        <v>40</v>
      </c>
      <c r="D5759">
        <v>3.8160859999999999</v>
      </c>
      <c r="E5759">
        <v>0.53995079999999995</v>
      </c>
      <c r="F5759" t="s">
        <v>42</v>
      </c>
      <c r="G5759">
        <v>-188.00129999999999</v>
      </c>
      <c r="H5759" s="1">
        <v>-4.5374290000000001E-6</v>
      </c>
      <c r="I5759">
        <v>-10.61679</v>
      </c>
      <c r="J5759">
        <v>-187.6174</v>
      </c>
      <c r="K5759">
        <v>1.1138509999999999</v>
      </c>
      <c r="L5759">
        <v>-22.808810000000001</v>
      </c>
      <c r="M5759">
        <v>6.3566739999999997E-2</v>
      </c>
      <c r="N5759">
        <v>-8.6866949999999995E-3</v>
      </c>
      <c r="O5759">
        <v>0.99793980000000004</v>
      </c>
      <c r="P5759">
        <v>-8.8198670000000007E-2</v>
      </c>
      <c r="Q5759">
        <v>0.36620979999999997</v>
      </c>
      <c r="R5759">
        <v>0.92634300000000003</v>
      </c>
      <c r="S5759">
        <v>-9.6527100000000005E-2</v>
      </c>
      <c r="T5759">
        <v>-0.2969193</v>
      </c>
      <c r="U5759">
        <v>3.3481139999999998</v>
      </c>
      <c r="V5759">
        <v>-0.15029129999999999</v>
      </c>
      <c r="W5759">
        <v>0.37283179999999999</v>
      </c>
      <c r="X5759">
        <v>0.91564679999999998</v>
      </c>
      <c r="Y5759">
        <v>-9.2172580000000004E-2</v>
      </c>
      <c r="Z5759">
        <v>-7.9197909999999996E-2</v>
      </c>
      <c r="AA5759">
        <v>0.99258849999999998</v>
      </c>
      <c r="AB5759">
        <v>36</v>
      </c>
      <c r="AC5759">
        <v>-0.38389999999998198</v>
      </c>
      <c r="AD5759">
        <v>-1.113855537429</v>
      </c>
      <c r="AE5759">
        <v>12.192019999999999</v>
      </c>
      <c r="AF5759">
        <v>-1.1485825398071801</v>
      </c>
      <c r="AG5759">
        <v>-1.113855537429</v>
      </c>
      <c r="AH5759">
        <v>12.042542691505099</v>
      </c>
      <c r="AI5759">
        <v>95.260706557382207</v>
      </c>
      <c r="AJ5759">
        <v>95.448223503701996</v>
      </c>
      <c r="AK5759">
        <v>12.1483641073906</v>
      </c>
      <c r="AL5759">
        <v>68.109632932888701</v>
      </c>
      <c r="AM5759">
        <v>99.321229339908797</v>
      </c>
      <c r="AN5759">
        <v>1.0000000441485799</v>
      </c>
    </row>
    <row r="5760" spans="1:40" x14ac:dyDescent="0.25">
      <c r="A5760" t="str">
        <f>"20190304164759557"</f>
        <v>20190304164759557</v>
      </c>
      <c r="B5760" t="str">
        <f>"1551689279545302"</f>
        <v>1551689279545302</v>
      </c>
      <c r="C5760" t="s">
        <v>40</v>
      </c>
      <c r="D5760">
        <v>3.82917</v>
      </c>
      <c r="E5760">
        <v>0.54016619999999904</v>
      </c>
      <c r="F5760" t="s">
        <v>42</v>
      </c>
      <c r="G5760">
        <v>-187.99270000000001</v>
      </c>
      <c r="H5760" s="1">
        <v>-5.5144649999999898E-7</v>
      </c>
      <c r="I5760">
        <v>-10.30092</v>
      </c>
      <c r="J5760">
        <v>-187.5968</v>
      </c>
      <c r="K5760">
        <v>1.113653</v>
      </c>
      <c r="L5760">
        <v>-22.434480000000001</v>
      </c>
      <c r="M5760">
        <v>6.0092100000000002E-2</v>
      </c>
      <c r="N5760">
        <v>-8.6867609999999994E-3</v>
      </c>
      <c r="O5760">
        <v>0.99815509999999996</v>
      </c>
      <c r="P5760">
        <v>-8.9390360000000002E-2</v>
      </c>
      <c r="Q5760">
        <v>0.36470999999999998</v>
      </c>
      <c r="R5760">
        <v>0.92682030000000004</v>
      </c>
      <c r="S5760">
        <v>-0.1004181</v>
      </c>
      <c r="T5760">
        <v>-0.298039099999999</v>
      </c>
      <c r="U5760">
        <v>3.3468019999999998</v>
      </c>
      <c r="V5760">
        <v>-0.14812979999999901</v>
      </c>
      <c r="W5760">
        <v>0.37142389999999997</v>
      </c>
      <c r="X5760">
        <v>0.91657069999999996</v>
      </c>
      <c r="Y5760">
        <v>-8.9869879999999999E-2</v>
      </c>
      <c r="Z5760">
        <v>-7.9597730000000005E-2</v>
      </c>
      <c r="AA5760">
        <v>0.99276759999999997</v>
      </c>
      <c r="AB5760">
        <v>36</v>
      </c>
      <c r="AC5760">
        <v>-0.39590000000001102</v>
      </c>
      <c r="AD5760">
        <v>-1.1136535514465</v>
      </c>
      <c r="AE5760">
        <v>12.1335599999999</v>
      </c>
      <c r="AF5760">
        <v>-1.11496050286977</v>
      </c>
      <c r="AG5760">
        <v>-1.1136535514465</v>
      </c>
      <c r="AH5760">
        <v>11.9869675919561</v>
      </c>
      <c r="AI5760">
        <v>95.285165162456394</v>
      </c>
      <c r="AJ5760">
        <v>95.314042169173604</v>
      </c>
      <c r="AK5760">
        <v>12.0901097268063</v>
      </c>
      <c r="AL5760">
        <v>68.196540277553694</v>
      </c>
      <c r="AM5760">
        <v>99.180369043713199</v>
      </c>
      <c r="AN5760">
        <v>0.99999999961886998</v>
      </c>
    </row>
    <row r="5761" spans="1:40" x14ac:dyDescent="0.25">
      <c r="A5761" t="str">
        <f>"20190304164759599"</f>
        <v>20190304164759599</v>
      </c>
      <c r="B5761" t="str">
        <f>"1551689279595078"</f>
        <v>1551689279595078</v>
      </c>
      <c r="C5761" t="s">
        <v>40</v>
      </c>
      <c r="D5761">
        <v>3.848042</v>
      </c>
      <c r="E5761">
        <v>0.54091460000000002</v>
      </c>
      <c r="F5761" t="s">
        <v>42</v>
      </c>
      <c r="G5761">
        <v>-187.9743</v>
      </c>
      <c r="H5761" s="1">
        <v>-6.3285269999999995E-7</v>
      </c>
      <c r="I5761">
        <v>-10.076079999999999</v>
      </c>
      <c r="J5761">
        <v>-187.56219999999999</v>
      </c>
      <c r="K5761">
        <v>1.113335</v>
      </c>
      <c r="L5761">
        <v>-21.758389999999999</v>
      </c>
      <c r="M5761">
        <v>5.4296200000000003E-2</v>
      </c>
      <c r="N5761">
        <v>-8.6888099999999999E-3</v>
      </c>
      <c r="O5761">
        <v>0.99848709999999996</v>
      </c>
      <c r="P5761">
        <v>-8.9928809999999998E-2</v>
      </c>
      <c r="Q5761">
        <v>0.36122460000000001</v>
      </c>
      <c r="R5761">
        <v>0.92813230000000002</v>
      </c>
      <c r="S5761">
        <v>-0.1022034</v>
      </c>
      <c r="T5761">
        <v>-0.30148629999999998</v>
      </c>
      <c r="U5761">
        <v>3.3456419999999998</v>
      </c>
      <c r="V5761">
        <v>-0.14309330000000001</v>
      </c>
      <c r="W5761">
        <v>0.3681064</v>
      </c>
      <c r="X5761">
        <v>0.91870669999999999</v>
      </c>
      <c r="Y5761">
        <v>-8.4625409999999998E-2</v>
      </c>
      <c r="Z5761">
        <v>-8.0704990000000004E-2</v>
      </c>
      <c r="AA5761">
        <v>0.99313910000000005</v>
      </c>
      <c r="AB5761">
        <v>36</v>
      </c>
      <c r="AC5761">
        <v>-0.41210000000000901</v>
      </c>
      <c r="AD5761">
        <v>-1.1133356328527</v>
      </c>
      <c r="AE5761">
        <v>11.6823099999999</v>
      </c>
      <c r="AF5761">
        <v>-1.0364196677274</v>
      </c>
      <c r="AG5761">
        <v>-1.1133356328527</v>
      </c>
      <c r="AH5761">
        <v>11.5380380778246</v>
      </c>
      <c r="AI5761">
        <v>95.489590170970203</v>
      </c>
      <c r="AJ5761">
        <v>95.132894053971597</v>
      </c>
      <c r="AK5761">
        <v>11.6378694203176</v>
      </c>
      <c r="AL5761">
        <v>68.401118790184199</v>
      </c>
      <c r="AM5761">
        <v>98.8529799658656</v>
      </c>
      <c r="AN5761">
        <v>1.0000000074253701</v>
      </c>
    </row>
    <row r="5762" spans="1:40" x14ac:dyDescent="0.25">
      <c r="A5762" t="str">
        <f>"20190304164759620"</f>
        <v>20190304164759620</v>
      </c>
      <c r="B5762" t="str">
        <f>"1551689279614597"</f>
        <v>1551689279614597</v>
      </c>
      <c r="C5762" t="s">
        <v>40</v>
      </c>
      <c r="D5762">
        <v>3.8430369999999998</v>
      </c>
      <c r="E5762">
        <v>0.54129709999999998</v>
      </c>
      <c r="F5762" t="s">
        <v>42</v>
      </c>
      <c r="G5762">
        <v>-187.9204</v>
      </c>
      <c r="H5762" s="1">
        <v>-7.9052339999999996E-7</v>
      </c>
      <c r="I5762">
        <v>-9.6549019999999999</v>
      </c>
      <c r="J5762">
        <v>-187.54589999999999</v>
      </c>
      <c r="K5762">
        <v>1.1131879999999901</v>
      </c>
      <c r="L5762">
        <v>-21.414919999999999</v>
      </c>
      <c r="M5762">
        <v>5.1601939999999999E-2</v>
      </c>
      <c r="N5762">
        <v>-8.6905709999999994E-3</v>
      </c>
      <c r="O5762">
        <v>0.99862989999999996</v>
      </c>
      <c r="P5762">
        <v>-8.9189959999999999E-2</v>
      </c>
      <c r="Q5762">
        <v>0.36042540000000001</v>
      </c>
      <c r="R5762">
        <v>0.92851419999999996</v>
      </c>
      <c r="S5762">
        <v>-9.892273E-2</v>
      </c>
      <c r="T5762">
        <v>-0.30744739999999998</v>
      </c>
      <c r="U5762">
        <v>3.3423769999999902</v>
      </c>
      <c r="V5762">
        <v>-0.13974900000000001</v>
      </c>
      <c r="W5762">
        <v>0.36739110000000003</v>
      </c>
      <c r="X5762">
        <v>0.91950739999999997</v>
      </c>
      <c r="Y5762">
        <v>-8.0988500000000005E-2</v>
      </c>
      <c r="Z5762">
        <v>-8.258066E-2</v>
      </c>
      <c r="AA5762">
        <v>0.99328810000000001</v>
      </c>
      <c r="AB5762">
        <v>36</v>
      </c>
      <c r="AC5762">
        <v>-0.37450000000001099</v>
      </c>
      <c r="AD5762">
        <v>-1.1131887905233999</v>
      </c>
      <c r="AE5762">
        <v>11.760018000000001</v>
      </c>
      <c r="AF5762">
        <v>-0.97216168187703</v>
      </c>
      <c r="AG5762">
        <v>-1.1131887905233999</v>
      </c>
      <c r="AH5762">
        <v>11.621001706334599</v>
      </c>
      <c r="AI5762">
        <v>95.452800275333004</v>
      </c>
      <c r="AJ5762">
        <v>94.781977456660201</v>
      </c>
      <c r="AK5762">
        <v>11.714604913426999</v>
      </c>
      <c r="AL5762">
        <v>68.445189070632694</v>
      </c>
      <c r="AM5762">
        <v>98.641820508546701</v>
      </c>
      <c r="AN5762">
        <v>0.99999993100748197</v>
      </c>
    </row>
    <row r="5763" spans="1:40" x14ac:dyDescent="0.25">
      <c r="A5763" t="str">
        <f>"20190304164759643"</f>
        <v>20190304164759643</v>
      </c>
      <c r="B5763" t="str">
        <f>"1551689279635094"</f>
        <v>1551689279635094</v>
      </c>
      <c r="C5763" t="s">
        <v>40</v>
      </c>
      <c r="D5763">
        <v>3.8677190000000001</v>
      </c>
      <c r="E5763">
        <v>0.54167359999999998</v>
      </c>
      <c r="F5763" t="s">
        <v>42</v>
      </c>
      <c r="G5763">
        <v>-187.8879</v>
      </c>
      <c r="H5763" s="1">
        <v>-8.9705109999999896E-7</v>
      </c>
      <c r="I5763">
        <v>-9.3672979999999999</v>
      </c>
      <c r="J5763">
        <v>-187.5291</v>
      </c>
      <c r="K5763">
        <v>1.11303</v>
      </c>
      <c r="L5763">
        <v>-21.042020000000001</v>
      </c>
      <c r="M5763">
        <v>4.886157E-2</v>
      </c>
      <c r="N5763">
        <v>-8.6926520000000004E-3</v>
      </c>
      <c r="O5763">
        <v>0.99876770000000004</v>
      </c>
      <c r="P5763">
        <v>-8.9327420000000005E-2</v>
      </c>
      <c r="Q5763">
        <v>0.35918929999999999</v>
      </c>
      <c r="R5763">
        <v>0.92897989999999997</v>
      </c>
      <c r="S5763">
        <v>-9.4863890000000006E-2</v>
      </c>
      <c r="T5763">
        <v>-0.3087705</v>
      </c>
      <c r="U5763">
        <v>3.3417050000000001</v>
      </c>
      <c r="V5763">
        <v>-0.13722570000000001</v>
      </c>
      <c r="W5763">
        <v>0.36623559999999999</v>
      </c>
      <c r="X5763">
        <v>0.9203481</v>
      </c>
      <c r="Y5763">
        <v>-7.7054049999999999E-2</v>
      </c>
      <c r="Z5763">
        <v>-8.3022059999999995E-2</v>
      </c>
      <c r="AA5763">
        <v>0.99356429999999996</v>
      </c>
      <c r="AB5763">
        <v>36</v>
      </c>
      <c r="AC5763">
        <v>-0.35880000000000201</v>
      </c>
      <c r="AD5763">
        <v>-1.1130308970511</v>
      </c>
      <c r="AE5763">
        <v>11.674721999999999</v>
      </c>
      <c r="AF5763">
        <v>-0.92047977403454695</v>
      </c>
      <c r="AG5763">
        <v>-1.1130308970511</v>
      </c>
      <c r="AH5763">
        <v>11.5384685534114</v>
      </c>
      <c r="AI5763">
        <v>95.492511039081904</v>
      </c>
      <c r="AJ5763">
        <v>94.561103790047795</v>
      </c>
      <c r="AK5763">
        <v>11.628515698499999</v>
      </c>
      <c r="AL5763">
        <v>68.516356932101303</v>
      </c>
      <c r="AM5763">
        <v>98.480436987593507</v>
      </c>
      <c r="AN5763">
        <v>1.0000000163107201</v>
      </c>
    </row>
    <row r="5764" spans="1:40" x14ac:dyDescent="0.25">
      <c r="A5764" t="str">
        <f>"20190304164759666"</f>
        <v>20190304164759666</v>
      </c>
      <c r="B5764" t="str">
        <f>"1551689279654614"</f>
        <v>1551689279654614</v>
      </c>
      <c r="C5764" t="s">
        <v>40</v>
      </c>
      <c r="D5764">
        <v>3.8630429999999998</v>
      </c>
      <c r="E5764">
        <v>0.54200499999999996</v>
      </c>
      <c r="F5764" t="s">
        <v>42</v>
      </c>
      <c r="G5764">
        <v>-187.8588</v>
      </c>
      <c r="H5764" s="1">
        <v>-9.9822829999999999E-7</v>
      </c>
      <c r="I5764">
        <v>-9.0926960000000001</v>
      </c>
      <c r="J5764">
        <v>-187.51329999999999</v>
      </c>
      <c r="K5764">
        <v>1.1128559999999901</v>
      </c>
      <c r="L5764">
        <v>-20.673549999999999</v>
      </c>
      <c r="M5764">
        <v>4.6371460000000003E-2</v>
      </c>
      <c r="N5764">
        <v>-8.6942800000000004E-3</v>
      </c>
      <c r="O5764">
        <v>0.99888639999999995</v>
      </c>
      <c r="P5764">
        <v>-8.9709849999999994E-2</v>
      </c>
      <c r="Q5764">
        <v>0.357622099999999</v>
      </c>
      <c r="R5764">
        <v>0.92954749999999997</v>
      </c>
      <c r="S5764">
        <v>-9.2193600000000001E-2</v>
      </c>
      <c r="T5764">
        <v>-0.31118079999999998</v>
      </c>
      <c r="U5764">
        <v>3.3407900000000001</v>
      </c>
      <c r="V5764">
        <v>-0.13516449999999999</v>
      </c>
      <c r="W5764">
        <v>0.36474869999999998</v>
      </c>
      <c r="X5764">
        <v>0.92124320000000004</v>
      </c>
      <c r="Y5764">
        <v>-7.3781730000000004E-2</v>
      </c>
      <c r="Z5764">
        <v>-8.3785150000000003E-2</v>
      </c>
      <c r="AA5764">
        <v>0.99374859999999998</v>
      </c>
      <c r="AB5764">
        <v>36</v>
      </c>
      <c r="AC5764">
        <v>-0.34550000000001502</v>
      </c>
      <c r="AD5764">
        <v>-1.1128569982283001</v>
      </c>
      <c r="AE5764">
        <v>11.580854</v>
      </c>
      <c r="AF5764">
        <v>-0.87410527382050696</v>
      </c>
      <c r="AG5764">
        <v>-1.1128569982283001</v>
      </c>
      <c r="AH5764">
        <v>11.4467658752326</v>
      </c>
      <c r="AI5764">
        <v>95.536837620049099</v>
      </c>
      <c r="AJ5764">
        <v>94.366782266433802</v>
      </c>
      <c r="AK5764">
        <v>11.533904791119699</v>
      </c>
      <c r="AL5764">
        <v>68.607882913042999</v>
      </c>
      <c r="AM5764">
        <v>98.346864581850596</v>
      </c>
      <c r="AN5764">
        <v>1.00000004487908</v>
      </c>
    </row>
    <row r="5765" spans="1:40" x14ac:dyDescent="0.25">
      <c r="A5765" t="str">
        <f>"20190304164759687"</f>
        <v>20190304164759687</v>
      </c>
      <c r="B5765" t="str">
        <f>"1551689279675110"</f>
        <v>1551689279675110</v>
      </c>
      <c r="C5765" t="s">
        <v>40</v>
      </c>
      <c r="D5765">
        <v>3.862749</v>
      </c>
      <c r="E5765">
        <v>0.54235049999999996</v>
      </c>
      <c r="F5765" t="s">
        <v>42</v>
      </c>
      <c r="G5765">
        <v>-187.82859999999999</v>
      </c>
      <c r="H5765" s="1">
        <v>-1.0868290000000001E-6</v>
      </c>
      <c r="I5765">
        <v>-8.8559409999999996</v>
      </c>
      <c r="J5765">
        <v>-187.499</v>
      </c>
      <c r="K5765">
        <v>1.1126609999999999</v>
      </c>
      <c r="L5765">
        <v>-20.322299999999998</v>
      </c>
      <c r="M5765">
        <v>4.4213080000000002E-2</v>
      </c>
      <c r="N5765">
        <v>-8.6954459999999904E-3</v>
      </c>
      <c r="O5765">
        <v>0.99898430000000005</v>
      </c>
      <c r="P5765">
        <v>-8.9912149999999996E-2</v>
      </c>
      <c r="Q5765">
        <v>0.35597139999999999</v>
      </c>
      <c r="R5765">
        <v>0.93016140000000003</v>
      </c>
      <c r="S5765">
        <v>-8.9111330000000002E-2</v>
      </c>
      <c r="T5765">
        <v>-0.31450519999999998</v>
      </c>
      <c r="U5765">
        <v>3.3397830000000002</v>
      </c>
      <c r="V5765">
        <v>-0.13321830000000001</v>
      </c>
      <c r="W5765">
        <v>0.36318</v>
      </c>
      <c r="X5765">
        <v>0.92214600000000002</v>
      </c>
      <c r="Y5765">
        <v>-7.0717130000000003E-2</v>
      </c>
      <c r="Z5765">
        <v>-8.4817480000000001E-2</v>
      </c>
      <c r="AA5765">
        <v>0.99388379999999998</v>
      </c>
      <c r="AB5765">
        <v>37</v>
      </c>
      <c r="AC5765">
        <v>-0.32959999999996997</v>
      </c>
      <c r="AD5765">
        <v>-1.112662086829</v>
      </c>
      <c r="AE5765">
        <v>11.466359000000001</v>
      </c>
      <c r="AF5765">
        <v>-0.82846532075190005</v>
      </c>
      <c r="AG5765">
        <v>-1.112662086829</v>
      </c>
      <c r="AH5765">
        <v>11.3339378133777</v>
      </c>
      <c r="AI5765">
        <v>95.591984206636496</v>
      </c>
      <c r="AJ5765">
        <v>94.180656099200107</v>
      </c>
      <c r="AK5765">
        <v>11.4185164563821</v>
      </c>
      <c r="AL5765">
        <v>68.704381178877398</v>
      </c>
      <c r="AM5765">
        <v>98.220392020743105</v>
      </c>
      <c r="AN5765">
        <v>1.00000003658544</v>
      </c>
    </row>
    <row r="5766" spans="1:40" x14ac:dyDescent="0.25">
      <c r="A5766" t="str">
        <f>"20190304164759712"</f>
        <v>20190304164759712</v>
      </c>
      <c r="B5766" t="str">
        <f>"1551689279705367"</f>
        <v>1551689279705367</v>
      </c>
      <c r="C5766" t="s">
        <v>40</v>
      </c>
      <c r="D5766">
        <v>3.8450229999999999</v>
      </c>
      <c r="E5766">
        <v>0.54281309999999905</v>
      </c>
      <c r="F5766" t="s">
        <v>42</v>
      </c>
      <c r="G5766">
        <v>-187.80340000000001</v>
      </c>
      <c r="H5766" s="1">
        <v>-1.1620109999999999E-6</v>
      </c>
      <c r="I5766">
        <v>-8.6547549999999998</v>
      </c>
      <c r="J5766">
        <v>-187.4837</v>
      </c>
      <c r="K5766">
        <v>1.1124289999999999</v>
      </c>
      <c r="L5766">
        <v>-19.93411</v>
      </c>
      <c r="M5766">
        <v>4.2074239999999999E-2</v>
      </c>
      <c r="N5766">
        <v>-8.696914E-3</v>
      </c>
      <c r="O5766">
        <v>0.99907659999999998</v>
      </c>
      <c r="P5766">
        <v>-9.0009580000000006E-2</v>
      </c>
      <c r="Q5766">
        <v>0.35501199999999999</v>
      </c>
      <c r="R5766">
        <v>0.93051859999999997</v>
      </c>
      <c r="S5766">
        <v>-8.7112430000000005E-2</v>
      </c>
      <c r="T5766">
        <v>-0.31838719999999998</v>
      </c>
      <c r="U5766">
        <v>3.338654</v>
      </c>
      <c r="V5766">
        <v>-0.13114389999999901</v>
      </c>
      <c r="W5766">
        <v>0.36231170000000001</v>
      </c>
      <c r="X5766">
        <v>0.92278459999999995</v>
      </c>
      <c r="Y5766">
        <v>-6.7993919999999999E-2</v>
      </c>
      <c r="Z5766">
        <v>-8.6015430000000004E-2</v>
      </c>
      <c r="AA5766">
        <v>0.99397089999999999</v>
      </c>
      <c r="AB5766">
        <v>37</v>
      </c>
      <c r="AC5766">
        <v>-0.31970000000001098</v>
      </c>
      <c r="AD5766">
        <v>-1.112430162011</v>
      </c>
      <c r="AE5766">
        <v>11.279355000000001</v>
      </c>
      <c r="AF5766">
        <v>-0.78636236163821804</v>
      </c>
      <c r="AG5766">
        <v>-1.112430162011</v>
      </c>
      <c r="AH5766">
        <v>11.147569699465199</v>
      </c>
      <c r="AI5766">
        <v>95.684718762540996</v>
      </c>
      <c r="AJ5766">
        <v>94.035026072937299</v>
      </c>
      <c r="AK5766">
        <v>11.2305020739764</v>
      </c>
      <c r="AL5766">
        <v>68.757765502689296</v>
      </c>
      <c r="AM5766">
        <v>98.088570842572693</v>
      </c>
      <c r="AN5766">
        <v>0.99999995423062804</v>
      </c>
    </row>
    <row r="5767" spans="1:40" x14ac:dyDescent="0.25">
      <c r="A5767" t="str">
        <f>"20190304164759735"</f>
        <v>20190304164759735</v>
      </c>
      <c r="B5767" t="str">
        <f>"1551689279724886"</f>
        <v>1551689279724886</v>
      </c>
      <c r="C5767" t="s">
        <v>40</v>
      </c>
      <c r="D5767">
        <v>3.8838530000000002</v>
      </c>
      <c r="E5767">
        <v>0.54309090000000004</v>
      </c>
      <c r="F5767" t="s">
        <v>42</v>
      </c>
      <c r="G5767">
        <v>-187.77930000000001</v>
      </c>
      <c r="H5767" s="1">
        <v>-1.2927670000000001E-6</v>
      </c>
      <c r="I5767">
        <v>-8.289396</v>
      </c>
      <c r="J5767">
        <v>-187.4693</v>
      </c>
      <c r="K5767">
        <v>1.1121890000000001</v>
      </c>
      <c r="L5767">
        <v>-19.55161</v>
      </c>
      <c r="M5767">
        <v>4.0233629999999999E-2</v>
      </c>
      <c r="N5767">
        <v>-8.6952000000000002E-3</v>
      </c>
      <c r="O5767">
        <v>0.9991525</v>
      </c>
      <c r="P5767">
        <v>-9.0397450000000004E-2</v>
      </c>
      <c r="Q5767">
        <v>0.35371730000000001</v>
      </c>
      <c r="R5767">
        <v>0.93097390000000002</v>
      </c>
      <c r="S5767">
        <v>-8.4701540000000006E-2</v>
      </c>
      <c r="T5767">
        <v>-0.31883099999999998</v>
      </c>
      <c r="U5767">
        <v>3.3374630000000001</v>
      </c>
      <c r="V5767">
        <v>-0.12963060000000001</v>
      </c>
      <c r="W5767">
        <v>0.3611026</v>
      </c>
      <c r="X5767">
        <v>0.92347219999999997</v>
      </c>
      <c r="Y5767">
        <v>-6.5448160000000005E-2</v>
      </c>
      <c r="Z5767">
        <v>-8.6201650000000005E-2</v>
      </c>
      <c r="AA5767">
        <v>0.9941257</v>
      </c>
      <c r="AB5767">
        <v>37</v>
      </c>
      <c r="AC5767">
        <v>-0.310000000000002</v>
      </c>
      <c r="AD5767">
        <v>-1.11219029276699</v>
      </c>
      <c r="AE5767">
        <v>11.262214</v>
      </c>
      <c r="AF5767">
        <v>-0.75552326732117503</v>
      </c>
      <c r="AG5767">
        <v>-1.11219029276699</v>
      </c>
      <c r="AH5767">
        <v>11.132138733889899</v>
      </c>
      <c r="AI5767">
        <v>95.6923683971456</v>
      </c>
      <c r="AJ5767">
        <v>93.882633380102305</v>
      </c>
      <c r="AK5767">
        <v>11.2130413111413</v>
      </c>
      <c r="AL5767">
        <v>68.832075026109905</v>
      </c>
      <c r="AM5767">
        <v>97.990572063200403</v>
      </c>
      <c r="AN5767">
        <v>1.00000004217797</v>
      </c>
    </row>
    <row r="5768" spans="1:40" x14ac:dyDescent="0.25">
      <c r="A5768" t="str">
        <f>"20190304164759780"</f>
        <v>20190304164759780</v>
      </c>
      <c r="B5768" t="str">
        <f>"1551689279774662"</f>
        <v>1551689279774662</v>
      </c>
      <c r="C5768" t="s">
        <v>40</v>
      </c>
      <c r="D5768">
        <v>3.8495400000000002</v>
      </c>
      <c r="E5768">
        <v>0.54375119999999999</v>
      </c>
      <c r="F5768" t="s">
        <v>42</v>
      </c>
      <c r="G5768">
        <v>-187.76429999999999</v>
      </c>
      <c r="H5768" s="1">
        <v>-1.4119479999999901E-6</v>
      </c>
      <c r="I5768">
        <v>-8.0003679999999999</v>
      </c>
      <c r="J5768">
        <v>-187.4427</v>
      </c>
      <c r="K5768">
        <v>1.111748</v>
      </c>
      <c r="L5768">
        <v>-18.812159999999999</v>
      </c>
      <c r="M5768">
        <v>3.7397970000000003E-2</v>
      </c>
      <c r="N5768">
        <v>-8.6848800000000007E-3</v>
      </c>
      <c r="O5768">
        <v>0.99926269999999995</v>
      </c>
      <c r="P5768">
        <v>-9.1767029999999999E-2</v>
      </c>
      <c r="Q5768">
        <v>0.35033029999999998</v>
      </c>
      <c r="R5768">
        <v>0.9321199</v>
      </c>
      <c r="S5768">
        <v>-8.5189819999999999E-2</v>
      </c>
      <c r="T5768">
        <v>-0.32122139999999999</v>
      </c>
      <c r="U5768">
        <v>3.3362120000000002</v>
      </c>
      <c r="V5768">
        <v>-0.12802629999999901</v>
      </c>
      <c r="W5768">
        <v>0.35785739999999999</v>
      </c>
      <c r="X5768">
        <v>0.92495799999999995</v>
      </c>
      <c r="Y5768">
        <v>-6.2770359999999997E-2</v>
      </c>
      <c r="Z5768">
        <v>-8.6976940000000003E-2</v>
      </c>
      <c r="AA5768">
        <v>0.99423079999999997</v>
      </c>
      <c r="AB5768">
        <v>37</v>
      </c>
      <c r="AC5768">
        <v>-0.32159999999998901</v>
      </c>
      <c r="AD5768">
        <v>-1.111749411948</v>
      </c>
      <c r="AE5768">
        <v>10.811792000000001</v>
      </c>
      <c r="AF5768">
        <v>-0.71814277061313603</v>
      </c>
      <c r="AG5768">
        <v>-1.111749411948</v>
      </c>
      <c r="AH5768">
        <v>10.6793818705886</v>
      </c>
      <c r="AI5768">
        <v>95.929924382790603</v>
      </c>
      <c r="AJ5768">
        <v>93.847104325144798</v>
      </c>
      <c r="AK5768">
        <v>10.7610832601466</v>
      </c>
      <c r="AL5768">
        <v>69.031329699585697</v>
      </c>
      <c r="AM5768">
        <v>97.880415933601995</v>
      </c>
      <c r="AN5768">
        <v>0.99999997699522403</v>
      </c>
    </row>
    <row r="5769" spans="1:40" x14ac:dyDescent="0.25">
      <c r="A5769" t="str">
        <f>"20190304164759801"</f>
        <v>20190304164759801</v>
      </c>
      <c r="B5769" t="str">
        <f>"1551689279795158"</f>
        <v>1551689279795158</v>
      </c>
      <c r="C5769" t="s">
        <v>40</v>
      </c>
      <c r="D5769">
        <v>3.8872369999999998</v>
      </c>
      <c r="E5769">
        <v>0.54382350000000002</v>
      </c>
      <c r="F5769" t="s">
        <v>42</v>
      </c>
      <c r="G5769">
        <v>-187.8151</v>
      </c>
      <c r="H5769" s="1">
        <v>-3.8140959999999999E-6</v>
      </c>
      <c r="I5769">
        <v>-2.3798789999999999</v>
      </c>
      <c r="J5769">
        <v>-187.4307</v>
      </c>
      <c r="K5769">
        <v>1.111578</v>
      </c>
      <c r="L5769">
        <v>-18.464939999999999</v>
      </c>
      <c r="M5769">
        <v>3.6322710000000001E-2</v>
      </c>
      <c r="N5769">
        <v>-8.6806499999999998E-3</v>
      </c>
      <c r="O5769">
        <v>0.99930240000000004</v>
      </c>
      <c r="P5769">
        <v>-9.2162229999999998E-2</v>
      </c>
      <c r="Q5769">
        <v>0.3484527</v>
      </c>
      <c r="R5769">
        <v>0.93278439999999996</v>
      </c>
      <c r="S5769">
        <v>-7.4676510000000001E-2</v>
      </c>
      <c r="T5769">
        <v>-0.22292100000000001</v>
      </c>
      <c r="U5769">
        <v>3.2948909999999998</v>
      </c>
      <c r="V5769">
        <v>-0.12729360000000001</v>
      </c>
      <c r="W5769">
        <v>0.35603699999999999</v>
      </c>
      <c r="X5769">
        <v>0.92576130000000001</v>
      </c>
      <c r="Y5769">
        <v>-5.8899630000000001E-2</v>
      </c>
      <c r="Z5769">
        <v>-5.870127E-2</v>
      </c>
      <c r="AA5769">
        <v>0.99653650000000005</v>
      </c>
      <c r="AB5769">
        <v>37</v>
      </c>
      <c r="AC5769">
        <v>-0.38439999999999902</v>
      </c>
      <c r="AD5769">
        <v>-1.1115818140960001</v>
      </c>
      <c r="AE5769">
        <v>16.085061</v>
      </c>
      <c r="AF5769">
        <v>-0.96382104904308497</v>
      </c>
      <c r="AG5769">
        <v>-1.1115818140960001</v>
      </c>
      <c r="AH5769">
        <v>15.984190696174799</v>
      </c>
      <c r="AI5769">
        <v>93.970902296180597</v>
      </c>
      <c r="AJ5769">
        <v>93.450665521320701</v>
      </c>
      <c r="AK5769">
        <v>16.051757453802001</v>
      </c>
      <c r="AL5769">
        <v>69.142986796017794</v>
      </c>
      <c r="AM5769">
        <v>97.8291628396682</v>
      </c>
      <c r="AN5769">
        <v>0.99999999527382499</v>
      </c>
    </row>
    <row r="5770" spans="1:40" x14ac:dyDescent="0.25">
      <c r="A5770" t="str">
        <f>"20190304164759823"</f>
        <v>20190304164759823</v>
      </c>
      <c r="B5770" t="str">
        <f>"1551689279814678"</f>
        <v>1551689279814678</v>
      </c>
      <c r="C5770" t="s">
        <v>40</v>
      </c>
      <c r="D5770">
        <v>3.9053360000000001</v>
      </c>
      <c r="E5770">
        <v>0.54405389999999998</v>
      </c>
      <c r="F5770" t="s">
        <v>42</v>
      </c>
      <c r="G5770">
        <v>-187.8032</v>
      </c>
      <c r="H5770" s="1">
        <v>-3.810372E-6</v>
      </c>
      <c r="I5770">
        <v>-2.3935040000000001</v>
      </c>
      <c r="J5770">
        <v>-187.41820000000001</v>
      </c>
      <c r="K5770">
        <v>1.1113999999999999</v>
      </c>
      <c r="L5770">
        <v>-18.095490000000002</v>
      </c>
      <c r="M5770">
        <v>3.5342690000000003E-2</v>
      </c>
      <c r="N5770">
        <v>-8.6754459999999999E-3</v>
      </c>
      <c r="O5770">
        <v>0.99933760000000005</v>
      </c>
      <c r="P5770">
        <v>-9.2965679999999995E-2</v>
      </c>
      <c r="Q5770">
        <v>0.34693099999999999</v>
      </c>
      <c r="R5770">
        <v>0.93327179999999998</v>
      </c>
      <c r="S5770">
        <v>-7.633972E-2</v>
      </c>
      <c r="T5770">
        <v>-0.22781119999999999</v>
      </c>
      <c r="U5770">
        <v>3.2937319999999999</v>
      </c>
      <c r="V5770">
        <v>-0.127057</v>
      </c>
      <c r="W5770">
        <v>0.354566099999999</v>
      </c>
      <c r="X5770">
        <v>0.92635820000000002</v>
      </c>
      <c r="Y5770">
        <v>-5.8429259999999997E-2</v>
      </c>
      <c r="Z5770">
        <v>-6.0206540000000003E-2</v>
      </c>
      <c r="AA5770">
        <v>0.99647439999999998</v>
      </c>
      <c r="AB5770">
        <v>37</v>
      </c>
      <c r="AC5770">
        <v>-0.38499999999999002</v>
      </c>
      <c r="AD5770">
        <v>-1.1114038103720001</v>
      </c>
      <c r="AE5770">
        <v>15.7019859999999</v>
      </c>
      <c r="AF5770">
        <v>-0.93504901307705601</v>
      </c>
      <c r="AG5770">
        <v>-1.1114038103720001</v>
      </c>
      <c r="AH5770">
        <v>15.6004572618032</v>
      </c>
      <c r="AI5770">
        <v>94.067691229717994</v>
      </c>
      <c r="AJ5770">
        <v>93.430049787500096</v>
      </c>
      <c r="AK5770">
        <v>15.667922704172099</v>
      </c>
      <c r="AL5770">
        <v>69.233147250152598</v>
      </c>
      <c r="AM5770">
        <v>97.809817473186698</v>
      </c>
      <c r="AN5770">
        <v>1.0000000576127199</v>
      </c>
    </row>
    <row r="5771" spans="1:40" x14ac:dyDescent="0.25">
      <c r="A5771" t="str">
        <f>"20190304164759845"</f>
        <v>20190304164759845</v>
      </c>
      <c r="B5771" t="str">
        <f>"1551689279835174"</f>
        <v>1551689279835174</v>
      </c>
      <c r="C5771" t="s">
        <v>40</v>
      </c>
      <c r="D5771">
        <v>3.9074719999999998</v>
      </c>
      <c r="E5771">
        <v>0.54429689999999997</v>
      </c>
      <c r="F5771" t="s">
        <v>42</v>
      </c>
      <c r="G5771">
        <v>-187.7953</v>
      </c>
      <c r="H5771" s="1">
        <v>-3.9143099999999998E-6</v>
      </c>
      <c r="I5771">
        <v>-2.1544500000000002</v>
      </c>
      <c r="J5771">
        <v>-187.4058</v>
      </c>
      <c r="K5771">
        <v>1.111221</v>
      </c>
      <c r="L5771">
        <v>-17.723510000000001</v>
      </c>
      <c r="M5771">
        <v>3.4544810000000002E-2</v>
      </c>
      <c r="N5771">
        <v>-8.6668800000000001E-3</v>
      </c>
      <c r="O5771">
        <v>0.99936559999999997</v>
      </c>
      <c r="P5771">
        <v>-9.2593599999999998E-2</v>
      </c>
      <c r="Q5771">
        <v>0.34526250000000003</v>
      </c>
      <c r="R5771">
        <v>0.93392739999999996</v>
      </c>
      <c r="S5771">
        <v>-7.7896119999999999E-2</v>
      </c>
      <c r="T5771">
        <v>-0.2295208</v>
      </c>
      <c r="U5771">
        <v>3.2920530000000001</v>
      </c>
      <c r="V5771">
        <v>-0.12581429999999999</v>
      </c>
      <c r="W5771">
        <v>0.35295199999999999</v>
      </c>
      <c r="X5771">
        <v>0.92714379999999996</v>
      </c>
      <c r="Y5771">
        <v>-5.8114020000000002E-2</v>
      </c>
      <c r="Z5771">
        <v>-6.0768089999999997E-2</v>
      </c>
      <c r="AA5771">
        <v>0.99645870000000003</v>
      </c>
      <c r="AB5771">
        <v>37</v>
      </c>
      <c r="AC5771">
        <v>-0.38949999999999801</v>
      </c>
      <c r="AD5771">
        <v>-1.1112249143099999</v>
      </c>
      <c r="AE5771">
        <v>15.56906</v>
      </c>
      <c r="AF5771">
        <v>-0.92242181695258996</v>
      </c>
      <c r="AG5771">
        <v>-1.1112249143099999</v>
      </c>
      <c r="AH5771">
        <v>15.467565041094</v>
      </c>
      <c r="AI5771">
        <v>94.101935965983301</v>
      </c>
      <c r="AJ5771">
        <v>93.412842075440096</v>
      </c>
      <c r="AK5771">
        <v>15.5348399128876</v>
      </c>
      <c r="AL5771">
        <v>69.332020473693007</v>
      </c>
      <c r="AM5771">
        <v>97.727887070049604</v>
      </c>
      <c r="AN5771">
        <v>0.999999989133464</v>
      </c>
    </row>
    <row r="5772" spans="1:40" x14ac:dyDescent="0.25">
      <c r="A5772" t="str">
        <f>"20190304164759867"</f>
        <v>20190304164759867</v>
      </c>
      <c r="B5772" t="str">
        <f>"1551689279854694"</f>
        <v>1551689279854694</v>
      </c>
      <c r="C5772" t="s">
        <v>40</v>
      </c>
      <c r="D5772">
        <v>3.9285030000000001</v>
      </c>
      <c r="E5772">
        <v>0.54443280000000005</v>
      </c>
      <c r="F5772" t="s">
        <v>42</v>
      </c>
      <c r="G5772">
        <v>-187.7722</v>
      </c>
      <c r="H5772" s="1">
        <v>-3.9560930000000001E-6</v>
      </c>
      <c r="I5772">
        <v>-2.06664</v>
      </c>
      <c r="J5772">
        <v>-187.39420000000001</v>
      </c>
      <c r="K5772">
        <v>1.1110420000000001</v>
      </c>
      <c r="L5772">
        <v>-17.370850000000001</v>
      </c>
      <c r="M5772">
        <v>3.395579E-2</v>
      </c>
      <c r="N5772">
        <v>-8.6573799999999992E-3</v>
      </c>
      <c r="O5772">
        <v>0.99938579999999999</v>
      </c>
      <c r="P5772">
        <v>-9.1916490000000003E-2</v>
      </c>
      <c r="Q5772">
        <v>0.34333750000000002</v>
      </c>
      <c r="R5772">
        <v>0.93470359999999997</v>
      </c>
      <c r="S5772">
        <v>-7.7011109999999994E-2</v>
      </c>
      <c r="T5772">
        <v>-0.2335711</v>
      </c>
      <c r="U5772">
        <v>3.2909549999999999</v>
      </c>
      <c r="V5772">
        <v>-0.1244647</v>
      </c>
      <c r="W5772">
        <v>0.35108099999999998</v>
      </c>
      <c r="X5772">
        <v>0.92803590000000002</v>
      </c>
      <c r="Y5772">
        <v>-5.7263849999999998E-2</v>
      </c>
      <c r="Z5772">
        <v>-6.2024900000000001E-2</v>
      </c>
      <c r="AA5772">
        <v>0.9964305</v>
      </c>
      <c r="AB5772">
        <v>37</v>
      </c>
      <c r="AC5772">
        <v>-0.37799999999998501</v>
      </c>
      <c r="AD5772">
        <v>-1.1110459560929999</v>
      </c>
      <c r="AE5772">
        <v>15.304209999999999</v>
      </c>
      <c r="AF5772">
        <v>-0.89276569223120295</v>
      </c>
      <c r="AG5772">
        <v>-1.1110459560929999</v>
      </c>
      <c r="AH5772">
        <v>15.2024741594684</v>
      </c>
      <c r="AI5772">
        <v>94.172765956827007</v>
      </c>
      <c r="AJ5772">
        <v>93.360836270022702</v>
      </c>
      <c r="AK5772">
        <v>15.269141241965199</v>
      </c>
      <c r="AL5772">
        <v>69.4465514302305</v>
      </c>
      <c r="AM5772">
        <v>97.638713434838095</v>
      </c>
      <c r="AN5772">
        <v>0.99999998089794895</v>
      </c>
    </row>
    <row r="5773" spans="1:40" x14ac:dyDescent="0.25">
      <c r="A5773" t="str">
        <f>"20190304164759890"</f>
        <v>20190304164759890</v>
      </c>
      <c r="B5773" t="str">
        <f>"1551689279884950"</f>
        <v>1551689279884950</v>
      </c>
      <c r="C5773" t="s">
        <v>40</v>
      </c>
      <c r="D5773">
        <v>3.9676269999999998</v>
      </c>
      <c r="E5773">
        <v>0.54458099999999998</v>
      </c>
      <c r="F5773" t="s">
        <v>42</v>
      </c>
      <c r="G5773">
        <v>-187.7433</v>
      </c>
      <c r="H5773" s="1">
        <v>-3.9414470000000003E-6</v>
      </c>
      <c r="I5773">
        <v>-2.1127359999999999</v>
      </c>
      <c r="J5773">
        <v>-187.38159999999999</v>
      </c>
      <c r="K5773">
        <v>1.1108480000000001</v>
      </c>
      <c r="L5773">
        <v>-16.986789999999999</v>
      </c>
      <c r="M5773">
        <v>3.3480199999999898E-2</v>
      </c>
      <c r="N5773">
        <v>-8.6449950000000008E-3</v>
      </c>
      <c r="O5773">
        <v>0.99940200000000001</v>
      </c>
      <c r="P5773">
        <v>-9.1116559999999999E-2</v>
      </c>
      <c r="Q5773">
        <v>0.34236899999999998</v>
      </c>
      <c r="R5773">
        <v>0.935137</v>
      </c>
      <c r="S5773">
        <v>-7.5271610000000003E-2</v>
      </c>
      <c r="T5773">
        <v>-0.23957880000000001</v>
      </c>
      <c r="U5773">
        <v>3.2901609999999999</v>
      </c>
      <c r="V5773">
        <v>-0.1230731</v>
      </c>
      <c r="W5773">
        <v>0.35016520000000001</v>
      </c>
      <c r="X5773">
        <v>0.92856740000000004</v>
      </c>
      <c r="Y5773">
        <v>-5.6265080000000002E-2</v>
      </c>
      <c r="Z5773">
        <v>-6.3868270000000005E-2</v>
      </c>
      <c r="AA5773">
        <v>0.99637100000000001</v>
      </c>
      <c r="AB5773">
        <v>37</v>
      </c>
      <c r="AC5773">
        <v>-0.36170000000001301</v>
      </c>
      <c r="AD5773">
        <v>-1.1108519414469999</v>
      </c>
      <c r="AE5773">
        <v>14.874053999999999</v>
      </c>
      <c r="AF5773">
        <v>-0.85473748189910104</v>
      </c>
      <c r="AG5773">
        <v>-1.1108519414469999</v>
      </c>
      <c r="AH5773">
        <v>14.771263756716699</v>
      </c>
      <c r="AI5773">
        <v>94.293596992913507</v>
      </c>
      <c r="AJ5773">
        <v>93.311720738814302</v>
      </c>
      <c r="AK5773">
        <v>14.837614402904199</v>
      </c>
      <c r="AL5773">
        <v>69.5025809518431</v>
      </c>
      <c r="AM5773">
        <v>97.550025155520601</v>
      </c>
      <c r="AN5773">
        <v>1.0000000357887</v>
      </c>
    </row>
    <row r="5774" spans="1:40" x14ac:dyDescent="0.25">
      <c r="A5774" t="str">
        <f>"20190304164759912"</f>
        <v>20190304164759912</v>
      </c>
      <c r="B5774" t="str">
        <f>"1551689279905447"</f>
        <v>1551689279905447</v>
      </c>
      <c r="C5774" t="s">
        <v>40</v>
      </c>
      <c r="D5774">
        <v>3.9616229999999999</v>
      </c>
      <c r="E5774">
        <v>0.5447668</v>
      </c>
      <c r="F5774" t="s">
        <v>42</v>
      </c>
      <c r="G5774">
        <v>-187.7167</v>
      </c>
      <c r="H5774" s="1">
        <v>-4.1151429999999999E-6</v>
      </c>
      <c r="I5774">
        <v>-1.718818</v>
      </c>
      <c r="J5774">
        <v>-187.36969999999999</v>
      </c>
      <c r="K5774">
        <v>1.110676</v>
      </c>
      <c r="L5774">
        <v>-16.621639999999999</v>
      </c>
      <c r="M5774">
        <v>3.3170030000000003E-2</v>
      </c>
      <c r="N5774">
        <v>-8.6307699999999994E-3</v>
      </c>
      <c r="O5774">
        <v>0.99941250000000004</v>
      </c>
      <c r="P5774">
        <v>-8.9482740000000005E-2</v>
      </c>
      <c r="Q5774">
        <v>0.34252050000000001</v>
      </c>
      <c r="R5774">
        <v>0.9352393</v>
      </c>
      <c r="S5774">
        <v>-7.2174070000000007E-2</v>
      </c>
      <c r="T5774">
        <v>-0.2392735</v>
      </c>
      <c r="U5774">
        <v>3.2886660000000001</v>
      </c>
      <c r="V5774">
        <v>-0.1210103</v>
      </c>
      <c r="W5774">
        <v>0.35035899999999998</v>
      </c>
      <c r="X5774">
        <v>0.92876539999999996</v>
      </c>
      <c r="Y5774">
        <v>-5.502808E-2</v>
      </c>
      <c r="Z5774">
        <v>-6.3827839999999997E-2</v>
      </c>
      <c r="AA5774">
        <v>0.99644259999999996</v>
      </c>
      <c r="AB5774">
        <v>37</v>
      </c>
      <c r="AC5774">
        <v>-0.34700000000000802</v>
      </c>
      <c r="AD5774">
        <v>-1.1106801151429999</v>
      </c>
      <c r="AE5774">
        <v>14.902822</v>
      </c>
      <c r="AF5774">
        <v>-0.83651064566858802</v>
      </c>
      <c r="AG5774">
        <v>-1.1106801151429999</v>
      </c>
      <c r="AH5774">
        <v>14.8009437462871</v>
      </c>
      <c r="AI5774">
        <v>94.284686790040993</v>
      </c>
      <c r="AJ5774">
        <v>93.234766415912205</v>
      </c>
      <c r="AK5774">
        <v>14.8661123418077</v>
      </c>
      <c r="AL5774">
        <v>69.490726237705104</v>
      </c>
      <c r="AM5774">
        <v>97.423339482274997</v>
      </c>
      <c r="AN5774">
        <v>1.00000004491212</v>
      </c>
    </row>
    <row r="5775" spans="1:40" x14ac:dyDescent="0.25">
      <c r="A5775" t="str">
        <f>"20190304164759936"</f>
        <v>20190304164759936</v>
      </c>
      <c r="B5775" t="str">
        <f>"1551689279924966"</f>
        <v>1551689279924966</v>
      </c>
      <c r="C5775" t="s">
        <v>40</v>
      </c>
      <c r="D5775">
        <v>3.965328</v>
      </c>
      <c r="E5775">
        <v>0.54487919999999901</v>
      </c>
      <c r="F5775" t="s">
        <v>42</v>
      </c>
      <c r="G5775">
        <v>-187.68020000000001</v>
      </c>
      <c r="H5775" s="1">
        <v>-4.3912460000000004E-6</v>
      </c>
      <c r="I5775">
        <v>-1.0903069999999999</v>
      </c>
      <c r="J5775">
        <v>-187.3569</v>
      </c>
      <c r="K5775">
        <v>1.1105179999999999</v>
      </c>
      <c r="L5775">
        <v>-16.229099999999999</v>
      </c>
      <c r="M5775">
        <v>3.2959620000000002E-2</v>
      </c>
      <c r="N5775">
        <v>-8.6152150000000007E-3</v>
      </c>
      <c r="O5775">
        <v>0.99941959999999996</v>
      </c>
      <c r="P5775">
        <v>-8.767643E-2</v>
      </c>
      <c r="Q5775">
        <v>0.34262179999999998</v>
      </c>
      <c r="R5775">
        <v>0.93537329999999996</v>
      </c>
      <c r="S5775">
        <v>-6.5719600000000003E-2</v>
      </c>
      <c r="T5775">
        <v>-0.23509910000000001</v>
      </c>
      <c r="U5775">
        <v>3.2875369999999999</v>
      </c>
      <c r="V5775">
        <v>-0.11888079999999999</v>
      </c>
      <c r="W5775">
        <v>0.35049560000000002</v>
      </c>
      <c r="X5775">
        <v>0.92898879999999995</v>
      </c>
      <c r="Y5775">
        <v>-5.2872389999999998E-2</v>
      </c>
      <c r="Z5775">
        <v>-6.2616249999999998E-2</v>
      </c>
      <c r="AA5775">
        <v>0.99663619999999997</v>
      </c>
      <c r="AB5775">
        <v>37</v>
      </c>
      <c r="AC5775">
        <v>-0.32330000000001702</v>
      </c>
      <c r="AD5775">
        <v>-1.1105223912459901</v>
      </c>
      <c r="AE5775">
        <v>15.138793</v>
      </c>
      <c r="AF5775">
        <v>-0.81771348888064399</v>
      </c>
      <c r="AG5775">
        <v>-1.1105223912459901</v>
      </c>
      <c r="AH5775">
        <v>15.0390212172888</v>
      </c>
      <c r="AI5775">
        <v>94.217005442646993</v>
      </c>
      <c r="AJ5775">
        <v>93.112266562624399</v>
      </c>
      <c r="AK5775">
        <v>15.1021215233297</v>
      </c>
      <c r="AL5775">
        <v>69.482368794202799</v>
      </c>
      <c r="AM5775">
        <v>97.292390039657505</v>
      </c>
      <c r="AN5775">
        <v>1.00000000037671</v>
      </c>
    </row>
    <row r="5776" spans="1:40" x14ac:dyDescent="0.25">
      <c r="A5776" t="str">
        <f>"20190304164759957"</f>
        <v>20190304164759957</v>
      </c>
      <c r="B5776" t="str">
        <f>"1551689279945463"</f>
        <v>1551689279945463</v>
      </c>
      <c r="C5776" t="s">
        <v>40</v>
      </c>
      <c r="D5776">
        <v>3.980057</v>
      </c>
      <c r="E5776">
        <v>0.54499880000000001</v>
      </c>
      <c r="F5776" t="s">
        <v>42</v>
      </c>
      <c r="G5776">
        <v>-187.64410000000001</v>
      </c>
      <c r="H5776" s="1">
        <v>-4.6713160000000001E-6</v>
      </c>
      <c r="I5776">
        <v>-0.45237539999999998</v>
      </c>
      <c r="J5776">
        <v>-187.34520000000001</v>
      </c>
      <c r="K5776">
        <v>1.110398</v>
      </c>
      <c r="L5776">
        <v>-15.868740000000001</v>
      </c>
      <c r="M5776">
        <v>3.2859630000000001E-2</v>
      </c>
      <c r="N5776">
        <v>-8.6023980000000007E-3</v>
      </c>
      <c r="O5776">
        <v>0.99942299999999995</v>
      </c>
      <c r="P5776">
        <v>-8.5854749999999994E-2</v>
      </c>
      <c r="Q5776">
        <v>0.34260869999999999</v>
      </c>
      <c r="R5776">
        <v>0.93554700000000002</v>
      </c>
      <c r="S5776">
        <v>-5.9829710000000001E-2</v>
      </c>
      <c r="T5776">
        <v>-0.23133000000000001</v>
      </c>
      <c r="U5776">
        <v>3.2864070000000001</v>
      </c>
      <c r="V5776">
        <v>-0.11687599999999999</v>
      </c>
      <c r="W5776">
        <v>0.35050730000000002</v>
      </c>
      <c r="X5776">
        <v>0.92923869999999997</v>
      </c>
      <c r="Y5776">
        <v>-5.0995890000000002E-2</v>
      </c>
      <c r="Z5776">
        <v>-6.1521560000000003E-2</v>
      </c>
      <c r="AA5776">
        <v>0.99680219999999997</v>
      </c>
      <c r="AB5776">
        <v>37</v>
      </c>
      <c r="AC5776">
        <v>-0.298900000000003</v>
      </c>
      <c r="AD5776">
        <v>-1.110402671316</v>
      </c>
      <c r="AE5776">
        <v>15.4163646</v>
      </c>
      <c r="AF5776">
        <v>-0.801178409986814</v>
      </c>
      <c r="AG5776">
        <v>-1.110402671316</v>
      </c>
      <c r="AH5776">
        <v>15.3187732815265</v>
      </c>
      <c r="AI5776">
        <v>94.140274534121403</v>
      </c>
      <c r="AJ5776">
        <v>92.993866078221998</v>
      </c>
      <c r="AK5776">
        <v>15.3798470664667</v>
      </c>
      <c r="AL5776">
        <v>69.481652250137699</v>
      </c>
      <c r="AM5776">
        <v>97.1687941084529</v>
      </c>
      <c r="AN5776">
        <v>0.99999996415348902</v>
      </c>
    </row>
    <row r="5777" spans="1:40" x14ac:dyDescent="0.25">
      <c r="A5777" t="str">
        <f>"20190304164759983"</f>
        <v>20190304164759983</v>
      </c>
      <c r="B5777" t="str">
        <f>"1551689279974742"</f>
        <v>1551689279974742</v>
      </c>
      <c r="C5777" t="s">
        <v>40</v>
      </c>
      <c r="D5777">
        <v>4.0436909999999999</v>
      </c>
      <c r="E5777">
        <v>0.54515519999999995</v>
      </c>
      <c r="F5777" t="s">
        <v>42</v>
      </c>
      <c r="G5777">
        <v>-187.608</v>
      </c>
      <c r="H5777" s="1">
        <v>-7.771093E-7</v>
      </c>
      <c r="I5777">
        <v>6.1376720000000003E-2</v>
      </c>
      <c r="J5777">
        <v>-187.33099999999999</v>
      </c>
      <c r="K5777">
        <v>1.1102909999999999</v>
      </c>
      <c r="L5777">
        <v>-15.43561</v>
      </c>
      <c r="M5777">
        <v>3.2822740000000003E-2</v>
      </c>
      <c r="N5777">
        <v>-8.5894209999999999E-3</v>
      </c>
      <c r="O5777">
        <v>0.99942430000000004</v>
      </c>
      <c r="P5777">
        <v>-8.3850499999999994E-2</v>
      </c>
      <c r="Q5777">
        <v>0.34268979999999999</v>
      </c>
      <c r="R5777">
        <v>0.93569910000000001</v>
      </c>
      <c r="S5777">
        <v>-5.4199219999999999E-2</v>
      </c>
      <c r="T5777">
        <v>-0.22901940000000001</v>
      </c>
      <c r="U5777">
        <v>3.2855829999999999</v>
      </c>
      <c r="V5777">
        <v>-0.1147548</v>
      </c>
      <c r="W5777">
        <v>0.35060910000000001</v>
      </c>
      <c r="X5777">
        <v>0.92946470000000003</v>
      </c>
      <c r="Y5777">
        <v>-4.9257229999999999E-2</v>
      </c>
      <c r="Z5777">
        <v>-6.085902E-2</v>
      </c>
      <c r="AA5777">
        <v>0.99693019999999999</v>
      </c>
      <c r="AB5777">
        <v>37</v>
      </c>
      <c r="AC5777">
        <v>-0.27700000000001501</v>
      </c>
      <c r="AD5777">
        <v>-1.1102917771092999</v>
      </c>
      <c r="AE5777">
        <v>15.496986720000001</v>
      </c>
      <c r="AF5777">
        <v>-0.78151275645652196</v>
      </c>
      <c r="AG5777">
        <v>-1.1102917771092999</v>
      </c>
      <c r="AH5777">
        <v>15.4005167746617</v>
      </c>
      <c r="AI5777">
        <v>94.118292388903896</v>
      </c>
      <c r="AJ5777">
        <v>92.905032762263602</v>
      </c>
      <c r="AK5777">
        <v>15.460253133291699</v>
      </c>
      <c r="AL5777">
        <v>69.475425451110794</v>
      </c>
      <c r="AM5777">
        <v>97.038309421043706</v>
      </c>
      <c r="AN5777">
        <v>1.00000001683597</v>
      </c>
    </row>
    <row r="5778" spans="1:40" x14ac:dyDescent="0.25">
      <c r="A5778" t="str">
        <f>"20190304164800026"</f>
        <v>20190304164800026</v>
      </c>
      <c r="B5778" t="str">
        <f>"1551689280014759"</f>
        <v>1551689280014759</v>
      </c>
      <c r="C5778" t="s">
        <v>40</v>
      </c>
      <c r="D5778">
        <v>4.0724119999999999</v>
      </c>
      <c r="E5778">
        <v>0.54526809999999903</v>
      </c>
      <c r="F5778" t="s">
        <v>42</v>
      </c>
      <c r="G5778">
        <v>-187.56399999999999</v>
      </c>
      <c r="H5778" s="1">
        <v>-1.006101E-6</v>
      </c>
      <c r="I5778">
        <v>0.69994129999999999</v>
      </c>
      <c r="J5778">
        <v>-187.3075</v>
      </c>
      <c r="K5778">
        <v>1.110166</v>
      </c>
      <c r="L5778">
        <v>-14.718349999999999</v>
      </c>
      <c r="M5778">
        <v>3.2884099999999999E-2</v>
      </c>
      <c r="N5778">
        <v>-8.5736079999999999E-3</v>
      </c>
      <c r="O5778">
        <v>0.99942240000000004</v>
      </c>
      <c r="P5778">
        <v>-8.0011899999999997E-2</v>
      </c>
      <c r="Q5778">
        <v>0.34364889999999998</v>
      </c>
      <c r="R5778">
        <v>0.9356835</v>
      </c>
      <c r="S5778">
        <v>-4.7439580000000002E-2</v>
      </c>
      <c r="T5778">
        <v>-0.226019</v>
      </c>
      <c r="U5778">
        <v>3.2846679999999999</v>
      </c>
      <c r="V5778">
        <v>-0.1108659</v>
      </c>
      <c r="W5778">
        <v>0.3515914</v>
      </c>
      <c r="X5778">
        <v>0.92956570000000005</v>
      </c>
      <c r="Y5778">
        <v>-4.7273540000000003E-2</v>
      </c>
      <c r="Z5778">
        <v>-5.9992440000000001E-2</v>
      </c>
      <c r="AA5778">
        <v>0.99707880000000004</v>
      </c>
      <c r="AB5778">
        <v>38</v>
      </c>
      <c r="AC5778">
        <v>-0.25650000000001599</v>
      </c>
      <c r="AD5778">
        <v>-1.1101670061010001</v>
      </c>
      <c r="AE5778">
        <v>15.4182913</v>
      </c>
      <c r="AF5778">
        <v>-0.75946022747268904</v>
      </c>
      <c r="AG5778">
        <v>-1.1101670061010001</v>
      </c>
      <c r="AH5778">
        <v>15.322101999675199</v>
      </c>
      <c r="AI5778">
        <v>94.139075591271805</v>
      </c>
      <c r="AJ5778">
        <v>92.837618685273696</v>
      </c>
      <c r="AK5778">
        <v>15.381029234319699</v>
      </c>
      <c r="AL5778">
        <v>69.415318446117197</v>
      </c>
      <c r="AM5778">
        <v>96.801330992863001</v>
      </c>
      <c r="AN5778">
        <v>1.0000000754766201</v>
      </c>
    </row>
    <row r="5779" spans="1:40" x14ac:dyDescent="0.25">
      <c r="A5779" t="str">
        <f>"20190304164800070"</f>
        <v>20190304164800070</v>
      </c>
      <c r="B5779" t="str">
        <f>"1551689280065511"</f>
        <v>1551689280065511</v>
      </c>
      <c r="C5779" t="s">
        <v>40</v>
      </c>
      <c r="D5779">
        <v>4.0769289999999998</v>
      </c>
      <c r="E5779">
        <v>0.545242</v>
      </c>
      <c r="F5779" t="s">
        <v>42</v>
      </c>
      <c r="G5779">
        <v>-187.48330000000001</v>
      </c>
      <c r="H5779" s="1">
        <v>-1.3949120000000001E-6</v>
      </c>
      <c r="I5779">
        <v>1.7793840000000001</v>
      </c>
      <c r="J5779">
        <v>-187.28290000000001</v>
      </c>
      <c r="K5779">
        <v>1.1100669999999999</v>
      </c>
      <c r="L5779">
        <v>-13.969569999999999</v>
      </c>
      <c r="M5779">
        <v>3.3016120000000003E-2</v>
      </c>
      <c r="N5779">
        <v>-8.5647469999999993E-3</v>
      </c>
      <c r="O5779">
        <v>0.99941809999999998</v>
      </c>
      <c r="P5779">
        <v>-7.7472479999999996E-2</v>
      </c>
      <c r="Q5779">
        <v>0.34372150000000001</v>
      </c>
      <c r="R5779">
        <v>0.93587050000000005</v>
      </c>
      <c r="S5779">
        <v>-3.5003659999999999E-2</v>
      </c>
      <c r="T5779">
        <v>-0.22101380000000001</v>
      </c>
      <c r="U5779">
        <v>3.2843930000000001</v>
      </c>
      <c r="V5779">
        <v>-0.10837620000000001</v>
      </c>
      <c r="W5779">
        <v>0.35168369999999999</v>
      </c>
      <c r="X5779">
        <v>0.92982430000000005</v>
      </c>
      <c r="Y5779">
        <v>-4.3634149999999997E-2</v>
      </c>
      <c r="Z5779">
        <v>-5.8502150000000003E-2</v>
      </c>
      <c r="AA5779">
        <v>0.99733320000000003</v>
      </c>
      <c r="AB5779">
        <v>38</v>
      </c>
      <c r="AC5779">
        <v>-0.20040000000000099</v>
      </c>
      <c r="AD5779">
        <v>-1.1100683949119901</v>
      </c>
      <c r="AE5779">
        <v>15.748953999999999</v>
      </c>
      <c r="AF5779">
        <v>-0.71671897414597596</v>
      </c>
      <c r="AG5779">
        <v>-1.1100683949119901</v>
      </c>
      <c r="AH5779">
        <v>15.6559817556138</v>
      </c>
      <c r="AI5779">
        <v>94.051471321481003</v>
      </c>
      <c r="AJ5779">
        <v>92.6211272994734</v>
      </c>
      <c r="AK5779">
        <v>15.7116422649383</v>
      </c>
      <c r="AL5779">
        <v>69.409668229607604</v>
      </c>
      <c r="AM5779">
        <v>96.648144993739805</v>
      </c>
      <c r="AN5779">
        <v>1.0000000272213001</v>
      </c>
    </row>
    <row r="5780" spans="1:40" x14ac:dyDescent="0.25">
      <c r="A5780" t="str">
        <f>"20190304164800113"</f>
        <v>20190304164800113</v>
      </c>
      <c r="B5780" t="str">
        <f>"1551689280105526"</f>
        <v>1551689280105526</v>
      </c>
      <c r="C5780" t="s">
        <v>40</v>
      </c>
      <c r="D5780">
        <v>4.079523</v>
      </c>
      <c r="E5780">
        <v>0.54515769999999997</v>
      </c>
      <c r="F5780" t="s">
        <v>42</v>
      </c>
      <c r="G5780">
        <v>-187.41</v>
      </c>
      <c r="H5780" s="1">
        <v>-1.7497740000000001E-6</v>
      </c>
      <c r="I5780">
        <v>2.6406480000000001</v>
      </c>
      <c r="J5780">
        <v>-187.2587</v>
      </c>
      <c r="K5780">
        <v>1.109993</v>
      </c>
      <c r="L5780">
        <v>-13.23874</v>
      </c>
      <c r="M5780">
        <v>3.3161509999999998E-2</v>
      </c>
      <c r="N5780">
        <v>-8.5627719999999997E-3</v>
      </c>
      <c r="O5780">
        <v>0.99941329999999995</v>
      </c>
      <c r="P5780">
        <v>-7.7999529999999997E-2</v>
      </c>
      <c r="Q5780">
        <v>0.34346969999999999</v>
      </c>
      <c r="R5780">
        <v>0.93591919999999995</v>
      </c>
      <c r="S5780">
        <v>-2.5146479999999999E-2</v>
      </c>
      <c r="T5780">
        <v>-0.21947710000000001</v>
      </c>
      <c r="U5780">
        <v>3.2840880000000001</v>
      </c>
      <c r="V5780">
        <v>-0.10898679999999999</v>
      </c>
      <c r="W5780">
        <v>0.3514467</v>
      </c>
      <c r="X5780">
        <v>0.92984250000000002</v>
      </c>
      <c r="Y5780">
        <v>-4.0788280000000003E-2</v>
      </c>
      <c r="Z5780">
        <v>-5.8050749999999998E-2</v>
      </c>
      <c r="AA5780">
        <v>0.99748000000000003</v>
      </c>
      <c r="AB5780">
        <v>38</v>
      </c>
      <c r="AC5780">
        <v>-0.151299999999992</v>
      </c>
      <c r="AD5780">
        <v>-1.1099947497739999</v>
      </c>
      <c r="AE5780">
        <v>15.879388000000001</v>
      </c>
      <c r="AF5780">
        <v>-0.67452499428156598</v>
      </c>
      <c r="AG5780">
        <v>-1.1099947497739999</v>
      </c>
      <c r="AH5780">
        <v>15.788496968886699</v>
      </c>
      <c r="AI5780">
        <v>94.017853457386806</v>
      </c>
      <c r="AJ5780">
        <v>92.446334684156795</v>
      </c>
      <c r="AK5780">
        <v>15.8418341377815</v>
      </c>
      <c r="AL5780">
        <v>69.424172485117296</v>
      </c>
      <c r="AM5780">
        <v>96.685133399347706</v>
      </c>
      <c r="AN5780">
        <v>0.99999999016068997</v>
      </c>
    </row>
    <row r="5781" spans="1:40" x14ac:dyDescent="0.25">
      <c r="A5781" t="str">
        <f>"20190304164800141"</f>
        <v>20190304164800141</v>
      </c>
      <c r="B5781" t="str">
        <f>"1551689280134808"</f>
        <v>1551689280134808</v>
      </c>
      <c r="C5781" t="s">
        <v>40</v>
      </c>
      <c r="D5781">
        <v>4.0932259999999996</v>
      </c>
      <c r="E5781">
        <v>0.54505570000000003</v>
      </c>
      <c r="F5781" t="s">
        <v>42</v>
      </c>
      <c r="G5781">
        <v>-187.36490000000001</v>
      </c>
      <c r="H5781" s="1">
        <v>-2.1039860000000001E-6</v>
      </c>
      <c r="I5781">
        <v>3.4476520000000002</v>
      </c>
      <c r="J5781">
        <v>-187.24549999999999</v>
      </c>
      <c r="K5781">
        <v>1.1099669999999999</v>
      </c>
      <c r="L5781">
        <v>-12.84268</v>
      </c>
      <c r="M5781">
        <v>3.3244160000000002E-2</v>
      </c>
      <c r="N5781">
        <v>-8.56407E-3</v>
      </c>
      <c r="O5781">
        <v>0.99941060000000004</v>
      </c>
      <c r="P5781">
        <v>-8.0001790000000003E-2</v>
      </c>
      <c r="Q5781">
        <v>0.3430974</v>
      </c>
      <c r="R5781">
        <v>0.93588669999999996</v>
      </c>
      <c r="S5781">
        <v>-2.0904539999999999E-2</v>
      </c>
      <c r="T5781">
        <v>-0.21844459999999999</v>
      </c>
      <c r="U5781">
        <v>3.2838440000000002</v>
      </c>
      <c r="V5781">
        <v>-0.11104410000000001</v>
      </c>
      <c r="W5781">
        <v>0.35108149999999999</v>
      </c>
      <c r="X5781">
        <v>0.92973700000000004</v>
      </c>
      <c r="Y5781">
        <v>-3.9583559999999997E-2</v>
      </c>
      <c r="Z5781">
        <v>-5.7744110000000001E-2</v>
      </c>
      <c r="AA5781">
        <v>0.99754640000000006</v>
      </c>
      <c r="AB5781">
        <v>38</v>
      </c>
      <c r="AC5781">
        <v>-0.119400000000013</v>
      </c>
      <c r="AD5781">
        <v>-1.109969103986</v>
      </c>
      <c r="AE5781">
        <v>16.290331999999999</v>
      </c>
      <c r="AF5781">
        <v>-0.65785823177052305</v>
      </c>
      <c r="AG5781">
        <v>-1.109969103986</v>
      </c>
      <c r="AH5781">
        <v>16.202141393924101</v>
      </c>
      <c r="AI5781">
        <v>93.915853863805495</v>
      </c>
      <c r="AJ5781">
        <v>92.325112850694694</v>
      </c>
      <c r="AK5781">
        <v>16.253436393994399</v>
      </c>
      <c r="AL5781">
        <v>69.446520181276199</v>
      </c>
      <c r="AM5781">
        <v>96.8109171225544</v>
      </c>
      <c r="AN5781">
        <v>0.99999995047802803</v>
      </c>
    </row>
    <row r="5782" spans="1:40" x14ac:dyDescent="0.25">
      <c r="A5782" t="str">
        <f>"20190304164800166"</f>
        <v>20190304164800166</v>
      </c>
      <c r="B5782" t="str">
        <f>"1551689280155302"</f>
        <v>1551689280155302</v>
      </c>
      <c r="C5782" t="s">
        <v>40</v>
      </c>
      <c r="D5782">
        <v>4.0812030000000004</v>
      </c>
      <c r="E5782">
        <v>0.54506529999999997</v>
      </c>
      <c r="F5782" t="s">
        <v>42</v>
      </c>
      <c r="G5782">
        <v>-187.3723</v>
      </c>
      <c r="H5782" s="1">
        <v>-2.2728629999999999E-6</v>
      </c>
      <c r="I5782">
        <v>3.8443740000000002</v>
      </c>
      <c r="J5782">
        <v>-187.22890000000001</v>
      </c>
      <c r="K5782">
        <v>1.109942</v>
      </c>
      <c r="L5782">
        <v>-12.343629999999999</v>
      </c>
      <c r="M5782">
        <v>3.3350820000000003E-2</v>
      </c>
      <c r="N5782">
        <v>-8.5677199999999992E-3</v>
      </c>
      <c r="O5782">
        <v>0.99940700000000005</v>
      </c>
      <c r="P5782">
        <v>-8.1634479999999995E-2</v>
      </c>
      <c r="Q5782">
        <v>0.3430472</v>
      </c>
      <c r="R5782">
        <v>0.93576409999999999</v>
      </c>
      <c r="S5782">
        <v>-2.4948120000000001E-2</v>
      </c>
      <c r="T5782">
        <v>-0.2184044</v>
      </c>
      <c r="U5782">
        <v>3.2834469999999998</v>
      </c>
      <c r="V5782">
        <v>-0.11275309999999999</v>
      </c>
      <c r="W5782">
        <v>0.35103909999999899</v>
      </c>
      <c r="X5782">
        <v>0.92954740000000002</v>
      </c>
      <c r="Y5782">
        <v>-4.0918919999999998E-2</v>
      </c>
      <c r="Z5782">
        <v>-5.7733689999999997E-2</v>
      </c>
      <c r="AA5782">
        <v>0.99749310000000002</v>
      </c>
      <c r="AB5782">
        <v>38</v>
      </c>
      <c r="AC5782">
        <v>-0.14339999999998501</v>
      </c>
      <c r="AD5782">
        <v>-1.109944272863</v>
      </c>
      <c r="AE5782">
        <v>16.188003999999999</v>
      </c>
      <c r="AF5782">
        <v>-0.68002649491259104</v>
      </c>
      <c r="AG5782">
        <v>-1.109944272863</v>
      </c>
      <c r="AH5782">
        <v>16.098537648105701</v>
      </c>
      <c r="AI5782">
        <v>93.940621553284899</v>
      </c>
      <c r="AJ5782">
        <v>92.418822099108894</v>
      </c>
      <c r="AK5782">
        <v>16.151078190948201</v>
      </c>
      <c r="AL5782">
        <v>69.449116577587006</v>
      </c>
      <c r="AM5782">
        <v>96.916128522876406</v>
      </c>
      <c r="AN5782">
        <v>1.0000000400675799</v>
      </c>
    </row>
    <row r="5783" spans="1:40" x14ac:dyDescent="0.25">
      <c r="A5783" t="str">
        <f>"20190304164800207"</f>
        <v>20190304164800207</v>
      </c>
      <c r="B5783" t="str">
        <f>"1551689280195318"</f>
        <v>1551689280195318</v>
      </c>
      <c r="C5783" t="s">
        <v>40</v>
      </c>
      <c r="D5783">
        <v>4.0579749999999999</v>
      </c>
      <c r="E5783">
        <v>0.57472659999999998</v>
      </c>
      <c r="F5783" t="s">
        <v>42</v>
      </c>
      <c r="G5783">
        <v>-187.37219999999999</v>
      </c>
      <c r="H5783" s="1">
        <v>-2.510005E-6</v>
      </c>
      <c r="I5783">
        <v>4.3971299999999998</v>
      </c>
      <c r="J5783">
        <v>-187.20599999999999</v>
      </c>
      <c r="K5783">
        <v>1.109926</v>
      </c>
      <c r="L5783">
        <v>-11.66037</v>
      </c>
      <c r="M5783">
        <v>3.3499340000000002E-2</v>
      </c>
      <c r="N5783">
        <v>-8.5755339999999992E-3</v>
      </c>
      <c r="O5783">
        <v>0.99940189999999995</v>
      </c>
      <c r="P5783">
        <v>-8.4885130000000003E-2</v>
      </c>
      <c r="Q5783">
        <v>0.34385680000000002</v>
      </c>
      <c r="R5783">
        <v>0.93517760000000005</v>
      </c>
      <c r="S5783">
        <v>-2.812195E-2</v>
      </c>
      <c r="T5783">
        <v>-0.21768879999999999</v>
      </c>
      <c r="U5783">
        <v>3.2832949999999999</v>
      </c>
      <c r="V5783">
        <v>-0.116103399999999</v>
      </c>
      <c r="W5783">
        <v>0.35185559999999899</v>
      </c>
      <c r="X5783">
        <v>0.92882600000000004</v>
      </c>
      <c r="Y5783">
        <v>-4.2031680000000002E-2</v>
      </c>
      <c r="Z5783">
        <v>-5.7510169999999999E-2</v>
      </c>
      <c r="AA5783">
        <v>0.99745969999999995</v>
      </c>
      <c r="AB5783">
        <v>38</v>
      </c>
      <c r="AC5783">
        <v>-0.16620000000000301</v>
      </c>
      <c r="AD5783">
        <v>-1.109928510005</v>
      </c>
      <c r="AE5783">
        <v>16.057500000000001</v>
      </c>
      <c r="AF5783">
        <v>-0.70069470168189496</v>
      </c>
      <c r="AG5783">
        <v>-1.109928510005</v>
      </c>
      <c r="AH5783">
        <v>15.9666407706372</v>
      </c>
      <c r="AI5783">
        <v>93.972734341006799</v>
      </c>
      <c r="AJ5783">
        <v>92.512808216812502</v>
      </c>
      <c r="AK5783">
        <v>16.020503483375901</v>
      </c>
      <c r="AL5783">
        <v>69.399147114613498</v>
      </c>
      <c r="AM5783">
        <v>97.125025459484107</v>
      </c>
      <c r="AN5783">
        <v>1.00000005050945</v>
      </c>
    </row>
    <row r="5784" spans="1:40" x14ac:dyDescent="0.25">
      <c r="A5784" t="str">
        <f>"20190304164800248"</f>
        <v>20190304164800248</v>
      </c>
      <c r="B5784" t="str">
        <f>"1551689280245095"</f>
        <v>1551689280245095</v>
      </c>
      <c r="C5784" t="s">
        <v>40</v>
      </c>
      <c r="D5784">
        <v>4.0500210000000001</v>
      </c>
      <c r="E5784">
        <v>0.58056529999999995</v>
      </c>
      <c r="F5784" t="s">
        <v>41</v>
      </c>
      <c r="G5784">
        <v>-187.15209999999999</v>
      </c>
      <c r="H5784">
        <v>1.0512170000000001</v>
      </c>
      <c r="I5784">
        <v>-10.76864</v>
      </c>
      <c r="J5784">
        <v>-187.18119999999999</v>
      </c>
      <c r="K5784">
        <v>1.1099190000000001</v>
      </c>
      <c r="L5784">
        <v>-10.92651</v>
      </c>
      <c r="M5784">
        <v>3.3657010000000001E-2</v>
      </c>
      <c r="N5784">
        <v>-8.5872209999999904E-3</v>
      </c>
      <c r="O5784">
        <v>0.99939659999999997</v>
      </c>
      <c r="P5784">
        <v>-8.7013640000000003E-2</v>
      </c>
      <c r="Q5784">
        <v>0.3439991</v>
      </c>
      <c r="R5784">
        <v>0.93492949999999997</v>
      </c>
      <c r="S5784">
        <v>0.1994476</v>
      </c>
      <c r="T5784">
        <v>-0.2176573</v>
      </c>
      <c r="U5784">
        <v>3.3060909999999999</v>
      </c>
      <c r="V5784">
        <v>-0.1183589</v>
      </c>
      <c r="W5784">
        <v>0.35200999999999999</v>
      </c>
      <c r="X5784">
        <v>0.92848269999999999</v>
      </c>
      <c r="Y5784">
        <v>2.6480130000000001E-2</v>
      </c>
      <c r="Z5784">
        <v>-5.7004029999999997E-2</v>
      </c>
      <c r="AA5784">
        <v>0.99802270000000004</v>
      </c>
      <c r="AB5784">
        <v>38</v>
      </c>
      <c r="AC5784">
        <v>2.9099999999999598E-2</v>
      </c>
      <c r="AD5784">
        <v>-5.8701999999999997E-2</v>
      </c>
      <c r="AE5784">
        <v>0.15787000000000001</v>
      </c>
      <c r="AF5784">
        <v>2.0966278104644302E-2</v>
      </c>
      <c r="AG5784">
        <v>-5.8701999999999997E-2</v>
      </c>
      <c r="AH5784">
        <v>0.14003460930727801</v>
      </c>
      <c r="AI5784">
        <v>112.517694140667</v>
      </c>
      <c r="AJ5784">
        <v>81.484806217844806</v>
      </c>
      <c r="AK5784">
        <v>0.15328144514390299</v>
      </c>
      <c r="AL5784">
        <v>69.389694856902807</v>
      </c>
      <c r="AM5784">
        <v>97.264633440162498</v>
      </c>
      <c r="AN5784">
        <v>0.99999999675425</v>
      </c>
    </row>
    <row r="5785" spans="1:40" x14ac:dyDescent="0.25">
      <c r="A5785" t="str">
        <f>"20190304164800272"</f>
        <v>20190304164800272</v>
      </c>
      <c r="B5785" t="str">
        <f>"1551689280264853"</f>
        <v>1551689280264853</v>
      </c>
      <c r="C5785" t="s">
        <v>40</v>
      </c>
      <c r="D5785">
        <v>4.0319909999999997</v>
      </c>
      <c r="E5785">
        <v>0.58117439999999998</v>
      </c>
      <c r="F5785" t="s">
        <v>42</v>
      </c>
      <c r="G5785">
        <v>-185.9572</v>
      </c>
      <c r="H5785" s="1">
        <v>-3.4364190000000001E-6</v>
      </c>
      <c r="I5785">
        <v>5.9715369999999997</v>
      </c>
      <c r="J5785">
        <v>-187.16759999999999</v>
      </c>
      <c r="K5785">
        <v>1.1099270000000001</v>
      </c>
      <c r="L5785">
        <v>-10.524319999999999</v>
      </c>
      <c r="M5785">
        <v>3.3737940000000001E-2</v>
      </c>
      <c r="N5785">
        <v>-8.5943949999999995E-3</v>
      </c>
      <c r="O5785">
        <v>0.9993938</v>
      </c>
      <c r="P5785">
        <v>-8.6547570000000004E-2</v>
      </c>
      <c r="Q5785">
        <v>0.34517789999999998</v>
      </c>
      <c r="R5785">
        <v>0.93453819999999999</v>
      </c>
      <c r="S5785">
        <v>0.23983760000000001</v>
      </c>
      <c r="T5785">
        <v>-0.21748629999999999</v>
      </c>
      <c r="U5785">
        <v>3.3111269999999902</v>
      </c>
      <c r="V5785">
        <v>-0.117953</v>
      </c>
      <c r="W5785">
        <v>0.35319250000000002</v>
      </c>
      <c r="X5785">
        <v>0.92808520000000005</v>
      </c>
      <c r="Y5785">
        <v>3.8423449999999998E-2</v>
      </c>
      <c r="Z5785">
        <v>-5.6808999999999998E-2</v>
      </c>
      <c r="AA5785">
        <v>0.99764540000000002</v>
      </c>
      <c r="AB5785">
        <v>38</v>
      </c>
      <c r="AC5785">
        <v>1.2103999999999899</v>
      </c>
      <c r="AD5785">
        <v>-1.1099304364189999</v>
      </c>
      <c r="AE5785">
        <v>16.495857000000001</v>
      </c>
      <c r="AF5785">
        <v>0.65022609753004701</v>
      </c>
      <c r="AG5785">
        <v>-1.1099304364189999</v>
      </c>
      <c r="AH5785">
        <v>16.4532131964196</v>
      </c>
      <c r="AI5785">
        <v>93.856313297793307</v>
      </c>
      <c r="AJ5785">
        <v>87.736865518058906</v>
      </c>
      <c r="AK5785">
        <v>16.503422797663401</v>
      </c>
      <c r="AL5785">
        <v>69.317292419841195</v>
      </c>
      <c r="AM5785">
        <v>97.243052876771401</v>
      </c>
      <c r="AN5785">
        <v>0.99999999536214501</v>
      </c>
    </row>
    <row r="5786" spans="1:40" x14ac:dyDescent="0.25">
      <c r="A5786" t="str">
        <f>"20190304164800299"</f>
        <v>20190304164800299</v>
      </c>
      <c r="B5786" t="str">
        <f>"1551689280295108"</f>
        <v>1551689280295108</v>
      </c>
      <c r="C5786" t="s">
        <v>40</v>
      </c>
      <c r="D5786">
        <v>3.9533830000000001</v>
      </c>
      <c r="E5786">
        <v>0.58204699999999998</v>
      </c>
      <c r="F5786" t="s">
        <v>42</v>
      </c>
      <c r="G5786">
        <v>-185.88929999999999</v>
      </c>
      <c r="H5786" s="1">
        <v>-3.7632229999999998E-6</v>
      </c>
      <c r="I5786">
        <v>6.7052289999999903</v>
      </c>
      <c r="J5786">
        <v>-187.15219999999999</v>
      </c>
      <c r="K5786">
        <v>1.1099349999999999</v>
      </c>
      <c r="L5786">
        <v>-10.06995</v>
      </c>
      <c r="M5786">
        <v>3.3806759999999998E-2</v>
      </c>
      <c r="N5786">
        <v>-8.6031040000000003E-3</v>
      </c>
      <c r="O5786">
        <v>0.99939140000000004</v>
      </c>
      <c r="P5786">
        <v>-8.5741999999999999E-2</v>
      </c>
      <c r="Q5786">
        <v>0.34625349999999999</v>
      </c>
      <c r="R5786">
        <v>0.93421449999999995</v>
      </c>
      <c r="S5786">
        <v>0.24571229999999999</v>
      </c>
      <c r="T5786">
        <v>-0.2133408</v>
      </c>
      <c r="U5786">
        <v>3.3117070000000002</v>
      </c>
      <c r="V5786">
        <v>-0.1172079</v>
      </c>
      <c r="W5786">
        <v>0.35427140000000001</v>
      </c>
      <c r="X5786">
        <v>0.92776829999999999</v>
      </c>
      <c r="Y5786">
        <v>4.0107219999999999E-2</v>
      </c>
      <c r="Z5786">
        <v>-5.5541340000000002E-2</v>
      </c>
      <c r="AA5786">
        <v>0.9976505</v>
      </c>
      <c r="AB5786">
        <v>38</v>
      </c>
      <c r="AC5786">
        <v>1.2628999999999999</v>
      </c>
      <c r="AD5786">
        <v>-1.109938763223</v>
      </c>
      <c r="AE5786">
        <v>16.775179000000001</v>
      </c>
      <c r="AF5786">
        <v>0.69203009265872995</v>
      </c>
      <c r="AG5786">
        <v>-1.109938763223</v>
      </c>
      <c r="AH5786">
        <v>16.7354327469494</v>
      </c>
      <c r="AI5786">
        <v>93.791222153373496</v>
      </c>
      <c r="AJ5786">
        <v>87.632100246492598</v>
      </c>
      <c r="AK5786">
        <v>16.786470115391001</v>
      </c>
      <c r="AL5786">
        <v>69.251202512629902</v>
      </c>
      <c r="AM5786">
        <v>97.200213197416005</v>
      </c>
      <c r="AN5786">
        <v>0.99999996758262899</v>
      </c>
    </row>
    <row r="5787" spans="1:40" x14ac:dyDescent="0.25">
      <c r="A5787" t="str">
        <f>"20190304164800337"</f>
        <v>20190304164800337</v>
      </c>
      <c r="B5787" t="str">
        <f>"1551689280325364"</f>
        <v>1551689280325364</v>
      </c>
      <c r="C5787" t="s">
        <v>40</v>
      </c>
      <c r="D5787">
        <v>4.0982859999999999</v>
      </c>
      <c r="E5787">
        <v>0.58264359999999904</v>
      </c>
      <c r="F5787" t="s">
        <v>41</v>
      </c>
      <c r="G5787">
        <v>-187.07499999999999</v>
      </c>
      <c r="H5787">
        <v>1.0472709999999901</v>
      </c>
      <c r="I5787">
        <v>-9.0673220000000008</v>
      </c>
      <c r="J5787">
        <v>-187.12989999999999</v>
      </c>
      <c r="K5787">
        <v>1.109979</v>
      </c>
      <c r="L5787">
        <v>-9.4126279999999998</v>
      </c>
      <c r="M5787">
        <v>3.3831029999999998E-2</v>
      </c>
      <c r="N5787">
        <v>-8.6167480000000005E-3</v>
      </c>
      <c r="O5787">
        <v>0.99939040000000001</v>
      </c>
      <c r="P5787">
        <v>-8.3301020000000003E-2</v>
      </c>
      <c r="Q5787">
        <v>0.3486686</v>
      </c>
      <c r="R5787">
        <v>0.9335369</v>
      </c>
      <c r="S5787">
        <v>0.25460820000000001</v>
      </c>
      <c r="T5787">
        <v>-0.20695259999999999</v>
      </c>
      <c r="U5787">
        <v>3.31134</v>
      </c>
      <c r="V5787">
        <v>-0.11479789999999999</v>
      </c>
      <c r="W5787">
        <v>0.3566839</v>
      </c>
      <c r="X5787">
        <v>0.92714510000000006</v>
      </c>
      <c r="Y5787">
        <v>4.2763500000000003E-2</v>
      </c>
      <c r="Z5787">
        <v>-5.3611850000000003E-2</v>
      </c>
      <c r="AA5787">
        <v>0.99764569999999997</v>
      </c>
      <c r="AB5787">
        <v>38</v>
      </c>
      <c r="AC5787">
        <v>5.4900000000003502E-2</v>
      </c>
      <c r="AD5787">
        <v>-6.2708000000000194E-2</v>
      </c>
      <c r="AE5787">
        <v>0.345305999999998</v>
      </c>
      <c r="AF5787">
        <v>4.18402488069528E-2</v>
      </c>
      <c r="AG5787">
        <v>-6.2708000000000194E-2</v>
      </c>
      <c r="AH5787">
        <v>0.33615303686891002</v>
      </c>
      <c r="AI5787">
        <v>100.48773049305299</v>
      </c>
      <c r="AJ5787">
        <v>82.905005977905503</v>
      </c>
      <c r="AK5787">
        <v>0.34450219720695302</v>
      </c>
      <c r="AL5787">
        <v>69.103317920672694</v>
      </c>
      <c r="AM5787">
        <v>97.058364408276802</v>
      </c>
      <c r="AN5787">
        <v>0.99999999940881501</v>
      </c>
    </row>
    <row r="5788" spans="1:40" x14ac:dyDescent="0.25">
      <c r="A5788" t="str">
        <f>"20190304164800362"</f>
        <v>20190304164800362</v>
      </c>
      <c r="B5788" t="str">
        <f>"1551689280354644"</f>
        <v>1551689280354644</v>
      </c>
      <c r="C5788" t="s">
        <v>40</v>
      </c>
      <c r="D5788">
        <v>3.991692</v>
      </c>
      <c r="E5788">
        <v>0.58301009999999998</v>
      </c>
      <c r="F5788" t="s">
        <v>41</v>
      </c>
      <c r="G5788">
        <v>-187.0463</v>
      </c>
      <c r="H5788">
        <v>1.0489310000000001</v>
      </c>
      <c r="I5788">
        <v>-8.3757249999999992</v>
      </c>
      <c r="J5788">
        <v>-187.11500000000001</v>
      </c>
      <c r="K5788">
        <v>1.110023</v>
      </c>
      <c r="L5788">
        <v>-8.9698180000000001</v>
      </c>
      <c r="M5788">
        <v>3.3765169999999997E-2</v>
      </c>
      <c r="N5788">
        <v>-8.6267400000000008E-3</v>
      </c>
      <c r="O5788">
        <v>0.99939259999999996</v>
      </c>
      <c r="P5788">
        <v>-8.2110329999999995E-2</v>
      </c>
      <c r="Q5788">
        <v>0.3494526</v>
      </c>
      <c r="R5788">
        <v>0.93334930000000005</v>
      </c>
      <c r="S5788">
        <v>0.2668915</v>
      </c>
      <c r="T5788">
        <v>-0.1948858</v>
      </c>
      <c r="U5788">
        <v>3.310181</v>
      </c>
      <c r="V5788">
        <v>-0.113578</v>
      </c>
      <c r="W5788">
        <v>0.35746329999999998</v>
      </c>
      <c r="X5788">
        <v>0.92699520000000002</v>
      </c>
      <c r="Y5788">
        <v>4.6549599999999997E-2</v>
      </c>
      <c r="Z5788">
        <v>-4.9993799999999998E-2</v>
      </c>
      <c r="AA5788">
        <v>0.9976642</v>
      </c>
      <c r="AB5788">
        <v>39</v>
      </c>
      <c r="AC5788">
        <v>6.8700000000006797E-2</v>
      </c>
      <c r="AD5788">
        <v>-6.1091999999999903E-2</v>
      </c>
      <c r="AE5788">
        <v>0.59409299999999998</v>
      </c>
      <c r="AF5788">
        <v>4.8098520933794298E-2</v>
      </c>
      <c r="AG5788">
        <v>-6.1091999999999903E-2</v>
      </c>
      <c r="AH5788">
        <v>0.58991819979835003</v>
      </c>
      <c r="AI5788">
        <v>95.893064138833296</v>
      </c>
      <c r="AJ5788">
        <v>85.338744075367302</v>
      </c>
      <c r="AK5788">
        <v>0.59502032119360804</v>
      </c>
      <c r="AL5788">
        <v>69.055510726295196</v>
      </c>
      <c r="AM5788">
        <v>96.985221594931204</v>
      </c>
      <c r="AN5788">
        <v>1.0000000368769599</v>
      </c>
    </row>
    <row r="5789" spans="1:40" x14ac:dyDescent="0.25">
      <c r="A5789" t="str">
        <f>"20190304164800407"</f>
        <v>20190304164800407</v>
      </c>
      <c r="B5789" t="str">
        <f>"1551689280394660"</f>
        <v>1551689280394660</v>
      </c>
      <c r="C5789" t="s">
        <v>40</v>
      </c>
      <c r="D5789">
        <v>4.1950979999999998</v>
      </c>
      <c r="E5789">
        <v>0.56512340000000005</v>
      </c>
      <c r="F5789" t="s">
        <v>41</v>
      </c>
      <c r="G5789">
        <v>-187.03649999999999</v>
      </c>
      <c r="H5789">
        <v>1.054532</v>
      </c>
      <c r="I5789">
        <v>-8.0226349999999993</v>
      </c>
      <c r="J5789">
        <v>-187.08959999999999</v>
      </c>
      <c r="K5789">
        <v>1.110136</v>
      </c>
      <c r="L5789">
        <v>-8.2081909999999993</v>
      </c>
      <c r="M5789">
        <v>3.3426110000000002E-2</v>
      </c>
      <c r="N5789">
        <v>-8.6453620000000002E-3</v>
      </c>
      <c r="O5789">
        <v>0.99940379999999995</v>
      </c>
      <c r="P5789">
        <v>-8.1031130000000007E-2</v>
      </c>
      <c r="Q5789">
        <v>0.35006090000000001</v>
      </c>
      <c r="R5789">
        <v>0.93321560000000003</v>
      </c>
      <c r="S5789">
        <v>0.27388000000000001</v>
      </c>
      <c r="T5789">
        <v>-0.19396649999999999</v>
      </c>
      <c r="U5789">
        <v>3.3109440000000001</v>
      </c>
      <c r="V5789">
        <v>-0.1122798</v>
      </c>
      <c r="W5789">
        <v>0.35805690000000001</v>
      </c>
      <c r="X5789">
        <v>0.92692419999999998</v>
      </c>
      <c r="Y5789">
        <v>4.8962409999999998E-2</v>
      </c>
      <c r="Z5789">
        <v>-4.9679090000000002E-2</v>
      </c>
      <c r="AA5789">
        <v>0.99756440000000002</v>
      </c>
      <c r="AB5789">
        <v>39</v>
      </c>
      <c r="AC5789">
        <v>5.3100000000000501E-2</v>
      </c>
      <c r="AD5789">
        <v>-5.5603999999999897E-2</v>
      </c>
      <c r="AE5789">
        <v>0.185556</v>
      </c>
      <c r="AF5789">
        <v>4.32757857159757E-2</v>
      </c>
      <c r="AG5789">
        <v>-5.5603999999999897E-2</v>
      </c>
      <c r="AH5789">
        <v>0.172878380921583</v>
      </c>
      <c r="AI5789">
        <v>107.32841136638601</v>
      </c>
      <c r="AJ5789">
        <v>75.946230541801697</v>
      </c>
      <c r="AK5789">
        <v>0.186685652998303</v>
      </c>
      <c r="AL5789">
        <v>69.019088206446696</v>
      </c>
      <c r="AM5789">
        <v>96.906679655882797</v>
      </c>
      <c r="AN5789">
        <v>0.99999998483564401</v>
      </c>
    </row>
    <row r="5790" spans="1:40" x14ac:dyDescent="0.25">
      <c r="A5790" t="str">
        <f>"20190304164800433"</f>
        <v>20190304164800433</v>
      </c>
      <c r="B5790" t="str">
        <f>"1551689280424916"</f>
        <v>1551689280424916</v>
      </c>
      <c r="C5790" t="s">
        <v>40</v>
      </c>
      <c r="D5790">
        <v>4.0063149999999998</v>
      </c>
      <c r="E5790">
        <v>0.56444539999999999</v>
      </c>
      <c r="F5790" t="s">
        <v>42</v>
      </c>
      <c r="G5790">
        <v>-186.16159999999999</v>
      </c>
      <c r="H5790" s="1">
        <v>-2.391168E-6</v>
      </c>
      <c r="I5790">
        <v>13.6195</v>
      </c>
      <c r="J5790">
        <v>-187.07380000000001</v>
      </c>
      <c r="K5790">
        <v>1.1102240000000001</v>
      </c>
      <c r="L5790">
        <v>-7.7269289999999904</v>
      </c>
      <c r="M5790">
        <v>3.3027630000000002E-2</v>
      </c>
      <c r="N5790">
        <v>-8.6578750000000006E-3</v>
      </c>
      <c r="O5790">
        <v>0.99941690000000005</v>
      </c>
      <c r="P5790">
        <v>-8.077587E-2</v>
      </c>
      <c r="Q5790">
        <v>0.35021069999999999</v>
      </c>
      <c r="R5790">
        <v>0.9331815</v>
      </c>
      <c r="S5790">
        <v>0.13986209999999999</v>
      </c>
      <c r="T5790">
        <v>-0.16730539999999999</v>
      </c>
      <c r="U5790">
        <v>3.2895810000000001</v>
      </c>
      <c r="V5790">
        <v>-0.1117392</v>
      </c>
      <c r="W5790">
        <v>0.35819179999999901</v>
      </c>
      <c r="X5790">
        <v>0.92693740000000002</v>
      </c>
      <c r="Y5790">
        <v>9.4159719999999999E-3</v>
      </c>
      <c r="Z5790">
        <v>-4.208547E-2</v>
      </c>
      <c r="AA5790">
        <v>0.9990696</v>
      </c>
      <c r="AB5790">
        <v>39</v>
      </c>
      <c r="AC5790">
        <v>0.912200000000012</v>
      </c>
      <c r="AD5790">
        <v>-1.1102263911679999</v>
      </c>
      <c r="AE5790">
        <v>21.346429000000001</v>
      </c>
      <c r="AF5790">
        <v>0.20609740654233399</v>
      </c>
      <c r="AG5790">
        <v>-1.1102263911679999</v>
      </c>
      <c r="AH5790">
        <v>21.307379170330702</v>
      </c>
      <c r="AI5790">
        <v>92.982574480753499</v>
      </c>
      <c r="AJ5790">
        <v>89.445819064556702</v>
      </c>
      <c r="AK5790">
        <v>21.337279252258799</v>
      </c>
      <c r="AL5790">
        <v>69.010809811421495</v>
      </c>
      <c r="AM5790">
        <v>96.873647636594896</v>
      </c>
      <c r="AN5790">
        <v>0.99999997896131898</v>
      </c>
    </row>
    <row r="5791" spans="1:40" x14ac:dyDescent="0.25">
      <c r="A5791" t="str">
        <f>"20190304164800474"</f>
        <v>20190304164800474</v>
      </c>
      <c r="B5791" t="str">
        <f>"1551689280464931"</f>
        <v>1551689280464931</v>
      </c>
      <c r="C5791" t="s">
        <v>40</v>
      </c>
      <c r="D5791">
        <v>3.9983390000000001</v>
      </c>
      <c r="E5791">
        <v>0.56436759999999997</v>
      </c>
      <c r="F5791" t="s">
        <v>42</v>
      </c>
      <c r="G5791">
        <v>-186.05189999999999</v>
      </c>
      <c r="H5791" s="1">
        <v>-3.6423339999999999E-6</v>
      </c>
      <c r="I5791">
        <v>16.490649999999999</v>
      </c>
      <c r="J5791">
        <v>-187.05170000000001</v>
      </c>
      <c r="K5791">
        <v>1.110385</v>
      </c>
      <c r="L5791">
        <v>-7.0317379999999998</v>
      </c>
      <c r="M5791">
        <v>3.2168809999999999E-2</v>
      </c>
      <c r="N5791">
        <v>-8.6767440000000001E-3</v>
      </c>
      <c r="O5791">
        <v>0.99944480000000002</v>
      </c>
      <c r="P5791">
        <v>-8.0252190000000001E-2</v>
      </c>
      <c r="Q5791">
        <v>0.3495798</v>
      </c>
      <c r="R5791">
        <v>0.93346320000000005</v>
      </c>
      <c r="S5791">
        <v>0.138549799999999</v>
      </c>
      <c r="T5791">
        <v>-0.15051889999999901</v>
      </c>
      <c r="U5791">
        <v>3.2832949999999999</v>
      </c>
      <c r="V5791">
        <v>-0.1105616</v>
      </c>
      <c r="W5791">
        <v>0.35754039999999998</v>
      </c>
      <c r="X5791">
        <v>0.92733010000000005</v>
      </c>
      <c r="Y5791">
        <v>9.9662880000000002E-3</v>
      </c>
      <c r="Z5791">
        <v>-3.7075299999999999E-2</v>
      </c>
      <c r="AA5791">
        <v>0.99926280000000001</v>
      </c>
      <c r="AB5791">
        <v>39</v>
      </c>
      <c r="AC5791">
        <v>0.99980000000002101</v>
      </c>
      <c r="AD5791">
        <v>-1.1103886423339999</v>
      </c>
      <c r="AE5791">
        <v>23.522387999999999</v>
      </c>
      <c r="AF5791">
        <v>0.24202845239081899</v>
      </c>
      <c r="AG5791">
        <v>-1.1103886423339999</v>
      </c>
      <c r="AH5791">
        <v>23.4901263706642</v>
      </c>
      <c r="AI5791">
        <v>92.706238759282201</v>
      </c>
      <c r="AJ5791">
        <v>89.409678860776097</v>
      </c>
      <c r="AK5791">
        <v>23.5176014427187</v>
      </c>
      <c r="AL5791">
        <v>69.050781121251603</v>
      </c>
      <c r="AM5791">
        <v>96.799036267253797</v>
      </c>
      <c r="AN5791">
        <v>1.0000000596963601</v>
      </c>
    </row>
    <row r="5792" spans="1:40" x14ac:dyDescent="0.25">
      <c r="A5792" t="str">
        <f>"20190304164800497"</f>
        <v>20190304164800497</v>
      </c>
      <c r="B5792" t="str">
        <f>"1551689280485428"</f>
        <v>1551689280485428</v>
      </c>
      <c r="C5792" t="s">
        <v>40</v>
      </c>
      <c r="D5792">
        <v>4.0098129999999896</v>
      </c>
      <c r="E5792">
        <v>0.56435559999999996</v>
      </c>
      <c r="F5792" t="s">
        <v>42</v>
      </c>
      <c r="G5792">
        <v>-185.99950000000001</v>
      </c>
      <c r="H5792" s="1">
        <v>-3.9433769999999998E-6</v>
      </c>
      <c r="I5792">
        <v>17.170750000000002</v>
      </c>
      <c r="J5792">
        <v>-187.0394</v>
      </c>
      <c r="K5792">
        <v>1.1104609999999999</v>
      </c>
      <c r="L5792">
        <v>-6.6346740000000004</v>
      </c>
      <c r="M5792">
        <v>3.1553449999999997E-2</v>
      </c>
      <c r="N5792">
        <v>-8.6877329999999996E-3</v>
      </c>
      <c r="O5792">
        <v>0.99946429999999997</v>
      </c>
      <c r="P5792">
        <v>-7.9700569999999998E-2</v>
      </c>
      <c r="Q5792">
        <v>0.34931610000000002</v>
      </c>
      <c r="R5792">
        <v>0.93360920000000003</v>
      </c>
      <c r="S5792">
        <v>0.1427002</v>
      </c>
      <c r="T5792">
        <v>-0.15059829999999999</v>
      </c>
      <c r="U5792">
        <v>3.2825009999999999</v>
      </c>
      <c r="V5792">
        <v>-0.1095124</v>
      </c>
      <c r="W5792">
        <v>0.35726829999999998</v>
      </c>
      <c r="X5792">
        <v>0.92755940000000003</v>
      </c>
      <c r="Y5792">
        <v>1.185277E-2</v>
      </c>
      <c r="Z5792">
        <v>-3.7099140000000003E-2</v>
      </c>
      <c r="AA5792">
        <v>0.9992413</v>
      </c>
      <c r="AB5792">
        <v>39</v>
      </c>
      <c r="AC5792">
        <v>1.0398999999999801</v>
      </c>
      <c r="AD5792">
        <v>-1.110464943377</v>
      </c>
      <c r="AE5792">
        <v>23.805423999999999</v>
      </c>
      <c r="AF5792">
        <v>0.28758595508867202</v>
      </c>
      <c r="AG5792">
        <v>-1.110464943377</v>
      </c>
      <c r="AH5792">
        <v>23.774748047062001</v>
      </c>
      <c r="AI5792">
        <v>92.674017927779005</v>
      </c>
      <c r="AJ5792">
        <v>89.306968138993895</v>
      </c>
      <c r="AK5792">
        <v>23.802404978768699</v>
      </c>
      <c r="AL5792">
        <v>69.067473040534495</v>
      </c>
      <c r="AM5792">
        <v>96.733461072948302</v>
      </c>
      <c r="AN5792">
        <v>1.0000000222334999</v>
      </c>
    </row>
    <row r="5793" spans="1:40" x14ac:dyDescent="0.25">
      <c r="A5793" t="str">
        <f>"20190304164800516"</f>
        <v>20190304164800516</v>
      </c>
      <c r="B5793" t="str">
        <f>"1551689280504948"</f>
        <v>1551689280504948</v>
      </c>
      <c r="C5793" t="s">
        <v>40</v>
      </c>
      <c r="D5793">
        <v>4.0026769999999896</v>
      </c>
      <c r="E5793">
        <v>0.564359099999999</v>
      </c>
      <c r="F5793" t="s">
        <v>42</v>
      </c>
      <c r="G5793">
        <v>-185.97219999999999</v>
      </c>
      <c r="H5793" s="1">
        <v>-4.0049920000000004E-6</v>
      </c>
      <c r="I5793">
        <v>17.303070000000002</v>
      </c>
      <c r="J5793">
        <v>-187.0291</v>
      </c>
      <c r="K5793">
        <v>1.1105229999999999</v>
      </c>
      <c r="L5793">
        <v>-6.2904970000000002</v>
      </c>
      <c r="M5793">
        <v>3.0969070000000001E-2</v>
      </c>
      <c r="N5793">
        <v>-8.6972190000000008E-3</v>
      </c>
      <c r="O5793">
        <v>0.99948250000000005</v>
      </c>
      <c r="P5793">
        <v>-7.9438030000000007E-2</v>
      </c>
      <c r="Q5793">
        <v>0.34897089999999997</v>
      </c>
      <c r="R5793">
        <v>0.93376060000000005</v>
      </c>
      <c r="S5793">
        <v>0.146362299999999</v>
      </c>
      <c r="T5793">
        <v>-0.15228839999999999</v>
      </c>
      <c r="U5793">
        <v>3.2828059999999999</v>
      </c>
      <c r="V5793">
        <v>-0.1087624</v>
      </c>
      <c r="W5793">
        <v>0.35691869999999998</v>
      </c>
      <c r="X5793">
        <v>0.9277822</v>
      </c>
      <c r="Y5793">
        <v>1.354464E-2</v>
      </c>
      <c r="Z5793">
        <v>-3.7597859999999997E-2</v>
      </c>
      <c r="AA5793">
        <v>0.99920120000000001</v>
      </c>
      <c r="AB5793">
        <v>39</v>
      </c>
      <c r="AC5793">
        <v>1.0569000000000099</v>
      </c>
      <c r="AD5793">
        <v>-1.110527004992</v>
      </c>
      <c r="AE5793">
        <v>23.593567</v>
      </c>
      <c r="AF5793">
        <v>0.32497600446687303</v>
      </c>
      <c r="AG5793">
        <v>-1.110527004992</v>
      </c>
      <c r="AH5793">
        <v>23.5628828453439</v>
      </c>
      <c r="AI5793">
        <v>92.698117382300197</v>
      </c>
      <c r="AJ5793">
        <v>89.209834672278106</v>
      </c>
      <c r="AK5793">
        <v>23.591276515180301</v>
      </c>
      <c r="AL5793">
        <v>69.088917334907407</v>
      </c>
      <c r="AM5793">
        <v>96.686174356520795</v>
      </c>
      <c r="AN5793">
        <v>1.00000001435014</v>
      </c>
    </row>
    <row r="5794" spans="1:40" x14ac:dyDescent="0.25">
      <c r="A5794" t="str">
        <f>"20190304164800536"</f>
        <v>20190304164800536</v>
      </c>
      <c r="B5794" t="str">
        <f>"1551689280525445"</f>
        <v>1551689280525445</v>
      </c>
      <c r="C5794" t="s">
        <v>40</v>
      </c>
      <c r="D5794">
        <v>4.0037979999999997</v>
      </c>
      <c r="E5794">
        <v>0.56514509999999996</v>
      </c>
      <c r="F5794" t="s">
        <v>42</v>
      </c>
      <c r="G5794">
        <v>-185.9539</v>
      </c>
      <c r="H5794" s="1">
        <v>-4.0822690000000001E-6</v>
      </c>
      <c r="I5794">
        <v>17.475619999999999</v>
      </c>
      <c r="J5794">
        <v>-187.0188</v>
      </c>
      <c r="K5794">
        <v>1.1105719999999999</v>
      </c>
      <c r="L5794">
        <v>-5.9451900000000002</v>
      </c>
      <c r="M5794">
        <v>3.0346129999999999E-2</v>
      </c>
      <c r="N5794">
        <v>-8.7066269999999998E-3</v>
      </c>
      <c r="O5794">
        <v>0.99950150000000004</v>
      </c>
      <c r="P5794">
        <v>-7.9104939999999999E-2</v>
      </c>
      <c r="Q5794">
        <v>0.34900609999999999</v>
      </c>
      <c r="R5794">
        <v>0.93377569999999999</v>
      </c>
      <c r="S5794">
        <v>0.1485138</v>
      </c>
      <c r="T5794">
        <v>-0.15339529999999901</v>
      </c>
      <c r="U5794">
        <v>3.2827760000000001</v>
      </c>
      <c r="V5794">
        <v>-0.1078924</v>
      </c>
      <c r="W5794">
        <v>0.35695159999999998</v>
      </c>
      <c r="X5794">
        <v>0.92787109999999995</v>
      </c>
      <c r="Y5794">
        <v>1.482089E-2</v>
      </c>
      <c r="Z5794">
        <v>-3.7924859999999998E-2</v>
      </c>
      <c r="AA5794">
        <v>0.99917069999999997</v>
      </c>
      <c r="AB5794">
        <v>39</v>
      </c>
      <c r="AC5794">
        <v>1.06489999999999</v>
      </c>
      <c r="AD5794">
        <v>-1.1105760822689901</v>
      </c>
      <c r="AE5794">
        <v>23.420809999999999</v>
      </c>
      <c r="AF5794">
        <v>0.35285984897320299</v>
      </c>
      <c r="AG5794">
        <v>-1.1105760822689901</v>
      </c>
      <c r="AH5794">
        <v>23.389855971070801</v>
      </c>
      <c r="AI5794">
        <v>92.718116164276495</v>
      </c>
      <c r="AJ5794">
        <v>89.135700254173898</v>
      </c>
      <c r="AK5794">
        <v>23.4188652939241</v>
      </c>
      <c r="AL5794">
        <v>69.0868989878592</v>
      </c>
      <c r="AM5794">
        <v>96.632539693958407</v>
      </c>
      <c r="AN5794">
        <v>0.99999999646776405</v>
      </c>
    </row>
    <row r="5795" spans="1:40" x14ac:dyDescent="0.25">
      <c r="A5795" t="str">
        <f>"20190304164800560"</f>
        <v>20190304164800560</v>
      </c>
      <c r="B5795" t="str">
        <f>"1551689280554724"</f>
        <v>1551689280554724</v>
      </c>
      <c r="C5795" t="s">
        <v>40</v>
      </c>
      <c r="D5795">
        <v>4.0189750000000002</v>
      </c>
      <c r="E5795">
        <v>0.56494409999999995</v>
      </c>
      <c r="F5795" t="s">
        <v>41</v>
      </c>
      <c r="G5795">
        <v>-186.97120000000001</v>
      </c>
      <c r="H5795">
        <v>1.042019</v>
      </c>
      <c r="I5795">
        <v>-4.8947909999999997</v>
      </c>
      <c r="J5795">
        <v>-187.00649999999999</v>
      </c>
      <c r="K5795">
        <v>1.110627</v>
      </c>
      <c r="L5795">
        <v>-5.5163570000000002</v>
      </c>
      <c r="M5795">
        <v>2.9537509999999999E-2</v>
      </c>
      <c r="N5795">
        <v>-8.7181829999999991E-3</v>
      </c>
      <c r="O5795">
        <v>0.99952569999999996</v>
      </c>
      <c r="P5795">
        <v>-7.9200270000000003E-2</v>
      </c>
      <c r="Q5795">
        <v>0.34944740000000002</v>
      </c>
      <c r="R5795">
        <v>0.93360259999999995</v>
      </c>
      <c r="S5795">
        <v>0.14984129999999901</v>
      </c>
      <c r="T5795">
        <v>-0.21577160000000001</v>
      </c>
      <c r="U5795">
        <v>3.3060909999999999</v>
      </c>
      <c r="V5795">
        <v>-0.1072723</v>
      </c>
      <c r="W5795">
        <v>0.35739120000000002</v>
      </c>
      <c r="X5795">
        <v>0.92777379999999998</v>
      </c>
      <c r="Y5795">
        <v>1.567118E-2</v>
      </c>
      <c r="Z5795">
        <v>-5.6350160000000003E-2</v>
      </c>
      <c r="AA5795">
        <v>0.99828810000000001</v>
      </c>
      <c r="AB5795">
        <v>39</v>
      </c>
      <c r="AC5795">
        <v>3.5299999999978099E-2</v>
      </c>
      <c r="AD5795">
        <v>-6.8608000000000002E-2</v>
      </c>
      <c r="AE5795">
        <v>0.62156599999999895</v>
      </c>
      <c r="AF5795">
        <v>1.67213170714249E-2</v>
      </c>
      <c r="AG5795">
        <v>-6.8608000000000002E-2</v>
      </c>
      <c r="AH5795">
        <v>0.61487024856804795</v>
      </c>
      <c r="AI5795">
        <v>96.364465979229294</v>
      </c>
      <c r="AJ5795">
        <v>88.442232614804894</v>
      </c>
      <c r="AK5795">
        <v>0.61891201530002304</v>
      </c>
      <c r="AL5795">
        <v>69.059933576951806</v>
      </c>
      <c r="AM5795">
        <v>96.595442154708905</v>
      </c>
      <c r="AN5795">
        <v>1.0000000200755801</v>
      </c>
    </row>
    <row r="5796" spans="1:40" x14ac:dyDescent="0.25">
      <c r="A5796" t="str">
        <f>"20190304164800602"</f>
        <v>20190304164800602</v>
      </c>
      <c r="B5796" t="str">
        <f>"1551689280594741"</f>
        <v>1551689280594741</v>
      </c>
      <c r="C5796" t="s">
        <v>40</v>
      </c>
      <c r="D5796">
        <v>3.9993780000000001</v>
      </c>
      <c r="E5796">
        <v>0.56345029999999996</v>
      </c>
      <c r="F5796" t="s">
        <v>41</v>
      </c>
      <c r="G5796">
        <v>-186.96260000000001</v>
      </c>
      <c r="H5796">
        <v>1.04606</v>
      </c>
      <c r="I5796">
        <v>-4.539968</v>
      </c>
      <c r="J5796">
        <v>-186.98599999999999</v>
      </c>
      <c r="K5796">
        <v>1.110689</v>
      </c>
      <c r="L5796">
        <v>-4.7773440000000003</v>
      </c>
      <c r="M5796">
        <v>2.8103090000000001E-2</v>
      </c>
      <c r="N5796">
        <v>-8.7381679999999993E-3</v>
      </c>
      <c r="O5796">
        <v>0.99956690000000004</v>
      </c>
      <c r="P5796">
        <v>-7.9754439999999996E-2</v>
      </c>
      <c r="Q5796">
        <v>0.35123690000000002</v>
      </c>
      <c r="R5796">
        <v>0.93288360000000004</v>
      </c>
      <c r="S5796">
        <v>0.14805599999999999</v>
      </c>
      <c r="T5796">
        <v>-0.21874750000000001</v>
      </c>
      <c r="U5796">
        <v>3.3077999999999999</v>
      </c>
      <c r="V5796">
        <v>-0.1065272</v>
      </c>
      <c r="W5796">
        <v>0.35917900000000003</v>
      </c>
      <c r="X5796">
        <v>0.92716900000000002</v>
      </c>
      <c r="Y5796">
        <v>1.654253E-2</v>
      </c>
      <c r="Z5796">
        <v>-5.7194120000000001E-2</v>
      </c>
      <c r="AA5796">
        <v>0.99822599999999995</v>
      </c>
      <c r="AB5796">
        <v>39</v>
      </c>
      <c r="AC5796">
        <v>2.3399999999980901E-2</v>
      </c>
      <c r="AD5796">
        <v>-6.4629000000000006E-2</v>
      </c>
      <c r="AE5796">
        <v>0.237376</v>
      </c>
      <c r="AF5796">
        <v>1.5576000663064299E-2</v>
      </c>
      <c r="AG5796">
        <v>-6.4629000000000006E-2</v>
      </c>
      <c r="AH5796">
        <v>0.22166636727077799</v>
      </c>
      <c r="AI5796">
        <v>106.21668387638201</v>
      </c>
      <c r="AJ5796">
        <v>85.9805602301589</v>
      </c>
      <c r="AK5796">
        <v>0.23142060802071901</v>
      </c>
      <c r="AL5796">
        <v>68.950215313051203</v>
      </c>
      <c r="AM5796">
        <v>96.554265978281805</v>
      </c>
      <c r="AN5796">
        <v>0.99999997647091898</v>
      </c>
    </row>
    <row r="5797" spans="1:40" x14ac:dyDescent="0.25">
      <c r="A5797" t="str">
        <f>"20190304164800624"</f>
        <v>20190304164800624</v>
      </c>
      <c r="B5797" t="str">
        <f>"1551689280615236"</f>
        <v>1551689280615236</v>
      </c>
      <c r="C5797" t="s">
        <v>40</v>
      </c>
      <c r="D5797">
        <v>4.02311</v>
      </c>
      <c r="E5797">
        <v>0.56352590000000002</v>
      </c>
      <c r="F5797" t="s">
        <v>42</v>
      </c>
      <c r="G5797">
        <v>-186.0497</v>
      </c>
      <c r="H5797" s="1">
        <v>-4.1544609999999998E-6</v>
      </c>
      <c r="I5797">
        <v>17.683540000000001</v>
      </c>
      <c r="J5797">
        <v>-186.9753</v>
      </c>
      <c r="K5797">
        <v>1.1107229999999999</v>
      </c>
      <c r="L5797">
        <v>-4.3743589999999903</v>
      </c>
      <c r="M5797">
        <v>2.7314129999999999E-2</v>
      </c>
      <c r="N5797">
        <v>-8.7491749999999997E-3</v>
      </c>
      <c r="O5797">
        <v>0.99958860000000005</v>
      </c>
      <c r="P5797">
        <v>-8.0116300000000001E-2</v>
      </c>
      <c r="Q5797">
        <v>0.35203889999999999</v>
      </c>
      <c r="R5797">
        <v>0.93255030000000005</v>
      </c>
      <c r="S5797">
        <v>0.13710020000000001</v>
      </c>
      <c r="T5797">
        <v>-0.16263089999999999</v>
      </c>
      <c r="U5797">
        <v>3.2887879999999998</v>
      </c>
      <c r="V5797">
        <v>-0.1061706</v>
      </c>
      <c r="W5797">
        <v>0.35998259999999899</v>
      </c>
      <c r="X5797">
        <v>0.92689820000000001</v>
      </c>
      <c r="Y5797">
        <v>1.4305969999999999E-2</v>
      </c>
      <c r="Z5797">
        <v>-4.0602829999999999E-2</v>
      </c>
      <c r="AA5797">
        <v>0.99907299999999999</v>
      </c>
      <c r="AB5797">
        <v>39</v>
      </c>
      <c r="AC5797">
        <v>0.92560000000000198</v>
      </c>
      <c r="AD5797">
        <v>-1.110727154461</v>
      </c>
      <c r="AE5797">
        <v>22.057898999999999</v>
      </c>
      <c r="AF5797">
        <v>0.32192439601154499</v>
      </c>
      <c r="AG5797">
        <v>-1.110727154461</v>
      </c>
      <c r="AH5797">
        <v>22.019216958081198</v>
      </c>
      <c r="AI5797">
        <v>92.887445952628894</v>
      </c>
      <c r="AJ5797">
        <v>89.1623864180129</v>
      </c>
      <c r="AK5797">
        <v>22.049563840934699</v>
      </c>
      <c r="AL5797">
        <v>68.900871921684995</v>
      </c>
      <c r="AM5797">
        <v>96.534407537137</v>
      </c>
      <c r="AN5797">
        <v>0.999999970885179</v>
      </c>
    </row>
    <row r="5798" spans="1:40" x14ac:dyDescent="0.25">
      <c r="A5798" t="str">
        <f>"20190304164800649"</f>
        <v>20190304164800649</v>
      </c>
      <c r="B5798" t="str">
        <f>"1551689280645493"</f>
        <v>1551689280645493</v>
      </c>
      <c r="C5798" t="s">
        <v>40</v>
      </c>
      <c r="D5798">
        <v>3.9967489999999999</v>
      </c>
      <c r="E5798">
        <v>0.56406449999999997</v>
      </c>
      <c r="F5798" t="s">
        <v>42</v>
      </c>
      <c r="G5798">
        <v>-186.03729999999999</v>
      </c>
      <c r="H5798" s="1">
        <v>-4.5221079999999997E-6</v>
      </c>
      <c r="I5798">
        <v>18.53539</v>
      </c>
      <c r="J5798">
        <v>-186.96440000000001</v>
      </c>
      <c r="K5798">
        <v>1.1107499999999999</v>
      </c>
      <c r="L5798">
        <v>-3.9540709999999999</v>
      </c>
      <c r="M5798">
        <v>2.6491959999999998E-2</v>
      </c>
      <c r="N5798">
        <v>-8.7607499999999994E-3</v>
      </c>
      <c r="O5798">
        <v>0.99961069999999996</v>
      </c>
      <c r="P5798">
        <v>-8.0815429999999994E-2</v>
      </c>
      <c r="Q5798">
        <v>0.35325770000000001</v>
      </c>
      <c r="R5798">
        <v>0.93202890000000005</v>
      </c>
      <c r="S5798">
        <v>0.1346588</v>
      </c>
      <c r="T5798">
        <v>-0.15944800000000001</v>
      </c>
      <c r="U5798">
        <v>3.2887569999999999</v>
      </c>
      <c r="V5798">
        <v>-0.10611429999999999</v>
      </c>
      <c r="W5798">
        <v>0.36120170000000001</v>
      </c>
      <c r="X5798">
        <v>0.92643030000000004</v>
      </c>
      <c r="Y5798">
        <v>1.439E-2</v>
      </c>
      <c r="Z5798">
        <v>-3.963009E-2</v>
      </c>
      <c r="AA5798">
        <v>0.99911079999999997</v>
      </c>
      <c r="AB5798">
        <v>39</v>
      </c>
      <c r="AC5798">
        <v>0.92710000000002402</v>
      </c>
      <c r="AD5798">
        <v>-1.110754522108</v>
      </c>
      <c r="AE5798">
        <v>22.489460999999999</v>
      </c>
      <c r="AF5798">
        <v>0.330157847304408</v>
      </c>
      <c r="AG5798">
        <v>-1.110754522108</v>
      </c>
      <c r="AH5798">
        <v>22.451454284253</v>
      </c>
      <c r="AI5798">
        <v>92.832014103897905</v>
      </c>
      <c r="AJ5798">
        <v>89.157502779484602</v>
      </c>
      <c r="AK5798">
        <v>22.481338467502798</v>
      </c>
      <c r="AL5798">
        <v>68.825985264617699</v>
      </c>
      <c r="AM5798">
        <v>96.534242418384906</v>
      </c>
      <c r="AN5798">
        <v>1.0000000067527299</v>
      </c>
    </row>
    <row r="5799" spans="1:40" x14ac:dyDescent="0.25">
      <c r="A5799" t="str">
        <f>"20190304164800671"</f>
        <v>20190304164800671</v>
      </c>
      <c r="B5799" t="str">
        <f>"1551689280665572"</f>
        <v>1551689280665572</v>
      </c>
      <c r="C5799" t="s">
        <v>40</v>
      </c>
      <c r="D5799">
        <v>4.0118980000000004</v>
      </c>
      <c r="E5799">
        <v>0.56395220000000001</v>
      </c>
      <c r="F5799" t="s">
        <v>42</v>
      </c>
      <c r="G5799">
        <v>-186.00389999999999</v>
      </c>
      <c r="H5799" s="1">
        <v>-4.9581760000000004E-6</v>
      </c>
      <c r="I5799">
        <v>19.53809</v>
      </c>
      <c r="J5799">
        <v>-186.9547</v>
      </c>
      <c r="K5799">
        <v>1.1107739999999999</v>
      </c>
      <c r="L5799">
        <v>-3.56311</v>
      </c>
      <c r="M5799">
        <v>2.5728529999999999E-2</v>
      </c>
      <c r="N5799">
        <v>-8.7715229999999998E-3</v>
      </c>
      <c r="O5799">
        <v>0.99963049999999998</v>
      </c>
      <c r="P5799">
        <v>-8.1354159999999995E-2</v>
      </c>
      <c r="Q5799">
        <v>0.35417739999999998</v>
      </c>
      <c r="R5799">
        <v>0.93163289999999999</v>
      </c>
      <c r="S5799">
        <v>0.134491</v>
      </c>
      <c r="T5799">
        <v>-0.1555291</v>
      </c>
      <c r="U5799">
        <v>3.2893979999999998</v>
      </c>
      <c r="V5799">
        <v>-0.1059513</v>
      </c>
      <c r="W5799">
        <v>0.36212369999999999</v>
      </c>
      <c r="X5799">
        <v>0.92608889999999999</v>
      </c>
      <c r="Y5799">
        <v>1.509661E-2</v>
      </c>
      <c r="Z5799">
        <v>-3.8424439999999997E-2</v>
      </c>
      <c r="AA5799">
        <v>0.99914749999999997</v>
      </c>
      <c r="AB5799">
        <v>39</v>
      </c>
      <c r="AC5799">
        <v>0.95080000000001497</v>
      </c>
      <c r="AD5799">
        <v>-1.1107789581759999</v>
      </c>
      <c r="AE5799">
        <v>23.101199999999999</v>
      </c>
      <c r="AF5799">
        <v>0.35528243485259398</v>
      </c>
      <c r="AG5799">
        <v>-1.1107789581759999</v>
      </c>
      <c r="AH5799">
        <v>23.064780376312999</v>
      </c>
      <c r="AI5799">
        <v>92.7568561108545</v>
      </c>
      <c r="AJ5799">
        <v>89.117504092541296</v>
      </c>
      <c r="AK5799">
        <v>23.094244939161701</v>
      </c>
      <c r="AL5799">
        <v>68.769321798159794</v>
      </c>
      <c r="AM5799">
        <v>96.526676320383402</v>
      </c>
      <c r="AN5799">
        <v>0.99999995138829301</v>
      </c>
    </row>
    <row r="5800" spans="1:40" x14ac:dyDescent="0.25">
      <c r="A5800" t="str">
        <f>"20190304164800692"</f>
        <v>20190304164800692</v>
      </c>
      <c r="B5800" t="str">
        <f>"1551689280685092"</f>
        <v>1551689280685092</v>
      </c>
      <c r="C5800" t="s">
        <v>40</v>
      </c>
      <c r="D5800">
        <v>3.998653</v>
      </c>
      <c r="E5800">
        <v>0.56387140000000002</v>
      </c>
      <c r="F5800" t="s">
        <v>42</v>
      </c>
      <c r="G5800">
        <v>-186.0189</v>
      </c>
      <c r="H5800" s="1">
        <v>-1.184168E-6</v>
      </c>
      <c r="I5800">
        <v>20.015049999999999</v>
      </c>
      <c r="J5800">
        <v>-186.9453</v>
      </c>
      <c r="K5800">
        <v>1.1107880000000001</v>
      </c>
      <c r="L5800">
        <v>-3.1752009999999999</v>
      </c>
      <c r="M5800">
        <v>2.4971790000000001E-2</v>
      </c>
      <c r="N5800">
        <v>-8.7821900000000005E-3</v>
      </c>
      <c r="O5800">
        <v>0.99964960000000003</v>
      </c>
      <c r="P5800">
        <v>-8.1535209999999997E-2</v>
      </c>
      <c r="Q5800">
        <v>0.35484490000000002</v>
      </c>
      <c r="R5800">
        <v>0.93136300000000005</v>
      </c>
      <c r="S5800">
        <v>0.13059999999999999</v>
      </c>
      <c r="T5800">
        <v>-0.1550164</v>
      </c>
      <c r="U5800">
        <v>3.2904969999999998</v>
      </c>
      <c r="V5800">
        <v>-0.1054377</v>
      </c>
      <c r="W5800">
        <v>0.36279660000000002</v>
      </c>
      <c r="X5800">
        <v>0.92588419999999905</v>
      </c>
      <c r="Y5800">
        <v>1.466073E-2</v>
      </c>
      <c r="Z5800">
        <v>-3.8245220000000003E-2</v>
      </c>
      <c r="AA5800">
        <v>0.99916079999999996</v>
      </c>
      <c r="AB5800">
        <v>40</v>
      </c>
      <c r="AC5800">
        <v>0.926400000000001</v>
      </c>
      <c r="AD5800">
        <v>-1.110789184168</v>
      </c>
      <c r="AE5800">
        <v>23.190251</v>
      </c>
      <c r="AF5800">
        <v>0.34619367511778198</v>
      </c>
      <c r="AG5800">
        <v>-1.110789184168</v>
      </c>
      <c r="AH5800">
        <v>23.153117636553301</v>
      </c>
      <c r="AI5800">
        <v>92.746397897482296</v>
      </c>
      <c r="AJ5800">
        <v>89.143356900548795</v>
      </c>
      <c r="AK5800">
        <v>23.182332905996201</v>
      </c>
      <c r="AL5800">
        <v>68.727955911699098</v>
      </c>
      <c r="AM5800">
        <v>96.496732955597906</v>
      </c>
      <c r="AN5800">
        <v>1.0000000166812399</v>
      </c>
    </row>
    <row r="5801" spans="1:40" x14ac:dyDescent="0.25">
      <c r="A5801" t="str">
        <f>"20190304164800716"</f>
        <v>20190304164800716</v>
      </c>
      <c r="B5801" t="str">
        <f>"1551689280705589"</f>
        <v>1551689280705589</v>
      </c>
      <c r="C5801" t="s">
        <v>40</v>
      </c>
      <c r="D5801">
        <v>4.0071180000000002</v>
      </c>
      <c r="E5801">
        <v>0.56377769999999905</v>
      </c>
      <c r="F5801" t="s">
        <v>42</v>
      </c>
      <c r="G5801">
        <v>-186.0119</v>
      </c>
      <c r="H5801" s="1">
        <v>-1.37804E-6</v>
      </c>
      <c r="I5801">
        <v>20.57929</v>
      </c>
      <c r="J5801">
        <v>-186.9358</v>
      </c>
      <c r="K5801">
        <v>1.110808</v>
      </c>
      <c r="L5801">
        <v>-2.7706909999999998</v>
      </c>
      <c r="M5801">
        <v>2.418236E-2</v>
      </c>
      <c r="N5801">
        <v>-8.7933500000000001E-3</v>
      </c>
      <c r="O5801">
        <v>0.99966889999999997</v>
      </c>
      <c r="P5801">
        <v>-8.1644449999999993E-2</v>
      </c>
      <c r="Q5801">
        <v>0.35546529999999998</v>
      </c>
      <c r="R5801">
        <v>0.93111690000000003</v>
      </c>
      <c r="S5801">
        <v>0.12931819999999999</v>
      </c>
      <c r="T5801">
        <v>-0.15389349999999999</v>
      </c>
      <c r="U5801">
        <v>3.2910460000000001</v>
      </c>
      <c r="V5801">
        <v>-0.1048216</v>
      </c>
      <c r="W5801">
        <v>0.36342350000000001</v>
      </c>
      <c r="X5801">
        <v>0.92570830000000004</v>
      </c>
      <c r="Y5801">
        <v>1.505566E-2</v>
      </c>
      <c r="Z5801">
        <v>-3.7887740000000003E-2</v>
      </c>
      <c r="AA5801">
        <v>0.99916859999999996</v>
      </c>
      <c r="AB5801">
        <v>40</v>
      </c>
      <c r="AC5801">
        <v>0.92390000000000305</v>
      </c>
      <c r="AD5801">
        <v>-1.1108093780399999</v>
      </c>
      <c r="AE5801">
        <v>23.349981</v>
      </c>
      <c r="AF5801">
        <v>0.35814107820032298</v>
      </c>
      <c r="AG5801">
        <v>-1.1108093780399999</v>
      </c>
      <c r="AH5801">
        <v>23.312817998906901</v>
      </c>
      <c r="AI5801">
        <v>92.727645280073105</v>
      </c>
      <c r="AJ5801">
        <v>89.119867953422002</v>
      </c>
      <c r="AK5801">
        <v>23.342014599352598</v>
      </c>
      <c r="AL5801">
        <v>68.689406364477094</v>
      </c>
      <c r="AM5801">
        <v>96.460309553205093</v>
      </c>
      <c r="AN5801">
        <v>1.0000000324338401</v>
      </c>
    </row>
    <row r="5802" spans="1:40" x14ac:dyDescent="0.25">
      <c r="A5802" t="str">
        <f>"20190304164800737"</f>
        <v>20190304164800737</v>
      </c>
      <c r="B5802" t="str">
        <f>"1551689280734868"</f>
        <v>1551689280734868</v>
      </c>
      <c r="C5802" t="s">
        <v>40</v>
      </c>
      <c r="D5802">
        <v>4.1527620000000001</v>
      </c>
      <c r="E5802">
        <v>0.56401709999999905</v>
      </c>
      <c r="F5802" t="s">
        <v>42</v>
      </c>
      <c r="G5802">
        <v>-186.01320000000001</v>
      </c>
      <c r="H5802" s="1">
        <v>-1.4989979999999999E-6</v>
      </c>
      <c r="I5802">
        <v>20.93572</v>
      </c>
      <c r="J5802">
        <v>-186.92699999999999</v>
      </c>
      <c r="K5802">
        <v>1.110822</v>
      </c>
      <c r="L5802">
        <v>-2.3795470000000001</v>
      </c>
      <c r="M5802">
        <v>2.3414959999999999E-2</v>
      </c>
      <c r="N5802">
        <v>-8.8041850000000008E-3</v>
      </c>
      <c r="O5802">
        <v>0.99968710000000005</v>
      </c>
      <c r="P5802">
        <v>-8.1857089999999993E-2</v>
      </c>
      <c r="Q5802">
        <v>0.35638160000000002</v>
      </c>
      <c r="R5802">
        <v>0.93074789999999996</v>
      </c>
      <c r="S5802">
        <v>0.12812809999999999</v>
      </c>
      <c r="T5802">
        <v>-0.15425549999999999</v>
      </c>
      <c r="U5802">
        <v>3.2920530000000001</v>
      </c>
      <c r="V5802">
        <v>-0.1043249</v>
      </c>
      <c r="W5802">
        <v>0.36434460000000002</v>
      </c>
      <c r="X5802">
        <v>0.92540230000000001</v>
      </c>
      <c r="Y5802">
        <v>1.54502999999999E-2</v>
      </c>
      <c r="Z5802">
        <v>-3.797354E-2</v>
      </c>
      <c r="AA5802">
        <v>0.99915929999999997</v>
      </c>
      <c r="AB5802">
        <v>40</v>
      </c>
      <c r="AC5802">
        <v>0.91380000000000905</v>
      </c>
      <c r="AD5802">
        <v>-1.1108234989979999</v>
      </c>
      <c r="AE5802">
        <v>23.315266999999999</v>
      </c>
      <c r="AF5802">
        <v>0.36677100035919002</v>
      </c>
      <c r="AG5802">
        <v>-1.1108234989979999</v>
      </c>
      <c r="AH5802">
        <v>23.277514721915001</v>
      </c>
      <c r="AI5802">
        <v>92.731793790504497</v>
      </c>
      <c r="AJ5802">
        <v>89.097296604720597</v>
      </c>
      <c r="AK5802">
        <v>23.306890428403399</v>
      </c>
      <c r="AL5802">
        <v>68.6327471603405</v>
      </c>
      <c r="AM5802">
        <v>96.432062539841496</v>
      </c>
      <c r="AN5802">
        <v>1.0000000445772199</v>
      </c>
    </row>
    <row r="5803" spans="1:40" x14ac:dyDescent="0.25">
      <c r="A5803" t="str">
        <f>"20190304164800764"</f>
        <v>20190304164800764</v>
      </c>
      <c r="B5803" t="str">
        <f>"1551689280755364"</f>
        <v>1551689280755364</v>
      </c>
      <c r="C5803" t="s">
        <v>40</v>
      </c>
      <c r="D5803">
        <v>3.9013439999999999</v>
      </c>
      <c r="E5803">
        <v>0.56393409999999999</v>
      </c>
      <c r="F5803" t="s">
        <v>41</v>
      </c>
      <c r="G5803">
        <v>-186.88890000000001</v>
      </c>
      <c r="H5803">
        <v>1.0444</v>
      </c>
      <c r="I5803">
        <v>-1.357172</v>
      </c>
      <c r="J5803">
        <v>-186.917</v>
      </c>
      <c r="K5803">
        <v>1.11083</v>
      </c>
      <c r="L5803">
        <v>-1.9229130000000001</v>
      </c>
      <c r="M5803">
        <v>2.2512540000000001E-2</v>
      </c>
      <c r="N5803">
        <v>-8.8169219999999996E-3</v>
      </c>
      <c r="O5803">
        <v>0.99970769999999998</v>
      </c>
      <c r="P5803">
        <v>-8.2422270000000006E-2</v>
      </c>
      <c r="Q5803">
        <v>0.35695250000000001</v>
      </c>
      <c r="R5803">
        <v>0.93047919999999995</v>
      </c>
      <c r="S5803">
        <v>0.12298580000000001</v>
      </c>
      <c r="T5803">
        <v>-0.215477</v>
      </c>
      <c r="U5803">
        <v>3.3165279999999999</v>
      </c>
      <c r="V5803">
        <v>-0.1040591</v>
      </c>
      <c r="W5803">
        <v>0.36492269999999999</v>
      </c>
      <c r="X5803">
        <v>0.92520440000000004</v>
      </c>
      <c r="Y5803">
        <v>1.448703E-2</v>
      </c>
      <c r="Z5803">
        <v>-5.5986540000000001E-2</v>
      </c>
      <c r="AA5803">
        <v>0.99832639999999995</v>
      </c>
      <c r="AB5803">
        <v>40</v>
      </c>
      <c r="AC5803">
        <v>2.80999999999949E-2</v>
      </c>
      <c r="AD5803">
        <v>-6.6429999999999906E-2</v>
      </c>
      <c r="AE5803">
        <v>0.56574099999999905</v>
      </c>
      <c r="AF5803">
        <v>1.51477764024564E-2</v>
      </c>
      <c r="AG5803">
        <v>-6.6429999999999906E-2</v>
      </c>
      <c r="AH5803">
        <v>0.55854806949144298</v>
      </c>
      <c r="AI5803">
        <v>96.780049897969604</v>
      </c>
      <c r="AJ5803">
        <v>88.446524086265697</v>
      </c>
      <c r="AK5803">
        <v>0.56268849816088895</v>
      </c>
      <c r="AL5803">
        <v>68.597175009752505</v>
      </c>
      <c r="AM5803">
        <v>96.417172572628104</v>
      </c>
      <c r="AN5803">
        <v>1.00000002752372</v>
      </c>
    </row>
    <row r="5804" spans="1:40" x14ac:dyDescent="0.25">
      <c r="A5804" t="str">
        <f>"20190304164800788"</f>
        <v>20190304164800788</v>
      </c>
      <c r="B5804" t="str">
        <f>"1551689280785254"</f>
        <v>1551689280785254</v>
      </c>
      <c r="C5804" t="s">
        <v>40</v>
      </c>
      <c r="D5804">
        <v>3.966186</v>
      </c>
      <c r="E5804">
        <v>0.56416959999999905</v>
      </c>
      <c r="F5804" t="s">
        <v>42</v>
      </c>
      <c r="G5804">
        <v>-186.06440000000001</v>
      </c>
      <c r="H5804" s="1">
        <v>-1.3232680000000001E-6</v>
      </c>
      <c r="I5804">
        <v>20.459389999999999</v>
      </c>
      <c r="J5804">
        <v>-186.90790000000001</v>
      </c>
      <c r="K5804">
        <v>1.1108450000000001</v>
      </c>
      <c r="L5804">
        <v>-1.4871829999999999</v>
      </c>
      <c r="M5804">
        <v>2.1641130000000001E-2</v>
      </c>
      <c r="N5804">
        <v>-8.8293E-3</v>
      </c>
      <c r="O5804">
        <v>0.99972680000000003</v>
      </c>
      <c r="P5804">
        <v>-8.2978659999999996E-2</v>
      </c>
      <c r="Q5804">
        <v>0.35770079999999999</v>
      </c>
      <c r="R5804">
        <v>0.93014229999999998</v>
      </c>
      <c r="S5804">
        <v>0.1256409</v>
      </c>
      <c r="T5804">
        <v>-0.16368269999999999</v>
      </c>
      <c r="U5804">
        <v>3.2980649999999998</v>
      </c>
      <c r="V5804">
        <v>-0.103813</v>
      </c>
      <c r="W5804">
        <v>0.36567690000000003</v>
      </c>
      <c r="X5804">
        <v>0.92493420000000004</v>
      </c>
      <c r="Y5804">
        <v>1.6396709999999998E-2</v>
      </c>
      <c r="Z5804">
        <v>-4.0713520000000003E-2</v>
      </c>
      <c r="AA5804">
        <v>0.99903629999999999</v>
      </c>
      <c r="AB5804">
        <v>40</v>
      </c>
      <c r="AC5804">
        <v>0.84350000000000502</v>
      </c>
      <c r="AD5804">
        <v>-1.1108463232679999</v>
      </c>
      <c r="AE5804">
        <v>21.946573000000001</v>
      </c>
      <c r="AF5804">
        <v>0.36739541065812598</v>
      </c>
      <c r="AG5804">
        <v>-1.1108463232679999</v>
      </c>
      <c r="AH5804">
        <v>21.903653993717601</v>
      </c>
      <c r="AI5804">
        <v>92.902867013199597</v>
      </c>
      <c r="AJ5804">
        <v>89.039053818090295</v>
      </c>
      <c r="AK5804">
        <v>21.934881290269001</v>
      </c>
      <c r="AL5804">
        <v>68.550753876816799</v>
      </c>
      <c r="AM5804">
        <v>96.403976811665004</v>
      </c>
      <c r="AN5804">
        <v>1.0000000042461199</v>
      </c>
    </row>
    <row r="5805" spans="1:40" x14ac:dyDescent="0.25">
      <c r="A5805" t="str">
        <f>"20190304164800830"</f>
        <v>20190304164800830</v>
      </c>
      <c r="B5805" t="str">
        <f>"1551689280825270"</f>
        <v>1551689280825270</v>
      </c>
      <c r="C5805" t="s">
        <v>40</v>
      </c>
      <c r="D5805">
        <v>3.9735689999999999</v>
      </c>
      <c r="E5805">
        <v>0.56380559999999902</v>
      </c>
      <c r="F5805" t="s">
        <v>42</v>
      </c>
      <c r="G5805">
        <v>-186.35149999999999</v>
      </c>
      <c r="H5805" s="1">
        <v>-2.6538849999999999E-6</v>
      </c>
      <c r="I5805">
        <v>14.310460000000001</v>
      </c>
      <c r="J5805">
        <v>-186.89349999999999</v>
      </c>
      <c r="K5805">
        <v>1.1108819999999999</v>
      </c>
      <c r="L5805">
        <v>-0.75296019999999997</v>
      </c>
      <c r="M5805">
        <v>2.0123930000000002E-2</v>
      </c>
      <c r="N5805">
        <v>-8.8501429999999996E-3</v>
      </c>
      <c r="O5805">
        <v>0.99975829999999999</v>
      </c>
      <c r="P5805">
        <v>-8.4121319999999999E-2</v>
      </c>
      <c r="Q5805">
        <v>0.35787099999999999</v>
      </c>
      <c r="R5805">
        <v>0.92997419999999997</v>
      </c>
      <c r="S5805">
        <v>0.11712649999999999</v>
      </c>
      <c r="T5805">
        <v>-0.23385300000000001</v>
      </c>
      <c r="U5805">
        <v>3.3256839999999999</v>
      </c>
      <c r="V5805">
        <v>-0.1035739</v>
      </c>
      <c r="W5805">
        <v>0.36585790000000001</v>
      </c>
      <c r="X5805">
        <v>0.92488939999999997</v>
      </c>
      <c r="Y5805">
        <v>1.5006159999999999E-2</v>
      </c>
      <c r="Z5805">
        <v>-6.1269259999999999E-2</v>
      </c>
      <c r="AA5805">
        <v>0.99800849999999997</v>
      </c>
      <c r="AB5805">
        <v>40</v>
      </c>
      <c r="AC5805">
        <v>0.54200000000000104</v>
      </c>
      <c r="AD5805">
        <v>-1.1108846538849999</v>
      </c>
      <c r="AE5805">
        <v>15.063420199999999</v>
      </c>
      <c r="AF5805">
        <v>0.23745338514175299</v>
      </c>
      <c r="AG5805">
        <v>-1.1108846538849999</v>
      </c>
      <c r="AH5805">
        <v>14.9898579987128</v>
      </c>
      <c r="AI5805">
        <v>94.237860056604703</v>
      </c>
      <c r="AJ5805">
        <v>89.092457115046898</v>
      </c>
      <c r="AK5805">
        <v>15.032840438384399</v>
      </c>
      <c r="AL5805">
        <v>68.539610656349893</v>
      </c>
      <c r="AM5805">
        <v>96.389656345905806</v>
      </c>
      <c r="AN5805">
        <v>0.99999997899298898</v>
      </c>
    </row>
    <row r="5806" spans="1:40" x14ac:dyDescent="0.25">
      <c r="A5806" t="str">
        <f>"20190304164800871"</f>
        <v>20190304164800871</v>
      </c>
      <c r="B5806" t="str">
        <f>"1551689280865286"</f>
        <v>1551689280865286</v>
      </c>
      <c r="C5806" t="s">
        <v>40</v>
      </c>
      <c r="D5806">
        <v>3.9355229999999999</v>
      </c>
      <c r="E5806">
        <v>0.56375889999999995</v>
      </c>
      <c r="F5806" t="s">
        <v>42</v>
      </c>
      <c r="G5806">
        <v>-186.1378</v>
      </c>
      <c r="H5806" s="1">
        <v>-1.4534379999999999E-6</v>
      </c>
      <c r="I5806">
        <v>20.899329999999999</v>
      </c>
      <c r="J5806">
        <v>-186.87989999999999</v>
      </c>
      <c r="K5806">
        <v>1.110924</v>
      </c>
      <c r="L5806">
        <v>7.3242190000000001E-4</v>
      </c>
      <c r="M5806">
        <v>1.8472280000000001E-2</v>
      </c>
      <c r="N5806">
        <v>-8.8686010000000003E-3</v>
      </c>
      <c r="O5806">
        <v>0.99978999999999996</v>
      </c>
      <c r="P5806">
        <v>-8.4931499999999993E-2</v>
      </c>
      <c r="Q5806">
        <v>0.35733510000000002</v>
      </c>
      <c r="R5806">
        <v>0.93010660000000001</v>
      </c>
      <c r="S5806">
        <v>0.1152191</v>
      </c>
      <c r="T5806">
        <v>-0.16938599999999901</v>
      </c>
      <c r="U5806">
        <v>3.3015140000000001</v>
      </c>
      <c r="V5806">
        <v>-0.1028978</v>
      </c>
      <c r="W5806">
        <v>0.36533070000000001</v>
      </c>
      <c r="X5806">
        <v>0.92517320000000003</v>
      </c>
      <c r="Y5806">
        <v>1.6374260000000002E-2</v>
      </c>
      <c r="Z5806">
        <v>-4.2349989999999997E-2</v>
      </c>
      <c r="AA5806">
        <v>0.99896870000000004</v>
      </c>
      <c r="AB5806">
        <v>40</v>
      </c>
      <c r="AC5806">
        <v>0.74209999999999299</v>
      </c>
      <c r="AD5806">
        <v>-1.110925453438</v>
      </c>
      <c r="AE5806">
        <v>20.898597578099999</v>
      </c>
      <c r="AF5806">
        <v>0.35491179068650403</v>
      </c>
      <c r="AG5806">
        <v>-1.110925453438</v>
      </c>
      <c r="AH5806">
        <v>20.849897600863802</v>
      </c>
      <c r="AI5806">
        <v>93.049512038205407</v>
      </c>
      <c r="AJ5806">
        <v>89.024792141614199</v>
      </c>
      <c r="AK5806">
        <v>20.8824890209182</v>
      </c>
      <c r="AL5806">
        <v>68.572063226407806</v>
      </c>
      <c r="AM5806">
        <v>96.346356706984295</v>
      </c>
      <c r="AN5806">
        <v>0.999999963802784</v>
      </c>
    </row>
    <row r="5807" spans="1:40" x14ac:dyDescent="0.25">
      <c r="A5807" t="str">
        <f>"20190304164800893"</f>
        <v>20190304164800893</v>
      </c>
      <c r="B5807" t="str">
        <f>"1551689280884806"</f>
        <v>1551689280884806</v>
      </c>
      <c r="C5807" t="s">
        <v>40</v>
      </c>
      <c r="D5807">
        <v>3.8734060000000001</v>
      </c>
      <c r="E5807">
        <v>0.56519540000000001</v>
      </c>
      <c r="F5807" t="s">
        <v>42</v>
      </c>
      <c r="G5807">
        <v>-186.3794</v>
      </c>
      <c r="H5807" s="1">
        <v>-3.298221E-6</v>
      </c>
      <c r="I5807">
        <v>15.823930000000001</v>
      </c>
      <c r="J5807">
        <v>-186.8733</v>
      </c>
      <c r="K5807">
        <v>1.110962</v>
      </c>
      <c r="L5807">
        <v>0.39959719999999999</v>
      </c>
      <c r="M5807">
        <v>1.7548060000000001E-2</v>
      </c>
      <c r="N5807">
        <v>-8.8734750000000005E-3</v>
      </c>
      <c r="O5807">
        <v>0.99980659999999999</v>
      </c>
      <c r="P5807">
        <v>-8.4758150000000004E-2</v>
      </c>
      <c r="Q5807">
        <v>0.35696609999999901</v>
      </c>
      <c r="R5807">
        <v>0.93026410000000004</v>
      </c>
      <c r="S5807">
        <v>0.1051788</v>
      </c>
      <c r="T5807">
        <v>-0.23342589999999999</v>
      </c>
      <c r="U5807">
        <v>3.3247379999999902</v>
      </c>
      <c r="V5807">
        <v>-0.1018971</v>
      </c>
      <c r="W5807">
        <v>0.36496260000000003</v>
      </c>
      <c r="X5807">
        <v>0.92542919999999995</v>
      </c>
      <c r="Y5807">
        <v>1.4010460000000001E-2</v>
      </c>
      <c r="Z5807">
        <v>-6.1147409999999999E-2</v>
      </c>
      <c r="AA5807">
        <v>0.99803039999999998</v>
      </c>
      <c r="AB5807">
        <v>40</v>
      </c>
      <c r="AC5807">
        <v>0.49389999999999601</v>
      </c>
      <c r="AD5807">
        <v>-1.1109652982209901</v>
      </c>
      <c r="AE5807">
        <v>15.424332799999901</v>
      </c>
      <c r="AF5807">
        <v>0.221995654944981</v>
      </c>
      <c r="AG5807">
        <v>-1.1109652982209901</v>
      </c>
      <c r="AH5807">
        <v>15.351067308351199</v>
      </c>
      <c r="AI5807">
        <v>94.138879772599395</v>
      </c>
      <c r="AJ5807">
        <v>89.171489037649906</v>
      </c>
      <c r="AK5807">
        <v>15.392816294304099</v>
      </c>
      <c r="AL5807">
        <v>68.594718068156197</v>
      </c>
      <c r="AM5807">
        <v>96.283408813468</v>
      </c>
      <c r="AN5807">
        <v>0.99999996129990398</v>
      </c>
    </row>
    <row r="5808" spans="1:40" x14ac:dyDescent="0.25">
      <c r="A5808" t="str">
        <f>"20190304164800916"</f>
        <v>20190304164800916</v>
      </c>
      <c r="B5808" t="str">
        <f>"1551689280905302"</f>
        <v>1551689280905302</v>
      </c>
      <c r="C5808" t="s">
        <v>40</v>
      </c>
      <c r="D5808">
        <v>3.9409730000000001</v>
      </c>
      <c r="E5808">
        <v>0.5648415</v>
      </c>
      <c r="F5808" t="s">
        <v>42</v>
      </c>
      <c r="G5808">
        <v>-186.1446</v>
      </c>
      <c r="H5808" s="1">
        <v>-1.1676550000000001E-6</v>
      </c>
      <c r="I5808">
        <v>20.064820000000001</v>
      </c>
      <c r="J5808">
        <v>-186.86699999999999</v>
      </c>
      <c r="K5808">
        <v>1.110997</v>
      </c>
      <c r="L5808">
        <v>0.80621339999999997</v>
      </c>
      <c r="M5808">
        <v>1.6563729999999999E-2</v>
      </c>
      <c r="N5808">
        <v>-8.8766149999999992E-3</v>
      </c>
      <c r="O5808">
        <v>0.99982340000000003</v>
      </c>
      <c r="P5808">
        <v>-8.5058389999999998E-2</v>
      </c>
      <c r="Q5808">
        <v>0.35733690000000001</v>
      </c>
      <c r="R5808">
        <v>0.93009430000000004</v>
      </c>
      <c r="S5808">
        <v>0.1225739</v>
      </c>
      <c r="T5808">
        <v>-0.18686839999999999</v>
      </c>
      <c r="U5808">
        <v>3.3077700000000001</v>
      </c>
      <c r="V5808">
        <v>-0.101314</v>
      </c>
      <c r="W5808">
        <v>0.36532759999999997</v>
      </c>
      <c r="X5808">
        <v>0.92534919999999998</v>
      </c>
      <c r="Y5808">
        <v>2.0425080000000002E-2</v>
      </c>
      <c r="Z5808">
        <v>-4.7505100000000001E-2</v>
      </c>
      <c r="AA5808">
        <v>0.99866220000000006</v>
      </c>
      <c r="AB5808">
        <v>40</v>
      </c>
      <c r="AC5808">
        <v>0.72240000000002103</v>
      </c>
      <c r="AD5808">
        <v>-1.110998167655</v>
      </c>
      <c r="AE5808">
        <v>19.2586066</v>
      </c>
      <c r="AF5808">
        <v>0.40195813914391099</v>
      </c>
      <c r="AG5808">
        <v>-1.110998167655</v>
      </c>
      <c r="AH5808">
        <v>19.204109907868101</v>
      </c>
      <c r="AI5808">
        <v>93.310267462051698</v>
      </c>
      <c r="AJ5808">
        <v>88.800926328454693</v>
      </c>
      <c r="AK5808">
        <v>19.2404190346166</v>
      </c>
      <c r="AL5808">
        <v>68.572253989997193</v>
      </c>
      <c r="AM5808">
        <v>96.248273412478298</v>
      </c>
      <c r="AN5808">
        <v>0.99999996192919904</v>
      </c>
    </row>
    <row r="5809" spans="1:40" x14ac:dyDescent="0.25">
      <c r="A5809" t="str">
        <f>"20190304164800939"</f>
        <v>20190304164800939</v>
      </c>
      <c r="B5809" t="str">
        <f>"1551689280935558"</f>
        <v>1551689280935558</v>
      </c>
      <c r="C5809" t="s">
        <v>40</v>
      </c>
      <c r="D5809">
        <v>3.900817</v>
      </c>
      <c r="E5809">
        <v>0.56485920000000001</v>
      </c>
      <c r="F5809" t="s">
        <v>41</v>
      </c>
      <c r="G5809">
        <v>-186.82839999999999</v>
      </c>
      <c r="H5809">
        <v>1.0497860000000001</v>
      </c>
      <c r="I5809">
        <v>1.871923</v>
      </c>
      <c r="J5809">
        <v>-186.86099999999999</v>
      </c>
      <c r="K5809">
        <v>1.111022</v>
      </c>
      <c r="L5809">
        <v>1.2215879999999999</v>
      </c>
      <c r="M5809">
        <v>1.552093E-2</v>
      </c>
      <c r="N5809">
        <v>-8.8798550000000007E-3</v>
      </c>
      <c r="O5809">
        <v>0.99984010000000001</v>
      </c>
      <c r="P5809">
        <v>-8.6477739999999997E-2</v>
      </c>
      <c r="Q5809">
        <v>0.35742960000000001</v>
      </c>
      <c r="R5809">
        <v>0.92992779999999997</v>
      </c>
      <c r="S5809">
        <v>0.1196136</v>
      </c>
      <c r="T5809">
        <v>-0.19008910000000001</v>
      </c>
      <c r="U5809">
        <v>3.3094480000000002</v>
      </c>
      <c r="V5809">
        <v>-0.1017948</v>
      </c>
      <c r="W5809">
        <v>0.36541279999999998</v>
      </c>
      <c r="X5809">
        <v>0.92526280000000005</v>
      </c>
      <c r="Y5809">
        <v>2.055527E-2</v>
      </c>
      <c r="Z5809">
        <v>-4.8443720000000003E-2</v>
      </c>
      <c r="AA5809">
        <v>0.99861440000000001</v>
      </c>
      <c r="AB5809">
        <v>40</v>
      </c>
      <c r="AC5809">
        <v>3.26000000000021E-2</v>
      </c>
      <c r="AD5809">
        <v>-6.1235999999999798E-2</v>
      </c>
      <c r="AE5809">
        <v>0.650335</v>
      </c>
      <c r="AF5809">
        <v>2.23046084080856E-2</v>
      </c>
      <c r="AG5809">
        <v>-6.1235999999999798E-2</v>
      </c>
      <c r="AH5809">
        <v>0.64505775867730297</v>
      </c>
      <c r="AI5809">
        <v>95.419676696217493</v>
      </c>
      <c r="AJ5809">
        <v>88.019633193193201</v>
      </c>
      <c r="AK5809">
        <v>0.64834161927337597</v>
      </c>
      <c r="AL5809">
        <v>68.567010054688893</v>
      </c>
      <c r="AM5809">
        <v>96.278270815490998</v>
      </c>
      <c r="AN5809">
        <v>0.99999997238735905</v>
      </c>
    </row>
    <row r="5810" spans="1:40" x14ac:dyDescent="0.25">
      <c r="A5810" t="str">
        <f>"20190304164800962"</f>
        <v>20190304164800962</v>
      </c>
      <c r="B5810" t="str">
        <f>"1551689280955078"</f>
        <v>1551689280955078</v>
      </c>
      <c r="C5810" t="s">
        <v>40</v>
      </c>
      <c r="D5810">
        <v>3.962129</v>
      </c>
      <c r="E5810">
        <v>0.56504209999999999</v>
      </c>
      <c r="F5810" t="s">
        <v>41</v>
      </c>
      <c r="G5810">
        <v>-186.82560000000001</v>
      </c>
      <c r="H5810">
        <v>1.0498240000000001</v>
      </c>
      <c r="I5810">
        <v>2.2331500000000002</v>
      </c>
      <c r="J5810">
        <v>-186.8553</v>
      </c>
      <c r="K5810">
        <v>1.1110530000000001</v>
      </c>
      <c r="L5810">
        <v>1.640533</v>
      </c>
      <c r="M5810">
        <v>1.444165E-2</v>
      </c>
      <c r="N5810">
        <v>-8.8835949999999993E-3</v>
      </c>
      <c r="O5810">
        <v>0.99985619999999997</v>
      </c>
      <c r="P5810">
        <v>-8.8246539999999998E-2</v>
      </c>
      <c r="Q5810">
        <v>0.3573712</v>
      </c>
      <c r="R5810">
        <v>0.9297841</v>
      </c>
      <c r="S5810">
        <v>0.11584469999999999</v>
      </c>
      <c r="T5810">
        <v>-0.20048440000000001</v>
      </c>
      <c r="U5810">
        <v>3.3138730000000001</v>
      </c>
      <c r="V5810">
        <v>-0.1025874</v>
      </c>
      <c r="W5810">
        <v>0.36534759999999999</v>
      </c>
      <c r="X5810">
        <v>0.9252011</v>
      </c>
      <c r="Y5810">
        <v>2.0446470000000001E-2</v>
      </c>
      <c r="Z5810">
        <v>-5.1486469999999999E-2</v>
      </c>
      <c r="AA5810">
        <v>0.99846429999999997</v>
      </c>
      <c r="AB5810">
        <v>40</v>
      </c>
      <c r="AC5810">
        <v>2.9699999999991102E-2</v>
      </c>
      <c r="AD5810">
        <v>-6.12290000000002E-2</v>
      </c>
      <c r="AE5810">
        <v>0.59261699999999995</v>
      </c>
      <c r="AF5810">
        <v>2.0915484499966899E-2</v>
      </c>
      <c r="AG5810">
        <v>-6.12290000000002E-2</v>
      </c>
      <c r="AH5810">
        <v>0.58673643357569205</v>
      </c>
      <c r="AI5810">
        <v>95.953794851455299</v>
      </c>
      <c r="AJ5810">
        <v>87.958432936113994</v>
      </c>
      <c r="AK5810">
        <v>0.59029322409967599</v>
      </c>
      <c r="AL5810">
        <v>68.571025174025607</v>
      </c>
      <c r="AM5810">
        <v>96.327178624794797</v>
      </c>
      <c r="AN5810">
        <v>1.00000005945286</v>
      </c>
    </row>
    <row r="5811" spans="1:40" x14ac:dyDescent="0.25">
      <c r="A5811" t="str">
        <f>"20190304164800986"</f>
        <v>20190304164800986</v>
      </c>
      <c r="B5811" t="str">
        <f>"1551689280975574"</f>
        <v>1551689280975574</v>
      </c>
      <c r="C5811" t="s">
        <v>40</v>
      </c>
      <c r="D5811">
        <v>3.987152</v>
      </c>
      <c r="E5811">
        <v>0.56541439999999998</v>
      </c>
      <c r="F5811" t="s">
        <v>42</v>
      </c>
      <c r="G5811">
        <v>-186.23929999999999</v>
      </c>
      <c r="H5811" s="1">
        <v>-1.0686640000000001E-6</v>
      </c>
      <c r="I5811">
        <v>19.84796</v>
      </c>
      <c r="J5811">
        <v>-186.8502</v>
      </c>
      <c r="K5811">
        <v>1.1110819999999999</v>
      </c>
      <c r="L5811">
        <v>2.062103</v>
      </c>
      <c r="M5811">
        <v>1.333528E-2</v>
      </c>
      <c r="N5811">
        <v>-8.8877609999999992E-3</v>
      </c>
      <c r="O5811">
        <v>0.99987159999999997</v>
      </c>
      <c r="P5811">
        <v>-8.9636779999999999E-2</v>
      </c>
      <c r="Q5811">
        <v>0.35772769999999998</v>
      </c>
      <c r="R5811">
        <v>0.9295139</v>
      </c>
      <c r="S5811">
        <v>0.1121674</v>
      </c>
      <c r="T5811">
        <v>-0.20228450000000001</v>
      </c>
      <c r="U5811">
        <v>3.3149410000000001</v>
      </c>
      <c r="V5811">
        <v>-0.1029714</v>
      </c>
      <c r="W5811">
        <v>0.36569819999999997</v>
      </c>
      <c r="X5811">
        <v>0.92501990000000001</v>
      </c>
      <c r="Y5811">
        <v>2.0434250000000001E-2</v>
      </c>
      <c r="Z5811">
        <v>-5.2005240000000001E-2</v>
      </c>
      <c r="AA5811">
        <v>0.99843769999999998</v>
      </c>
      <c r="AB5811">
        <v>40</v>
      </c>
      <c r="AC5811">
        <v>0.61090000000001499</v>
      </c>
      <c r="AD5811">
        <v>-1.1110830686640001</v>
      </c>
      <c r="AE5811">
        <v>17.785857</v>
      </c>
      <c r="AF5811">
        <v>0.372206103853568</v>
      </c>
      <c r="AG5811">
        <v>-1.1110830686640001</v>
      </c>
      <c r="AH5811">
        <v>17.723338307967602</v>
      </c>
      <c r="AI5811">
        <v>93.586411875139504</v>
      </c>
      <c r="AJ5811">
        <v>88.796913755701993</v>
      </c>
      <c r="AK5811">
        <v>17.762031520856201</v>
      </c>
      <c r="AL5811">
        <v>68.549443667308395</v>
      </c>
      <c r="AM5811">
        <v>96.351902908162202</v>
      </c>
      <c r="AN5811">
        <v>1.0000000490486001</v>
      </c>
    </row>
    <row r="5812" spans="1:40" x14ac:dyDescent="0.25">
      <c r="A5812" t="str">
        <f>"20190304164801029"</f>
        <v>20190304164801029</v>
      </c>
      <c r="B5812" t="str">
        <f>"1551689281025351"</f>
        <v>1551689281025351</v>
      </c>
      <c r="C5812" t="s">
        <v>40</v>
      </c>
      <c r="D5812">
        <v>3.9899249999999999</v>
      </c>
      <c r="E5812">
        <v>0.56512259999999903</v>
      </c>
      <c r="F5812" t="s">
        <v>42</v>
      </c>
      <c r="G5812">
        <v>-186.2689</v>
      </c>
      <c r="H5812" s="1">
        <v>-1.013816E-6</v>
      </c>
      <c r="I5812">
        <v>19.709959999999999</v>
      </c>
      <c r="J5812">
        <v>-186.84180000000001</v>
      </c>
      <c r="K5812">
        <v>1.111119</v>
      </c>
      <c r="L5812">
        <v>2.8413089999999999</v>
      </c>
      <c r="M5812">
        <v>1.1257680000000001E-2</v>
      </c>
      <c r="N5812">
        <v>-8.8969959999999904E-3</v>
      </c>
      <c r="O5812">
        <v>0.99989709999999998</v>
      </c>
      <c r="P5812">
        <v>-9.3125289999999999E-2</v>
      </c>
      <c r="Q5812">
        <v>0.3574483</v>
      </c>
      <c r="R5812">
        <v>0.92927839999999995</v>
      </c>
      <c r="S5812">
        <v>0.1092987</v>
      </c>
      <c r="T5812">
        <v>-0.20892479999999999</v>
      </c>
      <c r="U5812">
        <v>3.318451</v>
      </c>
      <c r="V5812">
        <v>-0.10455929999999999</v>
      </c>
      <c r="W5812">
        <v>0.36541370000000001</v>
      </c>
      <c r="X5812">
        <v>0.92495419999999995</v>
      </c>
      <c r="Y5812">
        <v>2.1609900000000001E-2</v>
      </c>
      <c r="Z5812">
        <v>-5.392359E-2</v>
      </c>
      <c r="AA5812">
        <v>0.99831119999999995</v>
      </c>
      <c r="AB5812">
        <v>40</v>
      </c>
      <c r="AC5812">
        <v>0.57290000000000396</v>
      </c>
      <c r="AD5812">
        <v>-1.111120013816</v>
      </c>
      <c r="AE5812">
        <v>16.868651</v>
      </c>
      <c r="AF5812">
        <v>0.381301856452684</v>
      </c>
      <c r="AG5812">
        <v>-1.111120013816</v>
      </c>
      <c r="AH5812">
        <v>16.801219994643699</v>
      </c>
      <c r="AI5812">
        <v>93.782677757578</v>
      </c>
      <c r="AJ5812">
        <v>88.699901707225806</v>
      </c>
      <c r="AK5812">
        <v>16.842237740254401</v>
      </c>
      <c r="AL5812">
        <v>68.566956307166706</v>
      </c>
      <c r="AM5812">
        <v>96.449489443321298</v>
      </c>
      <c r="AN5812">
        <v>1.0000000457309</v>
      </c>
    </row>
    <row r="5813" spans="1:40" x14ac:dyDescent="0.25">
      <c r="A5813" t="str">
        <f>"20190304164801049"</f>
        <v>20190304164801049</v>
      </c>
      <c r="B5813" t="str">
        <f>"1551689281044869"</f>
        <v>1551689281044869</v>
      </c>
      <c r="C5813" t="s">
        <v>40</v>
      </c>
      <c r="D5813">
        <v>3.9620440000000001</v>
      </c>
      <c r="E5813">
        <v>0.53691669999999903</v>
      </c>
      <c r="F5813" t="s">
        <v>42</v>
      </c>
      <c r="G5813">
        <v>-186.36170000000001</v>
      </c>
      <c r="H5813" s="1">
        <v>-9.6693380000000001E-7</v>
      </c>
      <c r="I5813">
        <v>19.644749999999998</v>
      </c>
      <c r="J5813">
        <v>-186.8382</v>
      </c>
      <c r="K5813">
        <v>1.1111310000000001</v>
      </c>
      <c r="L5813">
        <v>3.2301329999999999</v>
      </c>
      <c r="M5813">
        <v>1.021327E-2</v>
      </c>
      <c r="N5813">
        <v>-8.9024469999999904E-3</v>
      </c>
      <c r="O5813">
        <v>0.99990820000000002</v>
      </c>
      <c r="P5813">
        <v>-9.5421049999999993E-2</v>
      </c>
      <c r="Q5813">
        <v>0.356987</v>
      </c>
      <c r="R5813">
        <v>0.92922289999999996</v>
      </c>
      <c r="S5813">
        <v>9.4924930000000005E-2</v>
      </c>
      <c r="T5813">
        <v>-0.21968750000000001</v>
      </c>
      <c r="U5813">
        <v>3.322327</v>
      </c>
      <c r="V5813">
        <v>-0.1058964</v>
      </c>
      <c r="W5813">
        <v>0.36495070000000002</v>
      </c>
      <c r="X5813">
        <v>0.9249849</v>
      </c>
      <c r="Y5813">
        <v>1.82965E-2</v>
      </c>
      <c r="Z5813">
        <v>-5.7072049999999999E-2</v>
      </c>
      <c r="AA5813">
        <v>0.99820240000000005</v>
      </c>
      <c r="AB5813">
        <v>41</v>
      </c>
      <c r="AC5813">
        <v>0.47649999999998699</v>
      </c>
      <c r="AD5813">
        <v>-1.11113196693379</v>
      </c>
      <c r="AE5813">
        <v>16.414617</v>
      </c>
      <c r="AF5813">
        <v>0.30741415069842998</v>
      </c>
      <c r="AG5813">
        <v>-1.11113196693379</v>
      </c>
      <c r="AH5813">
        <v>16.343800840619998</v>
      </c>
      <c r="AI5813">
        <v>93.888578577640004</v>
      </c>
      <c r="AJ5813">
        <v>88.922438124084593</v>
      </c>
      <c r="AK5813">
        <v>16.3844116045051</v>
      </c>
      <c r="AL5813">
        <v>68.595452687230306</v>
      </c>
      <c r="AM5813">
        <v>96.531042172327105</v>
      </c>
      <c r="AN5813">
        <v>1.00000006309572</v>
      </c>
    </row>
    <row r="5814" spans="1:40" x14ac:dyDescent="0.25">
      <c r="A5814" t="str">
        <f>"20190304164801072"</f>
        <v>20190304164801072</v>
      </c>
      <c r="B5814" t="str">
        <f>"1551689281065366"</f>
        <v>1551689281065366</v>
      </c>
      <c r="C5814" t="s">
        <v>40</v>
      </c>
      <c r="D5814">
        <v>3.95743</v>
      </c>
      <c r="E5814">
        <v>0.53490660000000001</v>
      </c>
      <c r="F5814" t="s">
        <v>42</v>
      </c>
      <c r="G5814">
        <v>-187.59479999999999</v>
      </c>
      <c r="H5814" s="1">
        <v>-1.4399960000000001E-6</v>
      </c>
      <c r="I5814">
        <v>21.994910000000001</v>
      </c>
      <c r="J5814">
        <v>-186.8349</v>
      </c>
      <c r="K5814">
        <v>1.111137</v>
      </c>
      <c r="L5814">
        <v>3.6418759999999999</v>
      </c>
      <c r="M5814">
        <v>9.106332E-3</v>
      </c>
      <c r="N5814">
        <v>-8.9088659999999997E-3</v>
      </c>
      <c r="O5814">
        <v>0.99991890000000005</v>
      </c>
      <c r="P5814">
        <v>-9.6739809999999996E-2</v>
      </c>
      <c r="Q5814">
        <v>0.35682199999999997</v>
      </c>
      <c r="R5814">
        <v>0.92914989999999997</v>
      </c>
      <c r="S5814">
        <v>-0.13262939999999901</v>
      </c>
      <c r="T5814">
        <v>-0.19479750000000001</v>
      </c>
      <c r="U5814">
        <v>3.2897340000000002</v>
      </c>
      <c r="V5814">
        <v>-0.1061984</v>
      </c>
      <c r="W5814">
        <v>0.36478729999999998</v>
      </c>
      <c r="X5814">
        <v>0.92501469999999997</v>
      </c>
      <c r="Y5814">
        <v>-4.9315400000000002E-2</v>
      </c>
      <c r="Z5814">
        <v>-5.0149409999999998E-2</v>
      </c>
      <c r="AA5814">
        <v>0.99752339999999995</v>
      </c>
      <c r="AB5814">
        <v>41</v>
      </c>
      <c r="AC5814">
        <v>-0.75989999999998703</v>
      </c>
      <c r="AD5814">
        <v>-1.111138439996</v>
      </c>
      <c r="AE5814">
        <v>18.353034000000001</v>
      </c>
      <c r="AF5814">
        <v>-0.92362428201712599</v>
      </c>
      <c r="AG5814">
        <v>-1.111138439996</v>
      </c>
      <c r="AH5814">
        <v>18.2784696590994</v>
      </c>
      <c r="AI5814">
        <v>93.474277311463794</v>
      </c>
      <c r="AJ5814">
        <v>92.892736761271095</v>
      </c>
      <c r="AK5814">
        <v>18.335489181524</v>
      </c>
      <c r="AL5814">
        <v>68.605507409731601</v>
      </c>
      <c r="AM5814">
        <v>96.549296920050594</v>
      </c>
      <c r="AN5814">
        <v>1.00000003480996</v>
      </c>
    </row>
    <row r="5815" spans="1:40" x14ac:dyDescent="0.25">
      <c r="A5815" t="str">
        <f>"20190304164801093"</f>
        <v>20190304164801093</v>
      </c>
      <c r="B5815" t="str">
        <f>"1551689281084886"</f>
        <v>1551689281084886</v>
      </c>
      <c r="C5815" t="s">
        <v>40</v>
      </c>
      <c r="D5815">
        <v>4.6228030000000002</v>
      </c>
      <c r="E5815">
        <v>0.53442659999999997</v>
      </c>
      <c r="F5815" t="s">
        <v>42</v>
      </c>
      <c r="G5815">
        <v>-187.6644</v>
      </c>
      <c r="H5815" s="1">
        <v>-1.196981E-6</v>
      </c>
      <c r="I5815">
        <v>21.339320000000001</v>
      </c>
      <c r="J5815">
        <v>-186.8321</v>
      </c>
      <c r="K5815">
        <v>1.111145</v>
      </c>
      <c r="L5815">
        <v>4.0325319999999998</v>
      </c>
      <c r="M5815">
        <v>8.0565169999999992E-3</v>
      </c>
      <c r="N5815">
        <v>-8.9154709999999995E-3</v>
      </c>
      <c r="O5815">
        <v>0.99992780000000003</v>
      </c>
      <c r="P5815">
        <v>-9.7962339999999995E-2</v>
      </c>
      <c r="Q5815">
        <v>0.3567961</v>
      </c>
      <c r="R5815">
        <v>0.92903170000000002</v>
      </c>
      <c r="S5815">
        <v>-0.15431210000000001</v>
      </c>
      <c r="T5815">
        <v>-0.2066944</v>
      </c>
      <c r="U5815">
        <v>3.292084</v>
      </c>
      <c r="V5815">
        <v>-0.1064557</v>
      </c>
      <c r="W5815">
        <v>0.36476380000000003</v>
      </c>
      <c r="X5815">
        <v>0.92499430000000005</v>
      </c>
      <c r="Y5815">
        <v>-5.4783770000000002E-2</v>
      </c>
      <c r="Z5815">
        <v>-5.3675439999999998E-2</v>
      </c>
      <c r="AA5815">
        <v>0.99705449999999995</v>
      </c>
      <c r="AB5815">
        <v>41</v>
      </c>
      <c r="AC5815">
        <v>-0.83230000000000304</v>
      </c>
      <c r="AD5815">
        <v>-1.1111461969809999</v>
      </c>
      <c r="AE5815">
        <v>17.306788000000001</v>
      </c>
      <c r="AF5815">
        <v>-0.967731162647262</v>
      </c>
      <c r="AG5815">
        <v>-1.1111461969809999</v>
      </c>
      <c r="AH5815">
        <v>17.2286676263187</v>
      </c>
      <c r="AI5815">
        <v>93.684333504642396</v>
      </c>
      <c r="AJ5815">
        <v>93.214915401183006</v>
      </c>
      <c r="AK5815">
        <v>17.291562614535</v>
      </c>
      <c r="AL5815">
        <v>68.606951609140495</v>
      </c>
      <c r="AM5815">
        <v>96.565169879257198</v>
      </c>
      <c r="AN5815">
        <v>0.99999995044270895</v>
      </c>
    </row>
    <row r="5816" spans="1:40" x14ac:dyDescent="0.25">
      <c r="A5816" t="str">
        <f>"20190304164801119"</f>
        <v>20190304164801119</v>
      </c>
      <c r="B5816" t="str">
        <f>"1551689281115143"</f>
        <v>1551689281115143</v>
      </c>
      <c r="C5816" t="s">
        <v>40</v>
      </c>
      <c r="D5816">
        <v>3.9534950000000002</v>
      </c>
      <c r="E5816">
        <v>0.53442480000000003</v>
      </c>
      <c r="F5816" t="s">
        <v>42</v>
      </c>
      <c r="G5816">
        <v>-187.69149999999999</v>
      </c>
      <c r="H5816" s="1">
        <v>-1.2636559999999999E-6</v>
      </c>
      <c r="I5816">
        <v>21.556460000000001</v>
      </c>
      <c r="J5816">
        <v>-186.8295</v>
      </c>
      <c r="K5816">
        <v>1.1111610000000001</v>
      </c>
      <c r="L5816">
        <v>4.4737850000000003</v>
      </c>
      <c r="M5816">
        <v>6.8723309999999998E-3</v>
      </c>
      <c r="N5816">
        <v>-8.9236249999999993E-3</v>
      </c>
      <c r="O5816">
        <v>0.99993659999999995</v>
      </c>
      <c r="P5816">
        <v>-9.9162550000000002E-2</v>
      </c>
      <c r="Q5816">
        <v>0.35689850000000001</v>
      </c>
      <c r="R5816">
        <v>0.9288651</v>
      </c>
      <c r="S5816">
        <v>-0.16146849999999999</v>
      </c>
      <c r="T5816">
        <v>-0.2087579</v>
      </c>
      <c r="U5816">
        <v>3.2923279999999999</v>
      </c>
      <c r="V5816">
        <v>-0.10656599999999999</v>
      </c>
      <c r="W5816">
        <v>0.36486990000000002</v>
      </c>
      <c r="X5816">
        <v>0.92493979999999998</v>
      </c>
      <c r="Y5816">
        <v>-5.575799E-2</v>
      </c>
      <c r="Z5816">
        <v>-5.428123E-2</v>
      </c>
      <c r="AA5816">
        <v>0.99696770000000001</v>
      </c>
      <c r="AB5816">
        <v>41</v>
      </c>
      <c r="AC5816">
        <v>-0.86199999999999399</v>
      </c>
      <c r="AD5816">
        <v>-1.1111622636559999</v>
      </c>
      <c r="AE5816">
        <v>17.082674999999998</v>
      </c>
      <c r="AF5816">
        <v>-0.97526623708453197</v>
      </c>
      <c r="AG5816">
        <v>-1.1111622636559999</v>
      </c>
      <c r="AH5816">
        <v>17.004583684614001</v>
      </c>
      <c r="AI5816">
        <v>93.732553363704596</v>
      </c>
      <c r="AJ5816">
        <v>93.282496779789</v>
      </c>
      <c r="AK5816">
        <v>17.0687343437178</v>
      </c>
      <c r="AL5816">
        <v>68.600423537883401</v>
      </c>
      <c r="AM5816">
        <v>96.572296501116995</v>
      </c>
      <c r="AN5816">
        <v>0.99999999495302505</v>
      </c>
    </row>
    <row r="5817" spans="1:40" x14ac:dyDescent="0.25">
      <c r="A5817" t="str">
        <f>"20190304164801142"</f>
        <v>20190304164801142</v>
      </c>
      <c r="B5817" t="str">
        <f>"1551689281135639"</f>
        <v>1551689281135639</v>
      </c>
      <c r="C5817" t="s">
        <v>40</v>
      </c>
      <c r="D5817">
        <v>3.9653170000000002</v>
      </c>
      <c r="E5817">
        <v>0.53448059999999997</v>
      </c>
      <c r="F5817" t="s">
        <v>42</v>
      </c>
      <c r="G5817">
        <v>-187.71019999999999</v>
      </c>
      <c r="H5817" s="1">
        <v>-1.441082E-6</v>
      </c>
      <c r="I5817">
        <v>22.045179999999998</v>
      </c>
      <c r="J5817">
        <v>-186.82749999999999</v>
      </c>
      <c r="K5817">
        <v>1.1111719999999901</v>
      </c>
      <c r="L5817">
        <v>4.9108580000000002</v>
      </c>
      <c r="M5817">
        <v>5.7006469999999997E-3</v>
      </c>
      <c r="N5817">
        <v>-8.9322259999999997E-3</v>
      </c>
      <c r="O5817">
        <v>0.9999439</v>
      </c>
      <c r="P5817">
        <v>-9.9985500000000005E-2</v>
      </c>
      <c r="Q5817">
        <v>0.35720079999999998</v>
      </c>
      <c r="R5817">
        <v>0.92866059999999995</v>
      </c>
      <c r="S5817">
        <v>-0.1650085</v>
      </c>
      <c r="T5817">
        <v>-0.20818339999999999</v>
      </c>
      <c r="U5817">
        <v>3.2921140000000002</v>
      </c>
      <c r="V5817">
        <v>-0.10630969999999999</v>
      </c>
      <c r="W5817">
        <v>0.365178</v>
      </c>
      <c r="X5817">
        <v>0.92484770000000005</v>
      </c>
      <c r="Y5817">
        <v>-5.5661179999999998E-2</v>
      </c>
      <c r="Z5817">
        <v>-5.4102850000000001E-2</v>
      </c>
      <c r="AA5817">
        <v>0.99698279999999995</v>
      </c>
      <c r="AB5817">
        <v>41</v>
      </c>
      <c r="AC5817">
        <v>-0.88269999999999904</v>
      </c>
      <c r="AD5817">
        <v>-1.11117344108199</v>
      </c>
      <c r="AE5817">
        <v>17.134321999999901</v>
      </c>
      <c r="AF5817">
        <v>-0.976271313229085</v>
      </c>
      <c r="AG5817">
        <v>-1.11117344108199</v>
      </c>
      <c r="AH5817">
        <v>17.0574641028218</v>
      </c>
      <c r="AI5817">
        <v>93.721077024773805</v>
      </c>
      <c r="AJ5817">
        <v>93.275707774964701</v>
      </c>
      <c r="AK5817">
        <v>17.121474636031099</v>
      </c>
      <c r="AL5817">
        <v>68.581462376296997</v>
      </c>
      <c r="AM5817">
        <v>96.557274636154105</v>
      </c>
      <c r="AN5817">
        <v>0.99999999609668999</v>
      </c>
    </row>
    <row r="5818" spans="1:40" x14ac:dyDescent="0.25">
      <c r="A5818" t="str">
        <f>"20190304164801161"</f>
        <v>20190304164801161</v>
      </c>
      <c r="B5818" t="str">
        <f>"1551689281155159"</f>
        <v>1551689281155159</v>
      </c>
      <c r="C5818" t="s">
        <v>40</v>
      </c>
      <c r="D5818">
        <v>3.9426209999999999</v>
      </c>
      <c r="E5818">
        <v>0.53456559999999997</v>
      </c>
      <c r="F5818" t="s">
        <v>42</v>
      </c>
      <c r="G5818">
        <v>-187.7176</v>
      </c>
      <c r="H5818" s="1">
        <v>-1.5742910000000001E-6</v>
      </c>
      <c r="I5818">
        <v>22.358740000000001</v>
      </c>
      <c r="J5818">
        <v>-186.8262</v>
      </c>
      <c r="K5818">
        <v>1.1111789999999999</v>
      </c>
      <c r="L5818">
        <v>5.2651979999999998</v>
      </c>
      <c r="M5818">
        <v>4.7514970000000004E-3</v>
      </c>
      <c r="N5818">
        <v>-8.9395340000000007E-3</v>
      </c>
      <c r="O5818">
        <v>0.99994870000000002</v>
      </c>
      <c r="P5818">
        <v>-0.1008777</v>
      </c>
      <c r="Q5818">
        <v>0.35712640000000001</v>
      </c>
      <c r="R5818">
        <v>0.92859270000000005</v>
      </c>
      <c r="S5818">
        <v>-0.16799929999999999</v>
      </c>
      <c r="T5818">
        <v>-0.2097176</v>
      </c>
      <c r="U5818">
        <v>3.2930299999999999</v>
      </c>
      <c r="V5818">
        <v>-0.1063269</v>
      </c>
      <c r="W5818">
        <v>0.3651083</v>
      </c>
      <c r="X5818">
        <v>0.92487319999999995</v>
      </c>
      <c r="Y5818">
        <v>-5.560143E-2</v>
      </c>
      <c r="Z5818">
        <v>-5.4540119999999997E-2</v>
      </c>
      <c r="AA5818">
        <v>0.99696229999999997</v>
      </c>
      <c r="AB5818">
        <v>41</v>
      </c>
      <c r="AC5818">
        <v>-0.89140000000000397</v>
      </c>
      <c r="AD5818">
        <v>-1.1111805742909999</v>
      </c>
      <c r="AE5818">
        <v>17.093541999999999</v>
      </c>
      <c r="AF5818">
        <v>-0.96853141560374001</v>
      </c>
      <c r="AG5818">
        <v>-1.1111805742909999</v>
      </c>
      <c r="AH5818">
        <v>17.0173969116465</v>
      </c>
      <c r="AI5818">
        <v>93.729905138474706</v>
      </c>
      <c r="AJ5818">
        <v>93.257428915624004</v>
      </c>
      <c r="AK5818">
        <v>17.081117440618701</v>
      </c>
      <c r="AL5818">
        <v>68.585751240251597</v>
      </c>
      <c r="AM5818">
        <v>96.558147058653901</v>
      </c>
      <c r="AN5818">
        <v>0.99999995823536902</v>
      </c>
    </row>
    <row r="5819" spans="1:40" x14ac:dyDescent="0.25">
      <c r="A5819" t="str">
        <f>"20190304164801186"</f>
        <v>20190304164801186</v>
      </c>
      <c r="B5819" t="str">
        <f>"1551689281175655"</f>
        <v>1551689281175655</v>
      </c>
      <c r="C5819" t="s">
        <v>40</v>
      </c>
      <c r="D5819">
        <v>3.9580500000000001</v>
      </c>
      <c r="E5819">
        <v>0.53477410000000003</v>
      </c>
      <c r="F5819" t="s">
        <v>42</v>
      </c>
      <c r="G5819">
        <v>-187.72030000000001</v>
      </c>
      <c r="H5819" s="1">
        <v>-1.6351809999999999E-6</v>
      </c>
      <c r="I5819">
        <v>22.501799999999999</v>
      </c>
      <c r="J5819">
        <v>-186.82499999999999</v>
      </c>
      <c r="K5819">
        <v>1.111189</v>
      </c>
      <c r="L5819">
        <v>5.7189639999999997</v>
      </c>
      <c r="M5819">
        <v>3.536614E-3</v>
      </c>
      <c r="N5819">
        <v>-8.9492889999999992E-3</v>
      </c>
      <c r="O5819">
        <v>0.99995369999999995</v>
      </c>
      <c r="P5819">
        <v>-0.1020158</v>
      </c>
      <c r="Q5819">
        <v>0.35731410000000002</v>
      </c>
      <c r="R5819">
        <v>0.9283962</v>
      </c>
      <c r="S5819">
        <v>-0.17086789999999999</v>
      </c>
      <c r="T5819">
        <v>-0.21233879999999999</v>
      </c>
      <c r="U5819">
        <v>3.293793</v>
      </c>
      <c r="V5819">
        <v>-0.1063438</v>
      </c>
      <c r="W5819">
        <v>0.36530220000000002</v>
      </c>
      <c r="X5819">
        <v>0.92479469999999997</v>
      </c>
      <c r="Y5819">
        <v>-5.5240339999999999E-2</v>
      </c>
      <c r="Z5819">
        <v>-5.5305930000000003E-2</v>
      </c>
      <c r="AA5819">
        <v>0.99694020000000005</v>
      </c>
      <c r="AB5819">
        <v>41</v>
      </c>
      <c r="AC5819">
        <v>-0.89530000000001997</v>
      </c>
      <c r="AD5819">
        <v>-1.1111906351809999</v>
      </c>
      <c r="AE5819">
        <v>16.782836</v>
      </c>
      <c r="AF5819">
        <v>-0.95049626996972103</v>
      </c>
      <c r="AG5819">
        <v>-1.1111906351809999</v>
      </c>
      <c r="AH5819">
        <v>16.706535020609699</v>
      </c>
      <c r="AI5819">
        <v>93.799145546790498</v>
      </c>
      <c r="AJ5819">
        <v>93.256257432332802</v>
      </c>
      <c r="AK5819">
        <v>16.770405486504998</v>
      </c>
      <c r="AL5819">
        <v>68.573817518529793</v>
      </c>
      <c r="AM5819">
        <v>96.559732267844296</v>
      </c>
      <c r="AN5819">
        <v>0.99999996913568401</v>
      </c>
    </row>
    <row r="5820" spans="1:40" x14ac:dyDescent="0.25">
      <c r="A5820" t="str">
        <f>"20190304164801209"</f>
        <v>20190304164801209</v>
      </c>
      <c r="B5820" t="str">
        <f>"1551689281204934"</f>
        <v>1551689281204934</v>
      </c>
      <c r="C5820" t="s">
        <v>40</v>
      </c>
      <c r="D5820">
        <v>3.9873470000000002</v>
      </c>
      <c r="E5820">
        <v>0.53502369999999899</v>
      </c>
      <c r="F5820" t="s">
        <v>42</v>
      </c>
      <c r="G5820">
        <v>-187.72370000000001</v>
      </c>
      <c r="H5820" s="1">
        <v>-1.791313E-6</v>
      </c>
      <c r="I5820">
        <v>22.867159999999998</v>
      </c>
      <c r="J5820">
        <v>-186.82429999999999</v>
      </c>
      <c r="K5820">
        <v>1.1111949999999999</v>
      </c>
      <c r="L5820">
        <v>6.1430660000000001</v>
      </c>
      <c r="M5820">
        <v>2.4014629999999999E-3</v>
      </c>
      <c r="N5820">
        <v>-8.9588040000000008E-3</v>
      </c>
      <c r="O5820">
        <v>0.99995699999999998</v>
      </c>
      <c r="P5820">
        <v>-0.10296379999999999</v>
      </c>
      <c r="Q5820">
        <v>0.35791060000000002</v>
      </c>
      <c r="R5820">
        <v>0.92806169999999999</v>
      </c>
      <c r="S5820">
        <v>-0.1726685</v>
      </c>
      <c r="T5820">
        <v>-0.2134868</v>
      </c>
      <c r="U5820">
        <v>3.2945859999999998</v>
      </c>
      <c r="V5820">
        <v>-0.1062449</v>
      </c>
      <c r="W5820">
        <v>0.36590450000000002</v>
      </c>
      <c r="X5820">
        <v>0.9245679</v>
      </c>
      <c r="Y5820">
        <v>-5.463697E-2</v>
      </c>
      <c r="Z5820">
        <v>-5.5627740000000002E-2</v>
      </c>
      <c r="AA5820">
        <v>0.99695560000000005</v>
      </c>
      <c r="AB5820">
        <v>41</v>
      </c>
      <c r="AC5820">
        <v>-0.89940000000001397</v>
      </c>
      <c r="AD5820">
        <v>-1.1111967913130001</v>
      </c>
      <c r="AE5820">
        <v>16.724094000000001</v>
      </c>
      <c r="AF5820">
        <v>-0.93544355921367095</v>
      </c>
      <c r="AG5820">
        <v>-1.1111967913130001</v>
      </c>
      <c r="AH5820">
        <v>16.648599940145399</v>
      </c>
      <c r="AI5820">
        <v>93.812499530758998</v>
      </c>
      <c r="AJ5820">
        <v>93.215926393844299</v>
      </c>
      <c r="AK5820">
        <v>16.711842894441901</v>
      </c>
      <c r="AL5820">
        <v>68.536740909523104</v>
      </c>
      <c r="AM5820">
        <v>96.555278449872404</v>
      </c>
      <c r="AN5820">
        <v>0.99999994180333296</v>
      </c>
    </row>
    <row r="5821" spans="1:40" x14ac:dyDescent="0.25">
      <c r="A5821" t="str">
        <f>"20190304164801230"</f>
        <v>20190304164801230</v>
      </c>
      <c r="B5821" t="str">
        <f>"1551689281225430"</f>
        <v>1551689281225430</v>
      </c>
      <c r="C5821" t="s">
        <v>40</v>
      </c>
      <c r="D5821">
        <v>4.013395</v>
      </c>
      <c r="E5821">
        <v>0.53520819999999902</v>
      </c>
      <c r="F5821" t="s">
        <v>42</v>
      </c>
      <c r="G5821">
        <v>-187.73740000000001</v>
      </c>
      <c r="H5821" s="1">
        <v>-1.977947E-6</v>
      </c>
      <c r="I5821">
        <v>23.307860000000002</v>
      </c>
      <c r="J5821">
        <v>-186.82419999999999</v>
      </c>
      <c r="K5821">
        <v>1.1112010000000001</v>
      </c>
      <c r="L5821">
        <v>6.5215449999999997</v>
      </c>
      <c r="M5821">
        <v>1.3884349999999999E-3</v>
      </c>
      <c r="N5821">
        <v>-8.9676189999999996E-3</v>
      </c>
      <c r="O5821">
        <v>0.99995880000000004</v>
      </c>
      <c r="P5821">
        <v>-0.1034685</v>
      </c>
      <c r="Q5821">
        <v>0.35778140000000003</v>
      </c>
      <c r="R5821">
        <v>0.92805539999999997</v>
      </c>
      <c r="S5821">
        <v>-0.175293</v>
      </c>
      <c r="T5821">
        <v>-0.21333289999999999</v>
      </c>
      <c r="U5821">
        <v>3.2953800000000002</v>
      </c>
      <c r="V5821">
        <v>-0.1058134</v>
      </c>
      <c r="W5821">
        <v>0.36578430000000001</v>
      </c>
      <c r="X5821">
        <v>0.92466499999999996</v>
      </c>
      <c r="Y5821">
        <v>-5.4404939999999999E-2</v>
      </c>
      <c r="Z5821">
        <v>-5.555657E-2</v>
      </c>
      <c r="AA5821">
        <v>0.99697219999999998</v>
      </c>
      <c r="AB5821">
        <v>41</v>
      </c>
      <c r="AC5821">
        <v>-0.913200000000017</v>
      </c>
      <c r="AD5821">
        <v>-1.1112029779470001</v>
      </c>
      <c r="AE5821">
        <v>16.786314999999998</v>
      </c>
      <c r="AF5821">
        <v>-0.93243286610208598</v>
      </c>
      <c r="AG5821">
        <v>-1.1112029779470001</v>
      </c>
      <c r="AH5821">
        <v>16.7120142752213</v>
      </c>
      <c r="AI5821">
        <v>93.798179518166194</v>
      </c>
      <c r="AJ5821">
        <v>93.193459133853196</v>
      </c>
      <c r="AK5821">
        <v>16.774850945483401</v>
      </c>
      <c r="AL5821">
        <v>68.544142076473406</v>
      </c>
      <c r="AM5821">
        <v>96.5282056728242</v>
      </c>
      <c r="AN5821">
        <v>0.99999999598552403</v>
      </c>
    </row>
    <row r="5822" spans="1:40" x14ac:dyDescent="0.25">
      <c r="A5822" t="str">
        <f>"20190304164801251"</f>
        <v>20190304164801251</v>
      </c>
      <c r="B5822" t="str">
        <f>"1551689281244950"</f>
        <v>1551689281244950</v>
      </c>
      <c r="C5822" t="s">
        <v>40</v>
      </c>
      <c r="D5822">
        <v>3.9929999999999999</v>
      </c>
      <c r="E5822">
        <v>0.53538140000000001</v>
      </c>
      <c r="F5822" t="s">
        <v>42</v>
      </c>
      <c r="G5822">
        <v>-187.7398</v>
      </c>
      <c r="H5822" s="1">
        <v>-2.065985E-6</v>
      </c>
      <c r="I5822">
        <v>23.51408</v>
      </c>
      <c r="J5822">
        <v>-186.8245</v>
      </c>
      <c r="K5822">
        <v>1.111199</v>
      </c>
      <c r="L5822">
        <v>6.9245000000000001</v>
      </c>
      <c r="M5822">
        <v>3.1046520000000002E-4</v>
      </c>
      <c r="N5822">
        <v>-8.9798139999999992E-3</v>
      </c>
      <c r="O5822">
        <v>0.99995959999999995</v>
      </c>
      <c r="P5822">
        <v>-0.1042469</v>
      </c>
      <c r="Q5822">
        <v>0.35809299999999999</v>
      </c>
      <c r="R5822">
        <v>0.92784800000000001</v>
      </c>
      <c r="S5822">
        <v>-0.177597</v>
      </c>
      <c r="T5822">
        <v>-0.21552859999999999</v>
      </c>
      <c r="U5822">
        <v>3.295868</v>
      </c>
      <c r="V5822">
        <v>-0.1055966</v>
      </c>
      <c r="W5822">
        <v>0.36610599999999999</v>
      </c>
      <c r="X5822">
        <v>0.92456249999999995</v>
      </c>
      <c r="Y5822">
        <v>-5.4013680000000001E-2</v>
      </c>
      <c r="Z5822">
        <v>-5.6196120000000002E-2</v>
      </c>
      <c r="AA5822">
        <v>0.99695769999999995</v>
      </c>
      <c r="AB5822">
        <v>41</v>
      </c>
      <c r="AC5822">
        <v>-0.915300000000002</v>
      </c>
      <c r="AD5822">
        <v>-1.111201065985</v>
      </c>
      <c r="AE5822">
        <v>16.589579999999899</v>
      </c>
      <c r="AF5822">
        <v>-0.916351850703923</v>
      </c>
      <c r="AG5822">
        <v>-1.111201065985</v>
      </c>
      <c r="AH5822">
        <v>16.5154222848616</v>
      </c>
      <c r="AI5822">
        <v>93.84331579661</v>
      </c>
      <c r="AJ5822">
        <v>93.175778028643904</v>
      </c>
      <c r="AK5822">
        <v>16.5781073036291</v>
      </c>
      <c r="AL5822">
        <v>68.524337003269693</v>
      </c>
      <c r="AM5822">
        <v>96.515661266163406</v>
      </c>
      <c r="AN5822">
        <v>1.0000000307868999</v>
      </c>
    </row>
    <row r="5823" spans="1:40" x14ac:dyDescent="0.25">
      <c r="A5823" t="str">
        <f>"20190304164801273"</f>
        <v>20190304164801273</v>
      </c>
      <c r="B5823" t="str">
        <f>"1551689281265446"</f>
        <v>1551689281265446</v>
      </c>
      <c r="C5823" t="s">
        <v>40</v>
      </c>
      <c r="D5823">
        <v>3.9912879999999999</v>
      </c>
      <c r="E5823">
        <v>0.53554389999999996</v>
      </c>
      <c r="F5823" t="s">
        <v>42</v>
      </c>
      <c r="G5823">
        <v>-187.74940000000001</v>
      </c>
      <c r="H5823" s="1">
        <v>-2.2392850000000001E-6</v>
      </c>
      <c r="I5823">
        <v>23.922000000000001</v>
      </c>
      <c r="J5823">
        <v>-186.82509999999999</v>
      </c>
      <c r="K5823">
        <v>1.111205</v>
      </c>
      <c r="L5823">
        <v>7.3172300000000003</v>
      </c>
      <c r="M5823">
        <v>-7.3822340000000001E-4</v>
      </c>
      <c r="N5823">
        <v>-8.9980979999999995E-3</v>
      </c>
      <c r="O5823">
        <v>0.99995919999999905</v>
      </c>
      <c r="P5823">
        <v>-0.1046962</v>
      </c>
      <c r="Q5823">
        <v>0.358301599999999</v>
      </c>
      <c r="R5823">
        <v>0.92771689999999996</v>
      </c>
      <c r="S5823">
        <v>-0.1793671</v>
      </c>
      <c r="T5823">
        <v>-0.2154933</v>
      </c>
      <c r="U5823">
        <v>3.2962950000000002</v>
      </c>
      <c r="V5823">
        <v>-0.1050769</v>
      </c>
      <c r="W5823">
        <v>0.36633179999999999</v>
      </c>
      <c r="X5823">
        <v>0.92453220000000003</v>
      </c>
      <c r="Y5823">
        <v>-5.3493569999999997E-2</v>
      </c>
      <c r="Z5823">
        <v>-5.615904E-2</v>
      </c>
      <c r="AA5823">
        <v>0.99698779999999998</v>
      </c>
      <c r="AB5823">
        <v>41</v>
      </c>
      <c r="AC5823">
        <v>-0.924300000000016</v>
      </c>
      <c r="AD5823">
        <v>-1.1112072392849901</v>
      </c>
      <c r="AE5823">
        <v>16.604769999999899</v>
      </c>
      <c r="AF5823">
        <v>-0.90798743733042897</v>
      </c>
      <c r="AG5823">
        <v>-1.1112072392849901</v>
      </c>
      <c r="AH5823">
        <v>16.531640978626701</v>
      </c>
      <c r="AI5823">
        <v>93.839695855825198</v>
      </c>
      <c r="AJ5823">
        <v>93.143767133551606</v>
      </c>
      <c r="AK5823">
        <v>16.593805355047401</v>
      </c>
      <c r="AL5823">
        <v>68.510432271542399</v>
      </c>
      <c r="AM5823">
        <v>96.484078477023502</v>
      </c>
      <c r="AN5823">
        <v>0.99999996572084404</v>
      </c>
    </row>
    <row r="5824" spans="1:40" x14ac:dyDescent="0.25">
      <c r="A5824" t="str">
        <f>"20190304164801296"</f>
        <v>20190304164801296</v>
      </c>
      <c r="B5824" t="str">
        <f>"1551689281284966"</f>
        <v>1551689281284966</v>
      </c>
      <c r="C5824" t="s">
        <v>40</v>
      </c>
      <c r="D5824">
        <v>3.9814569999999998</v>
      </c>
      <c r="E5824">
        <v>0.53569219999999995</v>
      </c>
      <c r="F5824" t="s">
        <v>42</v>
      </c>
      <c r="G5824">
        <v>-187.7465</v>
      </c>
      <c r="H5824" s="1">
        <v>-2.4077580000000002E-6</v>
      </c>
      <c r="I5824">
        <v>24.31354</v>
      </c>
      <c r="J5824">
        <v>-186.8263</v>
      </c>
      <c r="K5824">
        <v>1.111205</v>
      </c>
      <c r="L5824">
        <v>7.743652</v>
      </c>
      <c r="M5824">
        <v>-1.871279E-3</v>
      </c>
      <c r="N5824">
        <v>-9.0238130000000003E-3</v>
      </c>
      <c r="O5824">
        <v>0.9999576</v>
      </c>
      <c r="P5824">
        <v>-0.10479579999999999</v>
      </c>
      <c r="Q5824">
        <v>0.35831429999999997</v>
      </c>
      <c r="R5824">
        <v>0.92770079999999999</v>
      </c>
      <c r="S5824">
        <v>-0.1787262</v>
      </c>
      <c r="T5824">
        <v>-0.2155435</v>
      </c>
      <c r="U5824">
        <v>3.2968139999999999</v>
      </c>
      <c r="V5824">
        <v>-0.10412689999999999</v>
      </c>
      <c r="W5824">
        <v>0.36637130000000001</v>
      </c>
      <c r="X5824">
        <v>0.92462409999999995</v>
      </c>
      <c r="Y5824">
        <v>-5.2160749999999999E-2</v>
      </c>
      <c r="Z5824">
        <v>-5.614106E-2</v>
      </c>
      <c r="AA5824">
        <v>0.99705940000000004</v>
      </c>
      <c r="AB5824">
        <v>41</v>
      </c>
      <c r="AC5824">
        <v>-0.92019999999999402</v>
      </c>
      <c r="AD5824">
        <v>-1.1112074077580001</v>
      </c>
      <c r="AE5824">
        <v>16.569887999999999</v>
      </c>
      <c r="AF5824">
        <v>-0.88522138583882404</v>
      </c>
      <c r="AG5824">
        <v>-1.1112074077580001</v>
      </c>
      <c r="AH5824">
        <v>16.497614531749502</v>
      </c>
      <c r="AI5824">
        <v>93.847855108797404</v>
      </c>
      <c r="AJ5824">
        <v>93.071405091508595</v>
      </c>
      <c r="AK5824">
        <v>16.558673982031099</v>
      </c>
      <c r="AL5824">
        <v>68.508001517156401</v>
      </c>
      <c r="AM5824">
        <v>96.425315155458904</v>
      </c>
      <c r="AN5824">
        <v>1.00000003353405</v>
      </c>
    </row>
    <row r="5825" spans="1:40" x14ac:dyDescent="0.25">
      <c r="A5825" t="str">
        <f>"20190304164801319"</f>
        <v>20190304164801319</v>
      </c>
      <c r="B5825" t="str">
        <f>"1551689281315223"</f>
        <v>1551689281315223</v>
      </c>
      <c r="C5825" t="s">
        <v>40</v>
      </c>
      <c r="D5825">
        <v>3.9285600000000001</v>
      </c>
      <c r="E5825">
        <v>0.5358309</v>
      </c>
      <c r="F5825" t="s">
        <v>42</v>
      </c>
      <c r="G5825">
        <v>-187.7433</v>
      </c>
      <c r="H5825" s="1">
        <v>-2.563206E-6</v>
      </c>
      <c r="I5825">
        <v>24.674579999999999</v>
      </c>
      <c r="J5825">
        <v>-186.828</v>
      </c>
      <c r="K5825">
        <v>1.1112010000000001</v>
      </c>
      <c r="L5825">
        <v>8.1573180000000001</v>
      </c>
      <c r="M5825">
        <v>-2.9622519999999999E-3</v>
      </c>
      <c r="N5825">
        <v>-9.0505949999999998E-3</v>
      </c>
      <c r="O5825">
        <v>0.99995460000000003</v>
      </c>
      <c r="P5825">
        <v>-0.1044841</v>
      </c>
      <c r="Q5825">
        <v>0.35835329999999999</v>
      </c>
      <c r="R5825">
        <v>0.92772080000000001</v>
      </c>
      <c r="S5825">
        <v>-0.17858889999999999</v>
      </c>
      <c r="T5825">
        <v>-0.21640190000000001</v>
      </c>
      <c r="U5825">
        <v>3.2972109999999999</v>
      </c>
      <c r="V5825">
        <v>-0.1028019</v>
      </c>
      <c r="W5825">
        <v>0.3664405</v>
      </c>
      <c r="X5825">
        <v>0.92474489999999998</v>
      </c>
      <c r="Y5825">
        <v>-5.1022860000000003E-2</v>
      </c>
      <c r="Z5825">
        <v>-5.6366970000000002E-2</v>
      </c>
      <c r="AA5825">
        <v>0.99710549999999998</v>
      </c>
      <c r="AB5825">
        <v>41</v>
      </c>
      <c r="AC5825">
        <v>-0.915300000000002</v>
      </c>
      <c r="AD5825">
        <v>-1.111203563206</v>
      </c>
      <c r="AE5825">
        <v>16.517261999999999</v>
      </c>
      <c r="AF5825">
        <v>-0.86247410778310596</v>
      </c>
      <c r="AG5825">
        <v>-1.111203563206</v>
      </c>
      <c r="AH5825">
        <v>16.445696217109401</v>
      </c>
      <c r="AI5825">
        <v>93.860199744210206</v>
      </c>
      <c r="AJ5825">
        <v>93.002055761839003</v>
      </c>
      <c r="AK5825">
        <v>16.505743212922098</v>
      </c>
      <c r="AL5825">
        <v>68.503739555634695</v>
      </c>
      <c r="AM5825">
        <v>96.343402836977603</v>
      </c>
      <c r="AN5825">
        <v>1.0000000003799301</v>
      </c>
    </row>
    <row r="5826" spans="1:40" x14ac:dyDescent="0.25">
      <c r="A5826" t="str">
        <f>"20190304164801340"</f>
        <v>20190304164801340</v>
      </c>
      <c r="B5826" t="str">
        <f>"1551689281334744"</f>
        <v>1551689281334744</v>
      </c>
      <c r="C5826" t="s">
        <v>40</v>
      </c>
      <c r="D5826">
        <v>3.9267850000000002</v>
      </c>
      <c r="E5826">
        <v>0.53590959999999999</v>
      </c>
      <c r="F5826" t="s">
        <v>42</v>
      </c>
      <c r="G5826">
        <v>-187.73259999999999</v>
      </c>
      <c r="H5826" s="1">
        <v>-2.7339979999999999E-6</v>
      </c>
      <c r="I5826">
        <v>25.06823</v>
      </c>
      <c r="J5826">
        <v>-186.83</v>
      </c>
      <c r="K5826">
        <v>1.1111960000000001</v>
      </c>
      <c r="L5826">
        <v>8.5679630000000007</v>
      </c>
      <c r="M5826">
        <v>-4.0367959999999996E-3</v>
      </c>
      <c r="N5826">
        <v>-9.0769579999999996E-3</v>
      </c>
      <c r="O5826">
        <v>0.99995060000000002</v>
      </c>
      <c r="P5826">
        <v>-0.1042655</v>
      </c>
      <c r="Q5826">
        <v>0.35789599999999999</v>
      </c>
      <c r="R5826">
        <v>0.92792200000000002</v>
      </c>
      <c r="S5826">
        <v>-0.17639160000000001</v>
      </c>
      <c r="T5826">
        <v>-0.21668119999999999</v>
      </c>
      <c r="U5826">
        <v>3.2975769999999902</v>
      </c>
      <c r="V5826">
        <v>-0.10158200000000001</v>
      </c>
      <c r="W5826">
        <v>0.36601460000000002</v>
      </c>
      <c r="X5826">
        <v>0.92504839999999999</v>
      </c>
      <c r="Y5826">
        <v>-4.9281489999999997E-2</v>
      </c>
      <c r="Z5826">
        <v>-5.6421430000000002E-2</v>
      </c>
      <c r="AA5826">
        <v>0.99719009999999997</v>
      </c>
      <c r="AB5826">
        <v>41</v>
      </c>
      <c r="AC5826">
        <v>-0.90259999999997798</v>
      </c>
      <c r="AD5826">
        <v>-1.1111987339979901</v>
      </c>
      <c r="AE5826">
        <v>16.500267000000001</v>
      </c>
      <c r="AF5826">
        <v>-0.83221862364030796</v>
      </c>
      <c r="AG5826">
        <v>-1.1111987339979901</v>
      </c>
      <c r="AH5826">
        <v>16.429486726229499</v>
      </c>
      <c r="AI5826">
        <v>93.864334473399296</v>
      </c>
      <c r="AJ5826">
        <v>92.899779919851497</v>
      </c>
      <c r="AK5826">
        <v>16.488037619781402</v>
      </c>
      <c r="AL5826">
        <v>68.529965229621197</v>
      </c>
      <c r="AM5826">
        <v>96.266691252083504</v>
      </c>
      <c r="AN5826">
        <v>1.00000006623985</v>
      </c>
    </row>
    <row r="5827" spans="1:40" x14ac:dyDescent="0.25">
      <c r="A5827" t="str">
        <f>"20190304164801364"</f>
        <v>20190304164801364</v>
      </c>
      <c r="B5827" t="str">
        <f>"1551689281355239"</f>
        <v>1551689281355239</v>
      </c>
      <c r="C5827" t="s">
        <v>40</v>
      </c>
      <c r="D5827">
        <v>3.908204</v>
      </c>
      <c r="E5827">
        <v>0.53601399999999999</v>
      </c>
      <c r="F5827" t="s">
        <v>42</v>
      </c>
      <c r="G5827">
        <v>-187.71780000000001</v>
      </c>
      <c r="H5827" s="1">
        <v>-2.8462730000000001E-6</v>
      </c>
      <c r="I5827">
        <v>25.32385</v>
      </c>
      <c r="J5827">
        <v>-186.83260000000001</v>
      </c>
      <c r="K5827">
        <v>1.111189</v>
      </c>
      <c r="L5827">
        <v>8.9992369999999902</v>
      </c>
      <c r="M5827">
        <v>-5.1480299999999996E-3</v>
      </c>
      <c r="N5827">
        <v>-9.1036959999999997E-3</v>
      </c>
      <c r="O5827">
        <v>0.99994530000000004</v>
      </c>
      <c r="P5827">
        <v>-0.1043043</v>
      </c>
      <c r="Q5827">
        <v>0.35795860000000002</v>
      </c>
      <c r="R5827">
        <v>0.92789350000000004</v>
      </c>
      <c r="S5827">
        <v>-0.17472839999999901</v>
      </c>
      <c r="T5827">
        <v>-0.21869730000000001</v>
      </c>
      <c r="U5827">
        <v>3.2977599999999998</v>
      </c>
      <c r="V5827">
        <v>-0.1005828</v>
      </c>
      <c r="W5827">
        <v>0.36610730000000002</v>
      </c>
      <c r="X5827">
        <v>0.92512079999999997</v>
      </c>
      <c r="Y5827">
        <v>-4.7665659999999999E-2</v>
      </c>
      <c r="Z5827">
        <v>-5.7001259999999998E-2</v>
      </c>
      <c r="AA5827">
        <v>0.9972356</v>
      </c>
      <c r="AB5827">
        <v>41</v>
      </c>
      <c r="AC5827">
        <v>-0.88519999999999699</v>
      </c>
      <c r="AD5827">
        <v>-1.1111918462729999</v>
      </c>
      <c r="AE5827">
        <v>16.324612999999999</v>
      </c>
      <c r="AF5827">
        <v>-0.79746112789054802</v>
      </c>
      <c r="AG5827">
        <v>-1.1111918462729999</v>
      </c>
      <c r="AH5827">
        <v>16.253865311678801</v>
      </c>
      <c r="AI5827">
        <v>93.906243678365001</v>
      </c>
      <c r="AJ5827">
        <v>92.808842505952597</v>
      </c>
      <c r="AK5827">
        <v>16.3113098535928</v>
      </c>
      <c r="AL5827">
        <v>68.5242556969974</v>
      </c>
      <c r="AM5827">
        <v>96.205051069520493</v>
      </c>
      <c r="AN5827">
        <v>0.99999997468088397</v>
      </c>
    </row>
    <row r="5828" spans="1:40" x14ac:dyDescent="0.25">
      <c r="A5828" t="str">
        <f>"20190304164801387"</f>
        <v>20190304164801387</v>
      </c>
      <c r="B5828" t="str">
        <f>"1551689281374759"</f>
        <v>1551689281374759</v>
      </c>
      <c r="C5828" t="s">
        <v>40</v>
      </c>
      <c r="D5828">
        <v>3.8893200000000001</v>
      </c>
      <c r="E5828">
        <v>0.53615029999999997</v>
      </c>
      <c r="F5828" t="s">
        <v>42</v>
      </c>
      <c r="G5828">
        <v>-187.72059999999999</v>
      </c>
      <c r="H5828" s="1">
        <v>-3.0449479999999999E-6</v>
      </c>
      <c r="I5828">
        <v>25.78811</v>
      </c>
      <c r="J5828">
        <v>-186.83580000000001</v>
      </c>
      <c r="K5828">
        <v>1.111183</v>
      </c>
      <c r="L5828">
        <v>9.4380799999999994</v>
      </c>
      <c r="M5828">
        <v>-6.247341E-3</v>
      </c>
      <c r="N5828">
        <v>-9.1313650000000007E-3</v>
      </c>
      <c r="O5828">
        <v>0.99993880000000002</v>
      </c>
      <c r="P5828">
        <v>-0.1045904</v>
      </c>
      <c r="Q5828">
        <v>0.35782259999999999</v>
      </c>
      <c r="R5828">
        <v>0.92791369999999895</v>
      </c>
      <c r="S5828">
        <v>-0.17440799999999901</v>
      </c>
      <c r="T5828">
        <v>-0.21826429999999999</v>
      </c>
      <c r="U5828">
        <v>3.2977289999999999</v>
      </c>
      <c r="V5828">
        <v>-9.9832809999999994E-2</v>
      </c>
      <c r="W5828">
        <v>0.3660043</v>
      </c>
      <c r="X5828">
        <v>0.92524280000000003</v>
      </c>
      <c r="Y5828">
        <v>-4.6472199999999998E-2</v>
      </c>
      <c r="Z5828">
        <v>-5.6845560000000003E-2</v>
      </c>
      <c r="AA5828">
        <v>0.99730079999999999</v>
      </c>
      <c r="AB5828">
        <v>42</v>
      </c>
      <c r="AC5828">
        <v>-0.88479999999998404</v>
      </c>
      <c r="AD5828">
        <v>-1.111186044948</v>
      </c>
      <c r="AE5828">
        <v>16.350029999999901</v>
      </c>
      <c r="AF5828">
        <v>-0.77904644802691903</v>
      </c>
      <c r="AG5828">
        <v>-1.111186044948</v>
      </c>
      <c r="AH5828">
        <v>16.280261821260101</v>
      </c>
      <c r="AI5828">
        <v>93.900136986206206</v>
      </c>
      <c r="AJ5828">
        <v>92.739639632981294</v>
      </c>
      <c r="AK5828">
        <v>16.336724664492898</v>
      </c>
      <c r="AL5828">
        <v>68.530597621840698</v>
      </c>
      <c r="AM5828">
        <v>96.158334499693495</v>
      </c>
      <c r="AN5828">
        <v>0.99999998826141301</v>
      </c>
    </row>
    <row r="5829" spans="1:40" x14ac:dyDescent="0.25">
      <c r="A5829" t="str">
        <f>"20190304164801430"</f>
        <v>20190304164801430</v>
      </c>
      <c r="B5829" t="str">
        <f>"1551689281425511"</f>
        <v>1551689281425511</v>
      </c>
      <c r="C5829" t="s">
        <v>40</v>
      </c>
      <c r="D5829">
        <v>3.8309099999999998</v>
      </c>
      <c r="E5829">
        <v>0.53637480000000004</v>
      </c>
      <c r="F5829" t="s">
        <v>42</v>
      </c>
      <c r="G5829">
        <v>-187.7209</v>
      </c>
      <c r="H5829" s="1">
        <v>-3.2371220000000001E-6</v>
      </c>
      <c r="I5829">
        <v>26.236229999999999</v>
      </c>
      <c r="J5829">
        <v>-186.8425</v>
      </c>
      <c r="K5829">
        <v>1.111127</v>
      </c>
      <c r="L5829">
        <v>10.23798</v>
      </c>
      <c r="M5829">
        <v>-8.1014599999999996E-3</v>
      </c>
      <c r="N5829">
        <v>-9.1915940000000008E-3</v>
      </c>
      <c r="O5829">
        <v>0.99992499999999995</v>
      </c>
      <c r="P5829">
        <v>-0.1059538</v>
      </c>
      <c r="Q5829">
        <v>0.35730220000000001</v>
      </c>
      <c r="R5829">
        <v>0.9279596</v>
      </c>
      <c r="S5829">
        <v>-0.17376710000000001</v>
      </c>
      <c r="T5829">
        <v>-0.21813250000000001</v>
      </c>
      <c r="U5829">
        <v>3.2975769999999902</v>
      </c>
      <c r="V5829">
        <v>-9.9411169999999993E-2</v>
      </c>
      <c r="W5829">
        <v>0.36555969999999999</v>
      </c>
      <c r="X5829">
        <v>0.92546399999999995</v>
      </c>
      <c r="Y5829">
        <v>-4.4429900000000001E-2</v>
      </c>
      <c r="Z5829">
        <v>-5.6751320000000001E-2</v>
      </c>
      <c r="AA5829">
        <v>0.99739929999999999</v>
      </c>
      <c r="AB5829">
        <v>42</v>
      </c>
      <c r="AC5829">
        <v>-0.87839999999999896</v>
      </c>
      <c r="AD5829">
        <v>-1.111130237122</v>
      </c>
      <c r="AE5829">
        <v>15.998250000000001</v>
      </c>
      <c r="AF5829">
        <v>-0.74517279600136699</v>
      </c>
      <c r="AG5829">
        <v>-1.111130237122</v>
      </c>
      <c r="AH5829">
        <v>15.9282386171481</v>
      </c>
      <c r="AI5829">
        <v>93.986058373200706</v>
      </c>
      <c r="AJ5829">
        <v>92.678522692019598</v>
      </c>
      <c r="AK5829">
        <v>15.9843260209667</v>
      </c>
      <c r="AL5829">
        <v>68.557969363778199</v>
      </c>
      <c r="AM5829">
        <v>96.131069014941403</v>
      </c>
      <c r="AN5829">
        <v>1.0000000451404201</v>
      </c>
    </row>
    <row r="5830" spans="1:40" x14ac:dyDescent="0.25">
      <c r="A5830" t="str">
        <f>"20190304164801451"</f>
        <v>20190304164801451</v>
      </c>
      <c r="B5830" t="str">
        <f>"1551689281445031"</f>
        <v>1551689281445031</v>
      </c>
      <c r="C5830" t="s">
        <v>40</v>
      </c>
      <c r="D5830">
        <v>3.8416090000000001</v>
      </c>
      <c r="E5830">
        <v>0.53644700000000001</v>
      </c>
      <c r="F5830" t="s">
        <v>42</v>
      </c>
      <c r="G5830">
        <v>-187.73429999999999</v>
      </c>
      <c r="H5830" s="1">
        <v>-3.5303700000000001E-6</v>
      </c>
      <c r="I5830">
        <v>26.925329999999999</v>
      </c>
      <c r="J5830">
        <v>-186.84639999999999</v>
      </c>
      <c r="K5830">
        <v>1.111081</v>
      </c>
      <c r="L5830">
        <v>10.6366</v>
      </c>
      <c r="M5830">
        <v>-8.9330509999999991E-3</v>
      </c>
      <c r="N5830">
        <v>-9.2304239999999992E-3</v>
      </c>
      <c r="O5830">
        <v>0.99991750000000001</v>
      </c>
      <c r="P5830">
        <v>-0.1072554</v>
      </c>
      <c r="Q5830">
        <v>0.35749180000000003</v>
      </c>
      <c r="R5830">
        <v>0.92773700000000003</v>
      </c>
      <c r="S5830">
        <v>-0.17620849999999999</v>
      </c>
      <c r="T5830">
        <v>-0.21955140000000001</v>
      </c>
      <c r="U5830">
        <v>3.2973020000000002</v>
      </c>
      <c r="V5830">
        <v>-9.9897239999999998E-2</v>
      </c>
      <c r="W5830">
        <v>0.36579489999999998</v>
      </c>
      <c r="X5830">
        <v>0.92531870000000005</v>
      </c>
      <c r="Y5830">
        <v>-4.4338530000000001E-2</v>
      </c>
      <c r="Z5830">
        <v>-5.7143619999999999E-2</v>
      </c>
      <c r="AA5830">
        <v>0.99738090000000001</v>
      </c>
      <c r="AB5830">
        <v>42</v>
      </c>
      <c r="AC5830">
        <v>-0.88790000000000102</v>
      </c>
      <c r="AD5830">
        <v>-1.1110845303700001</v>
      </c>
      <c r="AE5830">
        <v>16.288729999999902</v>
      </c>
      <c r="AF5830">
        <v>-0.73892239982285501</v>
      </c>
      <c r="AG5830">
        <v>-1.1110845303700001</v>
      </c>
      <c r="AH5830">
        <v>16.220762704466601</v>
      </c>
      <c r="AI5830">
        <v>93.914460018502197</v>
      </c>
      <c r="AJ5830">
        <v>92.608255012225797</v>
      </c>
      <c r="AK5830">
        <v>16.275553995523602</v>
      </c>
      <c r="AL5830">
        <v>68.543490328233702</v>
      </c>
      <c r="AM5830">
        <v>96.161776813233999</v>
      </c>
      <c r="AN5830">
        <v>1.0000000319976501</v>
      </c>
    </row>
    <row r="5831" spans="1:40" x14ac:dyDescent="0.25">
      <c r="A5831" t="str">
        <f>"20190304164801473"</f>
        <v>20190304164801473</v>
      </c>
      <c r="B5831" t="str">
        <f>"1551689281465526"</f>
        <v>1551689281465526</v>
      </c>
      <c r="C5831" t="s">
        <v>40</v>
      </c>
      <c r="D5831">
        <v>3.8482639999999999</v>
      </c>
      <c r="E5831">
        <v>0.53654190000000002</v>
      </c>
      <c r="F5831" t="s">
        <v>42</v>
      </c>
      <c r="G5831">
        <v>-187.7611</v>
      </c>
      <c r="H5831" s="1">
        <v>-3.7231669999999999E-6</v>
      </c>
      <c r="I5831">
        <v>27.3858</v>
      </c>
      <c r="J5831">
        <v>-186.85059999999999</v>
      </c>
      <c r="K5831">
        <v>1.111022</v>
      </c>
      <c r="L5831">
        <v>11.04041</v>
      </c>
      <c r="M5831">
        <v>-9.687869E-3</v>
      </c>
      <c r="N5831">
        <v>-9.2808160000000008E-3</v>
      </c>
      <c r="O5831">
        <v>0.99990999999999997</v>
      </c>
      <c r="P5831">
        <v>-0.10861800000000001</v>
      </c>
      <c r="Q5831">
        <v>0.35769400000000001</v>
      </c>
      <c r="R5831">
        <v>0.92750049999999995</v>
      </c>
      <c r="S5831">
        <v>-0.18005370000000001</v>
      </c>
      <c r="T5831">
        <v>-0.21872169999999999</v>
      </c>
      <c r="U5831">
        <v>3.2971499999999998</v>
      </c>
      <c r="V5831">
        <v>-0.1005016</v>
      </c>
      <c r="W5831">
        <v>0.36605680000000002</v>
      </c>
      <c r="X5831">
        <v>0.92514969999999996</v>
      </c>
      <c r="Y5831">
        <v>-4.4747389999999998E-2</v>
      </c>
      <c r="Z5831">
        <v>-5.6843449999999997E-2</v>
      </c>
      <c r="AA5831">
        <v>0.99737980000000004</v>
      </c>
      <c r="AB5831">
        <v>42</v>
      </c>
      <c r="AC5831">
        <v>-0.91050000000001297</v>
      </c>
      <c r="AD5831">
        <v>-1.111025723167</v>
      </c>
      <c r="AE5831">
        <v>16.345389999999998</v>
      </c>
      <c r="AF5831">
        <v>-0.748650260767875</v>
      </c>
      <c r="AG5831">
        <v>-1.111025723167</v>
      </c>
      <c r="AH5831">
        <v>16.278467464847299</v>
      </c>
      <c r="AI5831">
        <v>93.900343477932907</v>
      </c>
      <c r="AJ5831">
        <v>92.633189926071694</v>
      </c>
      <c r="AK5831">
        <v>16.333504167035901</v>
      </c>
      <c r="AL5831">
        <v>68.527366892881105</v>
      </c>
      <c r="AM5831">
        <v>96.1998886207667</v>
      </c>
      <c r="AN5831">
        <v>1.0000000599194401</v>
      </c>
    </row>
    <row r="5832" spans="1:40" x14ac:dyDescent="0.25">
      <c r="A5832" t="str">
        <f>"20190304164801496"</f>
        <v>20190304164801496</v>
      </c>
      <c r="B5832" t="str">
        <f>"1551689281485047"</f>
        <v>1551689281485047</v>
      </c>
      <c r="C5832" t="s">
        <v>40</v>
      </c>
      <c r="D5832">
        <v>4.1149719999999999</v>
      </c>
      <c r="E5832">
        <v>0.54787730000000001</v>
      </c>
      <c r="F5832" t="s">
        <v>42</v>
      </c>
      <c r="G5832">
        <v>-187.79589999999999</v>
      </c>
      <c r="H5832" s="1">
        <v>-3.9410799999999997E-6</v>
      </c>
      <c r="I5832">
        <v>27.908159999999999</v>
      </c>
      <c r="J5832">
        <v>-186.8553</v>
      </c>
      <c r="K5832">
        <v>1.1109389999999999</v>
      </c>
      <c r="L5832">
        <v>11.47357</v>
      </c>
      <c r="M5832">
        <v>-1.0369089999999999E-2</v>
      </c>
      <c r="N5832">
        <v>-9.3539699999999996E-3</v>
      </c>
      <c r="O5832">
        <v>0.99990250000000003</v>
      </c>
      <c r="P5832">
        <v>-0.1099612</v>
      </c>
      <c r="Q5832">
        <v>0.35787560000000002</v>
      </c>
      <c r="R5832">
        <v>0.92727210000000004</v>
      </c>
      <c r="S5832">
        <v>-0.18475340000000001</v>
      </c>
      <c r="T5832">
        <v>-0.21713660000000001</v>
      </c>
      <c r="U5832">
        <v>3.2966000000000002</v>
      </c>
      <c r="V5832">
        <v>-0.10113419999999999</v>
      </c>
      <c r="W5832">
        <v>0.36632510000000001</v>
      </c>
      <c r="X5832">
        <v>0.92497439999999997</v>
      </c>
      <c r="Y5832">
        <v>-4.5494779999999999E-2</v>
      </c>
      <c r="Z5832">
        <v>-5.6299910000000002E-2</v>
      </c>
      <c r="AA5832">
        <v>0.99737690000000001</v>
      </c>
      <c r="AB5832">
        <v>42</v>
      </c>
      <c r="AC5832">
        <v>-0.940599999999989</v>
      </c>
      <c r="AD5832">
        <v>-1.11094294107999</v>
      </c>
      <c r="AE5832">
        <v>16.43459</v>
      </c>
      <c r="AF5832">
        <v>-0.766638538206871</v>
      </c>
      <c r="AG5832">
        <v>-1.11094294107999</v>
      </c>
      <c r="AH5832">
        <v>16.368906973707901</v>
      </c>
      <c r="AI5832">
        <v>93.878420317039598</v>
      </c>
      <c r="AJ5832">
        <v>92.681491073301999</v>
      </c>
      <c r="AK5832">
        <v>16.424464812605098</v>
      </c>
      <c r="AL5832">
        <v>68.510843868025802</v>
      </c>
      <c r="AM5832">
        <v>96.239779610706506</v>
      </c>
      <c r="AN5832">
        <v>0.99999992297750195</v>
      </c>
    </row>
    <row r="5833" spans="1:40" x14ac:dyDescent="0.25">
      <c r="A5833" t="str">
        <f>"20190304164801520"</f>
        <v>20190304164801520</v>
      </c>
      <c r="B5833" t="str">
        <f>"1551689281515303"</f>
        <v>1551689281515303</v>
      </c>
      <c r="C5833" t="s">
        <v>40</v>
      </c>
      <c r="D5833">
        <v>3.7302749999999998</v>
      </c>
      <c r="E5833">
        <v>0.55078459999999996</v>
      </c>
      <c r="F5833" t="s">
        <v>41</v>
      </c>
      <c r="G5833">
        <v>-186.8913</v>
      </c>
      <c r="H5833">
        <v>1.002794</v>
      </c>
      <c r="I5833">
        <v>12.516109999999999</v>
      </c>
      <c r="J5833">
        <v>-186.86019999999999</v>
      </c>
      <c r="K5833">
        <v>1.1108499999999999</v>
      </c>
      <c r="L5833">
        <v>11.906040000000001</v>
      </c>
      <c r="M5833">
        <v>-1.091788E-2</v>
      </c>
      <c r="N5833">
        <v>-9.4482200000000002E-3</v>
      </c>
      <c r="O5833">
        <v>0.9998958</v>
      </c>
      <c r="P5833">
        <v>-0.1104117</v>
      </c>
      <c r="Q5833">
        <v>0.35737160000000001</v>
      </c>
      <c r="R5833">
        <v>0.92741300000000004</v>
      </c>
      <c r="S5833">
        <v>-0.1158752</v>
      </c>
      <c r="T5833">
        <v>-0.34811059999999999</v>
      </c>
      <c r="U5833">
        <v>3.355896</v>
      </c>
      <c r="V5833">
        <v>-0.1009805</v>
      </c>
      <c r="W5833">
        <v>0.3659365</v>
      </c>
      <c r="X5833">
        <v>0.92514510000000005</v>
      </c>
      <c r="Y5833">
        <v>-2.34299E-2</v>
      </c>
      <c r="Z5833">
        <v>-9.3723039999999994E-2</v>
      </c>
      <c r="AA5833">
        <v>0.99532259999999995</v>
      </c>
      <c r="AB5833">
        <v>42</v>
      </c>
      <c r="AC5833">
        <v>-3.11000000000092E-2</v>
      </c>
      <c r="AD5833">
        <v>-0.108055999999999</v>
      </c>
      <c r="AE5833">
        <v>0.610070000000002</v>
      </c>
      <c r="AF5833">
        <v>-2.3695728989321398E-2</v>
      </c>
      <c r="AG5833">
        <v>-0.108055999999999</v>
      </c>
      <c r="AH5833">
        <v>0.59185384587701495</v>
      </c>
      <c r="AI5833">
        <v>100.338551225114</v>
      </c>
      <c r="AJ5833">
        <v>92.292695335801199</v>
      </c>
      <c r="AK5833">
        <v>0.60210344758002299</v>
      </c>
      <c r="AL5833">
        <v>68.534772566127998</v>
      </c>
      <c r="AM5833">
        <v>96.229230721721706</v>
      </c>
      <c r="AN5833">
        <v>1.0000000197332499</v>
      </c>
    </row>
    <row r="5834" spans="1:40" x14ac:dyDescent="0.25">
      <c r="A5834" t="str">
        <f>"20190304164801540"</f>
        <v>20190304164801540</v>
      </c>
      <c r="B5834" t="str">
        <f>"1551689281534824"</f>
        <v>1551689281534824</v>
      </c>
      <c r="C5834" t="s">
        <v>40</v>
      </c>
      <c r="D5834">
        <v>3.8506100000000001</v>
      </c>
      <c r="E5834">
        <v>0.54533259999999995</v>
      </c>
      <c r="F5834" t="s">
        <v>41</v>
      </c>
      <c r="G5834">
        <v>-186.9033</v>
      </c>
      <c r="H5834">
        <v>0.86239399999999999</v>
      </c>
      <c r="I5834">
        <v>12.828430000000001</v>
      </c>
      <c r="J5834">
        <v>-186.86490000000001</v>
      </c>
      <c r="K5834">
        <v>1.11077</v>
      </c>
      <c r="L5834">
        <v>12.30768</v>
      </c>
      <c r="M5834">
        <v>-1.1329280000000001E-2</v>
      </c>
      <c r="N5834">
        <v>-9.5486449999999997E-3</v>
      </c>
      <c r="O5834">
        <v>0.99989019999999995</v>
      </c>
      <c r="P5834">
        <v>-0.11107110000000001</v>
      </c>
      <c r="Q5834">
        <v>0.35755910000000002</v>
      </c>
      <c r="R5834">
        <v>0.92726189999999997</v>
      </c>
      <c r="S5834">
        <v>-0.1682892</v>
      </c>
      <c r="T5834">
        <v>-0.96621800000000002</v>
      </c>
      <c r="U5834">
        <v>3.587097</v>
      </c>
      <c r="V5834">
        <v>-0.101174899999999</v>
      </c>
      <c r="W5834">
        <v>0.36623860000000003</v>
      </c>
      <c r="X5834">
        <v>0.92500420000000005</v>
      </c>
      <c r="Y5834">
        <v>-3.4001129999999997E-2</v>
      </c>
      <c r="Z5834">
        <v>-0.2506275</v>
      </c>
      <c r="AA5834">
        <v>0.96748630000000002</v>
      </c>
      <c r="AB5834">
        <v>42</v>
      </c>
      <c r="AC5834">
        <v>-3.8399999999995701E-2</v>
      </c>
      <c r="AD5834">
        <v>-0.24837600000000001</v>
      </c>
      <c r="AE5834">
        <v>0.52075000000000105</v>
      </c>
      <c r="AF5834">
        <v>-2.6501373126271401E-2</v>
      </c>
      <c r="AG5834">
        <v>-0.24837600000000001</v>
      </c>
      <c r="AH5834">
        <v>0.42499316986201002</v>
      </c>
      <c r="AI5834">
        <v>120.254609100102</v>
      </c>
      <c r="AJ5834">
        <v>93.568182828635102</v>
      </c>
      <c r="AK5834">
        <v>0.49296263000651203</v>
      </c>
      <c r="AL5834">
        <v>68.516170067341093</v>
      </c>
      <c r="AM5834">
        <v>96.2420713863674</v>
      </c>
      <c r="AN5834">
        <v>0.99999992126880199</v>
      </c>
    </row>
    <row r="5835" spans="1:40" x14ac:dyDescent="0.25">
      <c r="A5835" t="str">
        <f>"20190304164801563"</f>
        <v>20190304164801563</v>
      </c>
      <c r="B5835" t="str">
        <f>"1551689281555318"</f>
        <v>1551689281555318</v>
      </c>
      <c r="C5835" t="s">
        <v>40</v>
      </c>
      <c r="D5835">
        <v>3.7829929999999998</v>
      </c>
      <c r="E5835">
        <v>0.54391210000000001</v>
      </c>
      <c r="F5835" t="s">
        <v>41</v>
      </c>
      <c r="G5835">
        <v>-186.92089999999999</v>
      </c>
      <c r="H5835">
        <v>0.84434589999999998</v>
      </c>
      <c r="I5835">
        <v>13.19604</v>
      </c>
      <c r="J5835">
        <v>-186.8699</v>
      </c>
      <c r="K5835">
        <v>1.1106990000000001</v>
      </c>
      <c r="L5835">
        <v>12.7254</v>
      </c>
      <c r="M5835">
        <v>-1.165686E-2</v>
      </c>
      <c r="N5835">
        <v>-9.6740980000000008E-3</v>
      </c>
      <c r="O5835">
        <v>0.99988529999999998</v>
      </c>
      <c r="P5835">
        <v>-0.1110324</v>
      </c>
      <c r="Q5835">
        <v>0.35734690000000002</v>
      </c>
      <c r="R5835">
        <v>0.92734839999999996</v>
      </c>
      <c r="S5835">
        <v>-0.229187</v>
      </c>
      <c r="T5835">
        <v>-1.087858</v>
      </c>
      <c r="U5835">
        <v>3.62738</v>
      </c>
      <c r="V5835">
        <v>-0.10074519999999999</v>
      </c>
      <c r="W5835">
        <v>0.36616769999999998</v>
      </c>
      <c r="X5835">
        <v>0.92507919999999999</v>
      </c>
      <c r="Y5835">
        <v>-4.8866369999999999E-2</v>
      </c>
      <c r="Z5835">
        <v>-0.27752399999999999</v>
      </c>
      <c r="AA5835">
        <v>0.95947510000000003</v>
      </c>
      <c r="AB5835">
        <v>42</v>
      </c>
      <c r="AC5835">
        <v>-5.0999999999987701E-2</v>
      </c>
      <c r="AD5835">
        <v>-0.26635309999999901</v>
      </c>
      <c r="AE5835">
        <v>0.470639999999999</v>
      </c>
      <c r="AF5835">
        <v>-3.4567202791765499E-2</v>
      </c>
      <c r="AG5835">
        <v>-0.26635309999999901</v>
      </c>
      <c r="AH5835">
        <v>0.35790201219345702</v>
      </c>
      <c r="AI5835">
        <v>126.529560189984</v>
      </c>
      <c r="AJ5835">
        <v>95.516679515361105</v>
      </c>
      <c r="AK5835">
        <v>0.44747370394312802</v>
      </c>
      <c r="AL5835">
        <v>68.520536306553197</v>
      </c>
      <c r="AM5835">
        <v>96.215268639252102</v>
      </c>
      <c r="AN5835">
        <v>0.99999995305948397</v>
      </c>
    </row>
    <row r="5836" spans="1:40" x14ac:dyDescent="0.25">
      <c r="A5836" t="str">
        <f>"20190304164801588"</f>
        <v>20190304164801588</v>
      </c>
      <c r="B5836" t="str">
        <f>"1551689281574840"</f>
        <v>1551689281574840</v>
      </c>
      <c r="C5836" t="s">
        <v>40</v>
      </c>
      <c r="D5836">
        <v>3.8561839999999998</v>
      </c>
      <c r="E5836">
        <v>0.54296949999999999</v>
      </c>
      <c r="F5836" t="s">
        <v>41</v>
      </c>
      <c r="G5836">
        <v>-186.92679999999999</v>
      </c>
      <c r="H5836">
        <v>0.84907779999999999</v>
      </c>
      <c r="I5836">
        <v>13.573180000000001</v>
      </c>
      <c r="J5836">
        <v>-186.87540000000001</v>
      </c>
      <c r="K5836">
        <v>1.11063</v>
      </c>
      <c r="L5836">
        <v>13.179959999999999</v>
      </c>
      <c r="M5836">
        <v>-1.190307E-2</v>
      </c>
      <c r="N5836">
        <v>-9.8521170000000005E-3</v>
      </c>
      <c r="O5836">
        <v>0.99988060000000001</v>
      </c>
      <c r="P5836">
        <v>-0.11006050000000001</v>
      </c>
      <c r="Q5836">
        <v>0.35724980000000001</v>
      </c>
      <c r="R5836">
        <v>0.92750160000000004</v>
      </c>
      <c r="S5836">
        <v>-0.2451477</v>
      </c>
      <c r="T5836">
        <v>-1.122768</v>
      </c>
      <c r="U5836">
        <v>3.6383359999999998</v>
      </c>
      <c r="V5836">
        <v>-9.9453079999999999E-2</v>
      </c>
      <c r="W5836">
        <v>0.36626310000000001</v>
      </c>
      <c r="X5836">
        <v>0.92518129999999998</v>
      </c>
      <c r="Y5836">
        <v>-5.2474510000000002E-2</v>
      </c>
      <c r="Z5836">
        <v>-0.28491129999999998</v>
      </c>
      <c r="AA5836">
        <v>0.95711650000000004</v>
      </c>
      <c r="AB5836">
        <v>42</v>
      </c>
      <c r="AC5836">
        <v>-5.1399999999972502E-2</v>
      </c>
      <c r="AD5836">
        <v>-0.26155220000000001</v>
      </c>
      <c r="AE5836">
        <v>0.39321999999999702</v>
      </c>
      <c r="AF5836">
        <v>-3.2554466000355303E-2</v>
      </c>
      <c r="AG5836">
        <v>-0.26155220000000001</v>
      </c>
      <c r="AH5836">
        <v>0.27442817658938901</v>
      </c>
      <c r="AI5836">
        <v>133.42393629379399</v>
      </c>
      <c r="AJ5836">
        <v>96.765184684127604</v>
      </c>
      <c r="AK5836">
        <v>0.38049989577867799</v>
      </c>
      <c r="AL5836">
        <v>68.514663403799503</v>
      </c>
      <c r="AM5836">
        <v>96.135493978337294</v>
      </c>
      <c r="AN5836">
        <v>1.00000000570639</v>
      </c>
    </row>
    <row r="5837" spans="1:40" x14ac:dyDescent="0.25">
      <c r="A5837" t="str">
        <f>"20190304164801610"</f>
        <v>20190304164801610</v>
      </c>
      <c r="B5837" t="str">
        <f>"1551689281605094"</f>
        <v>1551689281605094</v>
      </c>
      <c r="C5837" t="s">
        <v>40</v>
      </c>
      <c r="D5837">
        <v>3.8861819999999998</v>
      </c>
      <c r="E5837">
        <v>0.54230900000000004</v>
      </c>
      <c r="F5837" t="s">
        <v>41</v>
      </c>
      <c r="G5837">
        <v>-186.92949999999999</v>
      </c>
      <c r="H5837">
        <v>0.86676189999999997</v>
      </c>
      <c r="I5837">
        <v>13.955859999999999</v>
      </c>
      <c r="J5837">
        <v>-186.88050000000001</v>
      </c>
      <c r="K5837">
        <v>1.1105879999999999</v>
      </c>
      <c r="L5837">
        <v>13.6044</v>
      </c>
      <c r="M5837">
        <v>-1.2041140000000001E-2</v>
      </c>
      <c r="N5837">
        <v>-1.0075310000000001E-2</v>
      </c>
      <c r="O5837">
        <v>0.99987669999999995</v>
      </c>
      <c r="P5837">
        <v>-0.1093509</v>
      </c>
      <c r="Q5837">
        <v>0.3576857</v>
      </c>
      <c r="R5837">
        <v>0.92741759999999995</v>
      </c>
      <c r="S5837">
        <v>-0.25500489999999998</v>
      </c>
      <c r="T5837">
        <v>-1.1458170000000001</v>
      </c>
      <c r="U5837">
        <v>3.6455690000000001</v>
      </c>
      <c r="V5837">
        <v>-9.8537299999999994E-2</v>
      </c>
      <c r="W5837">
        <v>0.36692669999999999</v>
      </c>
      <c r="X5837">
        <v>0.92501630000000001</v>
      </c>
      <c r="Y5837">
        <v>-5.4678839999999999E-2</v>
      </c>
      <c r="Z5837">
        <v>-0.28963260000000002</v>
      </c>
      <c r="AA5837">
        <v>0.95557479999999995</v>
      </c>
      <c r="AB5837">
        <v>42</v>
      </c>
      <c r="AC5837">
        <v>-4.8999999999978103E-2</v>
      </c>
      <c r="AD5837">
        <v>-0.24382609999999899</v>
      </c>
      <c r="AE5837">
        <v>0.35146000000000099</v>
      </c>
      <c r="AF5837">
        <v>-3.04081186176112E-2</v>
      </c>
      <c r="AG5837">
        <v>-0.24382609999999899</v>
      </c>
      <c r="AH5837">
        <v>0.23912840960185699</v>
      </c>
      <c r="AI5837">
        <v>135.327556491275</v>
      </c>
      <c r="AJ5837">
        <v>97.246968377029503</v>
      </c>
      <c r="AK5837">
        <v>0.34286763772305201</v>
      </c>
      <c r="AL5837">
        <v>68.473796214728097</v>
      </c>
      <c r="AM5837">
        <v>96.080498687743201</v>
      </c>
      <c r="AN5837">
        <v>0.99999997896493398</v>
      </c>
    </row>
    <row r="5838" spans="1:40" x14ac:dyDescent="0.25">
      <c r="A5838" t="str">
        <f>"20190304164801675"</f>
        <v>20190304164801675</v>
      </c>
      <c r="B5838" t="str">
        <f>"1551689281665607"</f>
        <v>1551689281665607</v>
      </c>
      <c r="C5838" t="s">
        <v>40</v>
      </c>
      <c r="D5838">
        <v>4.0231640000000004</v>
      </c>
      <c r="E5838">
        <v>0.54228779999999999</v>
      </c>
      <c r="F5838" t="s">
        <v>41</v>
      </c>
      <c r="G5838">
        <v>-186.93790000000001</v>
      </c>
      <c r="H5838">
        <v>0.8892449</v>
      </c>
      <c r="I5838">
        <v>15.090070000000001</v>
      </c>
      <c r="J5838">
        <v>-186.8955</v>
      </c>
      <c r="K5838">
        <v>1.110573</v>
      </c>
      <c r="L5838">
        <v>14.81845</v>
      </c>
      <c r="M5838">
        <v>-1.2162040000000001E-2</v>
      </c>
      <c r="N5838">
        <v>-1.107526E-2</v>
      </c>
      <c r="O5838">
        <v>0.99986470000000005</v>
      </c>
      <c r="P5838">
        <v>-0.1067867</v>
      </c>
      <c r="Q5838">
        <v>0.35758759999999901</v>
      </c>
      <c r="R5838">
        <v>0.92775419999999997</v>
      </c>
      <c r="S5838">
        <v>-0.2497559</v>
      </c>
      <c r="T5838">
        <v>-1.1557980000000001</v>
      </c>
      <c r="U5838">
        <v>3.650452</v>
      </c>
      <c r="V5838">
        <v>-9.5686160000000006E-2</v>
      </c>
      <c r="W5838">
        <v>0.36780489999999999</v>
      </c>
      <c r="X5838">
        <v>0.92496690000000004</v>
      </c>
      <c r="Y5838">
        <v>-5.3071859999999998E-2</v>
      </c>
      <c r="Z5838">
        <v>-0.29071279999999999</v>
      </c>
      <c r="AA5838">
        <v>0.95533729999999994</v>
      </c>
      <c r="AB5838">
        <v>42</v>
      </c>
      <c r="AC5838">
        <v>-4.2400000000014801E-2</v>
      </c>
      <c r="AD5838">
        <v>-0.2213281</v>
      </c>
      <c r="AE5838">
        <v>0.27161999999999997</v>
      </c>
      <c r="AF5838">
        <v>-2.37190531476082E-2</v>
      </c>
      <c r="AG5838">
        <v>-0.2213281</v>
      </c>
      <c r="AH5838">
        <v>0.16510092158059</v>
      </c>
      <c r="AI5838">
        <v>142.99780068912199</v>
      </c>
      <c r="AJ5838">
        <v>98.175400225213494</v>
      </c>
      <c r="AK5838">
        <v>0.27714082275729301</v>
      </c>
      <c r="AL5838">
        <v>68.419697260080795</v>
      </c>
      <c r="AM5838">
        <v>95.906136760228506</v>
      </c>
      <c r="AN5838">
        <v>1.0000000258875801</v>
      </c>
    </row>
    <row r="5839" spans="1:40" x14ac:dyDescent="0.25">
      <c r="A5839" t="str">
        <f>"20190304164801696"</f>
        <v>20190304164801696</v>
      </c>
      <c r="B5839" t="str">
        <f>"1551689281685127"</f>
        <v>1551689281685127</v>
      </c>
      <c r="C5839" t="s">
        <v>40</v>
      </c>
      <c r="D5839">
        <v>3.9272819999999999</v>
      </c>
      <c r="E5839">
        <v>0.54155730000000002</v>
      </c>
      <c r="F5839" t="s">
        <v>41</v>
      </c>
      <c r="G5839">
        <v>-186.96299999999999</v>
      </c>
      <c r="H5839">
        <v>0.79808029999999996</v>
      </c>
      <c r="I5839">
        <v>15.799530000000001</v>
      </c>
      <c r="J5839">
        <v>-186.90049999999999</v>
      </c>
      <c r="K5839">
        <v>1.110592</v>
      </c>
      <c r="L5839">
        <v>15.22711</v>
      </c>
      <c r="M5839">
        <v>-1.215632E-2</v>
      </c>
      <c r="N5839">
        <v>-1.1484650000000001E-2</v>
      </c>
      <c r="O5839">
        <v>0.99986019999999998</v>
      </c>
      <c r="P5839">
        <v>-0.105884199999999</v>
      </c>
      <c r="Q5839">
        <v>0.35689870000000001</v>
      </c>
      <c r="R5839">
        <v>0.92812280000000003</v>
      </c>
      <c r="S5839">
        <v>-0.25221250000000001</v>
      </c>
      <c r="T5839">
        <v>-1.1635439999999999</v>
      </c>
      <c r="U5839">
        <v>3.6530459999999998</v>
      </c>
      <c r="V5839">
        <v>-9.4735520000000004E-2</v>
      </c>
      <c r="W5839">
        <v>0.3675117</v>
      </c>
      <c r="X5839">
        <v>0.92518120000000004</v>
      </c>
      <c r="Y5839">
        <v>-5.3639190000000003E-2</v>
      </c>
      <c r="Z5839">
        <v>-0.29195510000000002</v>
      </c>
      <c r="AA5839">
        <v>0.95492670000000002</v>
      </c>
      <c r="AB5839">
        <v>42</v>
      </c>
      <c r="AC5839">
        <v>-6.25E-2</v>
      </c>
      <c r="AD5839">
        <v>-0.312511699999999</v>
      </c>
      <c r="AE5839">
        <v>0.57241999999999904</v>
      </c>
      <c r="AF5839">
        <v>-4.2900224569659598E-2</v>
      </c>
      <c r="AG5839">
        <v>-0.312511699999999</v>
      </c>
      <c r="AH5839">
        <v>0.44273174691653799</v>
      </c>
      <c r="AI5839">
        <v>125.091138924779</v>
      </c>
      <c r="AJ5839">
        <v>95.534619604407595</v>
      </c>
      <c r="AK5839">
        <v>0.54361327396669301</v>
      </c>
      <c r="AL5839">
        <v>68.437760112762106</v>
      </c>
      <c r="AM5839">
        <v>95.846522926400297</v>
      </c>
      <c r="AN5839">
        <v>0.99999996060999896</v>
      </c>
    </row>
    <row r="5840" spans="1:40" x14ac:dyDescent="0.25">
      <c r="A5840" t="str">
        <f>"20190304164801722"</f>
        <v>20190304164801722</v>
      </c>
      <c r="B5840" t="str">
        <f>"1551689281715383"</f>
        <v>1551689281715383</v>
      </c>
      <c r="C5840" t="s">
        <v>40</v>
      </c>
      <c r="D5840">
        <v>3.6742400000000002</v>
      </c>
      <c r="E5840">
        <v>0.54471859999999905</v>
      </c>
      <c r="F5840" t="s">
        <v>41</v>
      </c>
      <c r="G5840">
        <v>-186.96729999999999</v>
      </c>
      <c r="H5840">
        <v>0.80515539999999997</v>
      </c>
      <c r="I5840">
        <v>16.175989999999999</v>
      </c>
      <c r="J5840">
        <v>-186.90629999999999</v>
      </c>
      <c r="K5840">
        <v>1.110608</v>
      </c>
      <c r="L5840">
        <v>15.697749999999999</v>
      </c>
      <c r="M5840">
        <v>-1.2129620000000001E-2</v>
      </c>
      <c r="N5840">
        <v>-1.1951079999999999E-2</v>
      </c>
      <c r="O5840">
        <v>0.99985500000000005</v>
      </c>
      <c r="P5840">
        <v>-0.1057526</v>
      </c>
      <c r="Q5840">
        <v>0.35604849999999999</v>
      </c>
      <c r="R5840">
        <v>0.92846430000000002</v>
      </c>
      <c r="S5840">
        <v>-0.2576599</v>
      </c>
      <c r="T5840">
        <v>-1.176642</v>
      </c>
      <c r="U5840">
        <v>3.6553960000000001</v>
      </c>
      <c r="V5840">
        <v>-9.4572050000000005E-2</v>
      </c>
      <c r="W5840">
        <v>0.36711080000000001</v>
      </c>
      <c r="X5840">
        <v>0.92535710000000004</v>
      </c>
      <c r="Y5840">
        <v>-5.4978550000000001E-2</v>
      </c>
      <c r="Z5840">
        <v>-0.29440880000000003</v>
      </c>
      <c r="AA5840">
        <v>0.95409690000000003</v>
      </c>
      <c r="AB5840">
        <v>42</v>
      </c>
      <c r="AC5840">
        <v>-6.1000000000007E-2</v>
      </c>
      <c r="AD5840">
        <v>-0.30545260000000002</v>
      </c>
      <c r="AE5840">
        <v>0.478239999999999</v>
      </c>
      <c r="AF5840">
        <v>-3.9384811556681103E-2</v>
      </c>
      <c r="AG5840">
        <v>-0.30545260000000002</v>
      </c>
      <c r="AH5840">
        <v>0.341759461037697</v>
      </c>
      <c r="AI5840">
        <v>131.60150393204401</v>
      </c>
      <c r="AJ5840">
        <v>96.573842197636097</v>
      </c>
      <c r="AK5840">
        <v>0.46005650026588302</v>
      </c>
      <c r="AL5840">
        <v>68.462456907069395</v>
      </c>
      <c r="AM5840">
        <v>95.835402420461406</v>
      </c>
      <c r="AN5840">
        <v>0.99999998731912598</v>
      </c>
    </row>
    <row r="5841" spans="1:40" x14ac:dyDescent="0.25">
      <c r="A5841" t="str">
        <f>"20190304164801742"</f>
        <v>20190304164801742</v>
      </c>
      <c r="B5841" t="str">
        <f>"1551689281734903"</f>
        <v>1551689281734903</v>
      </c>
      <c r="C5841" t="s">
        <v>40</v>
      </c>
      <c r="D5841">
        <v>3.7200959999999998</v>
      </c>
      <c r="E5841">
        <v>0.54647089999999998</v>
      </c>
      <c r="F5841" t="s">
        <v>41</v>
      </c>
      <c r="G5841">
        <v>-186.95930000000001</v>
      </c>
      <c r="H5841">
        <v>0.84125849999999902</v>
      </c>
      <c r="I5841">
        <v>16.564119999999999</v>
      </c>
      <c r="J5841">
        <v>-186.911</v>
      </c>
      <c r="K5841">
        <v>1.1106100000000001</v>
      </c>
      <c r="L5841">
        <v>16.086459999999999</v>
      </c>
      <c r="M5841">
        <v>-1.2089539999999999E-2</v>
      </c>
      <c r="N5841">
        <v>-1.231378E-2</v>
      </c>
      <c r="O5841">
        <v>0.99985109999999999</v>
      </c>
      <c r="P5841">
        <v>-0.1058984</v>
      </c>
      <c r="Q5841">
        <v>0.35600979999999999</v>
      </c>
      <c r="R5841">
        <v>0.92846240000000002</v>
      </c>
      <c r="S5841">
        <v>-0.22315979999999999</v>
      </c>
      <c r="T5841">
        <v>-1.1315309999999901</v>
      </c>
      <c r="U5841">
        <v>3.6396480000000002</v>
      </c>
      <c r="V5841">
        <v>-9.4715919999999995E-2</v>
      </c>
      <c r="W5841">
        <v>0.36741770000000001</v>
      </c>
      <c r="X5841">
        <v>0.92522059999999995</v>
      </c>
      <c r="Y5841">
        <v>-4.6499510000000001E-2</v>
      </c>
      <c r="Z5841">
        <v>-0.28465269999999998</v>
      </c>
      <c r="AA5841">
        <v>0.95750230000000003</v>
      </c>
      <c r="AB5841">
        <v>42</v>
      </c>
      <c r="AC5841">
        <v>-4.83000000000402E-2</v>
      </c>
      <c r="AD5841">
        <v>-0.26935150000000002</v>
      </c>
      <c r="AE5841">
        <v>0.47766000000000303</v>
      </c>
      <c r="AF5841">
        <v>-3.2341462190820999E-2</v>
      </c>
      <c r="AG5841">
        <v>-0.26935150000000002</v>
      </c>
      <c r="AH5841">
        <v>0.36372276416252403</v>
      </c>
      <c r="AI5841">
        <v>126.413614086264</v>
      </c>
      <c r="AJ5841">
        <v>95.081256698610304</v>
      </c>
      <c r="AK5841">
        <v>0.45375152881165898</v>
      </c>
      <c r="AL5841">
        <v>68.443552302098496</v>
      </c>
      <c r="AM5841">
        <v>95.845074509110404</v>
      </c>
      <c r="AN5841">
        <v>1.0000000152195401</v>
      </c>
    </row>
    <row r="5842" spans="1:40" x14ac:dyDescent="0.25">
      <c r="A5842" t="str">
        <f>"20190304164801767"</f>
        <v>20190304164801767</v>
      </c>
      <c r="B5842" t="str">
        <f>"1551689281755399"</f>
        <v>1551689281755399</v>
      </c>
      <c r="C5842" t="s">
        <v>40</v>
      </c>
      <c r="D5842">
        <v>3.6948720000000002</v>
      </c>
      <c r="E5842">
        <v>0.54800269999999995</v>
      </c>
      <c r="F5842" t="s">
        <v>41</v>
      </c>
      <c r="G5842">
        <v>-186.9588</v>
      </c>
      <c r="H5842">
        <v>0.85073379999999998</v>
      </c>
      <c r="I5842">
        <v>16.940629999999999</v>
      </c>
      <c r="J5842">
        <v>-186.9162</v>
      </c>
      <c r="K5842">
        <v>1.110595</v>
      </c>
      <c r="L5842">
        <v>16.521729999999899</v>
      </c>
      <c r="M5842">
        <v>-1.2022E-2</v>
      </c>
      <c r="N5842">
        <v>-1.2685449999999999E-2</v>
      </c>
      <c r="O5842">
        <v>0.99984729999999999</v>
      </c>
      <c r="P5842">
        <v>-0.1060938</v>
      </c>
      <c r="Q5842">
        <v>0.35465980000000003</v>
      </c>
      <c r="R5842">
        <v>0.92895669999999997</v>
      </c>
      <c r="S5842">
        <v>-0.2037506</v>
      </c>
      <c r="T5842">
        <v>-1.1048690000000001</v>
      </c>
      <c r="U5842">
        <v>3.631561</v>
      </c>
      <c r="V5842">
        <v>-9.4928689999999996E-2</v>
      </c>
      <c r="W5842">
        <v>0.36642809999999998</v>
      </c>
      <c r="X5842">
        <v>0.92559119999999995</v>
      </c>
      <c r="Y5842">
        <v>-4.1706029999999998E-2</v>
      </c>
      <c r="Z5842">
        <v>-0.27854679999999998</v>
      </c>
      <c r="AA5842">
        <v>0.9595167</v>
      </c>
      <c r="AB5842">
        <v>42</v>
      </c>
      <c r="AC5842">
        <v>-4.2599999999992998E-2</v>
      </c>
      <c r="AD5842">
        <v>-0.25986120000000001</v>
      </c>
      <c r="AE5842">
        <v>0.41889999999999999</v>
      </c>
      <c r="AF5842">
        <v>-2.7200310967186701E-2</v>
      </c>
      <c r="AG5842">
        <v>-0.25986120000000001</v>
      </c>
      <c r="AH5842">
        <v>0.30370517160324401</v>
      </c>
      <c r="AI5842">
        <v>130.43847455312701</v>
      </c>
      <c r="AJ5842">
        <v>95.117845043436702</v>
      </c>
      <c r="AK5842">
        <v>0.400630167911389</v>
      </c>
      <c r="AL5842">
        <v>68.504504008246002</v>
      </c>
      <c r="AM5842">
        <v>95.855784435431104</v>
      </c>
      <c r="AN5842">
        <v>1.0000000390860799</v>
      </c>
    </row>
    <row r="5843" spans="1:40" x14ac:dyDescent="0.25">
      <c r="A5843" t="str">
        <f>"20190304164801790"</f>
        <v>20190304164801790</v>
      </c>
      <c r="B5843" t="str">
        <f>"1551689281785655"</f>
        <v>1551689281785655</v>
      </c>
      <c r="C5843" t="s">
        <v>40</v>
      </c>
      <c r="D5843">
        <v>3.7454360000000002</v>
      </c>
      <c r="E5843">
        <v>0.54993110000000001</v>
      </c>
      <c r="F5843" t="s">
        <v>41</v>
      </c>
      <c r="G5843">
        <v>-186.95740000000001</v>
      </c>
      <c r="H5843">
        <v>0.87074889999999905</v>
      </c>
      <c r="I5843">
        <v>17.321269999999998</v>
      </c>
      <c r="J5843">
        <v>-186.92140000000001</v>
      </c>
      <c r="K5843">
        <v>1.1105860000000001</v>
      </c>
      <c r="L5843">
        <v>16.956510000000002</v>
      </c>
      <c r="M5843">
        <v>-1.193057E-2</v>
      </c>
      <c r="N5843">
        <v>-1.301893E-2</v>
      </c>
      <c r="O5843">
        <v>0.99984410000000001</v>
      </c>
      <c r="P5843">
        <v>-0.1065883</v>
      </c>
      <c r="Q5843">
        <v>0.35398479999999999</v>
      </c>
      <c r="R5843">
        <v>0.92915760000000003</v>
      </c>
      <c r="S5843">
        <v>-0.1874084</v>
      </c>
      <c r="T5843">
        <v>-1.086786</v>
      </c>
      <c r="U5843">
        <v>3.6229550000000001</v>
      </c>
      <c r="V5843">
        <v>-9.5470869999999999E-2</v>
      </c>
      <c r="W5843">
        <v>0.36607309999999998</v>
      </c>
      <c r="X5843">
        <v>0.9256759</v>
      </c>
      <c r="Y5843">
        <v>-3.7675889999999997E-2</v>
      </c>
      <c r="Z5843">
        <v>-0.27452589999999999</v>
      </c>
      <c r="AA5843">
        <v>0.96084130000000001</v>
      </c>
      <c r="AB5843">
        <v>42</v>
      </c>
      <c r="AC5843">
        <v>-3.6000000000001302E-2</v>
      </c>
      <c r="AD5843">
        <v>-0.2398371</v>
      </c>
      <c r="AE5843">
        <v>0.36475999999999997</v>
      </c>
      <c r="AF5843">
        <v>-2.21580372370173E-2</v>
      </c>
      <c r="AG5843">
        <v>-0.2398371</v>
      </c>
      <c r="AH5843">
        <v>0.25568772253356797</v>
      </c>
      <c r="AI5843">
        <v>133.060933900084</v>
      </c>
      <c r="AJ5843">
        <v>94.952909314026996</v>
      </c>
      <c r="AK5843">
        <v>0.351267739203317</v>
      </c>
      <c r="AL5843">
        <v>68.526362789220201</v>
      </c>
      <c r="AM5843">
        <v>95.888459976419696</v>
      </c>
      <c r="AN5843">
        <v>1.0000000367014801</v>
      </c>
    </row>
    <row r="5844" spans="1:40" x14ac:dyDescent="0.25">
      <c r="A5844" t="str">
        <f>"20190304164801853"</f>
        <v>20190304164801853</v>
      </c>
      <c r="B5844" t="str">
        <f>"1551689281845191"</f>
        <v>1551689281845191</v>
      </c>
      <c r="C5844" t="s">
        <v>40</v>
      </c>
      <c r="D5844">
        <v>4.0240460000000002</v>
      </c>
      <c r="E5844">
        <v>0.54911569999999899</v>
      </c>
      <c r="F5844" t="s">
        <v>41</v>
      </c>
      <c r="G5844">
        <v>-186.96530000000001</v>
      </c>
      <c r="H5844">
        <v>0.90073910000000001</v>
      </c>
      <c r="I5844">
        <v>18.448160000000001</v>
      </c>
      <c r="J5844">
        <v>-186.93520000000001</v>
      </c>
      <c r="K5844">
        <v>1.1105499999999999</v>
      </c>
      <c r="L5844">
        <v>18.145420000000001</v>
      </c>
      <c r="M5844">
        <v>-1.1576390000000001E-2</v>
      </c>
      <c r="N5844">
        <v>-1.3746130000000001E-2</v>
      </c>
      <c r="O5844">
        <v>0.99983849999999996</v>
      </c>
      <c r="P5844">
        <v>-0.10884580000000001</v>
      </c>
      <c r="Q5844">
        <v>0.35354639999999998</v>
      </c>
      <c r="R5844">
        <v>0.92906270000000002</v>
      </c>
      <c r="S5844">
        <v>-0.177291899999999</v>
      </c>
      <c r="T5844">
        <v>-1.06707</v>
      </c>
      <c r="U5844">
        <v>3.6145939999999999</v>
      </c>
      <c r="V5844">
        <v>-9.7988359999999997E-2</v>
      </c>
      <c r="W5844">
        <v>0.36632559999999997</v>
      </c>
      <c r="X5844">
        <v>0.92531280000000005</v>
      </c>
      <c r="Y5844">
        <v>-3.5530819999999998E-2</v>
      </c>
      <c r="Z5844">
        <v>-0.26965230000000001</v>
      </c>
      <c r="AA5844">
        <v>0.96230199999999999</v>
      </c>
      <c r="AB5844">
        <v>42</v>
      </c>
      <c r="AC5844">
        <v>-3.0100000000004401E-2</v>
      </c>
      <c r="AD5844">
        <v>-0.209810899999999</v>
      </c>
      <c r="AE5844">
        <v>0.30274000000000001</v>
      </c>
      <c r="AF5844">
        <v>-1.8021797826246602E-2</v>
      </c>
      <c r="AG5844">
        <v>-0.209810899999999</v>
      </c>
      <c r="AH5844">
        <v>0.205386025255586</v>
      </c>
      <c r="AI5844">
        <v>135.50075268613699</v>
      </c>
      <c r="AJ5844">
        <v>95.014630764084799</v>
      </c>
      <c r="AK5844">
        <v>0.29415781194112101</v>
      </c>
      <c r="AL5844">
        <v>68.510814160430101</v>
      </c>
      <c r="AM5844">
        <v>96.044953326269507</v>
      </c>
      <c r="AN5844">
        <v>0.99999997087734405</v>
      </c>
    </row>
    <row r="5845" spans="1:40" x14ac:dyDescent="0.25">
      <c r="A5845" t="str">
        <f>"20190304164801876"</f>
        <v>20190304164801876</v>
      </c>
      <c r="B5845" t="str">
        <f>"1551689281864711"</f>
        <v>1551689281864711</v>
      </c>
      <c r="C5845" t="s">
        <v>40</v>
      </c>
      <c r="D5845">
        <v>4.0638040000000002</v>
      </c>
      <c r="E5845">
        <v>0.54843209999999998</v>
      </c>
      <c r="F5845" t="s">
        <v>41</v>
      </c>
      <c r="G5845">
        <v>-186.9693</v>
      </c>
      <c r="H5845">
        <v>0.90997430000000001</v>
      </c>
      <c r="I5845">
        <v>18.822679999999998</v>
      </c>
      <c r="J5845">
        <v>-186.93989999999999</v>
      </c>
      <c r="K5845">
        <v>1.1105389999999999</v>
      </c>
      <c r="L5845">
        <v>18.556000000000001</v>
      </c>
      <c r="M5845">
        <v>-1.142147E-2</v>
      </c>
      <c r="N5845">
        <v>-1.39399E-2</v>
      </c>
      <c r="O5845">
        <v>0.99983759999999999</v>
      </c>
      <c r="P5845">
        <v>-0.1091143</v>
      </c>
      <c r="Q5845">
        <v>0.35345399999999999</v>
      </c>
      <c r="R5845">
        <v>0.92906639999999996</v>
      </c>
      <c r="S5845">
        <v>-0.18267820000000001</v>
      </c>
      <c r="T5845">
        <v>-1.0705880000000001</v>
      </c>
      <c r="U5845">
        <v>3.6150509999999998</v>
      </c>
      <c r="V5845">
        <v>-9.8379850000000005E-2</v>
      </c>
      <c r="W5845">
        <v>0.36641790000000002</v>
      </c>
      <c r="X5845">
        <v>0.92523469999999997</v>
      </c>
      <c r="Y5845">
        <v>-3.7096240000000003E-2</v>
      </c>
      <c r="Z5845">
        <v>-0.27027689999999999</v>
      </c>
      <c r="AA5845">
        <v>0.96206769999999997</v>
      </c>
      <c r="AB5845">
        <v>41</v>
      </c>
      <c r="AC5845">
        <v>-2.9400000000009599E-2</v>
      </c>
      <c r="AD5845">
        <v>-0.20056470000000001</v>
      </c>
      <c r="AE5845">
        <v>0.26667999999999997</v>
      </c>
      <c r="AF5845">
        <v>-1.6904901666785901E-2</v>
      </c>
      <c r="AG5845">
        <v>-0.20056470000000001</v>
      </c>
      <c r="AH5845">
        <v>0.171281034856479</v>
      </c>
      <c r="AI5845">
        <v>139.365679368564</v>
      </c>
      <c r="AJ5845">
        <v>95.6366589156641</v>
      </c>
      <c r="AK5845">
        <v>0.26428993073509299</v>
      </c>
      <c r="AL5845">
        <v>68.505130353453495</v>
      </c>
      <c r="AM5845">
        <v>96.069433124379799</v>
      </c>
      <c r="AN5845">
        <v>0.99999996120526002</v>
      </c>
    </row>
    <row r="5846" spans="1:40" x14ac:dyDescent="0.25">
      <c r="A5846" t="str">
        <f>"20190304164801899"</f>
        <v>20190304164801899</v>
      </c>
      <c r="B5846" t="str">
        <f>"1551689281894967"</f>
        <v>1551689281894967</v>
      </c>
      <c r="C5846" t="s">
        <v>40</v>
      </c>
      <c r="D5846">
        <v>4.1211789999999997</v>
      </c>
      <c r="E5846">
        <v>0.54740239999999996</v>
      </c>
      <c r="F5846" t="s">
        <v>41</v>
      </c>
      <c r="G5846">
        <v>-186.99039999999999</v>
      </c>
      <c r="H5846">
        <v>0.82138109999999998</v>
      </c>
      <c r="I5846">
        <v>19.524360000000001</v>
      </c>
      <c r="J5846">
        <v>-186.94460000000001</v>
      </c>
      <c r="K5846">
        <v>1.1105259999999999</v>
      </c>
      <c r="L5846">
        <v>18.983519999999999</v>
      </c>
      <c r="M5846">
        <v>-1.1237E-2</v>
      </c>
      <c r="N5846">
        <v>-1.4115519999999999E-2</v>
      </c>
      <c r="O5846">
        <v>0.99983719999999998</v>
      </c>
      <c r="P5846">
        <v>-0.10868220000000001</v>
      </c>
      <c r="Q5846">
        <v>0.35380430000000002</v>
      </c>
      <c r="R5846">
        <v>0.92898369999999997</v>
      </c>
      <c r="S5846">
        <v>-0.18920899999999999</v>
      </c>
      <c r="T5846">
        <v>-1.080281</v>
      </c>
      <c r="U5846">
        <v>3.6177980000000001</v>
      </c>
      <c r="V5846">
        <v>-9.8097169999999997E-2</v>
      </c>
      <c r="W5846">
        <v>0.36693520000000002</v>
      </c>
      <c r="X5846">
        <v>0.92505970000000004</v>
      </c>
      <c r="Y5846">
        <v>-3.8940799999999998E-2</v>
      </c>
      <c r="Z5846">
        <v>-0.27225500000000002</v>
      </c>
      <c r="AA5846">
        <v>0.96143690000000004</v>
      </c>
      <c r="AB5846">
        <v>41</v>
      </c>
      <c r="AC5846">
        <v>-4.5799999999985602E-2</v>
      </c>
      <c r="AD5846">
        <v>-0.28914489999999998</v>
      </c>
      <c r="AE5846">
        <v>0.54083999999999899</v>
      </c>
      <c r="AF5846">
        <v>-3.0939034504506802E-2</v>
      </c>
      <c r="AG5846">
        <v>-0.28914489999999998</v>
      </c>
      <c r="AH5846">
        <v>0.42165966566656099</v>
      </c>
      <c r="AI5846">
        <v>124.36791269749401</v>
      </c>
      <c r="AJ5846">
        <v>94.196524430408104</v>
      </c>
      <c r="AK5846">
        <v>0.51220979168902703</v>
      </c>
      <c r="AL5846">
        <v>68.473272529587106</v>
      </c>
      <c r="AM5846">
        <v>96.053259543202302</v>
      </c>
      <c r="AN5846">
        <v>0.99999997216256897</v>
      </c>
    </row>
    <row r="5847" spans="1:40" x14ac:dyDescent="0.25">
      <c r="A5847" t="str">
        <f>"20190304164801921"</f>
        <v>20190304164801921</v>
      </c>
      <c r="B5847" t="str">
        <f>"1551689281915463"</f>
        <v>1551689281915463</v>
      </c>
      <c r="C5847" t="s">
        <v>40</v>
      </c>
      <c r="D5847">
        <v>4.127408</v>
      </c>
      <c r="E5847">
        <v>0.54681429999999998</v>
      </c>
      <c r="F5847" t="s">
        <v>41</v>
      </c>
      <c r="G5847">
        <v>-186.9948</v>
      </c>
      <c r="H5847">
        <v>0.83412559999999902</v>
      </c>
      <c r="I5847">
        <v>19.899170000000002</v>
      </c>
      <c r="J5847">
        <v>-186.94909999999999</v>
      </c>
      <c r="K5847">
        <v>1.110511</v>
      </c>
      <c r="L5847">
        <v>19.393519999999999</v>
      </c>
      <c r="M5847">
        <v>-1.1040609999999999E-2</v>
      </c>
      <c r="N5847">
        <v>-1.426183E-2</v>
      </c>
      <c r="O5847">
        <v>0.99983730000000004</v>
      </c>
      <c r="P5847">
        <v>-0.1078944</v>
      </c>
      <c r="Q5847">
        <v>0.35446640000000001</v>
      </c>
      <c r="R5847">
        <v>0.92882310000000001</v>
      </c>
      <c r="S5847">
        <v>-0.1989136</v>
      </c>
      <c r="T5847">
        <v>-1.0934900000000001</v>
      </c>
      <c r="U5847">
        <v>3.622528</v>
      </c>
      <c r="V5847">
        <v>-9.7471150000000006E-2</v>
      </c>
      <c r="W5847">
        <v>0.36773610000000001</v>
      </c>
      <c r="X5847">
        <v>0.92480779999999996</v>
      </c>
      <c r="Y5847">
        <v>-4.1589649999999999E-2</v>
      </c>
      <c r="Z5847">
        <v>-0.27495180000000002</v>
      </c>
      <c r="AA5847">
        <v>0.96055809999999997</v>
      </c>
      <c r="AB5847">
        <v>41</v>
      </c>
      <c r="AC5847">
        <v>-4.5700000000010697E-2</v>
      </c>
      <c r="AD5847">
        <v>-0.2763854</v>
      </c>
      <c r="AE5847">
        <v>0.50564999999999904</v>
      </c>
      <c r="AF5847">
        <v>-3.09439011725266E-2</v>
      </c>
      <c r="AG5847">
        <v>-0.2763854</v>
      </c>
      <c r="AH5847">
        <v>0.39042377487908803</v>
      </c>
      <c r="AI5847">
        <v>125.210552794439</v>
      </c>
      <c r="AJ5847">
        <v>94.531630982344197</v>
      </c>
      <c r="AK5847">
        <v>0.47935074668114602</v>
      </c>
      <c r="AL5847">
        <v>68.423934930472498</v>
      </c>
      <c r="AM5847">
        <v>96.016540296985099</v>
      </c>
      <c r="AN5847">
        <v>0.99999996563318505</v>
      </c>
    </row>
    <row r="5848" spans="1:40" x14ac:dyDescent="0.25">
      <c r="A5848" t="str">
        <f>"20190304164801942"</f>
        <v>20190304164801942</v>
      </c>
      <c r="B5848" t="str">
        <f>"1551689281934983"</f>
        <v>1551689281934983</v>
      </c>
      <c r="C5848" t="s">
        <v>40</v>
      </c>
      <c r="D5848">
        <v>3.9824039999999998</v>
      </c>
      <c r="E5848">
        <v>0.54660120000000001</v>
      </c>
      <c r="F5848" t="s">
        <v>41</v>
      </c>
      <c r="G5848">
        <v>-186.9982</v>
      </c>
      <c r="H5848">
        <v>0.84404159999999995</v>
      </c>
      <c r="I5848">
        <v>20.272310000000001</v>
      </c>
      <c r="J5848">
        <v>-186.95320000000001</v>
      </c>
      <c r="K5848">
        <v>1.110501</v>
      </c>
      <c r="L5848">
        <v>19.78931</v>
      </c>
      <c r="M5848">
        <v>-1.082952E-2</v>
      </c>
      <c r="N5848">
        <v>-1.4384539999999999E-2</v>
      </c>
      <c r="O5848">
        <v>0.99983789999999995</v>
      </c>
      <c r="P5848">
        <v>-0.1074335</v>
      </c>
      <c r="Q5848">
        <v>0.35513810000000001</v>
      </c>
      <c r="R5848">
        <v>0.92861990000000005</v>
      </c>
      <c r="S5848">
        <v>-0.20362849999999999</v>
      </c>
      <c r="T5848">
        <v>-1.0993949999999999</v>
      </c>
      <c r="U5848">
        <v>3.6257929999999998</v>
      </c>
      <c r="V5848">
        <v>-9.7185850000000004E-2</v>
      </c>
      <c r="W5848">
        <v>0.36852400000000002</v>
      </c>
      <c r="X5848">
        <v>0.92452420000000002</v>
      </c>
      <c r="Y5848">
        <v>-4.2976920000000002E-2</v>
      </c>
      <c r="Z5848">
        <v>-0.27601049999999999</v>
      </c>
      <c r="AA5848">
        <v>0.96019330000000003</v>
      </c>
      <c r="AB5848">
        <v>41</v>
      </c>
      <c r="AC5848">
        <v>-4.4999999999987397E-2</v>
      </c>
      <c r="AD5848">
        <v>-0.26645940000000001</v>
      </c>
      <c r="AE5848">
        <v>0.48299999999999998</v>
      </c>
      <c r="AF5848">
        <v>-3.05487695018813E-2</v>
      </c>
      <c r="AG5848">
        <v>-0.26645940000000001</v>
      </c>
      <c r="AH5848">
        <v>0.37139815843930901</v>
      </c>
      <c r="AI5848">
        <v>125.56608307122799</v>
      </c>
      <c r="AJ5848">
        <v>94.702188587200794</v>
      </c>
      <c r="AK5848">
        <v>0.45811617659557602</v>
      </c>
      <c r="AL5848">
        <v>68.375382970530097</v>
      </c>
      <c r="AM5848">
        <v>96.000885174387804</v>
      </c>
      <c r="AN5848">
        <v>1.00000001220093</v>
      </c>
    </row>
    <row r="5849" spans="1:40" x14ac:dyDescent="0.25">
      <c r="A5849" t="str">
        <f>"20190304164801966"</f>
        <v>20190304164801966</v>
      </c>
      <c r="B5849" t="str">
        <f>"1551689281955479"</f>
        <v>1551689281955479</v>
      </c>
      <c r="C5849" t="s">
        <v>40</v>
      </c>
      <c r="D5849">
        <v>4.1446379999999996</v>
      </c>
      <c r="E5849">
        <v>0.54604140000000001</v>
      </c>
      <c r="F5849" t="s">
        <v>41</v>
      </c>
      <c r="G5849">
        <v>-187.0009</v>
      </c>
      <c r="H5849">
        <v>0.85148449999999998</v>
      </c>
      <c r="I5849">
        <v>20.64396</v>
      </c>
      <c r="J5849">
        <v>-186.95760000000001</v>
      </c>
      <c r="K5849">
        <v>1.110484</v>
      </c>
      <c r="L5849">
        <v>20.216280000000001</v>
      </c>
      <c r="M5849">
        <v>-1.0570710000000001E-2</v>
      </c>
      <c r="N5849">
        <v>-1.449897E-2</v>
      </c>
      <c r="O5849">
        <v>0.99983900000000003</v>
      </c>
      <c r="P5849">
        <v>-0.1066151</v>
      </c>
      <c r="Q5849">
        <v>0.3554176</v>
      </c>
      <c r="R5849">
        <v>0.92860730000000002</v>
      </c>
      <c r="S5849">
        <v>-0.2024994</v>
      </c>
      <c r="T5849">
        <v>-1.09939599999999</v>
      </c>
      <c r="U5849">
        <v>3.6276250000000001</v>
      </c>
      <c r="V5849">
        <v>-9.6581189999999997E-2</v>
      </c>
      <c r="W5849">
        <v>0.36891489999999999</v>
      </c>
      <c r="X5849">
        <v>0.92443160000000002</v>
      </c>
      <c r="Y5849">
        <v>-4.2913640000000003E-2</v>
      </c>
      <c r="Z5849">
        <v>-0.27577030000000002</v>
      </c>
      <c r="AA5849">
        <v>0.96026520000000004</v>
      </c>
      <c r="AB5849">
        <v>41</v>
      </c>
      <c r="AC5849">
        <v>-4.3299999999987897E-2</v>
      </c>
      <c r="AD5849">
        <v>-0.25899949999999999</v>
      </c>
      <c r="AE5849">
        <v>0.427680000000002</v>
      </c>
      <c r="AF5849">
        <v>-2.84487489905801E-2</v>
      </c>
      <c r="AG5849">
        <v>-0.25899949999999999</v>
      </c>
      <c r="AH5849">
        <v>0.31409205359723702</v>
      </c>
      <c r="AI5849">
        <v>129.39406171303301</v>
      </c>
      <c r="AJ5849">
        <v>95.175418132132094</v>
      </c>
      <c r="AK5849">
        <v>0.40809789322209</v>
      </c>
      <c r="AL5849">
        <v>68.351287092641996</v>
      </c>
      <c r="AM5849">
        <v>95.9644125498303</v>
      </c>
      <c r="AN5849">
        <v>0.99999995639119199</v>
      </c>
    </row>
    <row r="5850" spans="1:40" x14ac:dyDescent="0.25">
      <c r="A5850" t="str">
        <f>"20190304164801989"</f>
        <v>20190304164801989</v>
      </c>
      <c r="B5850" t="str">
        <f>"1551689281985091"</f>
        <v>1551689281985091</v>
      </c>
      <c r="C5850" t="s">
        <v>40</v>
      </c>
      <c r="D5850">
        <v>4.4533100000000001</v>
      </c>
      <c r="E5850">
        <v>0.54545399999999999</v>
      </c>
      <c r="F5850" t="s">
        <v>41</v>
      </c>
      <c r="G5850">
        <v>-187.00229999999999</v>
      </c>
      <c r="H5850">
        <v>0.86605129999999997</v>
      </c>
      <c r="I5850">
        <v>21.018249999999998</v>
      </c>
      <c r="J5850">
        <v>-186.96199999999999</v>
      </c>
      <c r="K5850">
        <v>1.1104560000000001</v>
      </c>
      <c r="L5850">
        <v>20.653079999999999</v>
      </c>
      <c r="M5850">
        <v>-1.0267790000000001E-2</v>
      </c>
      <c r="N5850">
        <v>-1.4599350000000001E-2</v>
      </c>
      <c r="O5850">
        <v>0.99984070000000003</v>
      </c>
      <c r="P5850">
        <v>-0.1059378</v>
      </c>
      <c r="Q5850">
        <v>0.35526059999999998</v>
      </c>
      <c r="R5850">
        <v>0.92874489999999998</v>
      </c>
      <c r="S5850">
        <v>-0.20324710000000001</v>
      </c>
      <c r="T5850">
        <v>-1.1066009999999999</v>
      </c>
      <c r="U5850">
        <v>3.6308590000000001</v>
      </c>
      <c r="V5850">
        <v>-9.6153649999999993E-2</v>
      </c>
      <c r="W5850">
        <v>0.36885990000000002</v>
      </c>
      <c r="X5850">
        <v>0.92449809999999999</v>
      </c>
      <c r="Y5850">
        <v>-4.3340860000000002E-2</v>
      </c>
      <c r="Z5850">
        <v>-0.27717770000000003</v>
      </c>
      <c r="AA5850">
        <v>0.95984069999999999</v>
      </c>
      <c r="AB5850">
        <v>41</v>
      </c>
      <c r="AC5850">
        <v>-4.0299999999973503E-2</v>
      </c>
      <c r="AD5850">
        <v>-0.244404699999999</v>
      </c>
      <c r="AE5850">
        <v>0.365169999999999</v>
      </c>
      <c r="AF5850">
        <v>-2.5335517105770498E-2</v>
      </c>
      <c r="AG5850">
        <v>-0.244404699999999</v>
      </c>
      <c r="AH5850">
        <v>0.25341389725803898</v>
      </c>
      <c r="AI5850">
        <v>133.82085583069099</v>
      </c>
      <c r="AJ5850">
        <v>95.709278506922502</v>
      </c>
      <c r="AK5850">
        <v>0.35297896415029401</v>
      </c>
      <c r="AL5850">
        <v>68.354677178606707</v>
      </c>
      <c r="AM5850">
        <v>95.937774626489301</v>
      </c>
      <c r="AN5850">
        <v>0.99999994356996902</v>
      </c>
    </row>
    <row r="5851" spans="1:40" x14ac:dyDescent="0.25">
      <c r="A5851" t="str">
        <f>"20190304164802013"</f>
        <v>20190304164802013</v>
      </c>
      <c r="B5851" t="str">
        <f>"1551689282005588"</f>
        <v>1551689282005588</v>
      </c>
      <c r="C5851" t="s">
        <v>40</v>
      </c>
      <c r="D5851">
        <v>4.16275</v>
      </c>
      <c r="E5851">
        <v>0.54261899999999996</v>
      </c>
      <c r="F5851" t="s">
        <v>41</v>
      </c>
      <c r="G5851">
        <v>-187.0042</v>
      </c>
      <c r="H5851">
        <v>0.8830597</v>
      </c>
      <c r="I5851">
        <v>21.393239999999999</v>
      </c>
      <c r="J5851">
        <v>-186.96600000000001</v>
      </c>
      <c r="K5851">
        <v>1.1104229999999999</v>
      </c>
      <c r="L5851">
        <v>21.069980000000001</v>
      </c>
      <c r="M5851">
        <v>-9.9385919999999996E-3</v>
      </c>
      <c r="N5851">
        <v>-1.4681329999999999E-2</v>
      </c>
      <c r="O5851">
        <v>0.99984280000000003</v>
      </c>
      <c r="P5851">
        <v>-0.10547570000000001</v>
      </c>
      <c r="Q5851">
        <v>0.35445209999999999</v>
      </c>
      <c r="R5851">
        <v>0.92910630000000005</v>
      </c>
      <c r="S5851">
        <v>-0.2077484</v>
      </c>
      <c r="T5851">
        <v>-1.1162609999999999</v>
      </c>
      <c r="U5851">
        <v>3.6334529999999998</v>
      </c>
      <c r="V5851">
        <v>-9.5961329999999997E-2</v>
      </c>
      <c r="W5851">
        <v>0.368141</v>
      </c>
      <c r="X5851">
        <v>0.92480469999999904</v>
      </c>
      <c r="Y5851">
        <v>-4.4778119999999998E-2</v>
      </c>
      <c r="Z5851">
        <v>-0.2792231</v>
      </c>
      <c r="AA5851">
        <v>0.95918159999999997</v>
      </c>
      <c r="AB5851">
        <v>41</v>
      </c>
      <c r="AC5851">
        <v>-3.8200000000017498E-2</v>
      </c>
      <c r="AD5851">
        <v>-0.22736329999999999</v>
      </c>
      <c r="AE5851">
        <v>0.32326000000000099</v>
      </c>
      <c r="AF5851">
        <v>-2.35133137441026E-2</v>
      </c>
      <c r="AG5851">
        <v>-0.22736329999999999</v>
      </c>
      <c r="AH5851">
        <v>0.21750642984478699</v>
      </c>
      <c r="AI5851">
        <v>136.10299798654</v>
      </c>
      <c r="AJ5851">
        <v>96.169942085882994</v>
      </c>
      <c r="AK5851">
        <v>0.31552494851270302</v>
      </c>
      <c r="AL5851">
        <v>68.398987661641499</v>
      </c>
      <c r="AM5851">
        <v>95.924032228605</v>
      </c>
      <c r="AN5851">
        <v>1.0000000529392199</v>
      </c>
    </row>
    <row r="5852" spans="1:40" x14ac:dyDescent="0.25">
      <c r="A5852" t="str">
        <f>"20190304164802036"</f>
        <v>20190304164802036</v>
      </c>
      <c r="B5852" t="str">
        <f>"1551689282025108"</f>
        <v>1551689282025108</v>
      </c>
      <c r="C5852" t="s">
        <v>40</v>
      </c>
      <c r="D5852">
        <v>4.2661179999999996</v>
      </c>
      <c r="E5852">
        <v>0.53793009999999997</v>
      </c>
      <c r="F5852" t="s">
        <v>41</v>
      </c>
      <c r="G5852">
        <v>-187.0025</v>
      </c>
      <c r="H5852">
        <v>0.97885500000000003</v>
      </c>
      <c r="I5852">
        <v>21.803249999999998</v>
      </c>
      <c r="J5852">
        <v>-186.9699</v>
      </c>
      <c r="K5852">
        <v>1.110385</v>
      </c>
      <c r="L5852">
        <v>21.503450000000001</v>
      </c>
      <c r="M5852">
        <v>-9.5485759999999996E-3</v>
      </c>
      <c r="N5852">
        <v>-1.47537999999999E-2</v>
      </c>
      <c r="O5852">
        <v>0.9998456</v>
      </c>
      <c r="P5852">
        <v>-0.1056106</v>
      </c>
      <c r="Q5852">
        <v>0.35338979999999998</v>
      </c>
      <c r="R5852">
        <v>0.92949559999999998</v>
      </c>
      <c r="S5852">
        <v>-0.17214969999999999</v>
      </c>
      <c r="T5852">
        <v>-0.61814329999999995</v>
      </c>
      <c r="U5852">
        <v>3.4451900000000002</v>
      </c>
      <c r="V5852">
        <v>-9.6419080000000004E-2</v>
      </c>
      <c r="W5852">
        <v>0.36716090000000001</v>
      </c>
      <c r="X5852">
        <v>0.92514660000000004</v>
      </c>
      <c r="Y5852">
        <v>-3.965043E-2</v>
      </c>
      <c r="Z5852">
        <v>-0.161876399999999</v>
      </c>
      <c r="AA5852">
        <v>0.9860141</v>
      </c>
      <c r="AB5852">
        <v>41</v>
      </c>
      <c r="AC5852">
        <v>-3.26000000000021E-2</v>
      </c>
      <c r="AD5852">
        <v>-0.13153000000000001</v>
      </c>
      <c r="AE5852">
        <v>0.29979999999999701</v>
      </c>
      <c r="AF5852">
        <v>-2.4982997909467699E-2</v>
      </c>
      <c r="AG5852">
        <v>-0.13153000000000001</v>
      </c>
      <c r="AH5852">
        <v>0.25213395038467101</v>
      </c>
      <c r="AI5852">
        <v>117.43495325442299</v>
      </c>
      <c r="AJ5852">
        <v>95.658750609728799</v>
      </c>
      <c r="AK5852">
        <v>0.28547472746483898</v>
      </c>
      <c r="AL5852">
        <v>68.459371135709603</v>
      </c>
      <c r="AM5852">
        <v>95.949904473320103</v>
      </c>
      <c r="AN5852">
        <v>0.99999999848420795</v>
      </c>
    </row>
    <row r="5853" spans="1:40" x14ac:dyDescent="0.25">
      <c r="A5853" t="str">
        <f>"20190304164802057"</f>
        <v>20190304164802057</v>
      </c>
      <c r="B5853" t="str">
        <f>"1551689282045604"</f>
        <v>1551689282045604</v>
      </c>
      <c r="C5853" t="s">
        <v>40</v>
      </c>
      <c r="D5853">
        <v>4.280411</v>
      </c>
      <c r="E5853">
        <v>0.53649530000000001</v>
      </c>
      <c r="F5853" t="s">
        <v>41</v>
      </c>
      <c r="G5853">
        <v>-187.0283</v>
      </c>
      <c r="H5853">
        <v>0.97193240000000003</v>
      </c>
      <c r="I5853">
        <v>22.533729999999998</v>
      </c>
      <c r="J5853">
        <v>-186.97319999999999</v>
      </c>
      <c r="K5853">
        <v>1.1103540000000001</v>
      </c>
      <c r="L5853">
        <v>21.880859999999998</v>
      </c>
      <c r="M5853">
        <v>-9.1707479999999994E-3</v>
      </c>
      <c r="N5853">
        <v>-1.4807870000000001E-2</v>
      </c>
      <c r="O5853">
        <v>0.99984830000000002</v>
      </c>
      <c r="P5853">
        <v>-0.1050755</v>
      </c>
      <c r="Q5853">
        <v>0.353375299999999</v>
      </c>
      <c r="R5853">
        <v>0.92956179999999999</v>
      </c>
      <c r="S5853">
        <v>-0.19181819999999999</v>
      </c>
      <c r="T5853">
        <v>-0.45397870000000001</v>
      </c>
      <c r="U5853">
        <v>3.3783569999999998</v>
      </c>
      <c r="V5853">
        <v>-9.6200659999999993E-2</v>
      </c>
      <c r="W5853">
        <v>0.36720530000000001</v>
      </c>
      <c r="X5853">
        <v>0.92515170000000002</v>
      </c>
      <c r="Y5853">
        <v>-4.7077639999999997E-2</v>
      </c>
      <c r="Z5853">
        <v>-0.1183073</v>
      </c>
      <c r="AA5853">
        <v>0.99186039999999998</v>
      </c>
      <c r="AB5853">
        <v>41</v>
      </c>
      <c r="AC5853">
        <v>-5.5100000000010099E-2</v>
      </c>
      <c r="AD5853">
        <v>-0.13842160000000001</v>
      </c>
      <c r="AE5853">
        <v>0.65286999999999595</v>
      </c>
      <c r="AF5853">
        <v>-4.70113841621159E-2</v>
      </c>
      <c r="AG5853">
        <v>-0.13842160000000001</v>
      </c>
      <c r="AH5853">
        <v>0.62543198149724699</v>
      </c>
      <c r="AI5853">
        <v>102.445613542575</v>
      </c>
      <c r="AJ5853">
        <v>94.2986260354877</v>
      </c>
      <c r="AK5853">
        <v>0.64228947762435895</v>
      </c>
      <c r="AL5853">
        <v>68.456635826516006</v>
      </c>
      <c r="AM5853">
        <v>95.936489913569204</v>
      </c>
      <c r="AN5853">
        <v>0.99999998367270704</v>
      </c>
    </row>
    <row r="5854" spans="1:40" x14ac:dyDescent="0.25">
      <c r="A5854" t="str">
        <f>"20190304164802077"</f>
        <v>20190304164802077</v>
      </c>
      <c r="B5854" t="str">
        <f>"1551689282074884"</f>
        <v>1551689282074884</v>
      </c>
      <c r="C5854" t="s">
        <v>40</v>
      </c>
      <c r="D5854">
        <v>4.2761449999999996</v>
      </c>
      <c r="E5854">
        <v>0.53612959999999998</v>
      </c>
      <c r="F5854" t="s">
        <v>41</v>
      </c>
      <c r="G5854">
        <v>-187.03299999999999</v>
      </c>
      <c r="H5854">
        <v>0.99176249999999999</v>
      </c>
      <c r="I5854">
        <v>22.909279999999999</v>
      </c>
      <c r="J5854">
        <v>-186.97640000000001</v>
      </c>
      <c r="K5854">
        <v>1.110336</v>
      </c>
      <c r="L5854">
        <v>22.272030000000001</v>
      </c>
      <c r="M5854">
        <v>-8.7475980000000005E-3</v>
      </c>
      <c r="N5854">
        <v>-1.4856019999999999E-2</v>
      </c>
      <c r="O5854">
        <v>0.99985139999999995</v>
      </c>
      <c r="P5854">
        <v>-0.1042478</v>
      </c>
      <c r="Q5854">
        <v>0.35421239999999998</v>
      </c>
      <c r="R5854">
        <v>0.9293363</v>
      </c>
      <c r="S5854">
        <v>-0.19458010000000001</v>
      </c>
      <c r="T5854">
        <v>-0.38657320000000001</v>
      </c>
      <c r="U5854">
        <v>3.3522949999999998</v>
      </c>
      <c r="V5854">
        <v>-9.573537E-2</v>
      </c>
      <c r="W5854">
        <v>0.3680909</v>
      </c>
      <c r="X5854">
        <v>0.924848</v>
      </c>
      <c r="Y5854">
        <v>-4.8874689999999998E-2</v>
      </c>
      <c r="Z5854">
        <v>-9.9619669999999994E-2</v>
      </c>
      <c r="AA5854">
        <v>0.9938245</v>
      </c>
      <c r="AB5854">
        <v>41</v>
      </c>
      <c r="AC5854">
        <v>-5.6599999999974601E-2</v>
      </c>
      <c r="AD5854">
        <v>-0.118573499999999</v>
      </c>
      <c r="AE5854">
        <v>0.63725000000000098</v>
      </c>
      <c r="AF5854">
        <v>-4.9328320927939297E-2</v>
      </c>
      <c r="AG5854">
        <v>-0.118573499999999</v>
      </c>
      <c r="AH5854">
        <v>0.61654178072339905</v>
      </c>
      <c r="AI5854">
        <v>100.852371788081</v>
      </c>
      <c r="AJ5854">
        <v>94.574380971131305</v>
      </c>
      <c r="AK5854">
        <v>0.62977513885941805</v>
      </c>
      <c r="AL5854">
        <v>68.402073711865398</v>
      </c>
      <c r="AM5854">
        <v>95.909907026762397</v>
      </c>
      <c r="AN5854">
        <v>0.999999997417923</v>
      </c>
    </row>
    <row r="5855" spans="1:40" x14ac:dyDescent="0.25">
      <c r="A5855" t="str">
        <f>"20190304164802101"</f>
        <v>20190304164802101</v>
      </c>
      <c r="B5855" t="str">
        <f>"1551689282095380"</f>
        <v>1551689282095380</v>
      </c>
      <c r="C5855" t="s">
        <v>40</v>
      </c>
      <c r="D5855">
        <v>4.2180910000000003</v>
      </c>
      <c r="E5855">
        <v>0.53634409999999999</v>
      </c>
      <c r="F5855" t="s">
        <v>41</v>
      </c>
      <c r="G5855">
        <v>-187.03469999999999</v>
      </c>
      <c r="H5855">
        <v>1.005498</v>
      </c>
      <c r="I5855">
        <v>23.284009999999999</v>
      </c>
      <c r="J5855">
        <v>-186.9796</v>
      </c>
      <c r="K5855">
        <v>1.1103149999999999</v>
      </c>
      <c r="L5855">
        <v>22.68655</v>
      </c>
      <c r="M5855">
        <v>-8.2685889999999998E-3</v>
      </c>
      <c r="N5855">
        <v>-1.4899569999999999E-2</v>
      </c>
      <c r="O5855">
        <v>0.99985480000000004</v>
      </c>
      <c r="P5855">
        <v>-0.10292850000000001</v>
      </c>
      <c r="Q5855">
        <v>0.35512690000000002</v>
      </c>
      <c r="R5855">
        <v>0.92913429999999997</v>
      </c>
      <c r="S5855">
        <v>-0.19273380000000001</v>
      </c>
      <c r="T5855">
        <v>-0.34583429999999998</v>
      </c>
      <c r="U5855">
        <v>3.3383180000000001</v>
      </c>
      <c r="V5855">
        <v>-9.4831330000000005E-2</v>
      </c>
      <c r="W5855">
        <v>0.36904920000000002</v>
      </c>
      <c r="X5855">
        <v>0.92455920000000003</v>
      </c>
      <c r="Y5855">
        <v>-4.9112799999999998E-2</v>
      </c>
      <c r="Z5855">
        <v>-8.8063520000000006E-2</v>
      </c>
      <c r="AA5855">
        <v>0.99490339999999999</v>
      </c>
      <c r="AB5855">
        <v>41</v>
      </c>
      <c r="AC5855">
        <v>-5.5099999999981698E-2</v>
      </c>
      <c r="AD5855">
        <v>-0.10481699999999899</v>
      </c>
      <c r="AE5855">
        <v>0.59746000000000099</v>
      </c>
      <c r="AF5855">
        <v>-4.8672004530650598E-2</v>
      </c>
      <c r="AG5855">
        <v>-0.10481699999999899</v>
      </c>
      <c r="AH5855">
        <v>0.58018855515877499</v>
      </c>
      <c r="AI5855">
        <v>100.205520365965</v>
      </c>
      <c r="AJ5855">
        <v>94.795313605546596</v>
      </c>
      <c r="AK5855">
        <v>0.5915862803102</v>
      </c>
      <c r="AL5855">
        <v>68.343009149771106</v>
      </c>
      <c r="AM5855">
        <v>95.856304599806705</v>
      </c>
      <c r="AN5855">
        <v>1.0000000037374199</v>
      </c>
    </row>
    <row r="5856" spans="1:40" x14ac:dyDescent="0.25">
      <c r="A5856" t="str">
        <f>"20190304164802121"</f>
        <v>20190304164802121</v>
      </c>
      <c r="B5856" t="str">
        <f>"1551689282114900"</f>
        <v>1551689282114900</v>
      </c>
      <c r="C5856" t="s">
        <v>40</v>
      </c>
      <c r="D5856">
        <v>4.2548430000000002</v>
      </c>
      <c r="E5856">
        <v>0.53662410000000005</v>
      </c>
      <c r="F5856" t="s">
        <v>41</v>
      </c>
      <c r="G5856">
        <v>-187.0341</v>
      </c>
      <c r="H5856">
        <v>1.013503</v>
      </c>
      <c r="I5856">
        <v>23.664919999999999</v>
      </c>
      <c r="J5856">
        <v>-186.98230000000001</v>
      </c>
      <c r="K5856">
        <v>1.110298</v>
      </c>
      <c r="L5856">
        <v>23.069369999999999</v>
      </c>
      <c r="M5856">
        <v>-7.8049290000000004E-3</v>
      </c>
      <c r="N5856">
        <v>-1.493395E-2</v>
      </c>
      <c r="O5856">
        <v>0.99985800000000002</v>
      </c>
      <c r="P5856">
        <v>-0.10129589999999999</v>
      </c>
      <c r="Q5856">
        <v>0.35581420000000002</v>
      </c>
      <c r="R5856">
        <v>0.92905079999999995</v>
      </c>
      <c r="S5856">
        <v>-0.1859741</v>
      </c>
      <c r="T5856">
        <v>-0.32993220000000001</v>
      </c>
      <c r="U5856">
        <v>3.3343199999999902</v>
      </c>
      <c r="V5856">
        <v>-9.3605400000000005E-2</v>
      </c>
      <c r="W5856">
        <v>0.3697706</v>
      </c>
      <c r="X5856">
        <v>0.92439590000000005</v>
      </c>
      <c r="Y5856">
        <v>-4.765896E-2</v>
      </c>
      <c r="Z5856">
        <v>-8.3464239999999995E-2</v>
      </c>
      <c r="AA5856">
        <v>0.99537039999999999</v>
      </c>
      <c r="AB5856">
        <v>41</v>
      </c>
      <c r="AC5856">
        <v>-5.1799999999985802E-2</v>
      </c>
      <c r="AD5856">
        <v>-9.6794999999999895E-2</v>
      </c>
      <c r="AE5856">
        <v>0.59554999999999902</v>
      </c>
      <c r="AF5856">
        <v>-4.5945098590406602E-2</v>
      </c>
      <c r="AG5856">
        <v>-9.6794999999999895E-2</v>
      </c>
      <c r="AH5856">
        <v>0.58071122697617195</v>
      </c>
      <c r="AI5856">
        <v>99.434312787672098</v>
      </c>
      <c r="AJ5856">
        <v>94.523742258700807</v>
      </c>
      <c r="AK5856">
        <v>0.590513127073102</v>
      </c>
      <c r="AL5856">
        <v>68.298530250974295</v>
      </c>
      <c r="AM5856">
        <v>95.782127806654998</v>
      </c>
      <c r="AN5856">
        <v>1.0000000237351601</v>
      </c>
    </row>
    <row r="5857" spans="1:40" x14ac:dyDescent="0.25">
      <c r="A5857" t="str">
        <f>"20190304164802144"</f>
        <v>20190304164802144</v>
      </c>
      <c r="B5857" t="str">
        <f>"1551689282135396"</f>
        <v>1551689282135396</v>
      </c>
      <c r="C5857" t="s">
        <v>40</v>
      </c>
      <c r="D5857">
        <v>4.2891149999999998</v>
      </c>
      <c r="E5857">
        <v>0.53681210000000001</v>
      </c>
      <c r="F5857" t="s">
        <v>42</v>
      </c>
      <c r="G5857">
        <v>-187.5975</v>
      </c>
      <c r="H5857" s="1">
        <v>-2.5467979999999999E-6</v>
      </c>
      <c r="I5857">
        <v>34.576039999999999</v>
      </c>
      <c r="J5857">
        <v>-186.98500000000001</v>
      </c>
      <c r="K5857">
        <v>1.1102810000000001</v>
      </c>
      <c r="L5857">
        <v>23.478210000000001</v>
      </c>
      <c r="M5857">
        <v>-7.2930809999999999E-3</v>
      </c>
      <c r="N5857">
        <v>-1.496516E-2</v>
      </c>
      <c r="O5857">
        <v>0.99986140000000001</v>
      </c>
      <c r="P5857">
        <v>-9.9074469999999998E-2</v>
      </c>
      <c r="Q5857">
        <v>0.35541260000000002</v>
      </c>
      <c r="R5857">
        <v>0.92944400000000005</v>
      </c>
      <c r="S5857">
        <v>-0.17819209999999999</v>
      </c>
      <c r="T5857">
        <v>-0.3215905</v>
      </c>
      <c r="U5857">
        <v>3.3328250000000001</v>
      </c>
      <c r="V5857">
        <v>-9.1837000000000002E-2</v>
      </c>
      <c r="W5857">
        <v>0.36940590000000001</v>
      </c>
      <c r="X5857">
        <v>0.92471899999999996</v>
      </c>
      <c r="Y5857">
        <v>-4.5890840000000002E-2</v>
      </c>
      <c r="Z5857">
        <v>-8.1019649999999999E-2</v>
      </c>
      <c r="AA5857">
        <v>0.99565550000000003</v>
      </c>
      <c r="AB5857">
        <v>41</v>
      </c>
      <c r="AC5857">
        <v>-0.61249999999998295</v>
      </c>
      <c r="AD5857">
        <v>-1.1102835467979999</v>
      </c>
      <c r="AE5857">
        <v>11.097829999999901</v>
      </c>
      <c r="AF5857">
        <v>-0.52628565924111204</v>
      </c>
      <c r="AG5857">
        <v>-1.1102835467979999</v>
      </c>
      <c r="AH5857">
        <v>10.992314095177701</v>
      </c>
      <c r="AI5857">
        <v>95.761069963299093</v>
      </c>
      <c r="AJ5857">
        <v>92.741091474470394</v>
      </c>
      <c r="AK5857">
        <v>11.0607719132281</v>
      </c>
      <c r="AL5857">
        <v>68.321017531357597</v>
      </c>
      <c r="AM5857">
        <v>95.671641451409997</v>
      </c>
      <c r="AN5857">
        <v>0.99999999124240502</v>
      </c>
    </row>
    <row r="5858" spans="1:40" x14ac:dyDescent="0.25">
      <c r="A5858" t="str">
        <f>"20190304164802165"</f>
        <v>20190304164802165</v>
      </c>
      <c r="B5858" t="str">
        <f>"1551689282154916"</f>
        <v>1551689282154916</v>
      </c>
      <c r="C5858" t="s">
        <v>40</v>
      </c>
      <c r="D5858">
        <v>4.2696059999999996</v>
      </c>
      <c r="E5858">
        <v>0.53689629999999999</v>
      </c>
      <c r="F5858" t="s">
        <v>42</v>
      </c>
      <c r="G5858">
        <v>-187.5736</v>
      </c>
      <c r="H5858" s="1">
        <v>-2.7435879999999898E-6</v>
      </c>
      <c r="I5858">
        <v>35.024859999999997</v>
      </c>
      <c r="J5858">
        <v>-186.98750000000001</v>
      </c>
      <c r="K5858">
        <v>1.1102620000000001</v>
      </c>
      <c r="L5858">
        <v>23.875029999999999</v>
      </c>
      <c r="M5858">
        <v>-6.7857489999999998E-3</v>
      </c>
      <c r="N5858">
        <v>-1.499081E-2</v>
      </c>
      <c r="O5858">
        <v>0.99986459999999999</v>
      </c>
      <c r="P5858">
        <v>-9.7091540000000004E-2</v>
      </c>
      <c r="Q5858">
        <v>0.35507889999999998</v>
      </c>
      <c r="R5858">
        <v>0.92978079999999996</v>
      </c>
      <c r="S5858">
        <v>-0.16984560000000001</v>
      </c>
      <c r="T5858">
        <v>-0.32040770000000002</v>
      </c>
      <c r="U5858">
        <v>3.3321529999999999</v>
      </c>
      <c r="V5858">
        <v>-9.030842E-2</v>
      </c>
      <c r="W5858">
        <v>0.36910189999999998</v>
      </c>
      <c r="X5858">
        <v>0.92499089999999995</v>
      </c>
      <c r="Y5858">
        <v>-4.392422E-2</v>
      </c>
      <c r="Z5858">
        <v>-8.0673720000000004E-2</v>
      </c>
      <c r="AA5858">
        <v>0.9957722</v>
      </c>
      <c r="AB5858">
        <v>41</v>
      </c>
      <c r="AC5858">
        <v>-0.58609999999998696</v>
      </c>
      <c r="AD5858">
        <v>-1.110264743588</v>
      </c>
      <c r="AE5858">
        <v>11.1498299999999</v>
      </c>
      <c r="AF5858">
        <v>-0.50542034313180595</v>
      </c>
      <c r="AG5858">
        <v>-1.110264743588</v>
      </c>
      <c r="AH5858">
        <v>11.0443418981551</v>
      </c>
      <c r="AI5858">
        <v>95.734578225279606</v>
      </c>
      <c r="AJ5858">
        <v>92.620188951751203</v>
      </c>
      <c r="AK5858">
        <v>11.1115086953775</v>
      </c>
      <c r="AL5858">
        <v>68.339760073656507</v>
      </c>
      <c r="AM5858">
        <v>95.576210917569597</v>
      </c>
      <c r="AN5858">
        <v>0.99999999419465802</v>
      </c>
    </row>
    <row r="5859" spans="1:40" x14ac:dyDescent="0.25">
      <c r="A5859" t="str">
        <f>"20190304164802192"</f>
        <v>20190304164802192</v>
      </c>
      <c r="B5859" t="str">
        <f>"1551689282185172"</f>
        <v>1551689282185172</v>
      </c>
      <c r="C5859" t="s">
        <v>40</v>
      </c>
      <c r="D5859">
        <v>4.3067859999999998</v>
      </c>
      <c r="E5859">
        <v>0.53701069999999995</v>
      </c>
      <c r="F5859" t="s">
        <v>42</v>
      </c>
      <c r="G5859">
        <v>-187.55289999999999</v>
      </c>
      <c r="H5859" s="1">
        <v>-2.9238080000000001E-6</v>
      </c>
      <c r="I5859">
        <v>35.436390000000003</v>
      </c>
      <c r="J5859">
        <v>-186.99019999999999</v>
      </c>
      <c r="K5859">
        <v>1.1102529999999999</v>
      </c>
      <c r="L5859">
        <v>24.35754</v>
      </c>
      <c r="M5859">
        <v>-6.1610500000000004E-3</v>
      </c>
      <c r="N5859">
        <v>-1.501679E-2</v>
      </c>
      <c r="O5859">
        <v>0.99986830000000004</v>
      </c>
      <c r="P5859">
        <v>-9.6137550000000002E-2</v>
      </c>
      <c r="Q5859">
        <v>0.35548629999999998</v>
      </c>
      <c r="R5859">
        <v>0.9297242</v>
      </c>
      <c r="S5859">
        <v>-0.162933299999999</v>
      </c>
      <c r="T5859">
        <v>-0.31995649999999998</v>
      </c>
      <c r="U5859">
        <v>3.3317570000000001</v>
      </c>
      <c r="V5859">
        <v>-8.9920360000000005E-2</v>
      </c>
      <c r="W5859">
        <v>0.36953530000000001</v>
      </c>
      <c r="X5859">
        <v>0.9248556</v>
      </c>
      <c r="Y5859">
        <v>-4.2495350000000001E-2</v>
      </c>
      <c r="Z5859">
        <v>-8.053362E-2</v>
      </c>
      <c r="AA5859">
        <v>0.9958456</v>
      </c>
      <c r="AB5859">
        <v>41</v>
      </c>
      <c r="AC5859">
        <v>-0.56270000000000597</v>
      </c>
      <c r="AD5859">
        <v>-1.1102559238079901</v>
      </c>
      <c r="AE5859">
        <v>11.078849999999999</v>
      </c>
      <c r="AF5859">
        <v>-0.48952074207204899</v>
      </c>
      <c r="AG5859">
        <v>-1.1102559238079901</v>
      </c>
      <c r="AH5859">
        <v>10.972198318182899</v>
      </c>
      <c r="AI5859">
        <v>95.772281343020396</v>
      </c>
      <c r="AJ5859">
        <v>92.554536903097599</v>
      </c>
      <c r="AK5859">
        <v>11.0390866790149</v>
      </c>
      <c r="AL5859">
        <v>68.313037855080196</v>
      </c>
      <c r="AM5859">
        <v>95.553206902022097</v>
      </c>
      <c r="AN5859">
        <v>0.99999994496998801</v>
      </c>
    </row>
    <row r="5860" spans="1:40" x14ac:dyDescent="0.25">
      <c r="A5860" t="str">
        <f>"20190304164802215"</f>
        <v>20190304164802215</v>
      </c>
      <c r="B5860" t="str">
        <f>"1551689282205668"</f>
        <v>1551689282205668</v>
      </c>
      <c r="C5860" t="s">
        <v>40</v>
      </c>
      <c r="D5860">
        <v>4.315194</v>
      </c>
      <c r="E5860">
        <v>0.53708599999999995</v>
      </c>
      <c r="F5860" t="s">
        <v>42</v>
      </c>
      <c r="G5860">
        <v>-187.54400000000001</v>
      </c>
      <c r="H5860" s="1">
        <v>-3.1664630000000001E-6</v>
      </c>
      <c r="I5860">
        <v>35.998339999999999</v>
      </c>
      <c r="J5860">
        <v>-186.9922</v>
      </c>
      <c r="K5860">
        <v>1.1102529999999999</v>
      </c>
      <c r="L5860">
        <v>24.754850000000001</v>
      </c>
      <c r="M5860">
        <v>-5.6437669999999896E-3</v>
      </c>
      <c r="N5860">
        <v>-1.503416E-2</v>
      </c>
      <c r="O5860">
        <v>0.99987110000000001</v>
      </c>
      <c r="P5860">
        <v>-9.5283019999999996E-2</v>
      </c>
      <c r="Q5860">
        <v>0.35645959999999899</v>
      </c>
      <c r="R5860">
        <v>0.92943949999999997</v>
      </c>
      <c r="S5860">
        <v>-0.15850829999999999</v>
      </c>
      <c r="T5860">
        <v>-0.31778220000000001</v>
      </c>
      <c r="U5860">
        <v>3.3318789999999998</v>
      </c>
      <c r="V5860">
        <v>-8.9537199999999997E-2</v>
      </c>
      <c r="W5860">
        <v>0.3705214</v>
      </c>
      <c r="X5860">
        <v>0.92449820000000005</v>
      </c>
      <c r="Y5860">
        <v>-4.169428E-2</v>
      </c>
      <c r="Z5860">
        <v>-7.9873739999999999E-2</v>
      </c>
      <c r="AA5860">
        <v>0.99593259999999995</v>
      </c>
      <c r="AB5860">
        <v>41</v>
      </c>
      <c r="AC5860">
        <v>-0.55180000000001395</v>
      </c>
      <c r="AD5860">
        <v>-1.110256166463</v>
      </c>
      <c r="AE5860">
        <v>11.2434899999999</v>
      </c>
      <c r="AF5860">
        <v>-0.48362397103404298</v>
      </c>
      <c r="AG5860">
        <v>-1.110256166463</v>
      </c>
      <c r="AH5860">
        <v>11.1380802750255</v>
      </c>
      <c r="AI5860">
        <v>95.687178725035594</v>
      </c>
      <c r="AJ5860">
        <v>92.486264883696904</v>
      </c>
      <c r="AK5860">
        <v>11.203722288304</v>
      </c>
      <c r="AL5860">
        <v>68.252222353028898</v>
      </c>
      <c r="AM5860">
        <v>95.531815539891099</v>
      </c>
      <c r="AN5860">
        <v>0.99999996992251905</v>
      </c>
    </row>
    <row r="5861" spans="1:40" x14ac:dyDescent="0.25">
      <c r="A5861" t="str">
        <f>"20190304164802236"</f>
        <v>20190304164802236</v>
      </c>
      <c r="B5861" t="str">
        <f>"1551689282225188"</f>
        <v>1551689282225188</v>
      </c>
      <c r="C5861" t="s">
        <v>40</v>
      </c>
      <c r="D5861">
        <v>4.3265789999999997</v>
      </c>
      <c r="E5861">
        <v>0.53721189999999996</v>
      </c>
      <c r="F5861" t="s">
        <v>41</v>
      </c>
      <c r="G5861">
        <v>-187.0428</v>
      </c>
      <c r="H5861">
        <v>1.00871</v>
      </c>
      <c r="I5861">
        <v>25.83353</v>
      </c>
      <c r="J5861">
        <v>-186.994</v>
      </c>
      <c r="K5861">
        <v>1.110255</v>
      </c>
      <c r="L5861">
        <v>25.155149999999999</v>
      </c>
      <c r="M5861">
        <v>-5.1229709999999996E-3</v>
      </c>
      <c r="N5861">
        <v>-1.5048529999999999E-2</v>
      </c>
      <c r="O5861">
        <v>0.99987360000000003</v>
      </c>
      <c r="P5861">
        <v>-9.4187190000000004E-2</v>
      </c>
      <c r="Q5861">
        <v>0.3574292</v>
      </c>
      <c r="R5861">
        <v>0.92917870000000002</v>
      </c>
      <c r="S5861">
        <v>-0.15650939999999999</v>
      </c>
      <c r="T5861">
        <v>-0.3136642</v>
      </c>
      <c r="U5861">
        <v>3.332001</v>
      </c>
      <c r="V5861">
        <v>-8.891781E-2</v>
      </c>
      <c r="W5861">
        <v>0.37150090000000002</v>
      </c>
      <c r="X5861">
        <v>0.92416480000000001</v>
      </c>
      <c r="Y5861">
        <v>-4.1621829999999999E-2</v>
      </c>
      <c r="Z5861">
        <v>-7.8637789999999999E-2</v>
      </c>
      <c r="AA5861">
        <v>0.99603399999999997</v>
      </c>
      <c r="AB5861">
        <v>41</v>
      </c>
      <c r="AC5861">
        <v>-4.8799999999971498E-2</v>
      </c>
      <c r="AD5861">
        <v>-0.101545</v>
      </c>
      <c r="AE5861">
        <v>0.67837999999999998</v>
      </c>
      <c r="AF5861">
        <v>-4.4335365355312899E-2</v>
      </c>
      <c r="AG5861">
        <v>-0.101545</v>
      </c>
      <c r="AH5861">
        <v>0.66382383253465704</v>
      </c>
      <c r="AI5861">
        <v>98.678067542710494</v>
      </c>
      <c r="AJ5861">
        <v>93.820987246688105</v>
      </c>
      <c r="AK5861">
        <v>0.67300749794277204</v>
      </c>
      <c r="AL5861">
        <v>68.191787058747707</v>
      </c>
      <c r="AM5861">
        <v>95.495752912904294</v>
      </c>
      <c r="AN5861">
        <v>0.99999993659752096</v>
      </c>
    </row>
    <row r="5862" spans="1:40" x14ac:dyDescent="0.25">
      <c r="A5862" t="str">
        <f>"20190304164802256"</f>
        <v>20190304164802256</v>
      </c>
      <c r="B5862" t="str">
        <f>"1551689282244708"</f>
        <v>1551689282244708</v>
      </c>
      <c r="C5862" t="s">
        <v>40</v>
      </c>
      <c r="D5862">
        <v>4.3210579999999998</v>
      </c>
      <c r="E5862">
        <v>0.53724399999999894</v>
      </c>
      <c r="F5862" t="s">
        <v>41</v>
      </c>
      <c r="G5862">
        <v>-187.04179999999999</v>
      </c>
      <c r="H5862">
        <v>1.0133529999999999</v>
      </c>
      <c r="I5862">
        <v>26.199020000000001</v>
      </c>
      <c r="J5862">
        <v>-186.99539999999999</v>
      </c>
      <c r="K5862">
        <v>1.1102650000000001</v>
      </c>
      <c r="L5862">
        <v>25.50638</v>
      </c>
      <c r="M5862">
        <v>-4.6668309999999998E-3</v>
      </c>
      <c r="N5862">
        <v>-1.5059110000000001E-2</v>
      </c>
      <c r="O5862">
        <v>0.99987570000000003</v>
      </c>
      <c r="P5862">
        <v>-9.3587530000000002E-2</v>
      </c>
      <c r="Q5862">
        <v>0.35903410000000002</v>
      </c>
      <c r="R5862">
        <v>0.92862049999999996</v>
      </c>
      <c r="S5862">
        <v>-0.15301509999999999</v>
      </c>
      <c r="T5862">
        <v>-0.30931039999999999</v>
      </c>
      <c r="U5862">
        <v>3.3321230000000002</v>
      </c>
      <c r="V5862">
        <v>-8.8737200000000002E-2</v>
      </c>
      <c r="W5862">
        <v>0.37310700000000002</v>
      </c>
      <c r="X5862">
        <v>0.92353499999999999</v>
      </c>
      <c r="Y5862">
        <v>-4.1039190000000003E-2</v>
      </c>
      <c r="Z5862">
        <v>-7.733727E-2</v>
      </c>
      <c r="AA5862">
        <v>0.99616000000000005</v>
      </c>
      <c r="AB5862">
        <v>41</v>
      </c>
      <c r="AC5862">
        <v>-4.6400000000005499E-2</v>
      </c>
      <c r="AD5862">
        <v>-9.6911999999999804E-2</v>
      </c>
      <c r="AE5862">
        <v>0.69264000000000003</v>
      </c>
      <c r="AF5862">
        <v>-4.2341489814826799E-2</v>
      </c>
      <c r="AG5862">
        <v>-9.6911999999999804E-2</v>
      </c>
      <c r="AH5862">
        <v>0.67960404080460202</v>
      </c>
      <c r="AI5862">
        <v>98.100204660458104</v>
      </c>
      <c r="AJ5862">
        <v>93.5651009037081</v>
      </c>
      <c r="AK5862">
        <v>0.68778367949645502</v>
      </c>
      <c r="AL5862">
        <v>68.092638125247603</v>
      </c>
      <c r="AM5862">
        <v>95.488375472544007</v>
      </c>
      <c r="AN5862">
        <v>1.0000000101689199</v>
      </c>
    </row>
    <row r="5863" spans="1:40" x14ac:dyDescent="0.25">
      <c r="A5863" t="str">
        <f>"20190304164802278"</f>
        <v>20190304164802278</v>
      </c>
      <c r="B5863" t="str">
        <f>"1551689282274963"</f>
        <v>1551689282274963</v>
      </c>
      <c r="C5863" t="s">
        <v>40</v>
      </c>
      <c r="D5863">
        <v>4.3005909999999998</v>
      </c>
      <c r="E5863">
        <v>0.53726779999999996</v>
      </c>
      <c r="F5863" t="s">
        <v>41</v>
      </c>
      <c r="G5863">
        <v>-187.0436</v>
      </c>
      <c r="H5863">
        <v>1.0142089999999999</v>
      </c>
      <c r="I5863">
        <v>26.563569999999999</v>
      </c>
      <c r="J5863">
        <v>-186.9967</v>
      </c>
      <c r="K5863">
        <v>1.110269</v>
      </c>
      <c r="L5863">
        <v>25.911960000000001</v>
      </c>
      <c r="M5863">
        <v>-4.1408520000000004E-3</v>
      </c>
      <c r="N5863">
        <v>-1.506908E-2</v>
      </c>
      <c r="O5863">
        <v>0.99987789999999999</v>
      </c>
      <c r="P5863">
        <v>-9.2734010000000006E-2</v>
      </c>
      <c r="Q5863">
        <v>0.36006899999999997</v>
      </c>
      <c r="R5863">
        <v>0.9283053</v>
      </c>
      <c r="S5863">
        <v>-0.15206910000000001</v>
      </c>
      <c r="T5863">
        <v>-0.30277419999999999</v>
      </c>
      <c r="U5863">
        <v>3.3323360000000002</v>
      </c>
      <c r="V5863">
        <v>-8.8368349999999998E-2</v>
      </c>
      <c r="W5863">
        <v>0.37414589999999998</v>
      </c>
      <c r="X5863">
        <v>0.92315000000000003</v>
      </c>
      <c r="Y5863">
        <v>-4.128685E-2</v>
      </c>
      <c r="Z5863">
        <v>-7.5384160000000006E-2</v>
      </c>
      <c r="AA5863">
        <v>0.99629939999999995</v>
      </c>
      <c r="AB5863">
        <v>41</v>
      </c>
      <c r="AC5863">
        <v>-4.6899999999993697E-2</v>
      </c>
      <c r="AD5863">
        <v>-9.6060000000000006E-2</v>
      </c>
      <c r="AE5863">
        <v>0.65161000000000102</v>
      </c>
      <c r="AF5863">
        <v>-4.32656461999886E-2</v>
      </c>
      <c r="AG5863">
        <v>-9.6060000000000006E-2</v>
      </c>
      <c r="AH5863">
        <v>0.63800466351248597</v>
      </c>
      <c r="AI5863">
        <v>98.542989363844697</v>
      </c>
      <c r="AJ5863">
        <v>93.879516123478197</v>
      </c>
      <c r="AK5863">
        <v>0.64664471729442197</v>
      </c>
      <c r="AL5863">
        <v>68.028466407557005</v>
      </c>
      <c r="AM5863">
        <v>95.467966280469795</v>
      </c>
      <c r="AN5863">
        <v>1.0000000211342599</v>
      </c>
    </row>
    <row r="5864" spans="1:40" x14ac:dyDescent="0.25">
      <c r="A5864" t="str">
        <f>"20190304164802300"</f>
        <v>20190304164802300</v>
      </c>
      <c r="B5864" t="str">
        <f>"1551689282295460"</f>
        <v>1551689282295460</v>
      </c>
      <c r="C5864" t="s">
        <v>40</v>
      </c>
      <c r="D5864">
        <v>4.2590810000000001</v>
      </c>
      <c r="E5864">
        <v>0.537265199999999</v>
      </c>
      <c r="F5864" t="s">
        <v>42</v>
      </c>
      <c r="G5864">
        <v>-187.55459999999999</v>
      </c>
      <c r="H5864" s="1">
        <v>-4.1265220000000004E-6</v>
      </c>
      <c r="I5864">
        <v>38.240670000000001</v>
      </c>
      <c r="J5864">
        <v>-186.99799999999999</v>
      </c>
      <c r="K5864">
        <v>1.110263</v>
      </c>
      <c r="L5864">
        <v>26.314509999999999</v>
      </c>
      <c r="M5864">
        <v>-3.6191690000000002E-3</v>
      </c>
      <c r="N5864">
        <v>-1.5077E-2</v>
      </c>
      <c r="O5864">
        <v>0.99987979999999999</v>
      </c>
      <c r="P5864">
        <v>-9.2381610000000003E-2</v>
      </c>
      <c r="Q5864">
        <v>0.36031609999999997</v>
      </c>
      <c r="R5864">
        <v>0.92824459999999998</v>
      </c>
      <c r="S5864">
        <v>-0.15081789999999901</v>
      </c>
      <c r="T5864">
        <v>-0.30015979999999998</v>
      </c>
      <c r="U5864">
        <v>3.3330380000000002</v>
      </c>
      <c r="V5864">
        <v>-8.849725E-2</v>
      </c>
      <c r="W5864">
        <v>0.3743997</v>
      </c>
      <c r="X5864">
        <v>0.92303469999999999</v>
      </c>
      <c r="Y5864">
        <v>-4.1428199999999998E-2</v>
      </c>
      <c r="Z5864">
        <v>-7.4582869999999996E-2</v>
      </c>
      <c r="AA5864">
        <v>0.99635390000000001</v>
      </c>
      <c r="AB5864">
        <v>40</v>
      </c>
      <c r="AC5864">
        <v>-0.55660000000000298</v>
      </c>
      <c r="AD5864">
        <v>-1.1102671265219901</v>
      </c>
      <c r="AE5864">
        <v>11.926159999999999</v>
      </c>
      <c r="AF5864">
        <v>-0.50902666669058105</v>
      </c>
      <c r="AG5864">
        <v>-1.1102671265219901</v>
      </c>
      <c r="AH5864">
        <v>11.825828395912</v>
      </c>
      <c r="AI5864">
        <v>95.3585559512575</v>
      </c>
      <c r="AJ5864">
        <v>92.464697336110405</v>
      </c>
      <c r="AK5864">
        <v>11.888734940656899</v>
      </c>
      <c r="AL5864">
        <v>68.012783994907096</v>
      </c>
      <c r="AM5864">
        <v>95.476573635354896</v>
      </c>
      <c r="AN5864">
        <v>0.99999997801087104</v>
      </c>
    </row>
    <row r="5865" spans="1:40" x14ac:dyDescent="0.25">
      <c r="A5865" t="str">
        <f>"20190304164802322"</f>
        <v>20190304164802322</v>
      </c>
      <c r="B5865" t="str">
        <f>"1551689282314980"</f>
        <v>1551689282314980</v>
      </c>
      <c r="C5865" t="s">
        <v>40</v>
      </c>
      <c r="D5865">
        <v>4.2832569999999999</v>
      </c>
      <c r="E5865">
        <v>0.537224699999999</v>
      </c>
      <c r="F5865" t="s">
        <v>42</v>
      </c>
      <c r="G5865">
        <v>-187.5514</v>
      </c>
      <c r="H5865" s="1">
        <v>-4.3118199999999997E-6</v>
      </c>
      <c r="I5865">
        <v>38.671259999999997</v>
      </c>
      <c r="J5865">
        <v>-186.99889999999999</v>
      </c>
      <c r="K5865">
        <v>1.1102650000000001</v>
      </c>
      <c r="L5865">
        <v>26.71396</v>
      </c>
      <c r="M5865">
        <v>-3.1017190000000002E-3</v>
      </c>
      <c r="N5865">
        <v>-1.508323E-2</v>
      </c>
      <c r="O5865">
        <v>0.99988140000000003</v>
      </c>
      <c r="P5865">
        <v>-9.191059E-2</v>
      </c>
      <c r="Q5865">
        <v>0.36049160000000002</v>
      </c>
      <c r="R5865">
        <v>0.92822320000000003</v>
      </c>
      <c r="S5865">
        <v>-0.14929200000000001</v>
      </c>
      <c r="T5865">
        <v>-0.29950189999999999</v>
      </c>
      <c r="U5865">
        <v>3.3333129999999902</v>
      </c>
      <c r="V5865">
        <v>-8.8504360000000004E-2</v>
      </c>
      <c r="W5865">
        <v>0.37458049999999998</v>
      </c>
      <c r="X5865">
        <v>0.92296069999999997</v>
      </c>
      <c r="Y5865">
        <v>-4.1487080000000003E-2</v>
      </c>
      <c r="Z5865">
        <v>-7.4375109999999994E-2</v>
      </c>
      <c r="AA5865">
        <v>0.996367</v>
      </c>
      <c r="AB5865">
        <v>40</v>
      </c>
      <c r="AC5865">
        <v>-0.55250000000000898</v>
      </c>
      <c r="AD5865">
        <v>-1.11026931182</v>
      </c>
      <c r="AE5865">
        <v>11.9573</v>
      </c>
      <c r="AF5865">
        <v>-0.51100858509378699</v>
      </c>
      <c r="AG5865">
        <v>-1.11026931182</v>
      </c>
      <c r="AH5865">
        <v>11.8569476910251</v>
      </c>
      <c r="AI5865">
        <v>95.344571716292606</v>
      </c>
      <c r="AJ5865">
        <v>92.467795976264298</v>
      </c>
      <c r="AK5865">
        <v>11.919775009056</v>
      </c>
      <c r="AL5865">
        <v>68.001612752504101</v>
      </c>
      <c r="AM5865">
        <v>95.477447414435602</v>
      </c>
      <c r="AN5865">
        <v>1.00000001323187</v>
      </c>
    </row>
    <row r="5866" spans="1:40" x14ac:dyDescent="0.25">
      <c r="A5866" t="str">
        <f>"20190304164802346"</f>
        <v>20190304164802346</v>
      </c>
      <c r="B5866" t="str">
        <f>"1551689282335476"</f>
        <v>1551689282335476</v>
      </c>
      <c r="C5866" t="s">
        <v>40</v>
      </c>
      <c r="D5866">
        <v>4.2708659999999998</v>
      </c>
      <c r="E5866">
        <v>0.53725519999999904</v>
      </c>
      <c r="F5866" t="s">
        <v>42</v>
      </c>
      <c r="G5866">
        <v>-187.5498</v>
      </c>
      <c r="H5866" s="1">
        <v>-4.4913090000000001E-6</v>
      </c>
      <c r="I5866">
        <v>39.088990000000003</v>
      </c>
      <c r="J5866">
        <v>-186.99969999999999</v>
      </c>
      <c r="K5866">
        <v>1.110276</v>
      </c>
      <c r="L5866">
        <v>27.132750000000001</v>
      </c>
      <c r="M5866">
        <v>-2.559562E-3</v>
      </c>
      <c r="N5866">
        <v>-1.5088290000000001E-2</v>
      </c>
      <c r="O5866">
        <v>0.99988290000000002</v>
      </c>
      <c r="P5866">
        <v>-9.18548E-2</v>
      </c>
      <c r="Q5866">
        <v>0.3609676</v>
      </c>
      <c r="R5866">
        <v>0.92804370000000003</v>
      </c>
      <c r="S5866">
        <v>-0.14837649999999999</v>
      </c>
      <c r="T5866">
        <v>-0.29907080000000003</v>
      </c>
      <c r="U5866">
        <v>3.3334350000000001</v>
      </c>
      <c r="V5866">
        <v>-8.8950539999999995E-2</v>
      </c>
      <c r="W5866">
        <v>0.37505840000000001</v>
      </c>
      <c r="X5866">
        <v>0.92272370000000004</v>
      </c>
      <c r="Y5866">
        <v>-4.1754350000000003E-2</v>
      </c>
      <c r="Z5866">
        <v>-7.4239050000000001E-2</v>
      </c>
      <c r="AA5866">
        <v>0.99636599999999997</v>
      </c>
      <c r="AB5866">
        <v>40</v>
      </c>
      <c r="AC5866">
        <v>-0.55010000000001402</v>
      </c>
      <c r="AD5866">
        <v>-1.1102804913089901</v>
      </c>
      <c r="AE5866">
        <v>11.956239999999999</v>
      </c>
      <c r="AF5866">
        <v>-0.51505981599084905</v>
      </c>
      <c r="AG5866">
        <v>-1.1102804913089901</v>
      </c>
      <c r="AH5866">
        <v>11.8555900234043</v>
      </c>
      <c r="AI5866">
        <v>95.345154161771106</v>
      </c>
      <c r="AJ5866">
        <v>92.487620453964695</v>
      </c>
      <c r="AK5866">
        <v>11.9185999255984</v>
      </c>
      <c r="AL5866">
        <v>67.972077971819004</v>
      </c>
      <c r="AM5866">
        <v>95.506297086297394</v>
      </c>
      <c r="AN5866">
        <v>1.00000001425927</v>
      </c>
    </row>
    <row r="5867" spans="1:40" x14ac:dyDescent="0.25">
      <c r="A5867" t="str">
        <f>"20190304164802367"</f>
        <v>20190304164802367</v>
      </c>
      <c r="B5867" t="str">
        <f>"1551689282354999"</f>
        <v>1551689282354999</v>
      </c>
      <c r="C5867" t="s">
        <v>40</v>
      </c>
      <c r="D5867">
        <v>4.2116410000000002</v>
      </c>
      <c r="E5867">
        <v>0.53730149999999999</v>
      </c>
      <c r="F5867" t="s">
        <v>42</v>
      </c>
      <c r="G5867">
        <v>-187.55869999999999</v>
      </c>
      <c r="H5867" s="1">
        <v>-4.6847430000000004E-6</v>
      </c>
      <c r="I5867">
        <v>39.543570000000003</v>
      </c>
      <c r="J5867">
        <v>-187.00020000000001</v>
      </c>
      <c r="K5867">
        <v>1.110285</v>
      </c>
      <c r="L5867">
        <v>27.52487</v>
      </c>
      <c r="M5867">
        <v>-2.0537229999999999E-3</v>
      </c>
      <c r="N5867">
        <v>-1.5091810000000001E-2</v>
      </c>
      <c r="O5867">
        <v>0.999884</v>
      </c>
      <c r="P5867">
        <v>-9.1521610000000003E-2</v>
      </c>
      <c r="Q5867">
        <v>0.361591</v>
      </c>
      <c r="R5867">
        <v>0.92783389999999999</v>
      </c>
      <c r="S5867">
        <v>-0.15014649999999999</v>
      </c>
      <c r="T5867">
        <v>-0.29823860000000002</v>
      </c>
      <c r="U5867">
        <v>3.3337400000000001</v>
      </c>
      <c r="V5867">
        <v>-8.9086460000000006E-2</v>
      </c>
      <c r="W5867">
        <v>0.37568119999999999</v>
      </c>
      <c r="X5867">
        <v>0.92245719999999998</v>
      </c>
      <c r="Y5867">
        <v>-4.2783830000000002E-2</v>
      </c>
      <c r="Z5867">
        <v>-7.3977730000000005E-2</v>
      </c>
      <c r="AA5867">
        <v>0.9963417</v>
      </c>
      <c r="AB5867">
        <v>40</v>
      </c>
      <c r="AC5867">
        <v>-0.55849999999998001</v>
      </c>
      <c r="AD5867">
        <v>-1.1102896847429999</v>
      </c>
      <c r="AE5867">
        <v>12.018700000000001</v>
      </c>
      <c r="AF5867">
        <v>-0.52930551795869596</v>
      </c>
      <c r="AG5867">
        <v>-1.1102896847429999</v>
      </c>
      <c r="AH5867">
        <v>11.9183287618165</v>
      </c>
      <c r="AI5867">
        <v>95.316998408958597</v>
      </c>
      <c r="AJ5867">
        <v>92.542894900563198</v>
      </c>
      <c r="AK5867">
        <v>11.981630439557501</v>
      </c>
      <c r="AL5867">
        <v>67.933579139247698</v>
      </c>
      <c r="AM5867">
        <v>95.516242473992705</v>
      </c>
      <c r="AN5867">
        <v>1.0000000236102999</v>
      </c>
    </row>
    <row r="5868" spans="1:40" x14ac:dyDescent="0.25">
      <c r="A5868" t="str">
        <f>"20190304164802390"</f>
        <v>20190304164802390</v>
      </c>
      <c r="B5868" t="str">
        <f>"1551689282385253"</f>
        <v>1551689282385253</v>
      </c>
      <c r="C5868" t="s">
        <v>40</v>
      </c>
      <c r="D5868">
        <v>4.2094750000000003</v>
      </c>
      <c r="E5868">
        <v>0.53765430000000003</v>
      </c>
      <c r="F5868" t="s">
        <v>42</v>
      </c>
      <c r="G5868">
        <v>-187.5668</v>
      </c>
      <c r="H5868" s="1">
        <v>-7.717393E-7</v>
      </c>
      <c r="I5868">
        <v>40.013440000000003</v>
      </c>
      <c r="J5868">
        <v>-187.00059999999999</v>
      </c>
      <c r="K5868">
        <v>1.1102959999999999</v>
      </c>
      <c r="L5868">
        <v>27.925899999999999</v>
      </c>
      <c r="M5868">
        <v>-1.5439749999999999E-3</v>
      </c>
      <c r="N5868">
        <v>-1.509431E-2</v>
      </c>
      <c r="O5868">
        <v>0.99988489999999997</v>
      </c>
      <c r="P5868">
        <v>-9.2094029999999993E-2</v>
      </c>
      <c r="Q5868">
        <v>0.3617493</v>
      </c>
      <c r="R5868">
        <v>0.92771550000000003</v>
      </c>
      <c r="S5868">
        <v>-0.15126039999999999</v>
      </c>
      <c r="T5868">
        <v>-0.29639959999999999</v>
      </c>
      <c r="U5868">
        <v>3.333923</v>
      </c>
      <c r="V5868">
        <v>-9.0134919999999993E-2</v>
      </c>
      <c r="W5868">
        <v>0.3758398</v>
      </c>
      <c r="X5868">
        <v>0.92229070000000002</v>
      </c>
      <c r="Y5868">
        <v>-4.3624259999999998E-2</v>
      </c>
      <c r="Z5868">
        <v>-7.3422810000000005E-2</v>
      </c>
      <c r="AA5868">
        <v>0.99634639999999997</v>
      </c>
      <c r="AB5868">
        <v>40</v>
      </c>
      <c r="AC5868">
        <v>-0.56620000000000903</v>
      </c>
      <c r="AD5868">
        <v>-1.1102967717393</v>
      </c>
      <c r="AE5868">
        <v>12.087540000000001</v>
      </c>
      <c r="AF5868">
        <v>-0.54296323772190702</v>
      </c>
      <c r="AG5868">
        <v>-1.1102967717393</v>
      </c>
      <c r="AH5868">
        <v>11.987479634593001</v>
      </c>
      <c r="AI5868">
        <v>95.286326850561395</v>
      </c>
      <c r="AJ5868">
        <v>92.593393663227005</v>
      </c>
      <c r="AK5868">
        <v>12.051026345860899</v>
      </c>
      <c r="AL5868">
        <v>67.923772821593303</v>
      </c>
      <c r="AM5868">
        <v>95.581756871679602</v>
      </c>
      <c r="AN5868">
        <v>0.99999999718696797</v>
      </c>
    </row>
    <row r="5869" spans="1:40" x14ac:dyDescent="0.25">
      <c r="A5869" t="str">
        <f>"20190304164802415"</f>
        <v>20190304164802415</v>
      </c>
      <c r="B5869" t="str">
        <f>"1551689282404772"</f>
        <v>1551689282404772</v>
      </c>
      <c r="C5869" t="s">
        <v>40</v>
      </c>
      <c r="D5869">
        <v>4.1636899999999999</v>
      </c>
      <c r="E5869">
        <v>0.53790269999999996</v>
      </c>
      <c r="F5869" t="s">
        <v>42</v>
      </c>
      <c r="G5869">
        <v>-187.5684</v>
      </c>
      <c r="H5869" s="1">
        <v>-9.4614869999999998E-7</v>
      </c>
      <c r="I5869">
        <v>40.527189999999997</v>
      </c>
      <c r="J5869">
        <v>-187.0008</v>
      </c>
      <c r="K5869">
        <v>1.1103179999999999</v>
      </c>
      <c r="L5869">
        <v>28.371549999999999</v>
      </c>
      <c r="M5869">
        <v>-9.9780719999999993E-4</v>
      </c>
      <c r="N5869">
        <v>-1.509595E-2</v>
      </c>
      <c r="O5869">
        <v>0.99988560000000004</v>
      </c>
      <c r="P5869">
        <v>-9.2523949999999994E-2</v>
      </c>
      <c r="Q5869">
        <v>0.3624829</v>
      </c>
      <c r="R5869">
        <v>0.9273863</v>
      </c>
      <c r="S5869">
        <v>-0.15020749999999999</v>
      </c>
      <c r="T5869">
        <v>-0.29370309999999999</v>
      </c>
      <c r="U5869">
        <v>3.3333740000000001</v>
      </c>
      <c r="V5869">
        <v>-9.1082109999999994E-2</v>
      </c>
      <c r="W5869">
        <v>0.37656840000000003</v>
      </c>
      <c r="X5869">
        <v>0.92190039999999995</v>
      </c>
      <c r="Y5869">
        <v>-4.3866009999999997E-2</v>
      </c>
      <c r="Z5869">
        <v>-7.2635989999999998E-2</v>
      </c>
      <c r="AA5869">
        <v>0.99639339999999998</v>
      </c>
      <c r="AB5869">
        <v>40</v>
      </c>
      <c r="AC5869">
        <v>-0.567599999999998</v>
      </c>
      <c r="AD5869">
        <v>-1.1103189461487</v>
      </c>
      <c r="AE5869">
        <v>12.15564</v>
      </c>
      <c r="AF5869">
        <v>-0.55088314586171205</v>
      </c>
      <c r="AG5869">
        <v>-1.1103189461487</v>
      </c>
      <c r="AH5869">
        <v>12.055833310940701</v>
      </c>
      <c r="AI5869">
        <v>95.256532458931403</v>
      </c>
      <c r="AJ5869">
        <v>92.616271989653896</v>
      </c>
      <c r="AK5869">
        <v>12.1193810577834</v>
      </c>
      <c r="AL5869">
        <v>67.878717927226901</v>
      </c>
      <c r="AM5869">
        <v>95.642409361023496</v>
      </c>
      <c r="AN5869">
        <v>1.0000000290803801</v>
      </c>
    </row>
    <row r="5870" spans="1:40" x14ac:dyDescent="0.25">
      <c r="A5870" t="str">
        <f>"20190304164802436"</f>
        <v>20190304164802436</v>
      </c>
      <c r="B5870" t="str">
        <f>"1551689282425269"</f>
        <v>1551689282425269</v>
      </c>
      <c r="C5870" t="s">
        <v>40</v>
      </c>
      <c r="D5870">
        <v>4.1933550000000004</v>
      </c>
      <c r="E5870">
        <v>0.53815040000000003</v>
      </c>
      <c r="F5870" t="s">
        <v>42</v>
      </c>
      <c r="G5870">
        <v>-187.56610000000001</v>
      </c>
      <c r="H5870" s="1">
        <v>-1.165143E-6</v>
      </c>
      <c r="I5870">
        <v>41.168930000000003</v>
      </c>
      <c r="J5870">
        <v>-187.00069999999999</v>
      </c>
      <c r="K5870">
        <v>1.110355</v>
      </c>
      <c r="L5870">
        <v>28.766970000000001</v>
      </c>
      <c r="M5870">
        <v>-5.4718799999999999E-4</v>
      </c>
      <c r="N5870">
        <v>-1.509666E-2</v>
      </c>
      <c r="O5870">
        <v>0.99988589999999999</v>
      </c>
      <c r="P5870">
        <v>-9.2740450000000002E-2</v>
      </c>
      <c r="Q5870">
        <v>0.3631702</v>
      </c>
      <c r="R5870">
        <v>0.92709580000000003</v>
      </c>
      <c r="S5870">
        <v>-0.14726259999999999</v>
      </c>
      <c r="T5870">
        <v>-0.2891977</v>
      </c>
      <c r="U5870">
        <v>3.3332519999999999</v>
      </c>
      <c r="V5870">
        <v>-9.1735650000000002E-2</v>
      </c>
      <c r="W5870">
        <v>0.3772472</v>
      </c>
      <c r="X5870">
        <v>0.92155799999999999</v>
      </c>
      <c r="Y5870">
        <v>-4.3444320000000002E-2</v>
      </c>
      <c r="Z5870">
        <v>-7.1304229999999996E-2</v>
      </c>
      <c r="AA5870">
        <v>0.99650810000000001</v>
      </c>
      <c r="AB5870">
        <v>40</v>
      </c>
      <c r="AC5870">
        <v>-0.565400000000011</v>
      </c>
      <c r="AD5870">
        <v>-1.1103561651430001</v>
      </c>
      <c r="AE5870">
        <v>12.4019599999999</v>
      </c>
      <c r="AF5870">
        <v>-0.554179985580454</v>
      </c>
      <c r="AG5870">
        <v>-1.1103561651430001</v>
      </c>
      <c r="AH5870">
        <v>12.303847594172501</v>
      </c>
      <c r="AI5870">
        <v>95.151473232173799</v>
      </c>
      <c r="AJ5870">
        <v>92.578927294445407</v>
      </c>
      <c r="AK5870">
        <v>12.3662715436187</v>
      </c>
      <c r="AL5870">
        <v>67.836728527184704</v>
      </c>
      <c r="AM5870">
        <v>95.684728730368207</v>
      </c>
      <c r="AN5870">
        <v>1.00000001337638</v>
      </c>
    </row>
    <row r="5871" spans="1:40" x14ac:dyDescent="0.25">
      <c r="A5871" t="str">
        <f>"20190304164802480"</f>
        <v>20190304164802480</v>
      </c>
      <c r="B5871" t="str">
        <f>"1551689282475623"</f>
        <v>1551689282475623</v>
      </c>
      <c r="C5871" t="s">
        <v>40</v>
      </c>
      <c r="D5871">
        <v>4.1561789999999998</v>
      </c>
      <c r="E5871">
        <v>0.53863000000000005</v>
      </c>
      <c r="F5871" t="s">
        <v>42</v>
      </c>
      <c r="G5871">
        <v>-187.56120000000001</v>
      </c>
      <c r="H5871" s="1">
        <v>-1.3617560000000001E-6</v>
      </c>
      <c r="I5871">
        <v>41.742789999999999</v>
      </c>
      <c r="J5871">
        <v>-187.00020000000001</v>
      </c>
      <c r="K5871">
        <v>1.1104259999999999</v>
      </c>
      <c r="L5871">
        <v>29.53546</v>
      </c>
      <c r="M5871">
        <v>2.2249069999999999E-4</v>
      </c>
      <c r="N5871">
        <v>-1.509574E-2</v>
      </c>
      <c r="O5871">
        <v>0.99988600000000005</v>
      </c>
      <c r="P5871">
        <v>-9.1793429999999995E-2</v>
      </c>
      <c r="Q5871">
        <v>0.365699</v>
      </c>
      <c r="R5871">
        <v>0.92619560000000001</v>
      </c>
      <c r="S5871">
        <v>-0.1439667</v>
      </c>
      <c r="T5871">
        <v>-0.28523019999999999</v>
      </c>
      <c r="U5871">
        <v>3.3332519999999999</v>
      </c>
      <c r="V5871">
        <v>-9.1557639999999996E-2</v>
      </c>
      <c r="W5871">
        <v>0.37974580000000002</v>
      </c>
      <c r="X5871">
        <v>0.92054899999999995</v>
      </c>
      <c r="Y5871">
        <v>-4.3234040000000001E-2</v>
      </c>
      <c r="Z5871">
        <v>-7.0129689999999995E-2</v>
      </c>
      <c r="AA5871">
        <v>0.99660059999999995</v>
      </c>
      <c r="AB5871">
        <v>40</v>
      </c>
      <c r="AC5871">
        <v>-0.56100000000000705</v>
      </c>
      <c r="AD5871">
        <v>-1.1104273617560001</v>
      </c>
      <c r="AE5871">
        <v>12.207330000000001</v>
      </c>
      <c r="AF5871">
        <v>-0.55909982149644699</v>
      </c>
      <c r="AG5871">
        <v>-1.1104273617560001</v>
      </c>
      <c r="AH5871">
        <v>12.1072353293176</v>
      </c>
      <c r="AI5871">
        <v>95.234732357281302</v>
      </c>
      <c r="AJ5871">
        <v>92.643982499437698</v>
      </c>
      <c r="AK5871">
        <v>12.170899262404999</v>
      </c>
      <c r="AL5871">
        <v>67.682063776315303</v>
      </c>
      <c r="AM5871">
        <v>95.679948036272805</v>
      </c>
      <c r="AN5871">
        <v>1.0000000677305001</v>
      </c>
    </row>
    <row r="5872" spans="1:40" x14ac:dyDescent="0.25">
      <c r="A5872" t="str">
        <f>"20190304164802502"</f>
        <v>20190304164802502</v>
      </c>
      <c r="B5872" t="str">
        <f>"1551689282495144"</f>
        <v>1551689282495144</v>
      </c>
      <c r="C5872" t="s">
        <v>40</v>
      </c>
      <c r="D5872">
        <v>4.1590429999999996</v>
      </c>
      <c r="E5872">
        <v>0.53879619999999995</v>
      </c>
      <c r="F5872" t="s">
        <v>42</v>
      </c>
      <c r="G5872">
        <v>-187.55090000000001</v>
      </c>
      <c r="H5872" s="1">
        <v>-1.8875919999999999E-6</v>
      </c>
      <c r="I5872">
        <v>43.020139999999998</v>
      </c>
      <c r="J5872">
        <v>-186.99979999999999</v>
      </c>
      <c r="K5872">
        <v>1.1104879999999999</v>
      </c>
      <c r="L5872">
        <v>29.94781</v>
      </c>
      <c r="M5872">
        <v>5.4697199999999995E-4</v>
      </c>
      <c r="N5872">
        <v>-1.509421E-2</v>
      </c>
      <c r="O5872">
        <v>0.99988589999999999</v>
      </c>
      <c r="P5872">
        <v>-8.9888789999999996E-2</v>
      </c>
      <c r="Q5872">
        <v>0.36707689999999998</v>
      </c>
      <c r="R5872">
        <v>0.92583720000000003</v>
      </c>
      <c r="S5872">
        <v>-0.1361542</v>
      </c>
      <c r="T5872">
        <v>-0.27454499999999998</v>
      </c>
      <c r="U5872">
        <v>3.3339840000000001</v>
      </c>
      <c r="V5872">
        <v>-8.9997540000000001E-2</v>
      </c>
      <c r="W5872">
        <v>0.38110349999999998</v>
      </c>
      <c r="X5872">
        <v>0.9201416</v>
      </c>
      <c r="Y5872">
        <v>-4.1228969999999997E-2</v>
      </c>
      <c r="Z5872">
        <v>-6.6947939999999997E-2</v>
      </c>
      <c r="AA5872">
        <v>0.99690429999999997</v>
      </c>
      <c r="AB5872">
        <v>40</v>
      </c>
      <c r="AC5872">
        <v>-0.55110000000001902</v>
      </c>
      <c r="AD5872">
        <v>-1.110489887592</v>
      </c>
      <c r="AE5872">
        <v>13.072329999999999</v>
      </c>
      <c r="AF5872">
        <v>-0.55425825365056702</v>
      </c>
      <c r="AG5872">
        <v>-1.110489887592</v>
      </c>
      <c r="AH5872">
        <v>12.978533880362299</v>
      </c>
      <c r="AI5872">
        <v>94.886088844555005</v>
      </c>
      <c r="AJ5872">
        <v>92.445374364936697</v>
      </c>
      <c r="AK5872">
        <v>13.0377425839712</v>
      </c>
      <c r="AL5872">
        <v>67.597947240555399</v>
      </c>
      <c r="AM5872">
        <v>95.586237857267605</v>
      </c>
      <c r="AN5872">
        <v>0.99999999948442997</v>
      </c>
    </row>
    <row r="5873" spans="1:40" x14ac:dyDescent="0.25">
      <c r="A5873" t="str">
        <f>"20190304164802524"</f>
        <v>20190304164802524</v>
      </c>
      <c r="B5873" t="str">
        <f>"1551689282515639"</f>
        <v>1551689282515639</v>
      </c>
      <c r="C5873" t="s">
        <v>40</v>
      </c>
      <c r="D5873">
        <v>4.1656610000000001</v>
      </c>
      <c r="E5873">
        <v>0.5389448</v>
      </c>
      <c r="F5873" t="s">
        <v>42</v>
      </c>
      <c r="G5873">
        <v>-187.53749999999999</v>
      </c>
      <c r="H5873" s="1">
        <v>-2.173093E-6</v>
      </c>
      <c r="I5873">
        <v>43.680109999999999</v>
      </c>
      <c r="J5873">
        <v>-186.99940000000001</v>
      </c>
      <c r="K5873">
        <v>1.110538</v>
      </c>
      <c r="L5873">
        <v>30.325040000000001</v>
      </c>
      <c r="M5873">
        <v>7.8287750000000003E-4</v>
      </c>
      <c r="N5873">
        <v>-1.5092390000000001E-2</v>
      </c>
      <c r="O5873">
        <v>0.99988580000000005</v>
      </c>
      <c r="P5873">
        <v>-8.8453050000000005E-2</v>
      </c>
      <c r="Q5873">
        <v>0.36763170000000001</v>
      </c>
      <c r="R5873">
        <v>0.92575540000000001</v>
      </c>
      <c r="S5873">
        <v>-0.13056950000000001</v>
      </c>
      <c r="T5873">
        <v>-0.2696539</v>
      </c>
      <c r="U5873">
        <v>3.3345340000000001</v>
      </c>
      <c r="V5873">
        <v>-8.8828760000000007E-2</v>
      </c>
      <c r="W5873">
        <v>0.38164219999999999</v>
      </c>
      <c r="X5873">
        <v>0.92003190000000001</v>
      </c>
      <c r="Y5873">
        <v>-3.9796289999999998E-2</v>
      </c>
      <c r="Z5873">
        <v>-6.5488589999999999E-2</v>
      </c>
      <c r="AA5873">
        <v>0.99705940000000004</v>
      </c>
      <c r="AB5873">
        <v>40</v>
      </c>
      <c r="AC5873">
        <v>-0.53809999999998503</v>
      </c>
      <c r="AD5873">
        <v>-1.110540173093</v>
      </c>
      <c r="AE5873">
        <v>13.3550699999999</v>
      </c>
      <c r="AF5873">
        <v>-0.54479539398031196</v>
      </c>
      <c r="AG5873">
        <v>-1.110540173093</v>
      </c>
      <c r="AH5873">
        <v>13.263082395636999</v>
      </c>
      <c r="AI5873">
        <v>94.7822931100646</v>
      </c>
      <c r="AJ5873">
        <v>92.352163555412702</v>
      </c>
      <c r="AK5873">
        <v>13.3206402297641</v>
      </c>
      <c r="AL5873">
        <v>67.564558711163997</v>
      </c>
      <c r="AM5873">
        <v>95.514793976972001</v>
      </c>
      <c r="AN5873">
        <v>1.00000000722079</v>
      </c>
    </row>
    <row r="5874" spans="1:40" x14ac:dyDescent="0.25">
      <c r="A5874" t="str">
        <f>"20190304164802546"</f>
        <v>20190304164802546</v>
      </c>
      <c r="B5874" t="str">
        <f>"1551689282535159"</f>
        <v>1551689282535159</v>
      </c>
      <c r="C5874" t="s">
        <v>40</v>
      </c>
      <c r="D5874">
        <v>4.1463429999999999</v>
      </c>
      <c r="E5874">
        <v>0.53905110000000001</v>
      </c>
      <c r="F5874" t="s">
        <v>42</v>
      </c>
      <c r="G5874">
        <v>-187.52430000000001</v>
      </c>
      <c r="H5874" s="1">
        <v>-2.3813559999999998E-6</v>
      </c>
      <c r="I5874">
        <v>44.1601</v>
      </c>
      <c r="J5874">
        <v>-186.99889999999999</v>
      </c>
      <c r="K5874">
        <v>1.1106049999999901</v>
      </c>
      <c r="L5874">
        <v>30.729399999999998</v>
      </c>
      <c r="M5874">
        <v>9.5901959999999996E-4</v>
      </c>
      <c r="N5874">
        <v>-1.5090060000000001E-2</v>
      </c>
      <c r="O5874">
        <v>0.99988569999999999</v>
      </c>
      <c r="P5874">
        <v>-8.810171E-2</v>
      </c>
      <c r="Q5874">
        <v>0.36665979999999998</v>
      </c>
      <c r="R5874">
        <v>0.92617419999999995</v>
      </c>
      <c r="S5874">
        <v>-0.1265259</v>
      </c>
      <c r="T5874">
        <v>-0.26768520000000001</v>
      </c>
      <c r="U5874">
        <v>3.3348080000000002</v>
      </c>
      <c r="V5874">
        <v>-8.8701769999999999E-2</v>
      </c>
      <c r="W5874">
        <v>0.38066</v>
      </c>
      <c r="X5874">
        <v>0.92045089999999996</v>
      </c>
      <c r="Y5874">
        <v>-3.876429E-2</v>
      </c>
      <c r="Z5874">
        <v>-6.4902890000000005E-2</v>
      </c>
      <c r="AA5874">
        <v>0.99713839999999998</v>
      </c>
      <c r="AB5874">
        <v>40</v>
      </c>
      <c r="AC5874">
        <v>-0.52540000000001896</v>
      </c>
      <c r="AD5874">
        <v>-1.11060738135599</v>
      </c>
      <c r="AE5874">
        <v>13.4307</v>
      </c>
      <c r="AF5874">
        <v>-0.53463135057647304</v>
      </c>
      <c r="AG5874">
        <v>-1.11060738135599</v>
      </c>
      <c r="AH5874">
        <v>13.3391174901935</v>
      </c>
      <c r="AI5874">
        <v>94.755636115266299</v>
      </c>
      <c r="AJ5874">
        <v>92.295184316508397</v>
      </c>
      <c r="AK5874">
        <v>13.395944716731499</v>
      </c>
      <c r="AL5874">
        <v>67.625428242826203</v>
      </c>
      <c r="AM5874">
        <v>95.504467069896506</v>
      </c>
      <c r="AN5874">
        <v>0.99999994945597004</v>
      </c>
    </row>
    <row r="5875" spans="1:40" x14ac:dyDescent="0.25">
      <c r="A5875" t="str">
        <f>"20190304164802569"</f>
        <v>20190304164802569</v>
      </c>
      <c r="B5875" t="str">
        <f>"1551689282565415"</f>
        <v>1551689282565415</v>
      </c>
      <c r="C5875" t="s">
        <v>40</v>
      </c>
      <c r="D5875">
        <v>4.1752089999999997</v>
      </c>
      <c r="E5875">
        <v>0.53925889999999999</v>
      </c>
      <c r="F5875" t="s">
        <v>42</v>
      </c>
      <c r="G5875">
        <v>-187.50980000000001</v>
      </c>
      <c r="H5875" s="1">
        <v>-2.4827220000000001E-6</v>
      </c>
      <c r="I5875">
        <v>44.390410000000003</v>
      </c>
      <c r="J5875">
        <v>-186.9984</v>
      </c>
      <c r="K5875">
        <v>1.110673</v>
      </c>
      <c r="L5875">
        <v>31.128229999999999</v>
      </c>
      <c r="M5875">
        <v>1.050287E-3</v>
      </c>
      <c r="N5875">
        <v>-1.508759E-2</v>
      </c>
      <c r="O5875">
        <v>0.99988560000000004</v>
      </c>
      <c r="P5875">
        <v>-8.8282559999999996E-2</v>
      </c>
      <c r="Q5875">
        <v>0.36650899999999997</v>
      </c>
      <c r="R5875">
        <v>0.9262167</v>
      </c>
      <c r="S5875">
        <v>-0.1247253</v>
      </c>
      <c r="T5875">
        <v>-0.27109470000000002</v>
      </c>
      <c r="U5875">
        <v>3.3345950000000002</v>
      </c>
      <c r="V5875">
        <v>-8.9033210000000002E-2</v>
      </c>
      <c r="W5875">
        <v>0.380492</v>
      </c>
      <c r="X5875">
        <v>0.92048839999999998</v>
      </c>
      <c r="Y5875">
        <v>-3.8317780000000003E-2</v>
      </c>
      <c r="Z5875">
        <v>-6.5924830000000004E-2</v>
      </c>
      <c r="AA5875">
        <v>0.99708859999999999</v>
      </c>
      <c r="AB5875">
        <v>40</v>
      </c>
      <c r="AC5875">
        <v>-0.51140000000000896</v>
      </c>
      <c r="AD5875">
        <v>-1.110675482722</v>
      </c>
      <c r="AE5875">
        <v>13.262179999999899</v>
      </c>
      <c r="AF5875">
        <v>-0.52167696809848196</v>
      </c>
      <c r="AG5875">
        <v>-1.110675482722</v>
      </c>
      <c r="AH5875">
        <v>13.169406937824</v>
      </c>
      <c r="AI5875">
        <v>94.817017258282206</v>
      </c>
      <c r="AJ5875">
        <v>92.268459714831906</v>
      </c>
      <c r="AK5875">
        <v>13.226451753247</v>
      </c>
      <c r="AL5875">
        <v>67.635838040143796</v>
      </c>
      <c r="AM5875">
        <v>95.524684159291098</v>
      </c>
      <c r="AN5875">
        <v>0.99999998454073102</v>
      </c>
    </row>
    <row r="5876" spans="1:40" x14ac:dyDescent="0.25">
      <c r="A5876" t="str">
        <f>"20190304164802590"</f>
        <v>20190304164802590</v>
      </c>
      <c r="B5876" t="str">
        <f>"1551689282585516"</f>
        <v>1551689282585516</v>
      </c>
      <c r="C5876" t="s">
        <v>40</v>
      </c>
      <c r="D5876">
        <v>4.1376860000000004</v>
      </c>
      <c r="E5876">
        <v>0.53936980000000001</v>
      </c>
      <c r="F5876" t="s">
        <v>42</v>
      </c>
      <c r="G5876">
        <v>-187.5061</v>
      </c>
      <c r="H5876" s="1">
        <v>-2.6533180000000001E-6</v>
      </c>
      <c r="I5876">
        <v>44.786520000000003</v>
      </c>
      <c r="J5876">
        <v>-186.99799999999999</v>
      </c>
      <c r="K5876">
        <v>1.1107499999999999</v>
      </c>
      <c r="L5876">
        <v>31.50299</v>
      </c>
      <c r="M5876">
        <v>1.0579820000000001E-3</v>
      </c>
      <c r="N5876">
        <v>-1.5085080000000001E-2</v>
      </c>
      <c r="O5876">
        <v>0.99988569999999999</v>
      </c>
      <c r="P5876">
        <v>-8.785155E-2</v>
      </c>
      <c r="Q5876">
        <v>0.36669659999999998</v>
      </c>
      <c r="R5876">
        <v>0.92618339999999999</v>
      </c>
      <c r="S5876">
        <v>-0.1239471</v>
      </c>
      <c r="T5876">
        <v>-0.27115539999999999</v>
      </c>
      <c r="U5876">
        <v>3.334473</v>
      </c>
      <c r="V5876">
        <v>-8.8675359999999995E-2</v>
      </c>
      <c r="W5876">
        <v>0.38066179999999999</v>
      </c>
      <c r="X5876">
        <v>0.92045279999999996</v>
      </c>
      <c r="Y5876">
        <v>-3.809456E-2</v>
      </c>
      <c r="Z5876">
        <v>-6.5949019999999997E-2</v>
      </c>
      <c r="AA5876">
        <v>0.99709550000000002</v>
      </c>
      <c r="AB5876">
        <v>40</v>
      </c>
      <c r="AC5876">
        <v>-0.50810000000001299</v>
      </c>
      <c r="AD5876">
        <v>-1.1107526533180001</v>
      </c>
      <c r="AE5876">
        <v>13.283530000000001</v>
      </c>
      <c r="AF5876">
        <v>-0.51853469957660503</v>
      </c>
      <c r="AG5876">
        <v>-1.1107526533180001</v>
      </c>
      <c r="AH5876">
        <v>13.1908876650206</v>
      </c>
      <c r="AI5876">
        <v>94.809599474933506</v>
      </c>
      <c r="AJ5876">
        <v>92.251141953723604</v>
      </c>
      <c r="AK5876">
        <v>13.247723090505399</v>
      </c>
      <c r="AL5876">
        <v>67.625318878728095</v>
      </c>
      <c r="AM5876">
        <v>95.502826945892394</v>
      </c>
      <c r="AN5876">
        <v>1.0000000412390999</v>
      </c>
    </row>
    <row r="5877" spans="1:40" x14ac:dyDescent="0.25">
      <c r="A5877" t="str">
        <f>"20190304164802613"</f>
        <v>20190304164802613</v>
      </c>
      <c r="B5877" t="str">
        <f>"1551689282605035"</f>
        <v>1551689282605035</v>
      </c>
      <c r="C5877" t="s">
        <v>40</v>
      </c>
      <c r="D5877">
        <v>4.1439919999999999</v>
      </c>
      <c r="E5877">
        <v>0.53946740000000004</v>
      </c>
      <c r="F5877" t="s">
        <v>42</v>
      </c>
      <c r="G5877">
        <v>-187.50200000000001</v>
      </c>
      <c r="H5877" s="1">
        <v>-2.8329710000000001E-6</v>
      </c>
      <c r="I5877">
        <v>45.203589999999998</v>
      </c>
      <c r="J5877">
        <v>-186.99760000000001</v>
      </c>
      <c r="K5877">
        <v>1.1108439999999999</v>
      </c>
      <c r="L5877">
        <v>31.923580000000001</v>
      </c>
      <c r="M5877">
        <v>9.8589969999999996E-4</v>
      </c>
      <c r="N5877">
        <v>-1.508194E-2</v>
      </c>
      <c r="O5877">
        <v>0.99988580000000005</v>
      </c>
      <c r="P5877">
        <v>-8.7279570000000001E-2</v>
      </c>
      <c r="Q5877">
        <v>0.36813299999999999</v>
      </c>
      <c r="R5877">
        <v>0.92566749999999998</v>
      </c>
      <c r="S5877">
        <v>-0.12266539999999999</v>
      </c>
      <c r="T5877">
        <v>-0.2703393</v>
      </c>
      <c r="U5877">
        <v>3.3345030000000002</v>
      </c>
      <c r="V5877">
        <v>-8.8111300000000004E-2</v>
      </c>
      <c r="W5877">
        <v>0.3820693</v>
      </c>
      <c r="X5877">
        <v>0.91992370000000001</v>
      </c>
      <c r="Y5877">
        <v>-3.7640420000000001E-2</v>
      </c>
      <c r="Z5877">
        <v>-6.5710270000000001E-2</v>
      </c>
      <c r="AA5877">
        <v>0.99712849999999997</v>
      </c>
      <c r="AB5877">
        <v>40</v>
      </c>
      <c r="AC5877">
        <v>-0.50440000000000396</v>
      </c>
      <c r="AD5877">
        <v>-1.110846832971</v>
      </c>
      <c r="AE5877">
        <v>13.280010000000001</v>
      </c>
      <c r="AF5877">
        <v>-0.51390340207639396</v>
      </c>
      <c r="AG5877">
        <v>-1.110846832971</v>
      </c>
      <c r="AH5877">
        <v>13.187367181014199</v>
      </c>
      <c r="AI5877">
        <v>94.811347168467606</v>
      </c>
      <c r="AJ5877">
        <v>92.231651265811195</v>
      </c>
      <c r="AK5877">
        <v>13.244045098076301</v>
      </c>
      <c r="AL5877">
        <v>67.538083058088105</v>
      </c>
      <c r="AM5877">
        <v>95.471162430893102</v>
      </c>
      <c r="AN5877">
        <v>1.0000000825059301</v>
      </c>
    </row>
    <row r="5878" spans="1:40" x14ac:dyDescent="0.25">
      <c r="A5878" t="str">
        <f>"20190304164802637"</f>
        <v>20190304164802637</v>
      </c>
      <c r="B5878" t="str">
        <f>"1551689282625531"</f>
        <v>1551689282625531</v>
      </c>
      <c r="C5878" t="s">
        <v>40</v>
      </c>
      <c r="D5878">
        <v>4.138217</v>
      </c>
      <c r="E5878">
        <v>0.53956169999999903</v>
      </c>
      <c r="F5878" t="s">
        <v>42</v>
      </c>
      <c r="G5878">
        <v>-187.50309999999999</v>
      </c>
      <c r="H5878" s="1">
        <v>-3.133197E-6</v>
      </c>
      <c r="I5878">
        <v>45.903919999999999</v>
      </c>
      <c r="J5878">
        <v>-186.9973</v>
      </c>
      <c r="K5878">
        <v>1.110922</v>
      </c>
      <c r="L5878">
        <v>32.324860000000001</v>
      </c>
      <c r="M5878">
        <v>8.409159E-4</v>
      </c>
      <c r="N5878">
        <v>-1.507876E-2</v>
      </c>
      <c r="O5878">
        <v>0.99988600000000005</v>
      </c>
      <c r="P5878">
        <v>-8.7351609999999996E-2</v>
      </c>
      <c r="Q5878">
        <v>0.36948890000000001</v>
      </c>
      <c r="R5878">
        <v>0.92512039999999995</v>
      </c>
      <c r="S5878">
        <v>-0.1206055</v>
      </c>
      <c r="T5878">
        <v>-0.26498630000000001</v>
      </c>
      <c r="U5878">
        <v>3.3349299999999999</v>
      </c>
      <c r="V5878">
        <v>-8.8115799999999994E-2</v>
      </c>
      <c r="W5878">
        <v>0.38339830000000003</v>
      </c>
      <c r="X5878">
        <v>0.91937009999999997</v>
      </c>
      <c r="Y5878">
        <v>-3.6880490000000002E-2</v>
      </c>
      <c r="Z5878">
        <v>-6.4114840000000006E-2</v>
      </c>
      <c r="AA5878">
        <v>0.99726079999999995</v>
      </c>
      <c r="AB5878">
        <v>40</v>
      </c>
      <c r="AC5878">
        <v>-0.50579999999999303</v>
      </c>
      <c r="AD5878">
        <v>-1.110925133197</v>
      </c>
      <c r="AE5878">
        <v>13.579059999999901</v>
      </c>
      <c r="AF5878">
        <v>-0.51378588812172699</v>
      </c>
      <c r="AG5878">
        <v>-1.110925133197</v>
      </c>
      <c r="AH5878">
        <v>13.488474597221201</v>
      </c>
      <c r="AI5878">
        <v>94.704917949073604</v>
      </c>
      <c r="AJ5878">
        <v>92.181383670152599</v>
      </c>
      <c r="AK5878">
        <v>13.543894475012801</v>
      </c>
      <c r="AL5878">
        <v>67.455659670313196</v>
      </c>
      <c r="AM5878">
        <v>95.474714781512503</v>
      </c>
      <c r="AN5878">
        <v>1.00000001571326</v>
      </c>
    </row>
    <row r="5879" spans="1:40" x14ac:dyDescent="0.25">
      <c r="A5879" t="str">
        <f>"20190304164802658"</f>
        <v>20190304164802658</v>
      </c>
      <c r="B5879" t="str">
        <f>"1551689282654811"</f>
        <v>1551689282654811</v>
      </c>
      <c r="C5879" t="s">
        <v>40</v>
      </c>
      <c r="D5879">
        <v>4.1478780000000004</v>
      </c>
      <c r="E5879">
        <v>0.53967259999999995</v>
      </c>
      <c r="F5879" t="s">
        <v>42</v>
      </c>
      <c r="G5879">
        <v>-187.506</v>
      </c>
      <c r="H5879" s="1">
        <v>-3.4202279999999998E-6</v>
      </c>
      <c r="I5879">
        <v>46.574170000000002</v>
      </c>
      <c r="J5879">
        <v>-186.99709999999999</v>
      </c>
      <c r="K5879">
        <v>1.1109819999999999</v>
      </c>
      <c r="L5879">
        <v>32.708889999999997</v>
      </c>
      <c r="M5879">
        <v>6.54836E-4</v>
      </c>
      <c r="N5879">
        <v>-1.507557E-2</v>
      </c>
      <c r="O5879">
        <v>0.99988619999999995</v>
      </c>
      <c r="P5879">
        <v>-8.6899459999999998E-2</v>
      </c>
      <c r="Q5879">
        <v>0.36985230000000002</v>
      </c>
      <c r="R5879">
        <v>0.92501770000000005</v>
      </c>
      <c r="S5879">
        <v>-0.11907959999999999</v>
      </c>
      <c r="T5879">
        <v>-0.26004060000000001</v>
      </c>
      <c r="U5879">
        <v>3.3354189999999999</v>
      </c>
      <c r="V5879">
        <v>-8.7546260000000001E-2</v>
      </c>
      <c r="W5879">
        <v>0.38374540000000001</v>
      </c>
      <c r="X5879">
        <v>0.91927969999999903</v>
      </c>
      <c r="Y5879">
        <v>-3.6237810000000002E-2</v>
      </c>
      <c r="Z5879">
        <v>-6.263842E-2</v>
      </c>
      <c r="AA5879">
        <v>0.99737819999999999</v>
      </c>
      <c r="AB5879">
        <v>40</v>
      </c>
      <c r="AC5879">
        <v>-0.50889999999998203</v>
      </c>
      <c r="AD5879">
        <v>-1.1109854202279901</v>
      </c>
      <c r="AE5879">
        <v>13.865279999999901</v>
      </c>
      <c r="AF5879">
        <v>-0.51468041831490496</v>
      </c>
      <c r="AG5879">
        <v>-1.1109854202279901</v>
      </c>
      <c r="AH5879">
        <v>13.7766119182329</v>
      </c>
      <c r="AI5879">
        <v>94.607318225040103</v>
      </c>
      <c r="AJ5879">
        <v>92.139517916182797</v>
      </c>
      <c r="AK5879">
        <v>13.830915388453301</v>
      </c>
      <c r="AL5879">
        <v>67.434125331870106</v>
      </c>
      <c r="AM5879">
        <v>95.440073375995794</v>
      </c>
      <c r="AN5879">
        <v>1.00000002324661</v>
      </c>
    </row>
    <row r="5880" spans="1:40" x14ac:dyDescent="0.25">
      <c r="A5880" t="str">
        <f>"20190304164802680"</f>
        <v>20190304164802680</v>
      </c>
      <c r="B5880" t="str">
        <f>"1551689282675307"</f>
        <v>1551689282675307</v>
      </c>
      <c r="C5880" t="s">
        <v>40</v>
      </c>
      <c r="D5880">
        <v>4.13002</v>
      </c>
      <c r="E5880">
        <v>0.53973439999999995</v>
      </c>
      <c r="F5880" t="s">
        <v>42</v>
      </c>
      <c r="G5880">
        <v>-187.49529999999999</v>
      </c>
      <c r="H5880" s="1">
        <v>-3.6179009999999999E-6</v>
      </c>
      <c r="I5880">
        <v>47.030540000000002</v>
      </c>
      <c r="J5880">
        <v>-186.99700000000001</v>
      </c>
      <c r="K5880">
        <v>1.1110279999999999</v>
      </c>
      <c r="L5880">
        <v>33.098689999999998</v>
      </c>
      <c r="M5880">
        <v>4.3176850000000003E-4</v>
      </c>
      <c r="N5880">
        <v>-1.507213E-2</v>
      </c>
      <c r="O5880">
        <v>0.99988630000000001</v>
      </c>
      <c r="P5880">
        <v>-8.7094000000000005E-2</v>
      </c>
      <c r="Q5880">
        <v>0.36955939999999998</v>
      </c>
      <c r="R5880">
        <v>0.92511650000000001</v>
      </c>
      <c r="S5880">
        <v>-0.1160431</v>
      </c>
      <c r="T5880">
        <v>-0.25876749999999998</v>
      </c>
      <c r="U5880">
        <v>3.3357540000000001</v>
      </c>
      <c r="V5880">
        <v>-8.7579279999999995E-2</v>
      </c>
      <c r="W5880">
        <v>0.38344060000000002</v>
      </c>
      <c r="X5880">
        <v>0.91940370000000005</v>
      </c>
      <c r="Y5880">
        <v>-3.510622E-2</v>
      </c>
      <c r="Z5880">
        <v>-6.2258569999999999E-2</v>
      </c>
      <c r="AA5880">
        <v>0.99744239999999995</v>
      </c>
      <c r="AB5880">
        <v>40</v>
      </c>
      <c r="AC5880">
        <v>-0.49829999999997199</v>
      </c>
      <c r="AD5880">
        <v>-1.111031617901</v>
      </c>
      <c r="AE5880">
        <v>13.931849999999899</v>
      </c>
      <c r="AF5880">
        <v>-0.50113299742981299</v>
      </c>
      <c r="AG5880">
        <v>-1.111031617901</v>
      </c>
      <c r="AH5880">
        <v>13.8437044827796</v>
      </c>
      <c r="AI5880">
        <v>94.585468932314299</v>
      </c>
      <c r="AJ5880">
        <v>92.073164298906804</v>
      </c>
      <c r="AK5880">
        <v>13.897254381482</v>
      </c>
      <c r="AL5880">
        <v>67.453034983871603</v>
      </c>
      <c r="AM5880">
        <v>95.441383330993006</v>
      </c>
      <c r="AN5880">
        <v>0.99999999379368398</v>
      </c>
    </row>
    <row r="5881" spans="1:40" x14ac:dyDescent="0.25">
      <c r="A5881" t="str">
        <f>"20190304164802702"</f>
        <v>20190304164802702</v>
      </c>
      <c r="B5881" t="str">
        <f>"1551689282694828"</f>
        <v>1551689282694828</v>
      </c>
      <c r="C5881" t="s">
        <v>40</v>
      </c>
      <c r="D5881">
        <v>4.3229879999999996</v>
      </c>
      <c r="E5881">
        <v>0.53974</v>
      </c>
      <c r="F5881" t="s">
        <v>42</v>
      </c>
      <c r="G5881">
        <v>-187.4956</v>
      </c>
      <c r="H5881" s="1">
        <v>-3.7522580000000002E-6</v>
      </c>
      <c r="I5881">
        <v>47.34384</v>
      </c>
      <c r="J5881">
        <v>-186.99709999999999</v>
      </c>
      <c r="K5881">
        <v>1.1110690000000001</v>
      </c>
      <c r="L5881">
        <v>33.488709999999998</v>
      </c>
      <c r="M5881">
        <v>1.856583E-4</v>
      </c>
      <c r="N5881">
        <v>-1.506856E-2</v>
      </c>
      <c r="O5881">
        <v>0.99988650000000001</v>
      </c>
      <c r="P5881">
        <v>-8.8416540000000002E-2</v>
      </c>
      <c r="Q5881">
        <v>0.36940460000000003</v>
      </c>
      <c r="R5881">
        <v>0.92505289999999996</v>
      </c>
      <c r="S5881">
        <v>-0.116745</v>
      </c>
      <c r="T5881">
        <v>-0.26017020000000002</v>
      </c>
      <c r="U5881">
        <v>3.335785</v>
      </c>
      <c r="V5881">
        <v>-8.8709040000000003E-2</v>
      </c>
      <c r="W5881">
        <v>0.38327410000000001</v>
      </c>
      <c r="X5881">
        <v>0.91936479999999998</v>
      </c>
      <c r="Y5881">
        <v>-3.5068549999999997E-2</v>
      </c>
      <c r="Z5881">
        <v>-6.2678170000000005E-2</v>
      </c>
      <c r="AA5881">
        <v>0.99741749999999996</v>
      </c>
      <c r="AB5881">
        <v>40</v>
      </c>
      <c r="AC5881">
        <v>-0.49850000000000699</v>
      </c>
      <c r="AD5881">
        <v>-1.111072752258</v>
      </c>
      <c r="AE5881">
        <v>13.855130000000001</v>
      </c>
      <c r="AF5881">
        <v>-0.49787501690546798</v>
      </c>
      <c r="AG5881">
        <v>-1.111072752258</v>
      </c>
      <c r="AH5881">
        <v>13.7666215147781</v>
      </c>
      <c r="AI5881">
        <v>94.611209395959605</v>
      </c>
      <c r="AJ5881">
        <v>92.0712206072442</v>
      </c>
      <c r="AK5881">
        <v>13.8203556439196</v>
      </c>
      <c r="AL5881">
        <v>67.463363587404302</v>
      </c>
      <c r="AM5881">
        <v>95.511378708811506</v>
      </c>
      <c r="AN5881">
        <v>0.99999998249378497</v>
      </c>
    </row>
    <row r="5882" spans="1:40" x14ac:dyDescent="0.25">
      <c r="A5882" t="str">
        <f>"20190304164802725"</f>
        <v>20190304164802725</v>
      </c>
      <c r="B5882" t="str">
        <f>"1551689282715324"</f>
        <v>1551689282715324</v>
      </c>
      <c r="C5882" t="s">
        <v>40</v>
      </c>
      <c r="D5882">
        <v>4.1335490000000004</v>
      </c>
      <c r="E5882">
        <v>0.50949860000000002</v>
      </c>
      <c r="F5882" t="s">
        <v>42</v>
      </c>
      <c r="G5882">
        <v>-187.51990000000001</v>
      </c>
      <c r="H5882" s="1">
        <v>-3.8945809999999996E-6</v>
      </c>
      <c r="I5882">
        <v>47.685659999999999</v>
      </c>
      <c r="J5882">
        <v>-186.99719999999999</v>
      </c>
      <c r="K5882">
        <v>1.1111009999999999</v>
      </c>
      <c r="L5882">
        <v>33.893549999999998</v>
      </c>
      <c r="M5882" s="1">
        <v>-8.3766019999999904E-5</v>
      </c>
      <c r="N5882">
        <v>-1.506475E-2</v>
      </c>
      <c r="O5882">
        <v>0.99988650000000001</v>
      </c>
      <c r="P5882">
        <v>-8.957772E-2</v>
      </c>
      <c r="Q5882">
        <v>0.36933110000000002</v>
      </c>
      <c r="R5882">
        <v>0.92497039999999997</v>
      </c>
      <c r="S5882">
        <v>-0.1228485</v>
      </c>
      <c r="T5882">
        <v>-0.26104640000000001</v>
      </c>
      <c r="U5882">
        <v>3.3355709999999998</v>
      </c>
      <c r="V5882">
        <v>-8.9649270000000003E-2</v>
      </c>
      <c r="W5882">
        <v>0.38318869999999999</v>
      </c>
      <c r="X5882">
        <v>0.91930919999999905</v>
      </c>
      <c r="Y5882">
        <v>-3.6622420000000003E-2</v>
      </c>
      <c r="Z5882">
        <v>-6.2942689999999996E-2</v>
      </c>
      <c r="AA5882">
        <v>0.99734500000000004</v>
      </c>
      <c r="AB5882">
        <v>40</v>
      </c>
      <c r="AC5882">
        <v>-0.52270000000001404</v>
      </c>
      <c r="AD5882">
        <v>-1.111104894581</v>
      </c>
      <c r="AE5882">
        <v>13.792109999999999</v>
      </c>
      <c r="AF5882">
        <v>-0.51818632008950005</v>
      </c>
      <c r="AG5882">
        <v>-1.111104894581</v>
      </c>
      <c r="AH5882">
        <v>13.703345762348</v>
      </c>
      <c r="AI5882">
        <v>94.632261830401404</v>
      </c>
      <c r="AJ5882">
        <v>92.165584242880101</v>
      </c>
      <c r="AK5882">
        <v>13.7580796709262</v>
      </c>
      <c r="AL5882">
        <v>67.468661237891297</v>
      </c>
      <c r="AM5882">
        <v>95.569763345676407</v>
      </c>
      <c r="AN5882">
        <v>0.99999998831193104</v>
      </c>
    </row>
    <row r="5883" spans="1:40" x14ac:dyDescent="0.25">
      <c r="A5883" t="str">
        <f>"20190304164802749"</f>
        <v>20190304164802749</v>
      </c>
      <c r="B5883" t="str">
        <f>"1551689282745580"</f>
        <v>1551689282745580</v>
      </c>
      <c r="C5883" t="s">
        <v>40</v>
      </c>
      <c r="D5883">
        <v>4.0796359999999998</v>
      </c>
      <c r="E5883">
        <v>0.45388499999999998</v>
      </c>
      <c r="F5883" t="s">
        <v>42</v>
      </c>
      <c r="G5883">
        <v>-189.16290000000001</v>
      </c>
      <c r="H5883" s="1">
        <v>-1.8516340000000001E-6</v>
      </c>
      <c r="I5883">
        <v>53.602829999999997</v>
      </c>
      <c r="J5883">
        <v>-186.9975</v>
      </c>
      <c r="K5883">
        <v>1.111124</v>
      </c>
      <c r="L5883">
        <v>34.312710000000003</v>
      </c>
      <c r="M5883">
        <v>-3.6941440000000001E-4</v>
      </c>
      <c r="N5883">
        <v>-1.506071E-2</v>
      </c>
      <c r="O5883">
        <v>0.99988650000000001</v>
      </c>
      <c r="P5883">
        <v>-9.0761629999999996E-2</v>
      </c>
      <c r="Q5883">
        <v>0.36946440000000003</v>
      </c>
      <c r="R5883">
        <v>0.92480180000000001</v>
      </c>
      <c r="S5883">
        <v>-0.3606567</v>
      </c>
      <c r="T5883">
        <v>-0.1850377</v>
      </c>
      <c r="U5883">
        <v>3.2822879999999999</v>
      </c>
      <c r="V5883">
        <v>-9.0592000000000006E-2</v>
      </c>
      <c r="W5883">
        <v>0.3833107</v>
      </c>
      <c r="X5883">
        <v>0.91916589999999998</v>
      </c>
      <c r="Y5883">
        <v>-0.1087056</v>
      </c>
      <c r="Z5883">
        <v>-4.0907659999999998E-2</v>
      </c>
      <c r="AA5883">
        <v>0.993232</v>
      </c>
      <c r="AB5883">
        <v>39</v>
      </c>
      <c r="AC5883">
        <v>-2.1654</v>
      </c>
      <c r="AD5883">
        <v>-1.1111258516339999</v>
      </c>
      <c r="AE5883">
        <v>19.290120000000002</v>
      </c>
      <c r="AF5883">
        <v>-2.1512243774970798</v>
      </c>
      <c r="AG5883">
        <v>-1.1111258516339999</v>
      </c>
      <c r="AH5883">
        <v>19.227917257666601</v>
      </c>
      <c r="AI5883">
        <v>93.286818127160998</v>
      </c>
      <c r="AJ5883">
        <v>96.383719608079204</v>
      </c>
      <c r="AK5883">
        <v>19.379761841884999</v>
      </c>
      <c r="AL5883">
        <v>67.461093043138703</v>
      </c>
      <c r="AM5883">
        <v>95.628831326631001</v>
      </c>
      <c r="AN5883">
        <v>0.99999997746064895</v>
      </c>
    </row>
    <row r="5884" spans="1:40" x14ac:dyDescent="0.25">
      <c r="A5884" t="str">
        <f>"20190304164802770"</f>
        <v>20190304164802770</v>
      </c>
      <c r="B5884" t="str">
        <f>"1551689282765099"</f>
        <v>1551689282765099</v>
      </c>
      <c r="C5884" t="s">
        <v>40</v>
      </c>
      <c r="D5884">
        <v>4.0480960000000001</v>
      </c>
      <c r="E5884">
        <v>0.45268219999999998</v>
      </c>
      <c r="F5884" t="s">
        <v>42</v>
      </c>
      <c r="G5884">
        <v>-194.99510000000001</v>
      </c>
      <c r="H5884" s="1">
        <v>-4.0985520000000004E-6</v>
      </c>
      <c r="I5884">
        <v>66.426869999999994</v>
      </c>
      <c r="J5884">
        <v>-186.99780000000001</v>
      </c>
      <c r="K5884">
        <v>1.1111439999999999</v>
      </c>
      <c r="L5884">
        <v>34.69858</v>
      </c>
      <c r="M5884">
        <v>-6.3417300000000003E-4</v>
      </c>
      <c r="N5884">
        <v>-1.5056899999999899E-2</v>
      </c>
      <c r="O5884">
        <v>0.99988650000000001</v>
      </c>
      <c r="P5884">
        <v>-9.157825E-2</v>
      </c>
      <c r="Q5884">
        <v>0.36911860000000002</v>
      </c>
      <c r="R5884">
        <v>0.9248594</v>
      </c>
      <c r="S5884">
        <v>-0.79937740000000002</v>
      </c>
      <c r="T5884">
        <v>-0.1110593</v>
      </c>
      <c r="U5884">
        <v>3.2098689999999999</v>
      </c>
      <c r="V5884">
        <v>-9.1181020000000002E-2</v>
      </c>
      <c r="W5884">
        <v>0.38295790000000002</v>
      </c>
      <c r="X5884">
        <v>0.91925469999999998</v>
      </c>
      <c r="Y5884">
        <v>-0.2409126</v>
      </c>
      <c r="Z5884">
        <v>-1.8506769999999999E-2</v>
      </c>
      <c r="AA5884">
        <v>0.97037039999999997</v>
      </c>
      <c r="AB5884">
        <v>39</v>
      </c>
      <c r="AC5884">
        <v>-7.9972999999999903</v>
      </c>
      <c r="AD5884">
        <v>-1.1111480985519999</v>
      </c>
      <c r="AE5884">
        <v>31.728289999999902</v>
      </c>
      <c r="AF5884">
        <v>-7.9679863040331096</v>
      </c>
      <c r="AG5884">
        <v>-1.1111480985519999</v>
      </c>
      <c r="AH5884">
        <v>31.696803505563</v>
      </c>
      <c r="AI5884">
        <v>91.9471790900554</v>
      </c>
      <c r="AJ5884">
        <v>104.110710910797</v>
      </c>
      <c r="AK5884">
        <v>32.701847169669897</v>
      </c>
      <c r="AL5884">
        <v>67.482976657579698</v>
      </c>
      <c r="AM5884">
        <v>95.664648411604801</v>
      </c>
      <c r="AN5884">
        <v>0.99999996752636899</v>
      </c>
    </row>
    <row r="5885" spans="1:40" x14ac:dyDescent="0.25">
      <c r="A5885" t="str">
        <f>"20190304164802793"</f>
        <v>20190304164802793</v>
      </c>
      <c r="B5885" t="str">
        <f>"1551689282785596"</f>
        <v>1551689282785596</v>
      </c>
      <c r="C5885" t="s">
        <v>40</v>
      </c>
      <c r="D5885">
        <v>4.0107150000000003</v>
      </c>
      <c r="E5885">
        <v>0.45307920000000002</v>
      </c>
      <c r="F5885" t="s">
        <v>42</v>
      </c>
      <c r="G5885">
        <v>-194.63229999999999</v>
      </c>
      <c r="H5885" s="1">
        <v>-3.4984039999999999E-6</v>
      </c>
      <c r="I5885">
        <v>64.87088</v>
      </c>
      <c r="J5885">
        <v>-186.9983</v>
      </c>
      <c r="K5885">
        <v>1.111162</v>
      </c>
      <c r="L5885">
        <v>35.086730000000003</v>
      </c>
      <c r="M5885">
        <v>-9.0367409999999996E-4</v>
      </c>
      <c r="N5885">
        <v>-1.5052970000000001E-2</v>
      </c>
      <c r="O5885">
        <v>0.99988630000000001</v>
      </c>
      <c r="P5885">
        <v>-9.211627E-2</v>
      </c>
      <c r="Q5885">
        <v>0.36891770000000002</v>
      </c>
      <c r="R5885">
        <v>0.92488610000000004</v>
      </c>
      <c r="S5885">
        <v>-0.81234740000000005</v>
      </c>
      <c r="T5885">
        <v>-0.1182315</v>
      </c>
      <c r="U5885">
        <v>3.21048</v>
      </c>
      <c r="V5885">
        <v>-9.1485399999999995E-2</v>
      </c>
      <c r="W5885">
        <v>0.38275039999999999</v>
      </c>
      <c r="X5885">
        <v>0.91931090000000004</v>
      </c>
      <c r="Y5885">
        <v>-0.24427879999999999</v>
      </c>
      <c r="Z5885">
        <v>-2.0637409999999998E-2</v>
      </c>
      <c r="AA5885">
        <v>0.96948540000000005</v>
      </c>
      <c r="AB5885">
        <v>39</v>
      </c>
      <c r="AC5885">
        <v>-7.6339999999999799</v>
      </c>
      <c r="AD5885">
        <v>-1.111165498404</v>
      </c>
      <c r="AE5885">
        <v>29.78415</v>
      </c>
      <c r="AF5885">
        <v>-7.5971565328274799</v>
      </c>
      <c r="AG5885">
        <v>-1.111165498404</v>
      </c>
      <c r="AH5885">
        <v>29.752179945842901</v>
      </c>
      <c r="AI5885">
        <v>92.072416474212005</v>
      </c>
      <c r="AJ5885">
        <v>104.324266221768</v>
      </c>
      <c r="AK5885">
        <v>30.726921220306799</v>
      </c>
      <c r="AL5885">
        <v>67.495846577547994</v>
      </c>
      <c r="AM5885">
        <v>95.683089346908901</v>
      </c>
      <c r="AN5885">
        <v>0.99999998898606501</v>
      </c>
    </row>
    <row r="5886" spans="1:40" x14ac:dyDescent="0.25">
      <c r="A5886" t="str">
        <f>"20190304164802816"</f>
        <v>20190304164802816</v>
      </c>
      <c r="B5886" t="str">
        <f>"1551689282805115"</f>
        <v>1551689282805115</v>
      </c>
      <c r="C5886" t="s">
        <v>40</v>
      </c>
      <c r="D5886">
        <v>4.0098129999999896</v>
      </c>
      <c r="E5886">
        <v>0.45318639999999999</v>
      </c>
      <c r="F5886" t="s">
        <v>42</v>
      </c>
      <c r="G5886">
        <v>-194.34829999999999</v>
      </c>
      <c r="H5886" s="1">
        <v>-3.1389379999999999E-6</v>
      </c>
      <c r="I5886">
        <v>64.209140000000005</v>
      </c>
      <c r="J5886">
        <v>-186.99889999999999</v>
      </c>
      <c r="K5886">
        <v>1.1111839999999999</v>
      </c>
      <c r="L5886">
        <v>35.489649999999997</v>
      </c>
      <c r="M5886">
        <v>-1.1915719999999999E-3</v>
      </c>
      <c r="N5886">
        <v>-1.504891E-2</v>
      </c>
      <c r="O5886">
        <v>0.99988600000000005</v>
      </c>
      <c r="P5886">
        <v>-9.2455919999999997E-2</v>
      </c>
      <c r="Q5886">
        <v>0.36889369999999999</v>
      </c>
      <c r="R5886">
        <v>0.92486179999999996</v>
      </c>
      <c r="S5886">
        <v>-0.81059269999999894</v>
      </c>
      <c r="T5886">
        <v>-0.1225458</v>
      </c>
      <c r="U5886">
        <v>3.211792</v>
      </c>
      <c r="V5886">
        <v>-9.1575240000000002E-2</v>
      </c>
      <c r="W5886">
        <v>0.38271909999999998</v>
      </c>
      <c r="X5886">
        <v>0.91931499999999999</v>
      </c>
      <c r="Y5886">
        <v>-0.2433987</v>
      </c>
      <c r="Z5886">
        <v>-2.1934809999999999E-2</v>
      </c>
      <c r="AA5886">
        <v>0.96967829999999999</v>
      </c>
      <c r="AB5886">
        <v>39</v>
      </c>
      <c r="AC5886">
        <v>-7.3494000000000002</v>
      </c>
      <c r="AD5886">
        <v>-1.1111871389379999</v>
      </c>
      <c r="AE5886">
        <v>28.71949</v>
      </c>
      <c r="AF5886">
        <v>-7.30490624663953</v>
      </c>
      <c r="AG5886">
        <v>-1.1111871389379999</v>
      </c>
      <c r="AH5886">
        <v>28.687921707180401</v>
      </c>
      <c r="AI5886">
        <v>92.149636831167399</v>
      </c>
      <c r="AJ5886">
        <v>104.285833927515</v>
      </c>
      <c r="AK5886">
        <v>29.624200310004099</v>
      </c>
      <c r="AL5886">
        <v>67.497788039551494</v>
      </c>
      <c r="AM5886">
        <v>95.688608433720105</v>
      </c>
      <c r="AN5886">
        <v>1.00000000165543</v>
      </c>
    </row>
    <row r="5887" spans="1:40" x14ac:dyDescent="0.25">
      <c r="A5887" t="str">
        <f>"20190304164802839"</f>
        <v>20190304164802839</v>
      </c>
      <c r="B5887" t="str">
        <f>"1551689282835371"</f>
        <v>1551689282835371</v>
      </c>
      <c r="C5887" t="s">
        <v>40</v>
      </c>
      <c r="D5887">
        <v>4.0172160000000003</v>
      </c>
      <c r="E5887">
        <v>0.4532389</v>
      </c>
      <c r="F5887" t="s">
        <v>42</v>
      </c>
      <c r="G5887">
        <v>-194.09989999999999</v>
      </c>
      <c r="H5887" s="1">
        <v>-2.8250539999999999E-6</v>
      </c>
      <c r="I5887">
        <v>63.631480000000003</v>
      </c>
      <c r="J5887">
        <v>-186.99969999999999</v>
      </c>
      <c r="K5887">
        <v>1.111208</v>
      </c>
      <c r="L5887">
        <v>35.890560000000001</v>
      </c>
      <c r="M5887">
        <v>-1.4947679999999901E-3</v>
      </c>
      <c r="N5887">
        <v>-1.504484E-2</v>
      </c>
      <c r="O5887">
        <v>0.99988569999999999</v>
      </c>
      <c r="P5887">
        <v>-9.2820780000000006E-2</v>
      </c>
      <c r="Q5887">
        <v>0.36870900000000001</v>
      </c>
      <c r="R5887">
        <v>0.92489889999999997</v>
      </c>
      <c r="S5887">
        <v>-0.81080629999999998</v>
      </c>
      <c r="T5887">
        <v>-0.1268774</v>
      </c>
      <c r="U5887">
        <v>3.2132869999999998</v>
      </c>
      <c r="V5887">
        <v>-9.1677819999999993E-2</v>
      </c>
      <c r="W5887">
        <v>0.38252710000000001</v>
      </c>
      <c r="X5887">
        <v>0.91938470000000005</v>
      </c>
      <c r="Y5887">
        <v>-0.24304890000000001</v>
      </c>
      <c r="Z5887">
        <v>-2.322919E-2</v>
      </c>
      <c r="AA5887">
        <v>0.96973589999999998</v>
      </c>
      <c r="AB5887">
        <v>39</v>
      </c>
      <c r="AC5887">
        <v>-7.1002000000000001</v>
      </c>
      <c r="AD5887">
        <v>-1.111210825054</v>
      </c>
      <c r="AE5887">
        <v>27.740919999999999</v>
      </c>
      <c r="AF5887">
        <v>-7.0481074355855897</v>
      </c>
      <c r="AG5887">
        <v>-1.111210825054</v>
      </c>
      <c r="AH5887">
        <v>27.709775391930901</v>
      </c>
      <c r="AI5887">
        <v>92.225638966841899</v>
      </c>
      <c r="AJ5887">
        <v>104.27082279981801</v>
      </c>
      <c r="AK5887">
        <v>28.613672609305699</v>
      </c>
      <c r="AL5887">
        <v>67.509695220890507</v>
      </c>
      <c r="AM5887">
        <v>95.69450988445</v>
      </c>
      <c r="AN5887">
        <v>1.0000000157542199</v>
      </c>
    </row>
    <row r="5888" spans="1:40" x14ac:dyDescent="0.25">
      <c r="A5888" t="str">
        <f>"20190304164802882"</f>
        <v>20190304164802882</v>
      </c>
      <c r="B5888" t="str">
        <f>"1551689282875388"</f>
        <v>1551689282875388</v>
      </c>
      <c r="C5888" t="s">
        <v>40</v>
      </c>
      <c r="D5888">
        <v>4.0287519999999999</v>
      </c>
      <c r="E5888">
        <v>0.4531191</v>
      </c>
      <c r="F5888" t="s">
        <v>42</v>
      </c>
      <c r="G5888">
        <v>-193.93350000000001</v>
      </c>
      <c r="H5888" s="1">
        <v>-2.6694510000000002E-6</v>
      </c>
      <c r="I5888">
        <v>63.371980000000001</v>
      </c>
      <c r="J5888">
        <v>-187.00149999999999</v>
      </c>
      <c r="K5888">
        <v>1.111253</v>
      </c>
      <c r="L5888">
        <v>36.634700000000002</v>
      </c>
      <c r="M5888">
        <v>-2.116831E-3</v>
      </c>
      <c r="N5888">
        <v>-1.503724E-2</v>
      </c>
      <c r="O5888">
        <v>0.99988469999999996</v>
      </c>
      <c r="P5888">
        <v>-9.3456120000000004E-2</v>
      </c>
      <c r="Q5888">
        <v>0.36897489999999999</v>
      </c>
      <c r="R5888">
        <v>0.92472889999999996</v>
      </c>
      <c r="S5888">
        <v>-0.81092830000000005</v>
      </c>
      <c r="T5888">
        <v>-0.12995889999999999</v>
      </c>
      <c r="U5888">
        <v>3.2140200000000001</v>
      </c>
      <c r="V5888">
        <v>-9.1779890000000003E-2</v>
      </c>
      <c r="W5888">
        <v>0.38277420000000001</v>
      </c>
      <c r="X5888">
        <v>0.91927159999999997</v>
      </c>
      <c r="Y5888">
        <v>-0.24242079999999999</v>
      </c>
      <c r="Z5888">
        <v>-2.416049E-2</v>
      </c>
      <c r="AA5888">
        <v>0.96987029999999996</v>
      </c>
      <c r="AB5888">
        <v>39</v>
      </c>
      <c r="AC5888">
        <v>-6.9320000000000102</v>
      </c>
      <c r="AD5888">
        <v>-1.1112556694509901</v>
      </c>
      <c r="AE5888">
        <v>26.737279999999998</v>
      </c>
      <c r="AF5888">
        <v>-6.8642692298448802</v>
      </c>
      <c r="AG5888">
        <v>-1.1112556694509901</v>
      </c>
      <c r="AH5888">
        <v>26.708664865302602</v>
      </c>
      <c r="AI5888">
        <v>92.307599259822197</v>
      </c>
      <c r="AJ5888">
        <v>104.41338187398701</v>
      </c>
      <c r="AK5888">
        <v>27.599019187459</v>
      </c>
      <c r="AL5888">
        <v>67.494369737111796</v>
      </c>
      <c r="AM5888">
        <v>95.701504922610894</v>
      </c>
      <c r="AN5888">
        <v>0.99999995548030496</v>
      </c>
    </row>
    <row r="5889" spans="1:40" x14ac:dyDescent="0.25">
      <c r="A5889" t="str">
        <f>"20190304164802903"</f>
        <v>20190304164802903</v>
      </c>
      <c r="B5889" t="str">
        <f>"1551689282894908"</f>
        <v>1551689282894908</v>
      </c>
      <c r="C5889" t="s">
        <v>40</v>
      </c>
      <c r="D5889">
        <v>4.240361</v>
      </c>
      <c r="E5889">
        <v>0.4530651</v>
      </c>
      <c r="F5889" t="s">
        <v>42</v>
      </c>
      <c r="G5889">
        <v>-194.02600000000001</v>
      </c>
      <c r="H5889" s="1">
        <v>-3.1096930000000001E-6</v>
      </c>
      <c r="I5889">
        <v>64.340869999999995</v>
      </c>
      <c r="J5889">
        <v>-187.0026</v>
      </c>
      <c r="K5889">
        <v>1.1112679999999999</v>
      </c>
      <c r="L5889">
        <v>37.012239999999998</v>
      </c>
      <c r="M5889">
        <v>-2.4787429999999998E-3</v>
      </c>
      <c r="N5889">
        <v>-1.503344E-2</v>
      </c>
      <c r="O5889">
        <v>0.99988390000000005</v>
      </c>
      <c r="P5889">
        <v>-9.3570260000000002E-2</v>
      </c>
      <c r="Q5889">
        <v>0.36848779999999998</v>
      </c>
      <c r="R5889">
        <v>0.92491159999999994</v>
      </c>
      <c r="S5889">
        <v>-0.81468200000000002</v>
      </c>
      <c r="T5889">
        <v>-0.12888050000000001</v>
      </c>
      <c r="U5889">
        <v>3.2132869999999998</v>
      </c>
      <c r="V5889">
        <v>-9.1585369999999999E-2</v>
      </c>
      <c r="W5889">
        <v>0.38228030000000002</v>
      </c>
      <c r="X5889">
        <v>0.91949650000000005</v>
      </c>
      <c r="Y5889">
        <v>-0.24318909999999999</v>
      </c>
      <c r="Z5889">
        <v>-2.383944E-2</v>
      </c>
      <c r="AA5889">
        <v>0.96968589999999999</v>
      </c>
      <c r="AB5889">
        <v>39</v>
      </c>
      <c r="AC5889">
        <v>-7.0233999999999801</v>
      </c>
      <c r="AD5889">
        <v>-1.1112711096929999</v>
      </c>
      <c r="AE5889">
        <v>27.328629999999901</v>
      </c>
      <c r="AF5889">
        <v>-6.9448582437369204</v>
      </c>
      <c r="AG5889">
        <v>-1.1112711096929999</v>
      </c>
      <c r="AH5889">
        <v>27.303607759783102</v>
      </c>
      <c r="AI5889">
        <v>92.258834662064501</v>
      </c>
      <c r="AJ5889">
        <v>104.2709438031</v>
      </c>
      <c r="AK5889">
        <v>28.194910466339898</v>
      </c>
      <c r="AL5889">
        <v>67.524997669152498</v>
      </c>
      <c r="AM5889">
        <v>95.688117939865506</v>
      </c>
      <c r="AN5889">
        <v>0.99999996063918695</v>
      </c>
    </row>
    <row r="5890" spans="1:40" x14ac:dyDescent="0.25">
      <c r="A5890" t="str">
        <f>"20190304164802926"</f>
        <v>20190304164802926</v>
      </c>
      <c r="B5890" t="str">
        <f>"1551689282915404"</f>
        <v>1551689282915404</v>
      </c>
      <c r="C5890" t="s">
        <v>40</v>
      </c>
      <c r="D5890">
        <v>4.0070509999999997</v>
      </c>
      <c r="E5890">
        <v>0.45322990000000002</v>
      </c>
      <c r="F5890" t="s">
        <v>42</v>
      </c>
      <c r="G5890">
        <v>-194.00409999999999</v>
      </c>
      <c r="H5890" s="1">
        <v>-3.2259950000000002E-6</v>
      </c>
      <c r="I5890">
        <v>64.625519999999995</v>
      </c>
      <c r="J5890">
        <v>-187.00399999999999</v>
      </c>
      <c r="K5890">
        <v>1.1113059999999999</v>
      </c>
      <c r="L5890">
        <v>37.410310000000003</v>
      </c>
      <c r="M5890">
        <v>-2.9068589999999999E-3</v>
      </c>
      <c r="N5890">
        <v>-1.502945E-2</v>
      </c>
      <c r="O5890">
        <v>0.99988279999999996</v>
      </c>
      <c r="P5890">
        <v>-9.3696719999999997E-2</v>
      </c>
      <c r="Q5890">
        <v>0.36812489999999998</v>
      </c>
      <c r="R5890">
        <v>0.92504319999999896</v>
      </c>
      <c r="S5890">
        <v>-0.8145905</v>
      </c>
      <c r="T5890">
        <v>-0.1292913</v>
      </c>
      <c r="U5890">
        <v>3.2126769999999998</v>
      </c>
      <c r="V5890">
        <v>-9.1350200000000006E-2</v>
      </c>
      <c r="W5890">
        <v>0.38190839999999998</v>
      </c>
      <c r="X5890">
        <v>0.91967449999999995</v>
      </c>
      <c r="Y5890">
        <v>-0.2427908</v>
      </c>
      <c r="Z5890">
        <v>-2.3977160000000001E-2</v>
      </c>
      <c r="AA5890">
        <v>0.96978229999999999</v>
      </c>
      <c r="AB5890">
        <v>39</v>
      </c>
      <c r="AC5890">
        <v>-7.0000999999999696</v>
      </c>
      <c r="AD5890">
        <v>-1.1113092259949999</v>
      </c>
      <c r="AE5890">
        <v>27.215209999999999</v>
      </c>
      <c r="AF5890">
        <v>-6.9101435366269301</v>
      </c>
      <c r="AG5890">
        <v>-1.1113092259949999</v>
      </c>
      <c r="AH5890">
        <v>27.192917050293801</v>
      </c>
      <c r="AI5890">
        <v>92.268228062202198</v>
      </c>
      <c r="AJ5890">
        <v>104.25796141882201</v>
      </c>
      <c r="AK5890">
        <v>28.079170742682699</v>
      </c>
      <c r="AL5890">
        <v>67.548057296492502</v>
      </c>
      <c r="AM5890">
        <v>95.672516638565696</v>
      </c>
      <c r="AN5890">
        <v>1.0000000354904199</v>
      </c>
    </row>
    <row r="5891" spans="1:40" x14ac:dyDescent="0.25">
      <c r="A5891" t="str">
        <f>"20190304164802947"</f>
        <v>20190304164802947</v>
      </c>
      <c r="B5891" t="str">
        <f>"1551689282945660"</f>
        <v>1551689282945660</v>
      </c>
      <c r="C5891" t="s">
        <v>40</v>
      </c>
      <c r="D5891">
        <v>4.0096860000000003</v>
      </c>
      <c r="E5891">
        <v>0.45317420000000003</v>
      </c>
      <c r="F5891" t="s">
        <v>42</v>
      </c>
      <c r="G5891">
        <v>-193.9906</v>
      </c>
      <c r="H5891" s="1">
        <v>-3.4085320000000001E-6</v>
      </c>
      <c r="I5891">
        <v>65.059430000000006</v>
      </c>
      <c r="J5891">
        <v>-187.00559999999999</v>
      </c>
      <c r="K5891">
        <v>1.1113630000000001</v>
      </c>
      <c r="L5891">
        <v>37.789520000000003</v>
      </c>
      <c r="M5891">
        <v>-3.3794469999999998E-3</v>
      </c>
      <c r="N5891">
        <v>-1.5025699999999999E-2</v>
      </c>
      <c r="O5891">
        <v>0.99988140000000003</v>
      </c>
      <c r="P5891">
        <v>-9.2852859999999995E-2</v>
      </c>
      <c r="Q5891">
        <v>0.36776959999999997</v>
      </c>
      <c r="R5891">
        <v>0.92526960000000003</v>
      </c>
      <c r="S5891">
        <v>-0.8116913</v>
      </c>
      <c r="T5891">
        <v>-0.1291109</v>
      </c>
      <c r="U5891">
        <v>3.21225</v>
      </c>
      <c r="V5891">
        <v>-9.0112330000000004E-2</v>
      </c>
      <c r="W5891">
        <v>0.38154440000000001</v>
      </c>
      <c r="X5891">
        <v>0.91994770000000003</v>
      </c>
      <c r="Y5891">
        <v>-0.24154110000000001</v>
      </c>
      <c r="Z5891">
        <v>-2.394278E-2</v>
      </c>
      <c r="AA5891">
        <v>0.97009520000000005</v>
      </c>
      <c r="AB5891">
        <v>39</v>
      </c>
      <c r="AC5891">
        <v>-6.9850000000000101</v>
      </c>
      <c r="AD5891">
        <v>-1.1113664085320001</v>
      </c>
      <c r="AE5891">
        <v>27.269909999999999</v>
      </c>
      <c r="AF5891">
        <v>-6.8820657394519298</v>
      </c>
      <c r="AG5891">
        <v>-1.1113664085320001</v>
      </c>
      <c r="AH5891">
        <v>27.250887699972001</v>
      </c>
      <c r="AI5891">
        <v>92.264369990872694</v>
      </c>
      <c r="AJ5891">
        <v>104.17338215468401</v>
      </c>
      <c r="AK5891">
        <v>28.128434804884499</v>
      </c>
      <c r="AL5891">
        <v>67.570622356533207</v>
      </c>
      <c r="AM5891">
        <v>95.594489275717905</v>
      </c>
      <c r="AN5891">
        <v>1.00000006596233</v>
      </c>
    </row>
    <row r="5892" spans="1:40" x14ac:dyDescent="0.25">
      <c r="A5892" t="str">
        <f>"20190304164802969"</f>
        <v>20190304164802969</v>
      </c>
      <c r="B5892" t="str">
        <f>"1551689282965179"</f>
        <v>1551689282965179</v>
      </c>
      <c r="C5892" t="s">
        <v>40</v>
      </c>
      <c r="D5892">
        <v>4.0217700000000001</v>
      </c>
      <c r="E5892">
        <v>0.45289239999999997</v>
      </c>
      <c r="F5892" t="s">
        <v>42</v>
      </c>
      <c r="G5892">
        <v>-193.9828</v>
      </c>
      <c r="H5892" s="1">
        <v>-3.5954590000000001E-6</v>
      </c>
      <c r="I5892">
        <v>65.499979999999994</v>
      </c>
      <c r="J5892">
        <v>-187.00729999999999</v>
      </c>
      <c r="K5892">
        <v>1.111421</v>
      </c>
      <c r="L5892">
        <v>38.161830000000002</v>
      </c>
      <c r="M5892">
        <v>-3.9109599999999998E-3</v>
      </c>
      <c r="N5892">
        <v>-1.502217E-2</v>
      </c>
      <c r="O5892">
        <v>0.99987950000000003</v>
      </c>
      <c r="P5892">
        <v>-9.1891829999999994E-2</v>
      </c>
      <c r="Q5892">
        <v>0.36822189999999999</v>
      </c>
      <c r="R5892">
        <v>0.9251857</v>
      </c>
      <c r="S5892">
        <v>-0.8088379</v>
      </c>
      <c r="T5892">
        <v>-0.12883539999999999</v>
      </c>
      <c r="U5892">
        <v>3.2123409999999999</v>
      </c>
      <c r="V5892">
        <v>-8.8713509999999995E-2</v>
      </c>
      <c r="W5892">
        <v>0.38198149999999997</v>
      </c>
      <c r="X5892">
        <v>0.9199022</v>
      </c>
      <c r="Y5892">
        <v>-0.24020949999999999</v>
      </c>
      <c r="Z5892">
        <v>-2.3873729999999999E-2</v>
      </c>
      <c r="AA5892">
        <v>0.9704275</v>
      </c>
      <c r="AB5892">
        <v>39</v>
      </c>
      <c r="AC5892">
        <v>-6.97550000000001</v>
      </c>
      <c r="AD5892">
        <v>-1.1114245954590001</v>
      </c>
      <c r="AE5892">
        <v>27.338149999999999</v>
      </c>
      <c r="AF5892">
        <v>-6.8578742670252799</v>
      </c>
      <c r="AG5892">
        <v>-1.1114245954590001</v>
      </c>
      <c r="AH5892">
        <v>27.322825908751401</v>
      </c>
      <c r="AI5892">
        <v>92.259360737501893</v>
      </c>
      <c r="AJ5892">
        <v>104.089850364515</v>
      </c>
      <c r="AK5892">
        <v>28.1922421906037</v>
      </c>
      <c r="AL5892">
        <v>67.543524675934705</v>
      </c>
      <c r="AM5892">
        <v>95.508454656524506</v>
      </c>
      <c r="AN5892">
        <v>1.0000000053817999</v>
      </c>
    </row>
    <row r="5893" spans="1:40" x14ac:dyDescent="0.25">
      <c r="A5893" t="str">
        <f>"20190304164802992"</f>
        <v>20190304164802992</v>
      </c>
      <c r="B5893" t="str">
        <f>"1551689282985676"</f>
        <v>1551689282985676</v>
      </c>
      <c r="C5893" t="s">
        <v>40</v>
      </c>
      <c r="D5893">
        <v>4.0251489999999999</v>
      </c>
      <c r="E5893">
        <v>0.45254430000000001</v>
      </c>
      <c r="F5893" t="s">
        <v>42</v>
      </c>
      <c r="G5893">
        <v>-194.06720000000001</v>
      </c>
      <c r="H5893" s="1">
        <v>-3.8770399999999997E-6</v>
      </c>
      <c r="I5893">
        <v>66.259640000000005</v>
      </c>
      <c r="J5893">
        <v>-187.0094</v>
      </c>
      <c r="K5893">
        <v>1.1114930000000001</v>
      </c>
      <c r="L5893">
        <v>38.561459999999997</v>
      </c>
      <c r="M5893">
        <v>-4.5493740000000001E-3</v>
      </c>
      <c r="N5893">
        <v>-1.501865E-2</v>
      </c>
      <c r="O5893">
        <v>0.99987689999999996</v>
      </c>
      <c r="P5893">
        <v>-9.1578359999999998E-2</v>
      </c>
      <c r="Q5893">
        <v>0.36823840000000002</v>
      </c>
      <c r="R5893">
        <v>0.92521019999999998</v>
      </c>
      <c r="S5893">
        <v>-0.80729680000000004</v>
      </c>
      <c r="T5893">
        <v>-0.12709139999999999</v>
      </c>
      <c r="U5893">
        <v>3.2129819999999998</v>
      </c>
      <c r="V5893">
        <v>-8.7870790000000004E-2</v>
      </c>
      <c r="W5893">
        <v>0.38198330000000003</v>
      </c>
      <c r="X5893">
        <v>0.91998230000000003</v>
      </c>
      <c r="Y5893">
        <v>-0.2391103</v>
      </c>
      <c r="Z5893">
        <v>-2.3352540000000001E-2</v>
      </c>
      <c r="AA5893">
        <v>0.97071149999999995</v>
      </c>
      <c r="AB5893">
        <v>39</v>
      </c>
      <c r="AC5893">
        <v>-7.0578000000000101</v>
      </c>
      <c r="AD5893">
        <v>-1.11149687704</v>
      </c>
      <c r="AE5893">
        <v>27.698180000000001</v>
      </c>
      <c r="AF5893">
        <v>-6.9212374403649797</v>
      </c>
      <c r="AG5893">
        <v>-1.11149687704</v>
      </c>
      <c r="AH5893">
        <v>27.688137008122901</v>
      </c>
      <c r="AI5893">
        <v>92.230263574291897</v>
      </c>
      <c r="AJ5893">
        <v>104.03469158633</v>
      </c>
      <c r="AK5893">
        <v>28.5617206063319</v>
      </c>
      <c r="AL5893">
        <v>67.543412356170293</v>
      </c>
      <c r="AM5893">
        <v>95.455973055510896</v>
      </c>
      <c r="AN5893">
        <v>0.99999997476370095</v>
      </c>
    </row>
    <row r="5894" spans="1:40" x14ac:dyDescent="0.25">
      <c r="A5894" t="str">
        <f>"20190304164803015"</f>
        <v>20190304164803015</v>
      </c>
      <c r="B5894" t="str">
        <f>"1551689283005196"</f>
        <v>1551689283005196</v>
      </c>
      <c r="C5894" t="s">
        <v>40</v>
      </c>
      <c r="D5894">
        <v>3.9903689999999998</v>
      </c>
      <c r="E5894">
        <v>0.45222449999999997</v>
      </c>
      <c r="F5894" t="s">
        <v>42</v>
      </c>
      <c r="G5894">
        <v>-194.07669999999999</v>
      </c>
      <c r="H5894" s="1">
        <v>-4.0337E-6</v>
      </c>
      <c r="I5894">
        <v>66.715040000000002</v>
      </c>
      <c r="J5894">
        <v>-187.0119</v>
      </c>
      <c r="K5894">
        <v>1.1115520000000001</v>
      </c>
      <c r="L5894">
        <v>38.964320000000001</v>
      </c>
      <c r="M5894">
        <v>-5.2544039999999998E-3</v>
      </c>
      <c r="N5894">
        <v>-1.501487E-2</v>
      </c>
      <c r="O5894">
        <v>0.99987349999999997</v>
      </c>
      <c r="P5894">
        <v>-9.2574809999999993E-2</v>
      </c>
      <c r="Q5894">
        <v>0.36786439999999998</v>
      </c>
      <c r="R5894">
        <v>0.92525979999999997</v>
      </c>
      <c r="S5894">
        <v>-0.80657959999999995</v>
      </c>
      <c r="T5894">
        <v>-0.126855</v>
      </c>
      <c r="U5894">
        <v>3.213165</v>
      </c>
      <c r="V5894">
        <v>-8.826958E-2</v>
      </c>
      <c r="W5894">
        <v>0.38159369999999998</v>
      </c>
      <c r="X5894">
        <v>0.92010579999999997</v>
      </c>
      <c r="Y5894">
        <v>-0.23820959999999999</v>
      </c>
      <c r="Z5894">
        <v>-2.3289359999999999E-2</v>
      </c>
      <c r="AA5894">
        <v>0.97093450000000003</v>
      </c>
      <c r="AB5894">
        <v>39</v>
      </c>
      <c r="AC5894">
        <v>-7.0647999999999902</v>
      </c>
      <c r="AD5894">
        <v>-1.1115560336999999</v>
      </c>
      <c r="AE5894">
        <v>27.750720000000001</v>
      </c>
      <c r="AF5894">
        <v>-6.9084631890570396</v>
      </c>
      <c r="AG5894">
        <v>-1.1115560336999999</v>
      </c>
      <c r="AH5894">
        <v>27.745656527146899</v>
      </c>
      <c r="AI5894">
        <v>92.226274123622105</v>
      </c>
      <c r="AJ5894">
        <v>103.98190617810199</v>
      </c>
      <c r="AK5894">
        <v>28.614399811511301</v>
      </c>
      <c r="AL5894">
        <v>67.567564360945198</v>
      </c>
      <c r="AM5894">
        <v>95.479852698477202</v>
      </c>
      <c r="AN5894">
        <v>0.99999997691335196</v>
      </c>
    </row>
    <row r="5895" spans="1:40" x14ac:dyDescent="0.25">
      <c r="A5895" t="str">
        <f>"20190304164803040"</f>
        <v>20190304164803040</v>
      </c>
      <c r="B5895" t="str">
        <f>"1551689283025692"</f>
        <v>1551689283025692</v>
      </c>
      <c r="C5895" t="s">
        <v>40</v>
      </c>
      <c r="D5895">
        <v>4.046227</v>
      </c>
      <c r="E5895">
        <v>0.45203939999999998</v>
      </c>
      <c r="F5895" t="s">
        <v>42</v>
      </c>
      <c r="G5895">
        <v>-194.0412</v>
      </c>
      <c r="H5895" s="1">
        <v>-4.0643110000000003E-6</v>
      </c>
      <c r="I5895">
        <v>66.823449999999994</v>
      </c>
      <c r="J5895">
        <v>-187.01490000000001</v>
      </c>
      <c r="K5895">
        <v>1.111605</v>
      </c>
      <c r="L5895">
        <v>39.382930000000002</v>
      </c>
      <c r="M5895">
        <v>-6.0394159999999997E-3</v>
      </c>
      <c r="N5895">
        <v>-1.5010519999999999E-2</v>
      </c>
      <c r="O5895">
        <v>0.99986909999999896</v>
      </c>
      <c r="P5895">
        <v>-9.3888230000000003E-2</v>
      </c>
      <c r="Q5895">
        <v>0.3677588</v>
      </c>
      <c r="R5895">
        <v>0.92516949999999998</v>
      </c>
      <c r="S5895">
        <v>-0.81048580000000003</v>
      </c>
      <c r="T5895">
        <v>-0.12816369999999999</v>
      </c>
      <c r="U5895">
        <v>3.212189</v>
      </c>
      <c r="V5895">
        <v>-8.8901279999999999E-2</v>
      </c>
      <c r="W5895">
        <v>0.3814729</v>
      </c>
      <c r="X5895">
        <v>0.92009510000000005</v>
      </c>
      <c r="Y5895">
        <v>-0.238624</v>
      </c>
      <c r="Z5895">
        <v>-2.3693280000000001E-2</v>
      </c>
      <c r="AA5895">
        <v>0.97082290000000004</v>
      </c>
      <c r="AB5895">
        <v>39</v>
      </c>
      <c r="AC5895">
        <v>-7.0262999999999902</v>
      </c>
      <c r="AD5895">
        <v>-1.1116090643109999</v>
      </c>
      <c r="AE5895">
        <v>27.4405199999999</v>
      </c>
      <c r="AF5895">
        <v>-6.8498791651281996</v>
      </c>
      <c r="AG5895">
        <v>-1.1116090643109999</v>
      </c>
      <c r="AH5895">
        <v>27.440199214409201</v>
      </c>
      <c r="AI5895">
        <v>92.250802287059301</v>
      </c>
      <c r="AJ5895">
        <v>104.016254401547</v>
      </c>
      <c r="AK5895">
        <v>28.304081900234401</v>
      </c>
      <c r="AL5895">
        <v>67.575052694593694</v>
      </c>
      <c r="AM5895">
        <v>95.518891707972401</v>
      </c>
      <c r="AN5895">
        <v>1.0000000020320201</v>
      </c>
    </row>
    <row r="5896" spans="1:40" x14ac:dyDescent="0.25">
      <c r="A5896" t="str">
        <f>"20190304164803061"</f>
        <v>20190304164803061</v>
      </c>
      <c r="B5896" t="str">
        <f>"1551689283054971"</f>
        <v>1551689283054971</v>
      </c>
      <c r="C5896" t="s">
        <v>40</v>
      </c>
      <c r="D5896">
        <v>4.4429939999999997</v>
      </c>
      <c r="E5896">
        <v>0.5149956</v>
      </c>
      <c r="F5896" t="s">
        <v>42</v>
      </c>
      <c r="G5896">
        <v>-194.09010000000001</v>
      </c>
      <c r="H5896" s="1">
        <v>-4.2085940000000001E-6</v>
      </c>
      <c r="I5896">
        <v>67.221940000000004</v>
      </c>
      <c r="J5896">
        <v>-187.0179</v>
      </c>
      <c r="K5896">
        <v>1.111637</v>
      </c>
      <c r="L5896">
        <v>39.76126</v>
      </c>
      <c r="M5896">
        <v>-6.7788830000000003E-3</v>
      </c>
      <c r="N5896">
        <v>-1.500637E-2</v>
      </c>
      <c r="O5896">
        <v>0.99986439999999999</v>
      </c>
      <c r="P5896">
        <v>-9.4991240000000005E-2</v>
      </c>
      <c r="Q5896">
        <v>0.36792819999999998</v>
      </c>
      <c r="R5896">
        <v>0.92498950000000002</v>
      </c>
      <c r="S5896">
        <v>-0.81602479999999999</v>
      </c>
      <c r="T5896">
        <v>-0.1282076</v>
      </c>
      <c r="U5896">
        <v>3.2108150000000002</v>
      </c>
      <c r="V5896">
        <v>-8.9350890000000002E-2</v>
      </c>
      <c r="W5896">
        <v>0.381629</v>
      </c>
      <c r="X5896">
        <v>0.91998679999999999</v>
      </c>
      <c r="Y5896">
        <v>-0.2395775</v>
      </c>
      <c r="Z5896">
        <v>-2.3715199999999999E-2</v>
      </c>
      <c r="AA5896">
        <v>0.97058759999999999</v>
      </c>
      <c r="AB5896">
        <v>39</v>
      </c>
      <c r="AC5896">
        <v>-7.0721999999999996</v>
      </c>
      <c r="AD5896">
        <v>-1.111641208594</v>
      </c>
      <c r="AE5896">
        <v>27.46068</v>
      </c>
      <c r="AF5896">
        <v>-6.8752978245972196</v>
      </c>
      <c r="AG5896">
        <v>-1.111641208594</v>
      </c>
      <c r="AH5896">
        <v>27.465786571550598</v>
      </c>
      <c r="AI5896">
        <v>92.248406336434201</v>
      </c>
      <c r="AJ5896">
        <v>104.05362027447801</v>
      </c>
      <c r="AK5896">
        <v>28.335047173906801</v>
      </c>
      <c r="AL5896">
        <v>67.5653766249076</v>
      </c>
      <c r="AM5896">
        <v>95.547278242054006</v>
      </c>
      <c r="AN5896">
        <v>0.99999999367951597</v>
      </c>
    </row>
    <row r="5897" spans="1:40" x14ac:dyDescent="0.25">
      <c r="A5897" t="str">
        <f>"20190304164803082"</f>
        <v>20190304164803082</v>
      </c>
      <c r="B5897" t="str">
        <f>"1551689283075468"</f>
        <v>1551689283075468</v>
      </c>
      <c r="C5897" t="s">
        <v>40</v>
      </c>
      <c r="D5897">
        <v>4.1040409999999996</v>
      </c>
      <c r="E5897">
        <v>0.54067469999999995</v>
      </c>
      <c r="F5897" t="s">
        <v>42</v>
      </c>
      <c r="G5897">
        <v>-188.93299999999999</v>
      </c>
      <c r="H5897" s="1">
        <v>-4.1835300000000002E-6</v>
      </c>
      <c r="I5897">
        <v>58.943480000000001</v>
      </c>
      <c r="J5897">
        <v>-187.02099999999999</v>
      </c>
      <c r="K5897">
        <v>1.1116629999999901</v>
      </c>
      <c r="L5897">
        <v>40.117429999999999</v>
      </c>
      <c r="M5897">
        <v>-7.4914450000000002E-3</v>
      </c>
      <c r="N5897">
        <v>-1.5002400000000001E-2</v>
      </c>
      <c r="O5897">
        <v>0.99985939999999995</v>
      </c>
      <c r="P5897">
        <v>-9.6467520000000001E-2</v>
      </c>
      <c r="Q5897">
        <v>0.36731069999999999</v>
      </c>
      <c r="R5897">
        <v>0.92508210000000002</v>
      </c>
      <c r="S5897">
        <v>-0.32798769999999999</v>
      </c>
      <c r="T5897">
        <v>-0.19038920000000001</v>
      </c>
      <c r="U5897">
        <v>3.2853089999999998</v>
      </c>
      <c r="V5897">
        <v>-9.018582E-2</v>
      </c>
      <c r="W5897">
        <v>0.38100440000000002</v>
      </c>
      <c r="X5897">
        <v>0.92016419999999999</v>
      </c>
      <c r="Y5897">
        <v>-9.1742690000000002E-2</v>
      </c>
      <c r="Z5897">
        <v>-4.2609269999999998E-2</v>
      </c>
      <c r="AA5897">
        <v>0.9948707</v>
      </c>
      <c r="AB5897">
        <v>39</v>
      </c>
      <c r="AC5897">
        <v>-1.9119999999999999</v>
      </c>
      <c r="AD5897">
        <v>-1.1116671835299901</v>
      </c>
      <c r="AE5897">
        <v>18.826049999999999</v>
      </c>
      <c r="AF5897">
        <v>-1.7648053861470501</v>
      </c>
      <c r="AG5897">
        <v>-1.1116671835299901</v>
      </c>
      <c r="AH5897">
        <v>18.775049752783602</v>
      </c>
      <c r="AI5897">
        <v>93.373679528518693</v>
      </c>
      <c r="AJ5897">
        <v>95.369874757730898</v>
      </c>
      <c r="AK5897">
        <v>18.890548832615</v>
      </c>
      <c r="AL5897">
        <v>67.604088493774299</v>
      </c>
      <c r="AM5897">
        <v>95.597713819986495</v>
      </c>
      <c r="AN5897">
        <v>0.999999994955036</v>
      </c>
    </row>
    <row r="5898" spans="1:40" x14ac:dyDescent="0.25">
      <c r="A5898" t="str">
        <f>"20190304164803104"</f>
        <v>20190304164803104</v>
      </c>
      <c r="B5898" t="str">
        <f>"1551689283094988"</f>
        <v>1551689283094988</v>
      </c>
      <c r="C5898" t="s">
        <v>40</v>
      </c>
      <c r="D5898">
        <v>4.1255569999999997</v>
      </c>
      <c r="E5898">
        <v>0.55103219999999997</v>
      </c>
      <c r="F5898" t="s">
        <v>42</v>
      </c>
      <c r="G5898">
        <v>-187.6311</v>
      </c>
      <c r="H5898" s="1">
        <v>-2.7727589999999999E-6</v>
      </c>
      <c r="I5898">
        <v>55.116630000000001</v>
      </c>
      <c r="J5898">
        <v>-187.0247</v>
      </c>
      <c r="K5898">
        <v>1.111677</v>
      </c>
      <c r="L5898">
        <v>40.51135</v>
      </c>
      <c r="M5898">
        <v>-8.2821370000000002E-3</v>
      </c>
      <c r="N5898">
        <v>-1.4997899999999899E-2</v>
      </c>
      <c r="O5898">
        <v>0.99985329999999994</v>
      </c>
      <c r="P5898">
        <v>-9.7198709999999994E-2</v>
      </c>
      <c r="Q5898">
        <v>0.36743379999999998</v>
      </c>
      <c r="R5898">
        <v>0.92495669999999997</v>
      </c>
      <c r="S5898">
        <v>-0.13531489999999999</v>
      </c>
      <c r="T5898">
        <v>-0.2465601</v>
      </c>
      <c r="U5898">
        <v>3.326721</v>
      </c>
      <c r="V5898">
        <v>-9.0200039999999995E-2</v>
      </c>
      <c r="W5898">
        <v>0.3811194</v>
      </c>
      <c r="X5898">
        <v>0.92011520000000002</v>
      </c>
      <c r="Y5898">
        <v>-3.2271830000000001E-2</v>
      </c>
      <c r="Z5898">
        <v>-5.8896230000000001E-2</v>
      </c>
      <c r="AA5898">
        <v>0.99774240000000003</v>
      </c>
      <c r="AB5898">
        <v>39</v>
      </c>
      <c r="AC5898">
        <v>-0.60640000000000704</v>
      </c>
      <c r="AD5898">
        <v>-1.111679772759</v>
      </c>
      <c r="AE5898">
        <v>14.60528</v>
      </c>
      <c r="AF5898">
        <v>-0.48261148069020199</v>
      </c>
      <c r="AG5898">
        <v>-1.111679772759</v>
      </c>
      <c r="AH5898">
        <v>14.525791728702799</v>
      </c>
      <c r="AI5898">
        <v>94.373993489636504</v>
      </c>
      <c r="AJ5898">
        <v>91.902920935383506</v>
      </c>
      <c r="AK5898">
        <v>14.576260532252601</v>
      </c>
      <c r="AL5898">
        <v>67.596962184765601</v>
      </c>
      <c r="AM5898">
        <v>95.5988870836118</v>
      </c>
      <c r="AN5898">
        <v>1.0000000127716999</v>
      </c>
    </row>
    <row r="5899" spans="1:40" x14ac:dyDescent="0.25">
      <c r="A5899" t="str">
        <f>"20190304164803127"</f>
        <v>20190304164803127</v>
      </c>
      <c r="B5899" t="str">
        <f>"1551689283115484"</f>
        <v>1551689283115484</v>
      </c>
      <c r="C5899" t="s">
        <v>40</v>
      </c>
      <c r="D5899">
        <v>4.0520519999999998</v>
      </c>
      <c r="E5899">
        <v>0.55654340000000002</v>
      </c>
      <c r="F5899" t="s">
        <v>42</v>
      </c>
      <c r="G5899">
        <v>-187.26900000000001</v>
      </c>
      <c r="H5899" s="1">
        <v>-3.053781E-6</v>
      </c>
      <c r="I5899">
        <v>55.622</v>
      </c>
      <c r="J5899">
        <v>-187.02850000000001</v>
      </c>
      <c r="K5899">
        <v>1.1116729999999999</v>
      </c>
      <c r="L5899">
        <v>40.892299999999999</v>
      </c>
      <c r="M5899">
        <v>-9.0320569999999996E-3</v>
      </c>
      <c r="N5899">
        <v>-1.499351E-2</v>
      </c>
      <c r="O5899">
        <v>0.99984680000000004</v>
      </c>
      <c r="P5899">
        <v>-9.7858280000000006E-2</v>
      </c>
      <c r="Q5899">
        <v>0.3668865</v>
      </c>
      <c r="R5899">
        <v>0.92510440000000005</v>
      </c>
      <c r="S5899">
        <v>-5.3939819999999999E-2</v>
      </c>
      <c r="T5899">
        <v>-0.2453688</v>
      </c>
      <c r="U5899">
        <v>3.3352050000000002</v>
      </c>
      <c r="V5899">
        <v>-9.0167689999999995E-2</v>
      </c>
      <c r="W5899">
        <v>0.38057049999999998</v>
      </c>
      <c r="X5899">
        <v>0.92034550000000004</v>
      </c>
      <c r="Y5899">
        <v>-7.1058680000000004E-3</v>
      </c>
      <c r="Z5899">
        <v>-5.840062E-2</v>
      </c>
      <c r="AA5899">
        <v>0.99826789999999999</v>
      </c>
      <c r="AB5899">
        <v>39</v>
      </c>
      <c r="AC5899">
        <v>-0.24049999999999699</v>
      </c>
      <c r="AD5899">
        <v>-1.111676053781</v>
      </c>
      <c r="AE5899">
        <v>14.729699999999999</v>
      </c>
      <c r="AF5899">
        <v>-0.106827416784862</v>
      </c>
      <c r="AG5899">
        <v>-1.111676053781</v>
      </c>
      <c r="AH5899">
        <v>14.6478597701916</v>
      </c>
      <c r="AI5899">
        <v>94.339937349768107</v>
      </c>
      <c r="AJ5899">
        <v>90.417852962800694</v>
      </c>
      <c r="AK5899">
        <v>14.6903720712828</v>
      </c>
      <c r="AL5899">
        <v>67.630974281398693</v>
      </c>
      <c r="AM5899">
        <v>95.595500176830498</v>
      </c>
      <c r="AN5899">
        <v>0.99999997858021705</v>
      </c>
    </row>
    <row r="5900" spans="1:40" x14ac:dyDescent="0.25">
      <c r="A5900" t="str">
        <f>"20190304164803149"</f>
        <v>20190304164803149</v>
      </c>
      <c r="B5900" t="str">
        <f>"1551689283144764"</f>
        <v>1551689283144764</v>
      </c>
      <c r="C5900" t="s">
        <v>40</v>
      </c>
      <c r="D5900">
        <v>4.0516709999999998</v>
      </c>
      <c r="E5900">
        <v>0.56081210000000004</v>
      </c>
      <c r="F5900" t="s">
        <v>42</v>
      </c>
      <c r="G5900">
        <v>-187.0806</v>
      </c>
      <c r="H5900" s="1">
        <v>-3.0144790000000002E-6</v>
      </c>
      <c r="I5900">
        <v>55.452480000000001</v>
      </c>
      <c r="J5900">
        <v>-187.03270000000001</v>
      </c>
      <c r="K5900">
        <v>1.111666</v>
      </c>
      <c r="L5900">
        <v>41.27908</v>
      </c>
      <c r="M5900">
        <v>-9.7655199999999998E-3</v>
      </c>
      <c r="N5900">
        <v>-1.498911E-2</v>
      </c>
      <c r="O5900">
        <v>0.99983999999999995</v>
      </c>
      <c r="P5900">
        <v>-9.8364220000000002E-2</v>
      </c>
      <c r="Q5900">
        <v>0.36681760000000002</v>
      </c>
      <c r="R5900">
        <v>0.92507799999999996</v>
      </c>
      <c r="S5900">
        <v>-1.196289E-2</v>
      </c>
      <c r="T5900">
        <v>-0.25522689999999998</v>
      </c>
      <c r="U5900">
        <v>3.3428339999999999</v>
      </c>
      <c r="V5900">
        <v>-8.9988849999999995E-2</v>
      </c>
      <c r="W5900">
        <v>0.38049949999999999</v>
      </c>
      <c r="X5900">
        <v>0.9203924</v>
      </c>
      <c r="Y5900">
        <v>6.1905519999999898E-3</v>
      </c>
      <c r="Z5900">
        <v>-6.1168529999999999E-2</v>
      </c>
      <c r="AA5900">
        <v>0.99810829999999995</v>
      </c>
      <c r="AB5900">
        <v>39</v>
      </c>
      <c r="AC5900">
        <v>-4.7899999999998499E-2</v>
      </c>
      <c r="AD5900">
        <v>-1.111669014479</v>
      </c>
      <c r="AE5900">
        <v>14.173400000000001</v>
      </c>
      <c r="AF5900">
        <v>8.9974950017005798E-2</v>
      </c>
      <c r="AG5900">
        <v>-1.111669014479</v>
      </c>
      <c r="AH5900">
        <v>14.086535129234299</v>
      </c>
      <c r="AI5900">
        <v>94.512175355052094</v>
      </c>
      <c r="AJ5900">
        <v>89.634039545859494</v>
      </c>
      <c r="AK5900">
        <v>14.130618367096901</v>
      </c>
      <c r="AL5900">
        <v>67.635374119313795</v>
      </c>
      <c r="AM5900">
        <v>95.584189431486294</v>
      </c>
      <c r="AN5900">
        <v>1.00000001630116</v>
      </c>
    </row>
    <row r="5901" spans="1:40" x14ac:dyDescent="0.25">
      <c r="A5901" t="str">
        <f>"20190304164803171"</f>
        <v>20190304164803171</v>
      </c>
      <c r="B5901" t="str">
        <f>"1551689283165261"</f>
        <v>1551689283165261</v>
      </c>
      <c r="C5901" t="s">
        <v>40</v>
      </c>
      <c r="D5901">
        <v>3.9999440000000002</v>
      </c>
      <c r="E5901">
        <v>0.56256219999999901</v>
      </c>
      <c r="F5901" t="s">
        <v>42</v>
      </c>
      <c r="G5901">
        <v>-186.94759999999999</v>
      </c>
      <c r="H5901" s="1">
        <v>-3.0753940000000001E-6</v>
      </c>
      <c r="I5901">
        <v>55.539459999999998</v>
      </c>
      <c r="J5901">
        <v>-187.0368</v>
      </c>
      <c r="K5901">
        <v>1.11165</v>
      </c>
      <c r="L5901">
        <v>41.640050000000002</v>
      </c>
      <c r="M5901">
        <v>-1.041457E-2</v>
      </c>
      <c r="N5901">
        <v>-1.498498E-2</v>
      </c>
      <c r="O5901">
        <v>0.99983350000000004</v>
      </c>
      <c r="P5901">
        <v>-9.8527610000000002E-2</v>
      </c>
      <c r="Q5901">
        <v>0.36652259999999998</v>
      </c>
      <c r="R5901">
        <v>0.92517749999999999</v>
      </c>
      <c r="S5901">
        <v>1.9989010000000001E-2</v>
      </c>
      <c r="T5901">
        <v>-0.26104060000000001</v>
      </c>
      <c r="U5901">
        <v>3.3486020000000001</v>
      </c>
      <c r="V5901">
        <v>-8.9534790000000003E-2</v>
      </c>
      <c r="W5901">
        <v>0.38020799999999999</v>
      </c>
      <c r="X5901">
        <v>0.92055710000000002</v>
      </c>
      <c r="Y5901">
        <v>1.6361319999999999E-2</v>
      </c>
      <c r="Z5901">
        <v>-6.2758229999999998E-2</v>
      </c>
      <c r="AA5901">
        <v>0.99789459999999996</v>
      </c>
      <c r="AB5901">
        <v>39</v>
      </c>
      <c r="AC5901">
        <v>8.9200000000005206E-2</v>
      </c>
      <c r="AD5901">
        <v>-1.1116530753939999</v>
      </c>
      <c r="AE5901">
        <v>13.8994099999999</v>
      </c>
      <c r="AF5901">
        <v>0.232480778278293</v>
      </c>
      <c r="AG5901">
        <v>-1.1116530753939999</v>
      </c>
      <c r="AH5901">
        <v>13.809398067746899</v>
      </c>
      <c r="AI5901">
        <v>94.601722280850396</v>
      </c>
      <c r="AJ5901">
        <v>89.035518479638597</v>
      </c>
      <c r="AK5901">
        <v>13.8560201669092</v>
      </c>
      <c r="AL5901">
        <v>67.6534324712227</v>
      </c>
      <c r="AM5901">
        <v>95.555201982606903</v>
      </c>
      <c r="AN5901">
        <v>0.999999988122376</v>
      </c>
    </row>
    <row r="5902" spans="1:40" x14ac:dyDescent="0.25">
      <c r="A5902" t="str">
        <f>"20190304164803195"</f>
        <v>20190304164803195</v>
      </c>
      <c r="B5902" t="str">
        <f>"1551689283185756"</f>
        <v>1551689283185756</v>
      </c>
      <c r="C5902" t="s">
        <v>40</v>
      </c>
      <c r="D5902">
        <v>4.0143240000000002</v>
      </c>
      <c r="E5902">
        <v>0.56372239999999996</v>
      </c>
      <c r="F5902" t="s">
        <v>42</v>
      </c>
      <c r="G5902">
        <v>-186.89609999999999</v>
      </c>
      <c r="H5902" s="1">
        <v>-3.1619880000000001E-6</v>
      </c>
      <c r="I5902">
        <v>55.720019999999998</v>
      </c>
      <c r="J5902">
        <v>-187.04179999999999</v>
      </c>
      <c r="K5902">
        <v>1.1116159999999999</v>
      </c>
      <c r="L5902">
        <v>42.056849999999997</v>
      </c>
      <c r="M5902">
        <v>-1.11144E-2</v>
      </c>
      <c r="N5902">
        <v>-1.4980139999999999E-2</v>
      </c>
      <c r="O5902">
        <v>0.99982599999999999</v>
      </c>
      <c r="P5902">
        <v>-9.8344340000000002E-2</v>
      </c>
      <c r="Q5902">
        <v>0.36649759999999998</v>
      </c>
      <c r="R5902">
        <v>0.925207</v>
      </c>
      <c r="S5902">
        <v>3.3493040000000002E-2</v>
      </c>
      <c r="T5902">
        <v>-0.26457180000000002</v>
      </c>
      <c r="U5902">
        <v>3.351013</v>
      </c>
      <c r="V5902">
        <v>-8.8675219999999999E-2</v>
      </c>
      <c r="W5902">
        <v>0.38018730000000001</v>
      </c>
      <c r="X5902">
        <v>0.92064889999999999</v>
      </c>
      <c r="Y5902">
        <v>2.1073720000000001E-2</v>
      </c>
      <c r="Z5902">
        <v>-6.3746529999999996E-2</v>
      </c>
      <c r="AA5902">
        <v>0.99774359999999995</v>
      </c>
      <c r="AB5902">
        <v>39</v>
      </c>
      <c r="AC5902">
        <v>0.14570000000000499</v>
      </c>
      <c r="AD5902">
        <v>-1.111619161988</v>
      </c>
      <c r="AE5902">
        <v>13.663169999999999</v>
      </c>
      <c r="AF5902">
        <v>0.29560948748721899</v>
      </c>
      <c r="AG5902">
        <v>-1.111619161988</v>
      </c>
      <c r="AH5902">
        <v>13.570887380751</v>
      </c>
      <c r="AI5902">
        <v>94.681654510077493</v>
      </c>
      <c r="AJ5902">
        <v>88.752145124622999</v>
      </c>
      <c r="AK5902">
        <v>13.6195472182969</v>
      </c>
      <c r="AL5902">
        <v>67.654715949709995</v>
      </c>
      <c r="AM5902">
        <v>95.501653392661495</v>
      </c>
      <c r="AN5902">
        <v>1.0000000373972699</v>
      </c>
    </row>
    <row r="5903" spans="1:40" x14ac:dyDescent="0.25">
      <c r="A5903" t="str">
        <f>"20190304164803217"</f>
        <v>20190304164803217</v>
      </c>
      <c r="B5903" t="str">
        <f>"1551689283205276"</f>
        <v>1551689283205276</v>
      </c>
      <c r="C5903" t="s">
        <v>40</v>
      </c>
      <c r="D5903">
        <v>4.0488530000000003</v>
      </c>
      <c r="E5903">
        <v>0.56458869999999906</v>
      </c>
      <c r="F5903" t="s">
        <v>41</v>
      </c>
      <c r="G5903">
        <v>-187.02780000000001</v>
      </c>
      <c r="H5903">
        <v>1.026578</v>
      </c>
      <c r="I5903">
        <v>43.112340000000003</v>
      </c>
      <c r="J5903">
        <v>-187.04660000000001</v>
      </c>
      <c r="K5903">
        <v>1.1115759999999999</v>
      </c>
      <c r="L5903">
        <v>42.438690000000001</v>
      </c>
      <c r="M5903">
        <v>-1.1699630000000001E-2</v>
      </c>
      <c r="N5903">
        <v>-1.49756E-2</v>
      </c>
      <c r="O5903">
        <v>0.99981940000000002</v>
      </c>
      <c r="P5903">
        <v>-9.8148479999999996E-2</v>
      </c>
      <c r="Q5903">
        <v>0.36610029999999999</v>
      </c>
      <c r="R5903">
        <v>0.92538500000000001</v>
      </c>
      <c r="S5903">
        <v>4.4036869999999999E-2</v>
      </c>
      <c r="T5903">
        <v>-0.2702715</v>
      </c>
      <c r="U5903">
        <v>3.354279</v>
      </c>
      <c r="V5903">
        <v>-8.7901939999999998E-2</v>
      </c>
      <c r="W5903">
        <v>0.37979780000000002</v>
      </c>
      <c r="X5903">
        <v>0.92088369999999997</v>
      </c>
      <c r="Y5903">
        <v>2.4780670000000001E-2</v>
      </c>
      <c r="Z5903">
        <v>-6.535349E-2</v>
      </c>
      <c r="AA5903">
        <v>0.99755439999999995</v>
      </c>
      <c r="AB5903">
        <v>38</v>
      </c>
      <c r="AC5903">
        <v>1.87999999999988E-2</v>
      </c>
      <c r="AD5903">
        <v>-8.4998000000000101E-2</v>
      </c>
      <c r="AE5903">
        <v>0.67365000000000197</v>
      </c>
      <c r="AF5903">
        <v>2.62632614908807E-2</v>
      </c>
      <c r="AG5903">
        <v>-8.4998000000000101E-2</v>
      </c>
      <c r="AH5903">
        <v>0.66283957259909199</v>
      </c>
      <c r="AI5903">
        <v>97.301671147719702</v>
      </c>
      <c r="AJ5903">
        <v>87.730993472379396</v>
      </c>
      <c r="AK5903">
        <v>0.66878301257693795</v>
      </c>
      <c r="AL5903">
        <v>67.678840438745098</v>
      </c>
      <c r="AM5903">
        <v>95.452585302210196</v>
      </c>
      <c r="AN5903">
        <v>0.99999995443314504</v>
      </c>
    </row>
    <row r="5904" spans="1:40" x14ac:dyDescent="0.25">
      <c r="A5904" t="str">
        <f>"20190304164803243"</f>
        <v>20190304164803243</v>
      </c>
      <c r="B5904" t="str">
        <f>"1551689283235532"</f>
        <v>1551689283235532</v>
      </c>
      <c r="C5904" t="s">
        <v>40</v>
      </c>
      <c r="D5904">
        <v>4.0694229999999996</v>
      </c>
      <c r="E5904">
        <v>0.56504849999999995</v>
      </c>
      <c r="F5904" t="s">
        <v>41</v>
      </c>
      <c r="G5904">
        <v>-187.03139999999999</v>
      </c>
      <c r="H5904">
        <v>1.0276809999999901</v>
      </c>
      <c r="I5904">
        <v>43.455419999999997</v>
      </c>
      <c r="J5904">
        <v>-187.0523</v>
      </c>
      <c r="K5904">
        <v>1.1115379999999999</v>
      </c>
      <c r="L5904">
        <v>42.873629999999999</v>
      </c>
      <c r="M5904">
        <v>-1.231373E-2</v>
      </c>
      <c r="N5904">
        <v>-1.4970539999999999E-2</v>
      </c>
      <c r="O5904">
        <v>0.99981209999999998</v>
      </c>
      <c r="P5904">
        <v>-9.7584799999999999E-2</v>
      </c>
      <c r="Q5904">
        <v>0.36581920000000001</v>
      </c>
      <c r="R5904">
        <v>0.92555580000000004</v>
      </c>
      <c r="S5904">
        <v>5.0064089999999999E-2</v>
      </c>
      <c r="T5904">
        <v>-0.27698139999999999</v>
      </c>
      <c r="U5904">
        <v>3.3567809999999998</v>
      </c>
      <c r="V5904">
        <v>-8.6728040000000006E-2</v>
      </c>
      <c r="W5904">
        <v>0.37952609999999998</v>
      </c>
      <c r="X5904">
        <v>0.92110709999999996</v>
      </c>
      <c r="Y5904">
        <v>2.717164E-2</v>
      </c>
      <c r="Z5904">
        <v>-6.7275020000000005E-2</v>
      </c>
      <c r="AA5904">
        <v>0.99736440000000004</v>
      </c>
      <c r="AB5904">
        <v>38</v>
      </c>
      <c r="AC5904">
        <v>2.09000000000116E-2</v>
      </c>
      <c r="AD5904">
        <v>-8.3857000000000001E-2</v>
      </c>
      <c r="AE5904">
        <v>0.58179000000000503</v>
      </c>
      <c r="AF5904">
        <v>2.7492789767798499E-2</v>
      </c>
      <c r="AG5904">
        <v>-8.3857000000000001E-2</v>
      </c>
      <c r="AH5904">
        <v>0.56966874105114096</v>
      </c>
      <c r="AI5904">
        <v>98.364379728641296</v>
      </c>
      <c r="AJ5904">
        <v>87.236991515706407</v>
      </c>
      <c r="AK5904">
        <v>0.57646363672742496</v>
      </c>
      <c r="AL5904">
        <v>67.695669917807606</v>
      </c>
      <c r="AM5904">
        <v>95.378900844628603</v>
      </c>
      <c r="AN5904">
        <v>1.0000000515869201</v>
      </c>
    </row>
    <row r="5905" spans="1:40" x14ac:dyDescent="0.25">
      <c r="A5905" t="str">
        <f>"20190304164803262"</f>
        <v>20190304164803262</v>
      </c>
      <c r="B5905" t="str">
        <f>"1551689283255052"</f>
        <v>1551689283255052</v>
      </c>
      <c r="C5905" t="s">
        <v>40</v>
      </c>
      <c r="D5905">
        <v>4.0948349999999998</v>
      </c>
      <c r="E5905">
        <v>0.56513199999999997</v>
      </c>
      <c r="F5905" t="s">
        <v>41</v>
      </c>
      <c r="G5905">
        <v>-187.03700000000001</v>
      </c>
      <c r="H5905">
        <v>1.033925</v>
      </c>
      <c r="I5905">
        <v>43.800690000000003</v>
      </c>
      <c r="J5905">
        <v>-187.05709999999999</v>
      </c>
      <c r="K5905">
        <v>1.111513</v>
      </c>
      <c r="L5905">
        <v>43.226649999999999</v>
      </c>
      <c r="M5905">
        <v>-1.2775180000000001E-2</v>
      </c>
      <c r="N5905">
        <v>-1.4966470000000001E-2</v>
      </c>
      <c r="O5905">
        <v>0.99980639999999998</v>
      </c>
      <c r="P5905">
        <v>-9.6833610000000001E-2</v>
      </c>
      <c r="Q5905">
        <v>0.3663959</v>
      </c>
      <c r="R5905">
        <v>0.92540659999999997</v>
      </c>
      <c r="S5905">
        <v>5.5114749999999997E-2</v>
      </c>
      <c r="T5905">
        <v>-0.28118179999999998</v>
      </c>
      <c r="U5905">
        <v>3.3582459999999998</v>
      </c>
      <c r="V5905">
        <v>-8.5522730000000005E-2</v>
      </c>
      <c r="W5905">
        <v>0.38010529999999998</v>
      </c>
      <c r="X5905">
        <v>0.92098089999999999</v>
      </c>
      <c r="Y5905">
        <v>2.9123070000000001E-2</v>
      </c>
      <c r="Z5905">
        <v>-6.8478159999999996E-2</v>
      </c>
      <c r="AA5905">
        <v>0.99722739999999999</v>
      </c>
      <c r="AB5905">
        <v>38</v>
      </c>
      <c r="AC5905">
        <v>2.0099999999985099E-2</v>
      </c>
      <c r="AD5905">
        <v>-7.7587999999999893E-2</v>
      </c>
      <c r="AE5905">
        <v>0.57404000000000299</v>
      </c>
      <c r="AF5905">
        <v>2.6941072549537998E-2</v>
      </c>
      <c r="AG5905">
        <v>-7.7587999999999893E-2</v>
      </c>
      <c r="AH5905">
        <v>0.56345540898726298</v>
      </c>
      <c r="AI5905">
        <v>97.831505910973306</v>
      </c>
      <c r="AJ5905">
        <v>87.262542847055002</v>
      </c>
      <c r="AK5905">
        <v>0.56940997273592198</v>
      </c>
      <c r="AL5905">
        <v>67.659794603128205</v>
      </c>
      <c r="AM5905">
        <v>95.305299271721296</v>
      </c>
      <c r="AN5905">
        <v>0.99999999729977596</v>
      </c>
    </row>
    <row r="5906" spans="1:40" x14ac:dyDescent="0.25">
      <c r="A5906" t="str">
        <f>"20190304164803283"</f>
        <v>20190304164803283</v>
      </c>
      <c r="B5906" t="str">
        <f>"1551689283275548"</f>
        <v>1551689283275548</v>
      </c>
      <c r="C5906" t="s">
        <v>40</v>
      </c>
      <c r="D5906">
        <v>4.0671390000000001</v>
      </c>
      <c r="E5906">
        <v>0.56523540000000005</v>
      </c>
      <c r="F5906" t="s">
        <v>41</v>
      </c>
      <c r="G5906">
        <v>-187.04130000000001</v>
      </c>
      <c r="H5906">
        <v>1.035377</v>
      </c>
      <c r="I5906">
        <v>44.143230000000003</v>
      </c>
      <c r="J5906">
        <v>-187.06200000000001</v>
      </c>
      <c r="K5906">
        <v>1.1114850000000001</v>
      </c>
      <c r="L5906">
        <v>43.579929999999997</v>
      </c>
      <c r="M5906">
        <v>-1.3206600000000001E-2</v>
      </c>
      <c r="N5906">
        <v>-1.4962400000000001E-2</v>
      </c>
      <c r="O5906">
        <v>0.99980089999999999</v>
      </c>
      <c r="P5906">
        <v>-9.5184809999999995E-2</v>
      </c>
      <c r="Q5906">
        <v>0.3666915</v>
      </c>
      <c r="R5906">
        <v>0.92546050000000002</v>
      </c>
      <c r="S5906">
        <v>5.7723999999999998E-2</v>
      </c>
      <c r="T5906">
        <v>-0.2789605</v>
      </c>
      <c r="U5906">
        <v>3.3583069999999999</v>
      </c>
      <c r="V5906">
        <v>-8.3447289999999993E-2</v>
      </c>
      <c r="W5906">
        <v>0.38040689999999999</v>
      </c>
      <c r="X5906">
        <v>0.92104680000000005</v>
      </c>
      <c r="Y5906">
        <v>3.0328689999999998E-2</v>
      </c>
      <c r="Z5906">
        <v>-6.7822779999999999E-2</v>
      </c>
      <c r="AA5906">
        <v>0.99723629999999996</v>
      </c>
      <c r="AB5906">
        <v>38</v>
      </c>
      <c r="AC5906">
        <v>2.0700000000004999E-2</v>
      </c>
      <c r="AD5906">
        <v>-7.6107999999999995E-2</v>
      </c>
      <c r="AE5906">
        <v>0.56329999999999802</v>
      </c>
      <c r="AF5906">
        <v>2.7634517535283499E-2</v>
      </c>
      <c r="AG5906">
        <v>-7.6107999999999995E-2</v>
      </c>
      <c r="AH5906">
        <v>0.55289793221907002</v>
      </c>
      <c r="AI5906">
        <v>97.828023703545</v>
      </c>
      <c r="AJ5906">
        <v>87.138667656903806</v>
      </c>
      <c r="AK5906">
        <v>0.55879532717760905</v>
      </c>
      <c r="AL5906">
        <v>67.641111542656802</v>
      </c>
      <c r="AM5906">
        <v>95.176891735299805</v>
      </c>
      <c r="AN5906">
        <v>1.0000000337830901</v>
      </c>
    </row>
    <row r="5907" spans="1:40" x14ac:dyDescent="0.25">
      <c r="A5907" t="str">
        <f>"20190304164803305"</f>
        <v>20190304164803305</v>
      </c>
      <c r="B5907" t="str">
        <f>"1551689283295068"</f>
        <v>1551689283295068</v>
      </c>
      <c r="C5907" t="s">
        <v>40</v>
      </c>
      <c r="D5907">
        <v>4.1231289999999996</v>
      </c>
      <c r="E5907">
        <v>0.56535449999999998</v>
      </c>
      <c r="F5907" t="s">
        <v>41</v>
      </c>
      <c r="G5907">
        <v>-187.0454</v>
      </c>
      <c r="H5907">
        <v>1.0364370000000001</v>
      </c>
      <c r="I5907">
        <v>44.48518</v>
      </c>
      <c r="J5907">
        <v>-187.06720000000001</v>
      </c>
      <c r="K5907">
        <v>1.1114550000000001</v>
      </c>
      <c r="L5907">
        <v>43.94614</v>
      </c>
      <c r="M5907">
        <v>-1.3629580000000001E-2</v>
      </c>
      <c r="N5907">
        <v>-1.495819E-2</v>
      </c>
      <c r="O5907">
        <v>0.9997952</v>
      </c>
      <c r="P5907">
        <v>-9.3698760000000006E-2</v>
      </c>
      <c r="Q5907">
        <v>0.36681370000000002</v>
      </c>
      <c r="R5907">
        <v>0.92556380000000005</v>
      </c>
      <c r="S5907">
        <v>6.1080929999999999E-2</v>
      </c>
      <c r="T5907">
        <v>-0.27845690000000001</v>
      </c>
      <c r="U5907">
        <v>3.3582459999999998</v>
      </c>
      <c r="V5907">
        <v>-8.1543420000000005E-2</v>
      </c>
      <c r="W5907">
        <v>0.3805347</v>
      </c>
      <c r="X5907">
        <v>0.92116450000000005</v>
      </c>
      <c r="Y5907">
        <v>3.1747549999999999E-2</v>
      </c>
      <c r="Z5907">
        <v>-6.7676559999999997E-2</v>
      </c>
      <c r="AA5907">
        <v>0.99720209999999998</v>
      </c>
      <c r="AB5907">
        <v>38</v>
      </c>
      <c r="AC5907">
        <v>2.1800000000013101E-2</v>
      </c>
      <c r="AD5907">
        <v>-7.5017999999999793E-2</v>
      </c>
      <c r="AE5907">
        <v>0.53903999999999996</v>
      </c>
      <c r="AF5907">
        <v>2.85927992379616E-2</v>
      </c>
      <c r="AG5907">
        <v>-7.5017999999999793E-2</v>
      </c>
      <c r="AH5907">
        <v>0.52847389327269301</v>
      </c>
      <c r="AI5907">
        <v>98.067636272343194</v>
      </c>
      <c r="AJ5907">
        <v>86.903061815528005</v>
      </c>
      <c r="AK5907">
        <v>0.53453709353333001</v>
      </c>
      <c r="AL5907">
        <v>67.633193140005602</v>
      </c>
      <c r="AM5907">
        <v>95.058756725234701</v>
      </c>
      <c r="AN5907">
        <v>1.00000001165481</v>
      </c>
    </row>
    <row r="5908" spans="1:40" x14ac:dyDescent="0.25">
      <c r="A5908" t="str">
        <f>"20190304164803328"</f>
        <v>20190304164803328</v>
      </c>
      <c r="B5908" t="str">
        <f>"1551689283315567"</f>
        <v>1551689283315567</v>
      </c>
      <c r="C5908" t="s">
        <v>40</v>
      </c>
      <c r="D5908">
        <v>4.0313280000000002</v>
      </c>
      <c r="E5908">
        <v>0.5654209</v>
      </c>
      <c r="F5908" t="s">
        <v>41</v>
      </c>
      <c r="G5908">
        <v>-187.04990000000001</v>
      </c>
      <c r="H5908">
        <v>1.038335</v>
      </c>
      <c r="I5908">
        <v>44.827150000000003</v>
      </c>
      <c r="J5908">
        <v>-187.0729</v>
      </c>
      <c r="K5908">
        <v>1.111437</v>
      </c>
      <c r="L5908">
        <v>44.329410000000003</v>
      </c>
      <c r="M5908">
        <v>-1.4054860000000001E-2</v>
      </c>
      <c r="N5908">
        <v>-1.495379E-2</v>
      </c>
      <c r="O5908">
        <v>0.99978940000000005</v>
      </c>
      <c r="P5908">
        <v>-9.2354099999999995E-2</v>
      </c>
      <c r="Q5908">
        <v>0.366898</v>
      </c>
      <c r="R5908">
        <v>0.92566550000000003</v>
      </c>
      <c r="S5908">
        <v>6.588745E-2</v>
      </c>
      <c r="T5908">
        <v>-0.27874260000000001</v>
      </c>
      <c r="U5908">
        <v>3.3583980000000002</v>
      </c>
      <c r="V5908">
        <v>-7.9781370000000004E-2</v>
      </c>
      <c r="W5908">
        <v>0.38062380000000001</v>
      </c>
      <c r="X5908">
        <v>0.92128189999999999</v>
      </c>
      <c r="Y5908">
        <v>3.3597019999999998E-2</v>
      </c>
      <c r="Z5908">
        <v>-6.775689E-2</v>
      </c>
      <c r="AA5908">
        <v>0.99713600000000002</v>
      </c>
      <c r="AB5908">
        <v>38</v>
      </c>
      <c r="AC5908">
        <v>2.29999999999961E-2</v>
      </c>
      <c r="AD5908">
        <v>-7.3102E-2</v>
      </c>
      <c r="AE5908">
        <v>0.49774000000000701</v>
      </c>
      <c r="AF5908">
        <v>2.9362178497308E-2</v>
      </c>
      <c r="AG5908">
        <v>-7.3102E-2</v>
      </c>
      <c r="AH5908">
        <v>0.48688765808130202</v>
      </c>
      <c r="AI5908">
        <v>98.523432538280503</v>
      </c>
      <c r="AJ5908">
        <v>86.548908384485301</v>
      </c>
      <c r="AK5908">
        <v>0.493219658491024</v>
      </c>
      <c r="AL5908">
        <v>67.627671010871097</v>
      </c>
      <c r="AM5908">
        <v>94.949364822482707</v>
      </c>
      <c r="AN5908">
        <v>0.99999994169656103</v>
      </c>
    </row>
    <row r="5909" spans="1:40" x14ac:dyDescent="0.25">
      <c r="A5909" t="str">
        <f>"20190304164803350"</f>
        <v>20190304164803350</v>
      </c>
      <c r="B5909" t="str">
        <f>"1551689283345820"</f>
        <v>1551689283345820</v>
      </c>
      <c r="C5909" t="s">
        <v>40</v>
      </c>
      <c r="D5909">
        <v>4.0730550000000001</v>
      </c>
      <c r="E5909">
        <v>0.56550900000000004</v>
      </c>
      <c r="F5909" t="s">
        <v>41</v>
      </c>
      <c r="G5909">
        <v>-187.0549</v>
      </c>
      <c r="H5909">
        <v>1.041803</v>
      </c>
      <c r="I5909">
        <v>45.170279999999998</v>
      </c>
      <c r="J5909">
        <v>-187.0789</v>
      </c>
      <c r="K5909">
        <v>1.1114200000000001</v>
      </c>
      <c r="L5909">
        <v>44.724699999999999</v>
      </c>
      <c r="M5909">
        <v>-1.448253E-2</v>
      </c>
      <c r="N5909">
        <v>-1.494933E-2</v>
      </c>
      <c r="O5909">
        <v>0.99978330000000004</v>
      </c>
      <c r="P5909">
        <v>-9.0747889999999998E-2</v>
      </c>
      <c r="Q5909">
        <v>0.36725099999999999</v>
      </c>
      <c r="R5909">
        <v>0.92568439999999996</v>
      </c>
      <c r="S5909">
        <v>7.1273799999999998E-2</v>
      </c>
      <c r="T5909">
        <v>-0.27813779999999999</v>
      </c>
      <c r="U5909">
        <v>3.358276</v>
      </c>
      <c r="V5909">
        <v>-7.7761709999999998E-2</v>
      </c>
      <c r="W5909">
        <v>0.38097880000000001</v>
      </c>
      <c r="X5909">
        <v>0.92130789999999996</v>
      </c>
      <c r="Y5909">
        <v>3.5622649999999999E-2</v>
      </c>
      <c r="Z5909">
        <v>-6.7580749999999995E-2</v>
      </c>
      <c r="AA5909">
        <v>0.99707760000000001</v>
      </c>
      <c r="AB5909">
        <v>38</v>
      </c>
      <c r="AC5909">
        <v>2.4000000000000899E-2</v>
      </c>
      <c r="AD5909">
        <v>-6.9616999999999998E-2</v>
      </c>
      <c r="AE5909">
        <v>0.44557999999999898</v>
      </c>
      <c r="AF5909">
        <v>2.9727755271852101E-2</v>
      </c>
      <c r="AG5909">
        <v>-6.9616999999999998E-2</v>
      </c>
      <c r="AH5909">
        <v>0.43460728463281201</v>
      </c>
      <c r="AI5909">
        <v>99.079677396930506</v>
      </c>
      <c r="AJ5909">
        <v>86.086982426643502</v>
      </c>
      <c r="AK5909">
        <v>0.44115049357153502</v>
      </c>
      <c r="AL5909">
        <v>67.605674754179503</v>
      </c>
      <c r="AM5909">
        <v>94.824535531799896</v>
      </c>
      <c r="AN5909">
        <v>0.99999998809698698</v>
      </c>
    </row>
    <row r="5910" spans="1:40" x14ac:dyDescent="0.25">
      <c r="A5910" t="str">
        <f>"20190304164803373"</f>
        <v>20190304164803373</v>
      </c>
      <c r="B5910" t="str">
        <f>"1551689283365340"</f>
        <v>1551689283365340</v>
      </c>
      <c r="C5910" t="s">
        <v>40</v>
      </c>
      <c r="D5910">
        <v>4.0617919999999996</v>
      </c>
      <c r="E5910">
        <v>0.56558900000000001</v>
      </c>
      <c r="F5910" t="s">
        <v>41</v>
      </c>
      <c r="G5910">
        <v>-187.06020000000001</v>
      </c>
      <c r="H5910">
        <v>1.0464389999999999</v>
      </c>
      <c r="I5910">
        <v>45.514760000000003</v>
      </c>
      <c r="J5910">
        <v>-187.0847</v>
      </c>
      <c r="K5910">
        <v>1.111407</v>
      </c>
      <c r="L5910">
        <v>45.101619999999997</v>
      </c>
      <c r="M5910">
        <v>-1.4884980000000001E-2</v>
      </c>
      <c r="N5910">
        <v>-1.4945119999999999E-2</v>
      </c>
      <c r="O5910">
        <v>0.99977749999999999</v>
      </c>
      <c r="P5910">
        <v>-8.9045589999999994E-2</v>
      </c>
      <c r="Q5910">
        <v>0.36712729999999999</v>
      </c>
      <c r="R5910">
        <v>0.92589869999999996</v>
      </c>
      <c r="S5910">
        <v>7.9254149999999995E-2</v>
      </c>
      <c r="T5910">
        <v>-0.27620709999999998</v>
      </c>
      <c r="U5910">
        <v>3.3581850000000002</v>
      </c>
      <c r="V5910">
        <v>-7.5669559999999997E-2</v>
      </c>
      <c r="W5910">
        <v>0.38085980000000003</v>
      </c>
      <c r="X5910">
        <v>0.92153130000000005</v>
      </c>
      <c r="Y5910">
        <v>3.8392669999999997E-2</v>
      </c>
      <c r="Z5910">
        <v>-6.701037E-2</v>
      </c>
      <c r="AA5910">
        <v>0.99701329999999999</v>
      </c>
      <c r="AB5910">
        <v>38</v>
      </c>
      <c r="AC5910">
        <v>2.4499999999988999E-2</v>
      </c>
      <c r="AD5910">
        <v>-6.4968000000000095E-2</v>
      </c>
      <c r="AE5910">
        <v>0.41313999999999101</v>
      </c>
      <c r="AF5910">
        <v>2.9910491702618301E-2</v>
      </c>
      <c r="AG5910">
        <v>-6.4968000000000095E-2</v>
      </c>
      <c r="AH5910">
        <v>0.40280352188354301</v>
      </c>
      <c r="AI5910">
        <v>99.137572895037593</v>
      </c>
      <c r="AJ5910">
        <v>85.753250887289795</v>
      </c>
      <c r="AK5910">
        <v>0.40910408917496599</v>
      </c>
      <c r="AL5910">
        <v>67.613049258625793</v>
      </c>
      <c r="AM5910">
        <v>94.694188344526594</v>
      </c>
      <c r="AN5910">
        <v>1.00000000322316</v>
      </c>
    </row>
    <row r="5911" spans="1:40" x14ac:dyDescent="0.25">
      <c r="A5911" t="str">
        <f>"20190304164803395"</f>
        <v>20190304164803395</v>
      </c>
      <c r="B5911" t="str">
        <f>"1551689283385836"</f>
        <v>1551689283385836</v>
      </c>
      <c r="C5911" t="s">
        <v>40</v>
      </c>
      <c r="D5911">
        <v>4.6793149999999999</v>
      </c>
      <c r="E5911">
        <v>0.56561159999999999</v>
      </c>
      <c r="F5911" t="s">
        <v>41</v>
      </c>
      <c r="G5911">
        <v>-187.065</v>
      </c>
      <c r="H5911">
        <v>1.049215</v>
      </c>
      <c r="I5911">
        <v>45.858759999999997</v>
      </c>
      <c r="J5911">
        <v>-187.0907</v>
      </c>
      <c r="K5911">
        <v>1.1113959999999901</v>
      </c>
      <c r="L5911">
        <v>45.473999999999997</v>
      </c>
      <c r="M5911">
        <v>-1.5280729999999999E-2</v>
      </c>
      <c r="N5911">
        <v>-1.494096E-2</v>
      </c>
      <c r="O5911">
        <v>0.99977159999999998</v>
      </c>
      <c r="P5911">
        <v>-8.6785470000000003E-2</v>
      </c>
      <c r="Q5911">
        <v>0.36702259999999998</v>
      </c>
      <c r="R5911">
        <v>0.92615479999999994</v>
      </c>
      <c r="S5911">
        <v>8.6502079999999995E-2</v>
      </c>
      <c r="T5911">
        <v>-0.27585569999999998</v>
      </c>
      <c r="U5911">
        <v>3.3577880000000002</v>
      </c>
      <c r="V5911">
        <v>-7.3027629999999996E-2</v>
      </c>
      <c r="W5911">
        <v>0.38075959999999998</v>
      </c>
      <c r="X5911">
        <v>0.92178579999999999</v>
      </c>
      <c r="Y5911">
        <v>4.0939999999999997E-2</v>
      </c>
      <c r="Z5911">
        <v>-6.6913109999999998E-2</v>
      </c>
      <c r="AA5911">
        <v>0.99691850000000004</v>
      </c>
      <c r="AB5911">
        <v>38</v>
      </c>
      <c r="AC5911">
        <v>2.57000000000005E-2</v>
      </c>
      <c r="AD5911">
        <v>-6.2180999999999799E-2</v>
      </c>
      <c r="AE5911">
        <v>0.38475999999999999</v>
      </c>
      <c r="AF5911">
        <v>3.07768182045066E-2</v>
      </c>
      <c r="AG5911">
        <v>-6.2180999999999799E-2</v>
      </c>
      <c r="AH5911">
        <v>0.374582514295976</v>
      </c>
      <c r="AI5911">
        <v>99.394110136521107</v>
      </c>
      <c r="AJ5911">
        <v>85.302958188139201</v>
      </c>
      <c r="AK5911">
        <v>0.380953736451145</v>
      </c>
      <c r="AL5911">
        <v>67.6192576675639</v>
      </c>
      <c r="AM5911">
        <v>94.529744196483094</v>
      </c>
      <c r="AN5911">
        <v>0.99999998440860804</v>
      </c>
    </row>
    <row r="5912" spans="1:40" x14ac:dyDescent="0.25">
      <c r="A5912" t="str">
        <f>"20190304164803419"</f>
        <v>20190304164803419</v>
      </c>
      <c r="B5912" t="str">
        <f>"1551689283415117"</f>
        <v>1551689283415117</v>
      </c>
      <c r="C5912" t="s">
        <v>40</v>
      </c>
      <c r="D5912">
        <v>4.0381090000000004</v>
      </c>
      <c r="E5912">
        <v>0.56568350000000001</v>
      </c>
      <c r="F5912" t="s">
        <v>41</v>
      </c>
      <c r="G5912">
        <v>-187.06100000000001</v>
      </c>
      <c r="H5912">
        <v>1.0253479999999999</v>
      </c>
      <c r="I5912">
        <v>46.520319999999998</v>
      </c>
      <c r="J5912">
        <v>-187.09729999999999</v>
      </c>
      <c r="K5912">
        <v>1.1113850000000001</v>
      </c>
      <c r="L5912">
        <v>45.87894</v>
      </c>
      <c r="M5912">
        <v>-1.57108E-2</v>
      </c>
      <c r="N5912">
        <v>-1.4936430000000001E-2</v>
      </c>
      <c r="O5912">
        <v>0.99976500000000001</v>
      </c>
      <c r="P5912">
        <v>-8.4285330000000006E-2</v>
      </c>
      <c r="Q5912">
        <v>0.36643930000000002</v>
      </c>
      <c r="R5912">
        <v>0.92661649999999995</v>
      </c>
      <c r="S5912">
        <v>9.4711299999999998E-2</v>
      </c>
      <c r="T5912">
        <v>-0.2761458</v>
      </c>
      <c r="U5912">
        <v>3.3575129999999902</v>
      </c>
      <c r="V5912">
        <v>-7.0111699999999999E-2</v>
      </c>
      <c r="W5912">
        <v>0.38018410000000002</v>
      </c>
      <c r="X5912">
        <v>0.9222496</v>
      </c>
      <c r="Y5912">
        <v>4.3805169999999997E-2</v>
      </c>
      <c r="Z5912">
        <v>-6.7001019999999994E-2</v>
      </c>
      <c r="AA5912">
        <v>0.99679079999999998</v>
      </c>
      <c r="AB5912">
        <v>38</v>
      </c>
      <c r="AC5912">
        <v>3.6300000000011302E-2</v>
      </c>
      <c r="AD5912">
        <v>-8.60370000000001E-2</v>
      </c>
      <c r="AE5912">
        <v>0.64137999999999795</v>
      </c>
      <c r="AF5912">
        <v>4.55560944785834E-2</v>
      </c>
      <c r="AG5912">
        <v>-8.60370000000001E-2</v>
      </c>
      <c r="AH5912">
        <v>0.62944016246152901</v>
      </c>
      <c r="AI5912">
        <v>97.763360079208795</v>
      </c>
      <c r="AJ5912">
        <v>85.860402917237195</v>
      </c>
      <c r="AK5912">
        <v>0.63692436068401204</v>
      </c>
      <c r="AL5912">
        <v>67.654912418264502</v>
      </c>
      <c r="AM5912">
        <v>94.347404855340002</v>
      </c>
      <c r="AN5912">
        <v>0.99999996253492895</v>
      </c>
    </row>
    <row r="5913" spans="1:40" x14ac:dyDescent="0.25">
      <c r="A5913" t="str">
        <f>"20190304164803442"</f>
        <v>20190304164803442</v>
      </c>
      <c r="B5913" t="str">
        <f>"1551689283435613"</f>
        <v>1551689283435613</v>
      </c>
      <c r="C5913" t="s">
        <v>40</v>
      </c>
      <c r="D5913">
        <v>4.0354869999999998</v>
      </c>
      <c r="E5913">
        <v>0.56569930000000002</v>
      </c>
      <c r="F5913" t="s">
        <v>41</v>
      </c>
      <c r="G5913">
        <v>-187.06700000000001</v>
      </c>
      <c r="H5913">
        <v>1.031372</v>
      </c>
      <c r="I5913">
        <v>46.86204</v>
      </c>
      <c r="J5913">
        <v>-187.10380000000001</v>
      </c>
      <c r="K5913">
        <v>1.1113729999999999</v>
      </c>
      <c r="L5913">
        <v>46.269930000000002</v>
      </c>
      <c r="M5913">
        <v>-1.6126729999999999E-2</v>
      </c>
      <c r="N5913">
        <v>-1.4932040000000001E-2</v>
      </c>
      <c r="O5913">
        <v>0.99975849999999999</v>
      </c>
      <c r="P5913">
        <v>-8.2345260000000003E-2</v>
      </c>
      <c r="Q5913">
        <v>0.3656142</v>
      </c>
      <c r="R5913">
        <v>0.92711679999999996</v>
      </c>
      <c r="S5913">
        <v>0.1030426</v>
      </c>
      <c r="T5913">
        <v>-0.27307009999999998</v>
      </c>
      <c r="U5913">
        <v>3.3549500000000001</v>
      </c>
      <c r="V5913">
        <v>-6.7770179999999999E-2</v>
      </c>
      <c r="W5913">
        <v>0.37936599999999998</v>
      </c>
      <c r="X5913">
        <v>0.92276139999999995</v>
      </c>
      <c r="Y5913">
        <v>4.6715199999999998E-2</v>
      </c>
      <c r="Z5913">
        <v>-6.6150269999999997E-2</v>
      </c>
      <c r="AA5913">
        <v>0.99671549999999998</v>
      </c>
      <c r="AB5913">
        <v>38</v>
      </c>
      <c r="AC5913">
        <v>3.67999999999995E-2</v>
      </c>
      <c r="AD5913">
        <v>-8.0000999999999906E-2</v>
      </c>
      <c r="AE5913">
        <v>0.59210999999999803</v>
      </c>
      <c r="AF5913">
        <v>4.5517345742207498E-2</v>
      </c>
      <c r="AG5913">
        <v>-8.0000999999999906E-2</v>
      </c>
      <c r="AH5913">
        <v>0.58087625635487306</v>
      </c>
      <c r="AI5913">
        <v>97.818042855851203</v>
      </c>
      <c r="AJ5913">
        <v>85.519469896426997</v>
      </c>
      <c r="AK5913">
        <v>0.58812346829663897</v>
      </c>
      <c r="AL5913">
        <v>67.7055827655184</v>
      </c>
      <c r="AM5913">
        <v>94.200421109124903</v>
      </c>
      <c r="AN5913">
        <v>0.99999998029159598</v>
      </c>
    </row>
    <row r="5914" spans="1:40" x14ac:dyDescent="0.25">
      <c r="A5914" t="str">
        <f>"20190304164803484"</f>
        <v>20190304164803484</v>
      </c>
      <c r="B5914" t="str">
        <f>"1551689283475629"</f>
        <v>1551689283475629</v>
      </c>
      <c r="C5914" t="s">
        <v>40</v>
      </c>
      <c r="D5914">
        <v>4.0583239999999998</v>
      </c>
      <c r="E5914">
        <v>0.56567939999999906</v>
      </c>
      <c r="F5914" t="s">
        <v>41</v>
      </c>
      <c r="G5914">
        <v>-187.07320000000001</v>
      </c>
      <c r="H5914">
        <v>1.0345770000000001</v>
      </c>
      <c r="I5914">
        <v>47.201979999999999</v>
      </c>
      <c r="J5914">
        <v>-187.11619999999999</v>
      </c>
      <c r="K5914">
        <v>1.111356</v>
      </c>
      <c r="L5914">
        <v>46.984499999999997</v>
      </c>
      <c r="M5914">
        <v>-1.6888449999999999E-2</v>
      </c>
      <c r="N5914">
        <v>-1.492398E-2</v>
      </c>
      <c r="O5914">
        <v>0.99974600000000002</v>
      </c>
      <c r="P5914">
        <v>-8.0567100000000003E-2</v>
      </c>
      <c r="Q5914">
        <v>0.36520580000000002</v>
      </c>
      <c r="R5914">
        <v>0.92743390000000003</v>
      </c>
      <c r="S5914">
        <v>0.1097717</v>
      </c>
      <c r="T5914">
        <v>-0.27642519999999998</v>
      </c>
      <c r="U5914">
        <v>3.3546140000000002</v>
      </c>
      <c r="V5914">
        <v>-6.5269659999999993E-2</v>
      </c>
      <c r="W5914">
        <v>0.37895960000000001</v>
      </c>
      <c r="X5914">
        <v>0.92310859999999995</v>
      </c>
      <c r="Y5914">
        <v>4.9471960000000002E-2</v>
      </c>
      <c r="Z5914">
        <v>-6.7146670000000006E-2</v>
      </c>
      <c r="AA5914">
        <v>0.99651590000000001</v>
      </c>
      <c r="AB5914">
        <v>38</v>
      </c>
      <c r="AC5914">
        <v>4.2999999999977903E-2</v>
      </c>
      <c r="AD5914">
        <v>-7.6778999999999903E-2</v>
      </c>
      <c r="AE5914">
        <v>0.21748000000000101</v>
      </c>
      <c r="AF5914">
        <v>4.1669067106295601E-2</v>
      </c>
      <c r="AG5914">
        <v>-7.6778999999999903E-2</v>
      </c>
      <c r="AH5914">
        <v>0.19351144269348999</v>
      </c>
      <c r="AI5914">
        <v>111.200111555212</v>
      </c>
      <c r="AJ5914">
        <v>77.847978618601303</v>
      </c>
      <c r="AK5914">
        <v>0.212315812995229</v>
      </c>
      <c r="AL5914">
        <v>67.730747163731294</v>
      </c>
      <c r="AM5914">
        <v>94.044445736162004</v>
      </c>
      <c r="AN5914">
        <v>0.99999999717131705</v>
      </c>
    </row>
    <row r="5915" spans="1:40" x14ac:dyDescent="0.25">
      <c r="A5915" t="str">
        <f>"20190304164803505"</f>
        <v>20190304164803505</v>
      </c>
      <c r="B5915" t="str">
        <f>"1551689283495148"</f>
        <v>1551689283495148</v>
      </c>
      <c r="C5915" t="s">
        <v>40</v>
      </c>
      <c r="D5915">
        <v>4.0112779999999999</v>
      </c>
      <c r="E5915">
        <v>0.56573669999999998</v>
      </c>
      <c r="F5915" t="s">
        <v>41</v>
      </c>
      <c r="G5915">
        <v>-187.08510000000001</v>
      </c>
      <c r="H5915">
        <v>1.039037</v>
      </c>
      <c r="I5915">
        <v>47.879759999999997</v>
      </c>
      <c r="J5915">
        <v>-187.12270000000001</v>
      </c>
      <c r="K5915">
        <v>1.1113550000000001</v>
      </c>
      <c r="L5915">
        <v>47.346249999999998</v>
      </c>
      <c r="M5915">
        <v>-1.7274580000000001E-2</v>
      </c>
      <c r="N5915">
        <v>-1.491986E-2</v>
      </c>
      <c r="O5915">
        <v>0.9997395</v>
      </c>
      <c r="P5915">
        <v>-8.0457699999999993E-2</v>
      </c>
      <c r="Q5915">
        <v>0.36563059999999997</v>
      </c>
      <c r="R5915">
        <v>0.92727599999999999</v>
      </c>
      <c r="S5915">
        <v>0.1162415</v>
      </c>
      <c r="T5915">
        <v>-0.27075769999999999</v>
      </c>
      <c r="U5915">
        <v>3.3514400000000002</v>
      </c>
      <c r="V5915">
        <v>-6.4800689999999994E-2</v>
      </c>
      <c r="W5915">
        <v>0.37937959999999998</v>
      </c>
      <c r="X5915">
        <v>0.92296909999999999</v>
      </c>
      <c r="Y5915">
        <v>5.1812560000000001E-2</v>
      </c>
      <c r="Z5915">
        <v>-6.5545119999999998E-2</v>
      </c>
      <c r="AA5915">
        <v>0.99650349999999999</v>
      </c>
      <c r="AB5915">
        <v>38</v>
      </c>
      <c r="AC5915">
        <v>3.7599999999997601E-2</v>
      </c>
      <c r="AD5915">
        <v>-7.2317999999999799E-2</v>
      </c>
      <c r="AE5915">
        <v>0.53350999999999904</v>
      </c>
      <c r="AF5915">
        <v>4.5971069541135598E-2</v>
      </c>
      <c r="AG5915">
        <v>-7.2317999999999799E-2</v>
      </c>
      <c r="AH5915">
        <v>0.52321465764166097</v>
      </c>
      <c r="AI5915">
        <v>97.839656970208196</v>
      </c>
      <c r="AJ5915">
        <v>84.978730918785004</v>
      </c>
      <c r="AK5915">
        <v>0.53018563761180604</v>
      </c>
      <c r="AL5915">
        <v>67.704740693903602</v>
      </c>
      <c r="AM5915">
        <v>94.016086257662295</v>
      </c>
      <c r="AN5915">
        <v>0.99999998493772202</v>
      </c>
    </row>
    <row r="5916" spans="1:40" x14ac:dyDescent="0.25">
      <c r="A5916" t="str">
        <f>"20190304164803529"</f>
        <v>20190304164803529</v>
      </c>
      <c r="B5916" t="str">
        <f>"1551689283525404"</f>
        <v>1551689283525404</v>
      </c>
      <c r="C5916" t="s">
        <v>40</v>
      </c>
      <c r="D5916">
        <v>4.0111600000000003</v>
      </c>
      <c r="E5916">
        <v>0.57952380000000003</v>
      </c>
      <c r="F5916" t="s">
        <v>41</v>
      </c>
      <c r="G5916">
        <v>-187.0925</v>
      </c>
      <c r="H5916">
        <v>1.041733</v>
      </c>
      <c r="I5916">
        <v>48.21828</v>
      </c>
      <c r="J5916">
        <v>-187.12979999999999</v>
      </c>
      <c r="K5916">
        <v>1.1113580000000001</v>
      </c>
      <c r="L5916">
        <v>47.730350000000001</v>
      </c>
      <c r="M5916">
        <v>-1.7684680000000001E-2</v>
      </c>
      <c r="N5916">
        <v>-1.491551E-2</v>
      </c>
      <c r="O5916">
        <v>0.99973239999999997</v>
      </c>
      <c r="P5916">
        <v>-8.1079869999999998E-2</v>
      </c>
      <c r="Q5916">
        <v>0.36604890000000001</v>
      </c>
      <c r="R5916">
        <v>0.92705680000000001</v>
      </c>
      <c r="S5916">
        <v>0.1165009</v>
      </c>
      <c r="T5916">
        <v>-0.26751829999999999</v>
      </c>
      <c r="U5916">
        <v>3.3508909999999998</v>
      </c>
      <c r="V5916">
        <v>-6.5042760000000005E-2</v>
      </c>
      <c r="W5916">
        <v>0.3797912</v>
      </c>
      <c r="X5916">
        <v>0.92278280000000001</v>
      </c>
      <c r="Y5916">
        <v>5.2307079999999999E-2</v>
      </c>
      <c r="Z5916">
        <v>-6.4603129999999995E-2</v>
      </c>
      <c r="AA5916">
        <v>0.99653919999999996</v>
      </c>
      <c r="AB5916">
        <v>38</v>
      </c>
      <c r="AC5916">
        <v>3.72999999999876E-2</v>
      </c>
      <c r="AD5916">
        <v>-6.9625000000000006E-2</v>
      </c>
      <c r="AE5916">
        <v>0.48792999999999798</v>
      </c>
      <c r="AF5916">
        <v>4.5012796185644403E-2</v>
      </c>
      <c r="AG5916">
        <v>-6.9625000000000006E-2</v>
      </c>
      <c r="AH5916">
        <v>0.47752716258837902</v>
      </c>
      <c r="AI5916">
        <v>98.259351604311604</v>
      </c>
      <c r="AJ5916">
        <v>84.615080934757998</v>
      </c>
      <c r="AK5916">
        <v>0.48467100537907098</v>
      </c>
      <c r="AL5916">
        <v>67.679250435948603</v>
      </c>
      <c r="AM5916">
        <v>94.031850557345706</v>
      </c>
      <c r="AN5916">
        <v>1.0000000061008401</v>
      </c>
    </row>
    <row r="5917" spans="1:40" x14ac:dyDescent="0.25">
      <c r="A5917" t="str">
        <f>"20190304164803550"</f>
        <v>20190304164803550</v>
      </c>
      <c r="B5917" t="str">
        <f>"1551689283544924"</f>
        <v>1551689283544924</v>
      </c>
      <c r="C5917" t="s">
        <v>40</v>
      </c>
      <c r="D5917">
        <v>4.0292440000000003</v>
      </c>
      <c r="E5917">
        <v>0.57714390000000004</v>
      </c>
      <c r="F5917" t="s">
        <v>42</v>
      </c>
      <c r="G5917">
        <v>-185.8578</v>
      </c>
      <c r="H5917" s="1">
        <v>-3.4782209999999999E-6</v>
      </c>
      <c r="I5917">
        <v>66.027869999999993</v>
      </c>
      <c r="J5917">
        <v>-187.13650000000001</v>
      </c>
      <c r="K5917">
        <v>1.111362</v>
      </c>
      <c r="L5917">
        <v>48.091740000000001</v>
      </c>
      <c r="M5917">
        <v>-1.8070630000000001E-2</v>
      </c>
      <c r="N5917">
        <v>-1.4911509999999999E-2</v>
      </c>
      <c r="O5917">
        <v>0.99972550000000004</v>
      </c>
      <c r="P5917">
        <v>-8.1843529999999998E-2</v>
      </c>
      <c r="Q5917">
        <v>0.36635430000000002</v>
      </c>
      <c r="R5917">
        <v>0.92686900000000005</v>
      </c>
      <c r="S5917">
        <v>0.23191829999999999</v>
      </c>
      <c r="T5917">
        <v>-0.2026434</v>
      </c>
      <c r="U5917">
        <v>3.3363339999999901</v>
      </c>
      <c r="V5917">
        <v>-6.5449430000000003E-2</v>
      </c>
      <c r="W5917">
        <v>0.3800907</v>
      </c>
      <c r="X5917">
        <v>0.92263070000000003</v>
      </c>
      <c r="Y5917">
        <v>8.7242349999999996E-2</v>
      </c>
      <c r="Z5917">
        <v>-4.5523359999999999E-2</v>
      </c>
      <c r="AA5917">
        <v>0.99514639999999999</v>
      </c>
      <c r="AB5917">
        <v>38</v>
      </c>
      <c r="AC5917">
        <v>1.2787000000000099</v>
      </c>
      <c r="AD5917">
        <v>-1.1113654782210001</v>
      </c>
      <c r="AE5917">
        <v>17.936129999999899</v>
      </c>
      <c r="AF5917">
        <v>1.59654568981954</v>
      </c>
      <c r="AG5917">
        <v>-1.1113654782210001</v>
      </c>
      <c r="AH5917">
        <v>17.841936303753599</v>
      </c>
      <c r="AI5917">
        <v>93.550172411508996</v>
      </c>
      <c r="AJ5917">
        <v>84.8866343917812</v>
      </c>
      <c r="AK5917">
        <v>17.947667882849402</v>
      </c>
      <c r="AL5917">
        <v>67.660698789145798</v>
      </c>
      <c r="AM5917">
        <v>94.0576417552207</v>
      </c>
      <c r="AN5917">
        <v>0.99999998834815196</v>
      </c>
    </row>
    <row r="5918" spans="1:40" x14ac:dyDescent="0.25">
      <c r="A5918" t="str">
        <f>"20190304164803573"</f>
        <v>20190304164803573</v>
      </c>
      <c r="B5918" t="str">
        <f>"1551689283565421"</f>
        <v>1551689283565421</v>
      </c>
      <c r="C5918" t="s">
        <v>40</v>
      </c>
      <c r="D5918">
        <v>4.0731260000000002</v>
      </c>
      <c r="E5918">
        <v>0.57642519999999997</v>
      </c>
      <c r="F5918" t="s">
        <v>41</v>
      </c>
      <c r="G5918">
        <v>-187.08770000000001</v>
      </c>
      <c r="H5918">
        <v>1.0490969999999999</v>
      </c>
      <c r="I5918">
        <v>48.897500000000001</v>
      </c>
      <c r="J5918">
        <v>-187.1439</v>
      </c>
      <c r="K5918">
        <v>1.111359</v>
      </c>
      <c r="L5918">
        <v>48.476900000000001</v>
      </c>
      <c r="M5918">
        <v>-1.847996E-2</v>
      </c>
      <c r="N5918">
        <v>-1.490723E-2</v>
      </c>
      <c r="O5918">
        <v>0.99971810000000005</v>
      </c>
      <c r="P5918">
        <v>-8.3116170000000003E-2</v>
      </c>
      <c r="Q5918">
        <v>0.36625540000000001</v>
      </c>
      <c r="R5918">
        <v>0.92679480000000003</v>
      </c>
      <c r="S5918">
        <v>0.20346069999999999</v>
      </c>
      <c r="T5918">
        <v>-0.25942989999999999</v>
      </c>
      <c r="U5918">
        <v>3.357208</v>
      </c>
      <c r="V5918">
        <v>-6.6340709999999997E-2</v>
      </c>
      <c r="W5918">
        <v>0.37998710000000002</v>
      </c>
      <c r="X5918">
        <v>0.92260969999999998</v>
      </c>
      <c r="Y5918">
        <v>7.8760640000000007E-2</v>
      </c>
      <c r="Z5918">
        <v>-6.1956480000000001E-2</v>
      </c>
      <c r="AA5918">
        <v>0.99496640000000003</v>
      </c>
      <c r="AB5918">
        <v>38</v>
      </c>
      <c r="AC5918">
        <v>5.61999999999898E-2</v>
      </c>
      <c r="AD5918">
        <v>-6.2261999999999998E-2</v>
      </c>
      <c r="AE5918">
        <v>0.42059999999999997</v>
      </c>
      <c r="AF5918">
        <v>6.2615883545891302E-2</v>
      </c>
      <c r="AG5918">
        <v>-6.2261999999999998E-2</v>
      </c>
      <c r="AH5918">
        <v>0.41064864970241399</v>
      </c>
      <c r="AI5918">
        <v>98.524390311167394</v>
      </c>
      <c r="AJ5918">
        <v>81.330294226630301</v>
      </c>
      <c r="AK5918">
        <v>0.42003525925646901</v>
      </c>
      <c r="AL5918">
        <v>67.667115742312603</v>
      </c>
      <c r="AM5918">
        <v>94.112803029957902</v>
      </c>
      <c r="AN5918">
        <v>0.99999997225190096</v>
      </c>
    </row>
    <row r="5919" spans="1:40" x14ac:dyDescent="0.25">
      <c r="A5919" t="str">
        <f>"20190304164803596"</f>
        <v>20190304164803596</v>
      </c>
      <c r="B5919" t="str">
        <f>"1551689283584940"</f>
        <v>1551689283584940</v>
      </c>
      <c r="C5919" t="s">
        <v>40</v>
      </c>
      <c r="D5919">
        <v>4.0571260000000002</v>
      </c>
      <c r="E5919">
        <v>0.57603850000000001</v>
      </c>
      <c r="F5919" t="s">
        <v>42</v>
      </c>
      <c r="G5919">
        <v>-186.2749</v>
      </c>
      <c r="H5919" s="1">
        <v>-2.280217E-6</v>
      </c>
      <c r="I5919">
        <v>63.407730000000001</v>
      </c>
      <c r="J5919">
        <v>-187.15129999999999</v>
      </c>
      <c r="K5919">
        <v>1.111354</v>
      </c>
      <c r="L5919">
        <v>48.854610000000001</v>
      </c>
      <c r="M5919">
        <v>-1.88743E-2</v>
      </c>
      <c r="N5919">
        <v>-1.490323E-2</v>
      </c>
      <c r="O5919">
        <v>0.99971080000000001</v>
      </c>
      <c r="P5919">
        <v>-8.4111729999999996E-2</v>
      </c>
      <c r="Q5919">
        <v>0.36642770000000002</v>
      </c>
      <c r="R5919">
        <v>0.92663689999999999</v>
      </c>
      <c r="S5919">
        <v>0.1951599</v>
      </c>
      <c r="T5919">
        <v>-0.24958359999999999</v>
      </c>
      <c r="U5919">
        <v>3.3530880000000001</v>
      </c>
      <c r="V5919">
        <v>-6.6967440000000003E-2</v>
      </c>
      <c r="W5919">
        <v>0.38015460000000001</v>
      </c>
      <c r="X5919">
        <v>0.92249539999999997</v>
      </c>
      <c r="Y5919">
        <v>7.6785969999999995E-2</v>
      </c>
      <c r="Z5919">
        <v>-5.9158330000000002E-2</v>
      </c>
      <c r="AA5919">
        <v>0.99529100000000004</v>
      </c>
      <c r="AB5919">
        <v>38</v>
      </c>
      <c r="AC5919">
        <v>0.87639999999998897</v>
      </c>
      <c r="AD5919">
        <v>-1.1113562802170001</v>
      </c>
      <c r="AE5919">
        <v>14.55312</v>
      </c>
      <c r="AF5919">
        <v>1.1443051860850599</v>
      </c>
      <c r="AG5919">
        <v>-1.1113562802170001</v>
      </c>
      <c r="AH5919">
        <v>14.4500201893305</v>
      </c>
      <c r="AI5919">
        <v>94.384309049742896</v>
      </c>
      <c r="AJ5919">
        <v>85.472164281394498</v>
      </c>
      <c r="AK5919">
        <v>14.5378000609631</v>
      </c>
      <c r="AL5919">
        <v>67.656739804732197</v>
      </c>
      <c r="AM5919">
        <v>94.152034626883406</v>
      </c>
      <c r="AN5919">
        <v>0.99999996047123596</v>
      </c>
    </row>
    <row r="5920" spans="1:40" x14ac:dyDescent="0.25">
      <c r="A5920" t="str">
        <f>"20190304164803619"</f>
        <v>20190304164803619</v>
      </c>
      <c r="B5920" t="str">
        <f>"1551689283615196"</f>
        <v>1551689283615196</v>
      </c>
      <c r="C5920" t="s">
        <v>40</v>
      </c>
      <c r="D5920">
        <v>4.1534170000000001</v>
      </c>
      <c r="E5920">
        <v>0.57579389999999997</v>
      </c>
      <c r="F5920" t="s">
        <v>41</v>
      </c>
      <c r="G5920">
        <v>-187.09209999999999</v>
      </c>
      <c r="H5920">
        <v>1.0355319999999999</v>
      </c>
      <c r="I5920">
        <v>49.89602</v>
      </c>
      <c r="J5920">
        <v>-187.15899999999999</v>
      </c>
      <c r="K5920">
        <v>1.1113409999999999</v>
      </c>
      <c r="L5920">
        <v>49.243160000000003</v>
      </c>
      <c r="M5920">
        <v>-1.9263349999999999E-2</v>
      </c>
      <c r="N5920">
        <v>-1.489887E-2</v>
      </c>
      <c r="O5920">
        <v>0.99970340000000002</v>
      </c>
      <c r="P5920">
        <v>-8.5234370000000004E-2</v>
      </c>
      <c r="Q5920">
        <v>0.36669299999999999</v>
      </c>
      <c r="R5920">
        <v>0.92642939999999996</v>
      </c>
      <c r="S5920">
        <v>0.19033810000000001</v>
      </c>
      <c r="T5920">
        <v>-0.24401220000000001</v>
      </c>
      <c r="U5920">
        <v>3.3512879999999998</v>
      </c>
      <c r="V5920">
        <v>-6.7722350000000001E-2</v>
      </c>
      <c r="W5920">
        <v>0.38041439999999999</v>
      </c>
      <c r="X5920">
        <v>0.92233319999999996</v>
      </c>
      <c r="Y5920">
        <v>7.5784560000000001E-2</v>
      </c>
      <c r="Z5920">
        <v>-5.7560779999999999E-2</v>
      </c>
      <c r="AA5920">
        <v>0.99546140000000005</v>
      </c>
      <c r="AB5920">
        <v>38</v>
      </c>
      <c r="AC5920">
        <v>6.6900000000032295E-2</v>
      </c>
      <c r="AD5920">
        <v>-7.5809000000000001E-2</v>
      </c>
      <c r="AE5920">
        <v>0.65286000000000399</v>
      </c>
      <c r="AF5920">
        <v>7.8418880158886803E-2</v>
      </c>
      <c r="AG5920">
        <v>-7.5809000000000001E-2</v>
      </c>
      <c r="AH5920">
        <v>0.64287190561456797</v>
      </c>
      <c r="AI5920">
        <v>96.676361161315</v>
      </c>
      <c r="AJ5920">
        <v>83.045297820215197</v>
      </c>
      <c r="AK5920">
        <v>0.65205890245811404</v>
      </c>
      <c r="AL5920">
        <v>67.640645673105297</v>
      </c>
      <c r="AM5920">
        <v>94.199408922535994</v>
      </c>
      <c r="AN5920">
        <v>0.99999998211956098</v>
      </c>
    </row>
    <row r="5921" spans="1:40" x14ac:dyDescent="0.25">
      <c r="A5921" t="str">
        <f>"20190304164803644"</f>
        <v>20190304164803644</v>
      </c>
      <c r="B5921" t="str">
        <f>"1551689283635692"</f>
        <v>1551689283635692</v>
      </c>
      <c r="C5921" t="s">
        <v>40</v>
      </c>
      <c r="D5921">
        <v>4.1676070000000003</v>
      </c>
      <c r="E5921">
        <v>0.57571680000000003</v>
      </c>
      <c r="F5921" t="s">
        <v>41</v>
      </c>
      <c r="G5921">
        <v>-187.10300000000001</v>
      </c>
      <c r="H5921">
        <v>1.044467</v>
      </c>
      <c r="I5921">
        <v>50.235729999999997</v>
      </c>
      <c r="J5921">
        <v>-187.1677</v>
      </c>
      <c r="K5921">
        <v>1.111324</v>
      </c>
      <c r="L5921">
        <v>49.671199999999999</v>
      </c>
      <c r="M5921">
        <v>-1.9670110000000001E-2</v>
      </c>
      <c r="N5921">
        <v>-1.4893760000000001E-2</v>
      </c>
      <c r="O5921">
        <v>0.99969560000000002</v>
      </c>
      <c r="P5921">
        <v>-8.6930919999999995E-2</v>
      </c>
      <c r="Q5921">
        <v>0.36647420000000003</v>
      </c>
      <c r="R5921">
        <v>0.92635829999999997</v>
      </c>
      <c r="S5921">
        <v>0.18896479999999999</v>
      </c>
      <c r="T5921">
        <v>-0.22535820000000001</v>
      </c>
      <c r="U5921">
        <v>3.3448180000000001</v>
      </c>
      <c r="V5921">
        <v>-6.9026080000000004E-2</v>
      </c>
      <c r="W5921">
        <v>0.38019249999999999</v>
      </c>
      <c r="X5921">
        <v>0.92232809999999998</v>
      </c>
      <c r="Y5921">
        <v>7.5911580000000006E-2</v>
      </c>
      <c r="Z5921">
        <v>-5.217741E-2</v>
      </c>
      <c r="AA5921">
        <v>0.99574850000000004</v>
      </c>
      <c r="AB5921">
        <v>38</v>
      </c>
      <c r="AC5921">
        <v>6.4700000000016106E-2</v>
      </c>
      <c r="AD5921">
        <v>-6.6856999999999903E-2</v>
      </c>
      <c r="AE5921">
        <v>0.56452999999999698</v>
      </c>
      <c r="AF5921">
        <v>7.4758148446617906E-2</v>
      </c>
      <c r="AG5921">
        <v>-6.6856999999999903E-2</v>
      </c>
      <c r="AH5921">
        <v>0.55545835416863498</v>
      </c>
      <c r="AI5921">
        <v>96.80256110018</v>
      </c>
      <c r="AJ5921">
        <v>82.334724735265794</v>
      </c>
      <c r="AK5921">
        <v>0.56444009639987003</v>
      </c>
      <c r="AL5921">
        <v>67.654393658155797</v>
      </c>
      <c r="AM5921">
        <v>94.279978177951804</v>
      </c>
      <c r="AN5921">
        <v>1.0000000304130101</v>
      </c>
    </row>
    <row r="5922" spans="1:40" x14ac:dyDescent="0.25">
      <c r="A5922" t="str">
        <f>"20190304164803666"</f>
        <v>20190304164803666</v>
      </c>
      <c r="B5922" t="str">
        <f>"1551689283655215"</f>
        <v>1551689283655215</v>
      </c>
      <c r="C5922" t="s">
        <v>40</v>
      </c>
      <c r="D5922">
        <v>4.2468979999999998</v>
      </c>
      <c r="E5922">
        <v>0.57581740000000003</v>
      </c>
      <c r="F5922" t="s">
        <v>41</v>
      </c>
      <c r="G5922">
        <v>-187.1181</v>
      </c>
      <c r="H5922">
        <v>1.0483709999999999</v>
      </c>
      <c r="I5922">
        <v>50.573329999999999</v>
      </c>
      <c r="J5922">
        <v>-187.17529999999999</v>
      </c>
      <c r="K5922">
        <v>1.1112959999999901</v>
      </c>
      <c r="L5922">
        <v>50.036439999999999</v>
      </c>
      <c r="M5922">
        <v>-1.9987749999999999E-2</v>
      </c>
      <c r="N5922">
        <v>-1.4889350000000001E-2</v>
      </c>
      <c r="O5922">
        <v>0.9996893</v>
      </c>
      <c r="P5922">
        <v>-8.8477630000000002E-2</v>
      </c>
      <c r="Q5922">
        <v>0.36624489999999998</v>
      </c>
      <c r="R5922">
        <v>0.92630259999999998</v>
      </c>
      <c r="S5922">
        <v>0.18363950000000001</v>
      </c>
      <c r="T5922">
        <v>-0.23366149999999999</v>
      </c>
      <c r="U5922">
        <v>3.3481749999999999</v>
      </c>
      <c r="V5922">
        <v>-7.0258509999999996E-2</v>
      </c>
      <c r="W5922">
        <v>0.37996150000000001</v>
      </c>
      <c r="X5922">
        <v>0.92233019999999999</v>
      </c>
      <c r="Y5922">
        <v>7.4585699999999894E-2</v>
      </c>
      <c r="Z5922">
        <v>-5.4579540000000003E-2</v>
      </c>
      <c r="AA5922">
        <v>0.99571989999999999</v>
      </c>
      <c r="AB5922">
        <v>37</v>
      </c>
      <c r="AC5922">
        <v>5.7199999999994498E-2</v>
      </c>
      <c r="AD5922">
        <v>-6.2924999999999898E-2</v>
      </c>
      <c r="AE5922">
        <v>0.53688999999999898</v>
      </c>
      <c r="AF5922">
        <v>6.7010821071867302E-2</v>
      </c>
      <c r="AG5922">
        <v>-6.2924999999999898E-2</v>
      </c>
      <c r="AH5922">
        <v>0.52846155733633104</v>
      </c>
      <c r="AI5922">
        <v>96.736910531346396</v>
      </c>
      <c r="AJ5922">
        <v>82.773258229059095</v>
      </c>
      <c r="AK5922">
        <v>0.536396889763602</v>
      </c>
      <c r="AL5922">
        <v>67.668702070974007</v>
      </c>
      <c r="AM5922">
        <v>94.356093835371794</v>
      </c>
      <c r="AN5922">
        <v>0.99999999877085499</v>
      </c>
    </row>
    <row r="5923" spans="1:40" x14ac:dyDescent="0.25">
      <c r="A5923" t="str">
        <f>"20190304164803685"</f>
        <v>20190304164803685</v>
      </c>
      <c r="B5923" t="str">
        <f>"1551689283675709"</f>
        <v>1551689283675709</v>
      </c>
      <c r="C5923" t="s">
        <v>40</v>
      </c>
      <c r="D5923">
        <v>4.2160630000000001</v>
      </c>
      <c r="E5923">
        <v>0.57581380000000004</v>
      </c>
      <c r="F5923" t="s">
        <v>41</v>
      </c>
      <c r="G5923">
        <v>-187.1283</v>
      </c>
      <c r="H5923">
        <v>1.0495110000000001</v>
      </c>
      <c r="I5923">
        <v>50.908639999999998</v>
      </c>
      <c r="J5923">
        <v>-187.18190000000001</v>
      </c>
      <c r="K5923">
        <v>1.1112690000000001</v>
      </c>
      <c r="L5923">
        <v>50.356479999999998</v>
      </c>
      <c r="M5923">
        <v>-2.023003E-2</v>
      </c>
      <c r="N5923">
        <v>-1.488547E-2</v>
      </c>
      <c r="O5923">
        <v>0.99968449999999998</v>
      </c>
      <c r="P5923">
        <v>-9.0442170000000002E-2</v>
      </c>
      <c r="Q5923">
        <v>0.36615449999999999</v>
      </c>
      <c r="R5923">
        <v>0.92614850000000004</v>
      </c>
      <c r="S5923">
        <v>0.18002319999999999</v>
      </c>
      <c r="T5923">
        <v>-0.23728679999999999</v>
      </c>
      <c r="U5923">
        <v>3.349701</v>
      </c>
      <c r="V5923">
        <v>-7.1975650000000002E-2</v>
      </c>
      <c r="W5923">
        <v>0.37987009999999899</v>
      </c>
      <c r="X5923">
        <v>0.92223540000000004</v>
      </c>
      <c r="Y5923">
        <v>7.3727600000000004E-2</v>
      </c>
      <c r="Z5923">
        <v>-5.5628490000000003E-2</v>
      </c>
      <c r="AA5923">
        <v>0.99572579999999999</v>
      </c>
      <c r="AB5923">
        <v>37</v>
      </c>
      <c r="AC5923">
        <v>5.3600000000017099E-2</v>
      </c>
      <c r="AD5923">
        <v>-6.1757999999999903E-2</v>
      </c>
      <c r="AE5923">
        <v>0.55216000000000698</v>
      </c>
      <c r="AF5923">
        <v>6.3967715578571699E-2</v>
      </c>
      <c r="AG5923">
        <v>-6.1757999999999903E-2</v>
      </c>
      <c r="AH5923">
        <v>0.54421792803644797</v>
      </c>
      <c r="AI5923">
        <v>96.430351062600096</v>
      </c>
      <c r="AJ5923">
        <v>83.296178204605596</v>
      </c>
      <c r="AK5923">
        <v>0.55143365185362503</v>
      </c>
      <c r="AL5923">
        <v>67.674362473158993</v>
      </c>
      <c r="AM5923">
        <v>94.462590099055305</v>
      </c>
      <c r="AN5923">
        <v>0.99999996004004499</v>
      </c>
    </row>
    <row r="5924" spans="1:40" x14ac:dyDescent="0.25">
      <c r="A5924" t="str">
        <f>"20190304164803708"</f>
        <v>20190304164803708</v>
      </c>
      <c r="B5924" t="str">
        <f>"1551689283695228"</f>
        <v>1551689283695228</v>
      </c>
      <c r="C5924" t="s">
        <v>40</v>
      </c>
      <c r="D5924">
        <v>4.2374999999999998</v>
      </c>
      <c r="E5924">
        <v>0.5758839</v>
      </c>
      <c r="F5924" t="s">
        <v>41</v>
      </c>
      <c r="G5924">
        <v>-187.13550000000001</v>
      </c>
      <c r="H5924">
        <v>1.0482899999999999</v>
      </c>
      <c r="I5924">
        <v>51.241410000000002</v>
      </c>
      <c r="J5924">
        <v>-187.18979999999999</v>
      </c>
      <c r="K5924">
        <v>1.111227</v>
      </c>
      <c r="L5924">
        <v>50.73395</v>
      </c>
      <c r="M5924">
        <v>-2.0458179999999999E-2</v>
      </c>
      <c r="N5924">
        <v>-1.4880859999999999E-2</v>
      </c>
      <c r="O5924">
        <v>0.99968000000000001</v>
      </c>
      <c r="P5924">
        <v>-9.1969720000000005E-2</v>
      </c>
      <c r="Q5924">
        <v>0.36537910000000001</v>
      </c>
      <c r="R5924">
        <v>0.92630429999999997</v>
      </c>
      <c r="S5924">
        <v>0.17549129999999999</v>
      </c>
      <c r="T5924">
        <v>-0.2384607</v>
      </c>
      <c r="U5924">
        <v>3.350616</v>
      </c>
      <c r="V5924">
        <v>-7.3245980000000002E-2</v>
      </c>
      <c r="W5924">
        <v>0.3791003</v>
      </c>
      <c r="X5924">
        <v>0.92245220000000006</v>
      </c>
      <c r="Y5924">
        <v>7.2597149999999999E-2</v>
      </c>
      <c r="Z5924">
        <v>-5.596624E-2</v>
      </c>
      <c r="AA5924">
        <v>0.99578979999999995</v>
      </c>
      <c r="AB5924">
        <v>37</v>
      </c>
      <c r="AC5924">
        <v>5.42999999999835E-2</v>
      </c>
      <c r="AD5924">
        <v>-6.2937000000000007E-2</v>
      </c>
      <c r="AE5924">
        <v>0.50745999999999403</v>
      </c>
      <c r="AF5924">
        <v>6.3702717132224695E-2</v>
      </c>
      <c r="AG5924">
        <v>-6.2937000000000007E-2</v>
      </c>
      <c r="AH5924">
        <v>0.49865929639388101</v>
      </c>
      <c r="AI5924">
        <v>97.136016780576497</v>
      </c>
      <c r="AJ5924">
        <v>82.720011136369806</v>
      </c>
      <c r="AK5924">
        <v>0.50663615743358503</v>
      </c>
      <c r="AL5924">
        <v>67.7220365466533</v>
      </c>
      <c r="AM5924">
        <v>94.539962947239601</v>
      </c>
      <c r="AN5924">
        <v>1.0000000361655399</v>
      </c>
    </row>
    <row r="5925" spans="1:40" x14ac:dyDescent="0.25">
      <c r="A5925" t="str">
        <f>"20190304164803731"</f>
        <v>20190304164803731</v>
      </c>
      <c r="B5925" t="str">
        <f>"1551689283725484"</f>
        <v>1551689283725484</v>
      </c>
      <c r="C5925" t="s">
        <v>40</v>
      </c>
      <c r="D5925">
        <v>4.1952600000000002</v>
      </c>
      <c r="E5925">
        <v>0.57628330000000005</v>
      </c>
      <c r="F5925" t="s">
        <v>41</v>
      </c>
      <c r="G5925">
        <v>-187.14680000000001</v>
      </c>
      <c r="H5925">
        <v>1.0500620000000001</v>
      </c>
      <c r="I5925">
        <v>51.576599999999999</v>
      </c>
      <c r="J5925">
        <v>-187.1978</v>
      </c>
      <c r="K5925">
        <v>1.1111709999999999</v>
      </c>
      <c r="L5925">
        <v>51.11871</v>
      </c>
      <c r="M5925">
        <v>-2.0623490000000001E-2</v>
      </c>
      <c r="N5925">
        <v>-1.487628E-2</v>
      </c>
      <c r="O5925">
        <v>0.99967660000000003</v>
      </c>
      <c r="P5925">
        <v>-9.3097849999999996E-2</v>
      </c>
      <c r="Q5925">
        <v>0.36509219999999998</v>
      </c>
      <c r="R5925">
        <v>0.92630480000000004</v>
      </c>
      <c r="S5925">
        <v>0.17112729999999901</v>
      </c>
      <c r="T5925">
        <v>-0.24327180000000001</v>
      </c>
      <c r="U5925">
        <v>3.3516240000000002</v>
      </c>
      <c r="V5925">
        <v>-7.4167869999999997E-2</v>
      </c>
      <c r="W5925">
        <v>0.37881920000000002</v>
      </c>
      <c r="X5925">
        <v>0.92249400000000004</v>
      </c>
      <c r="Y5925">
        <v>7.1449180000000001E-2</v>
      </c>
      <c r="Z5925">
        <v>-5.7377329999999997E-2</v>
      </c>
      <c r="AA5925">
        <v>0.99579260000000003</v>
      </c>
      <c r="AB5925">
        <v>37</v>
      </c>
      <c r="AC5925">
        <v>5.0999999999987701E-2</v>
      </c>
      <c r="AD5925">
        <v>-6.1108999999999802E-2</v>
      </c>
      <c r="AE5925">
        <v>0.45788999999999802</v>
      </c>
      <c r="AF5925">
        <v>5.93886762351949E-2</v>
      </c>
      <c r="AG5925">
        <v>-6.1108999999999802E-2</v>
      </c>
      <c r="AH5925">
        <v>0.448844276032144</v>
      </c>
      <c r="AI5925">
        <v>97.686820847676699</v>
      </c>
      <c r="AJ5925">
        <v>82.462710654275398</v>
      </c>
      <c r="AK5925">
        <v>0.45686158612077299</v>
      </c>
      <c r="AL5925">
        <v>67.739440107559702</v>
      </c>
      <c r="AM5925">
        <v>94.596653138132098</v>
      </c>
      <c r="AN5925">
        <v>1.0000000196324801</v>
      </c>
    </row>
    <row r="5926" spans="1:40" x14ac:dyDescent="0.25">
      <c r="A5926" t="str">
        <f>"20190304164803754"</f>
        <v>20190304164803754</v>
      </c>
      <c r="B5926" t="str">
        <f>"1551689283745004"</f>
        <v>1551689283745004</v>
      </c>
      <c r="C5926" t="s">
        <v>40</v>
      </c>
      <c r="D5926">
        <v>4.2306509999999999</v>
      </c>
      <c r="E5926">
        <v>0.57663629999999999</v>
      </c>
      <c r="F5926" t="s">
        <v>41</v>
      </c>
      <c r="G5926">
        <v>-187.1576</v>
      </c>
      <c r="H5926">
        <v>1.0520290000000001</v>
      </c>
      <c r="I5926">
        <v>51.914050000000003</v>
      </c>
      <c r="J5926">
        <v>-187.20570000000001</v>
      </c>
      <c r="K5926">
        <v>1.11112099999999</v>
      </c>
      <c r="L5926">
        <v>51.49335</v>
      </c>
      <c r="M5926">
        <v>-2.0723459999999999E-2</v>
      </c>
      <c r="N5926">
        <v>-1.487192E-2</v>
      </c>
      <c r="O5926">
        <v>0.99967459999999997</v>
      </c>
      <c r="P5926">
        <v>-9.3471940000000003E-2</v>
      </c>
      <c r="Q5926">
        <v>0.36446859999999998</v>
      </c>
      <c r="R5926">
        <v>0.92651260000000002</v>
      </c>
      <c r="S5926">
        <v>0.16912839999999901</v>
      </c>
      <c r="T5926">
        <v>-0.24942980000000001</v>
      </c>
      <c r="U5926">
        <v>3.3539729999999999</v>
      </c>
      <c r="V5926">
        <v>-7.4393029999999999E-2</v>
      </c>
      <c r="W5926">
        <v>0.37820490000000001</v>
      </c>
      <c r="X5926">
        <v>0.92272790000000005</v>
      </c>
      <c r="Y5926">
        <v>7.0915649999999997E-2</v>
      </c>
      <c r="Z5926">
        <v>-5.9152719999999999E-2</v>
      </c>
      <c r="AA5926">
        <v>0.99572680000000002</v>
      </c>
      <c r="AB5926">
        <v>37</v>
      </c>
      <c r="AC5926">
        <v>4.8100000000005097E-2</v>
      </c>
      <c r="AD5926">
        <v>-5.90919999999997E-2</v>
      </c>
      <c r="AE5926">
        <v>0.42070000000000302</v>
      </c>
      <c r="AF5926">
        <v>5.5723785159917598E-2</v>
      </c>
      <c r="AG5926">
        <v>-5.90919999999997E-2</v>
      </c>
      <c r="AH5926">
        <v>0.41159697409094698</v>
      </c>
      <c r="AI5926">
        <v>98.097115936025503</v>
      </c>
      <c r="AJ5926">
        <v>82.289926358489097</v>
      </c>
      <c r="AK5926">
        <v>0.41953435351276303</v>
      </c>
      <c r="AL5926">
        <v>67.777466270835404</v>
      </c>
      <c r="AM5926">
        <v>94.609383979661501</v>
      </c>
      <c r="AN5926">
        <v>1.0000000233674999</v>
      </c>
    </row>
    <row r="5927" spans="1:40" x14ac:dyDescent="0.25">
      <c r="A5927" t="str">
        <f>"20190304164803776"</f>
        <v>20190304164803776</v>
      </c>
      <c r="B5927" t="str">
        <f>"1551689283765501"</f>
        <v>1551689283765501</v>
      </c>
      <c r="C5927" t="s">
        <v>40</v>
      </c>
      <c r="D5927">
        <v>4.3221639999999999</v>
      </c>
      <c r="E5927">
        <v>0.57648180000000004</v>
      </c>
      <c r="F5927" t="s">
        <v>42</v>
      </c>
      <c r="G5927">
        <v>-186.47919999999999</v>
      </c>
      <c r="H5927" s="1">
        <v>-3.3544410000000001E-6</v>
      </c>
      <c r="I5927">
        <v>65.996250000000003</v>
      </c>
      <c r="J5927">
        <v>-187.21350000000001</v>
      </c>
      <c r="K5927">
        <v>1.1110709999999999</v>
      </c>
      <c r="L5927">
        <v>51.865969999999997</v>
      </c>
      <c r="M5927">
        <v>-2.075101E-2</v>
      </c>
      <c r="N5927">
        <v>-1.486758E-2</v>
      </c>
      <c r="O5927">
        <v>0.99967410000000001</v>
      </c>
      <c r="P5927">
        <v>-9.3871410000000002E-2</v>
      </c>
      <c r="Q5927">
        <v>0.36466910000000002</v>
      </c>
      <c r="R5927">
        <v>0.92639340000000003</v>
      </c>
      <c r="S5927">
        <v>0.1681213</v>
      </c>
      <c r="T5927">
        <v>-0.25712010000000002</v>
      </c>
      <c r="U5927">
        <v>3.3560490000000001</v>
      </c>
      <c r="V5927">
        <v>-7.4716249999999998E-2</v>
      </c>
      <c r="W5927">
        <v>0.37841010000000003</v>
      </c>
      <c r="X5927">
        <v>0.92261760000000004</v>
      </c>
      <c r="Y5927">
        <v>7.0606429999999998E-2</v>
      </c>
      <c r="Z5927">
        <v>-6.1382249999999999E-2</v>
      </c>
      <c r="AA5927">
        <v>0.99561390000000005</v>
      </c>
      <c r="AB5927">
        <v>37</v>
      </c>
      <c r="AC5927">
        <v>0.73430000000001805</v>
      </c>
      <c r="AD5927">
        <v>-1.111074354441</v>
      </c>
      <c r="AE5927">
        <v>14.130280000000001</v>
      </c>
      <c r="AF5927">
        <v>1.0210956321987099</v>
      </c>
      <c r="AG5927">
        <v>-1.111074354441</v>
      </c>
      <c r="AH5927">
        <v>14.0255142641938</v>
      </c>
      <c r="AI5927">
        <v>94.517496469639298</v>
      </c>
      <c r="AJ5927">
        <v>85.836057483327494</v>
      </c>
      <c r="AK5927">
        <v>14.106458552248199</v>
      </c>
      <c r="AL5927">
        <v>67.764764192469599</v>
      </c>
      <c r="AM5927">
        <v>94.629874833162702</v>
      </c>
      <c r="AN5927">
        <v>0.99999997881291602</v>
      </c>
    </row>
    <row r="5928" spans="1:40" x14ac:dyDescent="0.25">
      <c r="A5928" t="str">
        <f>"20190304164803796"</f>
        <v>20190304164803796</v>
      </c>
      <c r="B5928" t="str">
        <f>"1551689283785996"</f>
        <v>1551689283785996</v>
      </c>
      <c r="C5928" t="s">
        <v>40</v>
      </c>
      <c r="D5928">
        <v>4.2683119999999999</v>
      </c>
      <c r="E5928">
        <v>0.53867580000000004</v>
      </c>
      <c r="F5928" t="s">
        <v>41</v>
      </c>
      <c r="G5928">
        <v>-187.16290000000001</v>
      </c>
      <c r="H5928">
        <v>1.0317700000000001</v>
      </c>
      <c r="I5928">
        <v>52.895200000000003</v>
      </c>
      <c r="J5928">
        <v>-187.22059999999999</v>
      </c>
      <c r="K5928">
        <v>1.111016</v>
      </c>
      <c r="L5928">
        <v>52.211060000000003</v>
      </c>
      <c r="M5928">
        <v>-2.0709450000000001E-2</v>
      </c>
      <c r="N5928">
        <v>-1.486356E-2</v>
      </c>
      <c r="O5928">
        <v>0.99967499999999998</v>
      </c>
      <c r="P5928">
        <v>-9.3738890000000005E-2</v>
      </c>
      <c r="Q5928">
        <v>0.36584850000000002</v>
      </c>
      <c r="R5928">
        <v>0.92594160000000003</v>
      </c>
      <c r="S5928">
        <v>0.16476440000000001</v>
      </c>
      <c r="T5928">
        <v>-0.25865110000000002</v>
      </c>
      <c r="U5928">
        <v>3.3568730000000002</v>
      </c>
      <c r="V5928">
        <v>-7.4580530000000006E-2</v>
      </c>
      <c r="W5928">
        <v>0.37958910000000001</v>
      </c>
      <c r="X5928">
        <v>0.92214419999999997</v>
      </c>
      <c r="Y5928">
        <v>6.9558670000000003E-2</v>
      </c>
      <c r="Z5928">
        <v>-6.1824200000000003E-2</v>
      </c>
      <c r="AA5928">
        <v>0.9956602</v>
      </c>
      <c r="AB5928">
        <v>37</v>
      </c>
      <c r="AC5928">
        <v>5.7699999999982703E-2</v>
      </c>
      <c r="AD5928">
        <v>-7.92459999999999E-2</v>
      </c>
      <c r="AE5928">
        <v>0.68414000000000597</v>
      </c>
      <c r="AF5928">
        <v>7.0912616820407906E-2</v>
      </c>
      <c r="AG5928">
        <v>-7.92459999999999E-2</v>
      </c>
      <c r="AH5928">
        <v>0.67382117910112105</v>
      </c>
      <c r="AI5928">
        <v>96.671059913157805</v>
      </c>
      <c r="AJ5928">
        <v>83.992333608518805</v>
      </c>
      <c r="AK5928">
        <v>0.68216091147583502</v>
      </c>
      <c r="AL5928">
        <v>67.691767881697402</v>
      </c>
      <c r="AM5928">
        <v>94.623863506002394</v>
      </c>
      <c r="AN5928">
        <v>1.0000000329437599</v>
      </c>
    </row>
    <row r="5929" spans="1:40" x14ac:dyDescent="0.25">
      <c r="A5929" t="str">
        <f>"20190304164803822"</f>
        <v>20190304164803822</v>
      </c>
      <c r="B5929" t="str">
        <f>"1551689283815276"</f>
        <v>1551689283815276</v>
      </c>
      <c r="C5929" t="s">
        <v>40</v>
      </c>
      <c r="D5929">
        <v>4.2385419999999998</v>
      </c>
      <c r="E5929">
        <v>0.53588179999999996</v>
      </c>
      <c r="F5929" t="s">
        <v>41</v>
      </c>
      <c r="G5929">
        <v>-187.26220000000001</v>
      </c>
      <c r="H5929">
        <v>1.0275459999999901</v>
      </c>
      <c r="I5929">
        <v>53.227049999999998</v>
      </c>
      <c r="J5929">
        <v>-187.22909999999999</v>
      </c>
      <c r="K5929">
        <v>1.1109599999999999</v>
      </c>
      <c r="L5929">
        <v>52.626069999999999</v>
      </c>
      <c r="M5929">
        <v>-2.058625E-2</v>
      </c>
      <c r="N5929">
        <v>-1.485885E-2</v>
      </c>
      <c r="O5929">
        <v>0.9996777</v>
      </c>
      <c r="P5929">
        <v>-9.3131809999999995E-2</v>
      </c>
      <c r="Q5929">
        <v>0.36636419999999997</v>
      </c>
      <c r="R5929">
        <v>0.92579900000000004</v>
      </c>
      <c r="S5929">
        <v>-0.13685610000000001</v>
      </c>
      <c r="T5929">
        <v>-0.27395130000000001</v>
      </c>
      <c r="U5929">
        <v>3.3343199999999902</v>
      </c>
      <c r="V5929">
        <v>-7.4031379999999994E-2</v>
      </c>
      <c r="W5929">
        <v>0.38010919999999998</v>
      </c>
      <c r="X5929">
        <v>0.92197419999999997</v>
      </c>
      <c r="Y5929">
        <v>-2.032339E-2</v>
      </c>
      <c r="Z5929">
        <v>-6.7004759999999997E-2</v>
      </c>
      <c r="AA5929">
        <v>0.99754569999999998</v>
      </c>
      <c r="AB5929">
        <v>37</v>
      </c>
      <c r="AC5929">
        <v>-3.3100000000018698E-2</v>
      </c>
      <c r="AD5929">
        <v>-8.3414000000000099E-2</v>
      </c>
      <c r="AE5929">
        <v>0.60097999999999896</v>
      </c>
      <c r="AF5929">
        <v>-2.0329245465078499E-2</v>
      </c>
      <c r="AG5929">
        <v>-8.3414000000000099E-2</v>
      </c>
      <c r="AH5929">
        <v>0.59019859446584</v>
      </c>
      <c r="AI5929">
        <v>98.039747003228598</v>
      </c>
      <c r="AJ5929">
        <v>91.9727590963289</v>
      </c>
      <c r="AK5929">
        <v>0.59641055869814497</v>
      </c>
      <c r="AL5929">
        <v>67.659553958714696</v>
      </c>
      <c r="AM5929">
        <v>94.590805883484506</v>
      </c>
      <c r="AN5929">
        <v>1.00000003730749</v>
      </c>
    </row>
    <row r="5930" spans="1:40" x14ac:dyDescent="0.25">
      <c r="A5930" t="str">
        <f>"20190304164803864"</f>
        <v>20190304164803864</v>
      </c>
      <c r="B5930" t="str">
        <f>"1551689283855293"</f>
        <v>1551689283855293</v>
      </c>
      <c r="C5930" t="s">
        <v>40</v>
      </c>
      <c r="D5930">
        <v>4.2437009999999997</v>
      </c>
      <c r="E5930">
        <v>0.53589200000000003</v>
      </c>
      <c r="F5930" t="s">
        <v>42</v>
      </c>
      <c r="G5930">
        <v>-187.87309999999999</v>
      </c>
      <c r="H5930" s="1">
        <v>-3.2709190000000002E-6</v>
      </c>
      <c r="I5930">
        <v>66.37791</v>
      </c>
      <c r="J5930">
        <v>-187.2431</v>
      </c>
      <c r="K5930">
        <v>1.110878</v>
      </c>
      <c r="L5930">
        <v>53.322719999999997</v>
      </c>
      <c r="M5930">
        <v>-2.0228869999999999E-2</v>
      </c>
      <c r="N5930">
        <v>-1.485118E-2</v>
      </c>
      <c r="O5930">
        <v>0.99968500000000005</v>
      </c>
      <c r="P5930">
        <v>-9.2484189999999994E-2</v>
      </c>
      <c r="Q5930">
        <v>0.3662377</v>
      </c>
      <c r="R5930">
        <v>0.92591389999999996</v>
      </c>
      <c r="S5930">
        <v>-0.15599060000000001</v>
      </c>
      <c r="T5930">
        <v>-0.26912140000000001</v>
      </c>
      <c r="U5930">
        <v>3.3312680000000001</v>
      </c>
      <c r="V5930">
        <v>-7.3618320000000001E-2</v>
      </c>
      <c r="W5930">
        <v>0.37999539999999998</v>
      </c>
      <c r="X5930">
        <v>0.92205420000000005</v>
      </c>
      <c r="Y5930">
        <v>-2.6436729999999999E-2</v>
      </c>
      <c r="Z5930">
        <v>-6.5636749999999994E-2</v>
      </c>
      <c r="AA5930">
        <v>0.99749330000000003</v>
      </c>
      <c r="AB5930">
        <v>37</v>
      </c>
      <c r="AC5930">
        <v>-0.62999999999999501</v>
      </c>
      <c r="AD5930">
        <v>-1.1108812709189999</v>
      </c>
      <c r="AE5930">
        <v>13.05519</v>
      </c>
      <c r="AF5930">
        <v>-0.36312705522509198</v>
      </c>
      <c r="AG5930">
        <v>-1.1108812709189999</v>
      </c>
      <c r="AH5930">
        <v>12.971561136739799</v>
      </c>
      <c r="AI5930">
        <v>94.892945532822793</v>
      </c>
      <c r="AJ5930">
        <v>91.603524441802705</v>
      </c>
      <c r="AK5930">
        <v>13.024105219956301</v>
      </c>
      <c r="AL5930">
        <v>67.666603556863507</v>
      </c>
      <c r="AM5930">
        <v>94.564905518124107</v>
      </c>
      <c r="AN5930">
        <v>1.0000000543992</v>
      </c>
    </row>
    <row r="5931" spans="1:40" x14ac:dyDescent="0.25">
      <c r="A5931" t="str">
        <f>"20190304164803886"</f>
        <v>20190304164803886</v>
      </c>
      <c r="B5931" t="str">
        <f>"1551689283875789"</f>
        <v>1551689283875789</v>
      </c>
      <c r="C5931" t="s">
        <v>40</v>
      </c>
      <c r="D5931">
        <v>4.8732309999999996</v>
      </c>
      <c r="E5931">
        <v>0.5356609</v>
      </c>
      <c r="F5931" t="s">
        <v>42</v>
      </c>
      <c r="G5931">
        <v>-187.88749999999999</v>
      </c>
      <c r="H5931" s="1">
        <v>-3.6011230000000001E-6</v>
      </c>
      <c r="I5931">
        <v>67.153580000000005</v>
      </c>
      <c r="J5931">
        <v>-187.25030000000001</v>
      </c>
      <c r="K5931">
        <v>1.1108290000000001</v>
      </c>
      <c r="L5931">
        <v>53.687530000000002</v>
      </c>
      <c r="M5931">
        <v>-1.9979650000000002E-2</v>
      </c>
      <c r="N5931">
        <v>-1.4847259999999999E-2</v>
      </c>
      <c r="O5931">
        <v>0.99969010000000003</v>
      </c>
      <c r="P5931">
        <v>-9.2036199999999999E-2</v>
      </c>
      <c r="Q5931">
        <v>0.36705199999999999</v>
      </c>
      <c r="R5931">
        <v>0.92563609999999996</v>
      </c>
      <c r="S5931">
        <v>-0.15515139999999999</v>
      </c>
      <c r="T5931">
        <v>-0.26749070000000003</v>
      </c>
      <c r="U5931">
        <v>3.3303530000000001</v>
      </c>
      <c r="V5931">
        <v>-7.336355E-2</v>
      </c>
      <c r="W5931">
        <v>0.38080989999999998</v>
      </c>
      <c r="X5931">
        <v>0.92173830000000001</v>
      </c>
      <c r="Y5931">
        <v>-2.6449420000000001E-2</v>
      </c>
      <c r="Z5931">
        <v>-6.5178650000000005E-2</v>
      </c>
      <c r="AA5931">
        <v>0.99752300000000005</v>
      </c>
      <c r="AB5931">
        <v>37</v>
      </c>
      <c r="AC5931">
        <v>-0.63719999999997801</v>
      </c>
      <c r="AD5931">
        <v>-1.1108326011229901</v>
      </c>
      <c r="AE5931">
        <v>13.466049999999999</v>
      </c>
      <c r="AF5931">
        <v>-0.36551443882534002</v>
      </c>
      <c r="AG5931">
        <v>-1.1108326011229901</v>
      </c>
      <c r="AH5931">
        <v>13.3852133347766</v>
      </c>
      <c r="AI5931">
        <v>94.742318912249701</v>
      </c>
      <c r="AJ5931">
        <v>91.564206036661801</v>
      </c>
      <c r="AK5931">
        <v>13.436200574946399</v>
      </c>
      <c r="AL5931">
        <v>67.616139883194506</v>
      </c>
      <c r="AM5931">
        <v>94.550726785014305</v>
      </c>
      <c r="AN5931">
        <v>0.99999994204674902</v>
      </c>
    </row>
    <row r="5932" spans="1:40" x14ac:dyDescent="0.25">
      <c r="A5932" t="str">
        <f>"20190304164803907"</f>
        <v>20190304164803907</v>
      </c>
      <c r="B5932" t="str">
        <f>"1551689283905068"</f>
        <v>1551689283905068</v>
      </c>
      <c r="C5932" t="s">
        <v>40</v>
      </c>
      <c r="D5932">
        <v>4.242826</v>
      </c>
      <c r="E5932">
        <v>0.53562759999999998</v>
      </c>
      <c r="F5932" t="s">
        <v>42</v>
      </c>
      <c r="G5932">
        <v>-187.91370000000001</v>
      </c>
      <c r="H5932" s="1">
        <v>-3.8778200000000001E-6</v>
      </c>
      <c r="I5932">
        <v>67.809419999999903</v>
      </c>
      <c r="J5932">
        <v>-187.25739999999999</v>
      </c>
      <c r="K5932">
        <v>1.1107899999999999</v>
      </c>
      <c r="L5932">
        <v>54.054349999999999</v>
      </c>
      <c r="M5932">
        <v>-1.970013E-2</v>
      </c>
      <c r="N5932">
        <v>-1.484333E-2</v>
      </c>
      <c r="O5932">
        <v>0.99969569999999996</v>
      </c>
      <c r="P5932">
        <v>-9.1612639999999995E-2</v>
      </c>
      <c r="Q5932">
        <v>0.36763780000000001</v>
      </c>
      <c r="R5932">
        <v>0.92544559999999998</v>
      </c>
      <c r="S5932">
        <v>-0.1564026</v>
      </c>
      <c r="T5932">
        <v>-0.26188519999999998</v>
      </c>
      <c r="U5932">
        <v>3.3293149999999998</v>
      </c>
      <c r="V5932">
        <v>-7.3166880000000004E-2</v>
      </c>
      <c r="W5932">
        <v>0.38139580000000001</v>
      </c>
      <c r="X5932">
        <v>0.92151170000000004</v>
      </c>
      <c r="Y5932">
        <v>-2.712227E-2</v>
      </c>
      <c r="Z5932">
        <v>-6.3538559999999994E-2</v>
      </c>
      <c r="AA5932">
        <v>0.99761069999999996</v>
      </c>
      <c r="AB5932">
        <v>37</v>
      </c>
      <c r="AC5932">
        <v>-0.65630000000001498</v>
      </c>
      <c r="AD5932">
        <v>-1.1107938778199999</v>
      </c>
      <c r="AE5932">
        <v>13.7550699999999</v>
      </c>
      <c r="AF5932">
        <v>-0.38267615204088401</v>
      </c>
      <c r="AG5932">
        <v>-1.1107938778199999</v>
      </c>
      <c r="AH5932">
        <v>13.6763442030615</v>
      </c>
      <c r="AI5932">
        <v>94.641567109951495</v>
      </c>
      <c r="AJ5932">
        <v>91.602768158813205</v>
      </c>
      <c r="AK5932">
        <v>13.7267146410551</v>
      </c>
      <c r="AL5932">
        <v>67.579830996752705</v>
      </c>
      <c r="AM5932">
        <v>94.539689792343296</v>
      </c>
      <c r="AN5932">
        <v>0.99999998091173203</v>
      </c>
    </row>
    <row r="5933" spans="1:40" x14ac:dyDescent="0.25">
      <c r="A5933" t="str">
        <f>"20190304164803929"</f>
        <v>20190304164803929</v>
      </c>
      <c r="B5933" t="str">
        <f>"1551689283925565"</f>
        <v>1551689283925565</v>
      </c>
      <c r="C5933" t="s">
        <v>40</v>
      </c>
      <c r="D5933">
        <v>4.2501559999999996</v>
      </c>
      <c r="E5933">
        <v>0.53558709999999998</v>
      </c>
      <c r="F5933" t="s">
        <v>42</v>
      </c>
      <c r="G5933">
        <v>-187.92179999999999</v>
      </c>
      <c r="H5933" s="1">
        <v>-4.0450100000000001E-6</v>
      </c>
      <c r="I5933">
        <v>68.202489999999997</v>
      </c>
      <c r="J5933">
        <v>-187.26390000000001</v>
      </c>
      <c r="K5933">
        <v>1.110768</v>
      </c>
      <c r="L5933">
        <v>54.398989999999998</v>
      </c>
      <c r="M5933">
        <v>-1.9419280000000001E-2</v>
      </c>
      <c r="N5933">
        <v>-1.483961E-2</v>
      </c>
      <c r="O5933">
        <v>0.99970130000000001</v>
      </c>
      <c r="P5933">
        <v>-9.1669390000000003E-2</v>
      </c>
      <c r="Q5933">
        <v>0.3675215</v>
      </c>
      <c r="R5933">
        <v>0.92548620000000004</v>
      </c>
      <c r="S5933">
        <v>-0.15638729999999901</v>
      </c>
      <c r="T5933">
        <v>-0.26144770000000001</v>
      </c>
      <c r="U5933">
        <v>3.3300480000000001</v>
      </c>
      <c r="V5933">
        <v>-7.3456229999999997E-2</v>
      </c>
      <c r="W5933">
        <v>0.3812816</v>
      </c>
      <c r="X5933">
        <v>0.92153600000000002</v>
      </c>
      <c r="Y5933">
        <v>-2.7388539999999999E-2</v>
      </c>
      <c r="Z5933">
        <v>-6.339525E-2</v>
      </c>
      <c r="AA5933">
        <v>0.99761259999999996</v>
      </c>
      <c r="AB5933">
        <v>37</v>
      </c>
      <c r="AC5933">
        <v>-0.65789999999998305</v>
      </c>
      <c r="AD5933">
        <v>-1.11077204501</v>
      </c>
      <c r="AE5933">
        <v>13.8034999999999</v>
      </c>
      <c r="AF5933">
        <v>-0.38719080113730597</v>
      </c>
      <c r="AG5933">
        <v>-1.11077204501</v>
      </c>
      <c r="AH5933">
        <v>13.724999409321301</v>
      </c>
      <c r="AI5933">
        <v>94.6250640270773</v>
      </c>
      <c r="AJ5933">
        <v>91.6159211265728</v>
      </c>
      <c r="AK5933">
        <v>13.7753163316974</v>
      </c>
      <c r="AL5933">
        <v>67.586910366595106</v>
      </c>
      <c r="AM5933">
        <v>94.557447555683396</v>
      </c>
      <c r="AN5933">
        <v>1.0000000377601801</v>
      </c>
    </row>
    <row r="5934" spans="1:40" x14ac:dyDescent="0.25">
      <c r="A5934" t="str">
        <f>"20190304164803952"</f>
        <v>20190304164803952</v>
      </c>
      <c r="B5934" t="str">
        <f>"1551689283945085"</f>
        <v>1551689283945085</v>
      </c>
      <c r="C5934" t="s">
        <v>40</v>
      </c>
      <c r="D5934">
        <v>4.3346589999999896</v>
      </c>
      <c r="E5934">
        <v>0.53560819999999998</v>
      </c>
      <c r="F5934" t="s">
        <v>42</v>
      </c>
      <c r="G5934">
        <v>-187.9194</v>
      </c>
      <c r="H5934" s="1">
        <v>-4.1235399999999998E-6</v>
      </c>
      <c r="I5934">
        <v>68.384540000000001</v>
      </c>
      <c r="J5934">
        <v>-187.27119999999999</v>
      </c>
      <c r="K5934">
        <v>1.1107340000000001</v>
      </c>
      <c r="L5934">
        <v>54.787869999999998</v>
      </c>
      <c r="M5934">
        <v>-1.909081E-2</v>
      </c>
      <c r="N5934">
        <v>-1.4835310000000001E-2</v>
      </c>
      <c r="O5934">
        <v>0.99970769999999998</v>
      </c>
      <c r="P5934">
        <v>-9.1359019999999999E-2</v>
      </c>
      <c r="Q5934">
        <v>0.36765959999999998</v>
      </c>
      <c r="R5934">
        <v>0.92546200000000001</v>
      </c>
      <c r="S5934">
        <v>-0.15611269999999999</v>
      </c>
      <c r="T5934">
        <v>-0.26456649999999998</v>
      </c>
      <c r="U5934">
        <v>3.3311160000000002</v>
      </c>
      <c r="V5934">
        <v>-7.3428869999999993E-2</v>
      </c>
      <c r="W5934">
        <v>0.38141920000000001</v>
      </c>
      <c r="X5934">
        <v>0.9214812</v>
      </c>
      <c r="Y5934">
        <v>-2.7616870000000002E-2</v>
      </c>
      <c r="Z5934">
        <v>-6.4302780000000004E-2</v>
      </c>
      <c r="AA5934">
        <v>0.9975482</v>
      </c>
      <c r="AB5934">
        <v>37</v>
      </c>
      <c r="AC5934">
        <v>-0.648200000000002</v>
      </c>
      <c r="AD5934">
        <v>-1.11073812354</v>
      </c>
      <c r="AE5934">
        <v>13.59667</v>
      </c>
      <c r="AF5934">
        <v>-0.38591226107109</v>
      </c>
      <c r="AG5934">
        <v>-1.11073812354</v>
      </c>
      <c r="AH5934">
        <v>13.5165683159158</v>
      </c>
      <c r="AI5934">
        <v>94.695879958562699</v>
      </c>
      <c r="AJ5934">
        <v>91.635410570378596</v>
      </c>
      <c r="AK5934">
        <v>13.5676190428221</v>
      </c>
      <c r="AL5934">
        <v>67.578381172949804</v>
      </c>
      <c r="AM5934">
        <v>94.556026993111104</v>
      </c>
      <c r="AN5934">
        <v>1.0000000035157699</v>
      </c>
    </row>
    <row r="5935" spans="1:40" x14ac:dyDescent="0.25">
      <c r="A5935" t="str">
        <f>"20190304164803975"</f>
        <v>20190304164803975</v>
      </c>
      <c r="B5935" t="str">
        <f>"1551689283965581"</f>
        <v>1551689283965581</v>
      </c>
      <c r="C5935" t="s">
        <v>40</v>
      </c>
      <c r="D5935">
        <v>4.3071479999999998</v>
      </c>
      <c r="E5935">
        <v>0.53554899999999905</v>
      </c>
      <c r="F5935" t="s">
        <v>42</v>
      </c>
      <c r="G5935">
        <v>-187.91820000000001</v>
      </c>
      <c r="H5935" s="1">
        <v>-4.2602070000000003E-6</v>
      </c>
      <c r="I5935">
        <v>68.702640000000002</v>
      </c>
      <c r="J5935">
        <v>-187.27780000000001</v>
      </c>
      <c r="K5935">
        <v>1.110717</v>
      </c>
      <c r="L5935">
        <v>55.149259999999998</v>
      </c>
      <c r="M5935">
        <v>-1.878583E-2</v>
      </c>
      <c r="N5935">
        <v>-1.4831270000000001E-2</v>
      </c>
      <c r="O5935">
        <v>0.99971350000000003</v>
      </c>
      <c r="P5935">
        <v>-9.0871170000000001E-2</v>
      </c>
      <c r="Q5935">
        <v>0.36748690000000001</v>
      </c>
      <c r="R5935">
        <v>0.92557869999999998</v>
      </c>
      <c r="S5935">
        <v>-0.15493770000000001</v>
      </c>
      <c r="T5935">
        <v>-0.26597510000000002</v>
      </c>
      <c r="U5935">
        <v>3.332001</v>
      </c>
      <c r="V5935">
        <v>-7.3210890000000001E-2</v>
      </c>
      <c r="W5935">
        <v>0.38124599999999997</v>
      </c>
      <c r="X5935">
        <v>0.92157020000000001</v>
      </c>
      <c r="Y5935">
        <v>-2.7557189999999999E-2</v>
      </c>
      <c r="Z5935">
        <v>-6.4705990000000005E-2</v>
      </c>
      <c r="AA5935">
        <v>0.99752379999999996</v>
      </c>
      <c r="AB5935">
        <v>37</v>
      </c>
      <c r="AC5935">
        <v>-0.64039999999999897</v>
      </c>
      <c r="AD5935">
        <v>-1.110721260207</v>
      </c>
      <c r="AE5935">
        <v>13.553380000000001</v>
      </c>
      <c r="AF5935">
        <v>-0.38308039641916097</v>
      </c>
      <c r="AG5935">
        <v>-1.110721260207</v>
      </c>
      <c r="AH5935">
        <v>13.4727372607629</v>
      </c>
      <c r="AI5935">
        <v>94.711032940817901</v>
      </c>
      <c r="AJ5935">
        <v>91.628694845562805</v>
      </c>
      <c r="AK5935">
        <v>13.5238715464746</v>
      </c>
      <c r="AL5935">
        <v>67.589115629723295</v>
      </c>
      <c r="AM5935">
        <v>94.542121859933602</v>
      </c>
      <c r="AN5935">
        <v>0.99999999022931596</v>
      </c>
    </row>
    <row r="5936" spans="1:40" x14ac:dyDescent="0.25">
      <c r="A5936" t="str">
        <f>"20190304164803997"</f>
        <v>20190304164803997</v>
      </c>
      <c r="B5936" t="str">
        <f>"1551689283985101"</f>
        <v>1551689283985101</v>
      </c>
      <c r="C5936" t="s">
        <v>40</v>
      </c>
      <c r="D5936">
        <v>4.3052679999999999</v>
      </c>
      <c r="E5936">
        <v>0.5354854</v>
      </c>
      <c r="F5936" t="s">
        <v>41</v>
      </c>
      <c r="G5936">
        <v>-187.32689999999999</v>
      </c>
      <c r="H5936">
        <v>1.025555</v>
      </c>
      <c r="I5936">
        <v>56.20261</v>
      </c>
      <c r="J5936">
        <v>-187.28450000000001</v>
      </c>
      <c r="K5936">
        <v>1.110717</v>
      </c>
      <c r="L5936">
        <v>55.519779999999997</v>
      </c>
      <c r="M5936">
        <v>-1.8485519999999998E-2</v>
      </c>
      <c r="N5936">
        <v>-1.4827170000000001E-2</v>
      </c>
      <c r="O5936">
        <v>0.99971920000000003</v>
      </c>
      <c r="P5936">
        <v>-9.052984E-2</v>
      </c>
      <c r="Q5936">
        <v>0.36719550000000001</v>
      </c>
      <c r="R5936">
        <v>0.92572770000000004</v>
      </c>
      <c r="S5936">
        <v>-0.15525820000000001</v>
      </c>
      <c r="T5936">
        <v>-0.2694626</v>
      </c>
      <c r="U5936">
        <v>3.3329770000000001</v>
      </c>
      <c r="V5936">
        <v>-7.3142209999999999E-2</v>
      </c>
      <c r="W5936">
        <v>0.38095319999999999</v>
      </c>
      <c r="X5936">
        <v>0.92169670000000004</v>
      </c>
      <c r="Y5936">
        <v>-2.7936039999999999E-2</v>
      </c>
      <c r="Z5936">
        <v>-6.5723299999999998E-2</v>
      </c>
      <c r="AA5936">
        <v>0.99744679999999997</v>
      </c>
      <c r="AB5936">
        <v>37</v>
      </c>
      <c r="AC5936">
        <v>-4.23999999999864E-2</v>
      </c>
      <c r="AD5936">
        <v>-8.5161999999999904E-2</v>
      </c>
      <c r="AE5936">
        <v>0.68282999999999505</v>
      </c>
      <c r="AF5936">
        <v>-2.9314663822318999E-2</v>
      </c>
      <c r="AG5936">
        <v>-8.5161999999999904E-2</v>
      </c>
      <c r="AH5936">
        <v>0.67306789581033899</v>
      </c>
      <c r="AI5936">
        <v>97.204448527805695</v>
      </c>
      <c r="AJ5936">
        <v>92.493872755690901</v>
      </c>
      <c r="AK5936">
        <v>0.67906723388010204</v>
      </c>
      <c r="AL5936">
        <v>67.607260616281806</v>
      </c>
      <c r="AM5936">
        <v>94.537258437735105</v>
      </c>
      <c r="AN5936">
        <v>0.99999996513240597</v>
      </c>
    </row>
    <row r="5937" spans="1:40" x14ac:dyDescent="0.25">
      <c r="A5937" t="str">
        <f>"20190304164804020"</f>
        <v>20190304164804020</v>
      </c>
      <c r="B5937" t="str">
        <f>"1551689284015356"</f>
        <v>1551689284015356</v>
      </c>
      <c r="C5937" t="s">
        <v>40</v>
      </c>
      <c r="D5937">
        <v>4.3035420000000002</v>
      </c>
      <c r="E5937">
        <v>0.53548999999999902</v>
      </c>
      <c r="F5937" t="s">
        <v>42</v>
      </c>
      <c r="G5937">
        <v>-187.9171</v>
      </c>
      <c r="H5937" s="1">
        <v>-4.4299980000000003E-6</v>
      </c>
      <c r="I5937">
        <v>69.097949999999997</v>
      </c>
      <c r="J5937">
        <v>-187.2911</v>
      </c>
      <c r="K5937">
        <v>1.1107229999999999</v>
      </c>
      <c r="L5937">
        <v>55.891849999999998</v>
      </c>
      <c r="M5937">
        <v>-1.8198639999999999E-2</v>
      </c>
      <c r="N5937">
        <v>-1.4823070000000001E-2</v>
      </c>
      <c r="O5937">
        <v>0.99972450000000002</v>
      </c>
      <c r="P5937">
        <v>-9.0597369999999997E-2</v>
      </c>
      <c r="Q5937">
        <v>0.36724459999999998</v>
      </c>
      <c r="R5937">
        <v>0.92570160000000001</v>
      </c>
      <c r="S5937">
        <v>-0.155304</v>
      </c>
      <c r="T5937">
        <v>-0.27270149999999999</v>
      </c>
      <c r="U5937">
        <v>3.3336790000000001</v>
      </c>
      <c r="V5937">
        <v>-7.3479169999999996E-2</v>
      </c>
      <c r="W5937">
        <v>0.38099729999999998</v>
      </c>
      <c r="X5937">
        <v>0.92165169999999996</v>
      </c>
      <c r="Y5937">
        <v>-2.8223459999999999E-2</v>
      </c>
      <c r="Z5937">
        <v>-6.6672889999999999E-2</v>
      </c>
      <c r="AA5937">
        <v>0.99737569999999998</v>
      </c>
      <c r="AB5937">
        <v>37</v>
      </c>
      <c r="AC5937">
        <v>-0.626000000000004</v>
      </c>
      <c r="AD5937">
        <v>-1.1107274299979999</v>
      </c>
      <c r="AE5937">
        <v>13.206099999999999</v>
      </c>
      <c r="AF5937">
        <v>-0.38283473117918598</v>
      </c>
      <c r="AG5937">
        <v>-1.1107274299979999</v>
      </c>
      <c r="AH5937">
        <v>13.122684157453801</v>
      </c>
      <c r="AI5937">
        <v>94.836037643744604</v>
      </c>
      <c r="AJ5937">
        <v>91.671044917372299</v>
      </c>
      <c r="AK5937">
        <v>13.1751704866175</v>
      </c>
      <c r="AL5937">
        <v>67.604528447249507</v>
      </c>
      <c r="AM5937">
        <v>94.558294937004604</v>
      </c>
      <c r="AN5937">
        <v>0.99999999357203395</v>
      </c>
    </row>
    <row r="5938" spans="1:40" x14ac:dyDescent="0.25">
      <c r="A5938" t="str">
        <f>"20190304164804044"</f>
        <v>20190304164804044</v>
      </c>
      <c r="B5938" t="str">
        <f>"1551689284034877"</f>
        <v>1551689284034877</v>
      </c>
      <c r="C5938" t="s">
        <v>40</v>
      </c>
      <c r="D5938">
        <v>4.3571790000000004</v>
      </c>
      <c r="E5938">
        <v>0.53545759999999998</v>
      </c>
      <c r="F5938" t="s">
        <v>42</v>
      </c>
      <c r="G5938">
        <v>-187.9204</v>
      </c>
      <c r="H5938" s="1">
        <v>-4.5567069999999999E-6</v>
      </c>
      <c r="I5938">
        <v>69.394679999999994</v>
      </c>
      <c r="J5938">
        <v>-187.29810000000001</v>
      </c>
      <c r="K5938">
        <v>1.11073</v>
      </c>
      <c r="L5938">
        <v>56.290370000000003</v>
      </c>
      <c r="M5938">
        <v>-1.7913970000000001E-2</v>
      </c>
      <c r="N5938">
        <v>-1.4818629999999999E-2</v>
      </c>
      <c r="O5938">
        <v>0.99972969999999906</v>
      </c>
      <c r="P5938">
        <v>-9.0419749999999993E-2</v>
      </c>
      <c r="Q5938">
        <v>0.36664039999999998</v>
      </c>
      <c r="R5938">
        <v>0.92595850000000002</v>
      </c>
      <c r="S5938">
        <v>-0.15539549999999999</v>
      </c>
      <c r="T5938">
        <v>-0.27428209999999997</v>
      </c>
      <c r="U5938">
        <v>3.334381</v>
      </c>
      <c r="V5938">
        <v>-7.3568899999999895E-2</v>
      </c>
      <c r="W5938">
        <v>0.38039099999999998</v>
      </c>
      <c r="X5938">
        <v>0.92189500000000002</v>
      </c>
      <c r="Y5938">
        <v>-2.8523929999999999E-2</v>
      </c>
      <c r="Z5938">
        <v>-6.7129750000000002E-2</v>
      </c>
      <c r="AA5938">
        <v>0.99733640000000001</v>
      </c>
      <c r="AB5938">
        <v>37</v>
      </c>
      <c r="AC5938">
        <v>-0.62229999999999497</v>
      </c>
      <c r="AD5938">
        <v>-1.1107345567069999</v>
      </c>
      <c r="AE5938">
        <v>13.10431</v>
      </c>
      <c r="AF5938">
        <v>-0.38466672834052601</v>
      </c>
      <c r="AG5938">
        <v>-1.1107345567069999</v>
      </c>
      <c r="AH5938">
        <v>13.020024833775899</v>
      </c>
      <c r="AI5938">
        <v>94.873963872628394</v>
      </c>
      <c r="AJ5938">
        <v>91.692267958617805</v>
      </c>
      <c r="AK5938">
        <v>13.0729777181595</v>
      </c>
      <c r="AL5938">
        <v>67.642096828087205</v>
      </c>
      <c r="AM5938">
        <v>94.562638484884204</v>
      </c>
      <c r="AN5938">
        <v>1.0000000434766001</v>
      </c>
    </row>
    <row r="5939" spans="1:40" x14ac:dyDescent="0.25">
      <c r="A5939" t="str">
        <f>"20190304164804067"</f>
        <v>20190304164804067</v>
      </c>
      <c r="B5939" t="str">
        <f>"1551689284055373"</f>
        <v>1551689284055373</v>
      </c>
      <c r="C5939" t="s">
        <v>40</v>
      </c>
      <c r="D5939">
        <v>4.9965570000000001</v>
      </c>
      <c r="E5939">
        <v>0.53538750000000002</v>
      </c>
      <c r="F5939" t="s">
        <v>42</v>
      </c>
      <c r="G5939">
        <v>-187.92169999999999</v>
      </c>
      <c r="H5939" s="1">
        <v>-5.5068670000000001E-7</v>
      </c>
      <c r="I5939">
        <v>69.641300000000001</v>
      </c>
      <c r="J5939">
        <v>-187.30420000000001</v>
      </c>
      <c r="K5939">
        <v>1.110746</v>
      </c>
      <c r="L5939">
        <v>56.647089999999999</v>
      </c>
      <c r="M5939">
        <v>-1.7682719999999999E-2</v>
      </c>
      <c r="N5939">
        <v>-1.4814630000000001E-2</v>
      </c>
      <c r="O5939">
        <v>0.99973389999999995</v>
      </c>
      <c r="P5939">
        <v>-8.9736200000000002E-2</v>
      </c>
      <c r="Q5939">
        <v>0.36620560000000002</v>
      </c>
      <c r="R5939">
        <v>0.92619700000000005</v>
      </c>
      <c r="S5939">
        <v>-0.15574649999999901</v>
      </c>
      <c r="T5939">
        <v>-0.27741670000000002</v>
      </c>
      <c r="U5939">
        <v>3.3345340000000001</v>
      </c>
      <c r="V5939">
        <v>-7.3106580000000004E-2</v>
      </c>
      <c r="W5939">
        <v>0.3799535</v>
      </c>
      <c r="X5939">
        <v>0.92211209999999999</v>
      </c>
      <c r="Y5939">
        <v>-2.8854390000000001E-2</v>
      </c>
      <c r="Z5939">
        <v>-6.8060469999999998E-2</v>
      </c>
      <c r="AA5939">
        <v>0.99726380000000003</v>
      </c>
      <c r="AB5939">
        <v>37</v>
      </c>
      <c r="AC5939">
        <v>-0.61749999999997796</v>
      </c>
      <c r="AD5939">
        <v>-1.11074655068669</v>
      </c>
      <c r="AE5939">
        <v>12.994209999999899</v>
      </c>
      <c r="AF5939">
        <v>-0.38479989873416698</v>
      </c>
      <c r="AG5939">
        <v>-1.11074655068669</v>
      </c>
      <c r="AH5939">
        <v>12.908986668257</v>
      </c>
      <c r="AI5939">
        <v>94.915697755217806</v>
      </c>
      <c r="AJ5939">
        <v>91.707406171280397</v>
      </c>
      <c r="AK5939">
        <v>12.962398144755699</v>
      </c>
      <c r="AL5939">
        <v>67.669197148370003</v>
      </c>
      <c r="AM5939">
        <v>94.533022940215105</v>
      </c>
      <c r="AN5939">
        <v>0.99999997958397802</v>
      </c>
    </row>
    <row r="5940" spans="1:40" x14ac:dyDescent="0.25">
      <c r="A5940" t="str">
        <f>"20190304164804089"</f>
        <v>20190304164804089</v>
      </c>
      <c r="B5940" t="str">
        <f>"1551689284085628"</f>
        <v>1551689284085628</v>
      </c>
      <c r="C5940" t="s">
        <v>40</v>
      </c>
      <c r="D5940">
        <v>4.3165319999999996</v>
      </c>
      <c r="E5940">
        <v>0.53527919999999996</v>
      </c>
      <c r="F5940" t="s">
        <v>42</v>
      </c>
      <c r="G5940">
        <v>-187.92490000000001</v>
      </c>
      <c r="H5940" s="1">
        <v>-6.5832210000000003E-7</v>
      </c>
      <c r="I5940">
        <v>69.960089999999994</v>
      </c>
      <c r="J5940">
        <v>-187.3107</v>
      </c>
      <c r="K5940">
        <v>1.110768</v>
      </c>
      <c r="L5940">
        <v>57.024320000000003</v>
      </c>
      <c r="M5940">
        <v>-1.7460389999999999E-2</v>
      </c>
      <c r="N5940">
        <v>-1.4810399999999901E-2</v>
      </c>
      <c r="O5940">
        <v>0.99973789999999996</v>
      </c>
      <c r="P5940">
        <v>-8.9498820000000007E-2</v>
      </c>
      <c r="Q5940">
        <v>0.36667630000000001</v>
      </c>
      <c r="R5940">
        <v>0.92603369999999996</v>
      </c>
      <c r="S5940">
        <v>-0.15542600000000001</v>
      </c>
      <c r="T5940">
        <v>-0.2781651</v>
      </c>
      <c r="U5940">
        <v>3.3339840000000001</v>
      </c>
      <c r="V5940">
        <v>-7.3091130000000004E-2</v>
      </c>
      <c r="W5940">
        <v>0.38041530000000001</v>
      </c>
      <c r="X5940">
        <v>0.92192289999999999</v>
      </c>
      <c r="Y5940">
        <v>-2.8987800000000001E-2</v>
      </c>
      <c r="Z5940">
        <v>-6.830087E-2</v>
      </c>
      <c r="AA5940">
        <v>0.99724349999999995</v>
      </c>
      <c r="AB5940">
        <v>37</v>
      </c>
      <c r="AC5940">
        <v>-0.61420000000001096</v>
      </c>
      <c r="AD5940">
        <v>-1.1107686583220999</v>
      </c>
      <c r="AE5940">
        <v>12.93577</v>
      </c>
      <c r="AF5940">
        <v>-0.38538283628443099</v>
      </c>
      <c r="AG5940">
        <v>-1.1107686583220999</v>
      </c>
      <c r="AH5940">
        <v>12.8499890606038</v>
      </c>
      <c r="AI5940">
        <v>94.938226693143207</v>
      </c>
      <c r="AJ5940">
        <v>91.717837521410601</v>
      </c>
      <c r="AK5940">
        <v>12.903664045551199</v>
      </c>
      <c r="AL5940">
        <v>67.640589715190302</v>
      </c>
      <c r="AM5940">
        <v>94.532995153834804</v>
      </c>
      <c r="AN5940">
        <v>0.99999997365158799</v>
      </c>
    </row>
    <row r="5941" spans="1:40" x14ac:dyDescent="0.25">
      <c r="A5941" t="str">
        <f>"20190304164804132"</f>
        <v>20190304164804132</v>
      </c>
      <c r="B5941" t="str">
        <f>"1551689284125645"</f>
        <v>1551689284125645</v>
      </c>
      <c r="C5941" t="s">
        <v>40</v>
      </c>
      <c r="D5941">
        <v>4.3198869999999996</v>
      </c>
      <c r="E5941">
        <v>0.53519499999999998</v>
      </c>
      <c r="F5941" t="s">
        <v>42</v>
      </c>
      <c r="G5941">
        <v>-187.9443</v>
      </c>
      <c r="H5941" s="1">
        <v>-8.6404530000000001E-7</v>
      </c>
      <c r="I5941">
        <v>70.579800000000006</v>
      </c>
      <c r="J5941">
        <v>-187.32230000000001</v>
      </c>
      <c r="K5941">
        <v>1.110798</v>
      </c>
      <c r="L5941">
        <v>57.715910000000001</v>
      </c>
      <c r="M5941">
        <v>-1.7095369999999999E-2</v>
      </c>
      <c r="N5941">
        <v>-1.4802589999999999E-2</v>
      </c>
      <c r="O5941">
        <v>0.99974430000000003</v>
      </c>
      <c r="P5941">
        <v>-8.9487040000000004E-2</v>
      </c>
      <c r="Q5941">
        <v>0.36803659999999999</v>
      </c>
      <c r="R5941">
        <v>0.92549510000000001</v>
      </c>
      <c r="S5941">
        <v>-0.155777</v>
      </c>
      <c r="T5941">
        <v>-0.27308959999999999</v>
      </c>
      <c r="U5941">
        <v>3.332703</v>
      </c>
      <c r="V5941">
        <v>-7.3446830000000005E-2</v>
      </c>
      <c r="W5941">
        <v>0.38175589999999998</v>
      </c>
      <c r="X5941">
        <v>0.9213403</v>
      </c>
      <c r="Y5941">
        <v>-2.9480010000000001E-2</v>
      </c>
      <c r="Z5941">
        <v>-6.6832610000000001E-2</v>
      </c>
      <c r="AA5941">
        <v>0.99732860000000001</v>
      </c>
      <c r="AB5941">
        <v>37</v>
      </c>
      <c r="AC5941">
        <v>-0.62199999999998501</v>
      </c>
      <c r="AD5941">
        <v>-1.1107988640452999</v>
      </c>
      <c r="AE5941">
        <v>12.86389</v>
      </c>
      <c r="AF5941">
        <v>-0.399003857927476</v>
      </c>
      <c r="AG5941">
        <v>-1.1107988640452999</v>
      </c>
      <c r="AH5941">
        <v>12.7775922311735</v>
      </c>
      <c r="AI5941">
        <v>94.9660143811154</v>
      </c>
      <c r="AJ5941">
        <v>91.788585064863298</v>
      </c>
      <c r="AK5941">
        <v>12.8319889892857</v>
      </c>
      <c r="AL5941">
        <v>67.557509806755206</v>
      </c>
      <c r="AM5941">
        <v>94.557830644475999</v>
      </c>
      <c r="AN5941">
        <v>0.99999997621297398</v>
      </c>
    </row>
    <row r="5942" spans="1:40" x14ac:dyDescent="0.25">
      <c r="A5942" t="str">
        <f>"20190304164804153"</f>
        <v>20190304164804153</v>
      </c>
      <c r="B5942" t="str">
        <f>"1551689284145166"</f>
        <v>1551689284145166</v>
      </c>
      <c r="C5942" t="s">
        <v>40</v>
      </c>
      <c r="D5942">
        <v>4.969563</v>
      </c>
      <c r="E5942">
        <v>0.53515880000000005</v>
      </c>
      <c r="F5942" t="s">
        <v>42</v>
      </c>
      <c r="G5942">
        <v>-187.9726</v>
      </c>
      <c r="H5942" s="1">
        <v>-1.2442829999999901E-6</v>
      </c>
      <c r="I5942">
        <v>71.694940000000003</v>
      </c>
      <c r="J5942">
        <v>-187.32820000000001</v>
      </c>
      <c r="K5942">
        <v>1.110808</v>
      </c>
      <c r="L5942">
        <v>58.071260000000002</v>
      </c>
      <c r="M5942">
        <v>-1.6921120000000001E-2</v>
      </c>
      <c r="N5942">
        <v>-1.4798550000000001E-2</v>
      </c>
      <c r="O5942">
        <v>0.99974730000000001</v>
      </c>
      <c r="P5942">
        <v>-8.8972239999999994E-2</v>
      </c>
      <c r="Q5942">
        <v>0.36793530000000002</v>
      </c>
      <c r="R5942">
        <v>0.92558499999999999</v>
      </c>
      <c r="S5942">
        <v>-0.15499879999999999</v>
      </c>
      <c r="T5942">
        <v>-0.2647523</v>
      </c>
      <c r="U5942">
        <v>3.3318180000000002</v>
      </c>
      <c r="V5942">
        <v>-7.3099239999999996E-2</v>
      </c>
      <c r="W5942">
        <v>0.38165060000000001</v>
      </c>
      <c r="X5942">
        <v>0.9214116</v>
      </c>
      <c r="Y5942">
        <v>-2.9442220000000002E-2</v>
      </c>
      <c r="Z5942">
        <v>-6.4380530000000005E-2</v>
      </c>
      <c r="AA5942">
        <v>0.99749100000000002</v>
      </c>
      <c r="AB5942">
        <v>36</v>
      </c>
      <c r="AC5942">
        <v>-0.64439999999998998</v>
      </c>
      <c r="AD5942">
        <v>-1.110809244283</v>
      </c>
      <c r="AE5942">
        <v>13.62368</v>
      </c>
      <c r="AF5942">
        <v>-0.41102813747698402</v>
      </c>
      <c r="AG5942">
        <v>-1.110809244283</v>
      </c>
      <c r="AH5942">
        <v>13.5428028157098</v>
      </c>
      <c r="AI5942">
        <v>94.686875600334702</v>
      </c>
      <c r="AJ5942">
        <v>91.738410493260105</v>
      </c>
      <c r="AK5942">
        <v>13.594497026818599</v>
      </c>
      <c r="AL5942">
        <v>67.564038032477796</v>
      </c>
      <c r="AM5942">
        <v>94.536001210855702</v>
      </c>
      <c r="AN5942">
        <v>1.0000000079917399</v>
      </c>
    </row>
    <row r="5943" spans="1:40" x14ac:dyDescent="0.25">
      <c r="A5943" t="str">
        <f>"20190304164804176"</f>
        <v>20190304164804176</v>
      </c>
      <c r="B5943" t="str">
        <f>"1551689284165661"</f>
        <v>1551689284165661</v>
      </c>
      <c r="C5943" t="s">
        <v>40</v>
      </c>
      <c r="D5943">
        <v>4.3309049999999996</v>
      </c>
      <c r="E5943">
        <v>0.53508630000000001</v>
      </c>
      <c r="F5943" t="s">
        <v>42</v>
      </c>
      <c r="G5943">
        <v>-187.97239999999999</v>
      </c>
      <c r="H5943" s="1">
        <v>-1.391172E-6</v>
      </c>
      <c r="I5943">
        <v>72.037239999999997</v>
      </c>
      <c r="J5943">
        <v>-187.33420000000001</v>
      </c>
      <c r="K5943">
        <v>1.1108169999999999</v>
      </c>
      <c r="L5943">
        <v>58.43683</v>
      </c>
      <c r="M5943">
        <v>-1.6746690000000002E-2</v>
      </c>
      <c r="N5943">
        <v>-1.4794470000000001E-2</v>
      </c>
      <c r="O5943">
        <v>0.99975029999999998</v>
      </c>
      <c r="P5943">
        <v>-8.8562719999999998E-2</v>
      </c>
      <c r="Q5943">
        <v>0.36715799999999998</v>
      </c>
      <c r="R5943">
        <v>0.92593289999999995</v>
      </c>
      <c r="S5943">
        <v>-0.15367129999999901</v>
      </c>
      <c r="T5943">
        <v>-0.26499719999999999</v>
      </c>
      <c r="U5943">
        <v>3.3317570000000001</v>
      </c>
      <c r="V5943">
        <v>-7.2852529999999999E-2</v>
      </c>
      <c r="W5943">
        <v>0.38087290000000001</v>
      </c>
      <c r="X5943">
        <v>0.92175289999999999</v>
      </c>
      <c r="Y5943">
        <v>-2.9220779999999998E-2</v>
      </c>
      <c r="Z5943">
        <v>-6.4460080000000003E-2</v>
      </c>
      <c r="AA5943">
        <v>0.99749239999999995</v>
      </c>
      <c r="AB5943">
        <v>36</v>
      </c>
      <c r="AC5943">
        <v>-0.638199999999983</v>
      </c>
      <c r="AD5943">
        <v>-1.110818391172</v>
      </c>
      <c r="AE5943">
        <v>13.600409999999901</v>
      </c>
      <c r="AF5943">
        <v>-0.40761056023733699</v>
      </c>
      <c r="AG5943">
        <v>-1.110818391172</v>
      </c>
      <c r="AH5943">
        <v>13.519204592227499</v>
      </c>
      <c r="AI5943">
        <v>94.695086871316207</v>
      </c>
      <c r="AJ5943">
        <v>91.726972301501704</v>
      </c>
      <c r="AK5943">
        <v>13.570886362853701</v>
      </c>
      <c r="AL5943">
        <v>67.612238201600505</v>
      </c>
      <c r="AM5943">
        <v>94.519088790366595</v>
      </c>
      <c r="AN5943">
        <v>1.00000003287011</v>
      </c>
    </row>
    <row r="5944" spans="1:40" x14ac:dyDescent="0.25">
      <c r="A5944" t="str">
        <f>"20190304164804198"</f>
        <v>20190304164804198</v>
      </c>
      <c r="B5944" t="str">
        <f>"1551689284195755"</f>
        <v>1551689284195755</v>
      </c>
      <c r="C5944" t="s">
        <v>40</v>
      </c>
      <c r="D5944">
        <v>4.3498970000000003</v>
      </c>
      <c r="E5944">
        <v>0.53502490000000003</v>
      </c>
      <c r="F5944" t="s">
        <v>42</v>
      </c>
      <c r="G5944">
        <v>-187.96780000000001</v>
      </c>
      <c r="H5944" s="1">
        <v>-1.460751E-6</v>
      </c>
      <c r="I5944">
        <v>72.197540000000004</v>
      </c>
      <c r="J5944">
        <v>-187.34</v>
      </c>
      <c r="K5944">
        <v>1.1108209999999901</v>
      </c>
      <c r="L5944">
        <v>58.793120000000002</v>
      </c>
      <c r="M5944">
        <v>-1.657867E-2</v>
      </c>
      <c r="N5944">
        <v>-1.479074E-2</v>
      </c>
      <c r="O5944">
        <v>0.99975320000000001</v>
      </c>
      <c r="P5944">
        <v>-8.7524439999999995E-2</v>
      </c>
      <c r="Q5944">
        <v>0.36601400000000001</v>
      </c>
      <c r="R5944">
        <v>0.92648430000000004</v>
      </c>
      <c r="S5944">
        <v>-0.15341189999999999</v>
      </c>
      <c r="T5944">
        <v>-0.26896730000000002</v>
      </c>
      <c r="U5944">
        <v>3.3319399999999999</v>
      </c>
      <c r="V5944">
        <v>-7.1965100000000004E-2</v>
      </c>
      <c r="W5944">
        <v>0.37973210000000002</v>
      </c>
      <c r="X5944">
        <v>0.92229309999999998</v>
      </c>
      <c r="Y5944">
        <v>-2.930491E-2</v>
      </c>
      <c r="Z5944">
        <v>-6.5640080000000003E-2</v>
      </c>
      <c r="AA5944">
        <v>0.99741299999999999</v>
      </c>
      <c r="AB5944">
        <v>36</v>
      </c>
      <c r="AC5944">
        <v>-0.62780000000000702</v>
      </c>
      <c r="AD5944">
        <v>-1.11082246075099</v>
      </c>
      <c r="AE5944">
        <v>13.40442</v>
      </c>
      <c r="AF5944">
        <v>-0.40270246856657499</v>
      </c>
      <c r="AG5944">
        <v>-1.11082246075099</v>
      </c>
      <c r="AH5944">
        <v>13.321701176823501</v>
      </c>
      <c r="AI5944">
        <v>94.764382803287504</v>
      </c>
      <c r="AJ5944">
        <v>91.731470128509599</v>
      </c>
      <c r="AK5944">
        <v>13.3739978339343</v>
      </c>
      <c r="AL5944">
        <v>67.682910761308605</v>
      </c>
      <c r="AM5944">
        <v>94.461660607789497</v>
      </c>
      <c r="AN5944">
        <v>1.0000000028480101</v>
      </c>
    </row>
    <row r="5945" spans="1:40" x14ac:dyDescent="0.25">
      <c r="A5945" t="str">
        <f>"20190304164804220"</f>
        <v>20190304164804220</v>
      </c>
      <c r="B5945" t="str">
        <f>"1551689284215276"</f>
        <v>1551689284215276</v>
      </c>
      <c r="C5945" t="s">
        <v>40</v>
      </c>
      <c r="D5945">
        <v>4.3253459999999997</v>
      </c>
      <c r="E5945">
        <v>0.53497530000000004</v>
      </c>
      <c r="F5945" t="s">
        <v>42</v>
      </c>
      <c r="G5945">
        <v>-187.9451</v>
      </c>
      <c r="H5945" s="1">
        <v>-1.485667E-6</v>
      </c>
      <c r="I5945">
        <v>72.246250000000003</v>
      </c>
      <c r="J5945">
        <v>-187.34569999999999</v>
      </c>
      <c r="K5945">
        <v>1.1108100000000001</v>
      </c>
      <c r="L5945">
        <v>59.146329999999999</v>
      </c>
      <c r="M5945">
        <v>-1.6412469999999998E-2</v>
      </c>
      <c r="N5945">
        <v>-1.478693E-2</v>
      </c>
      <c r="O5945">
        <v>0.99975599999999998</v>
      </c>
      <c r="P5945">
        <v>-8.6050699999999994E-2</v>
      </c>
      <c r="Q5945">
        <v>0.36452849999999998</v>
      </c>
      <c r="R5945">
        <v>0.92720780000000003</v>
      </c>
      <c r="S5945">
        <v>-0.14990229999999999</v>
      </c>
      <c r="T5945">
        <v>-0.27517329999999901</v>
      </c>
      <c r="U5945">
        <v>3.332611</v>
      </c>
      <c r="V5945">
        <v>-7.0637839999999993E-2</v>
      </c>
      <c r="W5945">
        <v>0.37825209999999998</v>
      </c>
      <c r="X5945">
        <v>0.92300360000000004</v>
      </c>
      <c r="Y5945">
        <v>-2.8408389999999999E-2</v>
      </c>
      <c r="Z5945">
        <v>-6.7475019999999997E-2</v>
      </c>
      <c r="AA5945">
        <v>0.99731639999999999</v>
      </c>
      <c r="AB5945">
        <v>36</v>
      </c>
      <c r="AC5945">
        <v>-0.59940000000000204</v>
      </c>
      <c r="AD5945">
        <v>-1.1108114856669999</v>
      </c>
      <c r="AE5945">
        <v>13.0999199999999</v>
      </c>
      <c r="AF5945">
        <v>-0.381555955055351</v>
      </c>
      <c r="AG5945">
        <v>-1.1108114856669999</v>
      </c>
      <c r="AH5945">
        <v>13.014611166514101</v>
      </c>
      <c r="AI5945">
        <v>94.876349949412202</v>
      </c>
      <c r="AJ5945">
        <v>91.679288406712104</v>
      </c>
      <c r="AK5945">
        <v>13.0675013265384</v>
      </c>
      <c r="AL5945">
        <v>67.774544354204295</v>
      </c>
      <c r="AM5945">
        <v>94.3763386260581</v>
      </c>
      <c r="AN5945">
        <v>1.0000000006036101</v>
      </c>
    </row>
    <row r="5946" spans="1:40" x14ac:dyDescent="0.25">
      <c r="A5946" t="str">
        <f>"20190304164804244"</f>
        <v>20190304164804244</v>
      </c>
      <c r="B5946" t="str">
        <f>"1551689284235771"</f>
        <v>1551689284235771</v>
      </c>
      <c r="C5946" t="s">
        <v>40</v>
      </c>
      <c r="D5946">
        <v>4.3472460000000002</v>
      </c>
      <c r="E5946">
        <v>0.53489449999999905</v>
      </c>
      <c r="F5946" t="s">
        <v>42</v>
      </c>
      <c r="G5946">
        <v>-187.91679999999999</v>
      </c>
      <c r="H5946" s="1">
        <v>-1.5060690000000001E-6</v>
      </c>
      <c r="I5946">
        <v>72.2821</v>
      </c>
      <c r="J5946">
        <v>-187.352</v>
      </c>
      <c r="K5946">
        <v>1.1108009999999999</v>
      </c>
      <c r="L5946">
        <v>59.544800000000002</v>
      </c>
      <c r="M5946">
        <v>-1.6223930000000001E-2</v>
      </c>
      <c r="N5946">
        <v>-1.4782379999999999E-2</v>
      </c>
      <c r="O5946">
        <v>0.99975910000000001</v>
      </c>
      <c r="P5946">
        <v>-8.4204559999999998E-2</v>
      </c>
      <c r="Q5946">
        <v>0.3626569</v>
      </c>
      <c r="R5946">
        <v>0.92811080000000001</v>
      </c>
      <c r="S5946">
        <v>-0.14491270000000001</v>
      </c>
      <c r="T5946">
        <v>-0.28183909999999901</v>
      </c>
      <c r="U5946">
        <v>3.3328549999999999</v>
      </c>
      <c r="V5946">
        <v>-6.8956630000000005E-2</v>
      </c>
      <c r="W5946">
        <v>0.3763881</v>
      </c>
      <c r="X5946">
        <v>0.9238923</v>
      </c>
      <c r="Y5946">
        <v>-2.7098069999999998E-2</v>
      </c>
      <c r="Z5946">
        <v>-6.9457729999999995E-2</v>
      </c>
      <c r="AA5946">
        <v>0.99721680000000001</v>
      </c>
      <c r="AB5946">
        <v>36</v>
      </c>
      <c r="AC5946">
        <v>-0.56479999999999098</v>
      </c>
      <c r="AD5946">
        <v>-1.1108025060690001</v>
      </c>
      <c r="AE5946">
        <v>12.7372999999999</v>
      </c>
      <c r="AF5946">
        <v>-0.35535669340714698</v>
      </c>
      <c r="AG5946">
        <v>-1.1108025060690001</v>
      </c>
      <c r="AH5946">
        <v>12.648777921489801</v>
      </c>
      <c r="AI5946">
        <v>95.016810888492003</v>
      </c>
      <c r="AJ5946">
        <v>91.609253060688999</v>
      </c>
      <c r="AK5946">
        <v>12.7024306136348</v>
      </c>
      <c r="AL5946">
        <v>67.889868104995699</v>
      </c>
      <c r="AM5946">
        <v>94.268475696985902</v>
      </c>
      <c r="AN5946">
        <v>1.00000000032092</v>
      </c>
    </row>
    <row r="5947" spans="1:40" x14ac:dyDescent="0.25">
      <c r="A5947" t="str">
        <f>"20190304164804289"</f>
        <v>20190304164804289</v>
      </c>
      <c r="B5947" t="str">
        <f>"1551689284285472"</f>
        <v>1551689284285472</v>
      </c>
      <c r="C5947" t="s">
        <v>40</v>
      </c>
      <c r="D5947">
        <v>4.4227499999999997</v>
      </c>
      <c r="E5947">
        <v>0.534703699999999</v>
      </c>
      <c r="F5947" t="s">
        <v>42</v>
      </c>
      <c r="G5947">
        <v>-187.88480000000001</v>
      </c>
      <c r="H5947" s="1">
        <v>-1.530883E-6</v>
      </c>
      <c r="I5947">
        <v>72.326709999999906</v>
      </c>
      <c r="J5947">
        <v>-187.3631</v>
      </c>
      <c r="K5947">
        <v>1.1107990000000001</v>
      </c>
      <c r="L5947">
        <v>60.252319999999997</v>
      </c>
      <c r="M5947">
        <v>-1.5886730000000002E-2</v>
      </c>
      <c r="N5947">
        <v>-1.477414E-2</v>
      </c>
      <c r="O5947">
        <v>0.9997646</v>
      </c>
      <c r="P5947">
        <v>-8.2096429999999998E-2</v>
      </c>
      <c r="Q5947">
        <v>0.35957080000000002</v>
      </c>
      <c r="R5947">
        <v>0.92949939999999998</v>
      </c>
      <c r="S5947">
        <v>-0.13893129999999901</v>
      </c>
      <c r="T5947">
        <v>-0.2896473</v>
      </c>
      <c r="U5947">
        <v>3.3329469999999999</v>
      </c>
      <c r="V5947">
        <v>-6.7145990000000003E-2</v>
      </c>
      <c r="W5947">
        <v>0.37331219999999998</v>
      </c>
      <c r="X5947">
        <v>0.9252726</v>
      </c>
      <c r="Y5947">
        <v>-2.5641359999999998E-2</v>
      </c>
      <c r="Z5947">
        <v>-7.1786840000000005E-2</v>
      </c>
      <c r="AA5947">
        <v>0.99709029999999998</v>
      </c>
      <c r="AB5947">
        <v>36</v>
      </c>
      <c r="AC5947">
        <v>-0.52170000000000905</v>
      </c>
      <c r="AD5947">
        <v>-1.11080053088299</v>
      </c>
      <c r="AE5947">
        <v>12.0743899999999</v>
      </c>
      <c r="AF5947">
        <v>-0.32702803400195002</v>
      </c>
      <c r="AG5947">
        <v>-1.11080053088299</v>
      </c>
      <c r="AH5947">
        <v>11.9799533834236</v>
      </c>
      <c r="AI5947">
        <v>95.295448834091104</v>
      </c>
      <c r="AJ5947">
        <v>91.563668354959802</v>
      </c>
      <c r="AK5947">
        <v>12.0357844872462</v>
      </c>
      <c r="AL5947">
        <v>68.079964773418894</v>
      </c>
      <c r="AM5947">
        <v>94.150614317613801</v>
      </c>
      <c r="AN5947">
        <v>0.999999983476339</v>
      </c>
    </row>
    <row r="5948" spans="1:40" x14ac:dyDescent="0.25">
      <c r="A5948" t="str">
        <f>"20190304164804308"</f>
        <v>20190304164804308</v>
      </c>
      <c r="B5948" t="str">
        <f>"1551689284304980"</f>
        <v>1551689284304980</v>
      </c>
      <c r="C5948" t="s">
        <v>40</v>
      </c>
      <c r="D5948">
        <v>4.387556</v>
      </c>
      <c r="E5948">
        <v>0.53458380000000005</v>
      </c>
      <c r="F5948" t="s">
        <v>42</v>
      </c>
      <c r="G5948">
        <v>-187.8433</v>
      </c>
      <c r="H5948" s="1">
        <v>-1.6324269999999999E-6</v>
      </c>
      <c r="I5948">
        <v>72.546250000000001</v>
      </c>
      <c r="J5948">
        <v>-187.3682</v>
      </c>
      <c r="K5948">
        <v>1.110795</v>
      </c>
      <c r="L5948">
        <v>60.583710000000004</v>
      </c>
      <c r="M5948">
        <v>-1.5727970000000001E-2</v>
      </c>
      <c r="N5948">
        <v>-1.477031E-2</v>
      </c>
      <c r="O5948">
        <v>0.99976719999999997</v>
      </c>
      <c r="P5948">
        <v>-8.191408E-2</v>
      </c>
      <c r="Q5948">
        <v>0.35959459999999999</v>
      </c>
      <c r="R5948">
        <v>0.92950619999999995</v>
      </c>
      <c r="S5948">
        <v>-0.130188</v>
      </c>
      <c r="T5948">
        <v>-0.30110490000000001</v>
      </c>
      <c r="U5948">
        <v>3.3325200000000001</v>
      </c>
      <c r="V5948">
        <v>-6.7112309999999994E-2</v>
      </c>
      <c r="W5948">
        <v>0.37333250000000001</v>
      </c>
      <c r="X5948">
        <v>0.9252669</v>
      </c>
      <c r="Y5948">
        <v>-2.3185020000000001E-2</v>
      </c>
      <c r="Z5948">
        <v>-7.5208510000000006E-2</v>
      </c>
      <c r="AA5948">
        <v>0.99689819999999996</v>
      </c>
      <c r="AB5948">
        <v>36</v>
      </c>
      <c r="AC5948">
        <v>-0.47509999999999702</v>
      </c>
      <c r="AD5948">
        <v>-1.110796632427</v>
      </c>
      <c r="AE5948">
        <v>11.962540000000001</v>
      </c>
      <c r="AF5948">
        <v>-0.284425686058769</v>
      </c>
      <c r="AG5948">
        <v>-1.110796632427</v>
      </c>
      <c r="AH5948">
        <v>11.866379024288801</v>
      </c>
      <c r="AI5948">
        <v>95.346274467616993</v>
      </c>
      <c r="AJ5948">
        <v>91.373061790719504</v>
      </c>
      <c r="AK5948">
        <v>11.9216491425298</v>
      </c>
      <c r="AL5948">
        <v>68.078712028109393</v>
      </c>
      <c r="AM5948">
        <v>94.148565133953994</v>
      </c>
      <c r="AN5948">
        <v>1.0000000269726901</v>
      </c>
    </row>
    <row r="5949" spans="1:40" x14ac:dyDescent="0.25">
      <c r="A5949" t="str">
        <f>"20190304164804332"</f>
        <v>20190304164804332</v>
      </c>
      <c r="B5949" t="str">
        <f>"1551689284325476"</f>
        <v>1551689284325476</v>
      </c>
      <c r="C5949" t="s">
        <v>40</v>
      </c>
      <c r="D5949">
        <v>4.3048099999999998</v>
      </c>
      <c r="E5949">
        <v>0.53465719999999906</v>
      </c>
      <c r="F5949" t="s">
        <v>42</v>
      </c>
      <c r="G5949">
        <v>-187.83869999999999</v>
      </c>
      <c r="H5949" s="1">
        <v>-1.765789E-6</v>
      </c>
      <c r="I5949">
        <v>72.855180000000004</v>
      </c>
      <c r="J5949">
        <v>-187.37389999999999</v>
      </c>
      <c r="K5949">
        <v>1.110792</v>
      </c>
      <c r="L5949">
        <v>60.961579999999998</v>
      </c>
      <c r="M5949">
        <v>-1.5546910000000001E-2</v>
      </c>
      <c r="N5949">
        <v>-1.4766E-2</v>
      </c>
      <c r="O5949">
        <v>0.99977009999999999</v>
      </c>
      <c r="P5949">
        <v>-8.2265229999999995E-2</v>
      </c>
      <c r="Q5949">
        <v>0.35963420000000001</v>
      </c>
      <c r="R5949">
        <v>0.92945990000000001</v>
      </c>
      <c r="S5949">
        <v>-0.1277771</v>
      </c>
      <c r="T5949">
        <v>-0.30169669999999998</v>
      </c>
      <c r="U5949">
        <v>3.3329770000000001</v>
      </c>
      <c r="V5949">
        <v>-6.7634109999999997E-2</v>
      </c>
      <c r="W5949">
        <v>0.373367</v>
      </c>
      <c r="X5949">
        <v>0.92521489999999995</v>
      </c>
      <c r="Y5949">
        <v>-2.264062E-2</v>
      </c>
      <c r="Z5949">
        <v>-7.537808E-2</v>
      </c>
      <c r="AA5949">
        <v>0.9968979</v>
      </c>
      <c r="AB5949">
        <v>36</v>
      </c>
      <c r="AC5949">
        <v>-0.46479999999999599</v>
      </c>
      <c r="AD5949">
        <v>-1.1107937657889999</v>
      </c>
      <c r="AE5949">
        <v>11.893599999999999</v>
      </c>
      <c r="AF5949">
        <v>-0.27739900204749901</v>
      </c>
      <c r="AG5949">
        <v>-1.1107937657889999</v>
      </c>
      <c r="AH5949">
        <v>11.7966500204969</v>
      </c>
      <c r="AI5949">
        <v>95.377734911409306</v>
      </c>
      <c r="AJ5949">
        <v>91.347065774398004</v>
      </c>
      <c r="AK5949">
        <v>11.8520784971473</v>
      </c>
      <c r="AL5949">
        <v>68.076579481674202</v>
      </c>
      <c r="AM5949">
        <v>94.180940546058096</v>
      </c>
      <c r="AN5949">
        <v>0.99999995035324896</v>
      </c>
    </row>
    <row r="5950" spans="1:40" x14ac:dyDescent="0.25">
      <c r="A5950" t="str">
        <f>"20190304164804355"</f>
        <v>20190304164804355</v>
      </c>
      <c r="B5950" t="str">
        <f>"1551689284344996"</f>
        <v>1551689284344996</v>
      </c>
      <c r="C5950" t="s">
        <v>40</v>
      </c>
      <c r="D5950">
        <v>4.1699390000000003</v>
      </c>
      <c r="E5950">
        <v>0.53465719999999906</v>
      </c>
      <c r="F5950" t="s">
        <v>42</v>
      </c>
      <c r="G5950">
        <v>-187.84399999999999</v>
      </c>
      <c r="H5950" s="1">
        <v>-1.9096389999999999E-6</v>
      </c>
      <c r="I5950">
        <v>73.192700000000002</v>
      </c>
      <c r="J5950">
        <v>-187.37950000000001</v>
      </c>
      <c r="K5950">
        <v>1.110795</v>
      </c>
      <c r="L5950">
        <v>61.332729999999998</v>
      </c>
      <c r="M5950">
        <v>-1.536905E-2</v>
      </c>
      <c r="N5950">
        <v>-1.4761929999999999E-2</v>
      </c>
      <c r="O5950">
        <v>0.99977289999999996</v>
      </c>
      <c r="P5950">
        <v>-8.2346089999999997E-2</v>
      </c>
      <c r="Q5950">
        <v>0.358954</v>
      </c>
      <c r="R5950">
        <v>0.92971559999999998</v>
      </c>
      <c r="S5950">
        <v>-0.1281128</v>
      </c>
      <c r="T5950">
        <v>-0.30273810000000001</v>
      </c>
      <c r="U5950">
        <v>3.3334959999999998</v>
      </c>
      <c r="V5950">
        <v>-6.7877779999999999E-2</v>
      </c>
      <c r="W5950">
        <v>0.37268699999999999</v>
      </c>
      <c r="X5950">
        <v>0.92547120000000005</v>
      </c>
      <c r="Y5950">
        <v>-2.291166E-2</v>
      </c>
      <c r="Z5950">
        <v>-7.5676889999999997E-2</v>
      </c>
      <c r="AA5950">
        <v>0.99686909999999895</v>
      </c>
      <c r="AB5950">
        <v>36</v>
      </c>
      <c r="AC5950">
        <v>-0.46450000000001501</v>
      </c>
      <c r="AD5950">
        <v>-1.110796909639</v>
      </c>
      <c r="AE5950">
        <v>11.859969999999899</v>
      </c>
      <c r="AF5950">
        <v>-0.27969900586051799</v>
      </c>
      <c r="AG5950">
        <v>-1.110796909639</v>
      </c>
      <c r="AH5950">
        <v>11.762683541612599</v>
      </c>
      <c r="AI5950">
        <v>95.393154272763695</v>
      </c>
      <c r="AJ5950">
        <v>91.362151175727107</v>
      </c>
      <c r="AK5950">
        <v>11.818325829340999</v>
      </c>
      <c r="AL5950">
        <v>68.1185719795658</v>
      </c>
      <c r="AM5950">
        <v>94.194791924312796</v>
      </c>
      <c r="AN5950">
        <v>0.99999996750808295</v>
      </c>
    </row>
    <row r="5951" spans="1:40" x14ac:dyDescent="0.25">
      <c r="A5951" t="str">
        <f>"20190304164804468"</f>
        <v>20190304164804468</v>
      </c>
      <c r="B5951" t="str">
        <f>"1551689284465044"</f>
        <v>1551689284465044</v>
      </c>
      <c r="C5951" t="s">
        <v>40</v>
      </c>
      <c r="D5951">
        <v>4.4459720000000003</v>
      </c>
      <c r="E5951">
        <v>0.52499849999999904</v>
      </c>
      <c r="F5951" t="s">
        <v>41</v>
      </c>
      <c r="G5951">
        <v>-187.48410000000001</v>
      </c>
      <c r="H5951">
        <v>0.79665889999999995</v>
      </c>
      <c r="I5951">
        <v>63.543599999999998</v>
      </c>
      <c r="J5951">
        <v>-187.4058</v>
      </c>
      <c r="K5951">
        <v>1.110803</v>
      </c>
      <c r="L5951">
        <v>63.145870000000002</v>
      </c>
      <c r="M5951">
        <v>-1.445308E-2</v>
      </c>
      <c r="N5951">
        <v>-1.4741850000000001E-2</v>
      </c>
      <c r="O5951">
        <v>0.99978690000000003</v>
      </c>
      <c r="P5951">
        <v>-7.7772569999999999E-2</v>
      </c>
      <c r="Q5951">
        <v>0.36230200000000001</v>
      </c>
      <c r="R5951">
        <v>0.92881040000000004</v>
      </c>
      <c r="S5951">
        <v>-0.41171259999999998</v>
      </c>
      <c r="T5951">
        <v>-1.544632</v>
      </c>
      <c r="U5951">
        <v>3.7963559999999998</v>
      </c>
      <c r="V5951">
        <v>-6.4157140000000001E-2</v>
      </c>
      <c r="W5951">
        <v>0.37600159999999999</v>
      </c>
      <c r="X5951">
        <v>0.92439530000000003</v>
      </c>
      <c r="Y5951">
        <v>-8.5868890000000003E-2</v>
      </c>
      <c r="Z5951">
        <v>-0.36149540000000002</v>
      </c>
      <c r="AA5951">
        <v>0.92841130000000005</v>
      </c>
      <c r="AB5951">
        <v>36</v>
      </c>
      <c r="AC5951">
        <v>-7.8300000000012901E-2</v>
      </c>
      <c r="AD5951">
        <v>-0.31414409999999998</v>
      </c>
      <c r="AE5951">
        <v>0.39773000000000203</v>
      </c>
      <c r="AF5951">
        <v>-4.5322943331247798E-2</v>
      </c>
      <c r="AG5951">
        <v>-0.31414409999999998</v>
      </c>
      <c r="AH5951">
        <v>0.24917310211277999</v>
      </c>
      <c r="AI5951">
        <v>141.124399142768</v>
      </c>
      <c r="AJ5951">
        <v>100.309018321408</v>
      </c>
      <c r="AK5951">
        <v>0.40351941660039498</v>
      </c>
      <c r="AL5951">
        <v>67.913768781469699</v>
      </c>
      <c r="AM5951">
        <v>93.970214964254595</v>
      </c>
      <c r="AN5951">
        <v>1.0000000062388099</v>
      </c>
    </row>
    <row r="5952" spans="1:40" x14ac:dyDescent="0.25">
      <c r="A5952" t="str">
        <f>"20190304164804490"</f>
        <v>20190304164804490</v>
      </c>
      <c r="B5952" t="str">
        <f>"1551689284485540"</f>
        <v>1551689284485540</v>
      </c>
      <c r="C5952" t="s">
        <v>40</v>
      </c>
      <c r="D5952">
        <v>4.4334629999999997</v>
      </c>
      <c r="E5952">
        <v>0.52739740000000002</v>
      </c>
      <c r="F5952" t="s">
        <v>41</v>
      </c>
      <c r="G5952">
        <v>-187.4725</v>
      </c>
      <c r="H5952">
        <v>0.83295830000000004</v>
      </c>
      <c r="I5952">
        <v>63.875320000000002</v>
      </c>
      <c r="J5952">
        <v>-187.41059999999999</v>
      </c>
      <c r="K5952">
        <v>1.1108020000000001</v>
      </c>
      <c r="L5952">
        <v>63.494480000000003</v>
      </c>
      <c r="M5952">
        <v>-1.42615E-2</v>
      </c>
      <c r="N5952">
        <v>-1.4738090000000001E-2</v>
      </c>
      <c r="O5952">
        <v>0.9997897</v>
      </c>
      <c r="P5952">
        <v>-7.5862499999999999E-2</v>
      </c>
      <c r="Q5952">
        <v>0.3626009</v>
      </c>
      <c r="R5952">
        <v>0.92885169999999995</v>
      </c>
      <c r="S5952">
        <v>-0.3442383</v>
      </c>
      <c r="T5952">
        <v>-1.4320679999999999</v>
      </c>
      <c r="U5952">
        <v>3.759735</v>
      </c>
      <c r="V5952">
        <v>-6.2421520000000001E-2</v>
      </c>
      <c r="W5952">
        <v>0.37629669999999998</v>
      </c>
      <c r="X5952">
        <v>0.9243941</v>
      </c>
      <c r="Y5952">
        <v>-7.1285370000000001E-2</v>
      </c>
      <c r="Z5952">
        <v>-0.34099740000000001</v>
      </c>
      <c r="AA5952">
        <v>0.93735749999999995</v>
      </c>
      <c r="AB5952">
        <v>36</v>
      </c>
      <c r="AC5952">
        <v>-6.1900000000008497E-2</v>
      </c>
      <c r="AD5952">
        <v>-0.27784369999999903</v>
      </c>
      <c r="AE5952">
        <v>0.38083999999999202</v>
      </c>
      <c r="AF5952">
        <v>-3.7181331475006602E-2</v>
      </c>
      <c r="AG5952">
        <v>-0.27784369999999903</v>
      </c>
      <c r="AH5952">
        <v>0.25134752541275301</v>
      </c>
      <c r="AI5952">
        <v>137.55768324186499</v>
      </c>
      <c r="AJ5952">
        <v>98.414624788928407</v>
      </c>
      <c r="AK5952">
        <v>0.376503853328301</v>
      </c>
      <c r="AL5952">
        <v>67.895521710417796</v>
      </c>
      <c r="AM5952">
        <v>93.863144884309506</v>
      </c>
      <c r="AN5952">
        <v>1.0000000523524</v>
      </c>
    </row>
    <row r="5953" spans="1:40" x14ac:dyDescent="0.25">
      <c r="A5953" t="str">
        <f>"20190304164804510"</f>
        <v>20190304164804510</v>
      </c>
      <c r="B5953" t="str">
        <f>"1551689284505059"</f>
        <v>1551689284505059</v>
      </c>
      <c r="C5953" t="s">
        <v>40</v>
      </c>
      <c r="D5953">
        <v>4.341882</v>
      </c>
      <c r="E5953">
        <v>0.53094049999999904</v>
      </c>
      <c r="F5953" t="s">
        <v>41</v>
      </c>
      <c r="G5953">
        <v>-187.46879999999999</v>
      </c>
      <c r="H5953">
        <v>0.84841329999999904</v>
      </c>
      <c r="I5953">
        <v>64.200900000000004</v>
      </c>
      <c r="J5953">
        <v>-187.4151</v>
      </c>
      <c r="K5953">
        <v>1.110797</v>
      </c>
      <c r="L5953">
        <v>63.819310000000002</v>
      </c>
      <c r="M5953">
        <v>-1.407958E-2</v>
      </c>
      <c r="N5953">
        <v>-1.4734550000000001E-2</v>
      </c>
      <c r="O5953">
        <v>0.99979229999999997</v>
      </c>
      <c r="P5953">
        <v>-7.4375670000000005E-2</v>
      </c>
      <c r="Q5953">
        <v>0.36216409999999999</v>
      </c>
      <c r="R5953">
        <v>0.92914229999999998</v>
      </c>
      <c r="S5953">
        <v>-0.30924990000000002</v>
      </c>
      <c r="T5953">
        <v>-1.392077</v>
      </c>
      <c r="U5953">
        <v>3.7479550000000001</v>
      </c>
      <c r="V5953">
        <v>-6.1098E-2</v>
      </c>
      <c r="W5953">
        <v>0.37585970000000002</v>
      </c>
      <c r="X5953">
        <v>0.92466020000000004</v>
      </c>
      <c r="Y5953">
        <v>-6.3298709999999994E-2</v>
      </c>
      <c r="Z5953">
        <v>-0.33342509999999997</v>
      </c>
      <c r="AA5953">
        <v>0.94064919999999996</v>
      </c>
      <c r="AB5953">
        <v>36</v>
      </c>
      <c r="AC5953">
        <v>-5.3699999999991997E-2</v>
      </c>
      <c r="AD5953">
        <v>-0.2623837</v>
      </c>
      <c r="AE5953">
        <v>0.38159000000000898</v>
      </c>
      <c r="AF5953">
        <v>-3.3015015188536299E-2</v>
      </c>
      <c r="AG5953">
        <v>-0.2623837</v>
      </c>
      <c r="AH5953">
        <v>0.26120720715144102</v>
      </c>
      <c r="AI5953">
        <v>134.90171963682499</v>
      </c>
      <c r="AJ5953">
        <v>97.203642505508597</v>
      </c>
      <c r="AK5953">
        <v>0.37170472464234999</v>
      </c>
      <c r="AL5953">
        <v>67.922542084006693</v>
      </c>
      <c r="AM5953">
        <v>93.780389972785898</v>
      </c>
      <c r="AN5953">
        <v>0.99999998257606404</v>
      </c>
    </row>
    <row r="5954" spans="1:40" x14ac:dyDescent="0.25">
      <c r="A5954" t="str">
        <f>"20190304164804533"</f>
        <v>20190304164804533</v>
      </c>
      <c r="B5954" t="str">
        <f>"1551689284525556"</f>
        <v>1551689284525556</v>
      </c>
      <c r="C5954" t="s">
        <v>40</v>
      </c>
      <c r="D5954">
        <v>4.5572410000000003</v>
      </c>
      <c r="E5954">
        <v>0.53216869999999905</v>
      </c>
      <c r="F5954" t="s">
        <v>41</v>
      </c>
      <c r="G5954">
        <v>-187.465</v>
      </c>
      <c r="H5954">
        <v>0.8587863</v>
      </c>
      <c r="I5954">
        <v>64.523919999999904</v>
      </c>
      <c r="J5954">
        <v>-187.42</v>
      </c>
      <c r="K5954">
        <v>1.110792</v>
      </c>
      <c r="L5954">
        <v>64.182100000000005</v>
      </c>
      <c r="M5954">
        <v>-1.387362E-2</v>
      </c>
      <c r="N5954">
        <v>-1.473061E-2</v>
      </c>
      <c r="O5954">
        <v>0.99979530000000005</v>
      </c>
      <c r="P5954">
        <v>-7.3191210000000007E-2</v>
      </c>
      <c r="Q5954">
        <v>0.36056149999999998</v>
      </c>
      <c r="R5954">
        <v>0.9298594</v>
      </c>
      <c r="S5954">
        <v>-0.26454159999999999</v>
      </c>
      <c r="T5954">
        <v>-1.333048</v>
      </c>
      <c r="U5954">
        <v>3.7272029999999998</v>
      </c>
      <c r="V5954">
        <v>-6.0094849999999998E-2</v>
      </c>
      <c r="W5954">
        <v>0.37426399999999999</v>
      </c>
      <c r="X5954">
        <v>0.925373</v>
      </c>
      <c r="Y5954">
        <v>-5.3024300000000003E-2</v>
      </c>
      <c r="Z5954">
        <v>-0.32220690000000002</v>
      </c>
      <c r="AA5954">
        <v>0.9451832</v>
      </c>
      <c r="AB5954">
        <v>36</v>
      </c>
      <c r="AC5954">
        <v>-4.5000000000015902E-2</v>
      </c>
      <c r="AD5954">
        <v>-0.252005699999999</v>
      </c>
      <c r="AE5954">
        <v>0.34181999999998403</v>
      </c>
      <c r="AF5954">
        <v>-2.6235792078389001E-2</v>
      </c>
      <c r="AG5954">
        <v>-0.252005699999999</v>
      </c>
      <c r="AH5954">
        <v>0.22317503354719401</v>
      </c>
      <c r="AI5954">
        <v>138.27681969528101</v>
      </c>
      <c r="AJ5954">
        <v>96.704748387615794</v>
      </c>
      <c r="AK5954">
        <v>0.33764224442042401</v>
      </c>
      <c r="AL5954">
        <v>68.021170556581495</v>
      </c>
      <c r="AM5954">
        <v>93.7156401866538</v>
      </c>
      <c r="AN5954">
        <v>1.00000006091075</v>
      </c>
    </row>
    <row r="5955" spans="1:40" x14ac:dyDescent="0.25">
      <c r="A5955" t="str">
        <f>"20190304164804554"</f>
        <v>20190304164804554</v>
      </c>
      <c r="B5955" t="str">
        <f>"1551689284545076"</f>
        <v>1551689284545076</v>
      </c>
      <c r="C5955" t="s">
        <v>40</v>
      </c>
      <c r="D5955">
        <v>4.4415329999999997</v>
      </c>
      <c r="E5955">
        <v>0.53291580000000005</v>
      </c>
      <c r="F5955" t="s">
        <v>41</v>
      </c>
      <c r="G5955">
        <v>-187.46369999999999</v>
      </c>
      <c r="H5955">
        <v>0.87392539999999996</v>
      </c>
      <c r="I5955">
        <v>64.848740000000006</v>
      </c>
      <c r="J5955">
        <v>-187.4246</v>
      </c>
      <c r="K5955">
        <v>1.110778</v>
      </c>
      <c r="L5955">
        <v>64.526060000000001</v>
      </c>
      <c r="M5955">
        <v>-1.367675E-2</v>
      </c>
      <c r="N5955">
        <v>-1.472682E-2</v>
      </c>
      <c r="O5955">
        <v>0.99979799999999996</v>
      </c>
      <c r="P5955">
        <v>-7.2817129999999994E-2</v>
      </c>
      <c r="Q5955">
        <v>0.35923840000000001</v>
      </c>
      <c r="R5955">
        <v>0.93040069999999997</v>
      </c>
      <c r="S5955">
        <v>-0.2453003</v>
      </c>
      <c r="T5955">
        <v>-1.321537</v>
      </c>
      <c r="U5955">
        <v>3.7194210000000001</v>
      </c>
      <c r="V5955">
        <v>-5.9896619999999998E-2</v>
      </c>
      <c r="W5955">
        <v>0.37294460000000001</v>
      </c>
      <c r="X5955">
        <v>0.92591829999999997</v>
      </c>
      <c r="Y5955">
        <v>-4.854849E-2</v>
      </c>
      <c r="Z5955">
        <v>-0.3203318</v>
      </c>
      <c r="AA5955">
        <v>0.94606049999999997</v>
      </c>
      <c r="AB5955">
        <v>36</v>
      </c>
      <c r="AC5955">
        <v>-3.9099999999990503E-2</v>
      </c>
      <c r="AD5955">
        <v>-0.2368526</v>
      </c>
      <c r="AE5955">
        <v>0.32268000000000502</v>
      </c>
      <c r="AF5955">
        <v>-2.2653820408851701E-2</v>
      </c>
      <c r="AG5955">
        <v>-0.2368526</v>
      </c>
      <c r="AH5955">
        <v>0.21109594164158399</v>
      </c>
      <c r="AI5955">
        <v>138.12784322950799</v>
      </c>
      <c r="AJ5955">
        <v>96.125270455990403</v>
      </c>
      <c r="AK5955">
        <v>0.31807836500369402</v>
      </c>
      <c r="AL5955">
        <v>68.102666334150001</v>
      </c>
      <c r="AM5955">
        <v>93.701242886402298</v>
      </c>
      <c r="AN5955">
        <v>0.99999998901573695</v>
      </c>
    </row>
    <row r="5956" spans="1:40" x14ac:dyDescent="0.25">
      <c r="A5956" t="str">
        <f>"20190304164804578"</f>
        <v>20190304164804578</v>
      </c>
      <c r="B5956" t="str">
        <f>"1551689284575332"</f>
        <v>1551689284575332</v>
      </c>
      <c r="C5956" t="s">
        <v>40</v>
      </c>
      <c r="D5956">
        <v>4.5594270000000003</v>
      </c>
      <c r="E5956">
        <v>0.53391549999999999</v>
      </c>
      <c r="F5956" t="s">
        <v>41</v>
      </c>
      <c r="G5956">
        <v>-187.48259999999999</v>
      </c>
      <c r="H5956">
        <v>0.78491339999999998</v>
      </c>
      <c r="I5956">
        <v>65.446449999999999</v>
      </c>
      <c r="J5956">
        <v>-187.42930000000001</v>
      </c>
      <c r="K5956">
        <v>1.11077</v>
      </c>
      <c r="L5956">
        <v>64.888490000000004</v>
      </c>
      <c r="M5956">
        <v>-1.3469E-2</v>
      </c>
      <c r="N5956">
        <v>-1.4722819999999999E-2</v>
      </c>
      <c r="O5956">
        <v>0.99980089999999999</v>
      </c>
      <c r="P5956">
        <v>-7.3279220000000006E-2</v>
      </c>
      <c r="Q5956">
        <v>0.35806159999999998</v>
      </c>
      <c r="R5956">
        <v>0.93081800000000003</v>
      </c>
      <c r="S5956">
        <v>-0.2344666</v>
      </c>
      <c r="T5956">
        <v>-1.3148249999999999</v>
      </c>
      <c r="U5956">
        <v>3.7137449999999999</v>
      </c>
      <c r="V5956">
        <v>-6.0546750000000003E-2</v>
      </c>
      <c r="W5956">
        <v>0.37177139999999997</v>
      </c>
      <c r="X5956">
        <v>0.9263477</v>
      </c>
      <c r="Y5956">
        <v>-4.6131159999999997E-2</v>
      </c>
      <c r="Z5956">
        <v>-0.3193202</v>
      </c>
      <c r="AA5956">
        <v>0.94652340000000001</v>
      </c>
      <c r="AB5956">
        <v>36</v>
      </c>
      <c r="AC5956">
        <v>-5.3299999999978802E-2</v>
      </c>
      <c r="AD5956">
        <v>-0.3258566</v>
      </c>
      <c r="AE5956">
        <v>0.55795999999999402</v>
      </c>
      <c r="AF5956">
        <v>-3.4214934831252902E-2</v>
      </c>
      <c r="AG5956">
        <v>-0.3258566</v>
      </c>
      <c r="AH5956">
        <v>0.417512847955477</v>
      </c>
      <c r="AI5956">
        <v>127.878034933278</v>
      </c>
      <c r="AJ5956">
        <v>94.684887048528296</v>
      </c>
      <c r="AK5956">
        <v>0.53072607222272405</v>
      </c>
      <c r="AL5956">
        <v>68.175093700286297</v>
      </c>
      <c r="AM5956">
        <v>93.739574108815106</v>
      </c>
      <c r="AN5956">
        <v>0.99999997204440505</v>
      </c>
    </row>
    <row r="5957" spans="1:40" x14ac:dyDescent="0.25">
      <c r="A5957" t="str">
        <f>"20190304164804600"</f>
        <v>20190304164804600</v>
      </c>
      <c r="B5957" t="str">
        <f>"1551689284594852"</f>
        <v>1551689284594852</v>
      </c>
      <c r="C5957" t="s">
        <v>40</v>
      </c>
      <c r="D5957">
        <v>4.5729850000000001</v>
      </c>
      <c r="E5957">
        <v>0.534277</v>
      </c>
      <c r="F5957" t="s">
        <v>41</v>
      </c>
      <c r="G5957">
        <v>-187.48320000000001</v>
      </c>
      <c r="H5957">
        <v>0.80031099999999999</v>
      </c>
      <c r="I5957">
        <v>65.770069999999905</v>
      </c>
      <c r="J5957">
        <v>-187.43389999999999</v>
      </c>
      <c r="K5957">
        <v>1.1107670000000001</v>
      </c>
      <c r="L5957">
        <v>65.246669999999995</v>
      </c>
      <c r="M5957">
        <v>-1.3264130000000001E-2</v>
      </c>
      <c r="N5957">
        <v>-1.471892E-2</v>
      </c>
      <c r="O5957">
        <v>0.99980369999999996</v>
      </c>
      <c r="P5957">
        <v>-7.4156749999999994E-2</v>
      </c>
      <c r="Q5957">
        <v>0.3576413</v>
      </c>
      <c r="R5957">
        <v>0.93091009999999996</v>
      </c>
      <c r="S5957">
        <v>-0.2267914</v>
      </c>
      <c r="T5957">
        <v>-1.3055559999999999</v>
      </c>
      <c r="U5957">
        <v>3.7073360000000002</v>
      </c>
      <c r="V5957">
        <v>-6.1613189999999998E-2</v>
      </c>
      <c r="W5957">
        <v>0.37134899999999998</v>
      </c>
      <c r="X5957">
        <v>0.92644689999999996</v>
      </c>
      <c r="Y5957">
        <v>-4.4523729999999997E-2</v>
      </c>
      <c r="Z5957">
        <v>-0.31776579999999999</v>
      </c>
      <c r="AA5957">
        <v>0.9471233</v>
      </c>
      <c r="AB5957">
        <v>36</v>
      </c>
      <c r="AC5957">
        <v>-4.9300000000016497E-2</v>
      </c>
      <c r="AD5957">
        <v>-0.31045600000000001</v>
      </c>
      <c r="AE5957">
        <v>0.52339999999999498</v>
      </c>
      <c r="AF5957">
        <v>-3.1401600998260601E-2</v>
      </c>
      <c r="AG5957">
        <v>-0.31045600000000001</v>
      </c>
      <c r="AH5957">
        <v>0.38851784542089501</v>
      </c>
      <c r="AI5957">
        <v>128.53664007186501</v>
      </c>
      <c r="AJ5957">
        <v>94.620834743897106</v>
      </c>
      <c r="AK5957">
        <v>0.49831225621265701</v>
      </c>
      <c r="AL5957">
        <v>68.201163730213906</v>
      </c>
      <c r="AM5957">
        <v>93.804842985302997</v>
      </c>
      <c r="AN5957">
        <v>1.0000000617512901</v>
      </c>
    </row>
    <row r="5958" spans="1:40" x14ac:dyDescent="0.25">
      <c r="A5958" t="str">
        <f>"20190304164804623"</f>
        <v>20190304164804623</v>
      </c>
      <c r="B5958" t="str">
        <f>"1551689284615347"</f>
        <v>1551689284615347</v>
      </c>
      <c r="C5958" t="s">
        <v>40</v>
      </c>
      <c r="D5958">
        <v>4.5239960000000004</v>
      </c>
      <c r="E5958">
        <v>0.53431090000000003</v>
      </c>
      <c r="F5958" t="s">
        <v>41</v>
      </c>
      <c r="G5958">
        <v>-187.48560000000001</v>
      </c>
      <c r="H5958">
        <v>0.81328330000000004</v>
      </c>
      <c r="I5958">
        <v>66.092579999999998</v>
      </c>
      <c r="J5958">
        <v>-187.4385</v>
      </c>
      <c r="K5958">
        <v>1.110765</v>
      </c>
      <c r="L5958">
        <v>65.60181</v>
      </c>
      <c r="M5958">
        <v>-1.306153E-2</v>
      </c>
      <c r="N5958">
        <v>-1.47151E-2</v>
      </c>
      <c r="O5958">
        <v>0.99980639999999998</v>
      </c>
      <c r="P5958">
        <v>-7.4651990000000001E-2</v>
      </c>
      <c r="Q5958">
        <v>0.35720639999999998</v>
      </c>
      <c r="R5958">
        <v>0.93103740000000001</v>
      </c>
      <c r="S5958">
        <v>-0.22691349999999999</v>
      </c>
      <c r="T5958">
        <v>-1.302967</v>
      </c>
      <c r="U5958">
        <v>3.705139</v>
      </c>
      <c r="V5958">
        <v>-6.2295450000000002E-2</v>
      </c>
      <c r="W5958">
        <v>0.3709134</v>
      </c>
      <c r="X5958">
        <v>0.9265757</v>
      </c>
      <c r="Y5958">
        <v>-4.4799350000000002E-2</v>
      </c>
      <c r="Z5958">
        <v>-0.3173552</v>
      </c>
      <c r="AA5958">
        <v>0.94724799999999998</v>
      </c>
      <c r="AB5958">
        <v>35</v>
      </c>
      <c r="AC5958">
        <v>-4.7100000000000301E-2</v>
      </c>
      <c r="AD5958">
        <v>-0.29748170000000002</v>
      </c>
      <c r="AE5958">
        <v>0.49076999999999699</v>
      </c>
      <c r="AF5958">
        <v>-2.9826280568689498E-2</v>
      </c>
      <c r="AG5958">
        <v>-0.29748170000000002</v>
      </c>
      <c r="AH5958">
        <v>0.36020442453403601</v>
      </c>
      <c r="AI5958">
        <v>129.45616671654901</v>
      </c>
      <c r="AJ5958">
        <v>94.733507289315199</v>
      </c>
      <c r="AK5958">
        <v>0.46811558006687598</v>
      </c>
      <c r="AL5958">
        <v>68.228039959582802</v>
      </c>
      <c r="AM5958">
        <v>93.846316126991098</v>
      </c>
      <c r="AN5958">
        <v>1.00000000061037</v>
      </c>
    </row>
    <row r="5959" spans="1:40" x14ac:dyDescent="0.25">
      <c r="A5959" t="str">
        <f>"20190304164804645"</f>
        <v>20190304164804645</v>
      </c>
      <c r="B5959" t="str">
        <f>"1551689284634868"</f>
        <v>1551689284634868</v>
      </c>
      <c r="C5959" t="s">
        <v>40</v>
      </c>
      <c r="D5959">
        <v>4.5450010000000001</v>
      </c>
      <c r="E5959">
        <v>0.53430310000000003</v>
      </c>
      <c r="F5959" t="s">
        <v>41</v>
      </c>
      <c r="G5959">
        <v>-187.48849999999999</v>
      </c>
      <c r="H5959">
        <v>0.8244648</v>
      </c>
      <c r="I5959">
        <v>66.414029999999997</v>
      </c>
      <c r="J5959">
        <v>-187.44290000000001</v>
      </c>
      <c r="K5959">
        <v>1.11077</v>
      </c>
      <c r="L5959">
        <v>65.953669999999903</v>
      </c>
      <c r="M5959">
        <v>-1.286082E-2</v>
      </c>
      <c r="N5959">
        <v>-1.471127E-2</v>
      </c>
      <c r="O5959">
        <v>0.99980910000000001</v>
      </c>
      <c r="P5959">
        <v>-7.5313140000000001E-2</v>
      </c>
      <c r="Q5959">
        <v>0.35743619999999998</v>
      </c>
      <c r="R5959">
        <v>0.93089599999999995</v>
      </c>
      <c r="S5959">
        <v>-0.22853090000000001</v>
      </c>
      <c r="T5959">
        <v>-1.305939</v>
      </c>
      <c r="U5959">
        <v>3.7049259999999999</v>
      </c>
      <c r="V5959">
        <v>-6.3145580000000007E-2</v>
      </c>
      <c r="W5959">
        <v>0.37113740000000001</v>
      </c>
      <c r="X5959">
        <v>0.92642840000000004</v>
      </c>
      <c r="Y5959">
        <v>-4.539907E-2</v>
      </c>
      <c r="Z5959">
        <v>-0.3180444</v>
      </c>
      <c r="AA5959">
        <v>0.94698819999999995</v>
      </c>
      <c r="AB5959">
        <v>35</v>
      </c>
      <c r="AC5959">
        <v>-4.55999999999789E-2</v>
      </c>
      <c r="AD5959">
        <v>-0.28630519999999898</v>
      </c>
      <c r="AE5959">
        <v>0.46036000000002197</v>
      </c>
      <c r="AF5959">
        <v>-2.8687177979222801E-2</v>
      </c>
      <c r="AG5959">
        <v>-0.28630519999999898</v>
      </c>
      <c r="AH5959">
        <v>0.33326197632538901</v>
      </c>
      <c r="AI5959">
        <v>130.561350567386</v>
      </c>
      <c r="AJ5959">
        <v>94.919890657733504</v>
      </c>
      <c r="AK5959">
        <v>0.44029213778099202</v>
      </c>
      <c r="AL5959">
        <v>68.214218222471402</v>
      </c>
      <c r="AM5959">
        <v>93.899262994215704</v>
      </c>
      <c r="AN5959">
        <v>0.99999995713942702</v>
      </c>
    </row>
    <row r="5960" spans="1:40" x14ac:dyDescent="0.25">
      <c r="A5960" t="str">
        <f>"20190304164804670"</f>
        <v>20190304164804670</v>
      </c>
      <c r="B5960" t="str">
        <f>"1551689284665123"</f>
        <v>1551689284665123</v>
      </c>
      <c r="C5960" t="s">
        <v>40</v>
      </c>
      <c r="D5960">
        <v>4.5248169999999996</v>
      </c>
      <c r="E5960">
        <v>0.53432880000000005</v>
      </c>
      <c r="F5960" t="s">
        <v>41</v>
      </c>
      <c r="G5960">
        <v>-187.4913</v>
      </c>
      <c r="H5960">
        <v>0.83517489999999905</v>
      </c>
      <c r="I5960">
        <v>66.734939999999995</v>
      </c>
      <c r="J5960">
        <v>-187.4477</v>
      </c>
      <c r="K5960">
        <v>1.1107689999999999</v>
      </c>
      <c r="L5960">
        <v>66.344969999999904</v>
      </c>
      <c r="M5960">
        <v>-1.2637850000000001E-2</v>
      </c>
      <c r="N5960">
        <v>-1.470696E-2</v>
      </c>
      <c r="O5960">
        <v>0.99981200000000003</v>
      </c>
      <c r="P5960">
        <v>-7.5637549999999998E-2</v>
      </c>
      <c r="Q5960">
        <v>0.35784050000000001</v>
      </c>
      <c r="R5960">
        <v>0.93071429999999999</v>
      </c>
      <c r="S5960">
        <v>-0.2306976</v>
      </c>
      <c r="T5960">
        <v>-1.3072729999999999</v>
      </c>
      <c r="U5960">
        <v>3.705994</v>
      </c>
      <c r="V5960">
        <v>-6.3679810000000003E-2</v>
      </c>
      <c r="W5960">
        <v>0.371535</v>
      </c>
      <c r="X5960">
        <v>0.92623250000000001</v>
      </c>
      <c r="Y5960">
        <v>-4.6150070000000001E-2</v>
      </c>
      <c r="Z5960">
        <v>-0.31825639999999999</v>
      </c>
      <c r="AA5960">
        <v>0.94688070000000002</v>
      </c>
      <c r="AB5960">
        <v>35</v>
      </c>
      <c r="AC5960">
        <v>-4.35999999999978E-2</v>
      </c>
      <c r="AD5960">
        <v>-0.27559410000000001</v>
      </c>
      <c r="AE5960">
        <v>0.38997000000001902</v>
      </c>
      <c r="AF5960">
        <v>-2.58946271226198E-2</v>
      </c>
      <c r="AG5960">
        <v>-0.27559410000000001</v>
      </c>
      <c r="AH5960">
        <v>0.26150033488331198</v>
      </c>
      <c r="AI5960">
        <v>136.36354385960499</v>
      </c>
      <c r="AJ5960">
        <v>95.655181295062405</v>
      </c>
      <c r="AK5960">
        <v>0.38079530566002701</v>
      </c>
      <c r="AL5960">
        <v>68.189684316800196</v>
      </c>
      <c r="AM5960">
        <v>93.932977888243599</v>
      </c>
      <c r="AN5960">
        <v>1.0000000092414401</v>
      </c>
    </row>
    <row r="5961" spans="1:40" x14ac:dyDescent="0.25">
      <c r="A5961" t="str">
        <f>"20190304164804691"</f>
        <v>20190304164804691</v>
      </c>
      <c r="B5961" t="str">
        <f>"1551689284685620"</f>
        <v>1551689284685620</v>
      </c>
      <c r="C5961" t="s">
        <v>40</v>
      </c>
      <c r="D5961">
        <v>4.5274929999999998</v>
      </c>
      <c r="E5961">
        <v>0.53433799999999998</v>
      </c>
      <c r="F5961" t="s">
        <v>41</v>
      </c>
      <c r="G5961">
        <v>-187.49209999999999</v>
      </c>
      <c r="H5961">
        <v>0.85837030000000003</v>
      </c>
      <c r="I5961">
        <v>67.060810000000004</v>
      </c>
      <c r="J5961">
        <v>-187.45160000000001</v>
      </c>
      <c r="K5961">
        <v>1.110779</v>
      </c>
      <c r="L5961">
        <v>66.671940000000006</v>
      </c>
      <c r="M5961">
        <v>-1.245226E-2</v>
      </c>
      <c r="N5961">
        <v>-1.470341E-2</v>
      </c>
      <c r="O5961">
        <v>0.99981430000000004</v>
      </c>
      <c r="P5961">
        <v>-7.5813920000000007E-2</v>
      </c>
      <c r="Q5961">
        <v>0.35851159999999999</v>
      </c>
      <c r="R5961">
        <v>0.93044170000000004</v>
      </c>
      <c r="S5961">
        <v>-0.23057559999999999</v>
      </c>
      <c r="T5961">
        <v>-1.3070889999999999</v>
      </c>
      <c r="U5961">
        <v>3.7071529999999999</v>
      </c>
      <c r="V5961">
        <v>-6.403288E-2</v>
      </c>
      <c r="W5961">
        <v>0.3721989</v>
      </c>
      <c r="X5961">
        <v>0.92594149999999997</v>
      </c>
      <c r="Y5961">
        <v>-4.628852E-2</v>
      </c>
      <c r="Z5961">
        <v>-0.31812550000000001</v>
      </c>
      <c r="AA5961">
        <v>0.94691789999999998</v>
      </c>
      <c r="AB5961">
        <v>35</v>
      </c>
      <c r="AC5961">
        <v>-4.0499999999980198E-2</v>
      </c>
      <c r="AD5961">
        <v>-0.25240869999999999</v>
      </c>
      <c r="AE5961">
        <v>0.388869999999997</v>
      </c>
      <c r="AF5961">
        <v>-2.5165405130506899E-2</v>
      </c>
      <c r="AG5961">
        <v>-0.25240869999999999</v>
      </c>
      <c r="AH5961">
        <v>0.27480781937982801</v>
      </c>
      <c r="AI5961">
        <v>132.44805065383301</v>
      </c>
      <c r="AJ5961">
        <v>95.232242671564293</v>
      </c>
      <c r="AK5961">
        <v>0.37398233520230401</v>
      </c>
      <c r="AL5961">
        <v>68.148705552948002</v>
      </c>
      <c r="AM5961">
        <v>93.955954035427297</v>
      </c>
      <c r="AN5961">
        <v>0.99999994615227505</v>
      </c>
    </row>
    <row r="5962" spans="1:40" x14ac:dyDescent="0.25">
      <c r="A5962" t="str">
        <f>"20190304164804712"</f>
        <v>20190304164804712</v>
      </c>
      <c r="B5962" t="str">
        <f>"1551689284705141"</f>
        <v>1551689284705141</v>
      </c>
      <c r="C5962" t="s">
        <v>40</v>
      </c>
      <c r="D5962">
        <v>4.543787</v>
      </c>
      <c r="E5962">
        <v>0.53439879999999995</v>
      </c>
      <c r="F5962" t="s">
        <v>41</v>
      </c>
      <c r="G5962">
        <v>-187.49529999999999</v>
      </c>
      <c r="H5962">
        <v>0.86225269999999998</v>
      </c>
      <c r="I5962">
        <v>67.378039999999999</v>
      </c>
      <c r="J5962">
        <v>-187.45570000000001</v>
      </c>
      <c r="K5962">
        <v>1.1107849999999999</v>
      </c>
      <c r="L5962">
        <v>67.020449999999997</v>
      </c>
      <c r="M5962">
        <v>-1.2257260000000001E-2</v>
      </c>
      <c r="N5962">
        <v>-1.469965E-2</v>
      </c>
      <c r="O5962">
        <v>0.99981679999999995</v>
      </c>
      <c r="P5962">
        <v>-7.6438480000000003E-2</v>
      </c>
      <c r="Q5962">
        <v>0.35881839999999998</v>
      </c>
      <c r="R5962">
        <v>0.93027230000000005</v>
      </c>
      <c r="S5962">
        <v>-0.23060610000000001</v>
      </c>
      <c r="T5962">
        <v>-1.305204</v>
      </c>
      <c r="U5962">
        <v>3.708405</v>
      </c>
      <c r="V5962">
        <v>-6.4843010000000006E-2</v>
      </c>
      <c r="W5962">
        <v>0.37249939999999998</v>
      </c>
      <c r="X5962">
        <v>0.92576429999999998</v>
      </c>
      <c r="Y5962">
        <v>-4.6481969999999997E-2</v>
      </c>
      <c r="Z5962">
        <v>-0.31760050000000001</v>
      </c>
      <c r="AA5962">
        <v>0.9470847</v>
      </c>
      <c r="AB5962">
        <v>35</v>
      </c>
      <c r="AC5962">
        <v>-3.9599999999978701E-2</v>
      </c>
      <c r="AD5962">
        <v>-0.24853230000000001</v>
      </c>
      <c r="AE5962">
        <v>0.35759000000000102</v>
      </c>
      <c r="AF5962">
        <v>-2.38379734084792E-2</v>
      </c>
      <c r="AG5962">
        <v>-0.24853230000000001</v>
      </c>
      <c r="AH5962">
        <v>0.24238311582344499</v>
      </c>
      <c r="AI5962">
        <v>135.579801206952</v>
      </c>
      <c r="AJ5962">
        <v>95.616880850205504</v>
      </c>
      <c r="AK5962">
        <v>0.34797432082812502</v>
      </c>
      <c r="AL5962">
        <v>68.130154948846496</v>
      </c>
      <c r="AM5962">
        <v>94.006606232008394</v>
      </c>
      <c r="AN5962">
        <v>0.99999997905035398</v>
      </c>
    </row>
    <row r="5963" spans="1:40" x14ac:dyDescent="0.25">
      <c r="A5963" t="str">
        <f>"20190304164804736"</f>
        <v>20190304164804736</v>
      </c>
      <c r="B5963" t="str">
        <f>"1551689284725637"</f>
        <v>1551689284725637</v>
      </c>
      <c r="C5963" t="s">
        <v>40</v>
      </c>
      <c r="D5963">
        <v>4.5274400000000004</v>
      </c>
      <c r="E5963">
        <v>0.53442780000000001</v>
      </c>
      <c r="F5963" t="s">
        <v>41</v>
      </c>
      <c r="G5963">
        <v>-187.49770000000001</v>
      </c>
      <c r="H5963">
        <v>0.87276730000000002</v>
      </c>
      <c r="I5963">
        <v>67.697730000000007</v>
      </c>
      <c r="J5963">
        <v>-187.46</v>
      </c>
      <c r="K5963">
        <v>1.1107929999999999</v>
      </c>
      <c r="L5963">
        <v>67.384739999999994</v>
      </c>
      <c r="M5963">
        <v>-1.206054E-2</v>
      </c>
      <c r="N5963">
        <v>-1.4695740000000001E-2</v>
      </c>
      <c r="O5963">
        <v>0.99981929999999997</v>
      </c>
      <c r="P5963">
        <v>-7.6091019999999995E-2</v>
      </c>
      <c r="Q5963">
        <v>0.35871039999999998</v>
      </c>
      <c r="R5963">
        <v>0.93034240000000001</v>
      </c>
      <c r="S5963">
        <v>-0.22996520000000001</v>
      </c>
      <c r="T5963">
        <v>-1.3033399999999999</v>
      </c>
      <c r="U5963">
        <v>3.7086790000000001</v>
      </c>
      <c r="V5963">
        <v>-6.4681020000000006E-2</v>
      </c>
      <c r="W5963">
        <v>0.37238830000000001</v>
      </c>
      <c r="X5963">
        <v>0.92582039999999999</v>
      </c>
      <c r="Y5963">
        <v>-4.6520369999999998E-2</v>
      </c>
      <c r="Z5963">
        <v>-0.31716100000000003</v>
      </c>
      <c r="AA5963">
        <v>0.94723000000000002</v>
      </c>
      <c r="AB5963">
        <v>35</v>
      </c>
      <c r="AC5963">
        <v>-3.7700000000000899E-2</v>
      </c>
      <c r="AD5963">
        <v>-0.23802569999999901</v>
      </c>
      <c r="AE5963">
        <v>0.31298999999999899</v>
      </c>
      <c r="AF5963">
        <v>-2.1605367204492701E-2</v>
      </c>
      <c r="AG5963">
        <v>-0.23802569999999901</v>
      </c>
      <c r="AH5963">
        <v>0.19962243693895601</v>
      </c>
      <c r="AI5963">
        <v>139.85046407440601</v>
      </c>
      <c r="AJ5963">
        <v>96.177143708595395</v>
      </c>
      <c r="AK5963">
        <v>0.311403505249986</v>
      </c>
      <c r="AL5963">
        <v>68.137015540391303</v>
      </c>
      <c r="AM5963">
        <v>93.996388064193994</v>
      </c>
      <c r="AN5963">
        <v>1.00000004669064</v>
      </c>
    </row>
    <row r="5964" spans="1:40" x14ac:dyDescent="0.25">
      <c r="A5964" t="str">
        <f>"20190304164804758"</f>
        <v>20190304164804758</v>
      </c>
      <c r="B5964" t="str">
        <f>"1551689284754916"</f>
        <v>1551689284754916</v>
      </c>
      <c r="C5964" t="s">
        <v>40</v>
      </c>
      <c r="D5964">
        <v>4.3001420000000001</v>
      </c>
      <c r="E5964">
        <v>0.53667240000000005</v>
      </c>
      <c r="F5964" t="s">
        <v>41</v>
      </c>
      <c r="G5964">
        <v>-187.51599999999999</v>
      </c>
      <c r="H5964">
        <v>0.79169820000000002</v>
      </c>
      <c r="I5964">
        <v>68.292259999999999</v>
      </c>
      <c r="J5964">
        <v>-187.4641</v>
      </c>
      <c r="K5964">
        <v>1.1108</v>
      </c>
      <c r="L5964">
        <v>67.737919999999903</v>
      </c>
      <c r="M5964">
        <v>-1.1881640000000001E-2</v>
      </c>
      <c r="N5964">
        <v>-1.4691910000000001E-2</v>
      </c>
      <c r="O5964">
        <v>0.99982150000000003</v>
      </c>
      <c r="P5964">
        <v>-7.6159149999999995E-2</v>
      </c>
      <c r="Q5964">
        <v>0.35847109999999999</v>
      </c>
      <c r="R5964">
        <v>0.93042910000000001</v>
      </c>
      <c r="S5964">
        <v>-0.22891239999999999</v>
      </c>
      <c r="T5964">
        <v>-1.304006</v>
      </c>
      <c r="U5964">
        <v>3.7086790000000001</v>
      </c>
      <c r="V5964">
        <v>-6.4922270000000004E-2</v>
      </c>
      <c r="W5964">
        <v>0.372145</v>
      </c>
      <c r="X5964">
        <v>0.92590130000000004</v>
      </c>
      <c r="Y5964">
        <v>-4.6428169999999998E-2</v>
      </c>
      <c r="Z5964">
        <v>-0.31732009999999899</v>
      </c>
      <c r="AA5964">
        <v>0.9471813</v>
      </c>
      <c r="AB5964">
        <v>35</v>
      </c>
      <c r="AC5964">
        <v>-5.1899999999989101E-2</v>
      </c>
      <c r="AD5964">
        <v>-0.31910179999999999</v>
      </c>
      <c r="AE5964">
        <v>0.55434000000001005</v>
      </c>
      <c r="AF5964">
        <v>-3.4105879858895599E-2</v>
      </c>
      <c r="AG5964">
        <v>-0.31910179999999999</v>
      </c>
      <c r="AH5964">
        <v>0.41770701390822901</v>
      </c>
      <c r="AI5964">
        <v>127.28575655645</v>
      </c>
      <c r="AJ5964">
        <v>94.667859619019495</v>
      </c>
      <c r="AK5964">
        <v>0.52675261676836405</v>
      </c>
      <c r="AL5964">
        <v>68.152034274492607</v>
      </c>
      <c r="AM5964">
        <v>94.010896057183999</v>
      </c>
      <c r="AN5964">
        <v>1.00000000975432</v>
      </c>
    </row>
    <row r="5965" spans="1:40" x14ac:dyDescent="0.25">
      <c r="A5965" t="str">
        <f>"20190304164804801"</f>
        <v>20190304164804801</v>
      </c>
      <c r="B5965" t="str">
        <f>"1551689284794932"</f>
        <v>1551689284794932</v>
      </c>
      <c r="C5965" t="s">
        <v>40</v>
      </c>
      <c r="D5965">
        <v>4.5917909999999997</v>
      </c>
      <c r="E5965">
        <v>0.53708029999999995</v>
      </c>
      <c r="F5965" t="s">
        <v>41</v>
      </c>
      <c r="G5965">
        <v>-187.51339999999999</v>
      </c>
      <c r="H5965">
        <v>0.81042959999999997</v>
      </c>
      <c r="I5965">
        <v>68.614080000000001</v>
      </c>
      <c r="J5965">
        <v>-187.4718</v>
      </c>
      <c r="K5965">
        <v>1.1108150000000001</v>
      </c>
      <c r="L5965">
        <v>68.417299999999997</v>
      </c>
      <c r="M5965">
        <v>-1.158032E-2</v>
      </c>
      <c r="N5965">
        <v>-1.4684600000000001E-2</v>
      </c>
      <c r="O5965">
        <v>0.99982510000000002</v>
      </c>
      <c r="P5965">
        <v>-7.5280949999999999E-2</v>
      </c>
      <c r="Q5965">
        <v>0.3578829</v>
      </c>
      <c r="R5965">
        <v>0.93072690000000002</v>
      </c>
      <c r="S5965">
        <v>-0.20874019999999999</v>
      </c>
      <c r="T5965">
        <v>-1.266831</v>
      </c>
      <c r="U5965">
        <v>3.6953130000000001</v>
      </c>
      <c r="V5965">
        <v>-6.434318E-2</v>
      </c>
      <c r="W5965">
        <v>0.37155009999999999</v>
      </c>
      <c r="X5965">
        <v>0.92618060000000002</v>
      </c>
      <c r="Y5965">
        <v>-4.1939209999999998E-2</v>
      </c>
      <c r="Z5965">
        <v>-0.30996849999999998</v>
      </c>
      <c r="AA5965">
        <v>0.94982140000000004</v>
      </c>
      <c r="AB5965">
        <v>35</v>
      </c>
      <c r="AC5965">
        <v>-4.1599999999988299E-2</v>
      </c>
      <c r="AD5965">
        <v>-0.30038539999999903</v>
      </c>
      <c r="AE5965">
        <v>0.19678000000000301</v>
      </c>
      <c r="AF5965">
        <v>-1.21708244267497E-2</v>
      </c>
      <c r="AG5965">
        <v>-0.30038539999999903</v>
      </c>
      <c r="AH5965">
        <v>6.1057696120118597E-2</v>
      </c>
      <c r="AI5965">
        <v>168.29047524103001</v>
      </c>
      <c r="AJ5965">
        <v>101.27319098163299</v>
      </c>
      <c r="AK5965">
        <v>0.30676955480601897</v>
      </c>
      <c r="AL5965">
        <v>68.188752522982895</v>
      </c>
      <c r="AM5965">
        <v>93.974040172244599</v>
      </c>
      <c r="AN5965">
        <v>1.0000000127194399</v>
      </c>
    </row>
    <row r="5966" spans="1:40" x14ac:dyDescent="0.25">
      <c r="A5966" t="str">
        <f>"20190304164804825"</f>
        <v>20190304164804825</v>
      </c>
      <c r="B5966" t="str">
        <f>"1551689284815428"</f>
        <v>1551689284815428</v>
      </c>
      <c r="C5966" t="s">
        <v>40</v>
      </c>
      <c r="D5966">
        <v>4.5606039999999997</v>
      </c>
      <c r="E5966">
        <v>0.53696959999999905</v>
      </c>
      <c r="F5966" t="s">
        <v>41</v>
      </c>
      <c r="G5966">
        <v>-187.51750000000001</v>
      </c>
      <c r="H5966">
        <v>0.82655639999999997</v>
      </c>
      <c r="I5966">
        <v>69.248050000000006</v>
      </c>
      <c r="J5966">
        <v>-187.47579999999999</v>
      </c>
      <c r="K5966">
        <v>1.1108309999999999</v>
      </c>
      <c r="L5966">
        <v>68.775729999999996</v>
      </c>
      <c r="M5966">
        <v>-1.145708E-2</v>
      </c>
      <c r="N5966">
        <v>-1.4680790000000001E-2</v>
      </c>
      <c r="O5966">
        <v>0.99982660000000001</v>
      </c>
      <c r="P5966">
        <v>-7.4180839999999998E-2</v>
      </c>
      <c r="Q5966">
        <v>0.35772969999999998</v>
      </c>
      <c r="R5966">
        <v>0.93087410000000004</v>
      </c>
      <c r="S5966">
        <v>-0.2042389</v>
      </c>
      <c r="T5966">
        <v>-1.263495</v>
      </c>
      <c r="U5966">
        <v>3.692596</v>
      </c>
      <c r="V5966">
        <v>-6.3374089999999994E-2</v>
      </c>
      <c r="W5966">
        <v>0.371392</v>
      </c>
      <c r="X5966">
        <v>0.92631079999999999</v>
      </c>
      <c r="Y5966">
        <v>-4.0959910000000002E-2</v>
      </c>
      <c r="Z5966">
        <v>-0.30943510000000002</v>
      </c>
      <c r="AA5966">
        <v>0.95003800000000005</v>
      </c>
      <c r="AB5966">
        <v>35</v>
      </c>
      <c r="AC5966">
        <v>-4.1700000000019999E-2</v>
      </c>
      <c r="AD5966">
        <v>-0.28427459999999899</v>
      </c>
      <c r="AE5966">
        <v>0.47231999999999602</v>
      </c>
      <c r="AF5966">
        <v>-2.6691256340383499E-2</v>
      </c>
      <c r="AG5966">
        <v>-0.28427459999999899</v>
      </c>
      <c r="AH5966">
        <v>0.34776479654179399</v>
      </c>
      <c r="AI5966">
        <v>129.18128974318299</v>
      </c>
      <c r="AJ5966">
        <v>94.3888974610948</v>
      </c>
      <c r="AK5966">
        <v>0.44996091506256702</v>
      </c>
      <c r="AL5966">
        <v>68.198508730690705</v>
      </c>
      <c r="AM5966">
        <v>93.913825081328895</v>
      </c>
      <c r="AN5966">
        <v>0.99999999557198405</v>
      </c>
    </row>
    <row r="5967" spans="1:40" x14ac:dyDescent="0.25">
      <c r="A5967" t="str">
        <f>"20190304164804846"</f>
        <v>20190304164804846</v>
      </c>
      <c r="B5967" t="str">
        <f>"1551689284835924"</f>
        <v>1551689284835924</v>
      </c>
      <c r="C5967" t="s">
        <v>40</v>
      </c>
      <c r="D5967">
        <v>4.5731739999999999</v>
      </c>
      <c r="E5967">
        <v>0.53686610000000001</v>
      </c>
      <c r="F5967" t="s">
        <v>41</v>
      </c>
      <c r="G5967">
        <v>-187.5188</v>
      </c>
      <c r="H5967">
        <v>0.83961799999999998</v>
      </c>
      <c r="I5967">
        <v>69.566640000000007</v>
      </c>
      <c r="J5967">
        <v>-187.47970000000001</v>
      </c>
      <c r="K5967">
        <v>1.110854</v>
      </c>
      <c r="L5967">
        <v>69.120450000000005</v>
      </c>
      <c r="M5967">
        <v>-1.136568E-2</v>
      </c>
      <c r="N5967">
        <v>-1.46769E-2</v>
      </c>
      <c r="O5967">
        <v>0.99982769999999999</v>
      </c>
      <c r="P5967">
        <v>-7.309293E-2</v>
      </c>
      <c r="Q5967">
        <v>0.35724600000000001</v>
      </c>
      <c r="R5967">
        <v>0.93114589999999997</v>
      </c>
      <c r="S5967">
        <v>-0.20086670000000001</v>
      </c>
      <c r="T5967">
        <v>-1.2665420000000001</v>
      </c>
      <c r="U5967">
        <v>3.6935120000000001</v>
      </c>
      <c r="V5967">
        <v>-6.2388449999999998E-2</v>
      </c>
      <c r="W5967">
        <v>0.37090489999999998</v>
      </c>
      <c r="X5967">
        <v>0.92657290000000003</v>
      </c>
      <c r="Y5967">
        <v>-4.016393E-2</v>
      </c>
      <c r="Z5967">
        <v>-0.31008079999999999</v>
      </c>
      <c r="AA5967">
        <v>0.94986139999999997</v>
      </c>
      <c r="AB5967">
        <v>35</v>
      </c>
      <c r="AC5967">
        <v>-3.9099999999990503E-2</v>
      </c>
      <c r="AD5967">
        <v>-0.27123599999999998</v>
      </c>
      <c r="AE5967">
        <v>0.44619000000000097</v>
      </c>
      <c r="AF5967">
        <v>-2.48958926412454E-2</v>
      </c>
      <c r="AG5967">
        <v>-0.27123599999999998</v>
      </c>
      <c r="AH5967">
        <v>0.32677222666517503</v>
      </c>
      <c r="AI5967">
        <v>129.61277234754499</v>
      </c>
      <c r="AJ5967">
        <v>94.356793895402404</v>
      </c>
      <c r="AK5967">
        <v>0.42540435033755902</v>
      </c>
      <c r="AL5967">
        <v>68.228565540547393</v>
      </c>
      <c r="AM5967">
        <v>93.852052569201604</v>
      </c>
      <c r="AN5967">
        <v>1.00000005127591</v>
      </c>
    </row>
    <row r="5968" spans="1:40" x14ac:dyDescent="0.25">
      <c r="A5968" t="str">
        <f>"20190304164804872"</f>
        <v>20190304164804872</v>
      </c>
      <c r="B5968" t="str">
        <f>"1551689284865204"</f>
        <v>1551689284865204</v>
      </c>
      <c r="C5968" t="s">
        <v>40</v>
      </c>
      <c r="D5968">
        <v>4.7012729999999996</v>
      </c>
      <c r="E5968">
        <v>0.53719910000000004</v>
      </c>
      <c r="F5968" t="s">
        <v>41</v>
      </c>
      <c r="G5968">
        <v>-187.52019999999999</v>
      </c>
      <c r="H5968">
        <v>0.84850630000000005</v>
      </c>
      <c r="I5968">
        <v>69.883009999999999</v>
      </c>
      <c r="J5968">
        <v>-187.48400000000001</v>
      </c>
      <c r="K5968">
        <v>1.1108789999999999</v>
      </c>
      <c r="L5968">
        <v>69.508150000000001</v>
      </c>
      <c r="M5968">
        <v>-1.129688E-2</v>
      </c>
      <c r="N5968">
        <v>-1.467244E-2</v>
      </c>
      <c r="O5968">
        <v>0.99982850000000001</v>
      </c>
      <c r="P5968">
        <v>-7.1894929999999996E-2</v>
      </c>
      <c r="Q5968">
        <v>0.35707090000000002</v>
      </c>
      <c r="R5968">
        <v>0.93130639999999998</v>
      </c>
      <c r="S5968">
        <v>-0.19664000000000001</v>
      </c>
      <c r="T5968">
        <v>-1.270867</v>
      </c>
      <c r="U5968">
        <v>3.694</v>
      </c>
      <c r="V5968">
        <v>-6.1278029999999997E-2</v>
      </c>
      <c r="W5968">
        <v>0.37072339999999998</v>
      </c>
      <c r="X5968">
        <v>0.92671950000000003</v>
      </c>
      <c r="Y5968">
        <v>-3.912765E-2</v>
      </c>
      <c r="Z5968">
        <v>-0.31105690000000003</v>
      </c>
      <c r="AA5968">
        <v>0.94958560000000003</v>
      </c>
      <c r="AB5968">
        <v>35</v>
      </c>
      <c r="AC5968">
        <v>-3.6199999999979499E-2</v>
      </c>
      <c r="AD5968">
        <v>-0.26237270000000001</v>
      </c>
      <c r="AE5968">
        <v>0.37485999999999797</v>
      </c>
      <c r="AF5968">
        <v>-2.1518280899751701E-2</v>
      </c>
      <c r="AG5968">
        <v>-0.26237270000000001</v>
      </c>
      <c r="AH5968">
        <v>0.25262831466611602</v>
      </c>
      <c r="AI5968">
        <v>135.980488742711</v>
      </c>
      <c r="AJ5968">
        <v>94.868567163889693</v>
      </c>
      <c r="AK5968">
        <v>0.36486098104512799</v>
      </c>
      <c r="AL5968">
        <v>68.239760342398895</v>
      </c>
      <c r="AM5968">
        <v>93.783096000509502</v>
      </c>
      <c r="AN5968">
        <v>0.99999993397424303</v>
      </c>
    </row>
    <row r="5969" spans="1:40" x14ac:dyDescent="0.25">
      <c r="A5969" t="str">
        <f>"20190304164804893"</f>
        <v>20190304164804893</v>
      </c>
      <c r="B5969" t="str">
        <f>"1551689284885700"</f>
        <v>1551689284885700</v>
      </c>
      <c r="C5969" t="s">
        <v>40</v>
      </c>
      <c r="D5969">
        <v>4.5264410000000002</v>
      </c>
      <c r="E5969">
        <v>0.54644230000000005</v>
      </c>
      <c r="F5969" t="s">
        <v>41</v>
      </c>
      <c r="G5969">
        <v>-187.51900000000001</v>
      </c>
      <c r="H5969">
        <v>0.87195400000000001</v>
      </c>
      <c r="I5969">
        <v>70.205280000000002</v>
      </c>
      <c r="J5969">
        <v>-187.48769999999999</v>
      </c>
      <c r="K5969">
        <v>1.110911</v>
      </c>
      <c r="L5969">
        <v>69.845399999999998</v>
      </c>
      <c r="M5969">
        <v>-1.126373E-2</v>
      </c>
      <c r="N5969">
        <v>-1.4668530000000001E-2</v>
      </c>
      <c r="O5969">
        <v>0.99982899999999997</v>
      </c>
      <c r="P5969">
        <v>-7.1030319999999994E-2</v>
      </c>
      <c r="Q5969">
        <v>0.35694979999999998</v>
      </c>
      <c r="R5969">
        <v>0.93141910000000006</v>
      </c>
      <c r="S5969">
        <v>-0.1854401</v>
      </c>
      <c r="T5969">
        <v>-1.2653760000000001</v>
      </c>
      <c r="U5969">
        <v>3.6921080000000002</v>
      </c>
      <c r="V5969">
        <v>-6.0463370000000002E-2</v>
      </c>
      <c r="W5969">
        <v>0.37059619999999999</v>
      </c>
      <c r="X5969">
        <v>0.92682399999999998</v>
      </c>
      <c r="Y5969">
        <v>-3.6339009999999998E-2</v>
      </c>
      <c r="Z5969">
        <v>-0.3099864</v>
      </c>
      <c r="AA5969">
        <v>0.95004619999999995</v>
      </c>
      <c r="AB5969">
        <v>35</v>
      </c>
      <c r="AC5969">
        <v>-3.1300000000015801E-2</v>
      </c>
      <c r="AD5969">
        <v>-0.238956999999999</v>
      </c>
      <c r="AE5969">
        <v>0.35988000000000397</v>
      </c>
      <c r="AF5969">
        <v>-1.8951366012440699E-2</v>
      </c>
      <c r="AG5969">
        <v>-0.238956999999999</v>
      </c>
      <c r="AH5969">
        <v>0.25056784143097599</v>
      </c>
      <c r="AI5969">
        <v>133.559670905822</v>
      </c>
      <c r="AJ5969">
        <v>94.325255284220603</v>
      </c>
      <c r="AK5969">
        <v>0.346761943243655</v>
      </c>
      <c r="AL5969">
        <v>68.247609849181799</v>
      </c>
      <c r="AM5969">
        <v>93.732525135473495</v>
      </c>
      <c r="AN5969">
        <v>1.0000000447710899</v>
      </c>
    </row>
    <row r="5970" spans="1:40" x14ac:dyDescent="0.25">
      <c r="A5970" t="str">
        <f>"20190304164804914"</f>
        <v>20190304164804914</v>
      </c>
      <c r="B5970" t="str">
        <f>"1551689284905220"</f>
        <v>1551689284905220</v>
      </c>
      <c r="C5970" t="s">
        <v>40</v>
      </c>
      <c r="D5970">
        <v>4.5347080000000002</v>
      </c>
      <c r="E5970">
        <v>0.54237179999999996</v>
      </c>
      <c r="F5970" t="s">
        <v>41</v>
      </c>
      <c r="G5970">
        <v>-187.4931</v>
      </c>
      <c r="H5970">
        <v>0.99400290000000002</v>
      </c>
      <c r="I5970">
        <v>70.571799999999996</v>
      </c>
      <c r="J5970">
        <v>-187.4914</v>
      </c>
      <c r="K5970">
        <v>1.1109309999999999</v>
      </c>
      <c r="L5970">
        <v>70.172759999999997</v>
      </c>
      <c r="M5970">
        <v>-1.1259079999999999E-2</v>
      </c>
      <c r="N5970">
        <v>-1.4664760000000001E-2</v>
      </c>
      <c r="O5970">
        <v>0.99982910000000003</v>
      </c>
      <c r="P5970">
        <v>-7.0545590000000005E-2</v>
      </c>
      <c r="Q5970">
        <v>0.35683310000000001</v>
      </c>
      <c r="R5970">
        <v>0.93150060000000001</v>
      </c>
      <c r="S5970">
        <v>-2.5787350000000001E-2</v>
      </c>
      <c r="T5970">
        <v>-0.55214619999999903</v>
      </c>
      <c r="U5970">
        <v>3.430542</v>
      </c>
      <c r="V5970">
        <v>-6.0002470000000002E-2</v>
      </c>
      <c r="W5970">
        <v>0.37047400000000003</v>
      </c>
      <c r="X5970">
        <v>0.92690280000000003</v>
      </c>
      <c r="Y5970">
        <v>3.8176619999999999E-3</v>
      </c>
      <c r="Z5970">
        <v>-0.1443924</v>
      </c>
      <c r="AA5970">
        <v>0.98951319999999998</v>
      </c>
      <c r="AB5970">
        <v>35</v>
      </c>
      <c r="AC5970">
        <v>-1.6999999999995901E-3</v>
      </c>
      <c r="AD5970">
        <v>-0.11692809999999899</v>
      </c>
      <c r="AE5970">
        <v>0.39903999999999901</v>
      </c>
      <c r="AF5970">
        <v>2.5725332880126902E-3</v>
      </c>
      <c r="AG5970">
        <v>-0.11692809999999899</v>
      </c>
      <c r="AH5970">
        <v>0.367481440065553</v>
      </c>
      <c r="AI5970">
        <v>107.650028264003</v>
      </c>
      <c r="AJ5970">
        <v>89.598910648813998</v>
      </c>
      <c r="AK5970">
        <v>0.38564414592961299</v>
      </c>
      <c r="AL5970">
        <v>68.255147878686998</v>
      </c>
      <c r="AM5970">
        <v>93.703838340081703</v>
      </c>
      <c r="AN5970">
        <v>1.0000000408649601</v>
      </c>
    </row>
    <row r="5971" spans="1:40" x14ac:dyDescent="0.25">
      <c r="A5971" t="str">
        <f>"20190304164804936"</f>
        <v>20190304164804936</v>
      </c>
      <c r="B5971" t="str">
        <f>"1551689284925716"</f>
        <v>1551689284925716</v>
      </c>
      <c r="C5971" t="s">
        <v>40</v>
      </c>
      <c r="D5971">
        <v>4.5319779999999996</v>
      </c>
      <c r="E5971">
        <v>0.54124189999999905</v>
      </c>
      <c r="F5971" t="s">
        <v>41</v>
      </c>
      <c r="G5971">
        <v>-187.50069999999999</v>
      </c>
      <c r="H5971">
        <v>1.0170170000000001</v>
      </c>
      <c r="I5971">
        <v>70.894549999999995</v>
      </c>
      <c r="J5971">
        <v>-187.49520000000001</v>
      </c>
      <c r="K5971">
        <v>1.1109530000000001</v>
      </c>
      <c r="L5971">
        <v>70.509399999999999</v>
      </c>
      <c r="M5971">
        <v>-1.128594E-2</v>
      </c>
      <c r="N5971">
        <v>-1.4660940000000001E-2</v>
      </c>
      <c r="O5971">
        <v>0.99982879999999996</v>
      </c>
      <c r="P5971">
        <v>-7.101122E-2</v>
      </c>
      <c r="Q5971">
        <v>0.35644500000000001</v>
      </c>
      <c r="R5971">
        <v>0.93161389999999999</v>
      </c>
      <c r="S5971">
        <v>-4.3334959999999999E-2</v>
      </c>
      <c r="T5971">
        <v>-0.44055149999999998</v>
      </c>
      <c r="U5971">
        <v>3.3860779999999999</v>
      </c>
      <c r="V5971">
        <v>-6.0463910000000003E-2</v>
      </c>
      <c r="W5971">
        <v>0.37008069999999998</v>
      </c>
      <c r="X5971">
        <v>0.92702989999999996</v>
      </c>
      <c r="Y5971">
        <v>-1.4242020000000001E-3</v>
      </c>
      <c r="Z5971">
        <v>-0.1144505</v>
      </c>
      <c r="AA5971">
        <v>0.99342790000000003</v>
      </c>
      <c r="AB5971">
        <v>35</v>
      </c>
      <c r="AC5971">
        <v>-5.4999999999836204E-3</v>
      </c>
      <c r="AD5971">
        <v>-9.3936000000000006E-2</v>
      </c>
      <c r="AE5971">
        <v>0.385149999999995</v>
      </c>
      <c r="AF5971">
        <v>-1.08771351920297E-3</v>
      </c>
      <c r="AG5971">
        <v>-9.3936000000000006E-2</v>
      </c>
      <c r="AH5971">
        <v>0.36356542127159103</v>
      </c>
      <c r="AI5971">
        <v>104.48687753295999</v>
      </c>
      <c r="AJ5971">
        <v>90.171416764030198</v>
      </c>
      <c r="AK5971">
        <v>0.37550628591421598</v>
      </c>
      <c r="AL5971">
        <v>68.279406160845696</v>
      </c>
      <c r="AM5971">
        <v>93.731731691282803</v>
      </c>
      <c r="AN5971">
        <v>1.00000002220949</v>
      </c>
    </row>
    <row r="5972" spans="1:40" x14ac:dyDescent="0.25">
      <c r="A5972" t="str">
        <f>"20190304164804958"</f>
        <v>20190304164804958</v>
      </c>
      <c r="B5972" t="str">
        <f>"1551689284954996"</f>
        <v>1551689284954996</v>
      </c>
      <c r="C5972" t="s">
        <v>40</v>
      </c>
      <c r="D5972">
        <v>4.5333930000000002</v>
      </c>
      <c r="E5972">
        <v>0.54083930000000002</v>
      </c>
      <c r="F5972" t="s">
        <v>41</v>
      </c>
      <c r="G5972">
        <v>-187.50960000000001</v>
      </c>
      <c r="H5972">
        <v>0.99466319999999997</v>
      </c>
      <c r="I5972">
        <v>71.505539999999996</v>
      </c>
      <c r="J5972">
        <v>-187.49930000000001</v>
      </c>
      <c r="K5972">
        <v>1.110978</v>
      </c>
      <c r="L5972">
        <v>70.867429999999999</v>
      </c>
      <c r="M5972">
        <v>-1.1343580000000001E-2</v>
      </c>
      <c r="N5972">
        <v>-1.4656870000000001E-2</v>
      </c>
      <c r="O5972">
        <v>0.99982819999999994</v>
      </c>
      <c r="P5972">
        <v>-7.1610170000000001E-2</v>
      </c>
      <c r="Q5972">
        <v>0.35590260000000001</v>
      </c>
      <c r="R5972">
        <v>0.93177540000000003</v>
      </c>
      <c r="S5972">
        <v>-4.8355099999999998E-2</v>
      </c>
      <c r="T5972">
        <v>-0.39304099999999997</v>
      </c>
      <c r="U5972">
        <v>3.3669129999999998</v>
      </c>
      <c r="V5972">
        <v>-6.103124E-2</v>
      </c>
      <c r="W5972">
        <v>0.36953269999999999</v>
      </c>
      <c r="X5972">
        <v>0.92721129999999996</v>
      </c>
      <c r="Y5972">
        <v>-2.9389580000000002E-3</v>
      </c>
      <c r="Z5972">
        <v>-0.10136240000000001</v>
      </c>
      <c r="AA5972">
        <v>0.99484519999999999</v>
      </c>
      <c r="AB5972">
        <v>35</v>
      </c>
      <c r="AC5972">
        <v>-1.03000000000008E-2</v>
      </c>
      <c r="AD5972">
        <v>-0.1163148</v>
      </c>
      <c r="AE5972">
        <v>0.63810999999999696</v>
      </c>
      <c r="AF5972">
        <v>-2.9617265684208499E-3</v>
      </c>
      <c r="AG5972">
        <v>-0.1163148</v>
      </c>
      <c r="AH5972">
        <v>0.61766844277811395</v>
      </c>
      <c r="AI5972">
        <v>100.664510620966</v>
      </c>
      <c r="AJ5972">
        <v>90.274731749531895</v>
      </c>
      <c r="AK5972">
        <v>0.628531788955218</v>
      </c>
      <c r="AL5972">
        <v>68.313199693085295</v>
      </c>
      <c r="AM5972">
        <v>93.765911234658901</v>
      </c>
      <c r="AN5972">
        <v>1.00000001173645</v>
      </c>
    </row>
    <row r="5973" spans="1:40" x14ac:dyDescent="0.25">
      <c r="A5973" t="str">
        <f>"20190304164804979"</f>
        <v>20190304164804979</v>
      </c>
      <c r="B5973" t="str">
        <f>"1551689284975493"</f>
        <v>1551689284975493</v>
      </c>
      <c r="C5973" t="s">
        <v>40</v>
      </c>
      <c r="D5973">
        <v>4.5312519999999896</v>
      </c>
      <c r="E5973">
        <v>0.54064299999999998</v>
      </c>
      <c r="F5973" t="s">
        <v>41</v>
      </c>
      <c r="G5973">
        <v>-187.51339999999999</v>
      </c>
      <c r="H5973">
        <v>1.00817</v>
      </c>
      <c r="I5973">
        <v>71.82253</v>
      </c>
      <c r="J5973">
        <v>-187.50299999999999</v>
      </c>
      <c r="K5973">
        <v>1.111</v>
      </c>
      <c r="L5973">
        <v>71.184479999999994</v>
      </c>
      <c r="M5973">
        <v>-1.141256E-2</v>
      </c>
      <c r="N5973">
        <v>-1.465344E-2</v>
      </c>
      <c r="O5973">
        <v>0.99982749999999998</v>
      </c>
      <c r="P5973">
        <v>-7.1848259999999997E-2</v>
      </c>
      <c r="Q5973">
        <v>0.35568420000000001</v>
      </c>
      <c r="R5973">
        <v>0.93184040000000001</v>
      </c>
      <c r="S5973">
        <v>-4.948425E-2</v>
      </c>
      <c r="T5973">
        <v>-0.3610275</v>
      </c>
      <c r="U5973">
        <v>3.3537599999999999</v>
      </c>
      <c r="V5973">
        <v>-6.1223670000000001E-2</v>
      </c>
      <c r="W5973">
        <v>0.3693089</v>
      </c>
      <c r="X5973">
        <v>0.9272878</v>
      </c>
      <c r="Y5973">
        <v>-3.2736000000000002E-3</v>
      </c>
      <c r="Z5973">
        <v>-9.2434230000000006E-2</v>
      </c>
      <c r="AA5973">
        <v>0.99571339999999997</v>
      </c>
      <c r="AB5973">
        <v>35</v>
      </c>
      <c r="AC5973">
        <v>-1.04000000000041E-2</v>
      </c>
      <c r="AD5973">
        <v>-0.10282999999999901</v>
      </c>
      <c r="AE5973">
        <v>0.63804999999999201</v>
      </c>
      <c r="AF5973">
        <v>-3.0378735222964899E-3</v>
      </c>
      <c r="AG5973">
        <v>-0.10282999999999901</v>
      </c>
      <c r="AH5973">
        <v>0.62197653315520196</v>
      </c>
      <c r="AI5973">
        <v>99.387556869440104</v>
      </c>
      <c r="AJ5973">
        <v>90.279843270894801</v>
      </c>
      <c r="AK5973">
        <v>0.63042687551475896</v>
      </c>
      <c r="AL5973">
        <v>68.326999069401694</v>
      </c>
      <c r="AM5973">
        <v>93.777439974066397</v>
      </c>
      <c r="AN5973">
        <v>1.00000003270815</v>
      </c>
    </row>
    <row r="5974" spans="1:40" x14ac:dyDescent="0.25">
      <c r="A5974" t="str">
        <f>"20190304164805002"</f>
        <v>20190304164805002</v>
      </c>
      <c r="B5974" t="str">
        <f>"1551689284995012"</f>
        <v>1551689284995012</v>
      </c>
      <c r="C5974" t="s">
        <v>40</v>
      </c>
      <c r="D5974">
        <v>4.5299559999999897</v>
      </c>
      <c r="E5974">
        <v>0.5405508</v>
      </c>
      <c r="F5974" t="s">
        <v>41</v>
      </c>
      <c r="G5974">
        <v>-187.51730000000001</v>
      </c>
      <c r="H5974">
        <v>1.011539</v>
      </c>
      <c r="I5974">
        <v>72.134190000000004</v>
      </c>
      <c r="J5974">
        <v>-187.50720000000001</v>
      </c>
      <c r="K5974">
        <v>1.1110230000000001</v>
      </c>
      <c r="L5974">
        <v>71.549710000000005</v>
      </c>
      <c r="M5974">
        <v>-1.151072E-2</v>
      </c>
      <c r="N5974">
        <v>-1.464946E-2</v>
      </c>
      <c r="O5974">
        <v>0.9998264</v>
      </c>
      <c r="P5974">
        <v>-7.223926E-2</v>
      </c>
      <c r="Q5974">
        <v>0.35553200000000001</v>
      </c>
      <c r="R5974">
        <v>0.93186829999999998</v>
      </c>
      <c r="S5974">
        <v>-5.0476069999999998E-2</v>
      </c>
      <c r="T5974">
        <v>-0.3507594</v>
      </c>
      <c r="U5974">
        <v>3.3494259999999998</v>
      </c>
      <c r="V5974">
        <v>-6.1541760000000001E-2</v>
      </c>
      <c r="W5974">
        <v>0.3691507</v>
      </c>
      <c r="X5974">
        <v>0.92732969999999904</v>
      </c>
      <c r="Y5974">
        <v>-3.4930529999999999E-3</v>
      </c>
      <c r="Z5974">
        <v>-8.9556490000000002E-2</v>
      </c>
      <c r="AA5974">
        <v>0.99597559999999996</v>
      </c>
      <c r="AB5974">
        <v>35</v>
      </c>
      <c r="AC5974">
        <v>-1.00999999999942E-2</v>
      </c>
      <c r="AD5974">
        <v>-9.9483999999999906E-2</v>
      </c>
      <c r="AE5974">
        <v>0.584479999999999</v>
      </c>
      <c r="AF5974">
        <v>-3.2759430283894101E-3</v>
      </c>
      <c r="AG5974">
        <v>-9.9483999999999906E-2</v>
      </c>
      <c r="AH5974">
        <v>0.568103779449462</v>
      </c>
      <c r="AI5974">
        <v>99.932526334798993</v>
      </c>
      <c r="AJ5974">
        <v>90.330389685553797</v>
      </c>
      <c r="AK5974">
        <v>0.57675792346832</v>
      </c>
      <c r="AL5974">
        <v>68.336751709837003</v>
      </c>
      <c r="AM5974">
        <v>93.796837489526695</v>
      </c>
      <c r="AN5974">
        <v>1.0000000000182301</v>
      </c>
    </row>
    <row r="5975" spans="1:40" x14ac:dyDescent="0.25">
      <c r="A5975" t="str">
        <f>"20190304164805025"</f>
        <v>20190304164805025</v>
      </c>
      <c r="B5975" t="str">
        <f>"1551689285015510"</f>
        <v>1551689285015510</v>
      </c>
      <c r="C5975" t="s">
        <v>40</v>
      </c>
      <c r="D5975">
        <v>4.528149</v>
      </c>
      <c r="E5975">
        <v>0.5405025</v>
      </c>
      <c r="F5975" t="s">
        <v>41</v>
      </c>
      <c r="G5975">
        <v>-187.5213</v>
      </c>
      <c r="H5975">
        <v>1.018311</v>
      </c>
      <c r="I5975">
        <v>72.447159999999997</v>
      </c>
      <c r="J5975">
        <v>-187.51140000000001</v>
      </c>
      <c r="K5975">
        <v>1.1110469999999999</v>
      </c>
      <c r="L5975">
        <v>71.906099999999995</v>
      </c>
      <c r="M5975">
        <v>-1.162033E-2</v>
      </c>
      <c r="N5975">
        <v>-1.4645470000000001E-2</v>
      </c>
      <c r="O5975">
        <v>0.99982519999999997</v>
      </c>
      <c r="P5975">
        <v>-7.2977210000000001E-2</v>
      </c>
      <c r="Q5975">
        <v>0.35571229999999998</v>
      </c>
      <c r="R5975">
        <v>0.93174199999999996</v>
      </c>
      <c r="S5975">
        <v>-5.2413939999999999E-2</v>
      </c>
      <c r="T5975">
        <v>-0.34579379999999998</v>
      </c>
      <c r="U5975">
        <v>3.3471980000000001</v>
      </c>
      <c r="V5975">
        <v>-6.2192919999999999E-2</v>
      </c>
      <c r="W5975">
        <v>0.36932350000000003</v>
      </c>
      <c r="X5975">
        <v>0.92721750000000003</v>
      </c>
      <c r="Y5975">
        <v>-3.9714679999999997E-3</v>
      </c>
      <c r="Z5975">
        <v>-8.8166889999999998E-2</v>
      </c>
      <c r="AA5975">
        <v>0.99609780000000003</v>
      </c>
      <c r="AB5975">
        <v>35</v>
      </c>
      <c r="AC5975">
        <v>-9.8999999999875802E-3</v>
      </c>
      <c r="AD5975">
        <v>-9.2735999999999902E-2</v>
      </c>
      <c r="AE5975">
        <v>0.54106000000000098</v>
      </c>
      <c r="AF5975">
        <v>-3.5083317441845199E-3</v>
      </c>
      <c r="AG5975">
        <v>-9.2735999999999902E-2</v>
      </c>
      <c r="AH5975">
        <v>0.52570024314107</v>
      </c>
      <c r="AI5975">
        <v>100.004101048415</v>
      </c>
      <c r="AJ5975">
        <v>90.3823654650771</v>
      </c>
      <c r="AK5975">
        <v>0.53382864266186303</v>
      </c>
      <c r="AL5975">
        <v>68.326099298723705</v>
      </c>
      <c r="AM5975">
        <v>93.837354534599001</v>
      </c>
      <c r="AN5975">
        <v>1.0000000496283099</v>
      </c>
    </row>
    <row r="5976" spans="1:40" x14ac:dyDescent="0.25">
      <c r="A5976" t="str">
        <f>"20190304164805047"</f>
        <v>20190304164805047</v>
      </c>
      <c r="B5976" t="str">
        <f>"1551689285035027"</f>
        <v>1551689285035027</v>
      </c>
      <c r="C5976" t="s">
        <v>40</v>
      </c>
      <c r="D5976">
        <v>4.5061179999999998</v>
      </c>
      <c r="E5976">
        <v>0.54041830000000002</v>
      </c>
      <c r="F5976" t="s">
        <v>41</v>
      </c>
      <c r="G5976">
        <v>-187.52510000000001</v>
      </c>
      <c r="H5976">
        <v>1.024097</v>
      </c>
      <c r="I5976">
        <v>72.759289999999993</v>
      </c>
      <c r="J5976">
        <v>-187.5155</v>
      </c>
      <c r="K5976">
        <v>1.1110599999999999</v>
      </c>
      <c r="L5976">
        <v>72.243290000000002</v>
      </c>
      <c r="M5976">
        <v>-1.17324E-2</v>
      </c>
      <c r="N5976">
        <v>-1.464171E-2</v>
      </c>
      <c r="O5976">
        <v>0.99982400000000005</v>
      </c>
      <c r="P5976">
        <v>-7.3723179999999999E-2</v>
      </c>
      <c r="Q5976">
        <v>0.356072</v>
      </c>
      <c r="R5976">
        <v>0.93154590000000004</v>
      </c>
      <c r="S5976">
        <v>-5.4138180000000001E-2</v>
      </c>
      <c r="T5976">
        <v>-0.34098319999999999</v>
      </c>
      <c r="U5976">
        <v>3.3457029999999999</v>
      </c>
      <c r="V5976">
        <v>-6.2846200000000005E-2</v>
      </c>
      <c r="W5976">
        <v>0.36967529999999998</v>
      </c>
      <c r="X5976">
        <v>0.9270332</v>
      </c>
      <c r="Y5976">
        <v>-4.3812080000000002E-3</v>
      </c>
      <c r="Z5976">
        <v>-8.6798310000000004E-2</v>
      </c>
      <c r="AA5976">
        <v>0.99621630000000005</v>
      </c>
      <c r="AB5976">
        <v>35</v>
      </c>
      <c r="AC5976">
        <v>-9.6000000000060395E-3</v>
      </c>
      <c r="AD5976">
        <v>-8.6962999999999901E-2</v>
      </c>
      <c r="AE5976">
        <v>0.51600000000000501</v>
      </c>
      <c r="AF5976">
        <v>-3.44690217182977E-3</v>
      </c>
      <c r="AG5976">
        <v>-8.6962999999999901E-2</v>
      </c>
      <c r="AH5976">
        <v>0.50182844193586196</v>
      </c>
      <c r="AI5976">
        <v>99.831053561812098</v>
      </c>
      <c r="AJ5976">
        <v>90.393540550105499</v>
      </c>
      <c r="AK5976">
        <v>0.50931937881780698</v>
      </c>
      <c r="AL5976">
        <v>68.304406706863702</v>
      </c>
      <c r="AM5976">
        <v>93.878308651790405</v>
      </c>
      <c r="AN5976">
        <v>1.0000000130933799</v>
      </c>
    </row>
    <row r="5977" spans="1:40" x14ac:dyDescent="0.25">
      <c r="A5977" t="str">
        <f>"20190304164805071"</f>
        <v>20190304164805071</v>
      </c>
      <c r="B5977" t="str">
        <f>"1551689285065285"</f>
        <v>1551689285065285</v>
      </c>
      <c r="C5977" t="s">
        <v>40</v>
      </c>
      <c r="D5977">
        <v>4.5522199999999904</v>
      </c>
      <c r="E5977">
        <v>0.54045739999999998</v>
      </c>
      <c r="F5977" t="s">
        <v>41</v>
      </c>
      <c r="G5977">
        <v>-187.5291</v>
      </c>
      <c r="H5977">
        <v>1.0281290000000001</v>
      </c>
      <c r="I5977">
        <v>73.070210000000003</v>
      </c>
      <c r="J5977">
        <v>-187.51990000000001</v>
      </c>
      <c r="K5977">
        <v>1.11107</v>
      </c>
      <c r="L5977">
        <v>72.607910000000004</v>
      </c>
      <c r="M5977">
        <v>-1.185816E-2</v>
      </c>
      <c r="N5977">
        <v>-1.463762E-2</v>
      </c>
      <c r="O5977">
        <v>0.99982260000000001</v>
      </c>
      <c r="P5977">
        <v>-7.4426699999999998E-2</v>
      </c>
      <c r="Q5977">
        <v>0.35583310000000001</v>
      </c>
      <c r="R5977">
        <v>0.93158110000000005</v>
      </c>
      <c r="S5977">
        <v>-5.5969240000000003E-2</v>
      </c>
      <c r="T5977">
        <v>-0.3354356</v>
      </c>
      <c r="U5977">
        <v>3.3442379999999998</v>
      </c>
      <c r="V5977">
        <v>-6.3439819999999994E-2</v>
      </c>
      <c r="W5977">
        <v>0.36943160000000003</v>
      </c>
      <c r="X5977">
        <v>0.92708990000000002</v>
      </c>
      <c r="Y5977">
        <v>-4.8097799999999996E-3</v>
      </c>
      <c r="Z5977">
        <v>-8.5209989999999999E-2</v>
      </c>
      <c r="AA5977">
        <v>0.9963514</v>
      </c>
      <c r="AB5977">
        <v>35</v>
      </c>
      <c r="AC5977">
        <v>-9.1999999999927695E-3</v>
      </c>
      <c r="AD5977">
        <v>-8.2940999999999904E-2</v>
      </c>
      <c r="AE5977">
        <v>0.46229999999999899</v>
      </c>
      <c r="AF5977">
        <v>-3.6008801664703101E-3</v>
      </c>
      <c r="AG5977">
        <v>-8.2940999999999904E-2</v>
      </c>
      <c r="AH5977">
        <v>0.44796336624514199</v>
      </c>
      <c r="AI5977">
        <v>100.489268589057</v>
      </c>
      <c r="AJ5977">
        <v>90.460552822202203</v>
      </c>
      <c r="AK5977">
        <v>0.45559121294934202</v>
      </c>
      <c r="AL5977">
        <v>68.319433146102497</v>
      </c>
      <c r="AM5977">
        <v>93.914589538892599</v>
      </c>
      <c r="AN5977">
        <v>1.0000000002611</v>
      </c>
    </row>
    <row r="5978" spans="1:40" x14ac:dyDescent="0.25">
      <c r="A5978" t="str">
        <f>"20190304164805093"</f>
        <v>20190304164805093</v>
      </c>
      <c r="B5978" t="str">
        <f>"1551689285085780"</f>
        <v>1551689285085780</v>
      </c>
      <c r="C5978" t="s">
        <v>40</v>
      </c>
      <c r="D5978">
        <v>4.5475620000000001</v>
      </c>
      <c r="E5978">
        <v>0.54047900000000004</v>
      </c>
      <c r="F5978" t="s">
        <v>41</v>
      </c>
      <c r="G5978">
        <v>-187.53309999999999</v>
      </c>
      <c r="H5978">
        <v>1.0337000000000001</v>
      </c>
      <c r="I5978">
        <v>73.383449999999996</v>
      </c>
      <c r="J5978">
        <v>-187.5239</v>
      </c>
      <c r="K5978">
        <v>1.111076</v>
      </c>
      <c r="L5978">
        <v>72.939790000000002</v>
      </c>
      <c r="M5978">
        <v>-1.1974129999999999E-2</v>
      </c>
      <c r="N5978">
        <v>-1.463388E-2</v>
      </c>
      <c r="O5978">
        <v>0.99982119999999997</v>
      </c>
      <c r="P5978">
        <v>-7.4329199999999998E-2</v>
      </c>
      <c r="Q5978">
        <v>0.3562939</v>
      </c>
      <c r="R5978">
        <v>0.93141280000000004</v>
      </c>
      <c r="S5978">
        <v>-5.7388309999999998E-2</v>
      </c>
      <c r="T5978">
        <v>-0.33351550000000002</v>
      </c>
      <c r="U5978">
        <v>3.34314</v>
      </c>
      <c r="V5978">
        <v>-6.3240969999999994E-2</v>
      </c>
      <c r="W5978">
        <v>0.3698862</v>
      </c>
      <c r="X5978">
        <v>0.92692220000000003</v>
      </c>
      <c r="Y5978">
        <v>-5.122606E-3</v>
      </c>
      <c r="Z5978">
        <v>-8.4679149999999995E-2</v>
      </c>
      <c r="AA5978">
        <v>0.99639509999999998</v>
      </c>
      <c r="AB5978">
        <v>35</v>
      </c>
      <c r="AC5978">
        <v>-9.1999999999927695E-3</v>
      </c>
      <c r="AD5978">
        <v>-7.7375999999999806E-2</v>
      </c>
      <c r="AE5978">
        <v>0.443659999999994</v>
      </c>
      <c r="AF5978">
        <v>-3.7716567327556799E-3</v>
      </c>
      <c r="AG5978">
        <v>-7.7375999999999806E-2</v>
      </c>
      <c r="AH5978">
        <v>0.430645187427386</v>
      </c>
      <c r="AI5978">
        <v>100.185531073775</v>
      </c>
      <c r="AJ5978">
        <v>90.501792412376901</v>
      </c>
      <c r="AK5978">
        <v>0.437557479909644</v>
      </c>
      <c r="AL5978">
        <v>68.291400725827998</v>
      </c>
      <c r="AM5978">
        <v>93.903061196506101</v>
      </c>
      <c r="AN5978">
        <v>0.99999999304491005</v>
      </c>
    </row>
    <row r="5979" spans="1:40" x14ac:dyDescent="0.25">
      <c r="A5979" t="str">
        <f>"20190304164805116"</f>
        <v>20190304164805116</v>
      </c>
      <c r="B5979" t="str">
        <f>"1551689285105300"</f>
        <v>1551689285105300</v>
      </c>
      <c r="C5979" t="s">
        <v>40</v>
      </c>
      <c r="D5979">
        <v>4.5095609999999997</v>
      </c>
      <c r="E5979">
        <v>0.540489</v>
      </c>
      <c r="F5979" t="s">
        <v>41</v>
      </c>
      <c r="G5979">
        <v>-187.5368</v>
      </c>
      <c r="H5979">
        <v>1.0364949999999999</v>
      </c>
      <c r="I5979">
        <v>73.693989999999999</v>
      </c>
      <c r="J5979">
        <v>-187.5283</v>
      </c>
      <c r="K5979">
        <v>1.111081</v>
      </c>
      <c r="L5979">
        <v>73.294740000000004</v>
      </c>
      <c r="M5979">
        <v>-1.2097729999999999E-2</v>
      </c>
      <c r="N5979">
        <v>-1.462986E-2</v>
      </c>
      <c r="O5979">
        <v>0.99981980000000004</v>
      </c>
      <c r="P5979">
        <v>-7.4126639999999994E-2</v>
      </c>
      <c r="Q5979">
        <v>0.35635909999999998</v>
      </c>
      <c r="R5979">
        <v>0.93140409999999996</v>
      </c>
      <c r="S5979">
        <v>-5.7891850000000002E-2</v>
      </c>
      <c r="T5979">
        <v>-0.33061309999999999</v>
      </c>
      <c r="U5979">
        <v>3.342743</v>
      </c>
      <c r="V5979">
        <v>-6.2927300000000005E-2</v>
      </c>
      <c r="W5979">
        <v>0.36994640000000001</v>
      </c>
      <c r="X5979">
        <v>0.92691950000000001</v>
      </c>
      <c r="Y5979">
        <v>-5.1523039999999999E-3</v>
      </c>
      <c r="Z5979">
        <v>-8.3837960000000003E-2</v>
      </c>
      <c r="AA5979">
        <v>0.99646610000000002</v>
      </c>
      <c r="AB5979">
        <v>35</v>
      </c>
      <c r="AC5979">
        <v>-8.4999999999979502E-3</v>
      </c>
      <c r="AD5979">
        <v>-7.4585999999999805E-2</v>
      </c>
      <c r="AE5979">
        <v>0.399249999999995</v>
      </c>
      <c r="AF5979">
        <v>-3.5451719446238802E-3</v>
      </c>
      <c r="AG5979">
        <v>-7.4585999999999805E-2</v>
      </c>
      <c r="AH5979">
        <v>0.38586311653923799</v>
      </c>
      <c r="AI5979">
        <v>100.939701910148</v>
      </c>
      <c r="AJ5979">
        <v>90.526398264712896</v>
      </c>
      <c r="AK5979">
        <v>0.39302160798802199</v>
      </c>
      <c r="AL5979">
        <v>68.287687683495705</v>
      </c>
      <c r="AM5979">
        <v>93.883773004490607</v>
      </c>
      <c r="AN5979">
        <v>0.99999997171924904</v>
      </c>
    </row>
    <row r="5980" spans="1:40" x14ac:dyDescent="0.25">
      <c r="A5980" t="str">
        <f>"20190304164805137"</f>
        <v>20190304164805137</v>
      </c>
      <c r="B5980" t="str">
        <f>"1551689285125797"</f>
        <v>1551689285125797</v>
      </c>
      <c r="C5980" t="s">
        <v>40</v>
      </c>
      <c r="D5980">
        <v>4.53878</v>
      </c>
      <c r="E5980">
        <v>0.54058949999999995</v>
      </c>
      <c r="F5980" t="s">
        <v>41</v>
      </c>
      <c r="G5980">
        <v>-187.54570000000001</v>
      </c>
      <c r="H5980">
        <v>1.0125</v>
      </c>
      <c r="I5980">
        <v>74.294849999999997</v>
      </c>
      <c r="J5980">
        <v>-187.5324</v>
      </c>
      <c r="K5980">
        <v>1.1110869999999999</v>
      </c>
      <c r="L5980">
        <v>73.624110000000002</v>
      </c>
      <c r="M5980">
        <v>-1.221148E-2</v>
      </c>
      <c r="N5980">
        <v>-1.4626200000000001E-2</v>
      </c>
      <c r="O5980">
        <v>0.9998184</v>
      </c>
      <c r="P5980">
        <v>-7.3570620000000003E-2</v>
      </c>
      <c r="Q5980">
        <v>0.35591970000000001</v>
      </c>
      <c r="R5980">
        <v>0.93161609999999995</v>
      </c>
      <c r="S5980">
        <v>-5.8578489999999997E-2</v>
      </c>
      <c r="T5980">
        <v>-0.32948919999999998</v>
      </c>
      <c r="U5980">
        <v>3.342346</v>
      </c>
      <c r="V5980">
        <v>-6.2264960000000001E-2</v>
      </c>
      <c r="W5980">
        <v>0.36950690000000003</v>
      </c>
      <c r="X5980">
        <v>0.92713950000000001</v>
      </c>
      <c r="Y5980">
        <v>-5.2456319999999897E-3</v>
      </c>
      <c r="Z5980">
        <v>-8.3521020000000001E-2</v>
      </c>
      <c r="AA5980">
        <v>0.99649219999999905</v>
      </c>
      <c r="AB5980">
        <v>34</v>
      </c>
      <c r="AC5980">
        <v>-1.33000000000151E-2</v>
      </c>
      <c r="AD5980">
        <v>-9.8587000000000202E-2</v>
      </c>
      <c r="AE5980">
        <v>0.67073999999999501</v>
      </c>
      <c r="AF5980">
        <v>-4.9994386582854298E-3</v>
      </c>
      <c r="AG5980">
        <v>-9.8587000000000202E-2</v>
      </c>
      <c r="AH5980">
        <v>0.656671361805788</v>
      </c>
      <c r="AI5980">
        <v>98.537885455734695</v>
      </c>
      <c r="AJ5980">
        <v>90.436201755592407</v>
      </c>
      <c r="AK5980">
        <v>0.66404944723398895</v>
      </c>
      <c r="AL5980">
        <v>68.314789417545001</v>
      </c>
      <c r="AM5980">
        <v>93.842108399417796</v>
      </c>
      <c r="AN5980">
        <v>0.99999996342582997</v>
      </c>
    </row>
    <row r="5981" spans="1:40" x14ac:dyDescent="0.25">
      <c r="A5981" t="str">
        <f>"20190304164805159"</f>
        <v>20190304164805159</v>
      </c>
      <c r="B5981" t="str">
        <f>"1551689285155077"</f>
        <v>1551689285155077</v>
      </c>
      <c r="C5981" t="s">
        <v>40</v>
      </c>
      <c r="D5981">
        <v>4.5647729999999997</v>
      </c>
      <c r="E5981">
        <v>0.54072119999999901</v>
      </c>
      <c r="F5981" t="s">
        <v>41</v>
      </c>
      <c r="G5981">
        <v>-187.5488</v>
      </c>
      <c r="H5981">
        <v>1.014357</v>
      </c>
      <c r="I5981">
        <v>74.602940000000004</v>
      </c>
      <c r="J5981">
        <v>-187.53659999999999</v>
      </c>
      <c r="K5981">
        <v>1.1110880000000001</v>
      </c>
      <c r="L5981">
        <v>73.962069999999997</v>
      </c>
      <c r="M5981">
        <v>-1.2327599999999999E-2</v>
      </c>
      <c r="N5981">
        <v>-1.462248E-2</v>
      </c>
      <c r="O5981">
        <v>0.99981710000000001</v>
      </c>
      <c r="P5981">
        <v>-7.3452519999999993E-2</v>
      </c>
      <c r="Q5981">
        <v>0.35627449999999999</v>
      </c>
      <c r="R5981">
        <v>0.93148980000000003</v>
      </c>
      <c r="S5981">
        <v>-5.6167599999999901E-2</v>
      </c>
      <c r="T5981">
        <v>-0.3302679</v>
      </c>
      <c r="U5981">
        <v>3.3419490000000001</v>
      </c>
      <c r="V5981">
        <v>-6.2042149999999997E-2</v>
      </c>
      <c r="W5981">
        <v>0.36985610000000002</v>
      </c>
      <c r="X5981">
        <v>0.92701520000000004</v>
      </c>
      <c r="Y5981">
        <v>-4.4132440000000002E-3</v>
      </c>
      <c r="Z5981">
        <v>-8.3766720000000003E-2</v>
      </c>
      <c r="AA5981">
        <v>0.99647560000000002</v>
      </c>
      <c r="AB5981">
        <v>34</v>
      </c>
      <c r="AC5981">
        <v>-1.2200000000007E-2</v>
      </c>
      <c r="AD5981">
        <v>-9.67309999999999E-2</v>
      </c>
      <c r="AE5981">
        <v>0.64087000000000605</v>
      </c>
      <c r="AF5981">
        <v>-4.2021406597180502E-3</v>
      </c>
      <c r="AG5981">
        <v>-9.67309999999999E-2</v>
      </c>
      <c r="AH5981">
        <v>0.62669942243721199</v>
      </c>
      <c r="AI5981">
        <v>98.774161751524503</v>
      </c>
      <c r="AJ5981">
        <v>90.384173509607507</v>
      </c>
      <c r="AK5981">
        <v>0.634134615385613</v>
      </c>
      <c r="AL5981">
        <v>68.293256489111997</v>
      </c>
      <c r="AM5981">
        <v>93.828912500665297</v>
      </c>
      <c r="AN5981">
        <v>0.99999997205743496</v>
      </c>
    </row>
    <row r="5982" spans="1:40" x14ac:dyDescent="0.25">
      <c r="A5982" t="str">
        <f>"20190304164805181"</f>
        <v>20190304164805181</v>
      </c>
      <c r="B5982" t="str">
        <f>"1551689285175572"</f>
        <v>1551689285175572</v>
      </c>
      <c r="C5982" t="s">
        <v>40</v>
      </c>
      <c r="D5982">
        <v>4.5651729999999997</v>
      </c>
      <c r="E5982">
        <v>0.54082010000000003</v>
      </c>
      <c r="F5982" t="s">
        <v>41</v>
      </c>
      <c r="G5982">
        <v>-187.55170000000001</v>
      </c>
      <c r="H5982">
        <v>1.0177389999999999</v>
      </c>
      <c r="I5982">
        <v>74.911389999999997</v>
      </c>
      <c r="J5982">
        <v>-187.54079999999999</v>
      </c>
      <c r="K5982">
        <v>1.1110899999999999</v>
      </c>
      <c r="L5982">
        <v>74.289860000000004</v>
      </c>
      <c r="M5982">
        <v>-1.243963E-2</v>
      </c>
      <c r="N5982">
        <v>-1.4618900000000001E-2</v>
      </c>
      <c r="O5982">
        <v>0.99981580000000003</v>
      </c>
      <c r="P5982">
        <v>-7.3359460000000001E-2</v>
      </c>
      <c r="Q5982">
        <v>0.35669849999999997</v>
      </c>
      <c r="R5982">
        <v>0.93133480000000002</v>
      </c>
      <c r="S5982">
        <v>-5.3634639999999997E-2</v>
      </c>
      <c r="T5982">
        <v>-0.32866309999999999</v>
      </c>
      <c r="U5982">
        <v>3.342133</v>
      </c>
      <c r="V5982">
        <v>-6.1848050000000002E-2</v>
      </c>
      <c r="W5982">
        <v>0.37027470000000001</v>
      </c>
      <c r="X5982">
        <v>0.92686109999999999</v>
      </c>
      <c r="Y5982">
        <v>-3.5466299999999998E-3</v>
      </c>
      <c r="Z5982">
        <v>-8.3291660000000003E-2</v>
      </c>
      <c r="AA5982">
        <v>0.99651889999999999</v>
      </c>
      <c r="AB5982">
        <v>34</v>
      </c>
      <c r="AC5982">
        <v>-1.09000000000207E-2</v>
      </c>
      <c r="AD5982">
        <v>-9.3350999999999906E-2</v>
      </c>
      <c r="AE5982">
        <v>0.62152999999999203</v>
      </c>
      <c r="AF5982">
        <v>-3.0968870296691799E-3</v>
      </c>
      <c r="AG5982">
        <v>-9.3350999999999906E-2</v>
      </c>
      <c r="AH5982">
        <v>0.60790811467631301</v>
      </c>
      <c r="AI5982">
        <v>98.730091716065999</v>
      </c>
      <c r="AJ5982">
        <v>90.2918813175758</v>
      </c>
      <c r="AK5982">
        <v>0.61504168622914002</v>
      </c>
      <c r="AL5982">
        <v>68.267440644685806</v>
      </c>
      <c r="AM5982">
        <v>93.817601876699101</v>
      </c>
      <c r="AN5982">
        <v>1.0000000167210501</v>
      </c>
    </row>
    <row r="5983" spans="1:40" x14ac:dyDescent="0.25">
      <c r="A5983" t="str">
        <f>"20190304164805203"</f>
        <v>20190304164805203</v>
      </c>
      <c r="B5983" t="str">
        <f>"1551689285195093"</f>
        <v>1551689285195093</v>
      </c>
      <c r="C5983" t="s">
        <v>40</v>
      </c>
      <c r="D5983">
        <v>4.5075989999999999</v>
      </c>
      <c r="E5983">
        <v>0.54086049999999997</v>
      </c>
      <c r="F5983" t="s">
        <v>41</v>
      </c>
      <c r="G5983">
        <v>-187.55510000000001</v>
      </c>
      <c r="H5983">
        <v>1.0205219999999999</v>
      </c>
      <c r="I5983">
        <v>75.219210000000004</v>
      </c>
      <c r="J5983">
        <v>-187.54519999999999</v>
      </c>
      <c r="K5983">
        <v>1.1110899999999999</v>
      </c>
      <c r="L5983">
        <v>74.639529999999993</v>
      </c>
      <c r="M5983">
        <v>-1.255875E-2</v>
      </c>
      <c r="N5983">
        <v>-1.4615059999999999E-2</v>
      </c>
      <c r="O5983">
        <v>0.99981430000000004</v>
      </c>
      <c r="P5983">
        <v>-7.3295890000000002E-2</v>
      </c>
      <c r="Q5983">
        <v>0.3562458</v>
      </c>
      <c r="R5983">
        <v>0.93151309999999998</v>
      </c>
      <c r="S5983">
        <v>-5.1681520000000002E-2</v>
      </c>
      <c r="T5983">
        <v>-0.32567610000000002</v>
      </c>
      <c r="U5983">
        <v>3.3418580000000002</v>
      </c>
      <c r="V5983">
        <v>-6.1672209999999998E-2</v>
      </c>
      <c r="W5983">
        <v>0.3698207</v>
      </c>
      <c r="X5983">
        <v>0.92705400000000004</v>
      </c>
      <c r="Y5983">
        <v>-2.8482550000000001E-3</v>
      </c>
      <c r="Z5983">
        <v>-8.2421620000000001E-2</v>
      </c>
      <c r="AA5983">
        <v>0.99659350000000002</v>
      </c>
      <c r="AB5983">
        <v>34</v>
      </c>
      <c r="AC5983">
        <v>-9.9000000000160002E-3</v>
      </c>
      <c r="AD5983">
        <v>-9.0567999999999899E-2</v>
      </c>
      <c r="AE5983">
        <v>0.57967999999999598</v>
      </c>
      <c r="AF5983">
        <v>-2.55601032731166E-3</v>
      </c>
      <c r="AG5983">
        <v>-9.0567999999999899E-2</v>
      </c>
      <c r="AH5983">
        <v>0.56594770044892595</v>
      </c>
      <c r="AI5983">
        <v>99.091801443498994</v>
      </c>
      <c r="AJ5983">
        <v>90.258765268105606</v>
      </c>
      <c r="AK5983">
        <v>0.57315433825124296</v>
      </c>
      <c r="AL5983">
        <v>68.295439392432499</v>
      </c>
      <c r="AM5983">
        <v>93.805990242908294</v>
      </c>
      <c r="AN5983">
        <v>0.99999996527538604</v>
      </c>
    </row>
    <row r="5984" spans="1:40" x14ac:dyDescent="0.25">
      <c r="A5984" t="str">
        <f>"20190304164805226"</f>
        <v>20190304164805226</v>
      </c>
      <c r="B5984" t="str">
        <f>"1551689285215589"</f>
        <v>1551689285215589</v>
      </c>
      <c r="C5984" t="s">
        <v>40</v>
      </c>
      <c r="D5984">
        <v>4.5515080000000001</v>
      </c>
      <c r="E5984">
        <v>0.5409389</v>
      </c>
      <c r="F5984" t="s">
        <v>41</v>
      </c>
      <c r="G5984">
        <v>-187.55879999999999</v>
      </c>
      <c r="H5984">
        <v>1.0245</v>
      </c>
      <c r="I5984">
        <v>75.527270000000001</v>
      </c>
      <c r="J5984">
        <v>-187.5497</v>
      </c>
      <c r="K5984">
        <v>1.1110799999999901</v>
      </c>
      <c r="L5984">
        <v>74.984769999999997</v>
      </c>
      <c r="M5984">
        <v>-1.267623E-2</v>
      </c>
      <c r="N5984">
        <v>-1.4611270000000001E-2</v>
      </c>
      <c r="O5984">
        <v>0.9998129</v>
      </c>
      <c r="P5984">
        <v>-7.3148729999999995E-2</v>
      </c>
      <c r="Q5984">
        <v>0.35591080000000003</v>
      </c>
      <c r="R5984">
        <v>0.9316527</v>
      </c>
      <c r="S5984">
        <v>-5.1422120000000002E-2</v>
      </c>
      <c r="T5984">
        <v>-0.32591679999999901</v>
      </c>
      <c r="U5984">
        <v>3.3411870000000001</v>
      </c>
      <c r="V5984">
        <v>-6.1414499999999997E-2</v>
      </c>
      <c r="W5984">
        <v>0.36948439999999999</v>
      </c>
      <c r="X5984">
        <v>0.92720519999999995</v>
      </c>
      <c r="Y5984">
        <v>-2.6565410000000001E-3</v>
      </c>
      <c r="Z5984">
        <v>-8.2515710000000006E-2</v>
      </c>
      <c r="AA5984">
        <v>0.99658619999999998</v>
      </c>
      <c r="AB5984">
        <v>34</v>
      </c>
      <c r="AC5984">
        <v>-9.0999999999894499E-3</v>
      </c>
      <c r="AD5984">
        <v>-8.6579999999999796E-2</v>
      </c>
      <c r="AE5984">
        <v>0.54250000000000398</v>
      </c>
      <c r="AF5984">
        <v>-2.16651333984994E-3</v>
      </c>
      <c r="AG5984">
        <v>-8.6579999999999796E-2</v>
      </c>
      <c r="AH5984">
        <v>0.52909919408091699</v>
      </c>
      <c r="AI5984">
        <v>99.293245958794103</v>
      </c>
      <c r="AJ5984">
        <v>90.234608894257605</v>
      </c>
      <c r="AK5984">
        <v>0.53614060409292597</v>
      </c>
      <c r="AL5984">
        <v>68.3161769639147</v>
      </c>
      <c r="AM5984">
        <v>93.789516324524797</v>
      </c>
      <c r="AN5984">
        <v>0.99999997278032404</v>
      </c>
    </row>
    <row r="5985" spans="1:40" x14ac:dyDescent="0.25">
      <c r="A5985" t="str">
        <f>"20190304164805247"</f>
        <v>20190304164805247</v>
      </c>
      <c r="B5985" t="str">
        <f>"1551689285244868"</f>
        <v>1551689285244868</v>
      </c>
      <c r="C5985" t="s">
        <v>40</v>
      </c>
      <c r="D5985">
        <v>4.529369</v>
      </c>
      <c r="E5985">
        <v>0.54103299999999999</v>
      </c>
      <c r="F5985" t="s">
        <v>41</v>
      </c>
      <c r="G5985">
        <v>-187.5625</v>
      </c>
      <c r="H5985">
        <v>1.028038</v>
      </c>
      <c r="I5985">
        <v>75.83475</v>
      </c>
      <c r="J5985">
        <v>-187.55410000000001</v>
      </c>
      <c r="K5985">
        <v>1.111084</v>
      </c>
      <c r="L5985">
        <v>75.318730000000002</v>
      </c>
      <c r="M5985">
        <v>-1.279012E-2</v>
      </c>
      <c r="N5985">
        <v>-1.46076E-2</v>
      </c>
      <c r="O5985">
        <v>0.99981149999999996</v>
      </c>
      <c r="P5985">
        <v>-7.3785859999999995E-2</v>
      </c>
      <c r="Q5985">
        <v>0.35569800000000001</v>
      </c>
      <c r="R5985">
        <v>0.9316837</v>
      </c>
      <c r="S5985">
        <v>-5.018616E-2</v>
      </c>
      <c r="T5985">
        <v>-0.32638909999999999</v>
      </c>
      <c r="U5985">
        <v>3.3408199999999999</v>
      </c>
      <c r="V5985">
        <v>-6.1945449999999999E-2</v>
      </c>
      <c r="W5985">
        <v>0.3692686</v>
      </c>
      <c r="X5985">
        <v>0.92725590000000002</v>
      </c>
      <c r="Y5985">
        <v>-2.1759000000000001E-3</v>
      </c>
      <c r="Z5985">
        <v>-8.266954E-2</v>
      </c>
      <c r="AA5985">
        <v>0.99657459999999998</v>
      </c>
      <c r="AB5985">
        <v>34</v>
      </c>
      <c r="AC5985">
        <v>-8.3999999999946305E-3</v>
      </c>
      <c r="AD5985">
        <v>-8.3045999999999898E-2</v>
      </c>
      <c r="AE5985">
        <v>0.51601999999999704</v>
      </c>
      <c r="AF5985">
        <v>-1.75325307707653E-3</v>
      </c>
      <c r="AG5985">
        <v>-8.3045999999999898E-2</v>
      </c>
      <c r="AH5985">
        <v>0.503059308080685</v>
      </c>
      <c r="AI5985">
        <v>99.373898782233098</v>
      </c>
      <c r="AJ5985">
        <v>90.199685391767801</v>
      </c>
      <c r="AK5985">
        <v>0.50987094392499899</v>
      </c>
      <c r="AL5985">
        <v>68.329483448543002</v>
      </c>
      <c r="AM5985">
        <v>93.821972964894201</v>
      </c>
      <c r="AN5985">
        <v>1.00000002090323</v>
      </c>
    </row>
    <row r="5986" spans="1:40" x14ac:dyDescent="0.25">
      <c r="A5986" t="str">
        <f>"20190304164805271"</f>
        <v>20190304164805271</v>
      </c>
      <c r="B5986" t="str">
        <f>"1551689285265364"</f>
        <v>1551689285265364</v>
      </c>
      <c r="C5986" t="s">
        <v>40</v>
      </c>
      <c r="D5986">
        <v>4.5210489999999997</v>
      </c>
      <c r="E5986">
        <v>0.54111019999999999</v>
      </c>
      <c r="F5986" t="s">
        <v>41</v>
      </c>
      <c r="G5986">
        <v>-187.56639999999999</v>
      </c>
      <c r="H5986">
        <v>1.0308820000000001</v>
      </c>
      <c r="I5986">
        <v>76.142039999999994</v>
      </c>
      <c r="J5986">
        <v>-187.55860000000001</v>
      </c>
      <c r="K5986">
        <v>1.111083</v>
      </c>
      <c r="L5986">
        <v>75.664699999999996</v>
      </c>
      <c r="M5986">
        <v>-1.290814E-2</v>
      </c>
      <c r="N5986">
        <v>-1.46037999999999E-2</v>
      </c>
      <c r="O5986">
        <v>0.99980999999999998</v>
      </c>
      <c r="P5986">
        <v>-7.4193889999999998E-2</v>
      </c>
      <c r="Q5986">
        <v>0.35558200000000001</v>
      </c>
      <c r="R5986">
        <v>0.93169559999999996</v>
      </c>
      <c r="S5986">
        <v>-5.0399779999999998E-2</v>
      </c>
      <c r="T5986">
        <v>-0.32540750000000002</v>
      </c>
      <c r="U5986">
        <v>3.3402099999999999</v>
      </c>
      <c r="V5986">
        <v>-6.2242649999999997E-2</v>
      </c>
      <c r="W5986">
        <v>0.36914979999999997</v>
      </c>
      <c r="X5986">
        <v>0.92728330000000003</v>
      </c>
      <c r="Y5986">
        <v>-2.1246920000000001E-3</v>
      </c>
      <c r="Z5986">
        <v>-8.2400660000000001E-2</v>
      </c>
      <c r="AA5986">
        <v>0.99659699999999996</v>
      </c>
      <c r="AB5986">
        <v>34</v>
      </c>
      <c r="AC5986">
        <v>-7.79999999997471E-3</v>
      </c>
      <c r="AD5986">
        <v>-8.0200999999999897E-2</v>
      </c>
      <c r="AE5986">
        <v>0.47734000000001198</v>
      </c>
      <c r="AF5986">
        <v>-1.5921863940462999E-3</v>
      </c>
      <c r="AG5986">
        <v>-8.0200999999999897E-2</v>
      </c>
      <c r="AH5986">
        <v>0.46429750735554598</v>
      </c>
      <c r="AI5986">
        <v>99.800290385407806</v>
      </c>
      <c r="AJ5986">
        <v>90.196480061900303</v>
      </c>
      <c r="AK5986">
        <v>0.47117609319137499</v>
      </c>
      <c r="AL5986">
        <v>68.336807658568404</v>
      </c>
      <c r="AM5986">
        <v>93.840142038039801</v>
      </c>
      <c r="AN5986">
        <v>1.0000000203889701</v>
      </c>
    </row>
    <row r="5987" spans="1:40" x14ac:dyDescent="0.25">
      <c r="A5987" t="str">
        <f>"20190304164805315"</f>
        <v>20190304164805315</v>
      </c>
      <c r="B5987" t="str">
        <f>"1551689285305381"</f>
        <v>1551689285305381</v>
      </c>
      <c r="C5987" t="s">
        <v>40</v>
      </c>
      <c r="D5987">
        <v>4.5782360000000004</v>
      </c>
      <c r="E5987">
        <v>0.54122389999999998</v>
      </c>
      <c r="F5987" t="s">
        <v>41</v>
      </c>
      <c r="G5987">
        <v>-187.57050000000001</v>
      </c>
      <c r="H5987">
        <v>1.0348029999999999</v>
      </c>
      <c r="I5987">
        <v>76.450409999999906</v>
      </c>
      <c r="J5987">
        <v>-187.5676</v>
      </c>
      <c r="K5987">
        <v>1.1110910000000001</v>
      </c>
      <c r="L5987">
        <v>76.341369999999998</v>
      </c>
      <c r="M5987">
        <v>-1.3138830000000001E-2</v>
      </c>
      <c r="N5987">
        <v>-1.4596430000000001E-2</v>
      </c>
      <c r="O5987">
        <v>0.99980709999999995</v>
      </c>
      <c r="P5987">
        <v>-7.5173509999999999E-2</v>
      </c>
      <c r="Q5987">
        <v>0.35590579999999999</v>
      </c>
      <c r="R5987">
        <v>0.93149349999999997</v>
      </c>
      <c r="S5987">
        <v>-5.044556E-2</v>
      </c>
      <c r="T5987">
        <v>-0.32420690000000002</v>
      </c>
      <c r="U5987">
        <v>3.3396300000000001</v>
      </c>
      <c r="V5987">
        <v>-6.3010159999999996E-2</v>
      </c>
      <c r="W5987">
        <v>0.3694635</v>
      </c>
      <c r="X5987">
        <v>0.92710649999999994</v>
      </c>
      <c r="Y5987">
        <v>-1.910822E-3</v>
      </c>
      <c r="Z5987">
        <v>-8.2069439999999994E-2</v>
      </c>
      <c r="AA5987">
        <v>0.99662479999999998</v>
      </c>
      <c r="AB5987">
        <v>34</v>
      </c>
      <c r="AC5987">
        <v>-2.9000000000110001E-3</v>
      </c>
      <c r="AD5987">
        <v>-7.6287999999999898E-2</v>
      </c>
      <c r="AE5987">
        <v>0.109039999999993</v>
      </c>
      <c r="AF5987">
        <v>-9.85090948448346E-4</v>
      </c>
      <c r="AG5987">
        <v>-7.6287999999999898E-2</v>
      </c>
      <c r="AH5987">
        <v>7.3242710788334595E-2</v>
      </c>
      <c r="AI5987">
        <v>136.164115425349</v>
      </c>
      <c r="AJ5987">
        <v>90.770563380768294</v>
      </c>
      <c r="AK5987">
        <v>0.10576069228120701</v>
      </c>
      <c r="AL5987">
        <v>68.317466483250698</v>
      </c>
      <c r="AM5987">
        <v>93.888089320419596</v>
      </c>
      <c r="AN5987">
        <v>1.00000001021886</v>
      </c>
    </row>
    <row r="5988" spans="1:40" x14ac:dyDescent="0.25">
      <c r="A5988" t="str">
        <f>"20190304164805339"</f>
        <v>20190304164805339</v>
      </c>
      <c r="B5988" t="str">
        <f>"1551689285335637"</f>
        <v>1551689285335637</v>
      </c>
      <c r="C5988" t="s">
        <v>40</v>
      </c>
      <c r="D5988">
        <v>4.56813</v>
      </c>
      <c r="E5988">
        <v>0.54128779999999999</v>
      </c>
      <c r="F5988" t="s">
        <v>41</v>
      </c>
      <c r="G5988">
        <v>-187.5829</v>
      </c>
      <c r="H5988">
        <v>1.0136449999999999</v>
      </c>
      <c r="I5988">
        <v>77.351280000000003</v>
      </c>
      <c r="J5988">
        <v>-187.57259999999999</v>
      </c>
      <c r="K5988">
        <v>1.1110910000000001</v>
      </c>
      <c r="L5988">
        <v>76.705929999999995</v>
      </c>
      <c r="M5988">
        <v>-1.3263209999999999E-2</v>
      </c>
      <c r="N5988">
        <v>-1.4592590000000001E-2</v>
      </c>
      <c r="O5988">
        <v>0.99980559999999996</v>
      </c>
      <c r="P5988">
        <v>-7.4892329999999993E-2</v>
      </c>
      <c r="Q5988">
        <v>0.35582249999999999</v>
      </c>
      <c r="R5988">
        <v>0.93154789999999998</v>
      </c>
      <c r="S5988">
        <v>-5.0827030000000002E-2</v>
      </c>
      <c r="T5988">
        <v>-0.32226880000000002</v>
      </c>
      <c r="U5988">
        <v>3.339661</v>
      </c>
      <c r="V5988">
        <v>-6.2612379999999995E-2</v>
      </c>
      <c r="W5988">
        <v>0.36937710000000001</v>
      </c>
      <c r="X5988">
        <v>0.92716779999999999</v>
      </c>
      <c r="Y5988">
        <v>-1.9008250000000001E-3</v>
      </c>
      <c r="Z5988">
        <v>-8.1499199999999994E-2</v>
      </c>
      <c r="AA5988">
        <v>0.99667159999999999</v>
      </c>
      <c r="AB5988">
        <v>34</v>
      </c>
      <c r="AC5988">
        <v>-1.03000000000008E-2</v>
      </c>
      <c r="AD5988">
        <v>-9.7445999999999894E-2</v>
      </c>
      <c r="AE5988">
        <v>0.64534999999999298</v>
      </c>
      <c r="AF5988">
        <v>-1.70001936576569E-3</v>
      </c>
      <c r="AG5988">
        <v>-9.7445999999999894E-2</v>
      </c>
      <c r="AH5988">
        <v>0.63104558836355396</v>
      </c>
      <c r="AI5988">
        <v>98.778241588002203</v>
      </c>
      <c r="AJ5988">
        <v>90.154352872296499</v>
      </c>
      <c r="AK5988">
        <v>0.63852732719512295</v>
      </c>
      <c r="AL5988">
        <v>68.322792088700695</v>
      </c>
      <c r="AM5988">
        <v>93.863363911006999</v>
      </c>
      <c r="AN5988">
        <v>0.999999940745255</v>
      </c>
    </row>
    <row r="5989" spans="1:40" x14ac:dyDescent="0.25">
      <c r="A5989" t="str">
        <f>"20190304164805360"</f>
        <v>20190304164805360</v>
      </c>
      <c r="B5989" t="str">
        <f>"1551689285355157"</f>
        <v>1551689285355157</v>
      </c>
      <c r="C5989" t="s">
        <v>40</v>
      </c>
      <c r="D5989">
        <v>4.5617559999999999</v>
      </c>
      <c r="E5989">
        <v>0.54133500000000001</v>
      </c>
      <c r="F5989" t="s">
        <v>41</v>
      </c>
      <c r="G5989">
        <v>-187.58690000000001</v>
      </c>
      <c r="H5989">
        <v>1.0189859999999999</v>
      </c>
      <c r="I5989">
        <v>77.657529999999994</v>
      </c>
      <c r="J5989">
        <v>-187.57679999999999</v>
      </c>
      <c r="K5989">
        <v>1.111097</v>
      </c>
      <c r="L5989">
        <v>77.017579999999995</v>
      </c>
      <c r="M5989">
        <v>-1.33697E-2</v>
      </c>
      <c r="N5989">
        <v>-1.458926E-2</v>
      </c>
      <c r="O5989">
        <v>0.99980420000000003</v>
      </c>
      <c r="P5989">
        <v>-7.5187039999999997E-2</v>
      </c>
      <c r="Q5989">
        <v>0.35595139999999997</v>
      </c>
      <c r="R5989">
        <v>0.93147489999999999</v>
      </c>
      <c r="S5989">
        <v>-5.0552369999999999E-2</v>
      </c>
      <c r="T5989">
        <v>-0.32328220000000002</v>
      </c>
      <c r="U5989">
        <v>3.3398439999999998</v>
      </c>
      <c r="V5989">
        <v>-6.2808859999999994E-2</v>
      </c>
      <c r="W5989">
        <v>0.36950250000000001</v>
      </c>
      <c r="X5989">
        <v>0.92710459999999995</v>
      </c>
      <c r="Y5989">
        <v>-1.7113219999999999E-3</v>
      </c>
      <c r="Z5989">
        <v>-8.1796709999999995E-2</v>
      </c>
      <c r="AA5989">
        <v>0.99664750000000002</v>
      </c>
      <c r="AB5989">
        <v>34</v>
      </c>
      <c r="AC5989">
        <v>-1.01000000000226E-2</v>
      </c>
      <c r="AD5989">
        <v>-9.2110999999999998E-2</v>
      </c>
      <c r="AE5989">
        <v>0.63994999999999802</v>
      </c>
      <c r="AF5989">
        <v>-1.51095212731079E-3</v>
      </c>
      <c r="AG5989">
        <v>-9.2110999999999998E-2</v>
      </c>
      <c r="AH5989">
        <v>0.62704055336234299</v>
      </c>
      <c r="AI5989">
        <v>98.356842257154696</v>
      </c>
      <c r="AJ5989">
        <v>90.138062860401405</v>
      </c>
      <c r="AK5989">
        <v>0.63377170563088703</v>
      </c>
      <c r="AL5989">
        <v>68.315061435745307</v>
      </c>
      <c r="AM5989">
        <v>93.875713787699993</v>
      </c>
      <c r="AN5989">
        <v>0.99999999487095403</v>
      </c>
    </row>
    <row r="5990" spans="1:40" x14ac:dyDescent="0.25">
      <c r="A5990" t="str">
        <f>"20190304164805382"</f>
        <v>20190304164805382</v>
      </c>
      <c r="B5990" t="str">
        <f>"1551689285375652"</f>
        <v>1551689285375652</v>
      </c>
      <c r="C5990" t="s">
        <v>40</v>
      </c>
      <c r="D5990">
        <v>4.5408489999999997</v>
      </c>
      <c r="E5990">
        <v>0.54140730000000004</v>
      </c>
      <c r="F5990" t="s">
        <v>41</v>
      </c>
      <c r="G5990">
        <v>-187.5909</v>
      </c>
      <c r="H5990">
        <v>1.0197099999999999</v>
      </c>
      <c r="I5990">
        <v>77.961200000000005</v>
      </c>
      <c r="J5990">
        <v>-187.58160000000001</v>
      </c>
      <c r="K5990">
        <v>1.1110899999999999</v>
      </c>
      <c r="L5990">
        <v>77.367459999999994</v>
      </c>
      <c r="M5990">
        <v>-1.3489070000000001E-2</v>
      </c>
      <c r="N5990">
        <v>-1.458546E-2</v>
      </c>
      <c r="O5990">
        <v>0.99980259999999999</v>
      </c>
      <c r="P5990">
        <v>-7.5656520000000005E-2</v>
      </c>
      <c r="Q5990">
        <v>0.35580289999999998</v>
      </c>
      <c r="R5990">
        <v>0.93149360000000003</v>
      </c>
      <c r="S5990">
        <v>-5.0384520000000002E-2</v>
      </c>
      <c r="T5990">
        <v>-0.32352700000000001</v>
      </c>
      <c r="U5990">
        <v>3.340271</v>
      </c>
      <c r="V5990">
        <v>-6.3166150000000004E-2</v>
      </c>
      <c r="W5990">
        <v>0.36935099999999998</v>
      </c>
      <c r="X5990">
        <v>0.92714070000000004</v>
      </c>
      <c r="Y5990">
        <v>-1.539985E-3</v>
      </c>
      <c r="Z5990">
        <v>-8.1860440000000007E-2</v>
      </c>
      <c r="AA5990">
        <v>0.99664260000000005</v>
      </c>
      <c r="AB5990">
        <v>34</v>
      </c>
      <c r="AC5990">
        <v>-9.2999999999960892E-3</v>
      </c>
      <c r="AD5990">
        <v>-9.1379999999999795E-2</v>
      </c>
      <c r="AE5990">
        <v>0.59374000000001004</v>
      </c>
      <c r="AF5990">
        <v>-1.25947510703478E-3</v>
      </c>
      <c r="AG5990">
        <v>-9.1379999999999795E-2</v>
      </c>
      <c r="AH5990">
        <v>0.58007458595064298</v>
      </c>
      <c r="AI5990">
        <v>98.952297125280197</v>
      </c>
      <c r="AJ5990">
        <v>90.124402096533302</v>
      </c>
      <c r="AK5990">
        <v>0.58722944063062399</v>
      </c>
      <c r="AL5990">
        <v>68.324402668934994</v>
      </c>
      <c r="AM5990">
        <v>93.897541835402507</v>
      </c>
      <c r="AN5990">
        <v>1.0000000006516501</v>
      </c>
    </row>
    <row r="5991" spans="1:40" x14ac:dyDescent="0.25">
      <c r="A5991" t="str">
        <f>"20190304164805404"</f>
        <v>20190304164805404</v>
      </c>
      <c r="B5991" t="str">
        <f>"1551689285395174"</f>
        <v>1551689285395174</v>
      </c>
      <c r="C5991" t="s">
        <v>40</v>
      </c>
      <c r="D5991">
        <v>4.5635979999999998</v>
      </c>
      <c r="E5991">
        <v>0.54147060000000002</v>
      </c>
      <c r="F5991" t="s">
        <v>41</v>
      </c>
      <c r="G5991">
        <v>-187.595</v>
      </c>
      <c r="H5991">
        <v>1.0238339999999999</v>
      </c>
      <c r="I5991">
        <v>78.266159999999999</v>
      </c>
      <c r="J5991">
        <v>-187.58619999999999</v>
      </c>
      <c r="K5991">
        <v>1.111086</v>
      </c>
      <c r="L5991">
        <v>77.701229999999995</v>
      </c>
      <c r="M5991">
        <v>-1.360305E-2</v>
      </c>
      <c r="N5991">
        <v>-1.458186E-2</v>
      </c>
      <c r="O5991">
        <v>0.99980119999999895</v>
      </c>
      <c r="P5991">
        <v>-7.6067839999999998E-2</v>
      </c>
      <c r="Q5991">
        <v>0.35529470000000002</v>
      </c>
      <c r="R5991">
        <v>0.93165410000000004</v>
      </c>
      <c r="S5991">
        <v>-4.9850459999999999E-2</v>
      </c>
      <c r="T5991">
        <v>-0.32432810000000001</v>
      </c>
      <c r="U5991">
        <v>3.3404850000000001</v>
      </c>
      <c r="V5991">
        <v>-6.3469100000000001E-2</v>
      </c>
      <c r="W5991">
        <v>0.3688418</v>
      </c>
      <c r="X5991">
        <v>0.92732270000000006</v>
      </c>
      <c r="Y5991">
        <v>-1.265656E-3</v>
      </c>
      <c r="Z5991">
        <v>-8.2094570000000006E-2</v>
      </c>
      <c r="AA5991">
        <v>0.99662379999999995</v>
      </c>
      <c r="AB5991">
        <v>34</v>
      </c>
      <c r="AC5991">
        <v>-8.8000000000079091E-3</v>
      </c>
      <c r="AD5991">
        <v>-8.7252000000000093E-2</v>
      </c>
      <c r="AE5991">
        <v>0.56492999999998905</v>
      </c>
      <c r="AF5991">
        <v>-1.0876591154112801E-3</v>
      </c>
      <c r="AG5991">
        <v>-8.7252000000000093E-2</v>
      </c>
      <c r="AH5991">
        <v>0.55183710020802001</v>
      </c>
      <c r="AI5991">
        <v>98.984747661240206</v>
      </c>
      <c r="AJ5991">
        <v>90.112928609079702</v>
      </c>
      <c r="AK5991">
        <v>0.55869336820151005</v>
      </c>
      <c r="AL5991">
        <v>68.355794073138995</v>
      </c>
      <c r="AM5991">
        <v>93.9154105235299</v>
      </c>
      <c r="AN5991">
        <v>0.99999999500866998</v>
      </c>
    </row>
    <row r="5992" spans="1:40" x14ac:dyDescent="0.25">
      <c r="A5992" t="str">
        <f>"20190304164805428"</f>
        <v>20190304164805428</v>
      </c>
      <c r="B5992" t="str">
        <f>"1551689285425428"</f>
        <v>1551689285425428</v>
      </c>
      <c r="C5992" t="s">
        <v>40</v>
      </c>
      <c r="D5992">
        <v>4.5651590000000004</v>
      </c>
      <c r="E5992">
        <v>0.54154840000000004</v>
      </c>
      <c r="F5992" t="s">
        <v>41</v>
      </c>
      <c r="G5992">
        <v>-187.5994</v>
      </c>
      <c r="H5992">
        <v>1.026149</v>
      </c>
      <c r="I5992">
        <v>78.569890000000001</v>
      </c>
      <c r="J5992">
        <v>-187.59100000000001</v>
      </c>
      <c r="K5992">
        <v>1.1110850000000001</v>
      </c>
      <c r="L5992">
        <v>78.042109999999994</v>
      </c>
      <c r="M5992">
        <v>-1.371964E-2</v>
      </c>
      <c r="N5992">
        <v>-1.4578219999999999E-2</v>
      </c>
      <c r="O5992">
        <v>0.99979960000000001</v>
      </c>
      <c r="P5992">
        <v>-7.6398030000000006E-2</v>
      </c>
      <c r="Q5992">
        <v>0.35504390000000002</v>
      </c>
      <c r="R5992">
        <v>0.93172270000000001</v>
      </c>
      <c r="S5992">
        <v>-5.104065E-2</v>
      </c>
      <c r="T5992">
        <v>-0.32666800000000001</v>
      </c>
      <c r="U5992">
        <v>3.3404850000000001</v>
      </c>
      <c r="V5992">
        <v>-6.3689099999999998E-2</v>
      </c>
      <c r="W5992">
        <v>0.36858869999999999</v>
      </c>
      <c r="X5992">
        <v>0.92740829999999996</v>
      </c>
      <c r="Y5992">
        <v>-1.502969E-3</v>
      </c>
      <c r="Z5992">
        <v>-8.2789150000000006E-2</v>
      </c>
      <c r="AA5992">
        <v>0.9965659</v>
      </c>
      <c r="AB5992">
        <v>34</v>
      </c>
      <c r="AC5992">
        <v>-8.4000000000230505E-3</v>
      </c>
      <c r="AD5992">
        <v>-8.4936000000000095E-2</v>
      </c>
      <c r="AE5992">
        <v>0.52778000000000702</v>
      </c>
      <c r="AF5992">
        <v>-1.12827461721007E-3</v>
      </c>
      <c r="AG5992">
        <v>-8.4936000000000095E-2</v>
      </c>
      <c r="AH5992">
        <v>0.51452346502628699</v>
      </c>
      <c r="AI5992">
        <v>99.373658834166704</v>
      </c>
      <c r="AJ5992">
        <v>90.125641053273995</v>
      </c>
      <c r="AK5992">
        <v>0.52148805658640796</v>
      </c>
      <c r="AL5992">
        <v>68.371395918631094</v>
      </c>
      <c r="AM5992">
        <v>93.928578390825393</v>
      </c>
      <c r="AN5992">
        <v>1.0000000430676901</v>
      </c>
    </row>
    <row r="5993" spans="1:40" x14ac:dyDescent="0.25">
      <c r="A5993" t="str">
        <f>"20190304164805449"</f>
        <v>20190304164805449</v>
      </c>
      <c r="B5993" t="str">
        <f>"1551689285444950"</f>
        <v>1551689285444950</v>
      </c>
      <c r="C5993" t="s">
        <v>40</v>
      </c>
      <c r="D5993">
        <v>4.5728280000000003</v>
      </c>
      <c r="E5993">
        <v>0.54160229999999998</v>
      </c>
      <c r="F5993" t="s">
        <v>41</v>
      </c>
      <c r="G5993">
        <v>-187.60390000000001</v>
      </c>
      <c r="H5993">
        <v>1.0293669999999999</v>
      </c>
      <c r="I5993">
        <v>78.873719999999906</v>
      </c>
      <c r="J5993">
        <v>-187.59559999999999</v>
      </c>
      <c r="K5993">
        <v>1.1110880000000001</v>
      </c>
      <c r="L5993">
        <v>78.369259999999997</v>
      </c>
      <c r="M5993">
        <v>-1.383145E-2</v>
      </c>
      <c r="N5993">
        <v>-1.457469E-2</v>
      </c>
      <c r="O5993">
        <v>0.99979810000000002</v>
      </c>
      <c r="P5993">
        <v>-7.6847760000000001E-2</v>
      </c>
      <c r="Q5993">
        <v>0.35405589999999998</v>
      </c>
      <c r="R5993">
        <v>0.93206160000000005</v>
      </c>
      <c r="S5993">
        <v>-5.178833E-2</v>
      </c>
      <c r="T5993">
        <v>-0.32830189999999998</v>
      </c>
      <c r="U5993">
        <v>3.3406980000000002</v>
      </c>
      <c r="V5993">
        <v>-6.4029509999999998E-2</v>
      </c>
      <c r="W5993">
        <v>0.3676027</v>
      </c>
      <c r="X5993">
        <v>0.92777609999999999</v>
      </c>
      <c r="Y5993">
        <v>-1.612444E-3</v>
      </c>
      <c r="Z5993">
        <v>-8.3268759999999997E-2</v>
      </c>
      <c r="AA5993">
        <v>0.99652580000000002</v>
      </c>
      <c r="AB5993">
        <v>34</v>
      </c>
      <c r="AC5993">
        <v>-8.3000000000197308E-3</v>
      </c>
      <c r="AD5993">
        <v>-8.1720999999999905E-2</v>
      </c>
      <c r="AE5993">
        <v>0.50445999999999402</v>
      </c>
      <c r="AF5993">
        <v>-1.2872783652152901E-3</v>
      </c>
      <c r="AG5993">
        <v>-8.1720999999999905E-2</v>
      </c>
      <c r="AH5993">
        <v>0.491628227241655</v>
      </c>
      <c r="AI5993">
        <v>99.437678081616397</v>
      </c>
      <c r="AJ5993">
        <v>90.150022811431</v>
      </c>
      <c r="AK5993">
        <v>0.49837565424824098</v>
      </c>
      <c r="AL5993">
        <v>68.432154817963493</v>
      </c>
      <c r="AM5993">
        <v>93.947949098182406</v>
      </c>
      <c r="AN5993">
        <v>1.00000000746467</v>
      </c>
    </row>
    <row r="5994" spans="1:40" x14ac:dyDescent="0.25">
      <c r="A5994" t="str">
        <f>"20190304164805471"</f>
        <v>20190304164805471</v>
      </c>
      <c r="B5994" t="str">
        <f>"1551689285465445"</f>
        <v>1551689285465445</v>
      </c>
      <c r="C5994" t="s">
        <v>40</v>
      </c>
      <c r="D5994">
        <v>4.6833109999999998</v>
      </c>
      <c r="E5994">
        <v>0.54161729999999997</v>
      </c>
      <c r="F5994" t="s">
        <v>41</v>
      </c>
      <c r="G5994">
        <v>-187.60820000000001</v>
      </c>
      <c r="H5994">
        <v>1.0307869999999999</v>
      </c>
      <c r="I5994">
        <v>79.176689999999994</v>
      </c>
      <c r="J5994">
        <v>-187.6003</v>
      </c>
      <c r="K5994">
        <v>1.111084</v>
      </c>
      <c r="L5994">
        <v>78.700710000000001</v>
      </c>
      <c r="M5994">
        <v>-1.394481E-2</v>
      </c>
      <c r="N5994">
        <v>-1.4571280000000001E-2</v>
      </c>
      <c r="O5994">
        <v>0.99979660000000004</v>
      </c>
      <c r="P5994">
        <v>-7.7051679999999997E-2</v>
      </c>
      <c r="Q5994">
        <v>0.35324899999999998</v>
      </c>
      <c r="R5994">
        <v>0.93235089999999998</v>
      </c>
      <c r="S5994">
        <v>-5.2444459999999998E-2</v>
      </c>
      <c r="T5994">
        <v>-0.332277299999999</v>
      </c>
      <c r="U5994">
        <v>3.340576</v>
      </c>
      <c r="V5994">
        <v>-6.4123529999999998E-2</v>
      </c>
      <c r="W5994">
        <v>0.36679719999999999</v>
      </c>
      <c r="X5994">
        <v>0.92808840000000004</v>
      </c>
      <c r="Y5994">
        <v>-1.693663E-3</v>
      </c>
      <c r="Z5994">
        <v>-8.4449479999999993E-2</v>
      </c>
      <c r="AA5994">
        <v>0.99642629999999999</v>
      </c>
      <c r="AB5994">
        <v>34</v>
      </c>
      <c r="AC5994">
        <v>-7.9000000000064505E-3</v>
      </c>
      <c r="AD5994">
        <v>-8.0296999999999799E-2</v>
      </c>
      <c r="AE5994">
        <v>0.47598000000000701</v>
      </c>
      <c r="AF5994">
        <v>-1.2261896967118899E-3</v>
      </c>
      <c r="AG5994">
        <v>-8.0296999999999799E-2</v>
      </c>
      <c r="AH5994">
        <v>0.46287451813111102</v>
      </c>
      <c r="AI5994">
        <v>99.841391197469704</v>
      </c>
      <c r="AJ5994">
        <v>90.151780509427496</v>
      </c>
      <c r="AK5994">
        <v>0.46978924134688399</v>
      </c>
      <c r="AL5994">
        <v>68.4817736421451</v>
      </c>
      <c r="AM5994">
        <v>93.952401632394</v>
      </c>
      <c r="AN5994">
        <v>1.0000000456210201</v>
      </c>
    </row>
    <row r="5995" spans="1:40" x14ac:dyDescent="0.25">
      <c r="A5995" t="str">
        <f>"20190304164805496"</f>
        <v>20190304164805496</v>
      </c>
      <c r="B5995" t="str">
        <f>"1551689285484964"</f>
        <v>1551689285484964</v>
      </c>
      <c r="C5995" t="s">
        <v>40</v>
      </c>
      <c r="D5995">
        <v>4.6997280000000003</v>
      </c>
      <c r="E5995">
        <v>0.56477639999999996</v>
      </c>
      <c r="F5995" t="s">
        <v>41</v>
      </c>
      <c r="G5995">
        <v>-187.61250000000001</v>
      </c>
      <c r="H5995">
        <v>1.032851</v>
      </c>
      <c r="I5995">
        <v>79.479959999999906</v>
      </c>
      <c r="J5995">
        <v>-187.60570000000001</v>
      </c>
      <c r="K5995">
        <v>1.1110819999999999</v>
      </c>
      <c r="L5995">
        <v>79.075530000000001</v>
      </c>
      <c r="M5995">
        <v>-1.407309E-2</v>
      </c>
      <c r="N5995">
        <v>-1.456736E-2</v>
      </c>
      <c r="O5995">
        <v>0.99979479999999998</v>
      </c>
      <c r="P5995">
        <v>-7.6581709999999997E-2</v>
      </c>
      <c r="Q5995">
        <v>0.3526493</v>
      </c>
      <c r="R5995">
        <v>0.93261660000000002</v>
      </c>
      <c r="S5995">
        <v>-5.2429199999999898E-2</v>
      </c>
      <c r="T5995">
        <v>-0.33537879999999998</v>
      </c>
      <c r="U5995">
        <v>3.3403930000000002</v>
      </c>
      <c r="V5995">
        <v>-6.3529370000000002E-2</v>
      </c>
      <c r="W5995">
        <v>0.36619780000000002</v>
      </c>
      <c r="X5995">
        <v>0.92836589999999997</v>
      </c>
      <c r="Y5995">
        <v>-1.560529E-3</v>
      </c>
      <c r="Z5995">
        <v>-8.5374309999999995E-2</v>
      </c>
      <c r="AA5995">
        <v>0.99634769999999995</v>
      </c>
      <c r="AB5995">
        <v>34</v>
      </c>
      <c r="AC5995">
        <v>-6.7999999999983603E-3</v>
      </c>
      <c r="AD5995">
        <v>-7.8230999999999898E-2</v>
      </c>
      <c r="AE5995">
        <v>0.40442999999999002</v>
      </c>
      <c r="AF5995">
        <v>-1.06722126136461E-3</v>
      </c>
      <c r="AG5995">
        <v>-7.8230999999999898E-2</v>
      </c>
      <c r="AH5995">
        <v>0.38990078357281099</v>
      </c>
      <c r="AI5995">
        <v>101.345330274191</v>
      </c>
      <c r="AJ5995">
        <v>90.156827387770306</v>
      </c>
      <c r="AK5995">
        <v>0.39767304328167902</v>
      </c>
      <c r="AL5995">
        <v>68.518684642305004</v>
      </c>
      <c r="AM5995">
        <v>93.914726809482403</v>
      </c>
      <c r="AN5995">
        <v>1.0000000269301199</v>
      </c>
    </row>
    <row r="5996" spans="1:40" x14ac:dyDescent="0.25">
      <c r="A5996" t="str">
        <f>"20190304164805519"</f>
        <v>20190304164805519</v>
      </c>
      <c r="B5996" t="str">
        <f>"1551689285515221"</f>
        <v>1551689285515221</v>
      </c>
      <c r="C5996" t="s">
        <v>40</v>
      </c>
      <c r="D5996">
        <v>4.6358519999999999</v>
      </c>
      <c r="E5996">
        <v>0.57130969999999903</v>
      </c>
      <c r="F5996" t="s">
        <v>41</v>
      </c>
      <c r="G5996">
        <v>-187.56710000000001</v>
      </c>
      <c r="H5996">
        <v>1.0041</v>
      </c>
      <c r="I5996">
        <v>80.066769999999906</v>
      </c>
      <c r="J5996">
        <v>-187.61060000000001</v>
      </c>
      <c r="K5996">
        <v>1.1110789999999999</v>
      </c>
      <c r="L5996">
        <v>79.418369999999996</v>
      </c>
      <c r="M5996">
        <v>-1.419049E-2</v>
      </c>
      <c r="N5996">
        <v>-1.456354E-2</v>
      </c>
      <c r="O5996">
        <v>0.99979320000000005</v>
      </c>
      <c r="P5996">
        <v>-7.5946059999999996E-2</v>
      </c>
      <c r="Q5996">
        <v>0.35224499999999997</v>
      </c>
      <c r="R5996">
        <v>0.93282129999999996</v>
      </c>
      <c r="S5996">
        <v>0.13069149999999999</v>
      </c>
      <c r="T5996">
        <v>-0.36317430000000001</v>
      </c>
      <c r="U5996">
        <v>3.3648069999999999</v>
      </c>
      <c r="V5996">
        <v>-6.2781310000000007E-2</v>
      </c>
      <c r="W5996">
        <v>0.3657936</v>
      </c>
      <c r="X5996">
        <v>0.92857610000000002</v>
      </c>
      <c r="Y5996">
        <v>5.2774630000000003E-2</v>
      </c>
      <c r="Z5996">
        <v>-9.2684150000000007E-2</v>
      </c>
      <c r="AA5996">
        <v>0.99429599999999996</v>
      </c>
      <c r="AB5996">
        <v>34</v>
      </c>
      <c r="AC5996">
        <v>4.3499999999994501E-2</v>
      </c>
      <c r="AD5996">
        <v>-0.106979</v>
      </c>
      <c r="AE5996">
        <v>0.64839999999999498</v>
      </c>
      <c r="AF5996">
        <v>5.1307308370617498E-2</v>
      </c>
      <c r="AG5996">
        <v>-0.106979</v>
      </c>
      <c r="AH5996">
        <v>0.63062767280181597</v>
      </c>
      <c r="AI5996">
        <v>99.596819957830107</v>
      </c>
      <c r="AJ5996">
        <v>85.348710889747807</v>
      </c>
      <c r="AK5996">
        <v>0.64169167677060601</v>
      </c>
      <c r="AL5996">
        <v>68.543569910902505</v>
      </c>
      <c r="AM5996">
        <v>93.867898504086</v>
      </c>
      <c r="AN5996">
        <v>1.00000001208874</v>
      </c>
    </row>
    <row r="5997" spans="1:40" x14ac:dyDescent="0.25">
      <c r="A5997" t="str">
        <f>"20190304164805539"</f>
        <v>20190304164805539</v>
      </c>
      <c r="B5997" t="str">
        <f>"1551689285535717"</f>
        <v>1551689285535717</v>
      </c>
      <c r="C5997" t="s">
        <v>40</v>
      </c>
      <c r="D5997">
        <v>4.6162409999999996</v>
      </c>
      <c r="E5997">
        <v>0.57338579999999995</v>
      </c>
      <c r="F5997" t="s">
        <v>41</v>
      </c>
      <c r="G5997">
        <v>-187.56039999999999</v>
      </c>
      <c r="H5997">
        <v>0.99339820000000001</v>
      </c>
      <c r="I5997">
        <v>80.362080000000006</v>
      </c>
      <c r="J5997">
        <v>-187.61529999999999</v>
      </c>
      <c r="K5997">
        <v>1.111073</v>
      </c>
      <c r="L5997">
        <v>79.738770000000002</v>
      </c>
      <c r="M5997">
        <v>-1.4300200000000001E-2</v>
      </c>
      <c r="N5997">
        <v>-1.4559880000000001E-2</v>
      </c>
      <c r="O5997">
        <v>0.99979169999999995</v>
      </c>
      <c r="P5997">
        <v>-7.5257060000000001E-2</v>
      </c>
      <c r="Q5997">
        <v>0.35129120000000003</v>
      </c>
      <c r="R5997">
        <v>0.93323670000000003</v>
      </c>
      <c r="S5997">
        <v>0.17971799999999999</v>
      </c>
      <c r="T5997">
        <v>-0.42282700000000001</v>
      </c>
      <c r="U5997">
        <v>3.3903500000000002</v>
      </c>
      <c r="V5997">
        <v>-6.198302E-2</v>
      </c>
      <c r="W5997">
        <v>0.36484240000000001</v>
      </c>
      <c r="X5997">
        <v>0.92900380000000005</v>
      </c>
      <c r="Y5997">
        <v>6.6827049999999999E-2</v>
      </c>
      <c r="Z5997">
        <v>-0.1090468</v>
      </c>
      <c r="AA5997">
        <v>0.99178770000000005</v>
      </c>
      <c r="AB5997">
        <v>34</v>
      </c>
      <c r="AC5997">
        <v>5.4900000000003502E-2</v>
      </c>
      <c r="AD5997">
        <v>-0.117674799999999</v>
      </c>
      <c r="AE5997">
        <v>0.62331000000000303</v>
      </c>
      <c r="AF5997">
        <v>6.1629128678458302E-2</v>
      </c>
      <c r="AG5997">
        <v>-0.117674799999999</v>
      </c>
      <c r="AH5997">
        <v>0.60119829270560599</v>
      </c>
      <c r="AI5997">
        <v>101.018386885103</v>
      </c>
      <c r="AJ5997">
        <v>84.147026500870794</v>
      </c>
      <c r="AK5997">
        <v>0.61569870489456202</v>
      </c>
      <c r="AL5997">
        <v>68.602115182171403</v>
      </c>
      <c r="AM5997">
        <v>93.8171101060627</v>
      </c>
      <c r="AN5997">
        <v>0.99999996601025898</v>
      </c>
    </row>
    <row r="5998" spans="1:40" x14ac:dyDescent="0.25">
      <c r="A5998" t="str">
        <f>"20190304164805561"</f>
        <v>20190304164805561</v>
      </c>
      <c r="B5998" t="str">
        <f>"1551689285555237"</f>
        <v>1551689285555237</v>
      </c>
      <c r="C5998" t="s">
        <v>40</v>
      </c>
      <c r="D5998">
        <v>4.6344810000000001</v>
      </c>
      <c r="E5998">
        <v>0.57457040000000004</v>
      </c>
      <c r="F5998" t="s">
        <v>41</v>
      </c>
      <c r="G5998">
        <v>-187.56129999999999</v>
      </c>
      <c r="H5998">
        <v>0.99239049999999995</v>
      </c>
      <c r="I5998">
        <v>80.661779999999993</v>
      </c>
      <c r="J5998">
        <v>-187.6198</v>
      </c>
      <c r="K5998">
        <v>1.1110660000000001</v>
      </c>
      <c r="L5998">
        <v>80.046750000000003</v>
      </c>
      <c r="M5998">
        <v>-1.4405609999999999E-2</v>
      </c>
      <c r="N5998">
        <v>-1.4556380000000001E-2</v>
      </c>
      <c r="O5998">
        <v>0.99979030000000002</v>
      </c>
      <c r="P5998">
        <v>-7.4654940000000003E-2</v>
      </c>
      <c r="Q5998">
        <v>0.35030620000000001</v>
      </c>
      <c r="R5998">
        <v>0.93365529999999997</v>
      </c>
      <c r="S5998">
        <v>0.1985779</v>
      </c>
      <c r="T5998">
        <v>-0.43652029999999997</v>
      </c>
      <c r="U5998">
        <v>3.3949579999999999</v>
      </c>
      <c r="V5998">
        <v>-6.1276459999999998E-2</v>
      </c>
      <c r="W5998">
        <v>0.36386049999999998</v>
      </c>
      <c r="X5998">
        <v>0.92943569999999998</v>
      </c>
      <c r="Y5998">
        <v>7.232065E-2</v>
      </c>
      <c r="Z5998">
        <v>-0.112778</v>
      </c>
      <c r="AA5998">
        <v>0.9909848</v>
      </c>
      <c r="AB5998">
        <v>34</v>
      </c>
      <c r="AC5998">
        <v>5.8500000000009302E-2</v>
      </c>
      <c r="AD5998">
        <v>-0.118675499999999</v>
      </c>
      <c r="AE5998">
        <v>0.61503000000000396</v>
      </c>
      <c r="AF5998">
        <v>6.4957850681670204E-2</v>
      </c>
      <c r="AG5998">
        <v>-0.118675499999999</v>
      </c>
      <c r="AH5998">
        <v>0.59226904235281097</v>
      </c>
      <c r="AI5998">
        <v>101.264746201523</v>
      </c>
      <c r="AJ5998">
        <v>83.741029598872998</v>
      </c>
      <c r="AK5998">
        <v>0.60752449760890104</v>
      </c>
      <c r="AL5998">
        <v>68.662527127331103</v>
      </c>
      <c r="AM5998">
        <v>93.771975810762001</v>
      </c>
      <c r="AN5998">
        <v>0.99999999422243502</v>
      </c>
    </row>
    <row r="5999" spans="1:40" x14ac:dyDescent="0.25">
      <c r="A5999" t="str">
        <f>"20190304164805583"</f>
        <v>20190304164805583</v>
      </c>
      <c r="B5999" t="str">
        <f>"1551689285575733"</f>
        <v>1551689285575733</v>
      </c>
      <c r="C5999" t="s">
        <v>40</v>
      </c>
      <c r="D5999">
        <v>4.6347800000000001</v>
      </c>
      <c r="E5999">
        <v>0.57527539999999999</v>
      </c>
      <c r="F5999" t="s">
        <v>41</v>
      </c>
      <c r="G5999">
        <v>-187.56280000000001</v>
      </c>
      <c r="H5999">
        <v>0.99120620000000004</v>
      </c>
      <c r="I5999">
        <v>80.96105</v>
      </c>
      <c r="J5999">
        <v>-187.6249</v>
      </c>
      <c r="K5999">
        <v>1.111067</v>
      </c>
      <c r="L5999">
        <v>80.392150000000001</v>
      </c>
      <c r="M5999">
        <v>-1.452413E-2</v>
      </c>
      <c r="N5999">
        <v>-1.455245E-2</v>
      </c>
      <c r="O5999">
        <v>0.99978860000000003</v>
      </c>
      <c r="P5999">
        <v>-7.4137049999999996E-2</v>
      </c>
      <c r="Q5999">
        <v>0.34949029999999998</v>
      </c>
      <c r="R5999">
        <v>0.9340022</v>
      </c>
      <c r="S5999">
        <v>0.2109528</v>
      </c>
      <c r="T5999">
        <v>-0.44540659999999999</v>
      </c>
      <c r="U5999">
        <v>3.3971559999999998</v>
      </c>
      <c r="V5999">
        <v>-6.0642080000000001E-2</v>
      </c>
      <c r="W5999">
        <v>0.3630467</v>
      </c>
      <c r="X5999">
        <v>0.9297955</v>
      </c>
      <c r="Y5999">
        <v>7.5975219999999996E-2</v>
      </c>
      <c r="Z5999">
        <v>-0.1152184</v>
      </c>
      <c r="AA5999">
        <v>0.99043049999999999</v>
      </c>
      <c r="AB5999">
        <v>34</v>
      </c>
      <c r="AC5999">
        <v>6.2099999999986701E-2</v>
      </c>
      <c r="AD5999">
        <v>-0.1198608</v>
      </c>
      <c r="AE5999">
        <v>0.56889999999999896</v>
      </c>
      <c r="AF5999">
        <v>6.7400443666570997E-2</v>
      </c>
      <c r="AG5999">
        <v>-0.1198608</v>
      </c>
      <c r="AH5999">
        <v>0.54407114943275903</v>
      </c>
      <c r="AI5999">
        <v>102.332650741631</v>
      </c>
      <c r="AJ5999">
        <v>82.938082009711707</v>
      </c>
      <c r="AK5999">
        <v>0.56117987029843996</v>
      </c>
      <c r="AL5999">
        <v>68.712577823922302</v>
      </c>
      <c r="AM5999">
        <v>93.731595995273693</v>
      </c>
      <c r="AN5999">
        <v>1.0000000200339301</v>
      </c>
    </row>
    <row r="6000" spans="1:40" x14ac:dyDescent="0.25">
      <c r="A6000" t="str">
        <f>"20190304164805605"</f>
        <v>20190304164805605</v>
      </c>
      <c r="B6000" t="str">
        <f>"1551689285595253"</f>
        <v>1551689285595253</v>
      </c>
      <c r="C6000" t="s">
        <v>40</v>
      </c>
      <c r="D6000">
        <v>4.6487579999999999</v>
      </c>
      <c r="E6000">
        <v>0.57577199999999995</v>
      </c>
      <c r="F6000" t="s">
        <v>41</v>
      </c>
      <c r="G6000">
        <v>-187.56870000000001</v>
      </c>
      <c r="H6000">
        <v>0.99512100000000003</v>
      </c>
      <c r="I6000">
        <v>81.262439999999998</v>
      </c>
      <c r="J6000">
        <v>-187.62979999999999</v>
      </c>
      <c r="K6000">
        <v>1.1110660000000001</v>
      </c>
      <c r="L6000">
        <v>80.718440000000001</v>
      </c>
      <c r="M6000">
        <v>-1.463588E-2</v>
      </c>
      <c r="N6000">
        <v>-1.4548719999999999E-2</v>
      </c>
      <c r="O6000">
        <v>0.99978699999999998</v>
      </c>
      <c r="P6000">
        <v>-7.3616810000000005E-2</v>
      </c>
      <c r="Q6000">
        <v>0.34836149999999999</v>
      </c>
      <c r="R6000">
        <v>0.93446499999999999</v>
      </c>
      <c r="S6000">
        <v>0.21940609999999999</v>
      </c>
      <c r="T6000">
        <v>-0.45282840000000002</v>
      </c>
      <c r="U6000">
        <v>3.3988339999999901</v>
      </c>
      <c r="V6000">
        <v>-6.0010090000000002E-2</v>
      </c>
      <c r="W6000">
        <v>0.36192059999999998</v>
      </c>
      <c r="X6000">
        <v>0.93027539999999997</v>
      </c>
      <c r="Y6000">
        <v>7.8490400000000002E-2</v>
      </c>
      <c r="Z6000">
        <v>-0.11726159999999999</v>
      </c>
      <c r="AA6000">
        <v>0.98999440000000005</v>
      </c>
      <c r="AB6000">
        <v>34</v>
      </c>
      <c r="AC6000">
        <v>6.1099999999981898E-2</v>
      </c>
      <c r="AD6000">
        <v>-0.11594499999999899</v>
      </c>
      <c r="AE6000">
        <v>0.54399999999999604</v>
      </c>
      <c r="AF6000">
        <v>6.6091340313935001E-2</v>
      </c>
      <c r="AG6000">
        <v>-0.11594499999999899</v>
      </c>
      <c r="AH6000">
        <v>0.51973205028347202</v>
      </c>
      <c r="AI6000">
        <v>102.478661190301</v>
      </c>
      <c r="AJ6000">
        <v>82.752921260344195</v>
      </c>
      <c r="AK6000">
        <v>0.53659361940052297</v>
      </c>
      <c r="AL6000">
        <v>68.781806989993996</v>
      </c>
      <c r="AM6000">
        <v>93.690915073200699</v>
      </c>
      <c r="AN6000">
        <v>1.00000002572566</v>
      </c>
    </row>
    <row r="6001" spans="1:40" x14ac:dyDescent="0.25">
      <c r="A6001" t="str">
        <f>"20190304164805628"</f>
        <v>20190304164805628</v>
      </c>
      <c r="B6001" t="str">
        <f>"1551689285625509"</f>
        <v>1551689285625509</v>
      </c>
      <c r="C6001" t="s">
        <v>40</v>
      </c>
      <c r="D6001">
        <v>4.5500170000000004</v>
      </c>
      <c r="E6001">
        <v>0.57619169999999997</v>
      </c>
      <c r="F6001" t="s">
        <v>41</v>
      </c>
      <c r="G6001">
        <v>-187.57310000000001</v>
      </c>
      <c r="H6001">
        <v>0.99681839999999999</v>
      </c>
      <c r="I6001">
        <v>81.56241</v>
      </c>
      <c r="J6001">
        <v>-187.63499999999999</v>
      </c>
      <c r="K6001">
        <v>1.1110549999999999</v>
      </c>
      <c r="L6001">
        <v>81.065550000000002</v>
      </c>
      <c r="M6001">
        <v>-1.4754959999999999E-2</v>
      </c>
      <c r="N6001">
        <v>-1.454485E-2</v>
      </c>
      <c r="O6001">
        <v>0.99978540000000005</v>
      </c>
      <c r="P6001">
        <v>-7.2708579999999995E-2</v>
      </c>
      <c r="Q6001">
        <v>0.34769270000000002</v>
      </c>
      <c r="R6001">
        <v>0.93478519999999998</v>
      </c>
      <c r="S6001">
        <v>0.22773740000000001</v>
      </c>
      <c r="T6001">
        <v>-0.46028540000000001</v>
      </c>
      <c r="U6001">
        <v>3.3999329999999999</v>
      </c>
      <c r="V6001">
        <v>-5.8985320000000001E-2</v>
      </c>
      <c r="W6001">
        <v>0.3612533</v>
      </c>
      <c r="X6001">
        <v>0.93060019999999999</v>
      </c>
      <c r="Y6001">
        <v>8.0983340000000001E-2</v>
      </c>
      <c r="Z6001">
        <v>-0.1193326</v>
      </c>
      <c r="AA6001">
        <v>0.98954609999999998</v>
      </c>
      <c r="AB6001">
        <v>34</v>
      </c>
      <c r="AC6001">
        <v>6.1899999999979999E-2</v>
      </c>
      <c r="AD6001">
        <v>-0.11423659999999899</v>
      </c>
      <c r="AE6001">
        <v>0.49685999999999803</v>
      </c>
      <c r="AF6001">
        <v>6.5800033347977294E-2</v>
      </c>
      <c r="AG6001">
        <v>-0.11423659999999899</v>
      </c>
      <c r="AH6001">
        <v>0.471356505489814</v>
      </c>
      <c r="AI6001">
        <v>103.497337971994</v>
      </c>
      <c r="AJ6001">
        <v>82.053027739532396</v>
      </c>
      <c r="AK6001">
        <v>0.48944519656006902</v>
      </c>
      <c r="AL6001">
        <v>68.822813981624293</v>
      </c>
      <c r="AM6001">
        <v>93.626793597793394</v>
      </c>
      <c r="AN6001">
        <v>0.99999997348821501</v>
      </c>
    </row>
    <row r="6002" spans="1:40" x14ac:dyDescent="0.25">
      <c r="A6002" t="str">
        <f>"20190304164805649"</f>
        <v>20190304164805649</v>
      </c>
      <c r="B6002" t="str">
        <f>"1551689285645029"</f>
        <v>1551689285645029</v>
      </c>
      <c r="C6002" t="s">
        <v>40</v>
      </c>
      <c r="D6002">
        <v>4.7412409999999996</v>
      </c>
      <c r="E6002">
        <v>0.57639459999999998</v>
      </c>
      <c r="F6002" t="s">
        <v>41</v>
      </c>
      <c r="G6002">
        <v>-187.57929999999999</v>
      </c>
      <c r="H6002">
        <v>1.0037780000000001</v>
      </c>
      <c r="I6002">
        <v>81.864630000000005</v>
      </c>
      <c r="J6002">
        <v>-187.6397</v>
      </c>
      <c r="K6002">
        <v>1.1110519999999999</v>
      </c>
      <c r="L6002">
        <v>81.379090000000005</v>
      </c>
      <c r="M6002">
        <v>-1.486258E-2</v>
      </c>
      <c r="N6002">
        <v>-1.4541399999999999E-2</v>
      </c>
      <c r="O6002">
        <v>0.9997838</v>
      </c>
      <c r="P6002">
        <v>-7.1671550000000001E-2</v>
      </c>
      <c r="Q6002">
        <v>0.34654210000000002</v>
      </c>
      <c r="R6002">
        <v>0.93529229999999997</v>
      </c>
      <c r="S6002">
        <v>0.23623659999999999</v>
      </c>
      <c r="T6002">
        <v>-0.45609379999999999</v>
      </c>
      <c r="U6002">
        <v>3.3973080000000002</v>
      </c>
      <c r="V6002">
        <v>-5.7840379999999997E-2</v>
      </c>
      <c r="W6002">
        <v>0.36010720000000002</v>
      </c>
      <c r="X6002">
        <v>0.93111619999999995</v>
      </c>
      <c r="Y6002">
        <v>8.3612530000000004E-2</v>
      </c>
      <c r="Z6002">
        <v>-0.1182115</v>
      </c>
      <c r="AA6002">
        <v>0.98946199999999995</v>
      </c>
      <c r="AB6002">
        <v>33</v>
      </c>
      <c r="AC6002">
        <v>6.0400000000015497E-2</v>
      </c>
      <c r="AD6002">
        <v>-0.10727399999999999</v>
      </c>
      <c r="AE6002">
        <v>0.48554000000000003</v>
      </c>
      <c r="AF6002">
        <v>6.4509525394826697E-2</v>
      </c>
      <c r="AG6002">
        <v>-0.10727399999999999</v>
      </c>
      <c r="AH6002">
        <v>0.46236299644204198</v>
      </c>
      <c r="AI6002">
        <v>102.941159613493</v>
      </c>
      <c r="AJ6002">
        <v>82.057286869025504</v>
      </c>
      <c r="AK6002">
        <v>0.47900806926556999</v>
      </c>
      <c r="AL6002">
        <v>68.8932212300125</v>
      </c>
      <c r="AM6002">
        <v>93.554611958869003</v>
      </c>
      <c r="AN6002">
        <v>1.0000000414764101</v>
      </c>
    </row>
    <row r="6003" spans="1:40" x14ac:dyDescent="0.25">
      <c r="A6003" t="str">
        <f>"20190304164805671"</f>
        <v>20190304164805671</v>
      </c>
      <c r="B6003" t="str">
        <f>"1551689285665524"</f>
        <v>1551689285665524</v>
      </c>
      <c r="C6003" t="s">
        <v>40</v>
      </c>
      <c r="D6003">
        <v>4.578373</v>
      </c>
      <c r="E6003">
        <v>0.57644680000000004</v>
      </c>
      <c r="F6003" t="s">
        <v>41</v>
      </c>
      <c r="G6003">
        <v>-187.58320000000001</v>
      </c>
      <c r="H6003">
        <v>1.0059100000000001</v>
      </c>
      <c r="I6003">
        <v>82.164119999999997</v>
      </c>
      <c r="J6003">
        <v>-187.6448</v>
      </c>
      <c r="K6003">
        <v>1.1110450000000001</v>
      </c>
      <c r="L6003">
        <v>81.709109999999995</v>
      </c>
      <c r="M6003">
        <v>-1.497564E-2</v>
      </c>
      <c r="N6003">
        <v>-1.4537720000000001E-2</v>
      </c>
      <c r="O6003">
        <v>0.99978210000000001</v>
      </c>
      <c r="P6003">
        <v>-7.0699410000000004E-2</v>
      </c>
      <c r="Q6003">
        <v>0.34578560000000003</v>
      </c>
      <c r="R6003">
        <v>0.93564619999999998</v>
      </c>
      <c r="S6003">
        <v>0.24356079999999999</v>
      </c>
      <c r="T6003">
        <v>-0.45467809999999997</v>
      </c>
      <c r="U6003">
        <v>3.3946839999999998</v>
      </c>
      <c r="V6003">
        <v>-5.6756479999999998E-2</v>
      </c>
      <c r="W6003">
        <v>0.35935309999999998</v>
      </c>
      <c r="X6003">
        <v>0.93147409999999997</v>
      </c>
      <c r="Y6003">
        <v>8.5902619999999999E-2</v>
      </c>
      <c r="Z6003">
        <v>-0.1178869</v>
      </c>
      <c r="AA6003">
        <v>0.98930450000000003</v>
      </c>
      <c r="AB6003">
        <v>33</v>
      </c>
      <c r="AC6003">
        <v>6.1599999999998503E-2</v>
      </c>
      <c r="AD6003">
        <v>-0.10513499999999899</v>
      </c>
      <c r="AE6003">
        <v>0.45501000000000102</v>
      </c>
      <c r="AF6003">
        <v>6.5000041724399604E-2</v>
      </c>
      <c r="AG6003">
        <v>-0.10513499999999899</v>
      </c>
      <c r="AH6003">
        <v>0.43141790069424601</v>
      </c>
      <c r="AI6003">
        <v>103.54863215496999</v>
      </c>
      <c r="AJ6003">
        <v>81.431914542056703</v>
      </c>
      <c r="AK6003">
        <v>0.44877586687410398</v>
      </c>
      <c r="AL6003">
        <v>68.939526419188297</v>
      </c>
      <c r="AM6003">
        <v>93.486829380053805</v>
      </c>
      <c r="AN6003">
        <v>0.99999997373620397</v>
      </c>
    </row>
    <row r="6004" spans="1:40" x14ac:dyDescent="0.25">
      <c r="A6004" t="str">
        <f>"20190304164805697"</f>
        <v>20190304164805697</v>
      </c>
      <c r="B6004" t="str">
        <f>"1551689285685045"</f>
        <v>1551689285685045</v>
      </c>
      <c r="C6004" t="s">
        <v>40</v>
      </c>
      <c r="D6004">
        <v>4.6134760000000004</v>
      </c>
      <c r="E6004">
        <v>0.57647819999999905</v>
      </c>
      <c r="F6004" t="s">
        <v>41</v>
      </c>
      <c r="G6004">
        <v>-187.58949999999999</v>
      </c>
      <c r="H6004">
        <v>1.010427</v>
      </c>
      <c r="I6004">
        <v>82.464429999999993</v>
      </c>
      <c r="J6004">
        <v>-187.65029999999999</v>
      </c>
      <c r="K6004">
        <v>1.1110409999999999</v>
      </c>
      <c r="L6004">
        <v>82.073969999999903</v>
      </c>
      <c r="M6004">
        <v>-1.510075E-2</v>
      </c>
      <c r="N6004">
        <v>-1.453367E-2</v>
      </c>
      <c r="O6004">
        <v>0.99978040000000001</v>
      </c>
      <c r="P6004">
        <v>-6.9673360000000004E-2</v>
      </c>
      <c r="Q6004">
        <v>0.3449084</v>
      </c>
      <c r="R6004">
        <v>0.93604699999999996</v>
      </c>
      <c r="S6004">
        <v>0.24789430000000001</v>
      </c>
      <c r="T6004">
        <v>-0.45185350000000002</v>
      </c>
      <c r="U6004">
        <v>3.3920590000000002</v>
      </c>
      <c r="V6004">
        <v>-5.5606999999999997E-2</v>
      </c>
      <c r="W6004">
        <v>0.35847800000000002</v>
      </c>
      <c r="X6004">
        <v>0.9318805</v>
      </c>
      <c r="Y6004">
        <v>8.7344279999999996E-2</v>
      </c>
      <c r="Z6004">
        <v>-0.1171669</v>
      </c>
      <c r="AA6004">
        <v>0.98926380000000003</v>
      </c>
      <c r="AB6004">
        <v>33</v>
      </c>
      <c r="AC6004">
        <v>6.0800000000000402E-2</v>
      </c>
      <c r="AD6004">
        <v>-0.100613999999999</v>
      </c>
      <c r="AE6004">
        <v>0.39046000000001801</v>
      </c>
      <c r="AF6004">
        <v>6.2629795627139898E-2</v>
      </c>
      <c r="AG6004">
        <v>-0.100613999999999</v>
      </c>
      <c r="AH6004">
        <v>0.36578436876470799</v>
      </c>
      <c r="AI6004">
        <v>105.169277843513</v>
      </c>
      <c r="AJ6004">
        <v>80.284001121197804</v>
      </c>
      <c r="AK6004">
        <v>0.38450471093199001</v>
      </c>
      <c r="AL6004">
        <v>68.993244514299903</v>
      </c>
      <c r="AM6004">
        <v>93.414893781397296</v>
      </c>
      <c r="AN6004">
        <v>0.99999994060662301</v>
      </c>
    </row>
    <row r="6005" spans="1:40" x14ac:dyDescent="0.25">
      <c r="A6005" t="str">
        <f>"20190304164805720"</f>
        <v>20190304164805720</v>
      </c>
      <c r="B6005" t="str">
        <f>"1551689285715302"</f>
        <v>1551689285715302</v>
      </c>
      <c r="C6005" t="s">
        <v>40</v>
      </c>
      <c r="D6005">
        <v>4.596584</v>
      </c>
      <c r="E6005">
        <v>0.57663999999999904</v>
      </c>
      <c r="F6005" t="s">
        <v>41</v>
      </c>
      <c r="G6005">
        <v>-187.5778</v>
      </c>
      <c r="H6005">
        <v>0.98198350000000001</v>
      </c>
      <c r="I6005">
        <v>83.045850000000002</v>
      </c>
      <c r="J6005">
        <v>-187.6558</v>
      </c>
      <c r="K6005">
        <v>1.111046</v>
      </c>
      <c r="L6005">
        <v>82.42474</v>
      </c>
      <c r="M6005">
        <v>-1.522036E-2</v>
      </c>
      <c r="N6005">
        <v>-1.4529790000000001E-2</v>
      </c>
      <c r="O6005">
        <v>0.99977859999999996</v>
      </c>
      <c r="P6005">
        <v>-6.8894899999999995E-2</v>
      </c>
      <c r="Q6005">
        <v>0.3443097</v>
      </c>
      <c r="R6005">
        <v>0.93632499999999996</v>
      </c>
      <c r="S6005">
        <v>0.25305179999999999</v>
      </c>
      <c r="T6005">
        <v>-0.45011889999999999</v>
      </c>
      <c r="U6005">
        <v>3.3896480000000002</v>
      </c>
      <c r="V6005">
        <v>-5.4711709999999997E-2</v>
      </c>
      <c r="W6005">
        <v>0.35787970000000002</v>
      </c>
      <c r="X6005">
        <v>0.93216350000000003</v>
      </c>
      <c r="Y6005">
        <v>8.901365E-2</v>
      </c>
      <c r="Z6005">
        <v>-0.1167474</v>
      </c>
      <c r="AA6005">
        <v>0.98916459999999995</v>
      </c>
      <c r="AB6005">
        <v>33</v>
      </c>
      <c r="AC6005">
        <v>7.80000000000029E-2</v>
      </c>
      <c r="AD6005">
        <v>-0.1290625</v>
      </c>
      <c r="AE6005">
        <v>0.62111000000000105</v>
      </c>
      <c r="AF6005">
        <v>8.38799370582895E-2</v>
      </c>
      <c r="AG6005">
        <v>-0.1290625</v>
      </c>
      <c r="AH6005">
        <v>0.59457665021613704</v>
      </c>
      <c r="AI6005">
        <v>102.13047827612201</v>
      </c>
      <c r="AJ6005">
        <v>81.969986182309697</v>
      </c>
      <c r="AK6005">
        <v>0.61417779651286297</v>
      </c>
      <c r="AL6005">
        <v>69.029962344843895</v>
      </c>
      <c r="AM6005">
        <v>93.359022170783206</v>
      </c>
      <c r="AN6005">
        <v>1.00000002080773</v>
      </c>
    </row>
    <row r="6006" spans="1:40" x14ac:dyDescent="0.25">
      <c r="A6006" t="str">
        <f>"20190304164805740"</f>
        <v>20190304164805740</v>
      </c>
      <c r="B6006" t="str">
        <f>"1551689285735797"</f>
        <v>1551689285735797</v>
      </c>
      <c r="C6006" t="s">
        <v>40</v>
      </c>
      <c r="D6006">
        <v>4.5872699999999904</v>
      </c>
      <c r="E6006">
        <v>0.57668229999999998</v>
      </c>
      <c r="F6006" t="s">
        <v>41</v>
      </c>
      <c r="G6006">
        <v>-187.58510000000001</v>
      </c>
      <c r="H6006">
        <v>0.98904860000000006</v>
      </c>
      <c r="I6006">
        <v>83.346350000000001</v>
      </c>
      <c r="J6006">
        <v>-187.66050000000001</v>
      </c>
      <c r="K6006">
        <v>1.1110409999999999</v>
      </c>
      <c r="L6006">
        <v>82.728939999999994</v>
      </c>
      <c r="M6006">
        <v>-1.532352E-2</v>
      </c>
      <c r="N6006">
        <v>-1.45264E-2</v>
      </c>
      <c r="O6006">
        <v>0.99977709999999997</v>
      </c>
      <c r="P6006">
        <v>-6.8300029999999998E-2</v>
      </c>
      <c r="Q6006">
        <v>0.34307910000000003</v>
      </c>
      <c r="R6006">
        <v>0.93682010000000004</v>
      </c>
      <c r="S6006">
        <v>0.25912479999999999</v>
      </c>
      <c r="T6006">
        <v>-0.44855119999999998</v>
      </c>
      <c r="U6006">
        <v>3.3880309999999998</v>
      </c>
      <c r="V6006">
        <v>-5.4011620000000003E-2</v>
      </c>
      <c r="W6006">
        <v>0.35665400000000003</v>
      </c>
      <c r="X6006">
        <v>0.93267389999999994</v>
      </c>
      <c r="Y6006">
        <v>9.0916189999999994E-2</v>
      </c>
      <c r="Z6006">
        <v>-0.11634170000000001</v>
      </c>
      <c r="AA6006">
        <v>0.98903940000000001</v>
      </c>
      <c r="AB6006">
        <v>33</v>
      </c>
      <c r="AC6006">
        <v>7.5400000000001896E-2</v>
      </c>
      <c r="AD6006">
        <v>-0.1219924</v>
      </c>
      <c r="AE6006">
        <v>0.61740999999999202</v>
      </c>
      <c r="AF6006">
        <v>8.1709898359335606E-2</v>
      </c>
      <c r="AG6006">
        <v>-0.1219924</v>
      </c>
      <c r="AH6006">
        <v>0.59335726963672697</v>
      </c>
      <c r="AI6006">
        <v>101.512238806817</v>
      </c>
      <c r="AJ6006">
        <v>82.159241127257303</v>
      </c>
      <c r="AK6006">
        <v>0.61125404095057301</v>
      </c>
      <c r="AL6006">
        <v>69.105150965694705</v>
      </c>
      <c r="AM6006">
        <v>93.314326041079696</v>
      </c>
      <c r="AN6006">
        <v>0.99999996727611595</v>
      </c>
    </row>
    <row r="6007" spans="1:40" x14ac:dyDescent="0.25">
      <c r="A6007" t="str">
        <f>"20190304164805763"</f>
        <v>20190304164805763</v>
      </c>
      <c r="B6007" t="str">
        <f>"1551689285755317"</f>
        <v>1551689285755317</v>
      </c>
      <c r="C6007" t="s">
        <v>40</v>
      </c>
      <c r="D6007">
        <v>4.656256</v>
      </c>
      <c r="E6007">
        <v>0.57676499999999997</v>
      </c>
      <c r="F6007" t="s">
        <v>41</v>
      </c>
      <c r="G6007">
        <v>-187.5898</v>
      </c>
      <c r="H6007">
        <v>0.98984629999999996</v>
      </c>
      <c r="I6007">
        <v>83.643460000000005</v>
      </c>
      <c r="J6007">
        <v>-187.66579999999999</v>
      </c>
      <c r="K6007">
        <v>1.1110329999999999</v>
      </c>
      <c r="L6007">
        <v>83.063689999999994</v>
      </c>
      <c r="M6007">
        <v>-1.543461E-2</v>
      </c>
      <c r="N6007">
        <v>-1.4522759999999999E-2</v>
      </c>
      <c r="O6007">
        <v>0.99977539999999998</v>
      </c>
      <c r="P6007">
        <v>-6.7785769999999995E-2</v>
      </c>
      <c r="Q6007">
        <v>0.342617</v>
      </c>
      <c r="R6007">
        <v>0.93702649999999998</v>
      </c>
      <c r="S6007">
        <v>0.26142880000000002</v>
      </c>
      <c r="T6007">
        <v>-0.44869629999999999</v>
      </c>
      <c r="U6007">
        <v>3.3856809999999999</v>
      </c>
      <c r="V6007">
        <v>-5.3388829999999998E-2</v>
      </c>
      <c r="W6007">
        <v>0.3561916</v>
      </c>
      <c r="X6007">
        <v>0.93288649999999995</v>
      </c>
      <c r="Y6007">
        <v>9.1746040000000001E-2</v>
      </c>
      <c r="Z6007">
        <v>-0.1164673</v>
      </c>
      <c r="AA6007">
        <v>0.98894789999999999</v>
      </c>
      <c r="AB6007">
        <v>33</v>
      </c>
      <c r="AC6007">
        <v>7.5999999999993406E-2</v>
      </c>
      <c r="AD6007">
        <v>-0.121186699999999</v>
      </c>
      <c r="AE6007">
        <v>0.57976999999999601</v>
      </c>
      <c r="AF6007">
        <v>8.1442181785248494E-2</v>
      </c>
      <c r="AG6007">
        <v>-0.121186699999999</v>
      </c>
      <c r="AH6007">
        <v>0.55470137536865605</v>
      </c>
      <c r="AI6007">
        <v>102.19709647021099</v>
      </c>
      <c r="AJ6007">
        <v>81.647414641030196</v>
      </c>
      <c r="AK6007">
        <v>0.57359625266097203</v>
      </c>
      <c r="AL6007">
        <v>69.133508017788202</v>
      </c>
      <c r="AM6007">
        <v>93.275448380524594</v>
      </c>
      <c r="AN6007">
        <v>1.0000000224807799</v>
      </c>
    </row>
    <row r="6008" spans="1:40" x14ac:dyDescent="0.25">
      <c r="A6008" t="str">
        <f>"20190304164805785"</f>
        <v>20190304164805785</v>
      </c>
      <c r="B6008" t="str">
        <f>"1551689285775813"</f>
        <v>1551689285775813</v>
      </c>
      <c r="C6008" t="s">
        <v>40</v>
      </c>
      <c r="D6008">
        <v>4.6444099999999997</v>
      </c>
      <c r="E6008">
        <v>0.57683759999999995</v>
      </c>
      <c r="F6008" t="s">
        <v>41</v>
      </c>
      <c r="G6008">
        <v>-187.5976</v>
      </c>
      <c r="H6008">
        <v>0.99318660000000003</v>
      </c>
      <c r="I6008">
        <v>83.941429999999997</v>
      </c>
      <c r="J6008">
        <v>-187.6711</v>
      </c>
      <c r="K6008">
        <v>1.1110329999999999</v>
      </c>
      <c r="L6008">
        <v>83.402919999999995</v>
      </c>
      <c r="M6008">
        <v>-1.5543009999999999E-2</v>
      </c>
      <c r="N6008">
        <v>-1.451918E-2</v>
      </c>
      <c r="O6008">
        <v>0.99977380000000005</v>
      </c>
      <c r="P6008">
        <v>-6.7999660000000003E-2</v>
      </c>
      <c r="Q6008">
        <v>0.34208490000000003</v>
      </c>
      <c r="R6008">
        <v>0.93720539999999997</v>
      </c>
      <c r="S6008">
        <v>0.26248169999999998</v>
      </c>
      <c r="T6008">
        <v>-0.45476529999999998</v>
      </c>
      <c r="U6008">
        <v>3.3868710000000002</v>
      </c>
      <c r="V6008">
        <v>-5.3495630000000002E-2</v>
      </c>
      <c r="W6008">
        <v>0.35565910000000001</v>
      </c>
      <c r="X6008">
        <v>0.93308349999999995</v>
      </c>
      <c r="Y6008">
        <v>9.2115879999999997E-2</v>
      </c>
      <c r="Z6008">
        <v>-0.1181633</v>
      </c>
      <c r="AA6008">
        <v>0.98871240000000005</v>
      </c>
      <c r="AB6008">
        <v>33</v>
      </c>
      <c r="AC6008">
        <v>7.3499999999995597E-2</v>
      </c>
      <c r="AD6008">
        <v>-0.117846399999999</v>
      </c>
      <c r="AE6008">
        <v>0.53851000000001603</v>
      </c>
      <c r="AF6008">
        <v>7.8186205496229899E-2</v>
      </c>
      <c r="AG6008">
        <v>-0.117846399999999</v>
      </c>
      <c r="AH6008">
        <v>0.51317584782797299</v>
      </c>
      <c r="AI6008">
        <v>102.790581946202</v>
      </c>
      <c r="AJ6008">
        <v>81.3371760264816</v>
      </c>
      <c r="AK6008">
        <v>0.53230659165260896</v>
      </c>
      <c r="AL6008">
        <v>69.166155456949397</v>
      </c>
      <c r="AM6008">
        <v>93.281294934017595</v>
      </c>
      <c r="AN6008">
        <v>0.99999999790707805</v>
      </c>
    </row>
    <row r="6009" spans="1:40" x14ac:dyDescent="0.25">
      <c r="A6009" t="str">
        <f>"20190304164805831"</f>
        <v>20190304164805831</v>
      </c>
      <c r="B6009" t="str">
        <f>"1551689285825235"</f>
        <v>1551689285825235</v>
      </c>
      <c r="C6009" t="s">
        <v>40</v>
      </c>
      <c r="D6009">
        <v>4.6474190000000002</v>
      </c>
      <c r="E6009">
        <v>0.57683989999999996</v>
      </c>
      <c r="F6009" t="s">
        <v>41</v>
      </c>
      <c r="G6009">
        <v>-187.60650000000001</v>
      </c>
      <c r="H6009">
        <v>0.99740890000000004</v>
      </c>
      <c r="I6009">
        <v>84.239469999999997</v>
      </c>
      <c r="J6009">
        <v>-187.6816</v>
      </c>
      <c r="K6009">
        <v>1.1110230000000001</v>
      </c>
      <c r="L6009">
        <v>84.061980000000005</v>
      </c>
      <c r="M6009">
        <v>-1.5727580000000001E-2</v>
      </c>
      <c r="N6009">
        <v>-1.451231E-2</v>
      </c>
      <c r="O6009">
        <v>0.99977099999999997</v>
      </c>
      <c r="P6009">
        <v>-6.7910509999999993E-2</v>
      </c>
      <c r="Q6009">
        <v>0.3413503</v>
      </c>
      <c r="R6009">
        <v>0.93747970000000003</v>
      </c>
      <c r="S6009">
        <v>0.26185609999999998</v>
      </c>
      <c r="T6009">
        <v>-0.46016610000000002</v>
      </c>
      <c r="U6009">
        <v>3.3879700000000001</v>
      </c>
      <c r="V6009">
        <v>-5.3216989999999999E-2</v>
      </c>
      <c r="W6009">
        <v>0.35492410000000002</v>
      </c>
      <c r="X6009">
        <v>0.93337930000000002</v>
      </c>
      <c r="Y6009">
        <v>9.2078579999999993E-2</v>
      </c>
      <c r="Z6009">
        <v>-0.11967700000000001</v>
      </c>
      <c r="AA6009">
        <v>0.98853369999999996</v>
      </c>
      <c r="AB6009">
        <v>33</v>
      </c>
      <c r="AC6009">
        <v>7.5099999999991895E-2</v>
      </c>
      <c r="AD6009">
        <v>-0.113614099999999</v>
      </c>
      <c r="AE6009">
        <v>0.17748999999999099</v>
      </c>
      <c r="AF6009">
        <v>5.7796529375790502E-2</v>
      </c>
      <c r="AG6009">
        <v>-0.113614099999999</v>
      </c>
      <c r="AH6009">
        <v>0.130822264261407</v>
      </c>
      <c r="AI6009">
        <v>128.46326133354</v>
      </c>
      <c r="AJ6009">
        <v>66.164432097406305</v>
      </c>
      <c r="AK6009">
        <v>0.18265559765081901</v>
      </c>
      <c r="AL6009">
        <v>69.211208178844103</v>
      </c>
      <c r="AM6009">
        <v>93.263208628764005</v>
      </c>
      <c r="AN6009">
        <v>1.0000000412269701</v>
      </c>
    </row>
    <row r="6010" spans="1:40" x14ac:dyDescent="0.25">
      <c r="A6010" t="str">
        <f>"20190304164805850"</f>
        <v>20190304164805850</v>
      </c>
      <c r="B6010" t="str">
        <f>"1551689285845731"</f>
        <v>1551689285845731</v>
      </c>
      <c r="C6010" t="s">
        <v>40</v>
      </c>
      <c r="D6010">
        <v>4.656002</v>
      </c>
      <c r="E6010">
        <v>0.57687489999999997</v>
      </c>
      <c r="F6010" t="s">
        <v>41</v>
      </c>
      <c r="G6010">
        <v>-187.6215</v>
      </c>
      <c r="H6010">
        <v>1.0038629999999999</v>
      </c>
      <c r="I6010">
        <v>84.833590000000001</v>
      </c>
      <c r="J6010">
        <v>-187.6865</v>
      </c>
      <c r="K6010">
        <v>1.1110009999999999</v>
      </c>
      <c r="L6010">
        <v>84.366550000000004</v>
      </c>
      <c r="M6010">
        <v>-1.5793669999999999E-2</v>
      </c>
      <c r="N6010">
        <v>-1.4509090000000001E-2</v>
      </c>
      <c r="O6010">
        <v>0.99977000000000005</v>
      </c>
      <c r="P6010">
        <v>-6.7370659999999999E-2</v>
      </c>
      <c r="Q6010">
        <v>0.3413059</v>
      </c>
      <c r="R6010">
        <v>0.9375348</v>
      </c>
      <c r="S6010">
        <v>0.26414490000000002</v>
      </c>
      <c r="T6010">
        <v>-0.4708987</v>
      </c>
      <c r="U6010">
        <v>3.3906559999999999</v>
      </c>
      <c r="V6010">
        <v>-5.2604650000000003E-2</v>
      </c>
      <c r="W6010">
        <v>0.35487859999999899</v>
      </c>
      <c r="X6010">
        <v>0.93343129999999996</v>
      </c>
      <c r="Y6010">
        <v>9.2716690000000004E-2</v>
      </c>
      <c r="Z6010">
        <v>-0.1226405</v>
      </c>
      <c r="AA6010">
        <v>0.98811079999999996</v>
      </c>
      <c r="AB6010">
        <v>33</v>
      </c>
      <c r="AC6010">
        <v>6.4999999999997699E-2</v>
      </c>
      <c r="AD6010">
        <v>-0.107138</v>
      </c>
      <c r="AE6010">
        <v>0.46703999999999701</v>
      </c>
      <c r="AF6010">
        <v>6.8816401030748695E-2</v>
      </c>
      <c r="AG6010">
        <v>-0.107138</v>
      </c>
      <c r="AH6010">
        <v>0.44308162299614201</v>
      </c>
      <c r="AI6010">
        <v>103.438146164564</v>
      </c>
      <c r="AJ6010">
        <v>81.171746814058196</v>
      </c>
      <c r="AK6010">
        <v>0.46101580529491698</v>
      </c>
      <c r="AL6010">
        <v>69.2139964310457</v>
      </c>
      <c r="AM6010">
        <v>93.225561029404304</v>
      </c>
      <c r="AN6010">
        <v>1.00000003087963</v>
      </c>
    </row>
    <row r="6011" spans="1:40" x14ac:dyDescent="0.25">
      <c r="A6011" t="str">
        <f>"20190304164805874"</f>
        <v>20190304164805874</v>
      </c>
      <c r="B6011" t="str">
        <f>"1551689285865252"</f>
        <v>1551689285865252</v>
      </c>
      <c r="C6011" t="s">
        <v>40</v>
      </c>
      <c r="D6011">
        <v>4.6245390000000004</v>
      </c>
      <c r="E6011">
        <v>0.57694179999999995</v>
      </c>
      <c r="F6011" t="s">
        <v>41</v>
      </c>
      <c r="G6011">
        <v>-187.62629999999999</v>
      </c>
      <c r="H6011">
        <v>1.0045999999999999</v>
      </c>
      <c r="I6011">
        <v>85.12894</v>
      </c>
      <c r="J6011">
        <v>-187.6918</v>
      </c>
      <c r="K6011">
        <v>1.110989</v>
      </c>
      <c r="L6011">
        <v>84.696749999999994</v>
      </c>
      <c r="M6011">
        <v>-1.5847E-2</v>
      </c>
      <c r="N6011">
        <v>-1.450559E-2</v>
      </c>
      <c r="O6011">
        <v>0.99976920000000002</v>
      </c>
      <c r="P6011">
        <v>-6.602558E-2</v>
      </c>
      <c r="Q6011">
        <v>0.34109980000000001</v>
      </c>
      <c r="R6011">
        <v>0.93770549999999997</v>
      </c>
      <c r="S6011">
        <v>0.26728819999999998</v>
      </c>
      <c r="T6011">
        <v>-0.47334340000000003</v>
      </c>
      <c r="U6011">
        <v>3.3914179999999998</v>
      </c>
      <c r="V6011">
        <v>-5.1193889999999999E-2</v>
      </c>
      <c r="W6011">
        <v>0.35467359999999998</v>
      </c>
      <c r="X6011">
        <v>0.93358759999999996</v>
      </c>
      <c r="Y6011">
        <v>9.3654849999999998E-2</v>
      </c>
      <c r="Z6011">
        <v>-0.1233016</v>
      </c>
      <c r="AA6011">
        <v>0.98794000000000004</v>
      </c>
      <c r="AB6011">
        <v>33</v>
      </c>
      <c r="AC6011">
        <v>6.5500000000014297E-2</v>
      </c>
      <c r="AD6011">
        <v>-0.106389</v>
      </c>
      <c r="AE6011">
        <v>0.43219000000000501</v>
      </c>
      <c r="AF6011">
        <v>6.8295871687907905E-2</v>
      </c>
      <c r="AG6011">
        <v>-0.106389</v>
      </c>
      <c r="AH6011">
        <v>0.40698942496909801</v>
      </c>
      <c r="AI6011">
        <v>104.45609894902699</v>
      </c>
      <c r="AJ6011">
        <v>80.474092121092198</v>
      </c>
      <c r="AK6011">
        <v>0.42617289619037002</v>
      </c>
      <c r="AL6011">
        <v>69.226558413975198</v>
      </c>
      <c r="AM6011">
        <v>93.138708288649497</v>
      </c>
      <c r="AN6011">
        <v>0.99999999189202604</v>
      </c>
    </row>
    <row r="6012" spans="1:40" x14ac:dyDescent="0.25">
      <c r="A6012" t="str">
        <f>"20190304164805898"</f>
        <v>20190304164805898</v>
      </c>
      <c r="B6012" t="str">
        <f>"1551689285885747"</f>
        <v>1551689285885747</v>
      </c>
      <c r="C6012" t="s">
        <v>40</v>
      </c>
      <c r="D6012">
        <v>4.7103809999999999</v>
      </c>
      <c r="E6012">
        <v>0.57710869999999903</v>
      </c>
      <c r="F6012" t="s">
        <v>41</v>
      </c>
      <c r="G6012">
        <v>-187.63300000000001</v>
      </c>
      <c r="H6012">
        <v>1.008677</v>
      </c>
      <c r="I6012">
        <v>85.425600000000003</v>
      </c>
      <c r="J6012">
        <v>-187.69730000000001</v>
      </c>
      <c r="K6012">
        <v>1.1109789999999999</v>
      </c>
      <c r="L6012">
        <v>85.043850000000006</v>
      </c>
      <c r="M6012">
        <v>-1.5881699999999999E-2</v>
      </c>
      <c r="N6012">
        <v>-1.450187E-2</v>
      </c>
      <c r="O6012">
        <v>0.99976869999999995</v>
      </c>
      <c r="P6012">
        <v>-6.4332529999999999E-2</v>
      </c>
      <c r="Q6012">
        <v>0.34085339999999997</v>
      </c>
      <c r="R6012">
        <v>0.93791279999999999</v>
      </c>
      <c r="S6012">
        <v>0.27302549999999998</v>
      </c>
      <c r="T6012">
        <v>-0.47613280000000002</v>
      </c>
      <c r="U6012">
        <v>3.391724</v>
      </c>
      <c r="V6012">
        <v>-4.9450960000000002E-2</v>
      </c>
      <c r="W6012">
        <v>0.3544292</v>
      </c>
      <c r="X6012">
        <v>0.9337744</v>
      </c>
      <c r="Y6012">
        <v>9.5332790000000001E-2</v>
      </c>
      <c r="Z6012">
        <v>-0.124069899999999</v>
      </c>
      <c r="AA6012">
        <v>0.98768330000000004</v>
      </c>
      <c r="AB6012">
        <v>33</v>
      </c>
      <c r="AC6012">
        <v>6.4300000000031304E-2</v>
      </c>
      <c r="AD6012">
        <v>-0.102302</v>
      </c>
      <c r="AE6012">
        <v>0.38174999999999598</v>
      </c>
      <c r="AF6012">
        <v>6.57629424173993E-2</v>
      </c>
      <c r="AG6012">
        <v>-0.102302</v>
      </c>
      <c r="AH6012">
        <v>0.355831747384667</v>
      </c>
      <c r="AI6012">
        <v>105.78630542942</v>
      </c>
      <c r="AJ6012">
        <v>79.529047021562505</v>
      </c>
      <c r="AK6012">
        <v>0.37604081726086602</v>
      </c>
      <c r="AL6012">
        <v>69.241535497282101</v>
      </c>
      <c r="AM6012">
        <v>93.031446348370807</v>
      </c>
      <c r="AN6012">
        <v>1.0000000426764499</v>
      </c>
    </row>
    <row r="6013" spans="1:40" x14ac:dyDescent="0.25">
      <c r="A6013" t="str">
        <f>"20190304164805921"</f>
        <v>20190304164805921</v>
      </c>
      <c r="B6013" t="str">
        <f>"1551689285915598"</f>
        <v>1551689285915598</v>
      </c>
      <c r="C6013" t="s">
        <v>40</v>
      </c>
      <c r="D6013">
        <v>4.4423430000000002</v>
      </c>
      <c r="E6013">
        <v>0.57884899999999995</v>
      </c>
      <c r="F6013" t="s">
        <v>41</v>
      </c>
      <c r="G6013">
        <v>-187.6183</v>
      </c>
      <c r="H6013">
        <v>0.976464</v>
      </c>
      <c r="I6013">
        <v>85.998549999999994</v>
      </c>
      <c r="J6013">
        <v>-187.703</v>
      </c>
      <c r="K6013">
        <v>1.1109659999999999</v>
      </c>
      <c r="L6013">
        <v>85.400090000000006</v>
      </c>
      <c r="M6013">
        <v>-1.5898059999999999E-2</v>
      </c>
      <c r="N6013">
        <v>-1.449801E-2</v>
      </c>
      <c r="O6013">
        <v>0.99976849999999995</v>
      </c>
      <c r="P6013">
        <v>-6.2762280000000004E-2</v>
      </c>
      <c r="Q6013">
        <v>0.3406592</v>
      </c>
      <c r="R6013">
        <v>0.93808970000000003</v>
      </c>
      <c r="S6013">
        <v>0.28034969999999998</v>
      </c>
      <c r="T6013">
        <v>-0.4778751</v>
      </c>
      <c r="U6013">
        <v>3.3914789999999999</v>
      </c>
      <c r="V6013">
        <v>-4.7849490000000001E-2</v>
      </c>
      <c r="W6013">
        <v>0.35423519999999997</v>
      </c>
      <c r="X6013">
        <v>0.93393139999999997</v>
      </c>
      <c r="Y6013">
        <v>9.7465689999999994E-2</v>
      </c>
      <c r="Z6013">
        <v>-0.1245546</v>
      </c>
      <c r="AA6013">
        <v>0.98741409999999996</v>
      </c>
      <c r="AB6013">
        <v>33</v>
      </c>
      <c r="AC6013">
        <v>8.4699999999997999E-2</v>
      </c>
      <c r="AD6013">
        <v>-0.13450200000000001</v>
      </c>
      <c r="AE6013">
        <v>0.598459999999988</v>
      </c>
      <c r="AF6013">
        <v>8.9759808708974598E-2</v>
      </c>
      <c r="AG6013">
        <v>-0.13450200000000001</v>
      </c>
      <c r="AH6013">
        <v>0.56886774352730396</v>
      </c>
      <c r="AI6013">
        <v>103.145722426677</v>
      </c>
      <c r="AJ6013">
        <v>81.033408576906496</v>
      </c>
      <c r="AK6013">
        <v>0.59140351781953204</v>
      </c>
      <c r="AL6013">
        <v>69.253421272266394</v>
      </c>
      <c r="AM6013">
        <v>92.932954977678094</v>
      </c>
      <c r="AN6013">
        <v>1.00000000525913</v>
      </c>
    </row>
    <row r="6014" spans="1:40" x14ac:dyDescent="0.25">
      <c r="A6014" t="str">
        <f>"20190304164805962"</f>
        <v>20190304164805962</v>
      </c>
      <c r="B6014" t="str">
        <f>"1551689285955615"</f>
        <v>1551689285955615</v>
      </c>
      <c r="C6014" t="s">
        <v>40</v>
      </c>
      <c r="D6014">
        <v>4.8374470000000001</v>
      </c>
      <c r="E6014">
        <v>0.58126099999999903</v>
      </c>
      <c r="F6014" t="s">
        <v>41</v>
      </c>
      <c r="G6014">
        <v>-187.6233</v>
      </c>
      <c r="H6014">
        <v>0.98764529999999995</v>
      </c>
      <c r="I6014">
        <v>86.297719999999998</v>
      </c>
      <c r="J6014">
        <v>-187.71260000000001</v>
      </c>
      <c r="K6014">
        <v>1.1109389999999999</v>
      </c>
      <c r="L6014">
        <v>86.006469999999993</v>
      </c>
      <c r="M6014">
        <v>-1.58733E-2</v>
      </c>
      <c r="N6014">
        <v>-1.4491520000000001E-2</v>
      </c>
      <c r="O6014">
        <v>0.99976900000000002</v>
      </c>
      <c r="P6014">
        <v>-5.9359559999999999E-2</v>
      </c>
      <c r="Q6014">
        <v>0.33998309999999998</v>
      </c>
      <c r="R6014">
        <v>0.93855630000000001</v>
      </c>
      <c r="S6014">
        <v>0.29998780000000003</v>
      </c>
      <c r="T6014">
        <v>-0.46536699999999998</v>
      </c>
      <c r="U6014">
        <v>3.387054</v>
      </c>
      <c r="V6014">
        <v>-4.4439340000000001E-2</v>
      </c>
      <c r="W6014">
        <v>0.3535623</v>
      </c>
      <c r="X6014">
        <v>0.93435480000000004</v>
      </c>
      <c r="Y6014">
        <v>0.1032626</v>
      </c>
      <c r="Z6014">
        <v>-0.1210857</v>
      </c>
      <c r="AA6014">
        <v>0.98725629999999998</v>
      </c>
      <c r="AB6014">
        <v>33</v>
      </c>
      <c r="AC6014">
        <v>8.9300000000008595E-2</v>
      </c>
      <c r="AD6014">
        <v>-0.12329369999999901</v>
      </c>
      <c r="AE6014">
        <v>0.291250000000005</v>
      </c>
      <c r="AF6014">
        <v>8.06941701679489E-2</v>
      </c>
      <c r="AG6014">
        <v>-0.12329369999999901</v>
      </c>
      <c r="AH6014">
        <v>0.24900692331208599</v>
      </c>
      <c r="AI6014">
        <v>115.221655549128</v>
      </c>
      <c r="AJ6014">
        <v>72.044359155494604</v>
      </c>
      <c r="AK6014">
        <v>0.28933947780441999</v>
      </c>
      <c r="AL6014">
        <v>69.294643738631095</v>
      </c>
      <c r="AM6014">
        <v>92.723022688420201</v>
      </c>
      <c r="AN6014">
        <v>1.0000000236019799</v>
      </c>
    </row>
    <row r="6015" spans="1:40" x14ac:dyDescent="0.25">
      <c r="A6015" t="str">
        <f>"20190304164805985"</f>
        <v>20190304164805985</v>
      </c>
      <c r="B6015" t="str">
        <f>"1551689285975135"</f>
        <v>1551689285975135</v>
      </c>
      <c r="C6015" t="s">
        <v>40</v>
      </c>
      <c r="D6015">
        <v>4.3754739999999996</v>
      </c>
      <c r="E6015">
        <v>0.58262179999999997</v>
      </c>
      <c r="F6015" t="s">
        <v>41</v>
      </c>
      <c r="G6015">
        <v>-187.62639999999999</v>
      </c>
      <c r="H6015">
        <v>0.99380469999999999</v>
      </c>
      <c r="I6015">
        <v>86.887270000000001</v>
      </c>
      <c r="J6015">
        <v>-187.71789999999999</v>
      </c>
      <c r="K6015">
        <v>1.1109169999999999</v>
      </c>
      <c r="L6015">
        <v>86.346500000000006</v>
      </c>
      <c r="M6015">
        <v>-1.581538E-2</v>
      </c>
      <c r="N6015">
        <v>-1.4487949999999999E-2</v>
      </c>
      <c r="O6015">
        <v>0.99977000000000005</v>
      </c>
      <c r="P6015">
        <v>-5.822418E-2</v>
      </c>
      <c r="Q6015">
        <v>0.34066350000000001</v>
      </c>
      <c r="R6015">
        <v>0.93838069999999896</v>
      </c>
      <c r="S6015">
        <v>0.32991029999999999</v>
      </c>
      <c r="T6015">
        <v>-0.4495325</v>
      </c>
      <c r="U6015">
        <v>3.3801269999999999</v>
      </c>
      <c r="V6015">
        <v>-4.3341230000000001E-2</v>
      </c>
      <c r="W6015">
        <v>0.35423880000000002</v>
      </c>
      <c r="X6015">
        <v>0.93415009999999998</v>
      </c>
      <c r="Y6015">
        <v>0.1120879</v>
      </c>
      <c r="Z6015">
        <v>-0.11669889999999999</v>
      </c>
      <c r="AA6015">
        <v>0.98682199999999998</v>
      </c>
      <c r="AB6015">
        <v>33</v>
      </c>
      <c r="AC6015">
        <v>9.1499999999996307E-2</v>
      </c>
      <c r="AD6015">
        <v>-0.1171123</v>
      </c>
      <c r="AE6015">
        <v>0.54076999999999398</v>
      </c>
      <c r="AF6015">
        <v>9.5679396262448896E-2</v>
      </c>
      <c r="AG6015">
        <v>-0.1171123</v>
      </c>
      <c r="AH6015">
        <v>0.51573974592985306</v>
      </c>
      <c r="AI6015">
        <v>102.58582547802</v>
      </c>
      <c r="AJ6015">
        <v>79.490045566535002</v>
      </c>
      <c r="AK6015">
        <v>0.53745448478194602</v>
      </c>
      <c r="AL6015">
        <v>69.253200579638204</v>
      </c>
      <c r="AM6015">
        <v>92.656414641818898</v>
      </c>
      <c r="AN6015">
        <v>0.99999999948668095</v>
      </c>
    </row>
    <row r="6016" spans="1:40" x14ac:dyDescent="0.25">
      <c r="A6016" t="str">
        <f>"20190304164806009"</f>
        <v>20190304164806009</v>
      </c>
      <c r="B6016" t="str">
        <f>"1551689286005393"</f>
        <v>1551689286005393</v>
      </c>
      <c r="C6016" t="s">
        <v>40</v>
      </c>
      <c r="D6016">
        <v>4.3654250000000001</v>
      </c>
      <c r="E6016">
        <v>0.58366189999999996</v>
      </c>
      <c r="F6016" t="s">
        <v>41</v>
      </c>
      <c r="G6016">
        <v>-187.63239999999999</v>
      </c>
      <c r="H6016">
        <v>1.0027539999999999</v>
      </c>
      <c r="I6016">
        <v>87.184299999999993</v>
      </c>
      <c r="J6016">
        <v>-187.72309999999999</v>
      </c>
      <c r="K6016">
        <v>1.1108960000000001</v>
      </c>
      <c r="L6016">
        <v>86.681269999999998</v>
      </c>
      <c r="M6016">
        <v>-1.572279E-2</v>
      </c>
      <c r="N6016">
        <v>-1.448438E-2</v>
      </c>
      <c r="O6016">
        <v>0.99977150000000004</v>
      </c>
      <c r="P6016">
        <v>-5.7036429999999999E-2</v>
      </c>
      <c r="Q6016">
        <v>0.34087070000000003</v>
      </c>
      <c r="R6016">
        <v>0.93837839999999995</v>
      </c>
      <c r="S6016">
        <v>0.34434510000000002</v>
      </c>
      <c r="T6016">
        <v>-0.43595489999999998</v>
      </c>
      <c r="U6016">
        <v>3.3766479999999999</v>
      </c>
      <c r="V6016">
        <v>-4.2215170000000003E-2</v>
      </c>
      <c r="W6016">
        <v>0.3544448</v>
      </c>
      <c r="X6016">
        <v>0.9341235</v>
      </c>
      <c r="Y6016">
        <v>0.11631379999999999</v>
      </c>
      <c r="Z6016">
        <v>-0.1128725</v>
      </c>
      <c r="AA6016">
        <v>0.98677800000000004</v>
      </c>
      <c r="AB6016">
        <v>33</v>
      </c>
      <c r="AC6016">
        <v>9.0699999999998199E-2</v>
      </c>
      <c r="AD6016">
        <v>-0.108141999999999</v>
      </c>
      <c r="AE6016">
        <v>0.50302999999999498</v>
      </c>
      <c r="AF6016">
        <v>9.4374297988465403E-2</v>
      </c>
      <c r="AG6016">
        <v>-0.108141999999999</v>
      </c>
      <c r="AH6016">
        <v>0.480053591851062</v>
      </c>
      <c r="AI6016">
        <v>102.464231385693</v>
      </c>
      <c r="AJ6016">
        <v>78.877989551480795</v>
      </c>
      <c r="AK6016">
        <v>0.501051545585803</v>
      </c>
      <c r="AL6016">
        <v>69.240578159064597</v>
      </c>
      <c r="AM6016">
        <v>92.587566256755494</v>
      </c>
      <c r="AN6016">
        <v>0.99999997503870897</v>
      </c>
    </row>
    <row r="6017" spans="1:40" x14ac:dyDescent="0.25">
      <c r="A6017" t="str">
        <f>"20190304164806031"</f>
        <v>20190304164806031</v>
      </c>
      <c r="B6017" t="str">
        <f>"1551689286025892"</f>
        <v>1551689286025892</v>
      </c>
      <c r="C6017" t="s">
        <v>40</v>
      </c>
      <c r="D6017">
        <v>4.3541980000000002</v>
      </c>
      <c r="E6017">
        <v>0.58443480000000003</v>
      </c>
      <c r="F6017" t="s">
        <v>41</v>
      </c>
      <c r="G6017">
        <v>-187.6386</v>
      </c>
      <c r="H6017">
        <v>1.00926</v>
      </c>
      <c r="I6017">
        <v>87.479819999999904</v>
      </c>
      <c r="J6017">
        <v>-187.72800000000001</v>
      </c>
      <c r="K6017">
        <v>1.1108629999999999</v>
      </c>
      <c r="L6017">
        <v>86.999080000000006</v>
      </c>
      <c r="M6017">
        <v>-1.559205E-2</v>
      </c>
      <c r="N6017">
        <v>-1.4480979999999999E-2</v>
      </c>
      <c r="O6017">
        <v>0.99977360000000004</v>
      </c>
      <c r="P6017">
        <v>-5.6111179999999997E-2</v>
      </c>
      <c r="Q6017">
        <v>0.3414314</v>
      </c>
      <c r="R6017">
        <v>0.93823029999999996</v>
      </c>
      <c r="S6017">
        <v>0.35653689999999999</v>
      </c>
      <c r="T6017">
        <v>-0.42952309999999999</v>
      </c>
      <c r="U6017">
        <v>3.374695</v>
      </c>
      <c r="V6017">
        <v>-4.1385289999999998E-2</v>
      </c>
      <c r="W6017">
        <v>0.35500389999999998</v>
      </c>
      <c r="X6017">
        <v>0.93394829999999995</v>
      </c>
      <c r="Y6017">
        <v>0.1197873</v>
      </c>
      <c r="Z6017">
        <v>-0.1110473</v>
      </c>
      <c r="AA6017">
        <v>0.98656960000000005</v>
      </c>
      <c r="AB6017">
        <v>33</v>
      </c>
      <c r="AC6017">
        <v>8.9399999999983396E-2</v>
      </c>
      <c r="AD6017">
        <v>-0.101602999999999</v>
      </c>
      <c r="AE6017">
        <v>0.48073999999998301</v>
      </c>
      <c r="AF6017">
        <v>9.2875771393488002E-2</v>
      </c>
      <c r="AG6017">
        <v>-0.101602999999999</v>
      </c>
      <c r="AH6017">
        <v>0.45945090159535501</v>
      </c>
      <c r="AI6017">
        <v>102.23000004459399</v>
      </c>
      <c r="AJ6017">
        <v>78.571935620452905</v>
      </c>
      <c r="AK6017">
        <v>0.47962924170417298</v>
      </c>
      <c r="AL6017">
        <v>69.206315926303304</v>
      </c>
      <c r="AM6017">
        <v>92.537241375899896</v>
      </c>
      <c r="AN6017">
        <v>0.99999996915824096</v>
      </c>
    </row>
    <row r="6018" spans="1:40" x14ac:dyDescent="0.25">
      <c r="A6018" t="str">
        <f>"20190304164806052"</f>
        <v>20190304164806052</v>
      </c>
      <c r="B6018" t="str">
        <f>"1551689286045410"</f>
        <v>1551689286045410</v>
      </c>
      <c r="C6018" t="s">
        <v>40</v>
      </c>
      <c r="D6018">
        <v>4.7857200000000004</v>
      </c>
      <c r="E6018">
        <v>0.58515109999999904</v>
      </c>
      <c r="F6018" t="s">
        <v>41</v>
      </c>
      <c r="G6018">
        <v>-187.6438</v>
      </c>
      <c r="H6018">
        <v>1.013833</v>
      </c>
      <c r="I6018">
        <v>87.774069999999995</v>
      </c>
      <c r="J6018">
        <v>-187.7328</v>
      </c>
      <c r="K6018">
        <v>1.110832</v>
      </c>
      <c r="L6018">
        <v>87.317660000000004</v>
      </c>
      <c r="M6018">
        <v>-1.541665E-2</v>
      </c>
      <c r="N6018">
        <v>-1.447762E-2</v>
      </c>
      <c r="O6018">
        <v>0.99977640000000001</v>
      </c>
      <c r="P6018">
        <v>-5.5691190000000002E-2</v>
      </c>
      <c r="Q6018">
        <v>0.34225119999999998</v>
      </c>
      <c r="R6018">
        <v>0.93795660000000003</v>
      </c>
      <c r="S6018">
        <v>0.36616520000000002</v>
      </c>
      <c r="T6018">
        <v>-0.42232599999999998</v>
      </c>
      <c r="U6018">
        <v>3.3731080000000002</v>
      </c>
      <c r="V6018">
        <v>-4.1100440000000002E-2</v>
      </c>
      <c r="W6018">
        <v>0.35581950000000001</v>
      </c>
      <c r="X6018">
        <v>0.93365050000000005</v>
      </c>
      <c r="Y6018">
        <v>0.12246899999999999</v>
      </c>
      <c r="Z6018">
        <v>-0.1089962</v>
      </c>
      <c r="AA6018">
        <v>0.98646900000000004</v>
      </c>
      <c r="AB6018">
        <v>33</v>
      </c>
      <c r="AC6018">
        <v>8.8999999999998594E-2</v>
      </c>
      <c r="AD6018">
        <v>-9.6999000000000002E-2</v>
      </c>
      <c r="AE6018">
        <v>0.45640999999999099</v>
      </c>
      <c r="AF6018">
        <v>9.2022327865368195E-2</v>
      </c>
      <c r="AG6018">
        <v>-9.6999000000000002E-2</v>
      </c>
      <c r="AH6018">
        <v>0.43601147015143998</v>
      </c>
      <c r="AI6018">
        <v>102.280222318851</v>
      </c>
      <c r="AJ6018">
        <v>78.082348435170502</v>
      </c>
      <c r="AK6018">
        <v>0.45605144110109103</v>
      </c>
      <c r="AL6018">
        <v>69.156322209572195</v>
      </c>
      <c r="AM6018">
        <v>92.520603120840804</v>
      </c>
      <c r="AN6018">
        <v>1.00000000944934</v>
      </c>
    </row>
    <row r="6019" spans="1:40" x14ac:dyDescent="0.25">
      <c r="A6019" t="str">
        <f>"20190304164806074"</f>
        <v>20190304164806074</v>
      </c>
      <c r="B6019" t="str">
        <f>"1551689286065907"</f>
        <v>1551689286065907</v>
      </c>
      <c r="C6019" t="s">
        <v>40</v>
      </c>
      <c r="D6019">
        <v>4.8041499999999999</v>
      </c>
      <c r="E6019">
        <v>0.58609560000000005</v>
      </c>
      <c r="F6019" t="s">
        <v>41</v>
      </c>
      <c r="G6019">
        <v>-187.64930000000001</v>
      </c>
      <c r="H6019">
        <v>1.0186200000000001</v>
      </c>
      <c r="I6019">
        <v>88.068100000000001</v>
      </c>
      <c r="J6019">
        <v>-187.73750000000001</v>
      </c>
      <c r="K6019">
        <v>1.1108020000000001</v>
      </c>
      <c r="L6019">
        <v>87.640690000000006</v>
      </c>
      <c r="M6019">
        <v>-1.519712E-2</v>
      </c>
      <c r="N6019">
        <v>-1.4474239999999999E-2</v>
      </c>
      <c r="O6019">
        <v>0.9997798</v>
      </c>
      <c r="P6019">
        <v>-5.4691749999999997E-2</v>
      </c>
      <c r="Q6019">
        <v>0.34233599999999997</v>
      </c>
      <c r="R6019">
        <v>0.9379845</v>
      </c>
      <c r="S6019">
        <v>0.37440489999999998</v>
      </c>
      <c r="T6019">
        <v>-0.41435470000000002</v>
      </c>
      <c r="U6019">
        <v>3.3718569999999999</v>
      </c>
      <c r="V6019">
        <v>-4.0274520000000001E-2</v>
      </c>
      <c r="W6019">
        <v>0.35590470000000002</v>
      </c>
      <c r="X6019">
        <v>0.93365399999999998</v>
      </c>
      <c r="Y6019">
        <v>0.1246992</v>
      </c>
      <c r="Z6019">
        <v>-0.1067134</v>
      </c>
      <c r="AA6019">
        <v>0.98643919999999996</v>
      </c>
      <c r="AB6019">
        <v>33</v>
      </c>
      <c r="AC6019">
        <v>8.82000000000005E-2</v>
      </c>
      <c r="AD6019">
        <v>-9.2182E-2</v>
      </c>
      <c r="AE6019">
        <v>0.42740999999999402</v>
      </c>
      <c r="AF6019">
        <v>9.0641807878244704E-2</v>
      </c>
      <c r="AG6019">
        <v>-9.2182E-2</v>
      </c>
      <c r="AH6019">
        <v>0.40782455610909801</v>
      </c>
      <c r="AI6019">
        <v>102.442900057735</v>
      </c>
      <c r="AJ6019">
        <v>77.469300750153806</v>
      </c>
      <c r="AK6019">
        <v>0.42782511266289502</v>
      </c>
      <c r="AL6019">
        <v>69.151098289222205</v>
      </c>
      <c r="AM6019">
        <v>92.470005319975598</v>
      </c>
      <c r="AN6019">
        <v>0.99999999207965995</v>
      </c>
    </row>
    <row r="6020" spans="1:40" x14ac:dyDescent="0.25">
      <c r="A6020" t="str">
        <f>"20190304164806102"</f>
        <v>20190304164806102</v>
      </c>
      <c r="B6020" t="str">
        <f>"1551689286095186"</f>
        <v>1551689286095186</v>
      </c>
      <c r="C6020" t="s">
        <v>40</v>
      </c>
      <c r="D6020">
        <v>4.8123870000000002</v>
      </c>
      <c r="E6020">
        <v>0.58641430000000005</v>
      </c>
      <c r="F6020" t="s">
        <v>41</v>
      </c>
      <c r="G6020">
        <v>-187.6234</v>
      </c>
      <c r="H6020">
        <v>0.99012270000000002</v>
      </c>
      <c r="I6020">
        <v>88.637590000000003</v>
      </c>
      <c r="J6020">
        <v>-187.7433</v>
      </c>
      <c r="K6020">
        <v>1.110765</v>
      </c>
      <c r="L6020">
        <v>88.038640000000001</v>
      </c>
      <c r="M6020">
        <v>-1.48734E-2</v>
      </c>
      <c r="N6020">
        <v>-1.447007E-2</v>
      </c>
      <c r="O6020">
        <v>0.99978460000000002</v>
      </c>
      <c r="P6020">
        <v>-5.3363939999999999E-2</v>
      </c>
      <c r="Q6020">
        <v>0.34248659999999997</v>
      </c>
      <c r="R6020">
        <v>0.93800600000000001</v>
      </c>
      <c r="S6020">
        <v>0.38542179999999998</v>
      </c>
      <c r="T6020">
        <v>-0.40793819999999997</v>
      </c>
      <c r="U6020">
        <v>3.3696899999999999</v>
      </c>
      <c r="V6020">
        <v>-3.9217849999999999E-2</v>
      </c>
      <c r="W6020">
        <v>0.3560548</v>
      </c>
      <c r="X6020">
        <v>0.93364179999999997</v>
      </c>
      <c r="Y6020">
        <v>0.1276523</v>
      </c>
      <c r="Z6020">
        <v>-0.1048982</v>
      </c>
      <c r="AA6020">
        <v>0.98625620000000003</v>
      </c>
      <c r="AB6020">
        <v>33</v>
      </c>
      <c r="AC6020">
        <v>0.11990000000000101</v>
      </c>
      <c r="AD6020">
        <v>-0.12064229999999999</v>
      </c>
      <c r="AE6020">
        <v>0.59895000000000198</v>
      </c>
      <c r="AF6020">
        <v>0.123960630521564</v>
      </c>
      <c r="AG6020">
        <v>-0.12064229999999999</v>
      </c>
      <c r="AH6020">
        <v>0.574682973401476</v>
      </c>
      <c r="AI6020">
        <v>101.596605297602</v>
      </c>
      <c r="AJ6020">
        <v>77.827646184418001</v>
      </c>
      <c r="AK6020">
        <v>0.60015108296674402</v>
      </c>
      <c r="AL6020">
        <v>69.141896289939893</v>
      </c>
      <c r="AM6020">
        <v>92.405309089536601</v>
      </c>
      <c r="AN6020">
        <v>1.00000003553445</v>
      </c>
    </row>
    <row r="6021" spans="1:40" x14ac:dyDescent="0.25">
      <c r="A6021" t="str">
        <f>"20190304164806122"</f>
        <v>20190304164806122</v>
      </c>
      <c r="B6021" t="str">
        <f>"1551689286115682"</f>
        <v>1551689286115682</v>
      </c>
      <c r="C6021" t="s">
        <v>40</v>
      </c>
      <c r="D6021">
        <v>4.899343</v>
      </c>
      <c r="E6021">
        <v>0.58639189999999997</v>
      </c>
      <c r="F6021" t="s">
        <v>41</v>
      </c>
      <c r="G6021">
        <v>-187.6395</v>
      </c>
      <c r="H6021">
        <v>1.0021420000000001</v>
      </c>
      <c r="I6021">
        <v>88.933689999999999</v>
      </c>
      <c r="J6021">
        <v>-187.7474</v>
      </c>
      <c r="K6021">
        <v>1.1107359999999999</v>
      </c>
      <c r="L6021">
        <v>88.337680000000006</v>
      </c>
      <c r="M6021">
        <v>-1.4605969999999999E-2</v>
      </c>
      <c r="N6021">
        <v>-1.4466990000000001E-2</v>
      </c>
      <c r="O6021">
        <v>0.99978860000000003</v>
      </c>
      <c r="P6021">
        <v>-5.2232630000000002E-2</v>
      </c>
      <c r="Q6021">
        <v>0.34164899999999998</v>
      </c>
      <c r="R6021">
        <v>0.93837510000000002</v>
      </c>
      <c r="S6021">
        <v>0.39067079999999998</v>
      </c>
      <c r="T6021">
        <v>-0.40895629999999999</v>
      </c>
      <c r="U6021">
        <v>3.369812</v>
      </c>
      <c r="V6021">
        <v>-3.8314189999999998E-2</v>
      </c>
      <c r="W6021">
        <v>0.35522049999999999</v>
      </c>
      <c r="X6021">
        <v>0.93399699999999997</v>
      </c>
      <c r="Y6021">
        <v>0.12889429999999999</v>
      </c>
      <c r="Z6021">
        <v>-0.1051716</v>
      </c>
      <c r="AA6021">
        <v>0.98606550000000004</v>
      </c>
      <c r="AB6021">
        <v>33</v>
      </c>
      <c r="AC6021">
        <v>0.1079</v>
      </c>
      <c r="AD6021">
        <v>-0.108594</v>
      </c>
      <c r="AE6021">
        <v>0.59600999999999205</v>
      </c>
      <c r="AF6021">
        <v>0.112963608318779</v>
      </c>
      <c r="AG6021">
        <v>-0.108594</v>
      </c>
      <c r="AH6021">
        <v>0.57585985633985004</v>
      </c>
      <c r="AI6021">
        <v>100.484004902878</v>
      </c>
      <c r="AJ6021">
        <v>78.9014949756356</v>
      </c>
      <c r="AK6021">
        <v>0.59679812984304104</v>
      </c>
      <c r="AL6021">
        <v>69.193040829604001</v>
      </c>
      <c r="AM6021">
        <v>92.349055994830394</v>
      </c>
      <c r="AN6021">
        <v>0.99999998839230198</v>
      </c>
    </row>
    <row r="6022" spans="1:40" x14ac:dyDescent="0.25">
      <c r="A6022" t="str">
        <f>"20190304164806141"</f>
        <v>20190304164806141</v>
      </c>
      <c r="B6022" t="str">
        <f>"1551689286135202"</f>
        <v>1551689286135202</v>
      </c>
      <c r="C6022" t="s">
        <v>40</v>
      </c>
      <c r="D6022">
        <v>4.6297810000000004</v>
      </c>
      <c r="E6022">
        <v>0.58570349999999904</v>
      </c>
      <c r="F6022" t="s">
        <v>41</v>
      </c>
      <c r="G6022">
        <v>-187.6438</v>
      </c>
      <c r="H6022">
        <v>1.0017430000000001</v>
      </c>
      <c r="I6022">
        <v>89.223830000000007</v>
      </c>
      <c r="J6022">
        <v>-187.751</v>
      </c>
      <c r="K6022">
        <v>1.1107129999999901</v>
      </c>
      <c r="L6022">
        <v>88.602909999999994</v>
      </c>
      <c r="M6022">
        <v>-1.43559E-2</v>
      </c>
      <c r="N6022">
        <v>-1.4464329999999999E-2</v>
      </c>
      <c r="O6022">
        <v>0.99979229999999997</v>
      </c>
      <c r="P6022">
        <v>-5.0805870000000003E-2</v>
      </c>
      <c r="Q6022">
        <v>0.34043519999999999</v>
      </c>
      <c r="R6022">
        <v>0.93889440000000002</v>
      </c>
      <c r="S6022">
        <v>0.39363100000000001</v>
      </c>
      <c r="T6022">
        <v>-0.41450769999999998</v>
      </c>
      <c r="U6022">
        <v>3.3698429999999999</v>
      </c>
      <c r="V6022">
        <v>-3.7103579999999997E-2</v>
      </c>
      <c r="W6022">
        <v>0.3540123</v>
      </c>
      <c r="X6022">
        <v>0.93450449999999996</v>
      </c>
      <c r="Y6022">
        <v>0.12947809999999901</v>
      </c>
      <c r="Z6022">
        <v>-0.106765</v>
      </c>
      <c r="AA6022">
        <v>0.98581779999999997</v>
      </c>
      <c r="AB6022">
        <v>33</v>
      </c>
      <c r="AC6022">
        <v>0.10719999999997699</v>
      </c>
      <c r="AD6022">
        <v>-0.108969999999999</v>
      </c>
      <c r="AE6022">
        <v>0.62092000000001202</v>
      </c>
      <c r="AF6022">
        <v>0.11273216012050701</v>
      </c>
      <c r="AG6022">
        <v>-0.108969999999999</v>
      </c>
      <c r="AH6022">
        <v>0.60133226623945102</v>
      </c>
      <c r="AI6022">
        <v>100.099128238969</v>
      </c>
      <c r="AJ6022">
        <v>79.381968395335704</v>
      </c>
      <c r="AK6022">
        <v>0.62143663815879902</v>
      </c>
      <c r="AL6022">
        <v>69.267077811582894</v>
      </c>
      <c r="AM6022">
        <v>92.273678200284294</v>
      </c>
      <c r="AN6022">
        <v>1.0000000223601699</v>
      </c>
    </row>
    <row r="6023" spans="1:40" x14ac:dyDescent="0.25">
      <c r="A6023" t="str">
        <f>"20190304164806164"</f>
        <v>20190304164806164</v>
      </c>
      <c r="B6023" t="str">
        <f>"1551689286155699"</f>
        <v>1551689286155699</v>
      </c>
      <c r="C6023" t="s">
        <v>40</v>
      </c>
      <c r="D6023">
        <v>4.7150600000000003</v>
      </c>
      <c r="E6023">
        <v>0.58480379999999998</v>
      </c>
      <c r="F6023" t="s">
        <v>41</v>
      </c>
      <c r="G6023">
        <v>-187.64510000000001</v>
      </c>
      <c r="H6023">
        <v>0.99788049999999995</v>
      </c>
      <c r="I6023">
        <v>89.512019999999893</v>
      </c>
      <c r="J6023">
        <v>-187.75559999999999</v>
      </c>
      <c r="K6023">
        <v>1.1106940000000001</v>
      </c>
      <c r="L6023">
        <v>88.944890000000001</v>
      </c>
      <c r="M6023">
        <v>-1.402262E-2</v>
      </c>
      <c r="N6023">
        <v>-1.446067E-2</v>
      </c>
      <c r="O6023">
        <v>0.99979709999999999</v>
      </c>
      <c r="P6023">
        <v>-4.9484479999999997E-2</v>
      </c>
      <c r="Q6023">
        <v>0.33903179999999999</v>
      </c>
      <c r="R6023">
        <v>0.93947259999999999</v>
      </c>
      <c r="S6023">
        <v>0.3922272</v>
      </c>
      <c r="T6023">
        <v>-0.41800730000000003</v>
      </c>
      <c r="U6023">
        <v>3.368042</v>
      </c>
      <c r="V6023">
        <v>-3.6077190000000002E-2</v>
      </c>
      <c r="W6023">
        <v>0.35261379999999998</v>
      </c>
      <c r="X6023">
        <v>0.93507320000000005</v>
      </c>
      <c r="Y6023">
        <v>0.12878899999999999</v>
      </c>
      <c r="Z6023">
        <v>-0.1078514</v>
      </c>
      <c r="AA6023">
        <v>0.98578980000000005</v>
      </c>
      <c r="AB6023">
        <v>32</v>
      </c>
      <c r="AC6023">
        <v>0.11049999999997299</v>
      </c>
      <c r="AD6023">
        <v>-0.1128135</v>
      </c>
      <c r="AE6023">
        <v>0.56712999999999103</v>
      </c>
      <c r="AF6023">
        <v>0.114093159909671</v>
      </c>
      <c r="AG6023">
        <v>-0.1128135</v>
      </c>
      <c r="AH6023">
        <v>0.544757354434796</v>
      </c>
      <c r="AI6023">
        <v>101.45814541521899</v>
      </c>
      <c r="AJ6023">
        <v>78.171037423914498</v>
      </c>
      <c r="AK6023">
        <v>0.56789498160418905</v>
      </c>
      <c r="AL6023">
        <v>69.352729022082897</v>
      </c>
      <c r="AM6023">
        <v>92.209501852202607</v>
      </c>
      <c r="AN6023">
        <v>0.99999997247348704</v>
      </c>
    </row>
    <row r="6024" spans="1:40" x14ac:dyDescent="0.25">
      <c r="A6024" t="str">
        <f>"20190304164806185"</f>
        <v>20190304164806185</v>
      </c>
      <c r="B6024" t="str">
        <f>"1551689286175218"</f>
        <v>1551689286175218</v>
      </c>
      <c r="C6024" t="s">
        <v>40</v>
      </c>
      <c r="D6024">
        <v>4.6380460000000001</v>
      </c>
      <c r="E6024">
        <v>0.58401110000000001</v>
      </c>
      <c r="F6024" t="s">
        <v>41</v>
      </c>
      <c r="G6024">
        <v>-187.65610000000001</v>
      </c>
      <c r="H6024">
        <v>1.002867</v>
      </c>
      <c r="I6024">
        <v>89.803960000000004</v>
      </c>
      <c r="J6024">
        <v>-187.75980000000001</v>
      </c>
      <c r="K6024">
        <v>1.1106849999999999</v>
      </c>
      <c r="L6024">
        <v>89.263759999999905</v>
      </c>
      <c r="M6024">
        <v>-1.370758E-2</v>
      </c>
      <c r="N6024">
        <v>-1.445715E-2</v>
      </c>
      <c r="O6024">
        <v>0.99980150000000001</v>
      </c>
      <c r="P6024">
        <v>-4.8183469999999999E-2</v>
      </c>
      <c r="Q6024">
        <v>0.33867799999999998</v>
      </c>
      <c r="R6024">
        <v>0.93966780000000005</v>
      </c>
      <c r="S6024">
        <v>0.38943480000000003</v>
      </c>
      <c r="T6024">
        <v>-0.42253400000000002</v>
      </c>
      <c r="U6024">
        <v>3.3662719999999999</v>
      </c>
      <c r="V6024">
        <v>-3.5062900000000001E-2</v>
      </c>
      <c r="W6024">
        <v>0.35225899999999999</v>
      </c>
      <c r="X6024">
        <v>0.93524549999999995</v>
      </c>
      <c r="Y6024">
        <v>0.12771160000000001</v>
      </c>
      <c r="Z6024">
        <v>-0.1092398</v>
      </c>
      <c r="AA6024">
        <v>0.98577709999999996</v>
      </c>
      <c r="AB6024">
        <v>32</v>
      </c>
      <c r="AC6024">
        <v>0.103700000000003</v>
      </c>
      <c r="AD6024">
        <v>-0.107818</v>
      </c>
      <c r="AE6024">
        <v>0.540200000000012</v>
      </c>
      <c r="AF6024">
        <v>0.106985484366801</v>
      </c>
      <c r="AG6024">
        <v>-0.107818</v>
      </c>
      <c r="AH6024">
        <v>0.51879550154280196</v>
      </c>
      <c r="AI6024">
        <v>101.504871362443</v>
      </c>
      <c r="AJ6024">
        <v>78.347863667411602</v>
      </c>
      <c r="AK6024">
        <v>0.54057320263794695</v>
      </c>
      <c r="AL6024">
        <v>69.3744514744985</v>
      </c>
      <c r="AM6024">
        <v>92.147046689974104</v>
      </c>
      <c r="AN6024">
        <v>0.99999997765382898</v>
      </c>
    </row>
    <row r="6025" spans="1:40" x14ac:dyDescent="0.25">
      <c r="A6025" t="str">
        <f>"20190304164806207"</f>
        <v>20190304164806207</v>
      </c>
      <c r="B6025" t="str">
        <f>"1551689286195714"</f>
        <v>1551689286195714</v>
      </c>
      <c r="C6025" t="s">
        <v>40</v>
      </c>
      <c r="D6025">
        <v>4.6042040000000002</v>
      </c>
      <c r="E6025">
        <v>0.5833178</v>
      </c>
      <c r="F6025" t="s">
        <v>41</v>
      </c>
      <c r="G6025">
        <v>-187.66409999999999</v>
      </c>
      <c r="H6025">
        <v>1.006038</v>
      </c>
      <c r="I6025">
        <v>90.094729999999998</v>
      </c>
      <c r="J6025">
        <v>-187.7637</v>
      </c>
      <c r="K6025">
        <v>1.110687</v>
      </c>
      <c r="L6025">
        <v>89.571719999999999</v>
      </c>
      <c r="M6025">
        <v>-1.3402809999999999E-2</v>
      </c>
      <c r="N6025">
        <v>-1.445375E-2</v>
      </c>
      <c r="O6025">
        <v>0.99980570000000002</v>
      </c>
      <c r="P6025">
        <v>-4.6777260000000001E-2</v>
      </c>
      <c r="Q6025">
        <v>0.33932400000000001</v>
      </c>
      <c r="R6025">
        <v>0.93950579999999995</v>
      </c>
      <c r="S6025">
        <v>0.38749689999999998</v>
      </c>
      <c r="T6025">
        <v>-0.42379250000000002</v>
      </c>
      <c r="U6025">
        <v>3.365265</v>
      </c>
      <c r="V6025">
        <v>-3.3940560000000002E-2</v>
      </c>
      <c r="W6025">
        <v>0.35289890000000002</v>
      </c>
      <c r="X6025">
        <v>0.93504569999999998</v>
      </c>
      <c r="Y6025">
        <v>0.12687799999999999</v>
      </c>
      <c r="Z6025">
        <v>-0.1096544</v>
      </c>
      <c r="AA6025">
        <v>0.98583869999999896</v>
      </c>
      <c r="AB6025">
        <v>32</v>
      </c>
      <c r="AC6025">
        <v>9.9600000000009403E-2</v>
      </c>
      <c r="AD6025">
        <v>-0.10464900000000001</v>
      </c>
      <c r="AE6025">
        <v>0.52300999999999898</v>
      </c>
      <c r="AF6025">
        <v>0.10263625407723399</v>
      </c>
      <c r="AG6025">
        <v>-0.10464900000000001</v>
      </c>
      <c r="AH6025">
        <v>0.50222459324063395</v>
      </c>
      <c r="AI6025">
        <v>101.538458159917</v>
      </c>
      <c r="AJ6025">
        <v>78.449889442251603</v>
      </c>
      <c r="AK6025">
        <v>0.52317793904916099</v>
      </c>
      <c r="AL6025">
        <v>69.335272961644506</v>
      </c>
      <c r="AM6025">
        <v>92.07882614543</v>
      </c>
      <c r="AN6025">
        <v>1.0000000281614001</v>
      </c>
    </row>
    <row r="6026" spans="1:40" x14ac:dyDescent="0.25">
      <c r="A6026" t="str">
        <f>"20190304164806229"</f>
        <v>20190304164806229</v>
      </c>
      <c r="B6026" t="str">
        <f>"1551689286224995"</f>
        <v>1551689286224995</v>
      </c>
      <c r="C6026" t="s">
        <v>40</v>
      </c>
      <c r="D6026">
        <v>4.6075229999999996</v>
      </c>
      <c r="E6026">
        <v>0.58236529999999997</v>
      </c>
      <c r="F6026" t="s">
        <v>41</v>
      </c>
      <c r="G6026">
        <v>-187.67</v>
      </c>
      <c r="H6026">
        <v>1.008834</v>
      </c>
      <c r="I6026">
        <v>90.385050000000007</v>
      </c>
      <c r="J6026">
        <v>-187.76769999999999</v>
      </c>
      <c r="K6026">
        <v>1.110689</v>
      </c>
      <c r="L6026">
        <v>89.898439999999994</v>
      </c>
      <c r="M6026">
        <v>-1.3080649999999999E-2</v>
      </c>
      <c r="N6026">
        <v>-1.445016E-2</v>
      </c>
      <c r="O6026">
        <v>0.99980999999999998</v>
      </c>
      <c r="P6026">
        <v>-4.5062720000000001E-2</v>
      </c>
      <c r="Q6026">
        <v>0.33956619999999998</v>
      </c>
      <c r="R6026">
        <v>0.93950210000000001</v>
      </c>
      <c r="S6026">
        <v>0.3874512</v>
      </c>
      <c r="T6026">
        <v>-0.42136289999999998</v>
      </c>
      <c r="U6026">
        <v>3.364655</v>
      </c>
      <c r="V6026">
        <v>-3.2525360000000003E-2</v>
      </c>
      <c r="W6026">
        <v>0.35313670000000003</v>
      </c>
      <c r="X6026">
        <v>0.93500620000000001</v>
      </c>
      <c r="Y6026">
        <v>0.12657499999999999</v>
      </c>
      <c r="Z6026">
        <v>-0.1089821</v>
      </c>
      <c r="AA6026">
        <v>0.9859521</v>
      </c>
      <c r="AB6026">
        <v>32</v>
      </c>
      <c r="AC6026">
        <v>9.7700000000003201E-2</v>
      </c>
      <c r="AD6026">
        <v>-0.101855</v>
      </c>
      <c r="AE6026">
        <v>0.48660999999999799</v>
      </c>
      <c r="AF6026">
        <v>9.9852180470237001E-2</v>
      </c>
      <c r="AG6026">
        <v>-0.101855</v>
      </c>
      <c r="AH6026">
        <v>0.46567809944930799</v>
      </c>
      <c r="AI6026">
        <v>102.071592011953</v>
      </c>
      <c r="AJ6026">
        <v>77.897712534506795</v>
      </c>
      <c r="AK6026">
        <v>0.48703284414542403</v>
      </c>
      <c r="AL6026">
        <v>69.320710069680302</v>
      </c>
      <c r="AM6026">
        <v>91.992301987415502</v>
      </c>
      <c r="AN6026">
        <v>1.00000001098422</v>
      </c>
    </row>
    <row r="6027" spans="1:40" x14ac:dyDescent="0.25">
      <c r="A6027" t="str">
        <f>"20190304164806252"</f>
        <v>20190304164806252</v>
      </c>
      <c r="B6027" t="str">
        <f>"1551689286245491"</f>
        <v>1551689286245491</v>
      </c>
      <c r="C6027" t="s">
        <v>40</v>
      </c>
      <c r="D6027">
        <v>4.5785439999999999</v>
      </c>
      <c r="E6027">
        <v>0.58176149999999904</v>
      </c>
      <c r="F6027" t="s">
        <v>41</v>
      </c>
      <c r="G6027">
        <v>-187.67840000000001</v>
      </c>
      <c r="H6027">
        <v>1.0136810000000001</v>
      </c>
      <c r="I6027">
        <v>90.675970000000007</v>
      </c>
      <c r="J6027">
        <v>-187.77160000000001</v>
      </c>
      <c r="K6027">
        <v>1.1106910000000001</v>
      </c>
      <c r="L6027">
        <v>90.21893</v>
      </c>
      <c r="M6027">
        <v>-1.2766370000000001E-2</v>
      </c>
      <c r="N6027">
        <v>-1.4446570000000001E-2</v>
      </c>
      <c r="O6027">
        <v>0.99981419999999999</v>
      </c>
      <c r="P6027">
        <v>-4.2933649999999997E-2</v>
      </c>
      <c r="Q6027">
        <v>0.339142</v>
      </c>
      <c r="R6027">
        <v>0.93975500000000001</v>
      </c>
      <c r="S6027">
        <v>0.38650509999999999</v>
      </c>
      <c r="T6027">
        <v>-0.41963820000000002</v>
      </c>
      <c r="U6027">
        <v>3.3634029999999999</v>
      </c>
      <c r="V6027">
        <v>-3.0686970000000001E-2</v>
      </c>
      <c r="W6027">
        <v>0.3527111</v>
      </c>
      <c r="X6027">
        <v>0.93522890000000003</v>
      </c>
      <c r="Y6027">
        <v>0.1260377</v>
      </c>
      <c r="Z6027">
        <v>-0.1085397</v>
      </c>
      <c r="AA6027">
        <v>0.9860698</v>
      </c>
      <c r="AB6027">
        <v>32</v>
      </c>
      <c r="AC6027">
        <v>9.3199999999995897E-2</v>
      </c>
      <c r="AD6027">
        <v>-9.7009999999999999E-2</v>
      </c>
      <c r="AE6027">
        <v>0.45703999999999201</v>
      </c>
      <c r="AF6027">
        <v>9.4921960125252905E-2</v>
      </c>
      <c r="AG6027">
        <v>-9.7009999999999999E-2</v>
      </c>
      <c r="AH6027">
        <v>0.436914324955681</v>
      </c>
      <c r="AI6027">
        <v>102.24187900728801</v>
      </c>
      <c r="AJ6027">
        <v>77.742666386765293</v>
      </c>
      <c r="AK6027">
        <v>0.45750983155064401</v>
      </c>
      <c r="AL6027">
        <v>69.346770941781898</v>
      </c>
      <c r="AM6027">
        <v>91.879329517032502</v>
      </c>
      <c r="AN6027">
        <v>0.99999995279309895</v>
      </c>
    </row>
    <row r="6028" spans="1:40" x14ac:dyDescent="0.25">
      <c r="A6028" t="str">
        <f>"20190304164806274"</f>
        <v>20190304164806274</v>
      </c>
      <c r="B6028" t="str">
        <f>"1551689286265012"</f>
        <v>1551689286265012</v>
      </c>
      <c r="C6028" t="s">
        <v>40</v>
      </c>
      <c r="D6028">
        <v>4.660361</v>
      </c>
      <c r="E6028">
        <v>0.58120760000000005</v>
      </c>
      <c r="F6028" t="s">
        <v>41</v>
      </c>
      <c r="G6028">
        <v>-187.685</v>
      </c>
      <c r="H6028">
        <v>1.017139</v>
      </c>
      <c r="I6028">
        <v>90.965969999999999</v>
      </c>
      <c r="J6028">
        <v>-187.77539999999999</v>
      </c>
      <c r="K6028">
        <v>1.11069</v>
      </c>
      <c r="L6028">
        <v>90.542509999999993</v>
      </c>
      <c r="M6028">
        <v>-1.24499E-2</v>
      </c>
      <c r="N6028">
        <v>-1.4442959999999999E-2</v>
      </c>
      <c r="O6028">
        <v>0.99981819999999999</v>
      </c>
      <c r="P6028">
        <v>-4.1260720000000001E-2</v>
      </c>
      <c r="Q6028">
        <v>0.33800960000000002</v>
      </c>
      <c r="R6028">
        <v>0.94023780000000001</v>
      </c>
      <c r="S6028">
        <v>0.3890381</v>
      </c>
      <c r="T6028">
        <v>-0.4210663</v>
      </c>
      <c r="U6028">
        <v>3.3620610000000002</v>
      </c>
      <c r="V6028">
        <v>-2.9305769999999998E-2</v>
      </c>
      <c r="W6028">
        <v>0.35158109999999998</v>
      </c>
      <c r="X6028">
        <v>0.93569860000000005</v>
      </c>
      <c r="Y6028">
        <v>0.12649489999999999</v>
      </c>
      <c r="Z6028">
        <v>-0.1089961</v>
      </c>
      <c r="AA6028">
        <v>0.98596090000000003</v>
      </c>
      <c r="AB6028">
        <v>32</v>
      </c>
      <c r="AC6028">
        <v>9.0399999999988198E-2</v>
      </c>
      <c r="AD6028">
        <v>-9.3550999999999898E-2</v>
      </c>
      <c r="AE6028">
        <v>0.423460000000005</v>
      </c>
      <c r="AF6028">
        <v>9.1399193297710304E-2</v>
      </c>
      <c r="AG6028">
        <v>-9.3550999999999898E-2</v>
      </c>
      <c r="AH6028">
        <v>0.403468264411109</v>
      </c>
      <c r="AI6028">
        <v>102.742387928157</v>
      </c>
      <c r="AJ6028">
        <v>77.235999117189095</v>
      </c>
      <c r="AK6028">
        <v>0.42413705629594001</v>
      </c>
      <c r="AL6028">
        <v>69.4159468721857</v>
      </c>
      <c r="AM6028">
        <v>91.793898418191603</v>
      </c>
      <c r="AN6028">
        <v>0.999999984037231</v>
      </c>
    </row>
    <row r="6029" spans="1:40" x14ac:dyDescent="0.25">
      <c r="A6029" t="str">
        <f>"20190304164806299"</f>
        <v>20190304164806299</v>
      </c>
      <c r="B6029" t="str">
        <f>"1551689286295267"</f>
        <v>1551689286295267</v>
      </c>
      <c r="C6029" t="s">
        <v>40</v>
      </c>
      <c r="D6029">
        <v>4.7607309999999998</v>
      </c>
      <c r="E6029">
        <v>0.58040179999999997</v>
      </c>
      <c r="F6029" t="s">
        <v>41</v>
      </c>
      <c r="G6029">
        <v>-187.66069999999999</v>
      </c>
      <c r="H6029">
        <v>0.98648990000000003</v>
      </c>
      <c r="I6029">
        <v>91.527500000000003</v>
      </c>
      <c r="J6029">
        <v>-187.77930000000001</v>
      </c>
      <c r="K6029">
        <v>1.1106849999999999</v>
      </c>
      <c r="L6029">
        <v>90.889619999999994</v>
      </c>
      <c r="M6029">
        <v>-1.211101E-2</v>
      </c>
      <c r="N6029">
        <v>-1.443911E-2</v>
      </c>
      <c r="O6029">
        <v>0.9998224</v>
      </c>
      <c r="P6029">
        <v>-3.9880289999999999E-2</v>
      </c>
      <c r="Q6029">
        <v>0.33768569999999998</v>
      </c>
      <c r="R6029">
        <v>0.94041370000000002</v>
      </c>
      <c r="S6029">
        <v>0.3907776</v>
      </c>
      <c r="T6029">
        <v>-0.42370950000000002</v>
      </c>
      <c r="U6029">
        <v>3.3601679999999998</v>
      </c>
      <c r="V6029">
        <v>-2.8241740000000001E-2</v>
      </c>
      <c r="W6029">
        <v>0.35125469999999998</v>
      </c>
      <c r="X6029">
        <v>0.93585390000000002</v>
      </c>
      <c r="Y6029">
        <v>0.1267142</v>
      </c>
      <c r="Z6029">
        <v>-0.1098277</v>
      </c>
      <c r="AA6029">
        <v>0.98584039999999995</v>
      </c>
      <c r="AB6029">
        <v>32</v>
      </c>
      <c r="AC6029">
        <v>0.118600000000014</v>
      </c>
      <c r="AD6029">
        <v>-0.1241951</v>
      </c>
      <c r="AE6029">
        <v>0.637880000000009</v>
      </c>
      <c r="AF6029">
        <v>0.121852632826178</v>
      </c>
      <c r="AG6029">
        <v>-0.1241951</v>
      </c>
      <c r="AH6029">
        <v>0.61390248288805205</v>
      </c>
      <c r="AI6029">
        <v>101.223584609901</v>
      </c>
      <c r="AJ6029">
        <v>78.773358905505205</v>
      </c>
      <c r="AK6029">
        <v>0.63808208365914598</v>
      </c>
      <c r="AL6029">
        <v>69.435922424847305</v>
      </c>
      <c r="AM6029">
        <v>91.728519349976494</v>
      </c>
      <c r="AN6029">
        <v>0.99999999114776295</v>
      </c>
    </row>
    <row r="6030" spans="1:40" x14ac:dyDescent="0.25">
      <c r="A6030" t="str">
        <f>"20190304164806322"</f>
        <v>20190304164806322</v>
      </c>
      <c r="B6030" t="str">
        <f>"1551689286315762"</f>
        <v>1551689286315762</v>
      </c>
      <c r="C6030" t="s">
        <v>40</v>
      </c>
      <c r="D6030">
        <v>4.5812670000000004</v>
      </c>
      <c r="E6030">
        <v>0.57986939999999998</v>
      </c>
      <c r="F6030" t="s">
        <v>41</v>
      </c>
      <c r="G6030">
        <v>-187.67160000000001</v>
      </c>
      <c r="H6030">
        <v>0.99427739999999998</v>
      </c>
      <c r="I6030">
        <v>91.818349999999995</v>
      </c>
      <c r="J6030">
        <v>-187.78309999999999</v>
      </c>
      <c r="K6030">
        <v>1.1106940000000001</v>
      </c>
      <c r="L6030">
        <v>91.227360000000004</v>
      </c>
      <c r="M6030">
        <v>-1.1780519999999999E-2</v>
      </c>
      <c r="N6030">
        <v>-1.443549E-2</v>
      </c>
      <c r="O6030">
        <v>0.9998264</v>
      </c>
      <c r="P6030">
        <v>-3.7976919999999997E-2</v>
      </c>
      <c r="Q6030">
        <v>0.33821879999999999</v>
      </c>
      <c r="R6030">
        <v>0.9403009</v>
      </c>
      <c r="S6030">
        <v>0.3891907</v>
      </c>
      <c r="T6030">
        <v>-0.42087219999999997</v>
      </c>
      <c r="U6030">
        <v>3.3577270000000001</v>
      </c>
      <c r="V6030">
        <v>-2.6650099999999999E-2</v>
      </c>
      <c r="W6030">
        <v>0.35178150000000002</v>
      </c>
      <c r="X6030">
        <v>0.9357027</v>
      </c>
      <c r="Y6030">
        <v>0.1260194</v>
      </c>
      <c r="Z6030">
        <v>-0.10910889999999999</v>
      </c>
      <c r="AA6030">
        <v>0.98600929999999998</v>
      </c>
      <c r="AB6030">
        <v>32</v>
      </c>
      <c r="AC6030">
        <v>0.11149999999997801</v>
      </c>
      <c r="AD6030">
        <v>-0.1164166</v>
      </c>
      <c r="AE6030">
        <v>0.59098999999999002</v>
      </c>
      <c r="AF6030">
        <v>0.114176984874621</v>
      </c>
      <c r="AG6030">
        <v>-0.1164166</v>
      </c>
      <c r="AH6030">
        <v>0.56833982383634596</v>
      </c>
      <c r="AI6030">
        <v>101.355310582255</v>
      </c>
      <c r="AJ6030">
        <v>78.640734104001695</v>
      </c>
      <c r="AK6030">
        <v>0.59126928212866603</v>
      </c>
      <c r="AL6030">
        <v>69.403681551381794</v>
      </c>
      <c r="AM6030">
        <v>91.631421578733494</v>
      </c>
      <c r="AN6030">
        <v>0.99999999717977495</v>
      </c>
    </row>
    <row r="6031" spans="1:40" x14ac:dyDescent="0.25">
      <c r="A6031" t="str">
        <f>"20190304164806342"</f>
        <v>20190304164806342</v>
      </c>
      <c r="B6031" t="str">
        <f>"1551689286335283"</f>
        <v>1551689286335283</v>
      </c>
      <c r="C6031" t="s">
        <v>40</v>
      </c>
      <c r="D6031">
        <v>4.6788220000000003</v>
      </c>
      <c r="E6031">
        <v>0.57936109999999996</v>
      </c>
      <c r="F6031" t="s">
        <v>41</v>
      </c>
      <c r="G6031">
        <v>-187.68010000000001</v>
      </c>
      <c r="H6031">
        <v>1.001309</v>
      </c>
      <c r="I6031">
        <v>92.108639999999994</v>
      </c>
      <c r="J6031">
        <v>-187.786</v>
      </c>
      <c r="K6031">
        <v>1.1106990000000001</v>
      </c>
      <c r="L6031">
        <v>91.505619999999993</v>
      </c>
      <c r="M6031">
        <v>-1.1505100000000001E-2</v>
      </c>
      <c r="N6031">
        <v>-1.4432449999999999E-2</v>
      </c>
      <c r="O6031">
        <v>0.99982959999999999</v>
      </c>
      <c r="P6031">
        <v>-3.6709550000000001E-2</v>
      </c>
      <c r="Q6031">
        <v>0.33918140000000002</v>
      </c>
      <c r="R6031">
        <v>0.94000450000000002</v>
      </c>
      <c r="S6031">
        <v>0.391571</v>
      </c>
      <c r="T6031">
        <v>-0.41659380000000001</v>
      </c>
      <c r="U6031">
        <v>3.3561399999999999</v>
      </c>
      <c r="V6031">
        <v>-2.564259E-2</v>
      </c>
      <c r="W6031">
        <v>0.3527361</v>
      </c>
      <c r="X6031">
        <v>0.93537150000000002</v>
      </c>
      <c r="Y6031">
        <v>0.12650519999999901</v>
      </c>
      <c r="Z6031">
        <v>-0.1079225</v>
      </c>
      <c r="AA6031">
        <v>0.98607769999999995</v>
      </c>
      <c r="AB6031">
        <v>32</v>
      </c>
      <c r="AC6031">
        <v>0.105899999999962</v>
      </c>
      <c r="AD6031">
        <v>-0.109389999999999</v>
      </c>
      <c r="AE6031">
        <v>0.60302000000001499</v>
      </c>
      <c r="AF6031">
        <v>0.109341052192377</v>
      </c>
      <c r="AG6031">
        <v>-0.109389999999999</v>
      </c>
      <c r="AH6031">
        <v>0.58314594816724197</v>
      </c>
      <c r="AI6031">
        <v>100.44647681874299</v>
      </c>
      <c r="AJ6031">
        <v>79.380232067031301</v>
      </c>
      <c r="AK6031">
        <v>0.60330824182867504</v>
      </c>
      <c r="AL6031">
        <v>69.345242709759404</v>
      </c>
      <c r="AM6031">
        <v>91.5703325240639</v>
      </c>
      <c r="AN6031">
        <v>1.00000007083868</v>
      </c>
    </row>
    <row r="6032" spans="1:40" x14ac:dyDescent="0.25">
      <c r="A6032" t="str">
        <f>"20190304164806364"</f>
        <v>20190304164806364</v>
      </c>
      <c r="B6032" t="str">
        <f>"1551689286355778"</f>
        <v>1551689286355778</v>
      </c>
      <c r="C6032" t="s">
        <v>40</v>
      </c>
      <c r="D6032">
        <v>4.5967919999999998</v>
      </c>
      <c r="E6032">
        <v>0.57888409999999901</v>
      </c>
      <c r="F6032" t="s">
        <v>41</v>
      </c>
      <c r="G6032">
        <v>-187.6823</v>
      </c>
      <c r="H6032">
        <v>1.0014130000000001</v>
      </c>
      <c r="I6032">
        <v>92.395359999999997</v>
      </c>
      <c r="J6032">
        <v>-187.7894</v>
      </c>
      <c r="K6032">
        <v>1.110698</v>
      </c>
      <c r="L6032">
        <v>91.827820000000003</v>
      </c>
      <c r="M6032">
        <v>-1.1176459999999999E-2</v>
      </c>
      <c r="N6032">
        <v>-1.442891E-2</v>
      </c>
      <c r="O6032">
        <v>0.99983339999999998</v>
      </c>
      <c r="P6032">
        <v>-3.4963929999999997E-2</v>
      </c>
      <c r="Q6032">
        <v>0.3398544</v>
      </c>
      <c r="R6032">
        <v>0.93982790000000005</v>
      </c>
      <c r="S6032">
        <v>0.39140320000000001</v>
      </c>
      <c r="T6032">
        <v>-0.41212890000000002</v>
      </c>
      <c r="U6032">
        <v>3.3554689999999998</v>
      </c>
      <c r="V6032">
        <v>-2.4203430000000001E-2</v>
      </c>
      <c r="W6032">
        <v>0.35340260000000001</v>
      </c>
      <c r="X6032">
        <v>0.93515820000000005</v>
      </c>
      <c r="Y6032">
        <v>0.12617049999999999</v>
      </c>
      <c r="Z6032">
        <v>-0.10666050000000001</v>
      </c>
      <c r="AA6032">
        <v>0.98625790000000002</v>
      </c>
      <c r="AB6032">
        <v>32</v>
      </c>
      <c r="AC6032">
        <v>0.107100000000002</v>
      </c>
      <c r="AD6032">
        <v>-0.10928499999999999</v>
      </c>
      <c r="AE6032">
        <v>0.56754000000000804</v>
      </c>
      <c r="AF6032">
        <v>0.109515949879119</v>
      </c>
      <c r="AG6032">
        <v>-0.10928499999999999</v>
      </c>
      <c r="AH6032">
        <v>0.54673222544698097</v>
      </c>
      <c r="AI6032">
        <v>101.08907757284101</v>
      </c>
      <c r="AJ6032">
        <v>78.672988201499905</v>
      </c>
      <c r="AK6032">
        <v>0.56820161988957296</v>
      </c>
      <c r="AL6032">
        <v>69.304425532980403</v>
      </c>
      <c r="AM6032">
        <v>91.482577888576103</v>
      </c>
      <c r="AN6032">
        <v>1.0000000313688799</v>
      </c>
    </row>
    <row r="6033" spans="1:40" x14ac:dyDescent="0.25">
      <c r="A6033" t="str">
        <f>"20190304164806387"</f>
        <v>20190304164806387</v>
      </c>
      <c r="B6033" t="str">
        <f>"1551689286385058"</f>
        <v>1551689286385058</v>
      </c>
      <c r="C6033" t="s">
        <v>40</v>
      </c>
      <c r="D6033">
        <v>4.5571219999999997</v>
      </c>
      <c r="E6033">
        <v>0.57818559999999997</v>
      </c>
      <c r="F6033" t="s">
        <v>41</v>
      </c>
      <c r="G6033">
        <v>-187.68879999999999</v>
      </c>
      <c r="H6033">
        <v>1.0066269999999999</v>
      </c>
      <c r="I6033">
        <v>92.684200000000004</v>
      </c>
      <c r="J6033">
        <v>-187.7928</v>
      </c>
      <c r="K6033">
        <v>1.110684</v>
      </c>
      <c r="L6033">
        <v>92.168760000000006</v>
      </c>
      <c r="M6033">
        <v>-1.080829E-2</v>
      </c>
      <c r="N6033">
        <v>-1.442527E-2</v>
      </c>
      <c r="O6033">
        <v>0.99983750000000005</v>
      </c>
      <c r="P6033">
        <v>-3.3626169999999997E-2</v>
      </c>
      <c r="Q6033">
        <v>0.33970610000000001</v>
      </c>
      <c r="R6033">
        <v>0.9399303</v>
      </c>
      <c r="S6033">
        <v>0.39358520000000002</v>
      </c>
      <c r="T6033">
        <v>-0.40762159999999997</v>
      </c>
      <c r="U6033">
        <v>3.3541259999999999</v>
      </c>
      <c r="V6033">
        <v>-2.3200180000000001E-2</v>
      </c>
      <c r="W6033">
        <v>0.35325129999999999</v>
      </c>
      <c r="X6033">
        <v>0.93524070000000004</v>
      </c>
      <c r="Y6033">
        <v>0.12650029999999901</v>
      </c>
      <c r="Z6033">
        <v>-0.1053988</v>
      </c>
      <c r="AA6033">
        <v>0.98635130000000004</v>
      </c>
      <c r="AB6033">
        <v>32</v>
      </c>
      <c r="AC6033">
        <v>0.104000000000013</v>
      </c>
      <c r="AD6033">
        <v>-0.104057</v>
      </c>
      <c r="AE6033">
        <v>0.515440000000012</v>
      </c>
      <c r="AF6033">
        <v>0.105436506095166</v>
      </c>
      <c r="AG6033">
        <v>-0.104057</v>
      </c>
      <c r="AH6033">
        <v>0.49490463512694699</v>
      </c>
      <c r="AI6033">
        <v>101.620402642089</v>
      </c>
      <c r="AJ6033">
        <v>77.973276986482404</v>
      </c>
      <c r="AK6033">
        <v>0.51659976184343404</v>
      </c>
      <c r="AL6033">
        <v>69.313690276074297</v>
      </c>
      <c r="AM6033">
        <v>91.421024378049495</v>
      </c>
      <c r="AN6033">
        <v>0.99999994812010495</v>
      </c>
    </row>
    <row r="6034" spans="1:40" x14ac:dyDescent="0.25">
      <c r="A6034" t="str">
        <f>"20190304164806409"</f>
        <v>20190304164806409</v>
      </c>
      <c r="B6034" t="str">
        <f>"1551689286405554"</f>
        <v>1551689286405554</v>
      </c>
      <c r="C6034" t="s">
        <v>40</v>
      </c>
      <c r="D6034">
        <v>4.5895260000000002</v>
      </c>
      <c r="E6034">
        <v>0.57772429999999997</v>
      </c>
      <c r="F6034" t="s">
        <v>41</v>
      </c>
      <c r="G6034">
        <v>-187.69820000000001</v>
      </c>
      <c r="H6034">
        <v>1.013649</v>
      </c>
      <c r="I6034">
        <v>92.973479999999995</v>
      </c>
      <c r="J6034">
        <v>-187.79560000000001</v>
      </c>
      <c r="K6034">
        <v>1.1106689999999999</v>
      </c>
      <c r="L6034">
        <v>92.463750000000005</v>
      </c>
      <c r="M6034">
        <v>-1.046294E-2</v>
      </c>
      <c r="N6034">
        <v>-1.44222E-2</v>
      </c>
      <c r="O6034">
        <v>0.99984130000000004</v>
      </c>
      <c r="P6034">
        <v>-3.1920810000000001E-2</v>
      </c>
      <c r="Q6034">
        <v>0.33938940000000001</v>
      </c>
      <c r="R6034">
        <v>0.94010419999999995</v>
      </c>
      <c r="S6034">
        <v>0.39404299999999998</v>
      </c>
      <c r="T6034">
        <v>-0.40417340000000002</v>
      </c>
      <c r="U6034">
        <v>3.3518979999999998</v>
      </c>
      <c r="V6034">
        <v>-2.1802640000000002E-2</v>
      </c>
      <c r="W6034">
        <v>0.35293419999999998</v>
      </c>
      <c r="X6034">
        <v>0.93539410000000001</v>
      </c>
      <c r="Y6034">
        <v>0.12637880000000001</v>
      </c>
      <c r="Z6034">
        <v>-0.10448010000000001</v>
      </c>
      <c r="AA6034">
        <v>0.98646460000000002</v>
      </c>
      <c r="AB6034">
        <v>32</v>
      </c>
      <c r="AC6034">
        <v>9.73999999999932E-2</v>
      </c>
      <c r="AD6034">
        <v>-9.7020000000000106E-2</v>
      </c>
      <c r="AE6034">
        <v>0.50973000000000401</v>
      </c>
      <c r="AF6034">
        <v>9.9259222166657599E-2</v>
      </c>
      <c r="AG6034">
        <v>-9.7020000000000106E-2</v>
      </c>
      <c r="AH6034">
        <v>0.49150401722007497</v>
      </c>
      <c r="AI6034">
        <v>100.95072522504999</v>
      </c>
      <c r="AJ6034">
        <v>78.582679916625196</v>
      </c>
      <c r="AK6034">
        <v>0.510726416517299</v>
      </c>
      <c r="AL6034">
        <v>69.333111012731493</v>
      </c>
      <c r="AM6034">
        <v>91.335237311837602</v>
      </c>
      <c r="AN6034">
        <v>1.0000000134777001</v>
      </c>
    </row>
    <row r="6035" spans="1:40" x14ac:dyDescent="0.25">
      <c r="A6035" t="str">
        <f>"20190304164806432"</f>
        <v>20190304164806432</v>
      </c>
      <c r="B6035" t="str">
        <f>"1551689286425075"</f>
        <v>1551689286425075</v>
      </c>
      <c r="C6035" t="s">
        <v>40</v>
      </c>
      <c r="D6035">
        <v>4.8343030000000002</v>
      </c>
      <c r="E6035">
        <v>0.57752680000000001</v>
      </c>
      <c r="F6035" t="s">
        <v>41</v>
      </c>
      <c r="G6035">
        <v>-187.70140000000001</v>
      </c>
      <c r="H6035">
        <v>1.014821</v>
      </c>
      <c r="I6035">
        <v>93.259739999999994</v>
      </c>
      <c r="J6035">
        <v>-187.79859999999999</v>
      </c>
      <c r="K6035">
        <v>1.1106419999999999</v>
      </c>
      <c r="L6035">
        <v>92.790189999999996</v>
      </c>
      <c r="M6035">
        <v>-1.004187E-2</v>
      </c>
      <c r="N6035">
        <v>-1.44189E-2</v>
      </c>
      <c r="O6035">
        <v>0.9998456</v>
      </c>
      <c r="P6035">
        <v>-2.9848240000000002E-2</v>
      </c>
      <c r="Q6035">
        <v>0.33956429999999999</v>
      </c>
      <c r="R6035">
        <v>0.94010910000000003</v>
      </c>
      <c r="S6035">
        <v>0.39602660000000001</v>
      </c>
      <c r="T6035">
        <v>-0.40344049999999998</v>
      </c>
      <c r="U6035">
        <v>3.3502200000000002</v>
      </c>
      <c r="V6035">
        <v>-2.0100940000000001E-2</v>
      </c>
      <c r="W6035">
        <v>0.35310550000000002</v>
      </c>
      <c r="X6035">
        <v>0.93536759999999997</v>
      </c>
      <c r="Y6035">
        <v>0.12659629999999999</v>
      </c>
      <c r="Z6035">
        <v>-0.10432429999999999</v>
      </c>
      <c r="AA6035">
        <v>0.98645320000000003</v>
      </c>
      <c r="AB6035">
        <v>32</v>
      </c>
      <c r="AC6035">
        <v>9.7199999999986603E-2</v>
      </c>
      <c r="AD6035">
        <v>-9.5820999999999906E-2</v>
      </c>
      <c r="AE6035">
        <v>0.46955000000001201</v>
      </c>
      <c r="AF6035">
        <v>9.7997389971380106E-2</v>
      </c>
      <c r="AG6035">
        <v>-9.5820999999999906E-2</v>
      </c>
      <c r="AH6035">
        <v>0.45055788862310803</v>
      </c>
      <c r="AI6035">
        <v>101.73972190776099</v>
      </c>
      <c r="AJ6035">
        <v>77.729152246506501</v>
      </c>
      <c r="AK6035">
        <v>0.47094326991975899</v>
      </c>
      <c r="AL6035">
        <v>69.322621516488695</v>
      </c>
      <c r="AM6035">
        <v>91.231090091963594</v>
      </c>
      <c r="AN6035">
        <v>1.0000000445244399</v>
      </c>
    </row>
    <row r="6036" spans="1:40" x14ac:dyDescent="0.25">
      <c r="A6036" t="str">
        <f>"20190304164806453"</f>
        <v>20190304164806453</v>
      </c>
      <c r="B6036" t="str">
        <f>"1551689286445571"</f>
        <v>1551689286445571</v>
      </c>
      <c r="C6036" t="s">
        <v>40</v>
      </c>
      <c r="D6036">
        <v>4.713819</v>
      </c>
      <c r="E6036">
        <v>0.54558119999999999</v>
      </c>
      <c r="F6036" t="s">
        <v>41</v>
      </c>
      <c r="G6036">
        <v>-187.70830000000001</v>
      </c>
      <c r="H6036">
        <v>1.0193270000000001</v>
      </c>
      <c r="I6036">
        <v>93.547250000000005</v>
      </c>
      <c r="J6036">
        <v>-187.8013</v>
      </c>
      <c r="K6036">
        <v>1.110603</v>
      </c>
      <c r="L6036">
        <v>93.101070000000007</v>
      </c>
      <c r="M6036">
        <v>-9.5929780000000003E-3</v>
      </c>
      <c r="N6036">
        <v>-1.4415910000000001E-2</v>
      </c>
      <c r="O6036">
        <v>0.99985009999999996</v>
      </c>
      <c r="P6036">
        <v>-2.7471990000000002E-2</v>
      </c>
      <c r="Q6036">
        <v>0.33928979999999997</v>
      </c>
      <c r="R6036">
        <v>0.94028069999999997</v>
      </c>
      <c r="S6036">
        <v>0.39942929999999999</v>
      </c>
      <c r="T6036">
        <v>-0.4040627</v>
      </c>
      <c r="U6036">
        <v>3.3497620000000001</v>
      </c>
      <c r="V6036">
        <v>-1.8115019999999999E-2</v>
      </c>
      <c r="W6036">
        <v>0.35283019999999998</v>
      </c>
      <c r="X6036">
        <v>0.93551200000000001</v>
      </c>
      <c r="Y6036">
        <v>0.12715180000000001</v>
      </c>
      <c r="Z6036">
        <v>-0.1045137</v>
      </c>
      <c r="AA6036">
        <v>0.98636170000000001</v>
      </c>
      <c r="AB6036">
        <v>32</v>
      </c>
      <c r="AC6036">
        <v>9.29999999999893E-2</v>
      </c>
      <c r="AD6036">
        <v>-9.1275999999999899E-2</v>
      </c>
      <c r="AE6036">
        <v>0.44618000000001201</v>
      </c>
      <c r="AF6036">
        <v>9.3525313646041899E-2</v>
      </c>
      <c r="AG6036">
        <v>-9.1275999999999899E-2</v>
      </c>
      <c r="AH6036">
        <v>0.42809740392840201</v>
      </c>
      <c r="AI6036">
        <v>101.76647067722899</v>
      </c>
      <c r="AJ6036">
        <v>77.676367678475003</v>
      </c>
      <c r="AK6036">
        <v>0.44759991032039698</v>
      </c>
      <c r="AL6036">
        <v>69.339479245892093</v>
      </c>
      <c r="AM6036">
        <v>91.109322485801997</v>
      </c>
      <c r="AN6036">
        <v>1.00000000306282</v>
      </c>
    </row>
    <row r="6037" spans="1:40" x14ac:dyDescent="0.25">
      <c r="A6037" t="str">
        <f>"20190304164806476"</f>
        <v>20190304164806476</v>
      </c>
      <c r="B6037" t="str">
        <f>"1551689286465096"</f>
        <v>1551689286465096</v>
      </c>
      <c r="C6037" t="s">
        <v>40</v>
      </c>
      <c r="D6037">
        <v>4.5441419999999999</v>
      </c>
      <c r="E6037">
        <v>0.54333189999999998</v>
      </c>
      <c r="F6037" t="s">
        <v>41</v>
      </c>
      <c r="G6037">
        <v>-187.78530000000001</v>
      </c>
      <c r="H6037">
        <v>0.89799819999999997</v>
      </c>
      <c r="I6037">
        <v>93.77431</v>
      </c>
      <c r="J6037">
        <v>-187.8038</v>
      </c>
      <c r="K6037">
        <v>1.1105640000000001</v>
      </c>
      <c r="L6037">
        <v>93.420590000000004</v>
      </c>
      <c r="M6037">
        <v>-9.0728170000000004E-3</v>
      </c>
      <c r="N6037">
        <v>-1.441284E-2</v>
      </c>
      <c r="O6037">
        <v>0.99985500000000005</v>
      </c>
      <c r="P6037">
        <v>-2.5932960000000001E-2</v>
      </c>
      <c r="Q6037">
        <v>0.33903879999999997</v>
      </c>
      <c r="R6037">
        <v>0.94041490000000005</v>
      </c>
      <c r="S6037">
        <v>8.433533E-2</v>
      </c>
      <c r="T6037">
        <v>-1.137947</v>
      </c>
      <c r="U6037">
        <v>3.6036069999999998</v>
      </c>
      <c r="V6037">
        <v>-1.7027830000000001E-2</v>
      </c>
      <c r="W6037">
        <v>0.35257860000000002</v>
      </c>
      <c r="X6037">
        <v>0.93562730000000005</v>
      </c>
      <c r="Y6037">
        <v>3.1405599999999999E-2</v>
      </c>
      <c r="Z6037">
        <v>-0.28721580000000002</v>
      </c>
      <c r="AA6037">
        <v>0.9573509</v>
      </c>
      <c r="AB6037">
        <v>32</v>
      </c>
      <c r="AC6037">
        <v>1.84999999999888E-2</v>
      </c>
      <c r="AD6037">
        <v>-0.212565799999999</v>
      </c>
      <c r="AE6037">
        <v>0.35371999999999498</v>
      </c>
      <c r="AF6037">
        <v>1.5960620487218101E-2</v>
      </c>
      <c r="AG6037">
        <v>-0.212565799999999</v>
      </c>
      <c r="AH6037">
        <v>0.25992578271156402</v>
      </c>
      <c r="AI6037">
        <v>129.22327654187299</v>
      </c>
      <c r="AJ6037">
        <v>86.486191454825899</v>
      </c>
      <c r="AK6037">
        <v>0.33615528146110701</v>
      </c>
      <c r="AL6037">
        <v>69.354885501168596</v>
      </c>
      <c r="AM6037">
        <v>91.042632146718503</v>
      </c>
      <c r="AN6037">
        <v>1.0000000303388701</v>
      </c>
    </row>
    <row r="6038" spans="1:40" x14ac:dyDescent="0.25">
      <c r="A6038" t="str">
        <f>"20190304164806500"</f>
        <v>20190304164806500</v>
      </c>
      <c r="B6038" t="str">
        <f>"1551689286495346"</f>
        <v>1551689286495346</v>
      </c>
      <c r="C6038" t="s">
        <v>40</v>
      </c>
      <c r="D6038">
        <v>4.5196339999999999</v>
      </c>
      <c r="E6038">
        <v>0.54251919999999898</v>
      </c>
      <c r="F6038" t="s">
        <v>41</v>
      </c>
      <c r="G6038">
        <v>-187.78739999999999</v>
      </c>
      <c r="H6038">
        <v>0.81659150000000003</v>
      </c>
      <c r="I6038">
        <v>94.309039999999996</v>
      </c>
      <c r="J6038">
        <v>-187.80609999999999</v>
      </c>
      <c r="K6038">
        <v>1.1105210000000001</v>
      </c>
      <c r="L6038">
        <v>93.754639999999995</v>
      </c>
      <c r="M6038">
        <v>-8.4629309999999999E-3</v>
      </c>
      <c r="N6038">
        <v>-1.4409659999999999E-2</v>
      </c>
      <c r="O6038">
        <v>0.99986030000000004</v>
      </c>
      <c r="P6038">
        <v>-2.4115069999999999E-2</v>
      </c>
      <c r="Q6038">
        <v>0.33962809999999999</v>
      </c>
      <c r="R6038">
        <v>0.94025060000000005</v>
      </c>
      <c r="S6038">
        <v>6.6116330000000001E-2</v>
      </c>
      <c r="T6038">
        <v>-1.1991700000000001</v>
      </c>
      <c r="U6038">
        <v>3.6242369999999999</v>
      </c>
      <c r="V6038">
        <v>-1.5744129999999999E-2</v>
      </c>
      <c r="W6038">
        <v>0.35316259999999999</v>
      </c>
      <c r="X6038">
        <v>0.93542950000000002</v>
      </c>
      <c r="Y6038">
        <v>2.579478E-2</v>
      </c>
      <c r="Z6038">
        <v>-0.30031970000000002</v>
      </c>
      <c r="AA6038">
        <v>0.95348980000000005</v>
      </c>
      <c r="AB6038">
        <v>32</v>
      </c>
      <c r="AC6038">
        <v>1.8699999999995401E-2</v>
      </c>
      <c r="AD6038">
        <v>-0.29392949999999901</v>
      </c>
      <c r="AE6038">
        <v>0.55439999999998602</v>
      </c>
      <c r="AF6038">
        <v>1.8263795331616699E-2</v>
      </c>
      <c r="AG6038">
        <v>-0.29392949999999901</v>
      </c>
      <c r="AH6038">
        <v>0.43272653266634398</v>
      </c>
      <c r="AI6038">
        <v>124.16261269666199</v>
      </c>
      <c r="AJ6038">
        <v>87.583190285733195</v>
      </c>
      <c r="AK6038">
        <v>0.52343134149915105</v>
      </c>
      <c r="AL6038">
        <v>69.319124201406197</v>
      </c>
      <c r="AM6038">
        <v>90.964249081354595</v>
      </c>
      <c r="AN6038">
        <v>1.00000002456923</v>
      </c>
    </row>
    <row r="6039" spans="1:40" x14ac:dyDescent="0.25">
      <c r="A6039" t="str">
        <f>"20190304164806521"</f>
        <v>20190304164806521</v>
      </c>
      <c r="B6039" t="str">
        <f>"1551689286515844"</f>
        <v>1551689286515844</v>
      </c>
      <c r="C6039" t="s">
        <v>40</v>
      </c>
      <c r="D6039">
        <v>4.522627</v>
      </c>
      <c r="E6039">
        <v>0.54275669999999898</v>
      </c>
      <c r="F6039" t="s">
        <v>41</v>
      </c>
      <c r="G6039">
        <v>-187.7912</v>
      </c>
      <c r="H6039">
        <v>0.827310199999999</v>
      </c>
      <c r="I6039">
        <v>94.597639999999998</v>
      </c>
      <c r="J6039">
        <v>-187.8082</v>
      </c>
      <c r="K6039">
        <v>1.110501</v>
      </c>
      <c r="L6039">
        <v>94.072969999999998</v>
      </c>
      <c r="M6039">
        <v>-7.8305409999999999E-3</v>
      </c>
      <c r="N6039">
        <v>-1.44067E-2</v>
      </c>
      <c r="O6039">
        <v>0.99986549999999996</v>
      </c>
      <c r="P6039">
        <v>-2.2460049999999999E-2</v>
      </c>
      <c r="Q6039">
        <v>0.34031869999999997</v>
      </c>
      <c r="R6039">
        <v>0.94004189999999999</v>
      </c>
      <c r="S6039">
        <v>6.428528E-2</v>
      </c>
      <c r="T6039">
        <v>-1.220569</v>
      </c>
      <c r="U6039">
        <v>3.6331790000000002</v>
      </c>
      <c r="V6039">
        <v>-1.464858E-2</v>
      </c>
      <c r="W6039">
        <v>0.35384729999999998</v>
      </c>
      <c r="X6039">
        <v>0.93518849999999998</v>
      </c>
      <c r="Y6039">
        <v>2.4616849999999999E-2</v>
      </c>
      <c r="Z6039">
        <v>-0.3046837</v>
      </c>
      <c r="AA6039">
        <v>0.95213539999999997</v>
      </c>
      <c r="AB6039">
        <v>32</v>
      </c>
      <c r="AC6039">
        <v>1.69999999999959E-2</v>
      </c>
      <c r="AD6039">
        <v>-0.28319080000000002</v>
      </c>
      <c r="AE6039">
        <v>0.52466999999999997</v>
      </c>
      <c r="AF6039">
        <v>1.6350076347393602E-2</v>
      </c>
      <c r="AG6039">
        <v>-0.28319080000000002</v>
      </c>
      <c r="AH6039">
        <v>0.40628247174503301</v>
      </c>
      <c r="AI6039">
        <v>124.855883981074</v>
      </c>
      <c r="AJ6039">
        <v>87.695482301458497</v>
      </c>
      <c r="AK6039">
        <v>0.49550963769482798</v>
      </c>
      <c r="AL6039">
        <v>69.277185656993794</v>
      </c>
      <c r="AM6039">
        <v>90.897394672847099</v>
      </c>
      <c r="AN6039">
        <v>1.0000000115727701</v>
      </c>
    </row>
    <row r="6040" spans="1:40" x14ac:dyDescent="0.25">
      <c r="A6040" t="str">
        <f>"20190304164806543"</f>
        <v>20190304164806543</v>
      </c>
      <c r="B6040" t="str">
        <f>"1551689286535362"</f>
        <v>1551689286535362</v>
      </c>
      <c r="C6040" t="s">
        <v>40</v>
      </c>
      <c r="D6040">
        <v>4.5204259999999996</v>
      </c>
      <c r="E6040">
        <v>0.54281369999999995</v>
      </c>
      <c r="F6040" t="s">
        <v>41</v>
      </c>
      <c r="G6040">
        <v>-187.79179999999999</v>
      </c>
      <c r="H6040">
        <v>0.83871689999999999</v>
      </c>
      <c r="I6040">
        <v>94.886150000000001</v>
      </c>
      <c r="J6040">
        <v>-187.8099</v>
      </c>
      <c r="K6040">
        <v>1.110474</v>
      </c>
      <c r="L6040">
        <v>94.382540000000006</v>
      </c>
      <c r="M6040">
        <v>-7.1691400000000001E-3</v>
      </c>
      <c r="N6040">
        <v>-1.440374E-2</v>
      </c>
      <c r="O6040">
        <v>0.9998705</v>
      </c>
      <c r="P6040">
        <v>-2.042737E-2</v>
      </c>
      <c r="Q6040">
        <v>0.34091250000000001</v>
      </c>
      <c r="R6040">
        <v>0.93987310000000002</v>
      </c>
      <c r="S6040">
        <v>7.2189329999999996E-2</v>
      </c>
      <c r="T6040">
        <v>-1.214005</v>
      </c>
      <c r="U6040">
        <v>3.6325989999999999</v>
      </c>
      <c r="V6040">
        <v>-1.32064E-2</v>
      </c>
      <c r="W6040">
        <v>0.354435</v>
      </c>
      <c r="X6040">
        <v>0.93498740000000002</v>
      </c>
      <c r="Y6040">
        <v>2.6035389999999999E-2</v>
      </c>
      <c r="Z6040">
        <v>-0.303176</v>
      </c>
      <c r="AA6040">
        <v>0.95257879999999995</v>
      </c>
      <c r="AB6040">
        <v>32</v>
      </c>
      <c r="AC6040">
        <v>1.8100000000003998E-2</v>
      </c>
      <c r="AD6040">
        <v>-0.27175709999999997</v>
      </c>
      <c r="AE6040">
        <v>0.50360999999999401</v>
      </c>
      <c r="AF6040">
        <v>1.6819148215895901E-2</v>
      </c>
      <c r="AG6040">
        <v>-0.27175709999999997</v>
      </c>
      <c r="AH6040">
        <v>0.39003916793886201</v>
      </c>
      <c r="AI6040">
        <v>124.841630348815</v>
      </c>
      <c r="AJ6040">
        <v>87.530838832626998</v>
      </c>
      <c r="AK6040">
        <v>0.4756735831151</v>
      </c>
      <c r="AL6040">
        <v>69.241179361794806</v>
      </c>
      <c r="AM6040">
        <v>90.809230871224997</v>
      </c>
      <c r="AN6040">
        <v>1.0000000081923599</v>
      </c>
    </row>
    <row r="6041" spans="1:40" x14ac:dyDescent="0.25">
      <c r="A6041" t="str">
        <f>"20190304164806565"</f>
        <v>20190304164806565</v>
      </c>
      <c r="B6041" t="str">
        <f>"1551689286555859"</f>
        <v>1551689286555859</v>
      </c>
      <c r="C6041" t="s">
        <v>40</v>
      </c>
      <c r="D6041">
        <v>4.5328039999999996</v>
      </c>
      <c r="E6041">
        <v>0.54295559999999998</v>
      </c>
      <c r="F6041" t="s">
        <v>41</v>
      </c>
      <c r="G6041">
        <v>-187.79259999999999</v>
      </c>
      <c r="H6041">
        <v>0.84679989999999905</v>
      </c>
      <c r="I6041">
        <v>95.172989999999999</v>
      </c>
      <c r="J6041">
        <v>-187.81139999999999</v>
      </c>
      <c r="K6041">
        <v>1.110444</v>
      </c>
      <c r="L6041">
        <v>94.692959999999999</v>
      </c>
      <c r="M6041">
        <v>-6.4617490000000001E-3</v>
      </c>
      <c r="N6041">
        <v>-1.440074E-2</v>
      </c>
      <c r="O6041">
        <v>0.99987539999999997</v>
      </c>
      <c r="P6041">
        <v>-1.755348E-2</v>
      </c>
      <c r="Q6041">
        <v>0.34128500000000001</v>
      </c>
      <c r="R6041">
        <v>0.93979599999999996</v>
      </c>
      <c r="S6041">
        <v>7.9055790000000001E-2</v>
      </c>
      <c r="T6041">
        <v>-1.2119219999999999</v>
      </c>
      <c r="U6041">
        <v>3.6332399999999998</v>
      </c>
      <c r="V6041">
        <v>-1.096842E-2</v>
      </c>
      <c r="W6041">
        <v>0.35480109999999998</v>
      </c>
      <c r="X6041">
        <v>0.93487750000000003</v>
      </c>
      <c r="Y6041">
        <v>2.7125360000000001E-2</v>
      </c>
      <c r="Z6041">
        <v>-0.30262879999999998</v>
      </c>
      <c r="AA6041">
        <v>0.95272239999999997</v>
      </c>
      <c r="AB6041">
        <v>32</v>
      </c>
      <c r="AC6041">
        <v>1.87999999999988E-2</v>
      </c>
      <c r="AD6041">
        <v>-0.26364409999999999</v>
      </c>
      <c r="AE6041">
        <v>0.48002999999999901</v>
      </c>
      <c r="AF6041">
        <v>1.6832163001530499E-2</v>
      </c>
      <c r="AG6041">
        <v>-0.26364409999999999</v>
      </c>
      <c r="AH6041">
        <v>0.36881641214248401</v>
      </c>
      <c r="AI6041">
        <v>125.530442219291</v>
      </c>
      <c r="AJ6041">
        <v>87.386929847401206</v>
      </c>
      <c r="AK6041">
        <v>0.453670672450595</v>
      </c>
      <c r="AL6041">
        <v>69.218745971458006</v>
      </c>
      <c r="AM6041">
        <v>90.672190036692299</v>
      </c>
      <c r="AN6041">
        <v>1.00000003340237</v>
      </c>
    </row>
    <row r="6042" spans="1:40" x14ac:dyDescent="0.25">
      <c r="A6042" t="str">
        <f>"20190304164806588"</f>
        <v>20190304164806588</v>
      </c>
      <c r="B6042" t="str">
        <f>"1551689286575379"</f>
        <v>1551689286575379</v>
      </c>
      <c r="C6042" t="s">
        <v>40</v>
      </c>
      <c r="D6042">
        <v>4.5563880000000001</v>
      </c>
      <c r="E6042">
        <v>0.54302669999999997</v>
      </c>
      <c r="F6042" t="s">
        <v>41</v>
      </c>
      <c r="G6042">
        <v>-187.79249999999999</v>
      </c>
      <c r="H6042">
        <v>0.85540450000000001</v>
      </c>
      <c r="I6042">
        <v>95.459710000000001</v>
      </c>
      <c r="J6042">
        <v>-187.8126</v>
      </c>
      <c r="K6042">
        <v>1.1104019999999999</v>
      </c>
      <c r="L6042">
        <v>95.001980000000003</v>
      </c>
      <c r="M6042">
        <v>-5.7201219999999898E-3</v>
      </c>
      <c r="N6042">
        <v>-1.4397729999999999E-2</v>
      </c>
      <c r="O6042">
        <v>0.99987999999999999</v>
      </c>
      <c r="P6042">
        <v>-1.442864E-2</v>
      </c>
      <c r="Q6042">
        <v>0.34038049999999997</v>
      </c>
      <c r="R6042">
        <v>0.94017709999999999</v>
      </c>
      <c r="S6042">
        <v>8.8836670000000006E-2</v>
      </c>
      <c r="T6042">
        <v>-1.2082139999999999</v>
      </c>
      <c r="U6042">
        <v>3.6325989999999999</v>
      </c>
      <c r="V6042">
        <v>-8.5121150000000007E-3</v>
      </c>
      <c r="W6042">
        <v>0.35389589999999999</v>
      </c>
      <c r="X6042">
        <v>0.93524609999999997</v>
      </c>
      <c r="Y6042">
        <v>2.8953340000000001E-2</v>
      </c>
      <c r="Z6042">
        <v>-0.301791799999999</v>
      </c>
      <c r="AA6042">
        <v>0.95293410000000001</v>
      </c>
      <c r="AB6042">
        <v>32</v>
      </c>
      <c r="AC6042">
        <v>2.0100000000013499E-2</v>
      </c>
      <c r="AD6042">
        <v>-0.25499749999999999</v>
      </c>
      <c r="AE6042">
        <v>0.45772999999999803</v>
      </c>
      <c r="AF6042">
        <v>1.73454097371732E-2</v>
      </c>
      <c r="AG6042">
        <v>-0.25499749999999999</v>
      </c>
      <c r="AH6042">
        <v>0.34938442008654202</v>
      </c>
      <c r="AI6042">
        <v>126.090184905394</v>
      </c>
      <c r="AJ6042">
        <v>87.157848388530297</v>
      </c>
      <c r="AK6042">
        <v>0.43289035707025197</v>
      </c>
      <c r="AL6042">
        <v>69.274208531039903</v>
      </c>
      <c r="AM6042">
        <v>90.521461461505794</v>
      </c>
      <c r="AN6042">
        <v>1.00000001585189</v>
      </c>
    </row>
    <row r="6043" spans="1:40" x14ac:dyDescent="0.25">
      <c r="A6043" t="str">
        <f>"20190304164806608"</f>
        <v>20190304164806608</v>
      </c>
      <c r="B6043" t="str">
        <f>"1551689286605635"</f>
        <v>1551689286605635</v>
      </c>
      <c r="C6043" t="s">
        <v>40</v>
      </c>
      <c r="D6043">
        <v>4.6388930000000004</v>
      </c>
      <c r="E6043">
        <v>0.54251579999999999</v>
      </c>
      <c r="F6043" t="s">
        <v>41</v>
      </c>
      <c r="G6043">
        <v>-187.79249999999999</v>
      </c>
      <c r="H6043">
        <v>0.86257600000000001</v>
      </c>
      <c r="I6043">
        <v>95.745540000000005</v>
      </c>
      <c r="J6043">
        <v>-187.8135</v>
      </c>
      <c r="K6043">
        <v>1.1103700000000001</v>
      </c>
      <c r="L6043">
        <v>95.301299999999998</v>
      </c>
      <c r="M6043">
        <v>-4.973313E-3</v>
      </c>
      <c r="N6043">
        <v>-1.4394779999999999E-2</v>
      </c>
      <c r="O6043">
        <v>0.999884</v>
      </c>
      <c r="P6043">
        <v>-1.130653E-2</v>
      </c>
      <c r="Q6043">
        <v>0.33891739999999998</v>
      </c>
      <c r="R6043">
        <v>0.94074820000000003</v>
      </c>
      <c r="S6043">
        <v>9.7976679999999997E-2</v>
      </c>
      <c r="T6043">
        <v>-1.210019</v>
      </c>
      <c r="U6043">
        <v>3.6304630000000002</v>
      </c>
      <c r="V6043">
        <v>-6.0677880000000002E-3</v>
      </c>
      <c r="W6043">
        <v>0.3524349</v>
      </c>
      <c r="X6043">
        <v>0.9358166</v>
      </c>
      <c r="Y6043">
        <v>3.0608529999999998E-2</v>
      </c>
      <c r="Z6043">
        <v>-0.30237380000000003</v>
      </c>
      <c r="AA6043">
        <v>0.95269789999999999</v>
      </c>
      <c r="AB6043">
        <v>32</v>
      </c>
      <c r="AC6043">
        <v>2.1000000000015E-2</v>
      </c>
      <c r="AD6043">
        <v>-0.24779399999999999</v>
      </c>
      <c r="AE6043">
        <v>0.44424000000000702</v>
      </c>
      <c r="AF6043">
        <v>1.77110926117632E-2</v>
      </c>
      <c r="AG6043">
        <v>-0.24779399999999999</v>
      </c>
      <c r="AH6043">
        <v>0.338916893430945</v>
      </c>
      <c r="AI6043">
        <v>126.134628298051</v>
      </c>
      <c r="AJ6043">
        <v>87.008562733705801</v>
      </c>
      <c r="AK6043">
        <v>0.42021448081947999</v>
      </c>
      <c r="AL6043">
        <v>69.363681776355804</v>
      </c>
      <c r="AM6043">
        <v>90.371497760843596</v>
      </c>
      <c r="AN6043">
        <v>0.99999994281238902</v>
      </c>
    </row>
    <row r="6044" spans="1:40" x14ac:dyDescent="0.25">
      <c r="A6044" t="str">
        <f>"20190304164806631"</f>
        <v>20190304164806631</v>
      </c>
      <c r="B6044" t="str">
        <f>"1551689286625155"</f>
        <v>1551689286625155</v>
      </c>
      <c r="C6044" t="s">
        <v>40</v>
      </c>
      <c r="D6044">
        <v>4.660412</v>
      </c>
      <c r="E6044">
        <v>0.54235769999999905</v>
      </c>
      <c r="F6044" t="s">
        <v>41</v>
      </c>
      <c r="G6044">
        <v>-187.7928</v>
      </c>
      <c r="H6044">
        <v>0.86511269999999996</v>
      </c>
      <c r="I6044">
        <v>96.029200000000003</v>
      </c>
      <c r="J6044">
        <v>-187.8143</v>
      </c>
      <c r="K6044">
        <v>1.1103540000000001</v>
      </c>
      <c r="L6044">
        <v>95.631129999999999</v>
      </c>
      <c r="M6044">
        <v>-4.1257519999999999E-3</v>
      </c>
      <c r="N6044">
        <v>-1.439149E-2</v>
      </c>
      <c r="O6044">
        <v>0.99988790000000005</v>
      </c>
      <c r="P6044">
        <v>-7.7029809999999898E-3</v>
      </c>
      <c r="Q6044">
        <v>0.33777570000000001</v>
      </c>
      <c r="R6044">
        <v>0.94119509999999995</v>
      </c>
      <c r="S6044">
        <v>0.1025238</v>
      </c>
      <c r="T6044">
        <v>-1.2233339999999999</v>
      </c>
      <c r="U6044">
        <v>3.6309200000000001</v>
      </c>
      <c r="V6044">
        <v>-3.2396909999999998E-3</v>
      </c>
      <c r="W6044">
        <v>0.35129179999999999</v>
      </c>
      <c r="X6044">
        <v>0.93626050000000005</v>
      </c>
      <c r="Y6044">
        <v>3.0920590000000001E-2</v>
      </c>
      <c r="Z6044">
        <v>-0.30547609999999997</v>
      </c>
      <c r="AA6044">
        <v>0.95169760000000003</v>
      </c>
      <c r="AB6044">
        <v>32</v>
      </c>
      <c r="AC6044">
        <v>2.15000000000031E-2</v>
      </c>
      <c r="AD6044">
        <v>-0.2452413</v>
      </c>
      <c r="AE6044">
        <v>0.39807000000000398</v>
      </c>
      <c r="AF6044">
        <v>1.6788713361923901E-2</v>
      </c>
      <c r="AG6044">
        <v>-0.2452413</v>
      </c>
      <c r="AH6044">
        <v>0.28871501885112899</v>
      </c>
      <c r="AI6044">
        <v>130.29764253755201</v>
      </c>
      <c r="AJ6044">
        <v>86.672011024339696</v>
      </c>
      <c r="AK6044">
        <v>0.379185334938268</v>
      </c>
      <c r="AL6044">
        <v>69.433653851702005</v>
      </c>
      <c r="AM6044">
        <v>90.198256660834801</v>
      </c>
      <c r="AN6044">
        <v>1.00000007410263</v>
      </c>
    </row>
    <row r="6045" spans="1:40" x14ac:dyDescent="0.25">
      <c r="A6045" t="str">
        <f>"20190304164806654"</f>
        <v>20190304164806654</v>
      </c>
      <c r="B6045" t="str">
        <f>"1551689286645651"</f>
        <v>1551689286645651</v>
      </c>
      <c r="C6045" t="s">
        <v>40</v>
      </c>
      <c r="D6045">
        <v>4.6775180000000001</v>
      </c>
      <c r="E6045">
        <v>0.54220800000000002</v>
      </c>
      <c r="F6045" t="s">
        <v>41</v>
      </c>
      <c r="G6045">
        <v>-187.7929</v>
      </c>
      <c r="H6045">
        <v>0.87781450000000005</v>
      </c>
      <c r="I6045">
        <v>96.316980000000001</v>
      </c>
      <c r="J6045">
        <v>-187.81469999999999</v>
      </c>
      <c r="K6045">
        <v>1.1103499999999999</v>
      </c>
      <c r="L6045">
        <v>95.945859999999996</v>
      </c>
      <c r="M6045">
        <v>-3.2964119999999999E-3</v>
      </c>
      <c r="N6045">
        <v>-1.438828E-2</v>
      </c>
      <c r="O6045">
        <v>0.99989099999999997</v>
      </c>
      <c r="P6045">
        <v>-4.15936E-3</v>
      </c>
      <c r="Q6045">
        <v>0.33809060000000002</v>
      </c>
      <c r="R6045">
        <v>0.94110439999999995</v>
      </c>
      <c r="S6045">
        <v>0.1131287</v>
      </c>
      <c r="T6045">
        <v>-1.2307969999999999</v>
      </c>
      <c r="U6045">
        <v>3.630096</v>
      </c>
      <c r="V6045">
        <v>-4.5962070000000002E-4</v>
      </c>
      <c r="W6045">
        <v>0.35159800000000002</v>
      </c>
      <c r="X6045">
        <v>0.93615099999999996</v>
      </c>
      <c r="Y6045">
        <v>3.2851760000000001E-2</v>
      </c>
      <c r="Z6045">
        <v>-0.30727929999999998</v>
      </c>
      <c r="AA6045">
        <v>0.95105209999999996</v>
      </c>
      <c r="AB6045">
        <v>32</v>
      </c>
      <c r="AC6045">
        <v>2.17999999999847E-2</v>
      </c>
      <c r="AD6045">
        <v>-0.23253549999999901</v>
      </c>
      <c r="AE6045">
        <v>0.371120000000004</v>
      </c>
      <c r="AF6045">
        <v>1.65487009311748E-2</v>
      </c>
      <c r="AG6045">
        <v>-0.23253549999999901</v>
      </c>
      <c r="AH6045">
        <v>0.266699899327418</v>
      </c>
      <c r="AI6045">
        <v>131.030632253232</v>
      </c>
      <c r="AJ6045">
        <v>86.449355074413504</v>
      </c>
      <c r="AK6045">
        <v>0.35422514671323702</v>
      </c>
      <c r="AL6045">
        <v>69.414913520873199</v>
      </c>
      <c r="AM6045">
        <v>90.028130423586404</v>
      </c>
      <c r="AN6045">
        <v>1.00000002982809</v>
      </c>
    </row>
    <row r="6046" spans="1:40" x14ac:dyDescent="0.25">
      <c r="A6046" t="str">
        <f>"20190304164806676"</f>
        <v>20190304164806676</v>
      </c>
      <c r="B6046" t="str">
        <f>"1551689286665170"</f>
        <v>1551689286665170</v>
      </c>
      <c r="C6046" t="s">
        <v>40</v>
      </c>
      <c r="D6046">
        <v>4.6931729999999998</v>
      </c>
      <c r="E6046">
        <v>0.54198630000000003</v>
      </c>
      <c r="F6046" t="s">
        <v>41</v>
      </c>
      <c r="G6046">
        <v>-187.7841</v>
      </c>
      <c r="H6046">
        <v>0.80359609999999904</v>
      </c>
      <c r="I6046">
        <v>96.849720000000005</v>
      </c>
      <c r="J6046">
        <v>-187.81479999999999</v>
      </c>
      <c r="K6046">
        <v>1.1103479999999999</v>
      </c>
      <c r="L6046">
        <v>96.264189999999999</v>
      </c>
      <c r="M6046">
        <v>-2.4415800000000001E-3</v>
      </c>
      <c r="N6046">
        <v>-1.438506E-2</v>
      </c>
      <c r="O6046">
        <v>0.99989349999999999</v>
      </c>
      <c r="P6046" s="1">
        <v>-5.3244639999999998E-5</v>
      </c>
      <c r="Q6046">
        <v>0.33860630000000003</v>
      </c>
      <c r="R6046">
        <v>0.94092819999999999</v>
      </c>
      <c r="S6046">
        <v>0.122253399999999</v>
      </c>
      <c r="T6046">
        <v>-1.232248</v>
      </c>
      <c r="U6046">
        <v>3.6309809999999998</v>
      </c>
      <c r="V6046">
        <v>2.8548319999999999E-3</v>
      </c>
      <c r="W6046">
        <v>0.35210190000000002</v>
      </c>
      <c r="X6046">
        <v>0.93595729999999999</v>
      </c>
      <c r="Y6046">
        <v>3.4370709999999999E-2</v>
      </c>
      <c r="Z6046">
        <v>-0.30753399999999997</v>
      </c>
      <c r="AA6046">
        <v>0.95091610000000004</v>
      </c>
      <c r="AB6046">
        <v>31</v>
      </c>
      <c r="AC6046">
        <v>3.0699999999995901E-2</v>
      </c>
      <c r="AD6046">
        <v>-0.30675190000000002</v>
      </c>
      <c r="AE6046">
        <v>0.585529999999991</v>
      </c>
      <c r="AF6046">
        <v>2.5225350521606401E-2</v>
      </c>
      <c r="AG6046">
        <v>-0.30675190000000002</v>
      </c>
      <c r="AH6046">
        <v>0.45964562478777299</v>
      </c>
      <c r="AI6046">
        <v>123.678034618155</v>
      </c>
      <c r="AJ6046">
        <v>86.858758873264904</v>
      </c>
      <c r="AK6046">
        <v>0.55317912727170904</v>
      </c>
      <c r="AL6046">
        <v>69.384068913154593</v>
      </c>
      <c r="AM6046">
        <v>89.825238483036202</v>
      </c>
      <c r="AN6046">
        <v>0.99999998273632396</v>
      </c>
    </row>
    <row r="6047" spans="1:40" x14ac:dyDescent="0.25">
      <c r="A6047" t="str">
        <f>"20190304164806700"</f>
        <v>20190304164806700</v>
      </c>
      <c r="B6047" t="str">
        <f>"1551689286695426"</f>
        <v>1551689286695426</v>
      </c>
      <c r="C6047" t="s">
        <v>40</v>
      </c>
      <c r="D6047">
        <v>4.7120119999999996</v>
      </c>
      <c r="E6047">
        <v>0.54181950000000001</v>
      </c>
      <c r="F6047" t="s">
        <v>41</v>
      </c>
      <c r="G6047">
        <v>-187.7835</v>
      </c>
      <c r="H6047">
        <v>0.8145251</v>
      </c>
      <c r="I6047">
        <v>97.135289999999998</v>
      </c>
      <c r="J6047">
        <v>-187.81460000000001</v>
      </c>
      <c r="K6047">
        <v>1.1103419999999999</v>
      </c>
      <c r="L6047">
        <v>96.581940000000003</v>
      </c>
      <c r="M6047">
        <v>-1.5792250000000001E-3</v>
      </c>
      <c r="N6047">
        <v>-1.4381970000000001E-2</v>
      </c>
      <c r="O6047">
        <v>0.99989530000000004</v>
      </c>
      <c r="P6047">
        <v>4.2259709999999898E-3</v>
      </c>
      <c r="Q6047">
        <v>0.33925420000000001</v>
      </c>
      <c r="R6047">
        <v>0.9406852</v>
      </c>
      <c r="S6047">
        <v>0.12982179999999999</v>
      </c>
      <c r="T6047">
        <v>-1.233428</v>
      </c>
      <c r="U6047">
        <v>3.6322329999999998</v>
      </c>
      <c r="V6047">
        <v>6.3319169999999899E-3</v>
      </c>
      <c r="W6047">
        <v>0.35273739999999998</v>
      </c>
      <c r="X6047">
        <v>0.935701</v>
      </c>
      <c r="Y6047">
        <v>3.5471889999999999E-2</v>
      </c>
      <c r="Z6047">
        <v>-0.30769879999999999</v>
      </c>
      <c r="AA6047">
        <v>0.95082239999999996</v>
      </c>
      <c r="AB6047">
        <v>31</v>
      </c>
      <c r="AC6047">
        <v>3.11000000000092E-2</v>
      </c>
      <c r="AD6047">
        <v>-0.29581689999999899</v>
      </c>
      <c r="AE6047">
        <v>0.55334999999999401</v>
      </c>
      <c r="AF6047">
        <v>2.48845645064843E-2</v>
      </c>
      <c r="AG6047">
        <v>-0.29581689999999899</v>
      </c>
      <c r="AH6047">
        <v>0.43062083439021198</v>
      </c>
      <c r="AI6047">
        <v>124.442731192987</v>
      </c>
      <c r="AJ6047">
        <v>86.692689971449497</v>
      </c>
      <c r="AK6047">
        <v>0.52303076667363502</v>
      </c>
      <c r="AL6047">
        <v>69.345162960269406</v>
      </c>
      <c r="AM6047">
        <v>89.612283643240801</v>
      </c>
      <c r="AN6047">
        <v>1.00000006396632</v>
      </c>
    </row>
    <row r="6048" spans="1:40" x14ac:dyDescent="0.25">
      <c r="A6048" t="str">
        <f>"20190304164806723"</f>
        <v>20190304164806723</v>
      </c>
      <c r="B6048" t="str">
        <f>"1551689286715923"</f>
        <v>1551689286715923</v>
      </c>
      <c r="C6048" t="s">
        <v>40</v>
      </c>
      <c r="D6048">
        <v>4.6291000000000002</v>
      </c>
      <c r="E6048">
        <v>0.54186099999999904</v>
      </c>
      <c r="F6048" t="s">
        <v>41</v>
      </c>
      <c r="G6048">
        <v>-187.78210000000001</v>
      </c>
      <c r="H6048">
        <v>0.82564099999999996</v>
      </c>
      <c r="I6048">
        <v>97.42062</v>
      </c>
      <c r="J6048">
        <v>-187.8141</v>
      </c>
      <c r="K6048">
        <v>1.1103289999999999</v>
      </c>
      <c r="L6048">
        <v>96.913600000000002</v>
      </c>
      <c r="M6048">
        <v>-6.7220880000000004E-4</v>
      </c>
      <c r="N6048">
        <v>-1.4378719999999999E-2</v>
      </c>
      <c r="O6048">
        <v>0.99989640000000002</v>
      </c>
      <c r="P6048">
        <v>8.6116600000000001E-3</v>
      </c>
      <c r="Q6048">
        <v>0.33939649999999999</v>
      </c>
      <c r="R6048">
        <v>0.940604</v>
      </c>
      <c r="S6048">
        <v>0.14050289999999999</v>
      </c>
      <c r="T6048">
        <v>-1.23336</v>
      </c>
      <c r="U6048">
        <v>3.6333310000000001</v>
      </c>
      <c r="V6048">
        <v>9.8709409999999994E-3</v>
      </c>
      <c r="W6048">
        <v>0.35286899999999999</v>
      </c>
      <c r="X6048">
        <v>0.93562069999999997</v>
      </c>
      <c r="Y6048">
        <v>3.7343080000000001E-2</v>
      </c>
      <c r="Z6048">
        <v>-0.30757259999999997</v>
      </c>
      <c r="AA6048">
        <v>0.95079159999999996</v>
      </c>
      <c r="AB6048">
        <v>31</v>
      </c>
      <c r="AC6048">
        <v>3.1999999999982202E-2</v>
      </c>
      <c r="AD6048">
        <v>-0.284688</v>
      </c>
      <c r="AE6048">
        <v>0.50701999999999703</v>
      </c>
      <c r="AF6048">
        <v>2.4612086957055201E-2</v>
      </c>
      <c r="AG6048">
        <v>-0.284688</v>
      </c>
      <c r="AH6048">
        <v>0.385836721234317</v>
      </c>
      <c r="AI6048">
        <v>126.36604384968101</v>
      </c>
      <c r="AJ6048">
        <v>86.350112318854897</v>
      </c>
      <c r="AK6048">
        <v>0.48012809501343501</v>
      </c>
      <c r="AL6048">
        <v>69.337103944143095</v>
      </c>
      <c r="AM6048">
        <v>89.395543218475893</v>
      </c>
      <c r="AN6048">
        <v>1.00000003045285</v>
      </c>
    </row>
    <row r="6049" spans="1:40" x14ac:dyDescent="0.25">
      <c r="A6049" t="str">
        <f>"20190304164806746"</f>
        <v>20190304164806746</v>
      </c>
      <c r="B6049" t="str">
        <f>"1551689286735443"</f>
        <v>1551689286735443</v>
      </c>
      <c r="C6049" t="s">
        <v>40</v>
      </c>
      <c r="D6049">
        <v>4.6188159999999998</v>
      </c>
      <c r="E6049">
        <v>0.55770799999999998</v>
      </c>
      <c r="F6049" t="s">
        <v>41</v>
      </c>
      <c r="G6049">
        <v>-187.78039999999999</v>
      </c>
      <c r="H6049">
        <v>0.84126819999999902</v>
      </c>
      <c r="I6049">
        <v>97.707440000000005</v>
      </c>
      <c r="J6049">
        <v>-187.8134</v>
      </c>
      <c r="K6049">
        <v>1.1103149999999999</v>
      </c>
      <c r="L6049">
        <v>97.230350000000001</v>
      </c>
      <c r="M6049">
        <v>1.9979089999999999E-4</v>
      </c>
      <c r="N6049">
        <v>-1.4375580000000001E-2</v>
      </c>
      <c r="O6049">
        <v>0.99989660000000002</v>
      </c>
      <c r="P6049">
        <v>1.338954E-2</v>
      </c>
      <c r="Q6049">
        <v>0.33957130000000002</v>
      </c>
      <c r="R6049">
        <v>0.94048509999999996</v>
      </c>
      <c r="S6049">
        <v>0.15356449999999999</v>
      </c>
      <c r="T6049">
        <v>-1.2310239999999999</v>
      </c>
      <c r="U6049">
        <v>3.6322019999999999</v>
      </c>
      <c r="V6049">
        <v>1.383379E-2</v>
      </c>
      <c r="W6049">
        <v>0.35303230000000002</v>
      </c>
      <c r="X6049">
        <v>0.93550880000000003</v>
      </c>
      <c r="Y6049">
        <v>3.9896590000000003E-2</v>
      </c>
      <c r="Z6049">
        <v>-0.30708069999999998</v>
      </c>
      <c r="AA6049">
        <v>0.95084690000000005</v>
      </c>
      <c r="AB6049">
        <v>31</v>
      </c>
      <c r="AC6049">
        <v>3.3000000000015399E-2</v>
      </c>
      <c r="AD6049">
        <v>-0.26904679999999997</v>
      </c>
      <c r="AE6049">
        <v>0.47709000000000301</v>
      </c>
      <c r="AF6049">
        <v>2.4993936615305499E-2</v>
      </c>
      <c r="AG6049">
        <v>-0.26904679999999997</v>
      </c>
      <c r="AH6049">
        <v>0.36239601657925802</v>
      </c>
      <c r="AI6049">
        <v>126.525557528764</v>
      </c>
      <c r="AJ6049">
        <v>86.054639440464598</v>
      </c>
      <c r="AK6049">
        <v>0.45204175724183199</v>
      </c>
      <c r="AL6049">
        <v>69.327102154391397</v>
      </c>
      <c r="AM6049">
        <v>89.152803249221094</v>
      </c>
      <c r="AN6049">
        <v>0.99999994673324499</v>
      </c>
    </row>
    <row r="6050" spans="1:40" x14ac:dyDescent="0.25">
      <c r="A6050" t="str">
        <f>"20190304164806767"</f>
        <v>20190304164806767</v>
      </c>
      <c r="B6050" t="str">
        <f>"1551689286755939"</f>
        <v>1551689286755939</v>
      </c>
      <c r="C6050" t="s">
        <v>40</v>
      </c>
      <c r="D6050">
        <v>4.6252079999999998</v>
      </c>
      <c r="E6050">
        <v>0.56963359999999996</v>
      </c>
      <c r="F6050" t="s">
        <v>41</v>
      </c>
      <c r="G6050">
        <v>-187.74010000000001</v>
      </c>
      <c r="H6050">
        <v>0.91215210000000002</v>
      </c>
      <c r="I6050">
        <v>98.01652</v>
      </c>
      <c r="J6050">
        <v>-187.8124</v>
      </c>
      <c r="K6050">
        <v>1.110303</v>
      </c>
      <c r="L6050">
        <v>97.529790000000006</v>
      </c>
      <c r="M6050">
        <v>1.0310569999999999E-3</v>
      </c>
      <c r="N6050">
        <v>-1.4372619999999999E-2</v>
      </c>
      <c r="O6050">
        <v>0.99989620000000001</v>
      </c>
      <c r="P6050">
        <v>1.8434030000000001E-2</v>
      </c>
      <c r="Q6050">
        <v>0.33904179999999901</v>
      </c>
      <c r="R6050">
        <v>0.9405907</v>
      </c>
      <c r="S6050">
        <v>0.32644649999999997</v>
      </c>
      <c r="T6050">
        <v>-0.88322520000000004</v>
      </c>
      <c r="U6050">
        <v>3.504089</v>
      </c>
      <c r="V6050">
        <v>1.8100649999999999E-2</v>
      </c>
      <c r="W6050">
        <v>0.35249380000000002</v>
      </c>
      <c r="X6050">
        <v>0.93563909999999995</v>
      </c>
      <c r="Y6050">
        <v>8.9086189999999996E-2</v>
      </c>
      <c r="Z6050">
        <v>-0.22946739999999999</v>
      </c>
      <c r="AA6050">
        <v>0.96923079999999995</v>
      </c>
      <c r="AB6050">
        <v>31</v>
      </c>
      <c r="AC6050">
        <v>7.2299999999984196E-2</v>
      </c>
      <c r="AD6050">
        <v>-0.19815089999999999</v>
      </c>
      <c r="AE6050">
        <v>0.486729999999994</v>
      </c>
      <c r="AF6050">
        <v>6.1779969060755301E-2</v>
      </c>
      <c r="AG6050">
        <v>-0.19815089999999999</v>
      </c>
      <c r="AH6050">
        <v>0.41887974183499999</v>
      </c>
      <c r="AI6050">
        <v>115.078981416744</v>
      </c>
      <c r="AJ6050">
        <v>81.610014611964999</v>
      </c>
      <c r="AK6050">
        <v>0.46748345625028798</v>
      </c>
      <c r="AL6050">
        <v>69.360077275671898</v>
      </c>
      <c r="AM6050">
        <v>88.891707817166605</v>
      </c>
      <c r="AN6050">
        <v>1.0000000190088301</v>
      </c>
    </row>
    <row r="6051" spans="1:40" x14ac:dyDescent="0.25">
      <c r="A6051" t="str">
        <f>"20190304164806789"</f>
        <v>20190304164806789</v>
      </c>
      <c r="B6051" t="str">
        <f>"1551689286785220"</f>
        <v>1551689286785220</v>
      </c>
      <c r="C6051" t="s">
        <v>40</v>
      </c>
      <c r="D6051">
        <v>4.6085520000000004</v>
      </c>
      <c r="E6051">
        <v>0.57644589999999996</v>
      </c>
      <c r="F6051" t="s">
        <v>41</v>
      </c>
      <c r="G6051">
        <v>-187.70779999999999</v>
      </c>
      <c r="H6051">
        <v>0.95308530000000002</v>
      </c>
      <c r="I6051">
        <v>98.317009999999996</v>
      </c>
      <c r="J6051">
        <v>-187.81120000000001</v>
      </c>
      <c r="K6051">
        <v>1.11029</v>
      </c>
      <c r="L6051">
        <v>97.828950000000006</v>
      </c>
      <c r="M6051">
        <v>1.871892E-3</v>
      </c>
      <c r="N6051">
        <v>-1.4369639999999999E-2</v>
      </c>
      <c r="O6051">
        <v>0.99989499999999998</v>
      </c>
      <c r="P6051">
        <v>2.3138490000000001E-2</v>
      </c>
      <c r="Q6051">
        <v>0.33878370000000002</v>
      </c>
      <c r="R6051">
        <v>0.94057979999999997</v>
      </c>
      <c r="S6051">
        <v>0.45477289999999998</v>
      </c>
      <c r="T6051">
        <v>-0.68443859999999901</v>
      </c>
      <c r="U6051">
        <v>3.4273069999999999</v>
      </c>
      <c r="V6051">
        <v>2.2020540000000002E-2</v>
      </c>
      <c r="W6051">
        <v>0.35222560000000003</v>
      </c>
      <c r="X6051">
        <v>0.93565609999999999</v>
      </c>
      <c r="Y6051">
        <v>0.12733610000000001</v>
      </c>
      <c r="Z6051">
        <v>-0.18010760000000001</v>
      </c>
      <c r="AA6051">
        <v>0.97536999999999996</v>
      </c>
      <c r="AB6051">
        <v>31</v>
      </c>
      <c r="AC6051">
        <v>0.103400000000021</v>
      </c>
      <c r="AD6051">
        <v>-0.157204699999999</v>
      </c>
      <c r="AE6051">
        <v>0.48805999999999</v>
      </c>
      <c r="AF6051">
        <v>9.32291720668946E-2</v>
      </c>
      <c r="AG6051">
        <v>-0.157204699999999</v>
      </c>
      <c r="AH6051">
        <v>0.44415178130585098</v>
      </c>
      <c r="AI6051">
        <v>109.105823679846</v>
      </c>
      <c r="AJ6051">
        <v>78.145496891555894</v>
      </c>
      <c r="AK6051">
        <v>0.48028720684974502</v>
      </c>
      <c r="AL6051">
        <v>69.376497923687197</v>
      </c>
      <c r="AM6051">
        <v>88.651800445355406</v>
      </c>
      <c r="AN6051">
        <v>1.0000000574722201</v>
      </c>
    </row>
    <row r="6052" spans="1:40" x14ac:dyDescent="0.25">
      <c r="A6052" t="str">
        <f>"20190304164806810"</f>
        <v>20190304164806810</v>
      </c>
      <c r="B6052" t="str">
        <f>"1551689286805715"</f>
        <v>1551689286805715</v>
      </c>
      <c r="C6052" t="s">
        <v>40</v>
      </c>
      <c r="D6052">
        <v>4.6002260000000001</v>
      </c>
      <c r="E6052">
        <v>0.57821909999999999</v>
      </c>
      <c r="F6052" t="s">
        <v>41</v>
      </c>
      <c r="G6052">
        <v>-187.68780000000001</v>
      </c>
      <c r="H6052">
        <v>0.97838970000000003</v>
      </c>
      <c r="I6052">
        <v>98.609300000000005</v>
      </c>
      <c r="J6052">
        <v>-187.80969999999999</v>
      </c>
      <c r="K6052">
        <v>1.1102799999999999</v>
      </c>
      <c r="L6052">
        <v>98.13373</v>
      </c>
      <c r="M6052">
        <v>2.7425280000000002E-3</v>
      </c>
      <c r="N6052">
        <v>-1.436659E-2</v>
      </c>
      <c r="O6052">
        <v>0.99989300000000003</v>
      </c>
      <c r="P6052">
        <v>2.8228159999999999E-2</v>
      </c>
      <c r="Q6052">
        <v>0.3386342</v>
      </c>
      <c r="R6052">
        <v>0.94049459999999996</v>
      </c>
      <c r="S6052">
        <v>0.53465269999999898</v>
      </c>
      <c r="T6052">
        <v>-0.57168390000000002</v>
      </c>
      <c r="U6052">
        <v>3.382263</v>
      </c>
      <c r="V6052">
        <v>2.6300480000000001E-2</v>
      </c>
      <c r="W6052">
        <v>0.35206399999999999</v>
      </c>
      <c r="X6052">
        <v>0.9356063</v>
      </c>
      <c r="Y6052">
        <v>0.151451</v>
      </c>
      <c r="Z6052">
        <v>-0.15052289999999999</v>
      </c>
      <c r="AA6052">
        <v>0.97693680000000005</v>
      </c>
      <c r="AB6052">
        <v>31</v>
      </c>
      <c r="AC6052">
        <v>0.12189999999998199</v>
      </c>
      <c r="AD6052">
        <v>-0.13189029999999999</v>
      </c>
      <c r="AE6052">
        <v>0.47557000000000399</v>
      </c>
      <c r="AF6052">
        <v>0.112477556576039</v>
      </c>
      <c r="AG6052">
        <v>-0.13189029999999999</v>
      </c>
      <c r="AH6052">
        <v>0.44386826756807402</v>
      </c>
      <c r="AI6052">
        <v>106.068224097479</v>
      </c>
      <c r="AJ6052">
        <v>75.780394981814496</v>
      </c>
      <c r="AK6052">
        <v>0.476513683876224</v>
      </c>
      <c r="AL6052">
        <v>69.386388532391095</v>
      </c>
      <c r="AM6052">
        <v>88.389803736486797</v>
      </c>
      <c r="AN6052">
        <v>0.99999996197195895</v>
      </c>
    </row>
    <row r="6053" spans="1:40" x14ac:dyDescent="0.25">
      <c r="A6053" t="str">
        <f>"20190304164806834"</f>
        <v>20190304164806834</v>
      </c>
      <c r="B6053" t="str">
        <f>"1551689286825235"</f>
        <v>1551689286825235</v>
      </c>
      <c r="C6053" t="s">
        <v>40</v>
      </c>
      <c r="D6053">
        <v>4.5858059999999998</v>
      </c>
      <c r="E6053">
        <v>0.57900430000000003</v>
      </c>
      <c r="F6053" t="s">
        <v>41</v>
      </c>
      <c r="G6053">
        <v>-187.6816</v>
      </c>
      <c r="H6053">
        <v>0.98784709999999998</v>
      </c>
      <c r="I6053">
        <v>98.893199999999993</v>
      </c>
      <c r="J6053">
        <v>-187.80770000000001</v>
      </c>
      <c r="K6053">
        <v>1.11026</v>
      </c>
      <c r="L6053">
        <v>98.461640000000003</v>
      </c>
      <c r="M6053">
        <v>3.700109E-3</v>
      </c>
      <c r="N6053">
        <v>-1.4363320000000001E-2</v>
      </c>
      <c r="O6053">
        <v>0.99988999999999995</v>
      </c>
      <c r="P6053">
        <v>3.3561609999999999E-2</v>
      </c>
      <c r="Q6053">
        <v>0.33813339999999997</v>
      </c>
      <c r="R6053">
        <v>0.94049950000000004</v>
      </c>
      <c r="S6053">
        <v>0.56678769999999901</v>
      </c>
      <c r="T6053">
        <v>-0.54299580000000003</v>
      </c>
      <c r="U6053">
        <v>3.3683169999999998</v>
      </c>
      <c r="V6053">
        <v>3.0745129999999999E-2</v>
      </c>
      <c r="W6053">
        <v>0.35155160000000002</v>
      </c>
      <c r="X6053">
        <v>0.93566349999999998</v>
      </c>
      <c r="Y6053">
        <v>0.16038629999999901</v>
      </c>
      <c r="Z6053">
        <v>-0.1428509</v>
      </c>
      <c r="AA6053">
        <v>0.97666260000000005</v>
      </c>
      <c r="AB6053">
        <v>31</v>
      </c>
      <c r="AC6053">
        <v>0.12610000000000801</v>
      </c>
      <c r="AD6053">
        <v>-0.12241290000000001</v>
      </c>
      <c r="AE6053">
        <v>0.43155999999999001</v>
      </c>
      <c r="AF6053">
        <v>0.115909820260757</v>
      </c>
      <c r="AG6053">
        <v>-0.12241290000000001</v>
      </c>
      <c r="AH6053">
        <v>0.40220819973391198</v>
      </c>
      <c r="AI6053">
        <v>106.30157411035501</v>
      </c>
      <c r="AJ6053">
        <v>73.923884384848904</v>
      </c>
      <c r="AK6053">
        <v>0.43610943632589</v>
      </c>
      <c r="AL6053">
        <v>69.4177524365154</v>
      </c>
      <c r="AM6053">
        <v>88.117985154442096</v>
      </c>
      <c r="AN6053">
        <v>0.99999998785676303</v>
      </c>
    </row>
    <row r="6054" spans="1:40" x14ac:dyDescent="0.25">
      <c r="A6054" t="str">
        <f>"20190304164806856"</f>
        <v>20190304164806856</v>
      </c>
      <c r="B6054" t="str">
        <f>"1551689286845731"</f>
        <v>1551689286845731</v>
      </c>
      <c r="C6054" t="s">
        <v>40</v>
      </c>
      <c r="D6054">
        <v>4.5638769999999997</v>
      </c>
      <c r="E6054">
        <v>0.5795515</v>
      </c>
      <c r="F6054" t="s">
        <v>41</v>
      </c>
      <c r="G6054">
        <v>-187.68199999999999</v>
      </c>
      <c r="H6054">
        <v>0.99728430000000001</v>
      </c>
      <c r="I6054">
        <v>99.17662</v>
      </c>
      <c r="J6054">
        <v>-187.8056</v>
      </c>
      <c r="K6054">
        <v>1.1102399999999999</v>
      </c>
      <c r="L6054">
        <v>98.762479999999996</v>
      </c>
      <c r="M6054">
        <v>4.6048809999999999E-3</v>
      </c>
      <c r="N6054">
        <v>-1.4360670000000001E-2</v>
      </c>
      <c r="O6054">
        <v>0.99988630000000001</v>
      </c>
      <c r="P6054">
        <v>3.8006209999999999E-2</v>
      </c>
      <c r="Q6054">
        <v>0.33807859999999901</v>
      </c>
      <c r="R6054">
        <v>0.94035020000000002</v>
      </c>
      <c r="S6054">
        <v>0.59089659999999999</v>
      </c>
      <c r="T6054">
        <v>-0.53084480000000001</v>
      </c>
      <c r="U6054">
        <v>3.3595579999999998</v>
      </c>
      <c r="V6054">
        <v>3.4354170000000003E-2</v>
      </c>
      <c r="W6054">
        <v>0.35148420000000002</v>
      </c>
      <c r="X6054">
        <v>0.93556329999999999</v>
      </c>
      <c r="Y6054">
        <v>0.16678889999999999</v>
      </c>
      <c r="Z6054">
        <v>-0.13963020000000001</v>
      </c>
      <c r="AA6054">
        <v>0.97605569999999997</v>
      </c>
      <c r="AB6054">
        <v>31</v>
      </c>
      <c r="AC6054">
        <v>0.123599999999981</v>
      </c>
      <c r="AD6054">
        <v>-0.11295569999999901</v>
      </c>
      <c r="AE6054">
        <v>0.41413999999998902</v>
      </c>
      <c r="AF6054">
        <v>0.113910539500959</v>
      </c>
      <c r="AG6054">
        <v>-0.11295569999999901</v>
      </c>
      <c r="AH6054">
        <v>0.38818881509290298</v>
      </c>
      <c r="AI6054">
        <v>105.60018718608001</v>
      </c>
      <c r="AJ6054">
        <v>73.646145060362699</v>
      </c>
      <c r="AK6054">
        <v>0.42002994814075001</v>
      </c>
      <c r="AL6054">
        <v>69.421878117104598</v>
      </c>
      <c r="AM6054">
        <v>87.8970263475791</v>
      </c>
      <c r="AN6054">
        <v>1.0000000200764501</v>
      </c>
    </row>
    <row r="6055" spans="1:40" x14ac:dyDescent="0.25">
      <c r="A6055" t="str">
        <f>"20190304164806876"</f>
        <v>20190304164806876</v>
      </c>
      <c r="B6055" t="str">
        <f>"1551689286865251"</f>
        <v>1551689286865251</v>
      </c>
      <c r="C6055" t="s">
        <v>40</v>
      </c>
      <c r="D6055">
        <v>4.5918320000000001</v>
      </c>
      <c r="E6055">
        <v>0.57981590000000005</v>
      </c>
      <c r="F6055" t="s">
        <v>41</v>
      </c>
      <c r="G6055">
        <v>-187.63200000000001</v>
      </c>
      <c r="H6055">
        <v>0.96164039999999995</v>
      </c>
      <c r="I6055">
        <v>99.717339999999993</v>
      </c>
      <c r="J6055">
        <v>-187.8032</v>
      </c>
      <c r="K6055">
        <v>1.110228</v>
      </c>
      <c r="L6055">
        <v>99.063929999999999</v>
      </c>
      <c r="M6055">
        <v>5.5398579999999999E-3</v>
      </c>
      <c r="N6055">
        <v>-1.4357780000000001E-2</v>
      </c>
      <c r="O6055">
        <v>0.99988160000000004</v>
      </c>
      <c r="P6055">
        <v>4.307768E-2</v>
      </c>
      <c r="Q6055">
        <v>0.33895059999999999</v>
      </c>
      <c r="R6055">
        <v>0.93981740000000002</v>
      </c>
      <c r="S6055">
        <v>0.60922240000000005</v>
      </c>
      <c r="T6055">
        <v>-0.52186469999999996</v>
      </c>
      <c r="U6055">
        <v>3.3533019999999998</v>
      </c>
      <c r="V6055">
        <v>3.8567879999999999E-2</v>
      </c>
      <c r="W6055">
        <v>0.3523367</v>
      </c>
      <c r="X6055">
        <v>0.93507830000000003</v>
      </c>
      <c r="Y6055">
        <v>0.17140229999999901</v>
      </c>
      <c r="Z6055">
        <v>-0.13722760000000001</v>
      </c>
      <c r="AA6055">
        <v>0.97559720000000005</v>
      </c>
      <c r="AB6055">
        <v>31</v>
      </c>
      <c r="AC6055">
        <v>0.17119999999999799</v>
      </c>
      <c r="AD6055">
        <v>-0.14858759999999899</v>
      </c>
      <c r="AE6055">
        <v>0.65341000000000704</v>
      </c>
      <c r="AF6055">
        <v>0.15984237874926099</v>
      </c>
      <c r="AG6055">
        <v>-0.14858759999999899</v>
      </c>
      <c r="AH6055">
        <v>0.62414588128719595</v>
      </c>
      <c r="AI6055">
        <v>102.986649429786</v>
      </c>
      <c r="AJ6055">
        <v>75.635405415534294</v>
      </c>
      <c r="AK6055">
        <v>0.66120037964731504</v>
      </c>
      <c r="AL6055">
        <v>69.369695735330595</v>
      </c>
      <c r="AM6055">
        <v>87.638139036111099</v>
      </c>
      <c r="AN6055">
        <v>1.00000002933273</v>
      </c>
    </row>
    <row r="6056" spans="1:40" x14ac:dyDescent="0.25">
      <c r="A6056" t="str">
        <f>"20190304164806901"</f>
        <v>20190304164806901</v>
      </c>
      <c r="B6056" t="str">
        <f>"1551689286895507"</f>
        <v>1551689286895507</v>
      </c>
      <c r="C6056" t="s">
        <v>40</v>
      </c>
      <c r="D6056">
        <v>4.5411580000000002</v>
      </c>
      <c r="E6056">
        <v>0.57991939999999997</v>
      </c>
      <c r="F6056" t="s">
        <v>41</v>
      </c>
      <c r="G6056">
        <v>-187.62809999999999</v>
      </c>
      <c r="H6056">
        <v>0.96739719999999996</v>
      </c>
      <c r="I6056">
        <v>99.997960000000006</v>
      </c>
      <c r="J6056">
        <v>-187.80029999999999</v>
      </c>
      <c r="K6056">
        <v>1.110212</v>
      </c>
      <c r="L6056">
        <v>99.386349999999993</v>
      </c>
      <c r="M6056">
        <v>6.5672079999999997E-3</v>
      </c>
      <c r="N6056">
        <v>-1.4354509999999999E-2</v>
      </c>
      <c r="O6056">
        <v>0.99987539999999997</v>
      </c>
      <c r="P6056">
        <v>4.8076470000000003E-2</v>
      </c>
      <c r="Q6056">
        <v>0.33992339999999999</v>
      </c>
      <c r="R6056">
        <v>0.93922349999999999</v>
      </c>
      <c r="S6056">
        <v>0.62748719999999902</v>
      </c>
      <c r="T6056">
        <v>-0.51194640000000002</v>
      </c>
      <c r="U6056">
        <v>3.3479920000000001</v>
      </c>
      <c r="V6056">
        <v>4.2624259999999997E-2</v>
      </c>
      <c r="W6056">
        <v>0.35328880000000001</v>
      </c>
      <c r="X6056">
        <v>0.93454280000000001</v>
      </c>
      <c r="Y6056">
        <v>0.17587439999999999</v>
      </c>
      <c r="Z6056">
        <v>-0.13450879999999901</v>
      </c>
      <c r="AA6056">
        <v>0.97517980000000004</v>
      </c>
      <c r="AB6056">
        <v>31</v>
      </c>
      <c r="AC6056">
        <v>0.17220000000000299</v>
      </c>
      <c r="AD6056">
        <v>-0.14281479999999999</v>
      </c>
      <c r="AE6056">
        <v>0.61160999999999799</v>
      </c>
      <c r="AF6056">
        <v>0.16009142319557901</v>
      </c>
      <c r="AG6056">
        <v>-0.14281479999999999</v>
      </c>
      <c r="AH6056">
        <v>0.58326122253413004</v>
      </c>
      <c r="AI6056">
        <v>103.28549603265699</v>
      </c>
      <c r="AJ6056">
        <v>74.651644901333</v>
      </c>
      <c r="AK6056">
        <v>0.62146519177813497</v>
      </c>
      <c r="AL6056">
        <v>69.311395247826098</v>
      </c>
      <c r="AM6056">
        <v>87.388563842258606</v>
      </c>
      <c r="AN6056">
        <v>1.00000002438891</v>
      </c>
    </row>
    <row r="6057" spans="1:40" x14ac:dyDescent="0.25">
      <c r="A6057" t="str">
        <f>"20190304164806923"</f>
        <v>20190304164806923</v>
      </c>
      <c r="B6057" t="str">
        <f>"1551689286915027"</f>
        <v>1551689286915027</v>
      </c>
      <c r="C6057" t="s">
        <v>40</v>
      </c>
      <c r="D6057">
        <v>4.5659489999999998</v>
      </c>
      <c r="E6057">
        <v>0.58002169999999997</v>
      </c>
      <c r="F6057" t="s">
        <v>41</v>
      </c>
      <c r="G6057">
        <v>-187.6284</v>
      </c>
      <c r="H6057">
        <v>0.97566160000000002</v>
      </c>
      <c r="I6057">
        <v>100.2794</v>
      </c>
      <c r="J6057">
        <v>-187.797</v>
      </c>
      <c r="K6057">
        <v>1.1101909999999999</v>
      </c>
      <c r="L6057">
        <v>99.708470000000005</v>
      </c>
      <c r="M6057">
        <v>7.6233239999999999E-3</v>
      </c>
      <c r="N6057">
        <v>-1.435123E-2</v>
      </c>
      <c r="O6057">
        <v>0.99986799999999998</v>
      </c>
      <c r="P6057">
        <v>5.3175930000000003E-2</v>
      </c>
      <c r="Q6057">
        <v>0.34050069999999999</v>
      </c>
      <c r="R6057">
        <v>0.9387394</v>
      </c>
      <c r="S6057">
        <v>0.64367680000000005</v>
      </c>
      <c r="T6057">
        <v>-0.50375099999999995</v>
      </c>
      <c r="U6057">
        <v>3.3435060000000001</v>
      </c>
      <c r="V6057">
        <v>4.6753280000000001E-2</v>
      </c>
      <c r="W6057">
        <v>0.35384680000000002</v>
      </c>
      <c r="X6057">
        <v>0.93413409999999997</v>
      </c>
      <c r="Y6057">
        <v>0.1796837</v>
      </c>
      <c r="Z6057">
        <v>-0.13225309999999901</v>
      </c>
      <c r="AA6057">
        <v>0.97479380000000004</v>
      </c>
      <c r="AB6057">
        <v>31</v>
      </c>
      <c r="AC6057">
        <v>0.168599999999997</v>
      </c>
      <c r="AD6057">
        <v>-0.13452939999999899</v>
      </c>
      <c r="AE6057">
        <v>0.57093000000000405</v>
      </c>
      <c r="AF6057">
        <v>0.15626213052232399</v>
      </c>
      <c r="AG6057">
        <v>-0.13452939999999899</v>
      </c>
      <c r="AH6057">
        <v>0.54439706591718895</v>
      </c>
      <c r="AI6057">
        <v>103.36157917436</v>
      </c>
      <c r="AJ6057">
        <v>73.984559445711895</v>
      </c>
      <c r="AK6057">
        <v>0.58213759394062503</v>
      </c>
      <c r="AL6057">
        <v>69.277215427027102</v>
      </c>
      <c r="AM6057">
        <v>87.1347451941879</v>
      </c>
      <c r="AN6057">
        <v>0.99999997192190304</v>
      </c>
    </row>
    <row r="6058" spans="1:40" x14ac:dyDescent="0.25">
      <c r="A6058" t="str">
        <f>"20190304164806945"</f>
        <v>20190304164806945</v>
      </c>
      <c r="B6058" t="str">
        <f>"1551689286935523"</f>
        <v>1551689286935523</v>
      </c>
      <c r="C6058" t="s">
        <v>40</v>
      </c>
      <c r="D6058">
        <v>4.5563079999999996</v>
      </c>
      <c r="E6058">
        <v>0.58010609999999996</v>
      </c>
      <c r="F6058" t="s">
        <v>41</v>
      </c>
      <c r="G6058">
        <v>-187.62870000000001</v>
      </c>
      <c r="H6058">
        <v>0.98278560000000004</v>
      </c>
      <c r="I6058">
        <v>100.5599</v>
      </c>
      <c r="J6058">
        <v>-187.79349999999999</v>
      </c>
      <c r="K6058">
        <v>1.1101650000000001</v>
      </c>
      <c r="L6058">
        <v>100.0128</v>
      </c>
      <c r="M6058">
        <v>8.6480940000000003E-3</v>
      </c>
      <c r="N6058">
        <v>-1.434819E-2</v>
      </c>
      <c r="O6058">
        <v>0.99985959999999996</v>
      </c>
      <c r="P6058">
        <v>5.8640129999999999E-2</v>
      </c>
      <c r="Q6058">
        <v>0.3399046</v>
      </c>
      <c r="R6058">
        <v>0.93862990000000002</v>
      </c>
      <c r="S6058">
        <v>0.6596069</v>
      </c>
      <c r="T6058">
        <v>-0.49974659999999899</v>
      </c>
      <c r="U6058">
        <v>3.339661</v>
      </c>
      <c r="V6058">
        <v>5.127048E-2</v>
      </c>
      <c r="W6058">
        <v>0.35323569999999999</v>
      </c>
      <c r="X6058">
        <v>0.93412839999999997</v>
      </c>
      <c r="Y6058">
        <v>0.18338750000000001</v>
      </c>
      <c r="Z6058">
        <v>-0.131161</v>
      </c>
      <c r="AA6058">
        <v>0.97425139999999999</v>
      </c>
      <c r="AB6058">
        <v>31</v>
      </c>
      <c r="AC6058">
        <v>0.16479999999998499</v>
      </c>
      <c r="AD6058">
        <v>-0.1273794</v>
      </c>
      <c r="AE6058">
        <v>0.54710000000000003</v>
      </c>
      <c r="AF6058">
        <v>0.15248373006106999</v>
      </c>
      <c r="AG6058">
        <v>-0.1273794</v>
      </c>
      <c r="AH6058">
        <v>0.52253554158556204</v>
      </c>
      <c r="AI6058">
        <v>103.170868684064</v>
      </c>
      <c r="AJ6058">
        <v>73.731960920516798</v>
      </c>
      <c r="AK6058">
        <v>0.559035054086785</v>
      </c>
      <c r="AL6058">
        <v>69.314646693513595</v>
      </c>
      <c r="AM6058">
        <v>86.858421548102001</v>
      </c>
      <c r="AN6058">
        <v>0.99999999478024004</v>
      </c>
    </row>
    <row r="6059" spans="1:40" x14ac:dyDescent="0.25">
      <c r="A6059" t="str">
        <f>"20190304164806966"</f>
        <v>20190304164806966</v>
      </c>
      <c r="B6059" t="str">
        <f>"1551689286955046"</f>
        <v>1551689286955046</v>
      </c>
      <c r="C6059" t="s">
        <v>40</v>
      </c>
      <c r="D6059">
        <v>4.5744300000000004</v>
      </c>
      <c r="E6059">
        <v>0.58015890000000003</v>
      </c>
      <c r="F6059" t="s">
        <v>41</v>
      </c>
      <c r="G6059">
        <v>-187.62559999999999</v>
      </c>
      <c r="H6059">
        <v>0.98652580000000001</v>
      </c>
      <c r="I6059">
        <v>100.8385</v>
      </c>
      <c r="J6059">
        <v>-187.78989999999999</v>
      </c>
      <c r="K6059">
        <v>1.110139</v>
      </c>
      <c r="L6059">
        <v>100.30549999999999</v>
      </c>
      <c r="M6059">
        <v>9.6569780000000001E-3</v>
      </c>
      <c r="N6059">
        <v>-1.43453E-2</v>
      </c>
      <c r="O6059">
        <v>0.99985049999999998</v>
      </c>
      <c r="P6059">
        <v>6.4289120000000005E-2</v>
      </c>
      <c r="Q6059">
        <v>0.3388892</v>
      </c>
      <c r="R6059">
        <v>0.93862719999999999</v>
      </c>
      <c r="S6059">
        <v>0.67779540000000005</v>
      </c>
      <c r="T6059">
        <v>-0.4992683</v>
      </c>
      <c r="U6059">
        <v>3.3345950000000002</v>
      </c>
      <c r="V6059">
        <v>5.5984249999999999E-2</v>
      </c>
      <c r="W6059">
        <v>0.3522073</v>
      </c>
      <c r="X6059">
        <v>0.93424609999999997</v>
      </c>
      <c r="Y6059">
        <v>0.18778059999999999</v>
      </c>
      <c r="Z6059">
        <v>-0.1311031</v>
      </c>
      <c r="AA6059">
        <v>0.97342200000000001</v>
      </c>
      <c r="AB6059">
        <v>31</v>
      </c>
      <c r="AC6059">
        <v>0.164299999999997</v>
      </c>
      <c r="AD6059">
        <v>-0.12361319999999899</v>
      </c>
      <c r="AE6059">
        <v>0.53300000000000103</v>
      </c>
      <c r="AF6059">
        <v>0.151693547763462</v>
      </c>
      <c r="AG6059">
        <v>-0.12361319999999899</v>
      </c>
      <c r="AH6059">
        <v>0.50953396177381305</v>
      </c>
      <c r="AI6059">
        <v>103.089556754078</v>
      </c>
      <c r="AJ6059">
        <v>73.421185374346706</v>
      </c>
      <c r="AK6059">
        <v>0.54581683177438201</v>
      </c>
      <c r="AL6059">
        <v>69.377616920841604</v>
      </c>
      <c r="AM6059">
        <v>86.570678774672899</v>
      </c>
      <c r="AN6059">
        <v>0.99999999689328101</v>
      </c>
    </row>
    <row r="6060" spans="1:40" x14ac:dyDescent="0.25">
      <c r="A6060" t="str">
        <f>"20190304164806988"</f>
        <v>20190304164806988</v>
      </c>
      <c r="B6060" t="str">
        <f>"1551689286985299"</f>
        <v>1551689286985299</v>
      </c>
      <c r="C6060" t="s">
        <v>40</v>
      </c>
      <c r="D6060">
        <v>4.5818570000000003</v>
      </c>
      <c r="E6060">
        <v>0.58006329999999995</v>
      </c>
      <c r="F6060" t="s">
        <v>41</v>
      </c>
      <c r="G6060">
        <v>-187.62010000000001</v>
      </c>
      <c r="H6060">
        <v>0.98824500000000004</v>
      </c>
      <c r="I6060">
        <v>101.116</v>
      </c>
      <c r="J6060">
        <v>-187.7859</v>
      </c>
      <c r="K6060">
        <v>1.110123</v>
      </c>
      <c r="L6060">
        <v>100.60550000000001</v>
      </c>
      <c r="M6060">
        <v>1.0711780000000001E-2</v>
      </c>
      <c r="N6060">
        <v>-1.4342280000000001E-2</v>
      </c>
      <c r="O6060">
        <v>0.99983979999999995</v>
      </c>
      <c r="P6060">
        <v>7.0033479999999995E-2</v>
      </c>
      <c r="Q6060">
        <v>0.33868090000000001</v>
      </c>
      <c r="R6060">
        <v>0.93829130000000005</v>
      </c>
      <c r="S6060">
        <v>0.69685359999999996</v>
      </c>
      <c r="T6060">
        <v>-0.50070519999999996</v>
      </c>
      <c r="U6060">
        <v>3.3291930000000001</v>
      </c>
      <c r="V6060">
        <v>6.0755000000000003E-2</v>
      </c>
      <c r="W6060">
        <v>0.35198010000000002</v>
      </c>
      <c r="X6060">
        <v>0.93403360000000002</v>
      </c>
      <c r="Y6060">
        <v>0.1923763</v>
      </c>
      <c r="Z6060">
        <v>-0.13159560000000001</v>
      </c>
      <c r="AA6060">
        <v>0.97245769999999998</v>
      </c>
      <c r="AB6060">
        <v>31</v>
      </c>
      <c r="AC6060">
        <v>0.16579999999999001</v>
      </c>
      <c r="AD6060">
        <v>-0.121877999999999</v>
      </c>
      <c r="AE6060">
        <v>0.51049999999999296</v>
      </c>
      <c r="AF6060">
        <v>0.152460778942789</v>
      </c>
      <c r="AG6060">
        <v>-0.121877999999999</v>
      </c>
      <c r="AH6060">
        <v>0.48713074965877501</v>
      </c>
      <c r="AI6060">
        <v>103.429311800501</v>
      </c>
      <c r="AJ6060">
        <v>72.621073915504397</v>
      </c>
      <c r="AK6060">
        <v>0.52478081449588299</v>
      </c>
      <c r="AL6060">
        <v>69.3915244159341</v>
      </c>
      <c r="AM6060">
        <v>86.278390652209396</v>
      </c>
      <c r="AN6060">
        <v>0.99999996337498398</v>
      </c>
    </row>
    <row r="6061" spans="1:40" x14ac:dyDescent="0.25">
      <c r="A6061" t="str">
        <f>"20190304164807010"</f>
        <v>20190304164807010</v>
      </c>
      <c r="B6061" t="str">
        <f>"1551689287005795"</f>
        <v>1551689287005795</v>
      </c>
      <c r="C6061" t="s">
        <v>40</v>
      </c>
      <c r="D6061">
        <v>4.5255580000000002</v>
      </c>
      <c r="E6061">
        <v>0.58007140000000001</v>
      </c>
      <c r="F6061" t="s">
        <v>41</v>
      </c>
      <c r="G6061">
        <v>-187.61609999999999</v>
      </c>
      <c r="H6061">
        <v>0.9915408</v>
      </c>
      <c r="I6061">
        <v>101.3938</v>
      </c>
      <c r="J6061">
        <v>-187.78139999999999</v>
      </c>
      <c r="K6061">
        <v>1.110107</v>
      </c>
      <c r="L6061">
        <v>100.91079999999999</v>
      </c>
      <c r="M6061">
        <v>1.1803030000000001E-2</v>
      </c>
      <c r="N6061">
        <v>-1.433915E-2</v>
      </c>
      <c r="O6061">
        <v>0.99982749999999998</v>
      </c>
      <c r="P6061">
        <v>7.581048E-2</v>
      </c>
      <c r="Q6061">
        <v>0.3390474</v>
      </c>
      <c r="R6061">
        <v>0.93770980000000004</v>
      </c>
      <c r="S6061">
        <v>0.71577449999999998</v>
      </c>
      <c r="T6061">
        <v>-0.50011549999999905</v>
      </c>
      <c r="U6061">
        <v>3.3244020000000001</v>
      </c>
      <c r="V6061">
        <v>6.5527370000000001E-2</v>
      </c>
      <c r="W6061">
        <v>0.35232419999999998</v>
      </c>
      <c r="X6061">
        <v>0.9335812</v>
      </c>
      <c r="Y6061">
        <v>0.19687859999999999</v>
      </c>
      <c r="Z6061">
        <v>-0.13148189999999901</v>
      </c>
      <c r="AA6061">
        <v>0.97157159999999998</v>
      </c>
      <c r="AB6061">
        <v>31</v>
      </c>
      <c r="AC6061">
        <v>0.165300000000001</v>
      </c>
      <c r="AD6061">
        <v>-0.118566199999999</v>
      </c>
      <c r="AE6061">
        <v>0.48300000000000398</v>
      </c>
      <c r="AF6061">
        <v>0.151419206128558</v>
      </c>
      <c r="AG6061">
        <v>-0.118566199999999</v>
      </c>
      <c r="AH6061">
        <v>0.460099012641281</v>
      </c>
      <c r="AI6061">
        <v>103.754515252795</v>
      </c>
      <c r="AJ6061">
        <v>71.783554843208094</v>
      </c>
      <c r="AK6061">
        <v>0.49867506574975701</v>
      </c>
      <c r="AL6061">
        <v>69.370460751004202</v>
      </c>
      <c r="AM6061">
        <v>85.985036496482294</v>
      </c>
      <c r="AN6061">
        <v>1.00000001755909</v>
      </c>
    </row>
    <row r="6062" spans="1:40" x14ac:dyDescent="0.25">
      <c r="A6062" t="str">
        <f>"20190304164807034"</f>
        <v>20190304164807034</v>
      </c>
      <c r="B6062" t="str">
        <f>"1551689287025317"</f>
        <v>1551689287025317</v>
      </c>
      <c r="C6062" t="s">
        <v>40</v>
      </c>
      <c r="D6062">
        <v>4.6003189999999998</v>
      </c>
      <c r="E6062">
        <v>0.58001499999999995</v>
      </c>
      <c r="F6062" t="s">
        <v>41</v>
      </c>
      <c r="G6062">
        <v>-187.61259999999999</v>
      </c>
      <c r="H6062">
        <v>0.99585400000000002</v>
      </c>
      <c r="I6062">
        <v>101.6718</v>
      </c>
      <c r="J6062">
        <v>-187.77629999999999</v>
      </c>
      <c r="K6062">
        <v>1.110088</v>
      </c>
      <c r="L6062">
        <v>101.23860000000001</v>
      </c>
      <c r="M6062">
        <v>1.2993090000000001E-2</v>
      </c>
      <c r="N6062">
        <v>-1.433597E-2</v>
      </c>
      <c r="O6062">
        <v>0.99981279999999995</v>
      </c>
      <c r="P6062">
        <v>8.1206589999999995E-2</v>
      </c>
      <c r="Q6062">
        <v>0.33896510000000002</v>
      </c>
      <c r="R6062">
        <v>0.93728769999999995</v>
      </c>
      <c r="S6062">
        <v>0.73596189999999995</v>
      </c>
      <c r="T6062">
        <v>-0.49848340000000002</v>
      </c>
      <c r="U6062">
        <v>3.3200379999999998</v>
      </c>
      <c r="V6062">
        <v>6.9823560000000007E-2</v>
      </c>
      <c r="W6062">
        <v>0.35222340000000002</v>
      </c>
      <c r="X6062">
        <v>0.93330780000000002</v>
      </c>
      <c r="Y6062">
        <v>0.20161870000000001</v>
      </c>
      <c r="Z6062">
        <v>-0.13103899999999999</v>
      </c>
      <c r="AA6062">
        <v>0.97065889999999999</v>
      </c>
      <c r="AB6062">
        <v>31</v>
      </c>
      <c r="AC6062">
        <v>0.16370000000000501</v>
      </c>
      <c r="AD6062">
        <v>-0.114233999999999</v>
      </c>
      <c r="AE6062">
        <v>0.43319999999999897</v>
      </c>
      <c r="AF6062">
        <v>0.148991211710883</v>
      </c>
      <c r="AG6062">
        <v>-0.114233999999999</v>
      </c>
      <c r="AH6062">
        <v>0.410323354150469</v>
      </c>
      <c r="AI6062">
        <v>104.66449751866899</v>
      </c>
      <c r="AJ6062">
        <v>70.043694799142699</v>
      </c>
      <c r="AK6062">
        <v>0.45123501956781698</v>
      </c>
      <c r="AL6062">
        <v>69.376632472086897</v>
      </c>
      <c r="AM6062">
        <v>85.721500982287594</v>
      </c>
      <c r="AN6062">
        <v>1.00000005128973</v>
      </c>
    </row>
    <row r="6063" spans="1:40" x14ac:dyDescent="0.25">
      <c r="A6063" t="str">
        <f>"20190304164807056"</f>
        <v>20190304164807056</v>
      </c>
      <c r="B6063" t="str">
        <f>"1551689287045811"</f>
        <v>1551689287045811</v>
      </c>
      <c r="C6063" t="s">
        <v>40</v>
      </c>
      <c r="D6063">
        <v>4.6257169999999999</v>
      </c>
      <c r="E6063">
        <v>0.57987880000000003</v>
      </c>
      <c r="F6063" t="s">
        <v>41</v>
      </c>
      <c r="G6063">
        <v>-187.61420000000001</v>
      </c>
      <c r="H6063">
        <v>1.0031870000000001</v>
      </c>
      <c r="I6063">
        <v>101.9508</v>
      </c>
      <c r="J6063">
        <v>-187.77119999999999</v>
      </c>
      <c r="K6063">
        <v>1.1100779999999999</v>
      </c>
      <c r="L6063">
        <v>101.5395</v>
      </c>
      <c r="M6063">
        <v>1.410495E-2</v>
      </c>
      <c r="N6063">
        <v>-1.43331E-2</v>
      </c>
      <c r="O6063">
        <v>0.99979779999999996</v>
      </c>
      <c r="P6063">
        <v>8.5266079999999994E-2</v>
      </c>
      <c r="Q6063">
        <v>0.33897939999999999</v>
      </c>
      <c r="R6063">
        <v>0.93692189999999997</v>
      </c>
      <c r="S6063">
        <v>0.75416559999999999</v>
      </c>
      <c r="T6063">
        <v>-0.49759700000000001</v>
      </c>
      <c r="U6063">
        <v>3.3153380000000001</v>
      </c>
      <c r="V6063">
        <v>7.2854719999999998E-2</v>
      </c>
      <c r="W6063">
        <v>0.35222199999999998</v>
      </c>
      <c r="X6063">
        <v>0.93307660000000003</v>
      </c>
      <c r="Y6063">
        <v>0.20589360000000001</v>
      </c>
      <c r="Z6063">
        <v>-0.1308347</v>
      </c>
      <c r="AA6063">
        <v>0.96978869999999895</v>
      </c>
      <c r="AB6063">
        <v>31</v>
      </c>
      <c r="AC6063">
        <v>0.15699999999998199</v>
      </c>
      <c r="AD6063">
        <v>-0.106891</v>
      </c>
      <c r="AE6063">
        <v>0.411299999999997</v>
      </c>
      <c r="AF6063">
        <v>0.14276620726445499</v>
      </c>
      <c r="AG6063">
        <v>-0.106891</v>
      </c>
      <c r="AH6063">
        <v>0.39045601150672199</v>
      </c>
      <c r="AI6063">
        <v>104.419085136839</v>
      </c>
      <c r="AJ6063">
        <v>69.915582838572504</v>
      </c>
      <c r="AK6063">
        <v>0.42925956336395599</v>
      </c>
      <c r="AL6063">
        <v>69.376718031925293</v>
      </c>
      <c r="AM6063">
        <v>85.535397569677798</v>
      </c>
      <c r="AN6063">
        <v>1.0000000444889099</v>
      </c>
    </row>
    <row r="6064" spans="1:40" x14ac:dyDescent="0.25">
      <c r="A6064" t="str">
        <f>"20190304164807078"</f>
        <v>20190304164807078</v>
      </c>
      <c r="B6064" t="str">
        <f>"1551689287065331"</f>
        <v>1551689287065331</v>
      </c>
      <c r="C6064" t="s">
        <v>40</v>
      </c>
      <c r="D6064">
        <v>4.6394349999999998</v>
      </c>
      <c r="E6064">
        <v>0.5798856</v>
      </c>
      <c r="F6064" t="s">
        <v>41</v>
      </c>
      <c r="G6064">
        <v>-187.55179999999999</v>
      </c>
      <c r="H6064">
        <v>0.96816329999999995</v>
      </c>
      <c r="I6064">
        <v>102.48520000000001</v>
      </c>
      <c r="J6064">
        <v>-187.76580000000001</v>
      </c>
      <c r="K6064">
        <v>1.1100680000000001</v>
      </c>
      <c r="L6064">
        <v>101.8339</v>
      </c>
      <c r="M6064">
        <v>1.520882E-2</v>
      </c>
      <c r="N6064">
        <v>-1.4330209999999999E-2</v>
      </c>
      <c r="O6064">
        <v>0.9997817</v>
      </c>
      <c r="P6064">
        <v>8.9567160000000007E-2</v>
      </c>
      <c r="Q6064">
        <v>0.33917129999999901</v>
      </c>
      <c r="R6064">
        <v>0.93645109999999998</v>
      </c>
      <c r="S6064">
        <v>0.76824950000000003</v>
      </c>
      <c r="T6064">
        <v>-0.49697799999999998</v>
      </c>
      <c r="U6064">
        <v>3.3118590000000001</v>
      </c>
      <c r="V6064">
        <v>7.6137659999999996E-2</v>
      </c>
      <c r="W6064">
        <v>0.3523965</v>
      </c>
      <c r="X6064">
        <v>0.93274849999999998</v>
      </c>
      <c r="Y6064">
        <v>0.2089512</v>
      </c>
      <c r="Z6064">
        <v>-0.13069069999999999</v>
      </c>
      <c r="AA6064">
        <v>0.96915390000000001</v>
      </c>
      <c r="AB6064">
        <v>31</v>
      </c>
      <c r="AC6064">
        <v>0.214000000000027</v>
      </c>
      <c r="AD6064">
        <v>-0.14190469999999999</v>
      </c>
      <c r="AE6064">
        <v>0.65130000000000599</v>
      </c>
      <c r="AF6064">
        <v>0.19568448675009201</v>
      </c>
      <c r="AG6064">
        <v>-0.14190469999999999</v>
      </c>
      <c r="AH6064">
        <v>0.62759014728708495</v>
      </c>
      <c r="AI6064">
        <v>102.181007600256</v>
      </c>
      <c r="AJ6064">
        <v>72.682365116245094</v>
      </c>
      <c r="AK6064">
        <v>0.67253160164304704</v>
      </c>
      <c r="AL6064">
        <v>69.366034007261305</v>
      </c>
      <c r="AM6064">
        <v>85.333451287501603</v>
      </c>
      <c r="AN6064">
        <v>1.0000000003673799</v>
      </c>
    </row>
    <row r="6065" spans="1:40" x14ac:dyDescent="0.25">
      <c r="A6065" t="str">
        <f>"20190304164807101"</f>
        <v>20190304164807101</v>
      </c>
      <c r="B6065" t="str">
        <f>"1551689287095588"</f>
        <v>1551689287095588</v>
      </c>
      <c r="C6065" t="s">
        <v>40</v>
      </c>
      <c r="D6065">
        <v>4.6636980000000001</v>
      </c>
      <c r="E6065">
        <v>0.57998139999999998</v>
      </c>
      <c r="F6065" t="s">
        <v>41</v>
      </c>
      <c r="G6065">
        <v>-187.5461</v>
      </c>
      <c r="H6065">
        <v>0.97156180000000003</v>
      </c>
      <c r="I6065">
        <v>102.76139999999999</v>
      </c>
      <c r="J6065">
        <v>-187.7594</v>
      </c>
      <c r="K6065">
        <v>1.110066</v>
      </c>
      <c r="L6065">
        <v>102.1645</v>
      </c>
      <c r="M6065">
        <v>1.6465830000000001E-2</v>
      </c>
      <c r="N6065">
        <v>-1.4327060000000001E-2</v>
      </c>
      <c r="O6065">
        <v>0.99976180000000003</v>
      </c>
      <c r="P6065">
        <v>9.3635679999999999E-2</v>
      </c>
      <c r="Q6065">
        <v>0.33932790000000002</v>
      </c>
      <c r="R6065">
        <v>0.93599619999999994</v>
      </c>
      <c r="S6065">
        <v>0.78294370000000002</v>
      </c>
      <c r="T6065">
        <v>-0.49391980000000002</v>
      </c>
      <c r="U6065">
        <v>3.3075869999999998</v>
      </c>
      <c r="V6065">
        <v>7.9045699999999997E-2</v>
      </c>
      <c r="W6065">
        <v>0.35253699999999999</v>
      </c>
      <c r="X6065">
        <v>0.93245350000000005</v>
      </c>
      <c r="Y6065">
        <v>0.21210029999999999</v>
      </c>
      <c r="Z6065">
        <v>-0.1298755</v>
      </c>
      <c r="AA6065">
        <v>0.96857930000000003</v>
      </c>
      <c r="AB6065">
        <v>31</v>
      </c>
      <c r="AC6065">
        <v>0.21330000000000299</v>
      </c>
      <c r="AD6065">
        <v>-0.13850419999999899</v>
      </c>
      <c r="AE6065">
        <v>0.59689999999998999</v>
      </c>
      <c r="AF6065">
        <v>0.19417086950309101</v>
      </c>
      <c r="AG6065">
        <v>-0.13850419999999899</v>
      </c>
      <c r="AH6065">
        <v>0.57297473740258198</v>
      </c>
      <c r="AI6065">
        <v>102.895049290968</v>
      </c>
      <c r="AJ6065">
        <v>71.279401374570398</v>
      </c>
      <c r="AK6065">
        <v>0.62063337783492201</v>
      </c>
      <c r="AL6065">
        <v>69.357432854155107</v>
      </c>
      <c r="AM6065">
        <v>85.154522197885996</v>
      </c>
      <c r="AN6065">
        <v>1.00000004435986</v>
      </c>
    </row>
    <row r="6066" spans="1:40" x14ac:dyDescent="0.25">
      <c r="A6066" t="str">
        <f>"20190304164807124"</f>
        <v>20190304164807124</v>
      </c>
      <c r="B6066" t="str">
        <f>"1551689287115107"</f>
        <v>1551689287115107</v>
      </c>
      <c r="C6066" t="s">
        <v>40</v>
      </c>
      <c r="D6066">
        <v>4.68771</v>
      </c>
      <c r="E6066">
        <v>0.57999269999999903</v>
      </c>
      <c r="F6066" t="s">
        <v>41</v>
      </c>
      <c r="G6066">
        <v>-187.54820000000001</v>
      </c>
      <c r="H6066">
        <v>0.98032739999999996</v>
      </c>
      <c r="I6066">
        <v>103.03959999999999</v>
      </c>
      <c r="J6066">
        <v>-187.75290000000001</v>
      </c>
      <c r="K6066">
        <v>1.1100570000000001</v>
      </c>
      <c r="L6066">
        <v>102.4769</v>
      </c>
      <c r="M6066">
        <v>1.7673439999999999E-2</v>
      </c>
      <c r="N6066">
        <v>-1.4324079999999999E-2</v>
      </c>
      <c r="O6066">
        <v>0.9997412</v>
      </c>
      <c r="P6066">
        <v>9.7000320000000001E-2</v>
      </c>
      <c r="Q6066">
        <v>0.33925840000000002</v>
      </c>
      <c r="R6066">
        <v>0.93567869999999997</v>
      </c>
      <c r="S6066">
        <v>0.79710389999999998</v>
      </c>
      <c r="T6066">
        <v>-0.48967860000000002</v>
      </c>
      <c r="U6066">
        <v>3.3029169999999999</v>
      </c>
      <c r="V6066">
        <v>8.1294450000000004E-2</v>
      </c>
      <c r="W6066">
        <v>0.3524545</v>
      </c>
      <c r="X6066">
        <v>0.93229130000000004</v>
      </c>
      <c r="Y6066">
        <v>0.2151873</v>
      </c>
      <c r="Z6066">
        <v>-0.1287383</v>
      </c>
      <c r="AA6066">
        <v>0.96805010000000002</v>
      </c>
      <c r="AB6066">
        <v>31</v>
      </c>
      <c r="AC6066">
        <v>0.20470000000000199</v>
      </c>
      <c r="AD6066">
        <v>-0.1297296</v>
      </c>
      <c r="AE6066">
        <v>0.56269999999999198</v>
      </c>
      <c r="AF6066">
        <v>0.18599160091269501</v>
      </c>
      <c r="AG6066">
        <v>-0.1297296</v>
      </c>
      <c r="AH6066">
        <v>0.54084274120386999</v>
      </c>
      <c r="AI6066">
        <v>102.78002448627601</v>
      </c>
      <c r="AJ6066">
        <v>71.022305973696902</v>
      </c>
      <c r="AK6066">
        <v>0.58645845158812704</v>
      </c>
      <c r="AL6066">
        <v>69.362483338474206</v>
      </c>
      <c r="AM6066">
        <v>85.016496402586597</v>
      </c>
      <c r="AN6066">
        <v>1.0000000151133701</v>
      </c>
    </row>
    <row r="6067" spans="1:40" x14ac:dyDescent="0.25">
      <c r="A6067" t="str">
        <f>"20190304164807146"</f>
        <v>20190304164807146</v>
      </c>
      <c r="B6067" t="str">
        <f>"1551689287135603"</f>
        <v>1551689287135603</v>
      </c>
      <c r="C6067" t="s">
        <v>40</v>
      </c>
      <c r="D6067">
        <v>4.6977719999999996</v>
      </c>
      <c r="E6067">
        <v>0.5799858</v>
      </c>
      <c r="F6067" t="s">
        <v>41</v>
      </c>
      <c r="G6067">
        <v>-187.54730000000001</v>
      </c>
      <c r="H6067">
        <v>0.98589830000000001</v>
      </c>
      <c r="I6067">
        <v>103.31610000000001</v>
      </c>
      <c r="J6067">
        <v>-187.74639999999999</v>
      </c>
      <c r="K6067">
        <v>1.1100399999999999</v>
      </c>
      <c r="L6067">
        <v>102.77460000000001</v>
      </c>
      <c r="M6067">
        <v>1.8848529999999999E-2</v>
      </c>
      <c r="N6067">
        <v>-1.4321260000000001E-2</v>
      </c>
      <c r="O6067">
        <v>0.99971980000000005</v>
      </c>
      <c r="P6067">
        <v>9.9905460000000001E-2</v>
      </c>
      <c r="Q6067">
        <v>0.33958579999999999</v>
      </c>
      <c r="R6067">
        <v>0.93525420000000004</v>
      </c>
      <c r="S6067">
        <v>0.80764769999999997</v>
      </c>
      <c r="T6067">
        <v>-0.48815910000000001</v>
      </c>
      <c r="U6067">
        <v>3.2995000000000001</v>
      </c>
      <c r="V6067">
        <v>8.3119960000000007E-2</v>
      </c>
      <c r="W6067">
        <v>0.35276729999999901</v>
      </c>
      <c r="X6067">
        <v>0.93201199999999995</v>
      </c>
      <c r="Y6067">
        <v>0.21719910000000001</v>
      </c>
      <c r="Z6067">
        <v>-0.12836049999999999</v>
      </c>
      <c r="AA6067">
        <v>0.96765080000000003</v>
      </c>
      <c r="AB6067">
        <v>31</v>
      </c>
      <c r="AC6067">
        <v>0.19909999999998701</v>
      </c>
      <c r="AD6067">
        <v>-0.12414169999999899</v>
      </c>
      <c r="AE6067">
        <v>0.54149999999999898</v>
      </c>
      <c r="AF6067">
        <v>0.18050015577627801</v>
      </c>
      <c r="AG6067">
        <v>-0.12414169999999899</v>
      </c>
      <c r="AH6067">
        <v>0.52103367417874102</v>
      </c>
      <c r="AI6067">
        <v>102.687677652643</v>
      </c>
      <c r="AJ6067">
        <v>70.892530976971301</v>
      </c>
      <c r="AK6067">
        <v>0.56521461193280298</v>
      </c>
      <c r="AL6067">
        <v>69.343331432270006</v>
      </c>
      <c r="AM6067">
        <v>84.903652992446695</v>
      </c>
      <c r="AN6067">
        <v>1.0000000319218401</v>
      </c>
    </row>
    <row r="6068" spans="1:40" x14ac:dyDescent="0.25">
      <c r="A6068" t="str">
        <f>"20190304164807167"</f>
        <v>20190304164807167</v>
      </c>
      <c r="B6068" t="str">
        <f>"1551689287155122"</f>
        <v>1551689287155122</v>
      </c>
      <c r="C6068" t="s">
        <v>40</v>
      </c>
      <c r="D6068">
        <v>4.7019849999999996</v>
      </c>
      <c r="E6068">
        <v>0.57995799999999997</v>
      </c>
      <c r="F6068" t="s">
        <v>41</v>
      </c>
      <c r="G6068">
        <v>-187.54329999999999</v>
      </c>
      <c r="H6068">
        <v>0.98987449999999999</v>
      </c>
      <c r="I6068">
        <v>103.5916</v>
      </c>
      <c r="J6068">
        <v>-187.7396</v>
      </c>
      <c r="K6068">
        <v>1.1100139999999901</v>
      </c>
      <c r="L6068">
        <v>103.0681</v>
      </c>
      <c r="M6068">
        <v>2.0034929999999999E-2</v>
      </c>
      <c r="N6068">
        <v>-1.4318610000000001E-2</v>
      </c>
      <c r="O6068">
        <v>0.99969669999999999</v>
      </c>
      <c r="P6068">
        <v>0.1025751</v>
      </c>
      <c r="Q6068">
        <v>0.3393407</v>
      </c>
      <c r="R6068">
        <v>0.9350541</v>
      </c>
      <c r="S6068">
        <v>0.8195038</v>
      </c>
      <c r="T6068">
        <v>-0.48481859999999999</v>
      </c>
      <c r="U6068">
        <v>3.296173</v>
      </c>
      <c r="V6068">
        <v>8.4697729999999999E-2</v>
      </c>
      <c r="W6068">
        <v>0.35251120000000002</v>
      </c>
      <c r="X6068">
        <v>0.93196679999999998</v>
      </c>
      <c r="Y6068">
        <v>0.2195743</v>
      </c>
      <c r="Z6068">
        <v>-0.12744279999999999</v>
      </c>
      <c r="AA6068">
        <v>0.96723599999999998</v>
      </c>
      <c r="AB6068">
        <v>31</v>
      </c>
      <c r="AC6068">
        <v>0.196300000000007</v>
      </c>
      <c r="AD6068">
        <v>-0.120139499999999</v>
      </c>
      <c r="AE6068">
        <v>0.52349999999999797</v>
      </c>
      <c r="AF6068">
        <v>0.17757193381905301</v>
      </c>
      <c r="AG6068">
        <v>-0.120139499999999</v>
      </c>
      <c r="AH6068">
        <v>0.50405373296331901</v>
      </c>
      <c r="AI6068">
        <v>102.669727954678</v>
      </c>
      <c r="AJ6068">
        <v>70.593265721960194</v>
      </c>
      <c r="AK6068">
        <v>0.54775492408078397</v>
      </c>
      <c r="AL6068">
        <v>69.359011189858705</v>
      </c>
      <c r="AM6068">
        <v>84.807188415385895</v>
      </c>
      <c r="AN6068">
        <v>0.99999998394741596</v>
      </c>
    </row>
    <row r="6069" spans="1:40" x14ac:dyDescent="0.25">
      <c r="A6069" t="str">
        <f>"20190304164807189"</f>
        <v>20190304164807189</v>
      </c>
      <c r="B6069" t="str">
        <f>"1551689287185379"</f>
        <v>1551689287185379</v>
      </c>
      <c r="C6069" t="s">
        <v>40</v>
      </c>
      <c r="D6069">
        <v>4.7116579999999999</v>
      </c>
      <c r="E6069">
        <v>0.5798913</v>
      </c>
      <c r="F6069" t="s">
        <v>41</v>
      </c>
      <c r="G6069">
        <v>-187.5384</v>
      </c>
      <c r="H6069">
        <v>0.99263820000000003</v>
      </c>
      <c r="I6069">
        <v>103.8661</v>
      </c>
      <c r="J6069">
        <v>-187.73240000000001</v>
      </c>
      <c r="K6069">
        <v>1.1099829999999999</v>
      </c>
      <c r="L6069">
        <v>103.3618</v>
      </c>
      <c r="M6069">
        <v>2.1252879999999998E-2</v>
      </c>
      <c r="N6069">
        <v>-1.431604E-2</v>
      </c>
      <c r="O6069">
        <v>0.99967159999999999</v>
      </c>
      <c r="P6069">
        <v>0.10588640000000001</v>
      </c>
      <c r="Q6069">
        <v>0.3389356</v>
      </c>
      <c r="R6069">
        <v>0.93483190000000005</v>
      </c>
      <c r="S6069">
        <v>0.82983399999999996</v>
      </c>
      <c r="T6069">
        <v>-0.48432160000000002</v>
      </c>
      <c r="U6069">
        <v>3.293091</v>
      </c>
      <c r="V6069">
        <v>8.6890439999999999E-2</v>
      </c>
      <c r="W6069">
        <v>0.35209309999999899</v>
      </c>
      <c r="X6069">
        <v>0.93192299999999995</v>
      </c>
      <c r="Y6069">
        <v>0.22145429999999999</v>
      </c>
      <c r="Z6069">
        <v>-0.127343699999999</v>
      </c>
      <c r="AA6069">
        <v>0.96682040000000002</v>
      </c>
      <c r="AB6069">
        <v>31</v>
      </c>
      <c r="AC6069">
        <v>0.19400000000001599</v>
      </c>
      <c r="AD6069">
        <v>-0.1173448</v>
      </c>
      <c r="AE6069">
        <v>0.50429999999999997</v>
      </c>
      <c r="AF6069">
        <v>0.17498425288394101</v>
      </c>
      <c r="AG6069">
        <v>-0.1173448</v>
      </c>
      <c r="AH6069">
        <v>0.485415323881556</v>
      </c>
      <c r="AI6069">
        <v>102.812072772736</v>
      </c>
      <c r="AJ6069">
        <v>70.176599282022195</v>
      </c>
      <c r="AK6069">
        <v>0.52916663491137395</v>
      </c>
      <c r="AL6069">
        <v>69.384607742803595</v>
      </c>
      <c r="AM6069">
        <v>84.673268180387097</v>
      </c>
      <c r="AN6069">
        <v>0.99999998878000096</v>
      </c>
    </row>
    <row r="6070" spans="1:40" x14ac:dyDescent="0.25">
      <c r="A6070" t="str">
        <f>"20190304164807213"</f>
        <v>20190304164807213</v>
      </c>
      <c r="B6070" t="str">
        <f>"1551689287205876"</f>
        <v>1551689287205876</v>
      </c>
      <c r="C6070" t="s">
        <v>40</v>
      </c>
      <c r="D6070">
        <v>4.7284079999999999</v>
      </c>
      <c r="E6070">
        <v>0.57981319999999903</v>
      </c>
      <c r="F6070" t="s">
        <v>41</v>
      </c>
      <c r="G6070">
        <v>-187.5334</v>
      </c>
      <c r="H6070">
        <v>0.99536590000000003</v>
      </c>
      <c r="I6070">
        <v>104.1403</v>
      </c>
      <c r="J6070">
        <v>-187.72370000000001</v>
      </c>
      <c r="K6070">
        <v>1.1099509999999999</v>
      </c>
      <c r="L6070">
        <v>103.69889999999999</v>
      </c>
      <c r="M6070">
        <v>2.2689549999999999E-2</v>
      </c>
      <c r="N6070">
        <v>-1.431314E-2</v>
      </c>
      <c r="O6070">
        <v>0.99964010000000003</v>
      </c>
      <c r="P6070">
        <v>0.1084644</v>
      </c>
      <c r="Q6070">
        <v>0.33954830000000003</v>
      </c>
      <c r="R6070">
        <v>0.93431390000000003</v>
      </c>
      <c r="S6070">
        <v>0.8407135</v>
      </c>
      <c r="T6070">
        <v>-0.48426400000000003</v>
      </c>
      <c r="U6070">
        <v>3.2895050000000001</v>
      </c>
      <c r="V6070">
        <v>8.8159370000000001E-2</v>
      </c>
      <c r="W6070">
        <v>0.35268870000000002</v>
      </c>
      <c r="X6070">
        <v>0.93157860000000003</v>
      </c>
      <c r="Y6070">
        <v>0.22330340000000001</v>
      </c>
      <c r="Z6070">
        <v>-0.12738740000000001</v>
      </c>
      <c r="AA6070">
        <v>0.96638919999999995</v>
      </c>
      <c r="AB6070">
        <v>31</v>
      </c>
      <c r="AC6070">
        <v>0.19030000000000699</v>
      </c>
      <c r="AD6070">
        <v>-0.1145851</v>
      </c>
      <c r="AE6070">
        <v>0.44140000000000101</v>
      </c>
      <c r="AF6070">
        <v>0.17054335488977301</v>
      </c>
      <c r="AG6070">
        <v>-0.1145851</v>
      </c>
      <c r="AH6070">
        <v>0.42164388952214998</v>
      </c>
      <c r="AI6070">
        <v>104.140302464359</v>
      </c>
      <c r="AJ6070">
        <v>67.978022345250295</v>
      </c>
      <c r="AK6070">
        <v>0.46903981772386499</v>
      </c>
      <c r="AL6070">
        <v>69.348144409617703</v>
      </c>
      <c r="AM6070">
        <v>84.593948916513</v>
      </c>
      <c r="AN6070">
        <v>1.00000004080222</v>
      </c>
    </row>
    <row r="6071" spans="1:40" x14ac:dyDescent="0.25">
      <c r="A6071" t="str">
        <f>"20190304164807234"</f>
        <v>20190304164807234</v>
      </c>
      <c r="B6071" t="str">
        <f>"1551689287225395"</f>
        <v>1551689287225395</v>
      </c>
      <c r="C6071" t="s">
        <v>40</v>
      </c>
      <c r="D6071">
        <v>4.7226489999999997</v>
      </c>
      <c r="E6071">
        <v>0.57971649999999997</v>
      </c>
      <c r="F6071" t="s">
        <v>41</v>
      </c>
      <c r="G6071">
        <v>-187.53790000000001</v>
      </c>
      <c r="H6071">
        <v>1.0046459999999999</v>
      </c>
      <c r="I6071">
        <v>104.4173</v>
      </c>
      <c r="J6071">
        <v>-187.71610000000001</v>
      </c>
      <c r="K6071">
        <v>1.109934</v>
      </c>
      <c r="L6071">
        <v>103.9773</v>
      </c>
      <c r="M6071">
        <v>2.3913380000000001E-2</v>
      </c>
      <c r="N6071">
        <v>-1.431077E-2</v>
      </c>
      <c r="O6071">
        <v>0.99961160000000004</v>
      </c>
      <c r="P6071">
        <v>0.11095729999999999</v>
      </c>
      <c r="Q6071">
        <v>0.33940979999999998</v>
      </c>
      <c r="R6071">
        <v>0.93407150000000005</v>
      </c>
      <c r="S6071">
        <v>0.84962459999999995</v>
      </c>
      <c r="T6071">
        <v>-0.4818674</v>
      </c>
      <c r="U6071">
        <v>3.2873990000000002</v>
      </c>
      <c r="V6071">
        <v>8.9531760000000002E-2</v>
      </c>
      <c r="W6071">
        <v>0.35253790000000002</v>
      </c>
      <c r="X6071">
        <v>0.93150469999999996</v>
      </c>
      <c r="Y6071">
        <v>0.2247373</v>
      </c>
      <c r="Z6071">
        <v>-0.1267153</v>
      </c>
      <c r="AA6071">
        <v>0.96614509999999998</v>
      </c>
      <c r="AB6071">
        <v>31</v>
      </c>
      <c r="AC6071">
        <v>0.17820000000000299</v>
      </c>
      <c r="AD6071">
        <v>-0.10528800000000001</v>
      </c>
      <c r="AE6071">
        <v>0.439999999999997</v>
      </c>
      <c r="AF6071">
        <v>0.159766892119523</v>
      </c>
      <c r="AG6071">
        <v>-0.10528800000000001</v>
      </c>
      <c r="AH6071">
        <v>0.42331256858444899</v>
      </c>
      <c r="AI6071">
        <v>103.099703602118</v>
      </c>
      <c r="AJ6071">
        <v>69.322459266431096</v>
      </c>
      <c r="AK6071">
        <v>0.464547686984981</v>
      </c>
      <c r="AL6071">
        <v>69.357375854878498</v>
      </c>
      <c r="AM6071">
        <v>84.509869460907595</v>
      </c>
      <c r="AN6071">
        <v>0.99999995655359697</v>
      </c>
    </row>
    <row r="6072" spans="1:40" x14ac:dyDescent="0.25">
      <c r="A6072" t="str">
        <f>"20190304164807256"</f>
        <v>20190304164807256</v>
      </c>
      <c r="B6072" t="str">
        <f>"1551689287245891"</f>
        <v>1551689287245891</v>
      </c>
      <c r="C6072" t="s">
        <v>40</v>
      </c>
      <c r="D6072">
        <v>4.7229869999999998</v>
      </c>
      <c r="E6072">
        <v>0.57965230000000001</v>
      </c>
      <c r="F6072" t="s">
        <v>41</v>
      </c>
      <c r="G6072">
        <v>-187.5301</v>
      </c>
      <c r="H6072">
        <v>1.005314</v>
      </c>
      <c r="I6072">
        <v>104.68989999999999</v>
      </c>
      <c r="J6072">
        <v>-187.70740000000001</v>
      </c>
      <c r="K6072">
        <v>1.1099139999999901</v>
      </c>
      <c r="L6072">
        <v>104.2807</v>
      </c>
      <c r="M6072">
        <v>2.5297159999999999E-2</v>
      </c>
      <c r="N6072">
        <v>-1.4308359999999999E-2</v>
      </c>
      <c r="O6072">
        <v>0.99957759999999996</v>
      </c>
      <c r="P6072">
        <v>0.1132777</v>
      </c>
      <c r="Q6072">
        <v>0.33905980000000002</v>
      </c>
      <c r="R6072">
        <v>0.93391999999999997</v>
      </c>
      <c r="S6072">
        <v>0.85734560000000004</v>
      </c>
      <c r="T6072">
        <v>-0.4823133</v>
      </c>
      <c r="U6072">
        <v>3.2851560000000002</v>
      </c>
      <c r="V6072">
        <v>9.0585509999999994E-2</v>
      </c>
      <c r="W6072">
        <v>0.3521765</v>
      </c>
      <c r="X6072">
        <v>0.93153960000000002</v>
      </c>
      <c r="Y6072">
        <v>0.2256695</v>
      </c>
      <c r="Z6072">
        <v>-0.1268772</v>
      </c>
      <c r="AA6072">
        <v>0.96590659999999895</v>
      </c>
      <c r="AB6072">
        <v>30</v>
      </c>
      <c r="AC6072">
        <v>0.17730000000000201</v>
      </c>
      <c r="AD6072">
        <v>-0.104599999999999</v>
      </c>
      <c r="AE6072">
        <v>0.40919999999999801</v>
      </c>
      <c r="AF6072">
        <v>0.158188049591442</v>
      </c>
      <c r="AG6072">
        <v>-0.104599999999999</v>
      </c>
      <c r="AH6072">
        <v>0.391989779382236</v>
      </c>
      <c r="AI6072">
        <v>103.898864413225</v>
      </c>
      <c r="AJ6072">
        <v>68.023388435348707</v>
      </c>
      <c r="AK6072">
        <v>0.43545448232126199</v>
      </c>
      <c r="AL6072">
        <v>69.379503026153401</v>
      </c>
      <c r="AM6072">
        <v>84.445861538673</v>
      </c>
      <c r="AN6072">
        <v>1.0000000240711799</v>
      </c>
    </row>
    <row r="6073" spans="1:40" x14ac:dyDescent="0.25">
      <c r="A6073" t="str">
        <f>"20190304164807278"</f>
        <v>20190304164807278</v>
      </c>
      <c r="B6073" t="str">
        <f>"1551689287275171"</f>
        <v>1551689287275171</v>
      </c>
      <c r="C6073" t="s">
        <v>40</v>
      </c>
      <c r="D6073">
        <v>4.7170199999999998</v>
      </c>
      <c r="E6073">
        <v>0.5795323</v>
      </c>
      <c r="F6073" t="s">
        <v>41</v>
      </c>
      <c r="G6073">
        <v>-187.4573</v>
      </c>
      <c r="H6073">
        <v>0.97065000000000001</v>
      </c>
      <c r="I6073">
        <v>105.2273</v>
      </c>
      <c r="J6073">
        <v>-187.6985</v>
      </c>
      <c r="K6073">
        <v>1.109883</v>
      </c>
      <c r="L6073">
        <v>104.5716</v>
      </c>
      <c r="M6073">
        <v>2.668069E-2</v>
      </c>
      <c r="N6073">
        <v>-1.43062E-2</v>
      </c>
      <c r="O6073">
        <v>0.99954160000000003</v>
      </c>
      <c r="P6073">
        <v>0.1156346</v>
      </c>
      <c r="Q6073">
        <v>0.33885009999999999</v>
      </c>
      <c r="R6073">
        <v>0.93370719999999996</v>
      </c>
      <c r="S6073">
        <v>0.86680599999999997</v>
      </c>
      <c r="T6073">
        <v>-0.48288700000000001</v>
      </c>
      <c r="U6073">
        <v>3.2824399999999998</v>
      </c>
      <c r="V6073">
        <v>9.1683070000000005E-2</v>
      </c>
      <c r="W6073">
        <v>0.35195290000000001</v>
      </c>
      <c r="X6073">
        <v>0.93151669999999998</v>
      </c>
      <c r="Y6073">
        <v>0.2271128</v>
      </c>
      <c r="Z6073">
        <v>-0.12707650000000001</v>
      </c>
      <c r="AA6073">
        <v>0.96554200000000001</v>
      </c>
      <c r="AB6073">
        <v>30</v>
      </c>
      <c r="AC6073">
        <v>0.241199999999992</v>
      </c>
      <c r="AD6073">
        <v>-0.139232999999999</v>
      </c>
      <c r="AE6073">
        <v>0.65569999999999595</v>
      </c>
      <c r="AF6073">
        <v>0.215075990399929</v>
      </c>
      <c r="AG6073">
        <v>-0.139232999999999</v>
      </c>
      <c r="AH6073">
        <v>0.63661905370632199</v>
      </c>
      <c r="AI6073">
        <v>101.70613497270099</v>
      </c>
      <c r="AJ6073">
        <v>71.332925314899995</v>
      </c>
      <c r="AK6073">
        <v>0.68624145129643899</v>
      </c>
      <c r="AL6073">
        <v>69.393190096871706</v>
      </c>
      <c r="AM6073">
        <v>84.378857117158901</v>
      </c>
      <c r="AN6073">
        <v>0.99999999576096199</v>
      </c>
    </row>
    <row r="6074" spans="1:40" x14ac:dyDescent="0.25">
      <c r="A6074" t="str">
        <f>"20190304164807301"</f>
        <v>20190304164807301</v>
      </c>
      <c r="B6074" t="str">
        <f>"1551689287295667"</f>
        <v>1551689287295667</v>
      </c>
      <c r="C6074" t="s">
        <v>40</v>
      </c>
      <c r="D6074">
        <v>4.7292420000000002</v>
      </c>
      <c r="E6074">
        <v>0.57946330000000001</v>
      </c>
      <c r="F6074" t="s">
        <v>41</v>
      </c>
      <c r="G6074">
        <v>-187.4511</v>
      </c>
      <c r="H6074">
        <v>0.97376479999999999</v>
      </c>
      <c r="I6074">
        <v>105.4953</v>
      </c>
      <c r="J6074">
        <v>-187.6885</v>
      </c>
      <c r="K6074">
        <v>1.1098380000000001</v>
      </c>
      <c r="L6074">
        <v>104.88290000000001</v>
      </c>
      <c r="M6074">
        <v>2.8218920000000002E-2</v>
      </c>
      <c r="N6074">
        <v>-1.430413E-2</v>
      </c>
      <c r="O6074">
        <v>0.99949940000000004</v>
      </c>
      <c r="P6074">
        <v>0.11830450000000001</v>
      </c>
      <c r="Q6074">
        <v>0.33990019999999999</v>
      </c>
      <c r="R6074">
        <v>0.93299080000000001</v>
      </c>
      <c r="S6074">
        <v>0.87815859999999901</v>
      </c>
      <c r="T6074">
        <v>-0.48330210000000001</v>
      </c>
      <c r="U6074">
        <v>3.279633</v>
      </c>
      <c r="V6074">
        <v>9.2972410000000005E-2</v>
      </c>
      <c r="W6074">
        <v>0.35297970000000001</v>
      </c>
      <c r="X6074">
        <v>0.9310003</v>
      </c>
      <c r="Y6074">
        <v>0.2289331</v>
      </c>
      <c r="Z6074">
        <v>-0.12721589999999999</v>
      </c>
      <c r="AA6074">
        <v>0.9650936</v>
      </c>
      <c r="AB6074">
        <v>30</v>
      </c>
      <c r="AC6074">
        <v>0.23740000000000799</v>
      </c>
      <c r="AD6074">
        <v>-0.13607319999999901</v>
      </c>
      <c r="AE6074">
        <v>0.61239999999999295</v>
      </c>
      <c r="AF6074">
        <v>0.210967415168206</v>
      </c>
      <c r="AG6074">
        <v>-0.13607319999999901</v>
      </c>
      <c r="AH6074">
        <v>0.59338700424630098</v>
      </c>
      <c r="AI6074">
        <v>102.192283870601</v>
      </c>
      <c r="AJ6074">
        <v>70.428128336629598</v>
      </c>
      <c r="AK6074">
        <v>0.64430683903664498</v>
      </c>
      <c r="AL6074">
        <v>69.330325477063695</v>
      </c>
      <c r="AM6074">
        <v>84.297183217343004</v>
      </c>
      <c r="AN6074">
        <v>1.00000004811669</v>
      </c>
    </row>
    <row r="6075" spans="1:40" x14ac:dyDescent="0.25">
      <c r="A6075" t="str">
        <f>"20190304164807326"</f>
        <v>20190304164807326</v>
      </c>
      <c r="B6075" t="str">
        <f>"1551689287315188"</f>
        <v>1551689287315188</v>
      </c>
      <c r="C6075" t="s">
        <v>40</v>
      </c>
      <c r="D6075">
        <v>4.7672210000000002</v>
      </c>
      <c r="E6075">
        <v>0.57935619999999999</v>
      </c>
      <c r="F6075" t="s">
        <v>41</v>
      </c>
      <c r="G6075">
        <v>-187.44829999999999</v>
      </c>
      <c r="H6075">
        <v>0.9804834</v>
      </c>
      <c r="I6075">
        <v>105.76730000000001</v>
      </c>
      <c r="J6075">
        <v>-187.67689999999999</v>
      </c>
      <c r="K6075">
        <v>1.1097680000000001</v>
      </c>
      <c r="L6075">
        <v>105.2269</v>
      </c>
      <c r="M6075">
        <v>3.0021269999999999E-2</v>
      </c>
      <c r="N6075">
        <v>-1.430206E-2</v>
      </c>
      <c r="O6075">
        <v>0.99944690000000003</v>
      </c>
      <c r="P6075">
        <v>0.120602399999999</v>
      </c>
      <c r="Q6075">
        <v>0.34237459999999997</v>
      </c>
      <c r="R6075">
        <v>0.93179109999999998</v>
      </c>
      <c r="S6075">
        <v>0.88987729999999998</v>
      </c>
      <c r="T6075">
        <v>-0.47933029999999999</v>
      </c>
      <c r="U6075">
        <v>3.2772519999999998</v>
      </c>
      <c r="V6075">
        <v>9.3680749999999993E-2</v>
      </c>
      <c r="W6075">
        <v>0.3554215</v>
      </c>
      <c r="X6075">
        <v>0.92999969999999998</v>
      </c>
      <c r="Y6075">
        <v>0.2306088</v>
      </c>
      <c r="Z6075">
        <v>-0.12607639999999901</v>
      </c>
      <c r="AA6075">
        <v>0.96484420000000004</v>
      </c>
      <c r="AB6075">
        <v>30</v>
      </c>
      <c r="AC6075">
        <v>0.2286</v>
      </c>
      <c r="AD6075">
        <v>-0.129284599999999</v>
      </c>
      <c r="AE6075">
        <v>0.54040000000000499</v>
      </c>
      <c r="AF6075">
        <v>0.202443605536861</v>
      </c>
      <c r="AG6075">
        <v>-0.129284599999999</v>
      </c>
      <c r="AH6075">
        <v>0.52169292167117198</v>
      </c>
      <c r="AI6075">
        <v>103.008927300379</v>
      </c>
      <c r="AJ6075">
        <v>68.791193277062305</v>
      </c>
      <c r="AK6075">
        <v>0.57433563857880898</v>
      </c>
      <c r="AL6075">
        <v>69.180720299773299</v>
      </c>
      <c r="AM6075">
        <v>84.247883387897403</v>
      </c>
      <c r="AN6075">
        <v>0.99999998379145105</v>
      </c>
    </row>
    <row r="6076" spans="1:40" x14ac:dyDescent="0.25">
      <c r="A6076" t="str">
        <f>"20190304164807348"</f>
        <v>20190304164807348</v>
      </c>
      <c r="B6076" t="str">
        <f>"1551689287335684"</f>
        <v>1551689287335684</v>
      </c>
      <c r="C6076" t="s">
        <v>40</v>
      </c>
      <c r="D6076">
        <v>4.7515890000000001</v>
      </c>
      <c r="E6076">
        <v>0.5675055</v>
      </c>
      <c r="F6076" t="s">
        <v>41</v>
      </c>
      <c r="G6076">
        <v>-187.45230000000001</v>
      </c>
      <c r="H6076">
        <v>0.99289369999999999</v>
      </c>
      <c r="I6076">
        <v>106.0428</v>
      </c>
      <c r="J6076">
        <v>-187.66640000000001</v>
      </c>
      <c r="K6076">
        <v>1.1096889999999999</v>
      </c>
      <c r="L6076">
        <v>105.5187</v>
      </c>
      <c r="M6076">
        <v>3.1676969999999999E-2</v>
      </c>
      <c r="N6076">
        <v>-1.430083E-2</v>
      </c>
      <c r="O6076">
        <v>0.99939579999999995</v>
      </c>
      <c r="P6076">
        <v>0.1226641</v>
      </c>
      <c r="Q6076">
        <v>0.3438676</v>
      </c>
      <c r="R6076">
        <v>0.93097189999999996</v>
      </c>
      <c r="S6076">
        <v>0.90107729999999997</v>
      </c>
      <c r="T6076">
        <v>-0.46911449999999999</v>
      </c>
      <c r="U6076">
        <v>3.27536</v>
      </c>
      <c r="V6076">
        <v>9.4292630000000002E-2</v>
      </c>
      <c r="W6076">
        <v>0.35688429999999999</v>
      </c>
      <c r="X6076">
        <v>0.92937749999999997</v>
      </c>
      <c r="Y6076">
        <v>0.2323096</v>
      </c>
      <c r="Z6076">
        <v>-0.1231231</v>
      </c>
      <c r="AA6076">
        <v>0.96481760000000005</v>
      </c>
      <c r="AB6076">
        <v>30</v>
      </c>
      <c r="AC6076">
        <v>0.21410000000000201</v>
      </c>
      <c r="AD6076">
        <v>-0.11679529999999901</v>
      </c>
      <c r="AE6076">
        <v>0.52410000000000401</v>
      </c>
      <c r="AF6076">
        <v>0.18933110546783299</v>
      </c>
      <c r="AG6076">
        <v>-0.11679529999999901</v>
      </c>
      <c r="AH6076">
        <v>0.50895865850791</v>
      </c>
      <c r="AI6076">
        <v>102.13823039803999</v>
      </c>
      <c r="AJ6076">
        <v>69.594948826220303</v>
      </c>
      <c r="AK6076">
        <v>0.55545146112863297</v>
      </c>
      <c r="AL6076">
        <v>69.091027401870406</v>
      </c>
      <c r="AM6076">
        <v>84.206718012237602</v>
      </c>
      <c r="AN6076">
        <v>1.0000000205825199</v>
      </c>
    </row>
    <row r="6077" spans="1:40" x14ac:dyDescent="0.25">
      <c r="A6077" t="str">
        <f>"20190304164807367"</f>
        <v>20190304164807367</v>
      </c>
      <c r="B6077" t="str">
        <f>"1551689287355204"</f>
        <v>1551689287355204</v>
      </c>
      <c r="C6077" t="s">
        <v>40</v>
      </c>
      <c r="D6077">
        <v>4.7453260000000004</v>
      </c>
      <c r="E6077">
        <v>0.56709229999999999</v>
      </c>
      <c r="F6077" t="s">
        <v>41</v>
      </c>
      <c r="G6077">
        <v>-187.46690000000001</v>
      </c>
      <c r="H6077">
        <v>1.004729</v>
      </c>
      <c r="I6077">
        <v>106.3168</v>
      </c>
      <c r="J6077">
        <v>-187.65629999999999</v>
      </c>
      <c r="K6077">
        <v>1.1095950000000001</v>
      </c>
      <c r="L6077">
        <v>105.7841</v>
      </c>
      <c r="M6077">
        <v>3.332247E-2</v>
      </c>
      <c r="N6077">
        <v>-1.430057E-2</v>
      </c>
      <c r="O6077">
        <v>0.99934230000000002</v>
      </c>
      <c r="P6077">
        <v>0.1239783</v>
      </c>
      <c r="Q6077">
        <v>0.34423540000000002</v>
      </c>
      <c r="R6077">
        <v>0.93066179999999998</v>
      </c>
      <c r="S6077">
        <v>0.81842040000000005</v>
      </c>
      <c r="T6077">
        <v>-0.43051679999999998</v>
      </c>
      <c r="U6077">
        <v>3.2736360000000002</v>
      </c>
      <c r="V6077">
        <v>9.4167630000000002E-2</v>
      </c>
      <c r="W6077">
        <v>0.35722779999999998</v>
      </c>
      <c r="X6077">
        <v>0.92925820000000003</v>
      </c>
      <c r="Y6077">
        <v>0.20831839999999999</v>
      </c>
      <c r="Z6077">
        <v>-0.11279459999999999</v>
      </c>
      <c r="AA6077">
        <v>0.97153529999999999</v>
      </c>
      <c r="AB6077">
        <v>30</v>
      </c>
      <c r="AC6077">
        <v>0.189399999999977</v>
      </c>
      <c r="AD6077">
        <v>-0.104866</v>
      </c>
      <c r="AE6077">
        <v>0.53270000000000495</v>
      </c>
      <c r="AF6077">
        <v>0.16583669232953599</v>
      </c>
      <c r="AG6077">
        <v>-0.104866</v>
      </c>
      <c r="AH6077">
        <v>0.52079859200800005</v>
      </c>
      <c r="AI6077">
        <v>100.86100071606501</v>
      </c>
      <c r="AJ6077">
        <v>72.337084390264195</v>
      </c>
      <c r="AK6077">
        <v>0.55653379045329898</v>
      </c>
      <c r="AL6077">
        <v>69.069957483746805</v>
      </c>
      <c r="AM6077">
        <v>84.213608068185707</v>
      </c>
      <c r="AN6077">
        <v>1.0000000229499399</v>
      </c>
    </row>
    <row r="6078" spans="1:40" x14ac:dyDescent="0.25">
      <c r="A6078" t="str">
        <f>"20190304164807391"</f>
        <v>20190304164807391</v>
      </c>
      <c r="B6078" t="str">
        <f>"1551689287385459"</f>
        <v>1551689287385459</v>
      </c>
      <c r="C6078" t="s">
        <v>40</v>
      </c>
      <c r="D6078">
        <v>4.7277459999999998</v>
      </c>
      <c r="E6078">
        <v>0.56692240000000005</v>
      </c>
      <c r="F6078" t="s">
        <v>41</v>
      </c>
      <c r="G6078">
        <v>-187.45490000000001</v>
      </c>
      <c r="H6078">
        <v>1.0031779999999999</v>
      </c>
      <c r="I6078">
        <v>106.58620000000001</v>
      </c>
      <c r="J6078">
        <v>-187.6437</v>
      </c>
      <c r="K6078">
        <v>1.109453</v>
      </c>
      <c r="L6078">
        <v>106.0956</v>
      </c>
      <c r="M6078">
        <v>3.544945E-2</v>
      </c>
      <c r="N6078">
        <v>-1.4301639999999999E-2</v>
      </c>
      <c r="O6078">
        <v>0.99926910000000002</v>
      </c>
      <c r="P6078">
        <v>0.12699260000000001</v>
      </c>
      <c r="Q6078">
        <v>0.34445409999999999</v>
      </c>
      <c r="R6078">
        <v>0.93017439999999996</v>
      </c>
      <c r="S6078">
        <v>0.82148739999999998</v>
      </c>
      <c r="T6078">
        <v>-0.4344363</v>
      </c>
      <c r="U6078">
        <v>3.2747799999999998</v>
      </c>
      <c r="V6078">
        <v>9.5342640000000006E-2</v>
      </c>
      <c r="W6078">
        <v>0.35740539999999998</v>
      </c>
      <c r="X6078">
        <v>0.92907010000000001</v>
      </c>
      <c r="Y6078">
        <v>0.20698320000000001</v>
      </c>
      <c r="Z6078">
        <v>-0.1138832</v>
      </c>
      <c r="AA6078">
        <v>0.97169369999999999</v>
      </c>
      <c r="AB6078">
        <v>30</v>
      </c>
      <c r="AC6078">
        <v>0.18879999999998601</v>
      </c>
      <c r="AD6078">
        <v>-0.106274999999999</v>
      </c>
      <c r="AE6078">
        <v>0.49059999999999998</v>
      </c>
      <c r="AF6078">
        <v>0.16456201502930701</v>
      </c>
      <c r="AG6078">
        <v>-0.106274999999999</v>
      </c>
      <c r="AH6078">
        <v>0.477469868283667</v>
      </c>
      <c r="AI6078">
        <v>101.88347656950199</v>
      </c>
      <c r="AJ6078">
        <v>70.983270920497702</v>
      </c>
      <c r="AK6078">
        <v>0.51609350658027897</v>
      </c>
      <c r="AL6078">
        <v>69.059062982934904</v>
      </c>
      <c r="AM6078">
        <v>84.1407275982925</v>
      </c>
      <c r="AN6078">
        <v>1.00000004483266</v>
      </c>
    </row>
    <row r="6079" spans="1:40" x14ac:dyDescent="0.25">
      <c r="A6079" t="str">
        <f>"20190304164807413"</f>
        <v>20190304164807413</v>
      </c>
      <c r="B6079" t="str">
        <f>"1551689287405956"</f>
        <v>1551689287405956</v>
      </c>
      <c r="C6079" t="s">
        <v>40</v>
      </c>
      <c r="D6079">
        <v>4.7036290000000003</v>
      </c>
      <c r="E6079">
        <v>0.56689239999999996</v>
      </c>
      <c r="F6079" t="s">
        <v>41</v>
      </c>
      <c r="G6079">
        <v>-187.44980000000001</v>
      </c>
      <c r="H6079">
        <v>1.0073000000000001</v>
      </c>
      <c r="I6079">
        <v>106.8579</v>
      </c>
      <c r="J6079">
        <v>-187.62979999999999</v>
      </c>
      <c r="K6079">
        <v>1.1092740000000001</v>
      </c>
      <c r="L6079">
        <v>106.4158</v>
      </c>
      <c r="M6079">
        <v>3.787724E-2</v>
      </c>
      <c r="N6079">
        <v>-1.430434E-2</v>
      </c>
      <c r="O6079">
        <v>0.99917999999999996</v>
      </c>
      <c r="P6079">
        <v>0.13016469999999999</v>
      </c>
      <c r="Q6079">
        <v>0.34397519999999998</v>
      </c>
      <c r="R6079">
        <v>0.92991299999999999</v>
      </c>
      <c r="S6079">
        <v>0.83197019999999899</v>
      </c>
      <c r="T6079">
        <v>-0.43866480000000002</v>
      </c>
      <c r="U6079">
        <v>3.2740629999999999</v>
      </c>
      <c r="V6079">
        <v>9.6409990000000001E-2</v>
      </c>
      <c r="W6079">
        <v>0.35688389999999998</v>
      </c>
      <c r="X6079">
        <v>0.9291604</v>
      </c>
      <c r="Y6079">
        <v>0.20754600000000001</v>
      </c>
      <c r="Z6079">
        <v>-0.1150656</v>
      </c>
      <c r="AA6079">
        <v>0.97143429999999997</v>
      </c>
      <c r="AB6079">
        <v>30</v>
      </c>
      <c r="AC6079">
        <v>0.17999999999997801</v>
      </c>
      <c r="AD6079">
        <v>-0.101973999999999</v>
      </c>
      <c r="AE6079">
        <v>0.442099999999996</v>
      </c>
      <c r="AF6079">
        <v>0.15600388058138401</v>
      </c>
      <c r="AG6079">
        <v>-0.101973999999999</v>
      </c>
      <c r="AH6079">
        <v>0.42902165421198502</v>
      </c>
      <c r="AI6079">
        <v>102.591996612956</v>
      </c>
      <c r="AJ6079">
        <v>70.017364544919005</v>
      </c>
      <c r="AK6079">
        <v>0.46775579869761003</v>
      </c>
      <c r="AL6079">
        <v>69.091052067262495</v>
      </c>
      <c r="AM6079">
        <v>84.076169361182394</v>
      </c>
      <c r="AN6079">
        <v>1.0000000265895801</v>
      </c>
    </row>
    <row r="6080" spans="1:40" x14ac:dyDescent="0.25">
      <c r="A6080" t="str">
        <f>"20190304164807435"</f>
        <v>20190304164807435</v>
      </c>
      <c r="B6080" t="str">
        <f>"1551689287425479"</f>
        <v>1551689287425479</v>
      </c>
      <c r="C6080" t="s">
        <v>40</v>
      </c>
      <c r="D6080">
        <v>4.7178849999999999</v>
      </c>
      <c r="E6080">
        <v>0.56694849999999997</v>
      </c>
      <c r="F6080" t="s">
        <v>41</v>
      </c>
      <c r="G6080">
        <v>-187.44569999999999</v>
      </c>
      <c r="H6080">
        <v>1.012564</v>
      </c>
      <c r="I6080">
        <v>107.1301</v>
      </c>
      <c r="J6080">
        <v>-187.6165</v>
      </c>
      <c r="K6080">
        <v>1.109105</v>
      </c>
      <c r="L6080">
        <v>106.70010000000001</v>
      </c>
      <c r="M6080">
        <v>4.0270710000000001E-2</v>
      </c>
      <c r="N6080">
        <v>-1.4307719999999999E-2</v>
      </c>
      <c r="O6080">
        <v>0.99908640000000004</v>
      </c>
      <c r="P6080">
        <v>0.1334765</v>
      </c>
      <c r="Q6080">
        <v>0.34358290000000002</v>
      </c>
      <c r="R6080">
        <v>0.92958859999999999</v>
      </c>
      <c r="S6080">
        <v>0.84283449999999904</v>
      </c>
      <c r="T6080">
        <v>-0.44294620000000001</v>
      </c>
      <c r="U6080">
        <v>3.2719879999999999</v>
      </c>
      <c r="V6080">
        <v>9.7639519999999994E-2</v>
      </c>
      <c r="W6080">
        <v>0.35644999999999999</v>
      </c>
      <c r="X6080">
        <v>0.92919859999999999</v>
      </c>
      <c r="Y6080">
        <v>0.2083391</v>
      </c>
      <c r="Z6080">
        <v>-0.1163063</v>
      </c>
      <c r="AA6080">
        <v>0.97111670000000005</v>
      </c>
      <c r="AB6080">
        <v>30</v>
      </c>
      <c r="AC6080">
        <v>0.170800000000014</v>
      </c>
      <c r="AD6080">
        <v>-9.6541000000000002E-2</v>
      </c>
      <c r="AE6080">
        <v>0.429999999999992</v>
      </c>
      <c r="AF6080">
        <v>0.14694561340322199</v>
      </c>
      <c r="AG6080">
        <v>-9.6541000000000002E-2</v>
      </c>
      <c r="AH6080">
        <v>0.41831759854106898</v>
      </c>
      <c r="AI6080">
        <v>102.283877204772</v>
      </c>
      <c r="AJ6080">
        <v>70.644765842429706</v>
      </c>
      <c r="AK6080">
        <v>0.45376512782343298</v>
      </c>
      <c r="AL6080">
        <v>69.117663547626805</v>
      </c>
      <c r="AM6080">
        <v>84.001414204212097</v>
      </c>
      <c r="AN6080">
        <v>1.0000000583038899</v>
      </c>
    </row>
    <row r="6081" spans="1:40" x14ac:dyDescent="0.25">
      <c r="A6081" t="str">
        <f>"20190304164807456"</f>
        <v>20190304164807456</v>
      </c>
      <c r="B6081" t="str">
        <f>"1551689287445972"</f>
        <v>1551689287445972</v>
      </c>
      <c r="C6081" t="s">
        <v>40</v>
      </c>
      <c r="D6081">
        <v>4.6892829999999996</v>
      </c>
      <c r="E6081">
        <v>0.56704580000000004</v>
      </c>
      <c r="F6081" t="s">
        <v>41</v>
      </c>
      <c r="G6081">
        <v>-187.36789999999999</v>
      </c>
      <c r="H6081">
        <v>0.97874240000000001</v>
      </c>
      <c r="I6081">
        <v>107.65219999999999</v>
      </c>
      <c r="J6081">
        <v>-187.6018</v>
      </c>
      <c r="K6081">
        <v>1.1089370000000001</v>
      </c>
      <c r="L6081">
        <v>106.9939</v>
      </c>
      <c r="M6081">
        <v>4.296237E-2</v>
      </c>
      <c r="N6081">
        <v>-1.431172E-2</v>
      </c>
      <c r="O6081">
        <v>0.99897420000000003</v>
      </c>
      <c r="P6081">
        <v>0.13636210000000001</v>
      </c>
      <c r="Q6081">
        <v>0.34348959999999901</v>
      </c>
      <c r="R6081">
        <v>0.92920409999999998</v>
      </c>
      <c r="S6081">
        <v>0.8534851</v>
      </c>
      <c r="T6081">
        <v>-0.4477274</v>
      </c>
      <c r="U6081">
        <v>3.270187</v>
      </c>
      <c r="V6081">
        <v>9.8166500000000004E-2</v>
      </c>
      <c r="W6081">
        <v>0.35631859999999999</v>
      </c>
      <c r="X6081">
        <v>0.92919339999999995</v>
      </c>
      <c r="Y6081">
        <v>0.2087542</v>
      </c>
      <c r="Z6081">
        <v>-0.1176827</v>
      </c>
      <c r="AA6081">
        <v>0.97086170000000005</v>
      </c>
      <c r="AB6081">
        <v>30</v>
      </c>
      <c r="AC6081">
        <v>0.23390000000000499</v>
      </c>
      <c r="AD6081">
        <v>-0.13019459999999899</v>
      </c>
      <c r="AE6081">
        <v>0.658299999999997</v>
      </c>
      <c r="AF6081">
        <v>0.19850488305865899</v>
      </c>
      <c r="AG6081">
        <v>-0.13019459999999899</v>
      </c>
      <c r="AH6081">
        <v>0.64532965181085</v>
      </c>
      <c r="AI6081">
        <v>100.914511162883</v>
      </c>
      <c r="AJ6081">
        <v>72.901982364995703</v>
      </c>
      <c r="AK6081">
        <v>0.687608305631632</v>
      </c>
      <c r="AL6081">
        <v>69.125719806990602</v>
      </c>
      <c r="AM6081">
        <v>83.969243097176502</v>
      </c>
      <c r="AN6081">
        <v>0.99999999051588495</v>
      </c>
    </row>
    <row r="6082" spans="1:40" x14ac:dyDescent="0.25">
      <c r="A6082" t="str">
        <f>"20190304164807479"</f>
        <v>20190304164807479</v>
      </c>
      <c r="B6082" t="str">
        <f>"1551689287475251"</f>
        <v>1551689287475251</v>
      </c>
      <c r="C6082" t="s">
        <v>40</v>
      </c>
      <c r="D6082">
        <v>4.6943010000000003</v>
      </c>
      <c r="E6082">
        <v>0.56713549999999902</v>
      </c>
      <c r="F6082" t="s">
        <v>41</v>
      </c>
      <c r="G6082">
        <v>-187.357</v>
      </c>
      <c r="H6082">
        <v>0.98123470000000002</v>
      </c>
      <c r="I6082">
        <v>107.92100000000001</v>
      </c>
      <c r="J6082">
        <v>-187.58580000000001</v>
      </c>
      <c r="K6082">
        <v>1.1087880000000001</v>
      </c>
      <c r="L6082">
        <v>107.2938</v>
      </c>
      <c r="M6082">
        <v>4.5892019999999999E-2</v>
      </c>
      <c r="N6082">
        <v>-1.431547E-2</v>
      </c>
      <c r="O6082">
        <v>0.99884379999999995</v>
      </c>
      <c r="P6082">
        <v>0.13973099999999999</v>
      </c>
      <c r="Q6082">
        <v>0.34385310000000002</v>
      </c>
      <c r="R6082">
        <v>0.92856899999999998</v>
      </c>
      <c r="S6082">
        <v>0.86280820000000003</v>
      </c>
      <c r="T6082">
        <v>-0.45018469999999999</v>
      </c>
      <c r="U6082">
        <v>3.2683719999999998</v>
      </c>
      <c r="V6082">
        <v>9.8948400000000006E-2</v>
      </c>
      <c r="W6082">
        <v>0.35664420000000002</v>
      </c>
      <c r="X6082">
        <v>0.92898550000000002</v>
      </c>
      <c r="Y6082">
        <v>0.2085871</v>
      </c>
      <c r="Z6082">
        <v>-0.11839710000000001</v>
      </c>
      <c r="AA6082">
        <v>0.97081079999999997</v>
      </c>
      <c r="AB6082">
        <v>30</v>
      </c>
      <c r="AC6082">
        <v>0.228800000000006</v>
      </c>
      <c r="AD6082">
        <v>-0.12755329999999901</v>
      </c>
      <c r="AE6082">
        <v>0.62720000000000198</v>
      </c>
      <c r="AF6082">
        <v>0.192737239777933</v>
      </c>
      <c r="AG6082">
        <v>-0.12755329999999901</v>
      </c>
      <c r="AH6082">
        <v>0.61460609783732101</v>
      </c>
      <c r="AI6082">
        <v>101.201237313061</v>
      </c>
      <c r="AJ6082">
        <v>72.588849603268301</v>
      </c>
      <c r="AK6082">
        <v>0.65662633471170295</v>
      </c>
      <c r="AL6082">
        <v>69.105751943887597</v>
      </c>
      <c r="AM6082">
        <v>83.920215966129206</v>
      </c>
      <c r="AN6082">
        <v>0.99999996523322399</v>
      </c>
    </row>
    <row r="6083" spans="1:40" x14ac:dyDescent="0.25">
      <c r="A6083" t="str">
        <f>"20190304164807501"</f>
        <v>20190304164807501</v>
      </c>
      <c r="B6083" t="str">
        <f>"1551689287495748"</f>
        <v>1551689287495748</v>
      </c>
      <c r="C6083" t="s">
        <v>40</v>
      </c>
      <c r="D6083">
        <v>4.6869670000000001</v>
      </c>
      <c r="E6083">
        <v>0.56722779999999995</v>
      </c>
      <c r="F6083" t="s">
        <v>41</v>
      </c>
      <c r="G6083">
        <v>-187.34620000000001</v>
      </c>
      <c r="H6083">
        <v>0.9843423</v>
      </c>
      <c r="I6083">
        <v>108.1905</v>
      </c>
      <c r="J6083">
        <v>-187.5684</v>
      </c>
      <c r="K6083">
        <v>1.108657</v>
      </c>
      <c r="L6083">
        <v>107.5992</v>
      </c>
      <c r="M6083">
        <v>4.9039270000000003E-2</v>
      </c>
      <c r="N6083">
        <v>-1.4318300000000001E-2</v>
      </c>
      <c r="O6083">
        <v>0.99869419999999998</v>
      </c>
      <c r="P6083">
        <v>0.14321020000000001</v>
      </c>
      <c r="Q6083">
        <v>0.34405160000000001</v>
      </c>
      <c r="R6083">
        <v>0.92796520000000005</v>
      </c>
      <c r="S6083">
        <v>0.8722839</v>
      </c>
      <c r="T6083">
        <v>-0.45335360000000002</v>
      </c>
      <c r="U6083">
        <v>3.267395</v>
      </c>
      <c r="V6083">
        <v>9.9616129999999997E-2</v>
      </c>
      <c r="W6083">
        <v>0.3568113</v>
      </c>
      <c r="X6083">
        <v>0.92884999999999995</v>
      </c>
      <c r="Y6083">
        <v>0.2081799</v>
      </c>
      <c r="Z6083">
        <v>-0.1192845</v>
      </c>
      <c r="AA6083">
        <v>0.97078960000000003</v>
      </c>
      <c r="AB6083">
        <v>30</v>
      </c>
      <c r="AC6083">
        <v>0.22219999999998599</v>
      </c>
      <c r="AD6083">
        <v>-0.124314699999999</v>
      </c>
      <c r="AE6083">
        <v>0.59130000000000305</v>
      </c>
      <c r="AF6083">
        <v>0.185738794949664</v>
      </c>
      <c r="AG6083">
        <v>-0.124314699999999</v>
      </c>
      <c r="AH6083">
        <v>0.57905835527022897</v>
      </c>
      <c r="AI6083">
        <v>101.55352269361801</v>
      </c>
      <c r="AJ6083">
        <v>72.215833788519902</v>
      </c>
      <c r="AK6083">
        <v>0.62069446863469402</v>
      </c>
      <c r="AL6083">
        <v>69.095504318276696</v>
      </c>
      <c r="AM6083">
        <v>83.878612272154896</v>
      </c>
      <c r="AN6083">
        <v>0.999999999831933</v>
      </c>
    </row>
    <row r="6084" spans="1:40" x14ac:dyDescent="0.25">
      <c r="A6084" t="str">
        <f>"20190304164807525"</f>
        <v>20190304164807525</v>
      </c>
      <c r="B6084" t="str">
        <f>"1551689287515268"</f>
        <v>1551689287515268</v>
      </c>
      <c r="C6084" t="s">
        <v>40</v>
      </c>
      <c r="D6084">
        <v>4.6900490000000001</v>
      </c>
      <c r="E6084">
        <v>0.56736200000000003</v>
      </c>
      <c r="F6084" t="s">
        <v>41</v>
      </c>
      <c r="G6084">
        <v>-187.33519999999999</v>
      </c>
      <c r="H6084">
        <v>0.98867260000000001</v>
      </c>
      <c r="I6084">
        <v>108.46040000000001</v>
      </c>
      <c r="J6084">
        <v>-187.54949999999999</v>
      </c>
      <c r="K6084">
        <v>1.10856</v>
      </c>
      <c r="L6084">
        <v>107.9118</v>
      </c>
      <c r="M6084">
        <v>5.2405420000000001E-2</v>
      </c>
      <c r="N6084">
        <v>-1.4320579999999999E-2</v>
      </c>
      <c r="O6084">
        <v>0.99852320000000006</v>
      </c>
      <c r="P6084">
        <v>0.14678089999999999</v>
      </c>
      <c r="Q6084">
        <v>0.34450530000000001</v>
      </c>
      <c r="R6084">
        <v>0.92723860000000002</v>
      </c>
      <c r="S6084">
        <v>0.88417049999999997</v>
      </c>
      <c r="T6084">
        <v>-0.45485809999999999</v>
      </c>
      <c r="U6084">
        <v>3.2650450000000002</v>
      </c>
      <c r="V6084">
        <v>0.1001659</v>
      </c>
      <c r="W6084">
        <v>0.35723529999999998</v>
      </c>
      <c r="X6084">
        <v>0.9286278</v>
      </c>
      <c r="Y6084">
        <v>0.20833969999999999</v>
      </c>
      <c r="Z6084">
        <v>-0.11971900000000001</v>
      </c>
      <c r="AA6084">
        <v>0.97070179999999995</v>
      </c>
      <c r="AB6084">
        <v>30</v>
      </c>
      <c r="AC6084">
        <v>0.21430000000000801</v>
      </c>
      <c r="AD6084">
        <v>-0.11988739999999901</v>
      </c>
      <c r="AE6084">
        <v>0.54860000000000697</v>
      </c>
      <c r="AF6084">
        <v>0.17788247474014901</v>
      </c>
      <c r="AG6084">
        <v>-0.11988739999999901</v>
      </c>
      <c r="AH6084">
        <v>0.53683430256584896</v>
      </c>
      <c r="AI6084">
        <v>101.968840792062</v>
      </c>
      <c r="AJ6084">
        <v>71.667151366182395</v>
      </c>
      <c r="AK6084">
        <v>0.57810572727642295</v>
      </c>
      <c r="AL6084">
        <v>69.069495349097394</v>
      </c>
      <c r="AM6084">
        <v>83.843626208502798</v>
      </c>
      <c r="AN6084">
        <v>0.99999992901086698</v>
      </c>
    </row>
    <row r="6085" spans="1:40" x14ac:dyDescent="0.25">
      <c r="A6085" t="str">
        <f>"20190304164807547"</f>
        <v>20190304164807547</v>
      </c>
      <c r="B6085" t="str">
        <f>"1551689287535764"</f>
        <v>1551689287535764</v>
      </c>
      <c r="C6085" t="s">
        <v>40</v>
      </c>
      <c r="D6085">
        <v>4.7433589999999999</v>
      </c>
      <c r="E6085">
        <v>0.56740709999999905</v>
      </c>
      <c r="F6085" t="s">
        <v>41</v>
      </c>
      <c r="G6085">
        <v>-187.32400000000001</v>
      </c>
      <c r="H6085">
        <v>0.99442149999999996</v>
      </c>
      <c r="I6085">
        <v>108.7306</v>
      </c>
      <c r="J6085">
        <v>-187.53039999999999</v>
      </c>
      <c r="K6085">
        <v>1.1084700000000001</v>
      </c>
      <c r="L6085">
        <v>108.2093</v>
      </c>
      <c r="M6085">
        <v>5.572013E-2</v>
      </c>
      <c r="N6085">
        <v>-1.4322680000000001E-2</v>
      </c>
      <c r="O6085">
        <v>0.99834369999999995</v>
      </c>
      <c r="P6085">
        <v>0.15097469999999999</v>
      </c>
      <c r="Q6085">
        <v>0.3443349</v>
      </c>
      <c r="R6085">
        <v>0.92662840000000002</v>
      </c>
      <c r="S6085">
        <v>0.89793400000000001</v>
      </c>
      <c r="T6085">
        <v>-0.45461390000000002</v>
      </c>
      <c r="U6085">
        <v>3.2621920000000002</v>
      </c>
      <c r="V6085">
        <v>0.1013636</v>
      </c>
      <c r="W6085">
        <v>0.357037099999999</v>
      </c>
      <c r="X6085">
        <v>0.92857409999999996</v>
      </c>
      <c r="Y6085">
        <v>0.2091209</v>
      </c>
      <c r="Z6085">
        <v>-0.11964610000000001</v>
      </c>
      <c r="AA6085">
        <v>0.97054280000000004</v>
      </c>
      <c r="AB6085">
        <v>30</v>
      </c>
      <c r="AC6085">
        <v>0.20639999999997299</v>
      </c>
      <c r="AD6085">
        <v>-0.114048499999999</v>
      </c>
      <c r="AE6085">
        <v>0.52129999999999599</v>
      </c>
      <c r="AF6085">
        <v>0.16999548577106099</v>
      </c>
      <c r="AG6085">
        <v>-0.114048499999999</v>
      </c>
      <c r="AH6085">
        <v>0.51085414554300601</v>
      </c>
      <c r="AI6085">
        <v>101.96016896504599</v>
      </c>
      <c r="AJ6085">
        <v>71.594251281546406</v>
      </c>
      <c r="AK6085">
        <v>0.55034305987562404</v>
      </c>
      <c r="AL6085">
        <v>69.081653933784295</v>
      </c>
      <c r="AM6085">
        <v>83.770231388756898</v>
      </c>
      <c r="AN6085">
        <v>0.99999996468608898</v>
      </c>
    </row>
    <row r="6086" spans="1:40" x14ac:dyDescent="0.25">
      <c r="A6086" t="str">
        <f>"20190304164807568"</f>
        <v>20190304164807568</v>
      </c>
      <c r="B6086" t="str">
        <f>"1551689287565044"</f>
        <v>1551689287565044</v>
      </c>
      <c r="C6086" t="s">
        <v>40</v>
      </c>
      <c r="D6086">
        <v>4.6763729999999999</v>
      </c>
      <c r="E6086">
        <v>0.56760999999999995</v>
      </c>
      <c r="F6086" t="s">
        <v>41</v>
      </c>
      <c r="G6086">
        <v>-187.309</v>
      </c>
      <c r="H6086">
        <v>0.99795690000000004</v>
      </c>
      <c r="I6086">
        <v>108.99939999999999</v>
      </c>
      <c r="J6086">
        <v>-187.51089999999999</v>
      </c>
      <c r="K6086">
        <v>1.10839</v>
      </c>
      <c r="L6086">
        <v>108.49769999999999</v>
      </c>
      <c r="M6086">
        <v>5.9024779999999999E-2</v>
      </c>
      <c r="N6086">
        <v>-1.43248E-2</v>
      </c>
      <c r="O6086">
        <v>0.99815370000000003</v>
      </c>
      <c r="P6086">
        <v>0.15563640000000001</v>
      </c>
      <c r="Q6086">
        <v>0.34386430000000001</v>
      </c>
      <c r="R6086">
        <v>0.92603170000000001</v>
      </c>
      <c r="S6086">
        <v>0.91300959999999998</v>
      </c>
      <c r="T6086">
        <v>-0.45565650000000002</v>
      </c>
      <c r="U6086">
        <v>3.2581020000000001</v>
      </c>
      <c r="V6086">
        <v>0.10302840000000001</v>
      </c>
      <c r="W6086">
        <v>0.35653829999999997</v>
      </c>
      <c r="X6086">
        <v>0.92858260000000004</v>
      </c>
      <c r="Y6086">
        <v>0.21035290000000001</v>
      </c>
      <c r="Z6086">
        <v>-0.11997720000000001</v>
      </c>
      <c r="AA6086">
        <v>0.97023559999999998</v>
      </c>
      <c r="AB6086">
        <v>30</v>
      </c>
      <c r="AC6086">
        <v>0.201899999999966</v>
      </c>
      <c r="AD6086">
        <v>-0.11043310000000001</v>
      </c>
      <c r="AE6086">
        <v>0.50169999999999904</v>
      </c>
      <c r="AF6086">
        <v>0.16504978705524601</v>
      </c>
      <c r="AG6086">
        <v>-0.11043310000000001</v>
      </c>
      <c r="AH6086">
        <v>0.492218572514525</v>
      </c>
      <c r="AI6086">
        <v>102.008824797592</v>
      </c>
      <c r="AJ6086">
        <v>71.462766302292707</v>
      </c>
      <c r="AK6086">
        <v>0.53076927653249595</v>
      </c>
      <c r="AL6086">
        <v>69.112247885178306</v>
      </c>
      <c r="AM6086">
        <v>83.668795140160398</v>
      </c>
      <c r="AN6086">
        <v>1.0000000277981</v>
      </c>
    </row>
    <row r="6087" spans="1:40" x14ac:dyDescent="0.25">
      <c r="A6087" t="str">
        <f>"20190304164807591"</f>
        <v>20190304164807591</v>
      </c>
      <c r="B6087" t="str">
        <f>"1551689287585540"</f>
        <v>1551689287585540</v>
      </c>
      <c r="C6087" t="s">
        <v>40</v>
      </c>
      <c r="D6087">
        <v>4.6590819999999997</v>
      </c>
      <c r="E6087">
        <v>0.56772849999999997</v>
      </c>
      <c r="F6087" t="s">
        <v>41</v>
      </c>
      <c r="G6087">
        <v>-187.29040000000001</v>
      </c>
      <c r="H6087">
        <v>1.000011</v>
      </c>
      <c r="I6087">
        <v>109.2671</v>
      </c>
      <c r="J6087">
        <v>-187.49029999999999</v>
      </c>
      <c r="K6087">
        <v>1.108314</v>
      </c>
      <c r="L6087">
        <v>108.78700000000001</v>
      </c>
      <c r="M6087">
        <v>6.2420509999999998E-2</v>
      </c>
      <c r="N6087">
        <v>-1.4326820000000001E-2</v>
      </c>
      <c r="O6087">
        <v>0.99794709999999998</v>
      </c>
      <c r="P6087">
        <v>0.1596872</v>
      </c>
      <c r="Q6087">
        <v>0.34358519999999998</v>
      </c>
      <c r="R6087">
        <v>0.92544539999999997</v>
      </c>
      <c r="S6087">
        <v>0.931778</v>
      </c>
      <c r="T6087">
        <v>-0.45817140000000001</v>
      </c>
      <c r="U6087">
        <v>3.2531590000000001</v>
      </c>
      <c r="V6087">
        <v>0.10399659999999999</v>
      </c>
      <c r="W6087">
        <v>0.35623569999999999</v>
      </c>
      <c r="X6087">
        <v>0.92859080000000005</v>
      </c>
      <c r="Y6087">
        <v>0.2125631</v>
      </c>
      <c r="Z6087">
        <v>-0.12072910000000001</v>
      </c>
      <c r="AA6087">
        <v>0.96966050000000004</v>
      </c>
      <c r="AB6087">
        <v>30</v>
      </c>
      <c r="AC6087">
        <v>0.19989999999998501</v>
      </c>
      <c r="AD6087">
        <v>-0.108303</v>
      </c>
      <c r="AE6087">
        <v>0.48009999999999298</v>
      </c>
      <c r="AF6087">
        <v>0.16249175494844201</v>
      </c>
      <c r="AG6087">
        <v>-0.108303</v>
      </c>
      <c r="AH6087">
        <v>0.47120672814850401</v>
      </c>
      <c r="AI6087">
        <v>102.258972645898</v>
      </c>
      <c r="AJ6087">
        <v>70.973668441505197</v>
      </c>
      <c r="AK6087">
        <v>0.51006753561429696</v>
      </c>
      <c r="AL6087">
        <v>69.130803848320497</v>
      </c>
      <c r="AM6087">
        <v>83.609844082858004</v>
      </c>
      <c r="AN6087">
        <v>1.0000000203053401</v>
      </c>
    </row>
    <row r="6088" spans="1:40" x14ac:dyDescent="0.25">
      <c r="A6088" t="str">
        <f>"20190304164807614"</f>
        <v>20190304164807614</v>
      </c>
      <c r="B6088" t="str">
        <f>"1551689287605596"</f>
        <v>1551689287605596</v>
      </c>
      <c r="C6088" t="s">
        <v>40</v>
      </c>
      <c r="D6088">
        <v>4.6763640000000004</v>
      </c>
      <c r="E6088">
        <v>0.5678356</v>
      </c>
      <c r="F6088" t="s">
        <v>41</v>
      </c>
      <c r="G6088">
        <v>-187.27170000000001</v>
      </c>
      <c r="H6088">
        <v>1.002389</v>
      </c>
      <c r="I6088">
        <v>109.53449999999999</v>
      </c>
      <c r="J6088">
        <v>-187.4666</v>
      </c>
      <c r="K6088">
        <v>1.1082270000000001</v>
      </c>
      <c r="L6088">
        <v>109.1016</v>
      </c>
      <c r="M6088">
        <v>6.6208219999999998E-2</v>
      </c>
      <c r="N6088">
        <v>-1.4328789999999999E-2</v>
      </c>
      <c r="O6088">
        <v>0.99770300000000001</v>
      </c>
      <c r="P6088">
        <v>0.16344029999999901</v>
      </c>
      <c r="Q6088">
        <v>0.34404390000000001</v>
      </c>
      <c r="R6088">
        <v>0.92461939999999998</v>
      </c>
      <c r="S6088">
        <v>0.94979860000000005</v>
      </c>
      <c r="T6088">
        <v>-0.4602541</v>
      </c>
      <c r="U6088">
        <v>3.248672</v>
      </c>
      <c r="V6088">
        <v>0.1043268</v>
      </c>
      <c r="W6088">
        <v>0.35667009999999899</v>
      </c>
      <c r="X6088">
        <v>0.92838699999999996</v>
      </c>
      <c r="Y6088">
        <v>0.2141488</v>
      </c>
      <c r="Z6088">
        <v>-0.1213424</v>
      </c>
      <c r="AA6088">
        <v>0.96923490000000001</v>
      </c>
      <c r="AB6088">
        <v>30</v>
      </c>
      <c r="AC6088">
        <v>0.194899999999989</v>
      </c>
      <c r="AD6088">
        <v>-0.105838</v>
      </c>
      <c r="AE6088">
        <v>0.43289999999998902</v>
      </c>
      <c r="AF6088">
        <v>0.15795739191552199</v>
      </c>
      <c r="AG6088">
        <v>-0.105838</v>
      </c>
      <c r="AH6088">
        <v>0.42379297329798299</v>
      </c>
      <c r="AI6088">
        <v>103.17097188607799</v>
      </c>
      <c r="AJ6088">
        <v>69.558417970493096</v>
      </c>
      <c r="AK6088">
        <v>0.46449187734717101</v>
      </c>
      <c r="AL6088">
        <v>69.104164972801897</v>
      </c>
      <c r="AM6088">
        <v>83.588327828796395</v>
      </c>
      <c r="AN6088">
        <v>1.0000000316006199</v>
      </c>
    </row>
    <row r="6089" spans="1:40" x14ac:dyDescent="0.25">
      <c r="A6089" t="str">
        <f>"20190304164807635"</f>
        <v>20190304164807635</v>
      </c>
      <c r="B6089" t="str">
        <f>"1551689287625116"</f>
        <v>1551689287625116</v>
      </c>
      <c r="C6089" t="s">
        <v>40</v>
      </c>
      <c r="D6089">
        <v>4.7043739999999996</v>
      </c>
      <c r="E6089">
        <v>0.56795699999999905</v>
      </c>
      <c r="F6089" t="s">
        <v>41</v>
      </c>
      <c r="G6089">
        <v>-187.18270000000001</v>
      </c>
      <c r="H6089">
        <v>0.97356679999999995</v>
      </c>
      <c r="I6089">
        <v>110.053</v>
      </c>
      <c r="J6089">
        <v>-187.44409999999999</v>
      </c>
      <c r="K6089">
        <v>1.1081540000000001</v>
      </c>
      <c r="L6089">
        <v>109.3845</v>
      </c>
      <c r="M6089">
        <v>6.971753E-2</v>
      </c>
      <c r="N6089">
        <v>-1.4330890000000001E-2</v>
      </c>
      <c r="O6089">
        <v>0.99746380000000001</v>
      </c>
      <c r="P6089">
        <v>0.166297</v>
      </c>
      <c r="Q6089">
        <v>0.3452751</v>
      </c>
      <c r="R6089">
        <v>0.92365059999999999</v>
      </c>
      <c r="S6089">
        <v>0.96817019999999998</v>
      </c>
      <c r="T6089">
        <v>-0.45916180000000001</v>
      </c>
      <c r="U6089">
        <v>3.2442929999999999</v>
      </c>
      <c r="V6089">
        <v>0.104035</v>
      </c>
      <c r="W6089">
        <v>0.35788059999999899</v>
      </c>
      <c r="X6089">
        <v>0.92795380000000005</v>
      </c>
      <c r="Y6089">
        <v>0.21612310000000001</v>
      </c>
      <c r="Z6089">
        <v>-0.1210236</v>
      </c>
      <c r="AA6089">
        <v>0.96883640000000004</v>
      </c>
      <c r="AB6089">
        <v>30</v>
      </c>
      <c r="AC6089">
        <v>0.26139999999997998</v>
      </c>
      <c r="AD6089">
        <v>-0.13458719999999999</v>
      </c>
      <c r="AE6089">
        <v>0.66849999999999399</v>
      </c>
      <c r="AF6089">
        <v>0.20687958233738299</v>
      </c>
      <c r="AG6089">
        <v>-0.13458719999999999</v>
      </c>
      <c r="AH6089">
        <v>0.66183103325234005</v>
      </c>
      <c r="AI6089">
        <v>100.984207428452</v>
      </c>
      <c r="AJ6089">
        <v>72.641449592245095</v>
      </c>
      <c r="AK6089">
        <v>0.70635203161581595</v>
      </c>
      <c r="AL6089">
        <v>69.029907323065103</v>
      </c>
      <c r="AM6089">
        <v>83.603152283167901</v>
      </c>
      <c r="AN6089">
        <v>1.00000003000789</v>
      </c>
    </row>
    <row r="6090" spans="1:40" x14ac:dyDescent="0.25">
      <c r="A6090" t="str">
        <f>"20190304164807656"</f>
        <v>20190304164807656</v>
      </c>
      <c r="B6090" t="str">
        <f>"1551689287645615"</f>
        <v>1551689287645615</v>
      </c>
      <c r="C6090" t="s">
        <v>40</v>
      </c>
      <c r="D6090">
        <v>4.6726650000000003</v>
      </c>
      <c r="E6090">
        <v>0.56805289999999997</v>
      </c>
      <c r="F6090" t="s">
        <v>41</v>
      </c>
      <c r="G6090">
        <v>-187.1602</v>
      </c>
      <c r="H6090">
        <v>0.97686580000000001</v>
      </c>
      <c r="I6090">
        <v>110.31959999999999</v>
      </c>
      <c r="J6090">
        <v>-187.42070000000001</v>
      </c>
      <c r="K6090">
        <v>1.1080859999999999</v>
      </c>
      <c r="L6090">
        <v>109.6653</v>
      </c>
      <c r="M6090">
        <v>7.3278960000000004E-2</v>
      </c>
      <c r="N6090">
        <v>-1.4333200000000001E-2</v>
      </c>
      <c r="O6090">
        <v>0.99720850000000005</v>
      </c>
      <c r="P6090">
        <v>0.1691715</v>
      </c>
      <c r="Q6090">
        <v>0.34677560000000002</v>
      </c>
      <c r="R6090">
        <v>0.92256579999999999</v>
      </c>
      <c r="S6090">
        <v>0.98382570000000003</v>
      </c>
      <c r="T6090">
        <v>-0.45496629999999899</v>
      </c>
      <c r="U6090">
        <v>3.2409210000000002</v>
      </c>
      <c r="V6090">
        <v>0.10372099999999999</v>
      </c>
      <c r="W6090">
        <v>0.35936059999999997</v>
      </c>
      <c r="X6090">
        <v>0.92741680000000004</v>
      </c>
      <c r="Y6090">
        <v>0.21724940000000001</v>
      </c>
      <c r="Z6090">
        <v>-0.1197906</v>
      </c>
      <c r="AA6090">
        <v>0.96873779999999998</v>
      </c>
      <c r="AB6090">
        <v>30</v>
      </c>
      <c r="AC6090">
        <v>0.260500000000007</v>
      </c>
      <c r="AD6090">
        <v>-0.13122020000000001</v>
      </c>
      <c r="AE6090">
        <v>0.654299999999992</v>
      </c>
      <c r="AF6090">
        <v>0.20474010639148099</v>
      </c>
      <c r="AG6090">
        <v>-0.13122020000000001</v>
      </c>
      <c r="AH6090">
        <v>0.64909672614201397</v>
      </c>
      <c r="AI6090">
        <v>100.912437905641</v>
      </c>
      <c r="AJ6090">
        <v>72.493521385498795</v>
      </c>
      <c r="AK6090">
        <v>0.69315496964352497</v>
      </c>
      <c r="AL6090">
        <v>68.939066604258301</v>
      </c>
      <c r="AM6090">
        <v>83.618637611284996</v>
      </c>
      <c r="AN6090">
        <v>1.0000000037978001</v>
      </c>
    </row>
    <row r="6091" spans="1:40" x14ac:dyDescent="0.25">
      <c r="A6091" t="str">
        <f>"20190304164807680"</f>
        <v>20190304164807680</v>
      </c>
      <c r="B6091" t="str">
        <f>"1551689287675868"</f>
        <v>1551689287675868</v>
      </c>
      <c r="C6091" t="s">
        <v>40</v>
      </c>
      <c r="D6091">
        <v>4.683719</v>
      </c>
      <c r="E6091">
        <v>0.56803780000000004</v>
      </c>
      <c r="F6091" t="s">
        <v>41</v>
      </c>
      <c r="G6091">
        <v>-187.1378</v>
      </c>
      <c r="H6091">
        <v>0.97991810000000001</v>
      </c>
      <c r="I6091">
        <v>110.5853</v>
      </c>
      <c r="J6091">
        <v>-187.39320000000001</v>
      </c>
      <c r="K6091">
        <v>1.108007</v>
      </c>
      <c r="L6091">
        <v>109.9794</v>
      </c>
      <c r="M6091">
        <v>7.7369930000000003E-2</v>
      </c>
      <c r="N6091">
        <v>-1.433569E-2</v>
      </c>
      <c r="O6091">
        <v>0.99689939999999999</v>
      </c>
      <c r="P6091">
        <v>0.17226320000000001</v>
      </c>
      <c r="Q6091">
        <v>0.34720079999999998</v>
      </c>
      <c r="R6091">
        <v>0.92183349999999997</v>
      </c>
      <c r="S6091">
        <v>0.99594119999999997</v>
      </c>
      <c r="T6091">
        <v>-0.45120080000000001</v>
      </c>
      <c r="U6091">
        <v>3.2387540000000001</v>
      </c>
      <c r="V6091">
        <v>0.10310469999999999</v>
      </c>
      <c r="W6091">
        <v>0.35977219999999999</v>
      </c>
      <c r="X6091">
        <v>0.92732599999999998</v>
      </c>
      <c r="Y6091">
        <v>0.21678230000000001</v>
      </c>
      <c r="Z6091">
        <v>-0.1186682</v>
      </c>
      <c r="AA6091">
        <v>0.96898059999999997</v>
      </c>
      <c r="AB6091">
        <v>30</v>
      </c>
      <c r="AC6091">
        <v>0.25540000000000801</v>
      </c>
      <c r="AD6091">
        <v>-0.12808889999999901</v>
      </c>
      <c r="AE6091">
        <v>0.60590000000000499</v>
      </c>
      <c r="AF6091">
        <v>0.200155431230643</v>
      </c>
      <c r="AG6091">
        <v>-0.12808889999999901</v>
      </c>
      <c r="AH6091">
        <v>0.60103731336230604</v>
      </c>
      <c r="AI6091">
        <v>101.43086349716199</v>
      </c>
      <c r="AJ6091">
        <v>71.581383004128995</v>
      </c>
      <c r="AK6091">
        <v>0.64630860663317402</v>
      </c>
      <c r="AL6091">
        <v>68.913794675617893</v>
      </c>
      <c r="AM6091">
        <v>83.655628916048798</v>
      </c>
      <c r="AN6091">
        <v>1.0000000626654599</v>
      </c>
    </row>
    <row r="6092" spans="1:40" x14ac:dyDescent="0.25">
      <c r="A6092" t="str">
        <f>"20190304164807702"</f>
        <v>20190304164807702</v>
      </c>
      <c r="B6092" t="str">
        <f>"1551689287695389"</f>
        <v>1551689287695389</v>
      </c>
      <c r="C6092" t="s">
        <v>40</v>
      </c>
      <c r="D6092">
        <v>4.7347839999999897</v>
      </c>
      <c r="E6092">
        <v>0.56799730000000004</v>
      </c>
      <c r="F6092" t="s">
        <v>41</v>
      </c>
      <c r="G6092">
        <v>-187.12100000000001</v>
      </c>
      <c r="H6092">
        <v>0.98663350000000005</v>
      </c>
      <c r="I6092">
        <v>110.85209999999999</v>
      </c>
      <c r="J6092">
        <v>-187.3663</v>
      </c>
      <c r="K6092">
        <v>1.1079330000000001</v>
      </c>
      <c r="L6092">
        <v>110.2713</v>
      </c>
      <c r="M6092">
        <v>8.1287579999999998E-2</v>
      </c>
      <c r="N6092">
        <v>-1.4338399999999999E-2</v>
      </c>
      <c r="O6092">
        <v>0.99658760000000002</v>
      </c>
      <c r="P6092">
        <v>0.17501069999999999</v>
      </c>
      <c r="Q6092">
        <v>0.3478019</v>
      </c>
      <c r="R6092">
        <v>0.92108909999999999</v>
      </c>
      <c r="S6092">
        <v>1.008713</v>
      </c>
      <c r="T6092">
        <v>-0.4498645</v>
      </c>
      <c r="U6092">
        <v>3.2353209999999999</v>
      </c>
      <c r="V6092">
        <v>0.1023114</v>
      </c>
      <c r="W6092">
        <v>0.36036119999999999</v>
      </c>
      <c r="X6092">
        <v>0.92718509999999998</v>
      </c>
      <c r="Y6092">
        <v>0.21674019999999999</v>
      </c>
      <c r="Z6092">
        <v>-0.11828569999999999</v>
      </c>
      <c r="AA6092">
        <v>0.96903680000000003</v>
      </c>
      <c r="AB6092">
        <v>30</v>
      </c>
      <c r="AC6092">
        <v>0.24530000000001401</v>
      </c>
      <c r="AD6092">
        <v>-0.1212995</v>
      </c>
      <c r="AE6092">
        <v>0.58079999999999599</v>
      </c>
      <c r="AF6092">
        <v>0.190229980382459</v>
      </c>
      <c r="AG6092">
        <v>-0.1212995</v>
      </c>
      <c r="AH6092">
        <v>0.57744519969184105</v>
      </c>
      <c r="AI6092">
        <v>101.283200562339</v>
      </c>
      <c r="AJ6092">
        <v>71.766368737035805</v>
      </c>
      <c r="AK6092">
        <v>0.61995481511454598</v>
      </c>
      <c r="AL6092">
        <v>68.877620090997496</v>
      </c>
      <c r="AM6092">
        <v>83.703100692338793</v>
      </c>
      <c r="AN6092">
        <v>1.0000000133486999</v>
      </c>
    </row>
    <row r="6093" spans="1:40" x14ac:dyDescent="0.25">
      <c r="A6093" t="str">
        <f>"20190304164807728"</f>
        <v>20190304164807728</v>
      </c>
      <c r="B6093" t="str">
        <f>"1551689287715508"</f>
        <v>1551689287715508</v>
      </c>
      <c r="C6093" t="s">
        <v>40</v>
      </c>
      <c r="D6093">
        <v>4.6880249999999997</v>
      </c>
      <c r="E6093">
        <v>0.56748999999999905</v>
      </c>
      <c r="F6093" t="s">
        <v>41</v>
      </c>
      <c r="G6093">
        <v>-187.0992</v>
      </c>
      <c r="H6093">
        <v>0.99017659999999996</v>
      </c>
      <c r="I6093">
        <v>111.1172</v>
      </c>
      <c r="J6093">
        <v>-187.33359999999999</v>
      </c>
      <c r="K6093">
        <v>1.1078429999999999</v>
      </c>
      <c r="L6093">
        <v>110.6099</v>
      </c>
      <c r="M6093">
        <v>8.5979100000000003E-2</v>
      </c>
      <c r="N6093">
        <v>-1.4342560000000001E-2</v>
      </c>
      <c r="O6093">
        <v>0.99619369999999996</v>
      </c>
      <c r="P6093">
        <v>0.1784876</v>
      </c>
      <c r="Q6093">
        <v>0.34888190000000002</v>
      </c>
      <c r="R6093">
        <v>0.92001279999999996</v>
      </c>
      <c r="S6093">
        <v>1.0209809999999999</v>
      </c>
      <c r="T6093">
        <v>-0.45003650000000001</v>
      </c>
      <c r="U6093">
        <v>3.2329560000000002</v>
      </c>
      <c r="V6093">
        <v>0.1015747</v>
      </c>
      <c r="W6093">
        <v>0.36142180000000002</v>
      </c>
      <c r="X6093">
        <v>0.92685320000000004</v>
      </c>
      <c r="Y6093">
        <v>0.21569459999999999</v>
      </c>
      <c r="Z6093">
        <v>-0.1182996</v>
      </c>
      <c r="AA6093">
        <v>0.96926829999999997</v>
      </c>
      <c r="AB6093">
        <v>30</v>
      </c>
      <c r="AC6093">
        <v>0.234399999999993</v>
      </c>
      <c r="AD6093">
        <v>-0.1176664</v>
      </c>
      <c r="AE6093">
        <v>0.50729999999999997</v>
      </c>
      <c r="AF6093">
        <v>0.18184807437975001</v>
      </c>
      <c r="AG6093">
        <v>-0.1176664</v>
      </c>
      <c r="AH6093">
        <v>0.50326484593420395</v>
      </c>
      <c r="AI6093">
        <v>102.401483493697</v>
      </c>
      <c r="AJ6093">
        <v>70.133350620568606</v>
      </c>
      <c r="AK6093">
        <v>0.54789561870648495</v>
      </c>
      <c r="AL6093">
        <v>68.812460576970395</v>
      </c>
      <c r="AM6093">
        <v>83.745860568417399</v>
      </c>
      <c r="AN6093">
        <v>0.99999999577278498</v>
      </c>
    </row>
    <row r="6094" spans="1:40" x14ac:dyDescent="0.25">
      <c r="A6094" t="str">
        <f>"20190304164807749"</f>
        <v>20190304164807749</v>
      </c>
      <c r="B6094" t="str">
        <f>"1551689287745764"</f>
        <v>1551689287745764</v>
      </c>
      <c r="C6094" t="s">
        <v>40</v>
      </c>
      <c r="D6094">
        <v>4.7197930000000001</v>
      </c>
      <c r="E6094">
        <v>0.56700229999999996</v>
      </c>
      <c r="F6094" t="s">
        <v>41</v>
      </c>
      <c r="G6094">
        <v>-187.08969999999999</v>
      </c>
      <c r="H6094">
        <v>0.98616060000000005</v>
      </c>
      <c r="I6094">
        <v>111.3793</v>
      </c>
      <c r="J6094">
        <v>-187.30670000000001</v>
      </c>
      <c r="K6094">
        <v>1.107761</v>
      </c>
      <c r="L6094">
        <v>110.87560000000001</v>
      </c>
      <c r="M6094">
        <v>8.9778029999999995E-2</v>
      </c>
      <c r="N6094">
        <v>-1.434651E-2</v>
      </c>
      <c r="O6094">
        <v>0.99585849999999998</v>
      </c>
      <c r="P6094">
        <v>0.18157480000000001</v>
      </c>
      <c r="Q6094">
        <v>0.34988380000000002</v>
      </c>
      <c r="R6094">
        <v>0.9190277</v>
      </c>
      <c r="S6094">
        <v>1.031296</v>
      </c>
      <c r="T6094">
        <v>-0.51472329999999999</v>
      </c>
      <c r="U6094">
        <v>3.2559360000000002</v>
      </c>
      <c r="V6094">
        <v>0.1012657</v>
      </c>
      <c r="W6094">
        <v>0.36240420000000001</v>
      </c>
      <c r="X6094">
        <v>0.92650339999999998</v>
      </c>
      <c r="Y6094">
        <v>0.21209459999999999</v>
      </c>
      <c r="Z6094">
        <v>-0.1358674</v>
      </c>
      <c r="AA6094">
        <v>0.96775820000000001</v>
      </c>
      <c r="AB6094">
        <v>30</v>
      </c>
      <c r="AC6094">
        <v>0.21700000000001199</v>
      </c>
      <c r="AD6094">
        <v>-0.1216004</v>
      </c>
      <c r="AE6094">
        <v>0.50369999999999404</v>
      </c>
      <c r="AF6094">
        <v>0.162890424619278</v>
      </c>
      <c r="AG6094">
        <v>-0.1216004</v>
      </c>
      <c r="AH6094">
        <v>0.49673138681666801</v>
      </c>
      <c r="AI6094">
        <v>103.09489781255699</v>
      </c>
      <c r="AJ6094">
        <v>71.844411833849406</v>
      </c>
      <c r="AK6094">
        <v>0.53671409368640499</v>
      </c>
      <c r="AL6094">
        <v>68.752081289110194</v>
      </c>
      <c r="AM6094">
        <v>83.762400614550103</v>
      </c>
      <c r="AN6094">
        <v>1.0000000481928399</v>
      </c>
    </row>
    <row r="6095" spans="1:40" x14ac:dyDescent="0.25">
      <c r="A6095" t="str">
        <f>"20190304164807770"</f>
        <v>20190304164807770</v>
      </c>
      <c r="B6095" t="str">
        <f>"1551689287765285"</f>
        <v>1551689287765285</v>
      </c>
      <c r="C6095" t="s">
        <v>40</v>
      </c>
      <c r="D6095">
        <v>4.7671919999999997</v>
      </c>
      <c r="E6095">
        <v>0.56712419999999997</v>
      </c>
      <c r="F6095" t="s">
        <v>41</v>
      </c>
      <c r="G6095">
        <v>-187.06200000000001</v>
      </c>
      <c r="H6095">
        <v>0.98580650000000003</v>
      </c>
      <c r="I6095">
        <v>111.64230000000001</v>
      </c>
      <c r="J6095">
        <v>-187.27699999999999</v>
      </c>
      <c r="K6095">
        <v>1.107669</v>
      </c>
      <c r="L6095">
        <v>111.1567</v>
      </c>
      <c r="M6095">
        <v>9.3906829999999997E-2</v>
      </c>
      <c r="N6095">
        <v>-1.435107E-2</v>
      </c>
      <c r="O6095">
        <v>0.99547759999999996</v>
      </c>
      <c r="P6095">
        <v>0.1851574</v>
      </c>
      <c r="Q6095">
        <v>0.34925309999999998</v>
      </c>
      <c r="R6095">
        <v>0.9185527</v>
      </c>
      <c r="S6095">
        <v>1.0391999999999999</v>
      </c>
      <c r="T6095">
        <v>-0.51785499999999995</v>
      </c>
      <c r="U6095">
        <v>3.2561490000000002</v>
      </c>
      <c r="V6095">
        <v>0.1010873</v>
      </c>
      <c r="W6095">
        <v>0.36176140000000001</v>
      </c>
      <c r="X6095">
        <v>0.92677399999999999</v>
      </c>
      <c r="Y6095">
        <v>0.21012710000000001</v>
      </c>
      <c r="Z6095">
        <v>-0.1366503</v>
      </c>
      <c r="AA6095">
        <v>0.96807710000000002</v>
      </c>
      <c r="AB6095">
        <v>30</v>
      </c>
      <c r="AC6095">
        <v>0.21500000000000299</v>
      </c>
      <c r="AD6095">
        <v>-0.121862499999999</v>
      </c>
      <c r="AE6095">
        <v>0.48560000000000503</v>
      </c>
      <c r="AF6095">
        <v>0.16001808243450999</v>
      </c>
      <c r="AG6095">
        <v>-0.121862499999999</v>
      </c>
      <c r="AH6095">
        <v>0.47845271188628102</v>
      </c>
      <c r="AI6095">
        <v>103.579666619148</v>
      </c>
      <c r="AJ6095">
        <v>71.507534217576605</v>
      </c>
      <c r="AK6095">
        <v>0.51901180441643502</v>
      </c>
      <c r="AL6095">
        <v>68.791590902464094</v>
      </c>
      <c r="AM6095">
        <v>83.775106812703498</v>
      </c>
      <c r="AN6095">
        <v>0.99999999991362398</v>
      </c>
    </row>
    <row r="6096" spans="1:40" x14ac:dyDescent="0.25">
      <c r="A6096" t="str">
        <f>"20190304164807793"</f>
        <v>20190304164807793</v>
      </c>
      <c r="B6096" t="str">
        <f>"1551689287785780"</f>
        <v>1551689287785780</v>
      </c>
      <c r="C6096" t="s">
        <v>40</v>
      </c>
      <c r="D6096">
        <v>4.7556070000000004</v>
      </c>
      <c r="E6096">
        <v>0.56484869999999898</v>
      </c>
      <c r="F6096" t="s">
        <v>41</v>
      </c>
      <c r="G6096">
        <v>-187.03450000000001</v>
      </c>
      <c r="H6096">
        <v>0.98766699999999996</v>
      </c>
      <c r="I6096">
        <v>111.90600000000001</v>
      </c>
      <c r="J6096">
        <v>-187.24289999999999</v>
      </c>
      <c r="K6096">
        <v>1.1075790000000001</v>
      </c>
      <c r="L6096">
        <v>111.46550000000001</v>
      </c>
      <c r="M6096">
        <v>9.8555939999999995E-2</v>
      </c>
      <c r="N6096">
        <v>-1.435589E-2</v>
      </c>
      <c r="O6096">
        <v>0.99502800000000002</v>
      </c>
      <c r="P6096">
        <v>0.1884817</v>
      </c>
      <c r="Q6096">
        <v>0.34831380000000001</v>
      </c>
      <c r="R6096">
        <v>0.91823319999999997</v>
      </c>
      <c r="S6096">
        <v>1.05162</v>
      </c>
      <c r="T6096">
        <v>-0.52065669999999997</v>
      </c>
      <c r="U6096">
        <v>3.2519990000000001</v>
      </c>
      <c r="V6096">
        <v>0.10014439999999999</v>
      </c>
      <c r="W6096">
        <v>0.36081970000000002</v>
      </c>
      <c r="X6096">
        <v>0.92724340000000005</v>
      </c>
      <c r="Y6096">
        <v>0.20923620000000001</v>
      </c>
      <c r="Z6096">
        <v>-0.13746420000000001</v>
      </c>
      <c r="AA6096">
        <v>0.96815479999999998</v>
      </c>
      <c r="AB6096">
        <v>29</v>
      </c>
      <c r="AC6096">
        <v>0.20839999999998299</v>
      </c>
      <c r="AD6096">
        <v>-0.119912</v>
      </c>
      <c r="AE6096">
        <v>0.4405</v>
      </c>
      <c r="AF6096">
        <v>0.154605453686531</v>
      </c>
      <c r="AG6096">
        <v>-0.119912</v>
      </c>
      <c r="AH6096">
        <v>0.432696343374462</v>
      </c>
      <c r="AI6096">
        <v>104.62620188108301</v>
      </c>
      <c r="AJ6096">
        <v>70.337833057964701</v>
      </c>
      <c r="AK6096">
        <v>0.47487667833159403</v>
      </c>
      <c r="AL6096">
        <v>68.849455745584805</v>
      </c>
      <c r="AM6096">
        <v>83.835818509292906</v>
      </c>
      <c r="AN6096">
        <v>1.0000000398015001</v>
      </c>
    </row>
    <row r="6097" spans="1:40" x14ac:dyDescent="0.25">
      <c r="A6097" t="str">
        <f>"20190304164807815"</f>
        <v>20190304164807815</v>
      </c>
      <c r="B6097" t="str">
        <f>"1551689287805892"</f>
        <v>1551689287805892</v>
      </c>
      <c r="C6097" t="s">
        <v>40</v>
      </c>
      <c r="D6097">
        <v>4.691001</v>
      </c>
      <c r="E6097">
        <v>0.5653899</v>
      </c>
      <c r="F6097" t="s">
        <v>41</v>
      </c>
      <c r="G6097">
        <v>-187.01689999999999</v>
      </c>
      <c r="H6097">
        <v>0.98967640000000001</v>
      </c>
      <c r="I6097">
        <v>112.17010000000001</v>
      </c>
      <c r="J6097">
        <v>-187.20920000000001</v>
      </c>
      <c r="K6097">
        <v>1.10751</v>
      </c>
      <c r="L6097">
        <v>111.7568</v>
      </c>
      <c r="M6097">
        <v>0.1030438</v>
      </c>
      <c r="N6097">
        <v>-1.4359729999999999E-2</v>
      </c>
      <c r="O6097">
        <v>0.99457320000000005</v>
      </c>
      <c r="P6097">
        <v>0.19209709999999999</v>
      </c>
      <c r="Q6097">
        <v>0.34820810000000002</v>
      </c>
      <c r="R6097">
        <v>0.91752370000000005</v>
      </c>
      <c r="S6097">
        <v>1.0456540000000001</v>
      </c>
      <c r="T6097">
        <v>-0.54543069999999905</v>
      </c>
      <c r="U6097">
        <v>3.25943</v>
      </c>
      <c r="V6097">
        <v>9.9667130000000007E-2</v>
      </c>
      <c r="W6097">
        <v>0.36070679999999999</v>
      </c>
      <c r="X6097">
        <v>0.92733869999999896</v>
      </c>
      <c r="Y6097">
        <v>0.20227249999999999</v>
      </c>
      <c r="Z6097">
        <v>-0.14422470000000001</v>
      </c>
      <c r="AA6097">
        <v>0.96865120000000005</v>
      </c>
      <c r="AB6097">
        <v>29</v>
      </c>
      <c r="AC6097">
        <v>0.19230000000001701</v>
      </c>
      <c r="AD6097">
        <v>-0.117833599999999</v>
      </c>
      <c r="AE6097">
        <v>0.413300000000006</v>
      </c>
      <c r="AF6097">
        <v>0.139371094828912</v>
      </c>
      <c r="AG6097">
        <v>-0.117833599999999</v>
      </c>
      <c r="AH6097">
        <v>0.40392680733416603</v>
      </c>
      <c r="AI6097">
        <v>105.417060857156</v>
      </c>
      <c r="AJ6097">
        <v>70.963493624051907</v>
      </c>
      <c r="AK6097">
        <v>0.44324476877447999</v>
      </c>
      <c r="AL6097">
        <v>68.856390594644296</v>
      </c>
      <c r="AM6097">
        <v>83.865596986044906</v>
      </c>
      <c r="AN6097">
        <v>0.99999999844318299</v>
      </c>
    </row>
    <row r="6098" spans="1:40" x14ac:dyDescent="0.25">
      <c r="A6098" t="str">
        <f>"20190304164807835"</f>
        <v>20190304164807835</v>
      </c>
      <c r="B6098" t="str">
        <f>"1551689287825408"</f>
        <v>1551689287825408</v>
      </c>
      <c r="C6098" t="s">
        <v>40</v>
      </c>
      <c r="D6098">
        <v>4.6753739999999997</v>
      </c>
      <c r="E6098">
        <v>0.57162029999999997</v>
      </c>
      <c r="F6098" t="s">
        <v>41</v>
      </c>
      <c r="G6098">
        <v>-186.90989999999999</v>
      </c>
      <c r="H6098">
        <v>0.95364990000000005</v>
      </c>
      <c r="I6098">
        <v>112.6733</v>
      </c>
      <c r="J6098">
        <v>-187.17689999999999</v>
      </c>
      <c r="K6098">
        <v>1.107464</v>
      </c>
      <c r="L6098">
        <v>112.02549999999999</v>
      </c>
      <c r="M6098">
        <v>0.1072497</v>
      </c>
      <c r="N6098">
        <v>-1.436251E-2</v>
      </c>
      <c r="O6098">
        <v>0.99412829999999996</v>
      </c>
      <c r="P6098">
        <v>0.19512860000000001</v>
      </c>
      <c r="Q6098">
        <v>0.34836719999999999</v>
      </c>
      <c r="R6098">
        <v>0.91682339999999996</v>
      </c>
      <c r="S6098">
        <v>1.0625610000000001</v>
      </c>
      <c r="T6098">
        <v>-0.54629869999999903</v>
      </c>
      <c r="U6098">
        <v>3.2545320000000002</v>
      </c>
      <c r="V6098">
        <v>9.8855180000000001E-2</v>
      </c>
      <c r="W6098">
        <v>0.36086509999999999</v>
      </c>
      <c r="X6098">
        <v>0.92736410000000002</v>
      </c>
      <c r="Y6098">
        <v>0.20309820000000001</v>
      </c>
      <c r="Z6098">
        <v>-0.1444626</v>
      </c>
      <c r="AA6098">
        <v>0.9684429</v>
      </c>
      <c r="AB6098">
        <v>29</v>
      </c>
      <c r="AC6098">
        <v>0.26699999999999502</v>
      </c>
      <c r="AD6098">
        <v>-0.15381410000000001</v>
      </c>
      <c r="AE6098">
        <v>0.64780000000000304</v>
      </c>
      <c r="AF6098">
        <v>0.186965980759006</v>
      </c>
      <c r="AG6098">
        <v>-0.15381410000000001</v>
      </c>
      <c r="AH6098">
        <v>0.64177347067266499</v>
      </c>
      <c r="AI6098">
        <v>102.95845485010599</v>
      </c>
      <c r="AJ6098">
        <v>73.7577292531182</v>
      </c>
      <c r="AK6098">
        <v>0.68592145540085403</v>
      </c>
      <c r="AL6098">
        <v>68.846667284293801</v>
      </c>
      <c r="AM6098">
        <v>83.915360600343504</v>
      </c>
      <c r="AN6098">
        <v>1.00000007048982</v>
      </c>
    </row>
    <row r="6099" spans="1:40" x14ac:dyDescent="0.25">
      <c r="A6099" t="str">
        <f>"20190304164807858"</f>
        <v>20190304164807858</v>
      </c>
      <c r="B6099" t="str">
        <f>"1551689287845905"</f>
        <v>1551689287845905</v>
      </c>
      <c r="C6099" t="s">
        <v>40</v>
      </c>
      <c r="D6099">
        <v>4.8338409999999996</v>
      </c>
      <c r="E6099">
        <v>0.57289809999999997</v>
      </c>
      <c r="F6099" t="s">
        <v>41</v>
      </c>
      <c r="G6099">
        <v>-186.86340000000001</v>
      </c>
      <c r="H6099">
        <v>0.95048480000000002</v>
      </c>
      <c r="I6099">
        <v>112.93170000000001</v>
      </c>
      <c r="J6099">
        <v>-187.14080000000001</v>
      </c>
      <c r="K6099">
        <v>1.1074299999999999</v>
      </c>
      <c r="L6099">
        <v>112.3142</v>
      </c>
      <c r="M6099">
        <v>0.1118151</v>
      </c>
      <c r="N6099">
        <v>-1.436451E-2</v>
      </c>
      <c r="O6099">
        <v>0.99362519999999999</v>
      </c>
      <c r="P6099">
        <v>0.1983723</v>
      </c>
      <c r="Q6099">
        <v>0.34908050000000002</v>
      </c>
      <c r="R6099">
        <v>0.91585550000000004</v>
      </c>
      <c r="S6099">
        <v>1.1224670000000001</v>
      </c>
      <c r="T6099">
        <v>-0.56229469999999904</v>
      </c>
      <c r="U6099">
        <v>3.246918</v>
      </c>
      <c r="V6099">
        <v>9.7938810000000001E-2</v>
      </c>
      <c r="W6099">
        <v>0.3615778</v>
      </c>
      <c r="X6099">
        <v>0.9271836</v>
      </c>
      <c r="Y6099">
        <v>0.21508769999999999</v>
      </c>
      <c r="Z6099">
        <v>-0.1485735</v>
      </c>
      <c r="AA6099">
        <v>0.96522699999999995</v>
      </c>
      <c r="AB6099">
        <v>29</v>
      </c>
      <c r="AC6099">
        <v>0.27739999999999998</v>
      </c>
      <c r="AD6099">
        <v>-0.15694519999999901</v>
      </c>
      <c r="AE6099">
        <v>0.61750000000000604</v>
      </c>
      <c r="AF6099">
        <v>0.19606824912781601</v>
      </c>
      <c r="AG6099">
        <v>-0.15694519999999901</v>
      </c>
      <c r="AH6099">
        <v>0.61176459346946899</v>
      </c>
      <c r="AI6099">
        <v>103.72870294900601</v>
      </c>
      <c r="AJ6099">
        <v>72.229540916313695</v>
      </c>
      <c r="AK6099">
        <v>0.66130966418309001</v>
      </c>
      <c r="AL6099">
        <v>68.802873596985407</v>
      </c>
      <c r="AM6099">
        <v>83.970181840301294</v>
      </c>
      <c r="AN6099">
        <v>0.99999997203300695</v>
      </c>
    </row>
    <row r="6100" spans="1:40" x14ac:dyDescent="0.25">
      <c r="A6100" t="str">
        <f>"20190304164807881"</f>
        <v>20190304164807881</v>
      </c>
      <c r="B6100" t="str">
        <f>"1551689287875185"</f>
        <v>1551689287875185</v>
      </c>
      <c r="C6100" t="s">
        <v>40</v>
      </c>
      <c r="D6100">
        <v>4.6577599999999997</v>
      </c>
      <c r="E6100">
        <v>0.57337680000000002</v>
      </c>
      <c r="F6100" t="s">
        <v>41</v>
      </c>
      <c r="G6100">
        <v>-186.82990000000001</v>
      </c>
      <c r="H6100">
        <v>0.95402819999999999</v>
      </c>
      <c r="I6100">
        <v>113.1938</v>
      </c>
      <c r="J6100">
        <v>-187.10140000000001</v>
      </c>
      <c r="K6100">
        <v>1.1074109999999999</v>
      </c>
      <c r="L6100">
        <v>112.6168</v>
      </c>
      <c r="M6100">
        <v>0.11663</v>
      </c>
      <c r="N6100">
        <v>-1.436555E-2</v>
      </c>
      <c r="O6100">
        <v>0.99307160000000005</v>
      </c>
      <c r="P6100">
        <v>0.2024339</v>
      </c>
      <c r="Q6100">
        <v>0.34925699999999998</v>
      </c>
      <c r="R6100">
        <v>0.91489900000000002</v>
      </c>
      <c r="S6100">
        <v>1.1459809999999999</v>
      </c>
      <c r="T6100">
        <v>-0.56554629999999995</v>
      </c>
      <c r="U6100">
        <v>3.242966</v>
      </c>
      <c r="V6100">
        <v>9.7583180000000005E-2</v>
      </c>
      <c r="W6100">
        <v>0.3617534</v>
      </c>
      <c r="X6100">
        <v>0.92715259999999999</v>
      </c>
      <c r="Y6100">
        <v>0.21691369999999999</v>
      </c>
      <c r="Z6100">
        <v>-0.14933479999999999</v>
      </c>
      <c r="AA6100">
        <v>0.96470080000000002</v>
      </c>
      <c r="AB6100">
        <v>29</v>
      </c>
      <c r="AC6100">
        <v>0.27150000000000302</v>
      </c>
      <c r="AD6100">
        <v>-0.15338280000000001</v>
      </c>
      <c r="AE6100">
        <v>0.57699999999999796</v>
      </c>
      <c r="AF6100">
        <v>0.191277888692517</v>
      </c>
      <c r="AG6100">
        <v>-0.15338280000000001</v>
      </c>
      <c r="AH6100">
        <v>0.57165646104739198</v>
      </c>
      <c r="AI6100">
        <v>104.27579179945501</v>
      </c>
      <c r="AJ6100">
        <v>71.499611290572503</v>
      </c>
      <c r="AK6100">
        <v>0.62201657815184996</v>
      </c>
      <c r="AL6100">
        <v>68.792081937690298</v>
      </c>
      <c r="AM6100">
        <v>83.991717129236605</v>
      </c>
      <c r="AN6100">
        <v>0.99999997155861498</v>
      </c>
    </row>
    <row r="6101" spans="1:40" x14ac:dyDescent="0.25">
      <c r="A6101" t="str">
        <f>"20190304164807914"</f>
        <v>20190304164807914</v>
      </c>
      <c r="B6101" t="str">
        <f>"1551689287905218"</f>
        <v>1551689287905218</v>
      </c>
      <c r="C6101" t="s">
        <v>40</v>
      </c>
      <c r="D6101">
        <v>4.6714949999999904</v>
      </c>
      <c r="E6101">
        <v>0.57352130000000001</v>
      </c>
      <c r="F6101" t="s">
        <v>41</v>
      </c>
      <c r="G6101">
        <v>-186.79849999999999</v>
      </c>
      <c r="H6101">
        <v>0.96106670000000005</v>
      </c>
      <c r="I6101">
        <v>113.4572</v>
      </c>
      <c r="J6101">
        <v>-187.04159999999999</v>
      </c>
      <c r="K6101">
        <v>1.107394</v>
      </c>
      <c r="L6101">
        <v>113.0577</v>
      </c>
      <c r="M6101">
        <v>0.1236665</v>
      </c>
      <c r="N6101">
        <v>-1.4365660000000001E-2</v>
      </c>
      <c r="O6101">
        <v>0.99221990000000004</v>
      </c>
      <c r="P6101">
        <v>0.21048</v>
      </c>
      <c r="Q6101">
        <v>0.34840650000000001</v>
      </c>
      <c r="R6101">
        <v>0.9134063</v>
      </c>
      <c r="S6101">
        <v>1.1659550000000001</v>
      </c>
      <c r="T6101">
        <v>-0.56333330000000004</v>
      </c>
      <c r="U6101">
        <v>3.2360989999999998</v>
      </c>
      <c r="V6101">
        <v>9.9142729999999998E-2</v>
      </c>
      <c r="W6101">
        <v>0.36088870000000001</v>
      </c>
      <c r="X6101">
        <v>0.92732420000000004</v>
      </c>
      <c r="Y6101">
        <v>0.2159558</v>
      </c>
      <c r="Z6101">
        <v>-0.14870149999999999</v>
      </c>
      <c r="AA6101">
        <v>0.96501340000000002</v>
      </c>
      <c r="AB6101">
        <v>29</v>
      </c>
      <c r="AC6101">
        <v>0.24309999999999801</v>
      </c>
      <c r="AD6101">
        <v>-0.14632729999999999</v>
      </c>
      <c r="AE6101">
        <v>0.39950000000000302</v>
      </c>
      <c r="AF6101">
        <v>0.174717870551439</v>
      </c>
      <c r="AG6101">
        <v>-0.14632729999999999</v>
      </c>
      <c r="AH6101">
        <v>0.38846626054427702</v>
      </c>
      <c r="AI6101">
        <v>108.959267938198</v>
      </c>
      <c r="AJ6101">
        <v>65.783533376254795</v>
      </c>
      <c r="AK6101">
        <v>0.45038211398386302</v>
      </c>
      <c r="AL6101">
        <v>68.845217020346198</v>
      </c>
      <c r="AM6101">
        <v>83.897534364768106</v>
      </c>
      <c r="AN6101">
        <v>1.0000000533025899</v>
      </c>
    </row>
    <row r="6102" spans="1:40" x14ac:dyDescent="0.25">
      <c r="A6102" t="str">
        <f>"20190304164807936"</f>
        <v>20190304164807936</v>
      </c>
      <c r="B6102" t="str">
        <f>"1551689287925700"</f>
        <v>1551689287925700</v>
      </c>
      <c r="C6102" t="s">
        <v>40</v>
      </c>
      <c r="D6102">
        <v>4.6629100000000001</v>
      </c>
      <c r="E6102">
        <v>0.5734979</v>
      </c>
      <c r="F6102" t="s">
        <v>41</v>
      </c>
      <c r="G6102">
        <v>-186.70419999999999</v>
      </c>
      <c r="H6102">
        <v>0.94766030000000001</v>
      </c>
      <c r="I6102">
        <v>113.9676</v>
      </c>
      <c r="J6102">
        <v>-187.00139999999999</v>
      </c>
      <c r="K6102">
        <v>1.1073980000000001</v>
      </c>
      <c r="L6102">
        <v>113.3403</v>
      </c>
      <c r="M6102">
        <v>0.1281776</v>
      </c>
      <c r="N6102">
        <v>-1.4365080000000001E-2</v>
      </c>
      <c r="O6102">
        <v>0.99164719999999995</v>
      </c>
      <c r="P6102">
        <v>0.2152529</v>
      </c>
      <c r="Q6102">
        <v>0.34796450000000001</v>
      </c>
      <c r="R6102">
        <v>0.91246210000000005</v>
      </c>
      <c r="S6102">
        <v>1.195724</v>
      </c>
      <c r="T6102">
        <v>-0.56604140000000003</v>
      </c>
      <c r="U6102">
        <v>3.224777</v>
      </c>
      <c r="V6102">
        <v>9.9751049999999994E-2</v>
      </c>
      <c r="W6102">
        <v>0.3604425</v>
      </c>
      <c r="X6102">
        <v>0.92743240000000005</v>
      </c>
      <c r="Y6102">
        <v>0.2204005</v>
      </c>
      <c r="Z6102">
        <v>-0.1495408</v>
      </c>
      <c r="AA6102">
        <v>0.96387820000000002</v>
      </c>
      <c r="AB6102">
        <v>29</v>
      </c>
      <c r="AC6102">
        <v>0.29720000000000302</v>
      </c>
      <c r="AD6102">
        <v>-0.15973769999999901</v>
      </c>
      <c r="AE6102">
        <v>0.62730000000000496</v>
      </c>
      <c r="AF6102">
        <v>0.203554353289156</v>
      </c>
      <c r="AG6102">
        <v>-0.15973769999999901</v>
      </c>
      <c r="AH6102">
        <v>0.62701818194610603</v>
      </c>
      <c r="AI6102">
        <v>103.620756134549</v>
      </c>
      <c r="AJ6102">
        <v>72.014564868849504</v>
      </c>
      <c r="AK6102">
        <v>0.67830841660357999</v>
      </c>
      <c r="AL6102">
        <v>68.872625217593097</v>
      </c>
      <c r="AM6102">
        <v>83.861086783011899</v>
      </c>
      <c r="AN6102">
        <v>0.99999996217605502</v>
      </c>
    </row>
    <row r="6103" spans="1:40" x14ac:dyDescent="0.25">
      <c r="A6103" t="str">
        <f>"20190304164807957"</f>
        <v>20190304164807957</v>
      </c>
      <c r="B6103" t="str">
        <f>"1551689287945221"</f>
        <v>1551689287945221</v>
      </c>
      <c r="C6103" t="s">
        <v>40</v>
      </c>
      <c r="D6103">
        <v>4.7219499999999996</v>
      </c>
      <c r="E6103">
        <v>0.57342869999999901</v>
      </c>
      <c r="F6103" t="s">
        <v>41</v>
      </c>
      <c r="G6103">
        <v>-186.66679999999999</v>
      </c>
      <c r="H6103">
        <v>0.95049629999999996</v>
      </c>
      <c r="I6103">
        <v>114.2274</v>
      </c>
      <c r="J6103">
        <v>-186.96119999999999</v>
      </c>
      <c r="K6103">
        <v>1.1074029999999999</v>
      </c>
      <c r="L6103">
        <v>113.6146</v>
      </c>
      <c r="M6103">
        <v>0.13255249999999999</v>
      </c>
      <c r="N6103">
        <v>-1.4364180000000001E-2</v>
      </c>
      <c r="O6103">
        <v>0.99107190000000001</v>
      </c>
      <c r="P6103">
        <v>0.22019179999999999</v>
      </c>
      <c r="Q6103">
        <v>0.34871069999999998</v>
      </c>
      <c r="R6103">
        <v>0.91099750000000002</v>
      </c>
      <c r="S6103">
        <v>1.214035</v>
      </c>
      <c r="T6103">
        <v>-0.56917969999999996</v>
      </c>
      <c r="U6103">
        <v>3.2184599999999999</v>
      </c>
      <c r="V6103">
        <v>0.1007281</v>
      </c>
      <c r="W6103">
        <v>0.36117460000000001</v>
      </c>
      <c r="X6103">
        <v>0.92704189999999997</v>
      </c>
      <c r="Y6103">
        <v>0.2214749</v>
      </c>
      <c r="Z6103">
        <v>-0.15041849999999901</v>
      </c>
      <c r="AA6103">
        <v>0.96349530000000005</v>
      </c>
      <c r="AB6103">
        <v>29</v>
      </c>
      <c r="AC6103">
        <v>0.294399999999996</v>
      </c>
      <c r="AD6103">
        <v>-0.15690670000000001</v>
      </c>
      <c r="AE6103">
        <v>0.61280000000000701</v>
      </c>
      <c r="AF6103">
        <v>0.19991619953614501</v>
      </c>
      <c r="AG6103">
        <v>-0.15690670000000001</v>
      </c>
      <c r="AH6103">
        <v>0.61372762806993497</v>
      </c>
      <c r="AI6103">
        <v>103.66302082332599</v>
      </c>
      <c r="AJ6103">
        <v>71.957450974658599</v>
      </c>
      <c r="AK6103">
        <v>0.66426485741623698</v>
      </c>
      <c r="AL6103">
        <v>68.827649418705704</v>
      </c>
      <c r="AM6103">
        <v>83.798831974755004</v>
      </c>
      <c r="AN6103">
        <v>0.99999996308518901</v>
      </c>
    </row>
    <row r="6104" spans="1:40" x14ac:dyDescent="0.25">
      <c r="A6104" t="str">
        <f>"20190304164807981"</f>
        <v>20190304164807981</v>
      </c>
      <c r="B6104" t="str">
        <f>"1551689287975477"</f>
        <v>1551689287975477</v>
      </c>
      <c r="C6104" t="s">
        <v>40</v>
      </c>
      <c r="D6104">
        <v>4.7177360000000004</v>
      </c>
      <c r="E6104">
        <v>0.57685549999999997</v>
      </c>
      <c r="F6104" t="s">
        <v>41</v>
      </c>
      <c r="G6104">
        <v>-186.62719999999999</v>
      </c>
      <c r="H6104">
        <v>0.95335840000000005</v>
      </c>
      <c r="I6104">
        <v>114.4867</v>
      </c>
      <c r="J6104">
        <v>-186.91489999999999</v>
      </c>
      <c r="K6104">
        <v>1.107418</v>
      </c>
      <c r="L6104">
        <v>113.9199</v>
      </c>
      <c r="M6104">
        <v>0.1374167</v>
      </c>
      <c r="N6104">
        <v>-1.436281E-2</v>
      </c>
      <c r="O6104">
        <v>0.99040919999999999</v>
      </c>
      <c r="P6104">
        <v>0.22542229999999999</v>
      </c>
      <c r="Q6104">
        <v>0.34904580000000002</v>
      </c>
      <c r="R6104">
        <v>0.90958879999999998</v>
      </c>
      <c r="S6104">
        <v>1.2305299999999999</v>
      </c>
      <c r="T6104">
        <v>-0.56746019999999997</v>
      </c>
      <c r="U6104">
        <v>3.2128749999999999</v>
      </c>
      <c r="V6104">
        <v>0.1015228</v>
      </c>
      <c r="W6104">
        <v>0.36149920000000002</v>
      </c>
      <c r="X6104">
        <v>0.92682869999999995</v>
      </c>
      <c r="Y6104">
        <v>0.2215926</v>
      </c>
      <c r="Z6104">
        <v>-0.14990719999999999</v>
      </c>
      <c r="AA6104">
        <v>0.96354790000000001</v>
      </c>
      <c r="AB6104">
        <v>29</v>
      </c>
      <c r="AC6104">
        <v>0.28770000000000001</v>
      </c>
      <c r="AD6104">
        <v>-0.15405959999999899</v>
      </c>
      <c r="AE6104">
        <v>0.56679999999999997</v>
      </c>
      <c r="AF6104">
        <v>0.195584946320711</v>
      </c>
      <c r="AG6104">
        <v>-0.15405959999999899</v>
      </c>
      <c r="AH6104">
        <v>0.56761687616020695</v>
      </c>
      <c r="AI6104">
        <v>104.392045475392</v>
      </c>
      <c r="AJ6104">
        <v>70.987477005399498</v>
      </c>
      <c r="AK6104">
        <v>0.61981993327200002</v>
      </c>
      <c r="AL6104">
        <v>68.807704278534899</v>
      </c>
      <c r="AM6104">
        <v>83.748866910975906</v>
      </c>
      <c r="AN6104">
        <v>0.99999999483208402</v>
      </c>
    </row>
    <row r="6105" spans="1:40" x14ac:dyDescent="0.25">
      <c r="A6105" t="str">
        <f>"20190304164808003"</f>
        <v>20190304164808003</v>
      </c>
      <c r="B6105" t="str">
        <f>"1551689287995972"</f>
        <v>1551689287995972</v>
      </c>
      <c r="C6105" t="s">
        <v>40</v>
      </c>
      <c r="D6105">
        <v>4.726871</v>
      </c>
      <c r="E6105">
        <v>0.57663260000000005</v>
      </c>
      <c r="F6105" t="s">
        <v>41</v>
      </c>
      <c r="G6105">
        <v>-186.5787</v>
      </c>
      <c r="H6105">
        <v>0.97606680000000001</v>
      </c>
      <c r="I6105">
        <v>114.7563</v>
      </c>
      <c r="J6105">
        <v>-186.86969999999999</v>
      </c>
      <c r="K6105">
        <v>1.107429</v>
      </c>
      <c r="L6105">
        <v>114.2092</v>
      </c>
      <c r="M6105">
        <v>0.14202219999999999</v>
      </c>
      <c r="N6105">
        <v>-1.4361199999999999E-2</v>
      </c>
      <c r="O6105">
        <v>0.98975930000000001</v>
      </c>
      <c r="P6105">
        <v>0.2297302</v>
      </c>
      <c r="Q6105">
        <v>0.35019869999999997</v>
      </c>
      <c r="R6105">
        <v>0.90806659999999995</v>
      </c>
      <c r="S6105">
        <v>1.2752380000000001</v>
      </c>
      <c r="T6105">
        <v>-0.4982569</v>
      </c>
      <c r="U6105">
        <v>3.1733549999999999</v>
      </c>
      <c r="V6105">
        <v>0.1016716</v>
      </c>
      <c r="W6105">
        <v>0.36264459999999998</v>
      </c>
      <c r="X6105">
        <v>0.92636479999999999</v>
      </c>
      <c r="Y6105">
        <v>0.23379829999999999</v>
      </c>
      <c r="Z6105">
        <v>-0.13131950000000001</v>
      </c>
      <c r="AA6105">
        <v>0.96337609999999996</v>
      </c>
      <c r="AB6105">
        <v>29</v>
      </c>
      <c r="AC6105">
        <v>0.29099999999999598</v>
      </c>
      <c r="AD6105">
        <v>-0.13136219999999901</v>
      </c>
      <c r="AE6105">
        <v>0.54710000000000003</v>
      </c>
      <c r="AF6105">
        <v>0.201295553102913</v>
      </c>
      <c r="AG6105">
        <v>-0.13136219999999901</v>
      </c>
      <c r="AH6105">
        <v>0.55781881682669099</v>
      </c>
      <c r="AI6105">
        <v>102.48997535073499</v>
      </c>
      <c r="AJ6105">
        <v>70.157418662183701</v>
      </c>
      <c r="AK6105">
        <v>0.60740246928521602</v>
      </c>
      <c r="AL6105">
        <v>68.7373005247631</v>
      </c>
      <c r="AM6105">
        <v>83.736667387563202</v>
      </c>
      <c r="AN6105">
        <v>0.999999981417379</v>
      </c>
    </row>
    <row r="6106" spans="1:40" x14ac:dyDescent="0.25">
      <c r="A6106" t="str">
        <f>"20190304164808025"</f>
        <v>20190304164808025</v>
      </c>
      <c r="B6106" t="str">
        <f>"1551689288016086"</f>
        <v>1551689288016086</v>
      </c>
      <c r="C6106" t="s">
        <v>40</v>
      </c>
      <c r="D6106">
        <v>4.733231</v>
      </c>
      <c r="E6106">
        <v>0.57642530000000003</v>
      </c>
      <c r="F6106" t="s">
        <v>41</v>
      </c>
      <c r="G6106">
        <v>-186.542</v>
      </c>
      <c r="H6106">
        <v>0.98012030000000006</v>
      </c>
      <c r="I6106">
        <v>115.0147</v>
      </c>
      <c r="J6106">
        <v>-186.82429999999999</v>
      </c>
      <c r="K6106">
        <v>1.1074329999999999</v>
      </c>
      <c r="L6106">
        <v>114.49169999999999</v>
      </c>
      <c r="M6106">
        <v>0.14651639999999999</v>
      </c>
      <c r="N6106">
        <v>-1.4359459999999999E-2</v>
      </c>
      <c r="O6106">
        <v>0.98910399999999998</v>
      </c>
      <c r="P6106">
        <v>0.23374919999999999</v>
      </c>
      <c r="Q6106">
        <v>0.3514002</v>
      </c>
      <c r="R6106">
        <v>0.90657560000000004</v>
      </c>
      <c r="S6106">
        <v>1.289612</v>
      </c>
      <c r="T6106">
        <v>-0.50099269999999996</v>
      </c>
      <c r="U6106">
        <v>3.1706850000000002</v>
      </c>
      <c r="V6106">
        <v>0.1016378</v>
      </c>
      <c r="W6106">
        <v>0.3638401</v>
      </c>
      <c r="X6106">
        <v>0.92589960000000004</v>
      </c>
      <c r="Y6106">
        <v>0.23338439999999999</v>
      </c>
      <c r="Z6106">
        <v>-0.13197679999999901</v>
      </c>
      <c r="AA6106">
        <v>0.96338670000000004</v>
      </c>
      <c r="AB6106">
        <v>29</v>
      </c>
      <c r="AC6106">
        <v>0.282299999999992</v>
      </c>
      <c r="AD6106">
        <v>-0.127312699999999</v>
      </c>
      <c r="AE6106">
        <v>0.52300000000001001</v>
      </c>
      <c r="AF6106">
        <v>0.193727198642489</v>
      </c>
      <c r="AG6106">
        <v>-0.127312699999999</v>
      </c>
      <c r="AH6106">
        <v>0.53420710237289104</v>
      </c>
      <c r="AI6106">
        <v>102.628219813591</v>
      </c>
      <c r="AJ6106">
        <v>70.067108556372503</v>
      </c>
      <c r="AK6106">
        <v>0.58233665460865303</v>
      </c>
      <c r="AL6106">
        <v>68.663781317876698</v>
      </c>
      <c r="AM6106">
        <v>83.735612201633103</v>
      </c>
      <c r="AN6106">
        <v>0.99999996501850397</v>
      </c>
    </row>
    <row r="6107" spans="1:40" x14ac:dyDescent="0.25">
      <c r="A6107" t="str">
        <f>"20190304164808047"</f>
        <v>20190304164808047</v>
      </c>
      <c r="B6107" t="str">
        <f>"1551689288035610"</f>
        <v>1551689288035610</v>
      </c>
      <c r="C6107" t="s">
        <v>40</v>
      </c>
      <c r="D6107">
        <v>4.6691149999999997</v>
      </c>
      <c r="E6107">
        <v>0.57243940000000004</v>
      </c>
      <c r="F6107" t="s">
        <v>41</v>
      </c>
      <c r="G6107">
        <v>-186.50299999999999</v>
      </c>
      <c r="H6107">
        <v>0.983958</v>
      </c>
      <c r="I6107">
        <v>115.2728</v>
      </c>
      <c r="J6107">
        <v>-186.77760000000001</v>
      </c>
      <c r="K6107">
        <v>1.107445</v>
      </c>
      <c r="L6107">
        <v>114.77379999999999</v>
      </c>
      <c r="M6107">
        <v>0.1510049</v>
      </c>
      <c r="N6107">
        <v>-1.435757E-2</v>
      </c>
      <c r="O6107">
        <v>0.9884288</v>
      </c>
      <c r="P6107">
        <v>0.2373912</v>
      </c>
      <c r="Q6107">
        <v>0.35239160000000003</v>
      </c>
      <c r="R6107">
        <v>0.90524340000000003</v>
      </c>
      <c r="S6107">
        <v>1.3021849999999999</v>
      </c>
      <c r="T6107">
        <v>-0.50055430000000001</v>
      </c>
      <c r="U6107">
        <v>3.1674349999999998</v>
      </c>
      <c r="V6107">
        <v>0.1012134</v>
      </c>
      <c r="W6107">
        <v>0.36483080000000001</v>
      </c>
      <c r="X6107">
        <v>0.92555620000000005</v>
      </c>
      <c r="Y6107">
        <v>0.23260500000000001</v>
      </c>
      <c r="Z6107">
        <v>-0.1317682</v>
      </c>
      <c r="AA6107">
        <v>0.96360369999999995</v>
      </c>
      <c r="AB6107">
        <v>29</v>
      </c>
      <c r="AC6107">
        <v>0.27460000000001999</v>
      </c>
      <c r="AD6107">
        <v>-0.123487</v>
      </c>
      <c r="AE6107">
        <v>0.49900000000000899</v>
      </c>
      <c r="AF6107">
        <v>0.18728765896990501</v>
      </c>
      <c r="AG6107">
        <v>-0.123487</v>
      </c>
      <c r="AH6107">
        <v>0.51073919425177905</v>
      </c>
      <c r="AI6107">
        <v>102.789406879539</v>
      </c>
      <c r="AJ6107">
        <v>69.862052976714196</v>
      </c>
      <c r="AK6107">
        <v>0.55783530805819803</v>
      </c>
      <c r="AL6107">
        <v>68.602829154881604</v>
      </c>
      <c r="AM6107">
        <v>83.759266855329102</v>
      </c>
      <c r="AN6107">
        <v>0.99999997216331904</v>
      </c>
    </row>
    <row r="6108" spans="1:40" x14ac:dyDescent="0.25">
      <c r="A6108" t="str">
        <f>"20190304164808069"</f>
        <v>20190304164808069</v>
      </c>
      <c r="B6108" t="str">
        <f>"1551689288065862"</f>
        <v>1551689288065862</v>
      </c>
      <c r="C6108" t="s">
        <v>40</v>
      </c>
      <c r="D6108">
        <v>4.6905710000000003</v>
      </c>
      <c r="E6108">
        <v>0.56986590000000004</v>
      </c>
      <c r="F6108" t="s">
        <v>41</v>
      </c>
      <c r="G6108">
        <v>-186.4768</v>
      </c>
      <c r="H6108">
        <v>0.97123870000000001</v>
      </c>
      <c r="I6108">
        <v>115.5243</v>
      </c>
      <c r="J6108">
        <v>-186.72900000000001</v>
      </c>
      <c r="K6108">
        <v>1.107456</v>
      </c>
      <c r="L6108">
        <v>115.059</v>
      </c>
      <c r="M6108">
        <v>0.1555436</v>
      </c>
      <c r="N6108">
        <v>-1.435549E-2</v>
      </c>
      <c r="O6108">
        <v>0.98772470000000001</v>
      </c>
      <c r="P6108">
        <v>0.2405583</v>
      </c>
      <c r="Q6108">
        <v>0.3527247</v>
      </c>
      <c r="R6108">
        <v>0.90427709999999994</v>
      </c>
      <c r="S6108">
        <v>1.2835240000000001</v>
      </c>
      <c r="T6108">
        <v>-0.58131279999999996</v>
      </c>
      <c r="U6108">
        <v>3.203735</v>
      </c>
      <c r="V6108">
        <v>0.1002112</v>
      </c>
      <c r="W6108">
        <v>0.3651722</v>
      </c>
      <c r="X6108">
        <v>0.92553070000000004</v>
      </c>
      <c r="Y6108">
        <v>0.21826760000000001</v>
      </c>
      <c r="Z6108">
        <v>-0.15321779999999999</v>
      </c>
      <c r="AA6108">
        <v>0.96378609999999998</v>
      </c>
      <c r="AB6108">
        <v>29</v>
      </c>
      <c r="AC6108">
        <v>0.25220000000001602</v>
      </c>
      <c r="AD6108">
        <v>-0.13621730000000001</v>
      </c>
      <c r="AE6108">
        <v>0.46529999999999899</v>
      </c>
      <c r="AF6108">
        <v>0.165767098620617</v>
      </c>
      <c r="AG6108">
        <v>-0.13621730000000001</v>
      </c>
      <c r="AH6108">
        <v>0.46787456825192902</v>
      </c>
      <c r="AI6108">
        <v>105.34565705851</v>
      </c>
      <c r="AJ6108">
        <v>70.490857454953499</v>
      </c>
      <c r="AK6108">
        <v>0.51472370784850796</v>
      </c>
      <c r="AL6108">
        <v>68.581820521096404</v>
      </c>
      <c r="AM6108">
        <v>83.8204122875336</v>
      </c>
      <c r="AN6108">
        <v>1.0000000484503799</v>
      </c>
    </row>
    <row r="6109" spans="1:40" x14ac:dyDescent="0.25">
      <c r="A6109" t="str">
        <f>"20190304164808093"</f>
        <v>20190304164808093</v>
      </c>
      <c r="B6109" t="str">
        <f>"1551689288085382"</f>
        <v>1551689288085382</v>
      </c>
      <c r="C6109" t="s">
        <v>40</v>
      </c>
      <c r="D6109">
        <v>4.6844760000000001</v>
      </c>
      <c r="E6109">
        <v>0.55714540000000001</v>
      </c>
      <c r="F6109" t="s">
        <v>41</v>
      </c>
      <c r="G6109">
        <v>-186.44040000000001</v>
      </c>
      <c r="H6109">
        <v>0.97726809999999997</v>
      </c>
      <c r="I6109">
        <v>115.7838</v>
      </c>
      <c r="J6109">
        <v>-186.67769999999999</v>
      </c>
      <c r="K6109">
        <v>1.1074710000000001</v>
      </c>
      <c r="L6109">
        <v>115.35209999999999</v>
      </c>
      <c r="M6109">
        <v>0.16020899999999999</v>
      </c>
      <c r="N6109">
        <v>-1.435316E-2</v>
      </c>
      <c r="O6109">
        <v>0.98697880000000004</v>
      </c>
      <c r="P6109">
        <v>0.2433555</v>
      </c>
      <c r="Q6109">
        <v>0.35340890000000003</v>
      </c>
      <c r="R6109">
        <v>0.90326090000000003</v>
      </c>
      <c r="S6109">
        <v>1.2749790000000001</v>
      </c>
      <c r="T6109">
        <v>-0.57515609999999995</v>
      </c>
      <c r="U6109">
        <v>3.202744</v>
      </c>
      <c r="V6109">
        <v>9.8734039999999995E-2</v>
      </c>
      <c r="W6109">
        <v>0.36586819999999998</v>
      </c>
      <c r="X6109">
        <v>0.92541459999999998</v>
      </c>
      <c r="Y6109">
        <v>0.211643</v>
      </c>
      <c r="Z6109">
        <v>-0.15156900000000001</v>
      </c>
      <c r="AA6109">
        <v>0.96552269999999896</v>
      </c>
      <c r="AB6109">
        <v>29</v>
      </c>
      <c r="AC6109">
        <v>0.237299999999976</v>
      </c>
      <c r="AD6109">
        <v>-0.13020289999999901</v>
      </c>
      <c r="AE6109">
        <v>0.43170000000000602</v>
      </c>
      <c r="AF6109">
        <v>0.154286727298418</v>
      </c>
      <c r="AG6109">
        <v>-0.13020289999999901</v>
      </c>
      <c r="AH6109">
        <v>0.43383726987978499</v>
      </c>
      <c r="AI6109">
        <v>105.78930315119</v>
      </c>
      <c r="AJ6109">
        <v>70.422949385994002</v>
      </c>
      <c r="AK6109">
        <v>0.478510152583633</v>
      </c>
      <c r="AL6109">
        <v>68.538978509494001</v>
      </c>
      <c r="AM6109">
        <v>83.9100547140782</v>
      </c>
      <c r="AN6109">
        <v>1.0000000661595501</v>
      </c>
    </row>
    <row r="6110" spans="1:40" x14ac:dyDescent="0.25">
      <c r="A6110" t="str">
        <f>"20190304164808115"</f>
        <v>20190304164808115</v>
      </c>
      <c r="B6110" t="str">
        <f>"1551689288105882"</f>
        <v>1551689288105882</v>
      </c>
      <c r="C6110" t="s">
        <v>40</v>
      </c>
      <c r="D6110">
        <v>4.7410690000000004</v>
      </c>
      <c r="E6110">
        <v>0.55615389999999998</v>
      </c>
      <c r="F6110" t="s">
        <v>41</v>
      </c>
      <c r="G6110">
        <v>-186.41929999999999</v>
      </c>
      <c r="H6110">
        <v>0.99259509999999995</v>
      </c>
      <c r="I6110">
        <v>116.0497</v>
      </c>
      <c r="J6110">
        <v>-186.62620000000001</v>
      </c>
      <c r="K6110">
        <v>1.1074850000000001</v>
      </c>
      <c r="L6110">
        <v>115.6379</v>
      </c>
      <c r="M6110">
        <v>0.16475870000000001</v>
      </c>
      <c r="N6110">
        <v>-1.4350750000000001E-2</v>
      </c>
      <c r="O6110">
        <v>0.98622949999999998</v>
      </c>
      <c r="P6110">
        <v>0.24635360000000001</v>
      </c>
      <c r="Q6110">
        <v>0.35326400000000002</v>
      </c>
      <c r="R6110">
        <v>0.90250459999999999</v>
      </c>
      <c r="S6110">
        <v>1.187073</v>
      </c>
      <c r="T6110">
        <v>-0.52803359999999899</v>
      </c>
      <c r="U6110">
        <v>3.2080690000000001</v>
      </c>
      <c r="V6110">
        <v>9.7513820000000001E-2</v>
      </c>
      <c r="W6110">
        <v>0.36573630000000001</v>
      </c>
      <c r="X6110">
        <v>0.92559599999999997</v>
      </c>
      <c r="Y6110">
        <v>0.18413009999999999</v>
      </c>
      <c r="Z6110">
        <v>-0.1390583</v>
      </c>
      <c r="AA6110">
        <v>0.97301539999999997</v>
      </c>
      <c r="AB6110">
        <v>29</v>
      </c>
      <c r="AC6110">
        <v>0.20690000000001799</v>
      </c>
      <c r="AD6110">
        <v>-0.1148899</v>
      </c>
      <c r="AE6110">
        <v>0.411799999999999</v>
      </c>
      <c r="AF6110">
        <v>0.128246830426446</v>
      </c>
      <c r="AG6110">
        <v>-0.1148899</v>
      </c>
      <c r="AH6110">
        <v>0.41450220783680197</v>
      </c>
      <c r="AI6110">
        <v>104.831049737238</v>
      </c>
      <c r="AJ6110">
        <v>72.807951830419199</v>
      </c>
      <c r="AK6110">
        <v>0.44884186406575699</v>
      </c>
      <c r="AL6110">
        <v>68.547096456185002</v>
      </c>
      <c r="AM6110">
        <v>83.985933257084</v>
      </c>
      <c r="AN6110">
        <v>0.99999997072234004</v>
      </c>
    </row>
    <row r="6111" spans="1:40" x14ac:dyDescent="0.25">
      <c r="A6111" t="str">
        <f>"20190304164808137"</f>
        <v>20190304164808137</v>
      </c>
      <c r="B6111" t="str">
        <f>"1551689288125398"</f>
        <v>1551689288125398</v>
      </c>
      <c r="C6111" t="s">
        <v>40</v>
      </c>
      <c r="D6111">
        <v>4.6838300000000004</v>
      </c>
      <c r="E6111">
        <v>0.55629649999999997</v>
      </c>
      <c r="F6111" t="s">
        <v>41</v>
      </c>
      <c r="G6111">
        <v>-186.29239999999999</v>
      </c>
      <c r="H6111">
        <v>0.95725850000000001</v>
      </c>
      <c r="I6111">
        <v>116.5373</v>
      </c>
      <c r="J6111">
        <v>-186.57490000000001</v>
      </c>
      <c r="K6111">
        <v>1.1074980000000001</v>
      </c>
      <c r="L6111">
        <v>115.91540000000001</v>
      </c>
      <c r="M6111">
        <v>0.16917850000000001</v>
      </c>
      <c r="N6111">
        <v>-1.434823E-2</v>
      </c>
      <c r="O6111">
        <v>0.98548100000000005</v>
      </c>
      <c r="P6111">
        <v>0.24934319999999999</v>
      </c>
      <c r="Q6111">
        <v>0.3533171</v>
      </c>
      <c r="R6111">
        <v>0.90166230000000003</v>
      </c>
      <c r="S6111">
        <v>1.1907650000000001</v>
      </c>
      <c r="T6111">
        <v>-0.53584809999999905</v>
      </c>
      <c r="U6111">
        <v>3.208771</v>
      </c>
      <c r="V6111">
        <v>9.6421499999999993E-2</v>
      </c>
      <c r="W6111">
        <v>0.36580030000000002</v>
      </c>
      <c r="X6111">
        <v>0.92568519999999999</v>
      </c>
      <c r="Y6111">
        <v>0.1805377</v>
      </c>
      <c r="Z6111">
        <v>-0.14110130000000001</v>
      </c>
      <c r="AA6111">
        <v>0.97339430000000005</v>
      </c>
      <c r="AB6111">
        <v>29</v>
      </c>
      <c r="AC6111">
        <v>0.28250000000002701</v>
      </c>
      <c r="AD6111">
        <v>-0.150239499999999</v>
      </c>
      <c r="AE6111">
        <v>0.62189999999999601</v>
      </c>
      <c r="AF6111">
        <v>0.16521136827949401</v>
      </c>
      <c r="AG6111">
        <v>-0.150239499999999</v>
      </c>
      <c r="AH6111">
        <v>0.63024123467442605</v>
      </c>
      <c r="AI6111">
        <v>102.98502307825601</v>
      </c>
      <c r="AJ6111">
        <v>75.311000483202207</v>
      </c>
      <c r="AK6111">
        <v>0.66863347018600405</v>
      </c>
      <c r="AL6111">
        <v>68.543157785980398</v>
      </c>
      <c r="AM6111">
        <v>84.053384421968602</v>
      </c>
      <c r="AN6111">
        <v>1.0000000273206799</v>
      </c>
    </row>
    <row r="6112" spans="1:40" x14ac:dyDescent="0.25">
      <c r="A6112" t="str">
        <f>"20190304164808161"</f>
        <v>20190304164808161</v>
      </c>
      <c r="B6112" t="str">
        <f>"1551689288155655"</f>
        <v>1551689288155655</v>
      </c>
      <c r="C6112" t="s">
        <v>40</v>
      </c>
      <c r="D6112">
        <v>4.768815</v>
      </c>
      <c r="E6112">
        <v>0.55635069999999998</v>
      </c>
      <c r="F6112" t="s">
        <v>41</v>
      </c>
      <c r="G6112">
        <v>-186.24549999999999</v>
      </c>
      <c r="H6112">
        <v>0.96053860000000002</v>
      </c>
      <c r="I6112">
        <v>116.7928</v>
      </c>
      <c r="J6112">
        <v>-186.51689999999999</v>
      </c>
      <c r="K6112">
        <v>1.107505</v>
      </c>
      <c r="L6112">
        <v>116.2209</v>
      </c>
      <c r="M6112">
        <v>0.17404459999999999</v>
      </c>
      <c r="N6112">
        <v>-1.434532E-2</v>
      </c>
      <c r="O6112">
        <v>0.98463330000000004</v>
      </c>
      <c r="P6112">
        <v>0.25354409999999999</v>
      </c>
      <c r="Q6112">
        <v>0.35341479999999997</v>
      </c>
      <c r="R6112">
        <v>0.90045180000000002</v>
      </c>
      <c r="S6112">
        <v>1.2030639999999999</v>
      </c>
      <c r="T6112">
        <v>-0.53672949999999997</v>
      </c>
      <c r="U6112">
        <v>3.2048030000000001</v>
      </c>
      <c r="V6112">
        <v>9.6161280000000002E-2</v>
      </c>
      <c r="W6112">
        <v>0.36590010000000001</v>
      </c>
      <c r="X6112">
        <v>0.92567279999999996</v>
      </c>
      <c r="Y6112">
        <v>0.17934330000000001</v>
      </c>
      <c r="Z6112">
        <v>-0.1412667</v>
      </c>
      <c r="AA6112">
        <v>0.97359110000000004</v>
      </c>
      <c r="AB6112">
        <v>29</v>
      </c>
      <c r="AC6112">
        <v>0.27139999999999898</v>
      </c>
      <c r="AD6112">
        <v>-0.146966399999999</v>
      </c>
      <c r="AE6112">
        <v>0.57189999999999896</v>
      </c>
      <c r="AF6112">
        <v>0.15913337257194901</v>
      </c>
      <c r="AG6112">
        <v>-0.146966399999999</v>
      </c>
      <c r="AH6112">
        <v>0.57919197288212998</v>
      </c>
      <c r="AI6112">
        <v>103.74882880629499</v>
      </c>
      <c r="AJ6112">
        <v>74.637031689065097</v>
      </c>
      <c r="AK6112">
        <v>0.61837358808909104</v>
      </c>
      <c r="AL6112">
        <v>68.537013192769194</v>
      </c>
      <c r="AM6112">
        <v>84.069239583847704</v>
      </c>
      <c r="AN6112">
        <v>1.0000000038055401</v>
      </c>
    </row>
    <row r="6113" spans="1:40" x14ac:dyDescent="0.25">
      <c r="A6113" t="str">
        <f>"20190304164808182"</f>
        <v>20190304164808182</v>
      </c>
      <c r="B6113" t="str">
        <f>"1551689288175174"</f>
        <v>1551689288175174</v>
      </c>
      <c r="C6113" t="s">
        <v>40</v>
      </c>
      <c r="D6113">
        <v>4.7368560000000004</v>
      </c>
      <c r="E6113">
        <v>0.55632419999999905</v>
      </c>
      <c r="F6113" t="s">
        <v>41</v>
      </c>
      <c r="G6113">
        <v>-186.2013</v>
      </c>
      <c r="H6113">
        <v>0.96788350000000001</v>
      </c>
      <c r="I6113">
        <v>117.0502</v>
      </c>
      <c r="J6113">
        <v>-186.46340000000001</v>
      </c>
      <c r="K6113">
        <v>1.1075140000000001</v>
      </c>
      <c r="L6113">
        <v>116.4958</v>
      </c>
      <c r="M6113">
        <v>0.1784239</v>
      </c>
      <c r="N6113">
        <v>-1.4342580000000001E-2</v>
      </c>
      <c r="O6113">
        <v>0.98384919999999998</v>
      </c>
      <c r="P6113">
        <v>0.25755610000000001</v>
      </c>
      <c r="Q6113">
        <v>0.35439039999999999</v>
      </c>
      <c r="R6113">
        <v>0.89892839999999996</v>
      </c>
      <c r="S6113">
        <v>1.2170719999999999</v>
      </c>
      <c r="T6113">
        <v>-0.53857369999999904</v>
      </c>
      <c r="U6113">
        <v>3.2003629999999998</v>
      </c>
      <c r="V6113">
        <v>9.6238770000000001E-2</v>
      </c>
      <c r="W6113">
        <v>0.3668691</v>
      </c>
      <c r="X6113">
        <v>0.92528120000000003</v>
      </c>
      <c r="Y6113">
        <v>0.1791161</v>
      </c>
      <c r="Z6113">
        <v>-0.14170969999999999</v>
      </c>
      <c r="AA6113">
        <v>0.97356860000000001</v>
      </c>
      <c r="AB6113">
        <v>29</v>
      </c>
      <c r="AC6113">
        <v>0.262100000000003</v>
      </c>
      <c r="AD6113">
        <v>-0.13963049999999999</v>
      </c>
      <c r="AE6113">
        <v>0.554400000000001</v>
      </c>
      <c r="AF6113">
        <v>0.15112966880107501</v>
      </c>
      <c r="AG6113">
        <v>-0.13963049999999999</v>
      </c>
      <c r="AH6113">
        <v>0.56307888580598697</v>
      </c>
      <c r="AI6113">
        <v>103.468656476802</v>
      </c>
      <c r="AJ6113">
        <v>74.975970421441303</v>
      </c>
      <c r="AK6113">
        <v>0.59949535858310399</v>
      </c>
      <c r="AL6113">
        <v>68.477345877176404</v>
      </c>
      <c r="AM6113">
        <v>84.0620003876612</v>
      </c>
      <c r="AN6113">
        <v>1.0000000682296699</v>
      </c>
    </row>
    <row r="6114" spans="1:40" x14ac:dyDescent="0.25">
      <c r="A6114" t="str">
        <f>"20190304164808205"</f>
        <v>20190304164808205</v>
      </c>
      <c r="B6114" t="str">
        <f>"1551689288195670"</f>
        <v>1551689288195670</v>
      </c>
      <c r="C6114" t="s">
        <v>40</v>
      </c>
      <c r="D6114">
        <v>4.7673819999999996</v>
      </c>
      <c r="E6114">
        <v>0.55615680000000001</v>
      </c>
      <c r="F6114" t="s">
        <v>41</v>
      </c>
      <c r="G6114">
        <v>-186.15199999999999</v>
      </c>
      <c r="H6114">
        <v>0.97081450000000002</v>
      </c>
      <c r="I6114">
        <v>117.3045</v>
      </c>
      <c r="J6114">
        <v>-186.40649999999999</v>
      </c>
      <c r="K6114">
        <v>1.1075219999999999</v>
      </c>
      <c r="L6114">
        <v>116.78149999999999</v>
      </c>
      <c r="M6114">
        <v>0.18297759999999999</v>
      </c>
      <c r="N6114">
        <v>-1.43397E-2</v>
      </c>
      <c r="O6114">
        <v>0.98301249999999996</v>
      </c>
      <c r="P6114">
        <v>0.2620189</v>
      </c>
      <c r="Q6114">
        <v>0.35502590000000001</v>
      </c>
      <c r="R6114">
        <v>0.89738660000000003</v>
      </c>
      <c r="S6114">
        <v>1.2310030000000001</v>
      </c>
      <c r="T6114">
        <v>-0.54038940000000002</v>
      </c>
      <c r="U6114">
        <v>3.1976779999999998</v>
      </c>
      <c r="V6114">
        <v>9.6596399999999999E-2</v>
      </c>
      <c r="W6114">
        <v>0.36749670000000001</v>
      </c>
      <c r="X6114">
        <v>0.92499480000000001</v>
      </c>
      <c r="Y6114">
        <v>0.17851410000000001</v>
      </c>
      <c r="Z6114">
        <v>-0.14205870000000001</v>
      </c>
      <c r="AA6114">
        <v>0.9736283</v>
      </c>
      <c r="AB6114">
        <v>29</v>
      </c>
      <c r="AC6114">
        <v>0.25449999999997802</v>
      </c>
      <c r="AD6114">
        <v>-0.13670749999999901</v>
      </c>
      <c r="AE6114">
        <v>0.52300000000001001</v>
      </c>
      <c r="AF6114">
        <v>0.146407189706106</v>
      </c>
      <c r="AG6114">
        <v>-0.13670749999999901</v>
      </c>
      <c r="AH6114">
        <v>0.53138524313093105</v>
      </c>
      <c r="AI6114">
        <v>103.92966605950301</v>
      </c>
      <c r="AJ6114">
        <v>74.5960606354449</v>
      </c>
      <c r="AK6114">
        <v>0.56788580046626302</v>
      </c>
      <c r="AL6114">
        <v>68.438685889796204</v>
      </c>
      <c r="AM6114">
        <v>84.038260865023403</v>
      </c>
      <c r="AN6114">
        <v>1.0000000345154401</v>
      </c>
    </row>
    <row r="6115" spans="1:40" x14ac:dyDescent="0.25">
      <c r="A6115" t="str">
        <f>"20190304164808225"</f>
        <v>20190304164808225</v>
      </c>
      <c r="B6115" t="str">
        <f>"1551689288215191"</f>
        <v>1551689288215191</v>
      </c>
      <c r="C6115" t="s">
        <v>40</v>
      </c>
      <c r="D6115">
        <v>4.7677440000000004</v>
      </c>
      <c r="E6115">
        <v>0.55605780000000005</v>
      </c>
      <c r="F6115" t="s">
        <v>41</v>
      </c>
      <c r="G6115">
        <v>-186.10310000000001</v>
      </c>
      <c r="H6115">
        <v>0.9749987</v>
      </c>
      <c r="I6115">
        <v>117.5592</v>
      </c>
      <c r="J6115">
        <v>-186.35290000000001</v>
      </c>
      <c r="K6115">
        <v>1.1075410000000001</v>
      </c>
      <c r="L6115">
        <v>117.0446</v>
      </c>
      <c r="M6115">
        <v>0.18717039999999999</v>
      </c>
      <c r="N6115">
        <v>-1.43369E-2</v>
      </c>
      <c r="O6115">
        <v>0.98222290000000001</v>
      </c>
      <c r="P6115">
        <v>0.26633279999999998</v>
      </c>
      <c r="Q6115">
        <v>0.3548907</v>
      </c>
      <c r="R6115">
        <v>0.89616929999999995</v>
      </c>
      <c r="S6115">
        <v>1.2459260000000001</v>
      </c>
      <c r="T6115">
        <v>-0.54423480000000002</v>
      </c>
      <c r="U6115">
        <v>3.1945649999999999</v>
      </c>
      <c r="V6115">
        <v>9.7082970000000005E-2</v>
      </c>
      <c r="W6115">
        <v>0.36735659999999998</v>
      </c>
      <c r="X6115">
        <v>0.92499949999999997</v>
      </c>
      <c r="Y6115">
        <v>0.17853740000000001</v>
      </c>
      <c r="Z6115">
        <v>-0.14298810000000001</v>
      </c>
      <c r="AA6115">
        <v>0.97348800000000002</v>
      </c>
      <c r="AB6115">
        <v>29</v>
      </c>
      <c r="AC6115">
        <v>0.249799999999993</v>
      </c>
      <c r="AD6115">
        <v>-0.132542299999999</v>
      </c>
      <c r="AE6115">
        <v>0.51460000000000095</v>
      </c>
      <c r="AF6115">
        <v>0.141461880389713</v>
      </c>
      <c r="AG6115">
        <v>-0.132542299999999</v>
      </c>
      <c r="AH6115">
        <v>0.52412453460905395</v>
      </c>
      <c r="AI6115">
        <v>103.720179302649</v>
      </c>
      <c r="AJ6115">
        <v>74.895697167828402</v>
      </c>
      <c r="AK6115">
        <v>0.55882506446279001</v>
      </c>
      <c r="AL6115">
        <v>68.447316514615807</v>
      </c>
      <c r="AM6115">
        <v>84.008478854827203</v>
      </c>
      <c r="AN6115">
        <v>1.00000002481391</v>
      </c>
    </row>
    <row r="6116" spans="1:40" x14ac:dyDescent="0.25">
      <c r="A6116" t="str">
        <f>"20190304164808247"</f>
        <v>20190304164808247</v>
      </c>
      <c r="B6116" t="str">
        <f>"1551689288235687"</f>
        <v>1551689288235687</v>
      </c>
      <c r="C6116" t="s">
        <v>40</v>
      </c>
      <c r="D6116">
        <v>4.8256189999999997</v>
      </c>
      <c r="E6116">
        <v>0.55603059999999904</v>
      </c>
      <c r="F6116" t="s">
        <v>41</v>
      </c>
      <c r="G6116">
        <v>-186.04990000000001</v>
      </c>
      <c r="H6116">
        <v>0.97556830000000005</v>
      </c>
      <c r="I6116">
        <v>117.81100000000001</v>
      </c>
      <c r="J6116">
        <v>-186.29589999999999</v>
      </c>
      <c r="K6116">
        <v>1.1075539999999999</v>
      </c>
      <c r="L6116">
        <v>117.3176</v>
      </c>
      <c r="M6116">
        <v>0.19152240000000001</v>
      </c>
      <c r="N6116">
        <v>-1.433391E-2</v>
      </c>
      <c r="O6116">
        <v>0.98138360000000002</v>
      </c>
      <c r="P6116">
        <v>0.27098699999999998</v>
      </c>
      <c r="Q6116">
        <v>0.35465790000000003</v>
      </c>
      <c r="R6116">
        <v>0.89486529999999997</v>
      </c>
      <c r="S6116">
        <v>1.2609410000000001</v>
      </c>
      <c r="T6116">
        <v>-0.54929689999999998</v>
      </c>
      <c r="U6116">
        <v>3.190369</v>
      </c>
      <c r="V6116">
        <v>9.776609E-2</v>
      </c>
      <c r="W6116">
        <v>0.36711749999999999</v>
      </c>
      <c r="X6116">
        <v>0.92502249999999997</v>
      </c>
      <c r="Y6116">
        <v>0.1785062</v>
      </c>
      <c r="Z6116">
        <v>-0.14429259999999999</v>
      </c>
      <c r="AA6116">
        <v>0.97330119999999998</v>
      </c>
      <c r="AB6116">
        <v>29</v>
      </c>
      <c r="AC6116">
        <v>0.24599999999998001</v>
      </c>
      <c r="AD6116">
        <v>-0.13198570000000001</v>
      </c>
      <c r="AE6116">
        <v>0.493400000000008</v>
      </c>
      <c r="AF6116">
        <v>0.13897358997228601</v>
      </c>
      <c r="AG6116">
        <v>-0.13198570000000001</v>
      </c>
      <c r="AH6116">
        <v>0.50258037299730396</v>
      </c>
      <c r="AI6116">
        <v>104.20421828587099</v>
      </c>
      <c r="AJ6116">
        <v>74.542806855188005</v>
      </c>
      <c r="AK6116">
        <v>0.53788559660617796</v>
      </c>
      <c r="AL6116">
        <v>68.462045543574703</v>
      </c>
      <c r="AM6116">
        <v>83.966778582773799</v>
      </c>
      <c r="AN6116">
        <v>1.00000004633319</v>
      </c>
    </row>
    <row r="6117" spans="1:40" x14ac:dyDescent="0.25">
      <c r="A6117" t="str">
        <f>"20190304164808270"</f>
        <v>20190304164808270</v>
      </c>
      <c r="B6117" t="str">
        <f>"1551689288265942"</f>
        <v>1551689288265942</v>
      </c>
      <c r="C6117" t="s">
        <v>40</v>
      </c>
      <c r="D6117">
        <v>4.8124339999999997</v>
      </c>
      <c r="E6117">
        <v>0.55591990000000002</v>
      </c>
      <c r="F6117" t="s">
        <v>41</v>
      </c>
      <c r="G6117">
        <v>-185.99629999999999</v>
      </c>
      <c r="H6117">
        <v>0.97805940000000002</v>
      </c>
      <c r="I6117">
        <v>118.0634</v>
      </c>
      <c r="J6117">
        <v>-186.23349999999999</v>
      </c>
      <c r="K6117">
        <v>1.107569</v>
      </c>
      <c r="L6117">
        <v>117.61060000000001</v>
      </c>
      <c r="M6117">
        <v>0.19618949999999999</v>
      </c>
      <c r="N6117">
        <v>-1.4330590000000001E-2</v>
      </c>
      <c r="O6117">
        <v>0.98046129999999998</v>
      </c>
      <c r="P6117">
        <v>0.27585130000000002</v>
      </c>
      <c r="Q6117">
        <v>0.354539099999999</v>
      </c>
      <c r="R6117">
        <v>0.89342489999999997</v>
      </c>
      <c r="S6117">
        <v>1.278824</v>
      </c>
      <c r="T6117">
        <v>-0.55272519999999903</v>
      </c>
      <c r="U6117">
        <v>3.18425</v>
      </c>
      <c r="V6117">
        <v>9.8380280000000001E-2</v>
      </c>
      <c r="W6117">
        <v>0.36699280000000001</v>
      </c>
      <c r="X6117">
        <v>0.92500680000000002</v>
      </c>
      <c r="Y6117">
        <v>0.17912999999999901</v>
      </c>
      <c r="Z6117">
        <v>-0.1451693</v>
      </c>
      <c r="AA6117">
        <v>0.97305620000000004</v>
      </c>
      <c r="AB6117">
        <v>29</v>
      </c>
      <c r="AC6117">
        <v>0.23720000000000099</v>
      </c>
      <c r="AD6117">
        <v>-0.129509599999999</v>
      </c>
      <c r="AE6117">
        <v>0.45279999999999598</v>
      </c>
      <c r="AF6117">
        <v>0.13507489586555199</v>
      </c>
      <c r="AG6117">
        <v>-0.129509599999999</v>
      </c>
      <c r="AH6117">
        <v>0.46095024387202999</v>
      </c>
      <c r="AI6117">
        <v>105.089509026806</v>
      </c>
      <c r="AJ6117">
        <v>73.667529657291794</v>
      </c>
      <c r="AK6117">
        <v>0.49748677501108901</v>
      </c>
      <c r="AL6117">
        <v>68.469725128996402</v>
      </c>
      <c r="AM6117">
        <v>83.929056338677995</v>
      </c>
      <c r="AN6117">
        <v>0.99999998739547902</v>
      </c>
    </row>
    <row r="6118" spans="1:40" x14ac:dyDescent="0.25">
      <c r="A6118" t="str">
        <f>"20190304164808293"</f>
        <v>20190304164808293</v>
      </c>
      <c r="B6118" t="str">
        <f>"1551689288285463"</f>
        <v>1551689288285463</v>
      </c>
      <c r="C6118" t="s">
        <v>40</v>
      </c>
      <c r="D6118">
        <v>4.8166379999999904</v>
      </c>
      <c r="E6118">
        <v>0.55582749999999903</v>
      </c>
      <c r="F6118" t="s">
        <v>41</v>
      </c>
      <c r="G6118">
        <v>-185.9452</v>
      </c>
      <c r="H6118">
        <v>0.98368849999999997</v>
      </c>
      <c r="I6118">
        <v>118.31740000000001</v>
      </c>
      <c r="J6118">
        <v>-186.1712</v>
      </c>
      <c r="K6118">
        <v>1.1075820000000001</v>
      </c>
      <c r="L6118">
        <v>117.89660000000001</v>
      </c>
      <c r="M6118">
        <v>0.2007437</v>
      </c>
      <c r="N6118">
        <v>-1.432718E-2</v>
      </c>
      <c r="O6118">
        <v>0.97953900000000005</v>
      </c>
      <c r="P6118">
        <v>0.2803773</v>
      </c>
      <c r="Q6118">
        <v>0.35439179999999998</v>
      </c>
      <c r="R6118">
        <v>0.89207340000000002</v>
      </c>
      <c r="S6118">
        <v>1.296265</v>
      </c>
      <c r="T6118">
        <v>-0.55702459999999998</v>
      </c>
      <c r="U6118">
        <v>3.1786799999999999</v>
      </c>
      <c r="V6118">
        <v>9.874964E-2</v>
      </c>
      <c r="W6118">
        <v>0.3668421</v>
      </c>
      <c r="X6118">
        <v>0.9250273</v>
      </c>
      <c r="Y6118">
        <v>0.1796702</v>
      </c>
      <c r="Z6118">
        <v>-0.1462657</v>
      </c>
      <c r="AA6118">
        <v>0.97279230000000005</v>
      </c>
      <c r="AB6118">
        <v>29</v>
      </c>
      <c r="AC6118">
        <v>0.22599999999999901</v>
      </c>
      <c r="AD6118">
        <v>-0.1238935</v>
      </c>
      <c r="AE6118">
        <v>0.42079999999999901</v>
      </c>
      <c r="AF6118">
        <v>0.128285976378266</v>
      </c>
      <c r="AG6118">
        <v>-0.1238935</v>
      </c>
      <c r="AH6118">
        <v>0.42875863828511501</v>
      </c>
      <c r="AI6118">
        <v>105.47383314343401</v>
      </c>
      <c r="AJ6118">
        <v>73.342646260723598</v>
      </c>
      <c r="AK6118">
        <v>0.46437146874208501</v>
      </c>
      <c r="AL6118">
        <v>68.479008659342696</v>
      </c>
      <c r="AM6118">
        <v>83.906568714446095</v>
      </c>
      <c r="AN6118">
        <v>1.00000006173891</v>
      </c>
    </row>
    <row r="6119" spans="1:40" x14ac:dyDescent="0.25">
      <c r="A6119" t="str">
        <f>"20190304164808315"</f>
        <v>20190304164808315</v>
      </c>
      <c r="B6119" t="str">
        <f>"1551689288305962"</f>
        <v>1551689288305962</v>
      </c>
      <c r="C6119" t="s">
        <v>40</v>
      </c>
      <c r="D6119">
        <v>4.761781</v>
      </c>
      <c r="E6119">
        <v>0.55586239999999998</v>
      </c>
      <c r="F6119" t="s">
        <v>41</v>
      </c>
      <c r="G6119">
        <v>-185.89240000000001</v>
      </c>
      <c r="H6119">
        <v>0.98850039999999995</v>
      </c>
      <c r="I6119">
        <v>118.57040000000001</v>
      </c>
      <c r="J6119">
        <v>-186.1113</v>
      </c>
      <c r="K6119">
        <v>1.1075919999999999</v>
      </c>
      <c r="L6119">
        <v>118.16500000000001</v>
      </c>
      <c r="M6119">
        <v>0.20501549999999999</v>
      </c>
      <c r="N6119">
        <v>-1.432392E-2</v>
      </c>
      <c r="O6119">
        <v>0.97865389999999997</v>
      </c>
      <c r="P6119">
        <v>0.2835704</v>
      </c>
      <c r="Q6119">
        <v>0.35510580000000003</v>
      </c>
      <c r="R6119">
        <v>0.89077929999999905</v>
      </c>
      <c r="S6119">
        <v>1.3118590000000001</v>
      </c>
      <c r="T6119">
        <v>-0.56055319999999997</v>
      </c>
      <c r="U6119">
        <v>3.17334</v>
      </c>
      <c r="V6119">
        <v>9.8076529999999995E-2</v>
      </c>
      <c r="W6119">
        <v>0.36755870000000002</v>
      </c>
      <c r="X6119">
        <v>0.92481429999999998</v>
      </c>
      <c r="Y6119">
        <v>0.17998739999999999</v>
      </c>
      <c r="Z6119">
        <v>-0.14715889999999901</v>
      </c>
      <c r="AA6119">
        <v>0.97259899999999999</v>
      </c>
      <c r="AB6119">
        <v>29</v>
      </c>
      <c r="AC6119">
        <v>0.21889999999998999</v>
      </c>
      <c r="AD6119">
        <v>-0.11909159999999901</v>
      </c>
      <c r="AE6119">
        <v>0.40539999999999998</v>
      </c>
      <c r="AF6119">
        <v>0.122914820742746</v>
      </c>
      <c r="AG6119">
        <v>-0.11909159999999901</v>
      </c>
      <c r="AH6119">
        <v>0.41400715895114498</v>
      </c>
      <c r="AI6119">
        <v>105.416686761143</v>
      </c>
      <c r="AJ6119">
        <v>73.464342391404301</v>
      </c>
      <c r="AK6119">
        <v>0.44798748867750798</v>
      </c>
      <c r="AL6119">
        <v>68.434864231770405</v>
      </c>
      <c r="AM6119">
        <v>83.946410653807803</v>
      </c>
      <c r="AN6119">
        <v>0.99999994658350899</v>
      </c>
    </row>
    <row r="6120" spans="1:40" x14ac:dyDescent="0.25">
      <c r="A6120" t="str">
        <f>"20190304164808338"</f>
        <v>20190304164808338</v>
      </c>
      <c r="B6120" t="str">
        <f>"1551689288325479"</f>
        <v>1551689288325479</v>
      </c>
      <c r="C6120" t="s">
        <v>40</v>
      </c>
      <c r="D6120">
        <v>4.7414500000000004</v>
      </c>
      <c r="E6120">
        <v>0.55593380000000003</v>
      </c>
      <c r="F6120" t="s">
        <v>41</v>
      </c>
      <c r="G6120">
        <v>-185.74260000000001</v>
      </c>
      <c r="H6120">
        <v>0.95184590000000002</v>
      </c>
      <c r="I6120">
        <v>119.045</v>
      </c>
      <c r="J6120">
        <v>-186.04689999999999</v>
      </c>
      <c r="K6120">
        <v>1.1076029999999999</v>
      </c>
      <c r="L6120">
        <v>118.44759999999999</v>
      </c>
      <c r="M6120">
        <v>0.2095101</v>
      </c>
      <c r="N6120">
        <v>-1.432048E-2</v>
      </c>
      <c r="O6120">
        <v>0.97770159999999995</v>
      </c>
      <c r="P6120">
        <v>0.28627340000000001</v>
      </c>
      <c r="Q6120">
        <v>0.35543330000000001</v>
      </c>
      <c r="R6120">
        <v>0.88978359999999901</v>
      </c>
      <c r="S6120">
        <v>1.3270109999999999</v>
      </c>
      <c r="T6120">
        <v>-0.56061799999999995</v>
      </c>
      <c r="U6120">
        <v>3.1688839999999998</v>
      </c>
      <c r="V6120">
        <v>9.6646190000000007E-2</v>
      </c>
      <c r="W6120">
        <v>0.36789840000000001</v>
      </c>
      <c r="X6120">
        <v>0.92482980000000004</v>
      </c>
      <c r="Y6120">
        <v>0.1799211</v>
      </c>
      <c r="Z6120">
        <v>-0.14703479999999999</v>
      </c>
      <c r="AA6120">
        <v>0.97262999999999999</v>
      </c>
      <c r="AB6120">
        <v>29</v>
      </c>
      <c r="AC6120">
        <v>0.30429999999998297</v>
      </c>
      <c r="AD6120">
        <v>-0.15575710000000001</v>
      </c>
      <c r="AE6120">
        <v>0.59740000000000704</v>
      </c>
      <c r="AF6120">
        <v>0.163543909935529</v>
      </c>
      <c r="AG6120">
        <v>-0.15575710000000001</v>
      </c>
      <c r="AH6120">
        <v>0.61472070130566603</v>
      </c>
      <c r="AI6120">
        <v>103.758792990899</v>
      </c>
      <c r="AJ6120">
        <v>75.101795015674099</v>
      </c>
      <c r="AK6120">
        <v>0.65489573619862596</v>
      </c>
      <c r="AL6120">
        <v>68.413934189877907</v>
      </c>
      <c r="AM6120">
        <v>84.034153562639503</v>
      </c>
      <c r="AN6120">
        <v>0.99999993886605598</v>
      </c>
    </row>
    <row r="6121" spans="1:40" x14ac:dyDescent="0.25">
      <c r="A6121" t="str">
        <f>"20190304164808361"</f>
        <v>20190304164808361</v>
      </c>
      <c r="B6121" t="str">
        <f>"1551689288355734"</f>
        <v>1551689288355734</v>
      </c>
      <c r="C6121" t="s">
        <v>40</v>
      </c>
      <c r="D6121">
        <v>4.787763</v>
      </c>
      <c r="E6121">
        <v>0.55619339999999995</v>
      </c>
      <c r="F6121" t="s">
        <v>41</v>
      </c>
      <c r="G6121">
        <v>-185.68790000000001</v>
      </c>
      <c r="H6121">
        <v>0.95687</v>
      </c>
      <c r="I6121">
        <v>119.29640000000001</v>
      </c>
      <c r="J6121">
        <v>-185.97929999999999</v>
      </c>
      <c r="K6121">
        <v>1.107613</v>
      </c>
      <c r="L6121">
        <v>118.73820000000001</v>
      </c>
      <c r="M6121">
        <v>0.21413219999999999</v>
      </c>
      <c r="N6121">
        <v>-1.4316890000000001E-2</v>
      </c>
      <c r="O6121">
        <v>0.97669980000000001</v>
      </c>
      <c r="P6121">
        <v>0.28983389999999998</v>
      </c>
      <c r="Q6121">
        <v>0.35525899999999999</v>
      </c>
      <c r="R6121">
        <v>0.88869979999999904</v>
      </c>
      <c r="S6121">
        <v>1.338425</v>
      </c>
      <c r="T6121">
        <v>-0.56200649999999996</v>
      </c>
      <c r="U6121">
        <v>3.1654659999999999</v>
      </c>
      <c r="V6121">
        <v>9.5944719999999997E-2</v>
      </c>
      <c r="W6121">
        <v>0.36773080000000002</v>
      </c>
      <c r="X6121">
        <v>0.92496959999999995</v>
      </c>
      <c r="Y6121">
        <v>0.17860809999999999</v>
      </c>
      <c r="Z6121">
        <v>-0.14727119999999999</v>
      </c>
      <c r="AA6121">
        <v>0.97283629999999999</v>
      </c>
      <c r="AB6121">
        <v>28</v>
      </c>
      <c r="AC6121">
        <v>0.29139999999998101</v>
      </c>
      <c r="AD6121">
        <v>-0.15074299999999899</v>
      </c>
      <c r="AE6121">
        <v>0.55819999999999903</v>
      </c>
      <c r="AF6121">
        <v>0.156149715341724</v>
      </c>
      <c r="AG6121">
        <v>-0.15074299999999899</v>
      </c>
      <c r="AH6121">
        <v>0.57471721186004099</v>
      </c>
      <c r="AI6121">
        <v>104.20407652358</v>
      </c>
      <c r="AJ6121">
        <v>74.799767452154796</v>
      </c>
      <c r="AK6121">
        <v>0.61433383372436901</v>
      </c>
      <c r="AL6121">
        <v>68.4242632940379</v>
      </c>
      <c r="AM6121">
        <v>84.0780343022642</v>
      </c>
      <c r="AN6121">
        <v>1.0000000457443301</v>
      </c>
    </row>
    <row r="6122" spans="1:40" x14ac:dyDescent="0.25">
      <c r="A6122" t="str">
        <f>"20190304164808383"</f>
        <v>20190304164808383</v>
      </c>
      <c r="B6122" t="str">
        <f>"1551689288375254"</f>
        <v>1551689288375254</v>
      </c>
      <c r="C6122" t="s">
        <v>40</v>
      </c>
      <c r="D6122">
        <v>4.8028459999999997</v>
      </c>
      <c r="E6122">
        <v>0.55612740000000005</v>
      </c>
      <c r="F6122" t="s">
        <v>41</v>
      </c>
      <c r="G6122">
        <v>-185.6327</v>
      </c>
      <c r="H6122">
        <v>0.96283209999999997</v>
      </c>
      <c r="I6122">
        <v>119.5479</v>
      </c>
      <c r="J6122">
        <v>-185.9143</v>
      </c>
      <c r="K6122">
        <v>1.107623</v>
      </c>
      <c r="L6122">
        <v>119.0119</v>
      </c>
      <c r="M6122">
        <v>0.2184836</v>
      </c>
      <c r="N6122">
        <v>-1.431353E-2</v>
      </c>
      <c r="O6122">
        <v>0.97573569999999998</v>
      </c>
      <c r="P6122">
        <v>0.29320740000000001</v>
      </c>
      <c r="Q6122">
        <v>0.35565869999999999</v>
      </c>
      <c r="R6122">
        <v>0.88743249999999996</v>
      </c>
      <c r="S6122">
        <v>1.3521729999999901</v>
      </c>
      <c r="T6122">
        <v>-0.56500469999999903</v>
      </c>
      <c r="U6122">
        <v>3.160568</v>
      </c>
      <c r="V6122">
        <v>9.5361260000000003E-2</v>
      </c>
      <c r="W6122">
        <v>0.3681335</v>
      </c>
      <c r="X6122">
        <v>0.92486970000000002</v>
      </c>
      <c r="Y6122">
        <v>0.1783015</v>
      </c>
      <c r="Z6122">
        <v>-0.14799470000000001</v>
      </c>
      <c r="AA6122">
        <v>0.9727827</v>
      </c>
      <c r="AB6122">
        <v>28</v>
      </c>
      <c r="AC6122">
        <v>0.28159999999999702</v>
      </c>
      <c r="AD6122">
        <v>-0.1447909</v>
      </c>
      <c r="AE6122">
        <v>0.53600000000000103</v>
      </c>
      <c r="AF6122">
        <v>0.14914686130527799</v>
      </c>
      <c r="AG6122">
        <v>-0.1447909</v>
      </c>
      <c r="AH6122">
        <v>0.55295726036262705</v>
      </c>
      <c r="AI6122">
        <v>104.187854741189</v>
      </c>
      <c r="AJ6122">
        <v>74.905066799794199</v>
      </c>
      <c r="AK6122">
        <v>0.59073760905140305</v>
      </c>
      <c r="AL6122">
        <v>68.399448701725404</v>
      </c>
      <c r="AM6122">
        <v>84.113162063834494</v>
      </c>
      <c r="AN6122">
        <v>1.0000000028545599</v>
      </c>
    </row>
    <row r="6123" spans="1:40" x14ac:dyDescent="0.25">
      <c r="A6123" t="str">
        <f>"20190304164808404"</f>
        <v>20190304164808404</v>
      </c>
      <c r="B6123" t="str">
        <f>"1551689288395754"</f>
        <v>1551689288395754</v>
      </c>
      <c r="C6123" t="s">
        <v>40</v>
      </c>
      <c r="D6123">
        <v>4.6600999999999999</v>
      </c>
      <c r="E6123">
        <v>0.55594259999999995</v>
      </c>
      <c r="F6123" t="s">
        <v>41</v>
      </c>
      <c r="G6123">
        <v>-185.5753</v>
      </c>
      <c r="H6123">
        <v>0.96648319999999999</v>
      </c>
      <c r="I6123">
        <v>119.7976</v>
      </c>
      <c r="J6123">
        <v>-185.85</v>
      </c>
      <c r="K6123">
        <v>1.107634</v>
      </c>
      <c r="L6123">
        <v>119.2775</v>
      </c>
      <c r="M6123">
        <v>0.2227075</v>
      </c>
      <c r="N6123">
        <v>-1.431021E-2</v>
      </c>
      <c r="O6123">
        <v>0.97478030000000004</v>
      </c>
      <c r="P6123">
        <v>0.29706440000000001</v>
      </c>
      <c r="Q6123">
        <v>0.35513040000000001</v>
      </c>
      <c r="R6123">
        <v>0.88636059999999905</v>
      </c>
      <c r="S6123">
        <v>1.362244</v>
      </c>
      <c r="T6123">
        <v>-0.56719489999999995</v>
      </c>
      <c r="U6123">
        <v>3.1577760000000001</v>
      </c>
      <c r="V6123">
        <v>9.5318680000000003E-2</v>
      </c>
      <c r="W6123">
        <v>0.36760759999999998</v>
      </c>
      <c r="X6123">
        <v>0.92508330000000005</v>
      </c>
      <c r="Y6123">
        <v>0.1769424</v>
      </c>
      <c r="Z6123">
        <v>-0.1484441</v>
      </c>
      <c r="AA6123">
        <v>0.97296229999999995</v>
      </c>
      <c r="AB6123">
        <v>28</v>
      </c>
      <c r="AC6123">
        <v>0.274699999999995</v>
      </c>
      <c r="AD6123">
        <v>-0.14115079999999999</v>
      </c>
      <c r="AE6123">
        <v>0.52009999999999901</v>
      </c>
      <c r="AF6123">
        <v>0.14368304518389499</v>
      </c>
      <c r="AG6123">
        <v>-0.14115079999999999</v>
      </c>
      <c r="AH6123">
        <v>0.53727812177557899</v>
      </c>
      <c r="AI6123">
        <v>104.24075356127901</v>
      </c>
      <c r="AJ6123">
        <v>75.027882128394296</v>
      </c>
      <c r="AK6123">
        <v>0.57379102986422803</v>
      </c>
      <c r="AL6123">
        <v>68.431854010808806</v>
      </c>
      <c r="AM6123">
        <v>84.117121290681098</v>
      </c>
      <c r="AN6123">
        <v>1.00000005513679</v>
      </c>
    </row>
    <row r="6124" spans="1:40" x14ac:dyDescent="0.25">
      <c r="A6124" t="str">
        <f>"20190304164808426"</f>
        <v>20190304164808426</v>
      </c>
      <c r="B6124" t="str">
        <f>"1551689288415271"</f>
        <v>1551689288415271</v>
      </c>
      <c r="C6124" t="s">
        <v>40</v>
      </c>
      <c r="D6124">
        <v>4.7227610000000002</v>
      </c>
      <c r="E6124">
        <v>0.55612729999999999</v>
      </c>
      <c r="F6124" t="s">
        <v>41</v>
      </c>
      <c r="G6124">
        <v>-185.5154</v>
      </c>
      <c r="H6124">
        <v>0.9684876</v>
      </c>
      <c r="I6124">
        <v>120.04559999999999</v>
      </c>
      <c r="J6124">
        <v>-185.7826</v>
      </c>
      <c r="K6124">
        <v>1.1076440000000001</v>
      </c>
      <c r="L6124">
        <v>119.55070000000001</v>
      </c>
      <c r="M6124">
        <v>0.22705139999999999</v>
      </c>
      <c r="N6124">
        <v>-1.43067E-2</v>
      </c>
      <c r="O6124">
        <v>0.97377769999999997</v>
      </c>
      <c r="P6124">
        <v>0.300844</v>
      </c>
      <c r="Q6124">
        <v>0.35488619999999998</v>
      </c>
      <c r="R6124">
        <v>0.88518289999999999</v>
      </c>
      <c r="S6124">
        <v>1.372787</v>
      </c>
      <c r="T6124">
        <v>-0.5709708</v>
      </c>
      <c r="U6124">
        <v>3.153305</v>
      </c>
      <c r="V6124">
        <v>9.5108449999999997E-2</v>
      </c>
      <c r="W6124">
        <v>0.36736540000000001</v>
      </c>
      <c r="X6124">
        <v>0.9252011</v>
      </c>
      <c r="Y6124">
        <v>0.17573520000000001</v>
      </c>
      <c r="Z6124">
        <v>-0.14939179999999999</v>
      </c>
      <c r="AA6124">
        <v>0.97303609999999896</v>
      </c>
      <c r="AB6124">
        <v>28</v>
      </c>
      <c r="AC6124">
        <v>0.26720000000000199</v>
      </c>
      <c r="AD6124">
        <v>-0.13915640000000001</v>
      </c>
      <c r="AE6124">
        <v>0.49489999999998702</v>
      </c>
      <c r="AF6124">
        <v>0.13931240408370801</v>
      </c>
      <c r="AG6124">
        <v>-0.13915640000000001</v>
      </c>
      <c r="AH6124">
        <v>0.51134299350331802</v>
      </c>
      <c r="AI6124">
        <v>104.71199051667</v>
      </c>
      <c r="AJ6124">
        <v>74.759981403309197</v>
      </c>
      <c r="AK6124">
        <v>0.54794535000990496</v>
      </c>
      <c r="AL6124">
        <v>68.446774182602297</v>
      </c>
      <c r="AM6124">
        <v>84.130747737966402</v>
      </c>
      <c r="AN6124">
        <v>1.00000001490988</v>
      </c>
    </row>
    <row r="6125" spans="1:40" x14ac:dyDescent="0.25">
      <c r="A6125" t="str">
        <f>"20190304164808449"</f>
        <v>20190304164808449</v>
      </c>
      <c r="B6125" t="str">
        <f>"1551689288445527"</f>
        <v>1551689288445527</v>
      </c>
      <c r="C6125" t="s">
        <v>40</v>
      </c>
      <c r="D6125">
        <v>4.710432</v>
      </c>
      <c r="E6125">
        <v>0.55721830000000006</v>
      </c>
      <c r="F6125" t="s">
        <v>41</v>
      </c>
      <c r="G6125">
        <v>-185.45480000000001</v>
      </c>
      <c r="H6125">
        <v>0.97208439999999996</v>
      </c>
      <c r="I6125">
        <v>120.294</v>
      </c>
      <c r="J6125">
        <v>-185.7133</v>
      </c>
      <c r="K6125">
        <v>1.1076509999999999</v>
      </c>
      <c r="L6125">
        <v>119.82640000000001</v>
      </c>
      <c r="M6125">
        <v>0.23143739999999999</v>
      </c>
      <c r="N6125">
        <v>-1.4303130000000001E-2</v>
      </c>
      <c r="O6125">
        <v>0.97274459999999996</v>
      </c>
      <c r="P6125">
        <v>0.30464629999999998</v>
      </c>
      <c r="Q6125">
        <v>0.35500609999999999</v>
      </c>
      <c r="R6125">
        <v>0.88383330000000004</v>
      </c>
      <c r="S6125">
        <v>1.3881840000000001</v>
      </c>
      <c r="T6125">
        <v>-0.57403740000000003</v>
      </c>
      <c r="U6125">
        <v>3.1474760000000002</v>
      </c>
      <c r="V6125">
        <v>9.4919279999999995E-2</v>
      </c>
      <c r="W6125">
        <v>0.36748520000000001</v>
      </c>
      <c r="X6125">
        <v>0.92517300000000002</v>
      </c>
      <c r="Y6125">
        <v>0.1759019</v>
      </c>
      <c r="Z6125">
        <v>-0.15012990000000001</v>
      </c>
      <c r="AA6125">
        <v>0.97289230000000004</v>
      </c>
      <c r="AB6125">
        <v>28</v>
      </c>
      <c r="AC6125">
        <v>0.25849999999999701</v>
      </c>
      <c r="AD6125">
        <v>-0.13556659999999901</v>
      </c>
      <c r="AE6125">
        <v>0.46759999999999002</v>
      </c>
      <c r="AF6125">
        <v>0.13458463397290599</v>
      </c>
      <c r="AG6125">
        <v>-0.13556659999999901</v>
      </c>
      <c r="AH6125">
        <v>0.48360103897130202</v>
      </c>
      <c r="AI6125">
        <v>105.11300602570201</v>
      </c>
      <c r="AJ6125">
        <v>74.4482837728156</v>
      </c>
      <c r="AK6125">
        <v>0.51996277908260302</v>
      </c>
      <c r="AL6125">
        <v>68.439394963376898</v>
      </c>
      <c r="AM6125">
        <v>84.142163706814699</v>
      </c>
      <c r="AN6125">
        <v>1.00000006093187</v>
      </c>
    </row>
    <row r="6126" spans="1:40" x14ac:dyDescent="0.25">
      <c r="A6126" t="str">
        <f>"20190304164808471"</f>
        <v>20190304164808471</v>
      </c>
      <c r="B6126" t="str">
        <f>"1551689288466024"</f>
        <v>1551689288466024</v>
      </c>
      <c r="C6126" t="s">
        <v>40</v>
      </c>
      <c r="D6126">
        <v>4.6980199999999996</v>
      </c>
      <c r="E6126">
        <v>0.55807359999999995</v>
      </c>
      <c r="F6126" t="s">
        <v>41</v>
      </c>
      <c r="G6126">
        <v>-185.3914</v>
      </c>
      <c r="H6126">
        <v>0.97585319999999998</v>
      </c>
      <c r="I6126">
        <v>120.5416</v>
      </c>
      <c r="J6126">
        <v>-185.6405</v>
      </c>
      <c r="K6126">
        <v>1.1076629999999901</v>
      </c>
      <c r="L6126">
        <v>120.1104</v>
      </c>
      <c r="M6126">
        <v>0.23595759999999999</v>
      </c>
      <c r="N6126">
        <v>-1.429946E-2</v>
      </c>
      <c r="O6126">
        <v>0.97165809999999997</v>
      </c>
      <c r="P6126">
        <v>0.30909690000000001</v>
      </c>
      <c r="Q6126">
        <v>0.35497830000000002</v>
      </c>
      <c r="R6126">
        <v>0.88229789999999997</v>
      </c>
      <c r="S6126">
        <v>1.41214</v>
      </c>
      <c r="T6126">
        <v>-0.57842850000000001</v>
      </c>
      <c r="U6126">
        <v>3.1398929999999998</v>
      </c>
      <c r="V6126">
        <v>9.5271590000000003E-2</v>
      </c>
      <c r="W6126">
        <v>0.36745280000000002</v>
      </c>
      <c r="X6126">
        <v>0.92514960000000002</v>
      </c>
      <c r="Y6126">
        <v>0.17831129999999901</v>
      </c>
      <c r="Z6126">
        <v>-0.1511854</v>
      </c>
      <c r="AA6126">
        <v>0.97229010000000005</v>
      </c>
      <c r="AB6126">
        <v>28</v>
      </c>
      <c r="AC6126">
        <v>0.24909999999999799</v>
      </c>
      <c r="AD6126">
        <v>-0.13180979999999901</v>
      </c>
      <c r="AE6126">
        <v>0.43120000000000303</v>
      </c>
      <c r="AF6126">
        <v>0.131122966522245</v>
      </c>
      <c r="AG6126">
        <v>-0.13180979999999901</v>
      </c>
      <c r="AH6126">
        <v>0.44652149974697097</v>
      </c>
      <c r="AI6126">
        <v>105.813872530249</v>
      </c>
      <c r="AJ6126">
        <v>73.634895925339805</v>
      </c>
      <c r="AK6126">
        <v>0.483682236041306</v>
      </c>
      <c r="AL6126">
        <v>68.441389827212603</v>
      </c>
      <c r="AM6126">
        <v>84.120425655665898</v>
      </c>
      <c r="AN6126">
        <v>1.00000000923456</v>
      </c>
    </row>
    <row r="6127" spans="1:40" x14ac:dyDescent="0.25">
      <c r="A6127" t="str">
        <f>"20190304164808494"</f>
        <v>20190304164808494</v>
      </c>
      <c r="B6127" t="str">
        <f>"1551689288485542"</f>
        <v>1551689288485542</v>
      </c>
      <c r="C6127" t="s">
        <v>40</v>
      </c>
      <c r="D6127">
        <v>4.6990879999999997</v>
      </c>
      <c r="E6127">
        <v>0.55877030000000005</v>
      </c>
      <c r="F6127" t="s">
        <v>41</v>
      </c>
      <c r="G6127">
        <v>-185.3289</v>
      </c>
      <c r="H6127">
        <v>0.9816298</v>
      </c>
      <c r="I6127">
        <v>120.7899</v>
      </c>
      <c r="J6127">
        <v>-185.56899999999999</v>
      </c>
      <c r="K6127">
        <v>1.1076649999999999</v>
      </c>
      <c r="L6127">
        <v>120.3845</v>
      </c>
      <c r="M6127">
        <v>0.24032120000000001</v>
      </c>
      <c r="N6127">
        <v>-1.429596E-2</v>
      </c>
      <c r="O6127">
        <v>0.97058809999999995</v>
      </c>
      <c r="P6127">
        <v>0.31343110000000002</v>
      </c>
      <c r="Q6127">
        <v>0.35493400000000003</v>
      </c>
      <c r="R6127">
        <v>0.88078529999999999</v>
      </c>
      <c r="S6127">
        <v>1.4361269999999999</v>
      </c>
      <c r="T6127">
        <v>-0.58071430000000002</v>
      </c>
      <c r="U6127">
        <v>3.130722</v>
      </c>
      <c r="V6127">
        <v>9.5652799999999996E-2</v>
      </c>
      <c r="W6127">
        <v>0.3674036</v>
      </c>
      <c r="X6127">
        <v>0.9251298</v>
      </c>
      <c r="Y6127">
        <v>0.181087</v>
      </c>
      <c r="Z6127">
        <v>-0.15172249999999901</v>
      </c>
      <c r="AA6127">
        <v>0.97169320000000003</v>
      </c>
      <c r="AB6127">
        <v>28</v>
      </c>
      <c r="AC6127">
        <v>0.240100000000012</v>
      </c>
      <c r="AD6127">
        <v>-0.12603519999999899</v>
      </c>
      <c r="AE6127">
        <v>0.40539999999999998</v>
      </c>
      <c r="AF6127">
        <v>0.12656926764828</v>
      </c>
      <c r="AG6127">
        <v>-0.12603519999999899</v>
      </c>
      <c r="AH6127">
        <v>0.42109264082310299</v>
      </c>
      <c r="AI6127">
        <v>105.99426527604</v>
      </c>
      <c r="AJ6127">
        <v>73.270617185058597</v>
      </c>
      <c r="AK6127">
        <v>0.45740973241442601</v>
      </c>
      <c r="AL6127">
        <v>68.444420697053005</v>
      </c>
      <c r="AM6127">
        <v>84.0969400766826</v>
      </c>
      <c r="AN6127">
        <v>1.00000000514442</v>
      </c>
    </row>
    <row r="6128" spans="1:40" x14ac:dyDescent="0.25">
      <c r="A6128" t="str">
        <f>"20190304164808515"</f>
        <v>20190304164808515</v>
      </c>
      <c r="B6128" t="str">
        <f>"1551689288506056"</f>
        <v>1551689288506056</v>
      </c>
      <c r="C6128" t="s">
        <v>40</v>
      </c>
      <c r="D6128">
        <v>4.7054900000000002</v>
      </c>
      <c r="E6128">
        <v>0.55939949999999905</v>
      </c>
      <c r="F6128" t="s">
        <v>41</v>
      </c>
      <c r="G6128">
        <v>-185.2647</v>
      </c>
      <c r="H6128">
        <v>0.98566319999999996</v>
      </c>
      <c r="I6128">
        <v>121.0368</v>
      </c>
      <c r="J6128">
        <v>-185.49850000000001</v>
      </c>
      <c r="K6128">
        <v>1.107674</v>
      </c>
      <c r="L6128">
        <v>120.6493</v>
      </c>
      <c r="M6128">
        <v>0.24453929999999999</v>
      </c>
      <c r="N6128">
        <v>-1.4292549999999999E-2</v>
      </c>
      <c r="O6128">
        <v>0.96953400000000001</v>
      </c>
      <c r="P6128">
        <v>0.31736839999999999</v>
      </c>
      <c r="Q6128">
        <v>0.3545914</v>
      </c>
      <c r="R6128">
        <v>0.87951250000000003</v>
      </c>
      <c r="S6128">
        <v>1.456528</v>
      </c>
      <c r="T6128">
        <v>-0.58406939999999996</v>
      </c>
      <c r="U6128">
        <v>3.1231080000000002</v>
      </c>
      <c r="V6128">
        <v>9.5725340000000006E-2</v>
      </c>
      <c r="W6128">
        <v>0.36706070000000002</v>
      </c>
      <c r="X6128">
        <v>0.92525840000000004</v>
      </c>
      <c r="Y6128">
        <v>0.1828767</v>
      </c>
      <c r="Z6128">
        <v>-0.15253059999999999</v>
      </c>
      <c r="AA6128">
        <v>0.97123150000000003</v>
      </c>
      <c r="AB6128">
        <v>28</v>
      </c>
      <c r="AC6128">
        <v>0.23380000000000201</v>
      </c>
      <c r="AD6128">
        <v>-0.1220108</v>
      </c>
      <c r="AE6128">
        <v>0.38750000000000201</v>
      </c>
      <c r="AF6128">
        <v>0.122992228364808</v>
      </c>
      <c r="AG6128">
        <v>-0.1220108</v>
      </c>
      <c r="AH6128">
        <v>0.40357901286196102</v>
      </c>
      <c r="AI6128">
        <v>106.1293830636</v>
      </c>
      <c r="AJ6128">
        <v>73.051201892579897</v>
      </c>
      <c r="AK6128">
        <v>0.43919214835583797</v>
      </c>
      <c r="AL6128">
        <v>68.465543208267903</v>
      </c>
      <c r="AM6128">
        <v>84.093310302035206</v>
      </c>
      <c r="AN6128">
        <v>1.0000000024865801</v>
      </c>
    </row>
    <row r="6129" spans="1:40" x14ac:dyDescent="0.25">
      <c r="A6129" t="str">
        <f>"20190304164808530"</f>
        <v>20190304164808530</v>
      </c>
      <c r="B6129" t="str">
        <f>"1551689288525559"</f>
        <v>1551689288525559</v>
      </c>
      <c r="C6129" t="s">
        <v>40</v>
      </c>
      <c r="D6129">
        <v>4.6795730000000004</v>
      </c>
      <c r="E6129">
        <v>0.56017609999999995</v>
      </c>
      <c r="F6129" t="s">
        <v>41</v>
      </c>
      <c r="G6129">
        <v>-185.09649999999999</v>
      </c>
      <c r="H6129">
        <v>0.94739770000000001</v>
      </c>
      <c r="I6129">
        <v>121.498</v>
      </c>
      <c r="J6129">
        <v>-185.45060000000001</v>
      </c>
      <c r="K6129">
        <v>1.1076790000000001</v>
      </c>
      <c r="L6129">
        <v>120.8263</v>
      </c>
      <c r="M6129">
        <v>0.2473593</v>
      </c>
      <c r="N6129">
        <v>-1.429034E-2</v>
      </c>
      <c r="O6129">
        <v>0.96881839999999997</v>
      </c>
      <c r="P6129">
        <v>0.32009290000000001</v>
      </c>
      <c r="Q6129">
        <v>0.35454859999999999</v>
      </c>
      <c r="R6129">
        <v>0.87854189999999999</v>
      </c>
      <c r="S6129">
        <v>1.47522</v>
      </c>
      <c r="T6129">
        <v>-0.58825719999999904</v>
      </c>
      <c r="U6129">
        <v>3.1158139999999999</v>
      </c>
      <c r="V6129">
        <v>9.5892149999999995E-2</v>
      </c>
      <c r="W6129">
        <v>0.36701549999999999</v>
      </c>
      <c r="X6129">
        <v>0.9252591</v>
      </c>
      <c r="Y6129">
        <v>0.18557699999999999</v>
      </c>
      <c r="Z6129">
        <v>-0.15363070000000001</v>
      </c>
      <c r="AA6129">
        <v>0.97054560000000001</v>
      </c>
      <c r="AB6129">
        <v>28</v>
      </c>
      <c r="AC6129">
        <v>0.35410000000001601</v>
      </c>
      <c r="AD6129">
        <v>-0.16028129999999999</v>
      </c>
      <c r="AE6129">
        <v>0.67169999999998697</v>
      </c>
      <c r="AF6129">
        <v>0.16937844031634899</v>
      </c>
      <c r="AG6129">
        <v>-0.16028129999999999</v>
      </c>
      <c r="AH6129">
        <v>0.70692237408537095</v>
      </c>
      <c r="AI6129">
        <v>102.434220269699</v>
      </c>
      <c r="AJ6129">
        <v>76.525951101986095</v>
      </c>
      <c r="AK6129">
        <v>0.74439129102655799</v>
      </c>
      <c r="AL6129">
        <v>68.468328180977394</v>
      </c>
      <c r="AM6129">
        <v>84.083094770852497</v>
      </c>
      <c r="AN6129">
        <v>1.00000004190234</v>
      </c>
    </row>
    <row r="6130" spans="1:40" x14ac:dyDescent="0.25">
      <c r="A6130" t="str">
        <f>"20190304164808550"</f>
        <v>20190304164808550</v>
      </c>
      <c r="B6130" t="str">
        <f>"1551689288546054"</f>
        <v>1551689288546054</v>
      </c>
      <c r="C6130" t="s">
        <v>40</v>
      </c>
      <c r="D6130">
        <v>4.6810400000000003</v>
      </c>
      <c r="E6130">
        <v>0.56087880000000001</v>
      </c>
      <c r="F6130" t="s">
        <v>41</v>
      </c>
      <c r="G6130">
        <v>-185.11920000000001</v>
      </c>
      <c r="H6130">
        <v>0.97686729999999999</v>
      </c>
      <c r="I6130">
        <v>121.5172</v>
      </c>
      <c r="J6130">
        <v>-185.3826</v>
      </c>
      <c r="K6130">
        <v>1.1076839999999999</v>
      </c>
      <c r="L6130">
        <v>121.0748</v>
      </c>
      <c r="M6130">
        <v>0.25131799999999999</v>
      </c>
      <c r="N6130">
        <v>-1.428714E-2</v>
      </c>
      <c r="O6130">
        <v>0.96779910000000002</v>
      </c>
      <c r="P6130">
        <v>0.32400899999999999</v>
      </c>
      <c r="Q6130">
        <v>0.3542341</v>
      </c>
      <c r="R6130">
        <v>0.87723220000000002</v>
      </c>
      <c r="S6130">
        <v>1.4904790000000001</v>
      </c>
      <c r="T6130">
        <v>-0.58847169999999904</v>
      </c>
      <c r="U6130">
        <v>3.1091769999999999</v>
      </c>
      <c r="V6130">
        <v>9.6197409999999997E-2</v>
      </c>
      <c r="W6130">
        <v>0.3666992</v>
      </c>
      <c r="X6130">
        <v>0.92535279999999998</v>
      </c>
      <c r="Y6130">
        <v>0.1862422</v>
      </c>
      <c r="Z6130">
        <v>-0.15359489999999901</v>
      </c>
      <c r="AA6130">
        <v>0.97042390000000001</v>
      </c>
      <c r="AB6130">
        <v>28</v>
      </c>
      <c r="AC6130">
        <v>0.26339999999998998</v>
      </c>
      <c r="AD6130">
        <v>-0.13081669999999901</v>
      </c>
      <c r="AE6130">
        <v>0.44240000000000601</v>
      </c>
      <c r="AF6130">
        <v>0.13503299720756301</v>
      </c>
      <c r="AG6130">
        <v>-0.13081669999999901</v>
      </c>
      <c r="AH6130">
        <v>0.464421815600149</v>
      </c>
      <c r="AI6130">
        <v>105.134970270726</v>
      </c>
      <c r="AJ6130">
        <v>73.787942871372195</v>
      </c>
      <c r="AK6130">
        <v>0.50103347407043197</v>
      </c>
      <c r="AL6130">
        <v>68.487808711246402</v>
      </c>
      <c r="AM6130">
        <v>84.064990090002595</v>
      </c>
      <c r="AN6130">
        <v>1.0000000247195899</v>
      </c>
    </row>
    <row r="6131" spans="1:40" x14ac:dyDescent="0.25">
      <c r="A6131" t="str">
        <f>"20190304164808573"</f>
        <v>20190304164808573</v>
      </c>
      <c r="B6131" t="str">
        <f>"1551689288565575"</f>
        <v>1551689288565575</v>
      </c>
      <c r="C6131" t="s">
        <v>40</v>
      </c>
      <c r="D6131">
        <v>4.7005249999999998</v>
      </c>
      <c r="E6131">
        <v>0.56144039999999995</v>
      </c>
      <c r="F6131" t="s">
        <v>41</v>
      </c>
      <c r="G6131">
        <v>-185.04929999999999</v>
      </c>
      <c r="H6131">
        <v>0.97733490000000001</v>
      </c>
      <c r="I6131">
        <v>121.7598</v>
      </c>
      <c r="J6131">
        <v>-185.3058</v>
      </c>
      <c r="K6131">
        <v>1.107696</v>
      </c>
      <c r="L6131">
        <v>121.35080000000001</v>
      </c>
      <c r="M6131">
        <v>0.25571709999999997</v>
      </c>
      <c r="N6131">
        <v>-1.428367E-2</v>
      </c>
      <c r="O6131">
        <v>0.96664609999999995</v>
      </c>
      <c r="P6131">
        <v>0.3279939</v>
      </c>
      <c r="Q6131">
        <v>0.35405360000000002</v>
      </c>
      <c r="R6131">
        <v>0.87582309999999997</v>
      </c>
      <c r="S6131">
        <v>1.508804</v>
      </c>
      <c r="T6131">
        <v>-0.58996389999999999</v>
      </c>
      <c r="U6131">
        <v>3.100784</v>
      </c>
      <c r="V6131">
        <v>9.6167749999999996E-2</v>
      </c>
      <c r="W6131">
        <v>0.36651860000000003</v>
      </c>
      <c r="X6131">
        <v>0.92542740000000001</v>
      </c>
      <c r="Y6131">
        <v>0.18741940000000001</v>
      </c>
      <c r="Z6131">
        <v>-0.15392</v>
      </c>
      <c r="AA6131">
        <v>0.97014560000000005</v>
      </c>
      <c r="AB6131">
        <v>28</v>
      </c>
      <c r="AC6131">
        <v>0.25650000000001599</v>
      </c>
      <c r="AD6131">
        <v>-0.13036110000000001</v>
      </c>
      <c r="AE6131">
        <v>0.40899999999999098</v>
      </c>
      <c r="AF6131">
        <v>0.13362788212627399</v>
      </c>
      <c r="AG6131">
        <v>-0.13036110000000001</v>
      </c>
      <c r="AH6131">
        <v>0.42966841919481502</v>
      </c>
      <c r="AI6131">
        <v>106.15692725798</v>
      </c>
      <c r="AJ6131">
        <v>72.724184155858097</v>
      </c>
      <c r="AK6131">
        <v>0.46847132007000603</v>
      </c>
      <c r="AL6131">
        <v>68.498930057832695</v>
      </c>
      <c r="AM6131">
        <v>84.067281813544398</v>
      </c>
      <c r="AN6131">
        <v>0.999999996478391</v>
      </c>
    </row>
    <row r="6132" spans="1:40" x14ac:dyDescent="0.25">
      <c r="A6132" t="str">
        <f>"20190304164808594"</f>
        <v>20190304164808594</v>
      </c>
      <c r="B6132" t="str">
        <f>"1551689288586071"</f>
        <v>1551689288586071</v>
      </c>
      <c r="C6132" t="s">
        <v>40</v>
      </c>
      <c r="D6132">
        <v>4.7066999999999997</v>
      </c>
      <c r="E6132">
        <v>0.56188110000000002</v>
      </c>
      <c r="F6132" t="s">
        <v>41</v>
      </c>
      <c r="G6132">
        <v>-184.9828</v>
      </c>
      <c r="H6132">
        <v>0.98232540000000002</v>
      </c>
      <c r="I6132">
        <v>122.0051</v>
      </c>
      <c r="J6132">
        <v>-185.2329</v>
      </c>
      <c r="K6132">
        <v>1.107712</v>
      </c>
      <c r="L6132">
        <v>121.6084</v>
      </c>
      <c r="M6132">
        <v>0.25982480000000002</v>
      </c>
      <c r="N6132">
        <v>-1.428041E-2</v>
      </c>
      <c r="O6132">
        <v>0.96555020000000003</v>
      </c>
      <c r="P6132">
        <v>0.33179829999999999</v>
      </c>
      <c r="Q6132">
        <v>0.35424260000000002</v>
      </c>
      <c r="R6132">
        <v>0.87431229999999904</v>
      </c>
      <c r="S6132">
        <v>1.5265660000000001</v>
      </c>
      <c r="T6132">
        <v>-0.59244730000000001</v>
      </c>
      <c r="U6132">
        <v>3.09314</v>
      </c>
      <c r="V6132">
        <v>9.627078E-2</v>
      </c>
      <c r="W6132">
        <v>0.36670449999999999</v>
      </c>
      <c r="X6132">
        <v>0.92534300000000003</v>
      </c>
      <c r="Y6132">
        <v>0.1886314</v>
      </c>
      <c r="Z6132">
        <v>-0.15449779999999999</v>
      </c>
      <c r="AA6132">
        <v>0.96981890000000004</v>
      </c>
      <c r="AB6132">
        <v>28</v>
      </c>
      <c r="AC6132">
        <v>0.25010000000000299</v>
      </c>
      <c r="AD6132">
        <v>-0.12538659999999899</v>
      </c>
      <c r="AE6132">
        <v>0.396699999999995</v>
      </c>
      <c r="AF6132">
        <v>0.12919012037560301</v>
      </c>
      <c r="AG6132">
        <v>-0.12538659999999899</v>
      </c>
      <c r="AH6132">
        <v>0.41816748907775497</v>
      </c>
      <c r="AI6132">
        <v>105.986334782638</v>
      </c>
      <c r="AJ6132">
        <v>72.831807001926606</v>
      </c>
      <c r="AK6132">
        <v>0.45527566987904899</v>
      </c>
      <c r="AL6132">
        <v>68.487480855980493</v>
      </c>
      <c r="AM6132">
        <v>84.060433337491901</v>
      </c>
      <c r="AN6132">
        <v>0.99999996052552798</v>
      </c>
    </row>
    <row r="6133" spans="1:40" x14ac:dyDescent="0.25">
      <c r="A6133" t="str">
        <f>"20190304164808616"</f>
        <v>20190304164808616</v>
      </c>
      <c r="B6133" t="str">
        <f>"1551689288605591"</f>
        <v>1551689288605591</v>
      </c>
      <c r="C6133" t="s">
        <v>40</v>
      </c>
      <c r="D6133">
        <v>4.7153280000000004</v>
      </c>
      <c r="E6133">
        <v>0.56225599999999998</v>
      </c>
      <c r="F6133" t="s">
        <v>41</v>
      </c>
      <c r="G6133">
        <v>-184.80670000000001</v>
      </c>
      <c r="H6133">
        <v>0.94344600000000001</v>
      </c>
      <c r="I6133">
        <v>122.46080000000001</v>
      </c>
      <c r="J6133">
        <v>-185.15790000000001</v>
      </c>
      <c r="K6133">
        <v>1.107726</v>
      </c>
      <c r="L6133">
        <v>121.869</v>
      </c>
      <c r="M6133">
        <v>0.26398149999999998</v>
      </c>
      <c r="N6133">
        <v>-1.4277140000000001E-2</v>
      </c>
      <c r="O6133">
        <v>0.964422</v>
      </c>
      <c r="P6133">
        <v>0.33598460000000002</v>
      </c>
      <c r="Q6133">
        <v>0.35417579999999999</v>
      </c>
      <c r="R6133">
        <v>0.8727393</v>
      </c>
      <c r="S6133">
        <v>1.5427550000000001</v>
      </c>
      <c r="T6133">
        <v>-0.5946593</v>
      </c>
      <c r="U6133">
        <v>3.0867610000000001</v>
      </c>
      <c r="V6133">
        <v>9.6706909999999993E-2</v>
      </c>
      <c r="W6133">
        <v>0.36663259999999998</v>
      </c>
      <c r="X6133">
        <v>0.92532599999999998</v>
      </c>
      <c r="Y6133">
        <v>0.18923899999999999</v>
      </c>
      <c r="Z6133">
        <v>-0.1549557</v>
      </c>
      <c r="AA6133">
        <v>0.96962740000000003</v>
      </c>
      <c r="AB6133">
        <v>28</v>
      </c>
      <c r="AC6133">
        <v>0.35120000000000501</v>
      </c>
      <c r="AD6133">
        <v>-0.16428000000000001</v>
      </c>
      <c r="AE6133">
        <v>0.59180000000000599</v>
      </c>
      <c r="AF6133">
        <v>0.17265976547499001</v>
      </c>
      <c r="AG6133">
        <v>-0.16428000000000001</v>
      </c>
      <c r="AH6133">
        <v>0.62774853569769895</v>
      </c>
      <c r="AI6133">
        <v>104.16164978395101</v>
      </c>
      <c r="AJ6133">
        <v>74.621294937685903</v>
      </c>
      <c r="AK6133">
        <v>0.67146670586447099</v>
      </c>
      <c r="AL6133">
        <v>68.491908541707502</v>
      </c>
      <c r="AM6133">
        <v>84.033610495883593</v>
      </c>
      <c r="AN6133">
        <v>0.99999994805025205</v>
      </c>
    </row>
    <row r="6134" spans="1:40" x14ac:dyDescent="0.25">
      <c r="A6134" t="str">
        <f>"20190304164808630"</f>
        <v>20190304164808630</v>
      </c>
      <c r="B6134" t="str">
        <f>"1551689288625111"</f>
        <v>1551689288625111</v>
      </c>
      <c r="C6134" t="s">
        <v>40</v>
      </c>
      <c r="D6134">
        <v>4.7261449999999998</v>
      </c>
      <c r="E6134">
        <v>0.5626215</v>
      </c>
      <c r="F6134" t="s">
        <v>41</v>
      </c>
      <c r="G6134">
        <v>-184.73589999999999</v>
      </c>
      <c r="H6134">
        <v>0.94579179999999996</v>
      </c>
      <c r="I6134">
        <v>122.7025</v>
      </c>
      <c r="J6134">
        <v>-185.10390000000001</v>
      </c>
      <c r="K6134">
        <v>1.1077319999999999</v>
      </c>
      <c r="L6134">
        <v>122.05410000000001</v>
      </c>
      <c r="M6134">
        <v>0.26693430000000001</v>
      </c>
      <c r="N6134">
        <v>-1.4274770000000001E-2</v>
      </c>
      <c r="O6134">
        <v>0.96360900000000005</v>
      </c>
      <c r="P6134">
        <v>0.33857490000000001</v>
      </c>
      <c r="Q6134">
        <v>0.35414030000000002</v>
      </c>
      <c r="R6134">
        <v>0.87175210000000003</v>
      </c>
      <c r="S6134">
        <v>1.5591740000000001</v>
      </c>
      <c r="T6134">
        <v>-0.59834129999999996</v>
      </c>
      <c r="U6134">
        <v>3.0800169999999998</v>
      </c>
      <c r="V6134">
        <v>9.6610740000000001E-2</v>
      </c>
      <c r="W6134">
        <v>0.36659760000000002</v>
      </c>
      <c r="X6134">
        <v>0.92535000000000001</v>
      </c>
      <c r="Y6134">
        <v>0.191131</v>
      </c>
      <c r="Z6134">
        <v>-0.155883299999999</v>
      </c>
      <c r="AA6134">
        <v>0.96910750000000001</v>
      </c>
      <c r="AB6134">
        <v>28</v>
      </c>
      <c r="AC6134">
        <v>0.36800000000002298</v>
      </c>
      <c r="AD6134">
        <v>-0.16194019999999901</v>
      </c>
      <c r="AE6134">
        <v>0.64839999999999498</v>
      </c>
      <c r="AF6134">
        <v>0.173367020301884</v>
      </c>
      <c r="AG6134">
        <v>-0.16194019999999901</v>
      </c>
      <c r="AH6134">
        <v>0.69053060716307102</v>
      </c>
      <c r="AI6134">
        <v>102.814279012032</v>
      </c>
      <c r="AJ6134">
        <v>75.906422035756506</v>
      </c>
      <c r="AK6134">
        <v>0.730146061780377</v>
      </c>
      <c r="AL6134">
        <v>68.494065797327906</v>
      </c>
      <c r="AM6134">
        <v>84.039654503583904</v>
      </c>
      <c r="AN6134">
        <v>1.0000000289545501</v>
      </c>
    </row>
    <row r="6135" spans="1:40" x14ac:dyDescent="0.25">
      <c r="A6135" t="str">
        <f>"20190304164808649"</f>
        <v>20190304164808649</v>
      </c>
      <c r="B6135" t="str">
        <f>"1551689288645607"</f>
        <v>1551689288645607</v>
      </c>
      <c r="C6135" t="s">
        <v>40</v>
      </c>
      <c r="D6135">
        <v>4.7260210000000002</v>
      </c>
      <c r="E6135">
        <v>0.56296250000000003</v>
      </c>
      <c r="F6135" t="s">
        <v>41</v>
      </c>
      <c r="G6135">
        <v>-184.76169999999999</v>
      </c>
      <c r="H6135">
        <v>0.97681180000000001</v>
      </c>
      <c r="I6135">
        <v>122.7236</v>
      </c>
      <c r="J6135">
        <v>-185.04050000000001</v>
      </c>
      <c r="K6135">
        <v>1.1077379999999999</v>
      </c>
      <c r="L6135">
        <v>122.2684</v>
      </c>
      <c r="M6135">
        <v>0.27035350000000002</v>
      </c>
      <c r="N6135">
        <v>-1.4272099999999999E-2</v>
      </c>
      <c r="O6135">
        <v>0.96265540000000005</v>
      </c>
      <c r="P6135">
        <v>0.34133400000000003</v>
      </c>
      <c r="Q6135">
        <v>0.35433109999999901</v>
      </c>
      <c r="R6135">
        <v>0.87059779999999998</v>
      </c>
      <c r="S6135">
        <v>1.5714570000000001</v>
      </c>
      <c r="T6135">
        <v>-0.60125969999999995</v>
      </c>
      <c r="U6135">
        <v>3.075256</v>
      </c>
      <c r="V6135">
        <v>9.6271049999999997E-2</v>
      </c>
      <c r="W6135">
        <v>0.36678929999999998</v>
      </c>
      <c r="X6135">
        <v>0.92530939999999995</v>
      </c>
      <c r="Y6135">
        <v>0.19127379999999999</v>
      </c>
      <c r="Z6135">
        <v>-0.15654299999999999</v>
      </c>
      <c r="AA6135">
        <v>0.96897299999999997</v>
      </c>
      <c r="AB6135">
        <v>28</v>
      </c>
      <c r="AC6135">
        <v>0.27880000000001798</v>
      </c>
      <c r="AD6135">
        <v>-0.13092619999999899</v>
      </c>
      <c r="AE6135">
        <v>0.45520000000000399</v>
      </c>
      <c r="AF6135">
        <v>0.13709087153403801</v>
      </c>
      <c r="AG6135">
        <v>-0.13092619999999899</v>
      </c>
      <c r="AH6135">
        <v>0.484481361346776</v>
      </c>
      <c r="AI6135">
        <v>104.575837065272</v>
      </c>
      <c r="AJ6135">
        <v>74.200387061107804</v>
      </c>
      <c r="AK6135">
        <v>0.52024779326473602</v>
      </c>
      <c r="AL6135">
        <v>68.482259062139605</v>
      </c>
      <c r="AM6135">
        <v>84.0602026612912</v>
      </c>
      <c r="AN6135">
        <v>0.99999999569547604</v>
      </c>
    </row>
    <row r="6136" spans="1:40" x14ac:dyDescent="0.25">
      <c r="A6136" t="str">
        <f>"20190304164808672"</f>
        <v>20190304164808672</v>
      </c>
      <c r="B6136" t="str">
        <f>"1551689288666103"</f>
        <v>1551689288666103</v>
      </c>
      <c r="C6136" t="s">
        <v>40</v>
      </c>
      <c r="D6136">
        <v>4.7495190000000003</v>
      </c>
      <c r="E6136">
        <v>0.56326529999999997</v>
      </c>
      <c r="F6136" t="s">
        <v>41</v>
      </c>
      <c r="G6136">
        <v>-184.68340000000001</v>
      </c>
      <c r="H6136">
        <v>0.97190129999999997</v>
      </c>
      <c r="I6136">
        <v>122.9597</v>
      </c>
      <c r="J6136">
        <v>-184.95400000000001</v>
      </c>
      <c r="K6136">
        <v>1.1077490000000001</v>
      </c>
      <c r="L6136">
        <v>122.5569</v>
      </c>
      <c r="M6136">
        <v>0.27495720000000001</v>
      </c>
      <c r="N6136">
        <v>-1.426853E-2</v>
      </c>
      <c r="O6136">
        <v>0.96135060000000006</v>
      </c>
      <c r="P6136">
        <v>0.34556379999999998</v>
      </c>
      <c r="Q6136">
        <v>0.3542283</v>
      </c>
      <c r="R6136">
        <v>0.86896949999999995</v>
      </c>
      <c r="S6136">
        <v>1.5852200000000001</v>
      </c>
      <c r="T6136">
        <v>-0.60302690000000003</v>
      </c>
      <c r="U6136">
        <v>3.0698240000000001</v>
      </c>
      <c r="V6136">
        <v>9.6322450000000004E-2</v>
      </c>
      <c r="W6136">
        <v>0.3666855</v>
      </c>
      <c r="X6136">
        <v>0.92534519999999998</v>
      </c>
      <c r="Y6136">
        <v>0.1906842</v>
      </c>
      <c r="Z6136">
        <v>-0.15682679999999999</v>
      </c>
      <c r="AA6136">
        <v>0.96904330000000005</v>
      </c>
      <c r="AB6136">
        <v>28</v>
      </c>
      <c r="AC6136">
        <v>0.27060000000000101</v>
      </c>
      <c r="AD6136">
        <v>-0.13584769999999899</v>
      </c>
      <c r="AE6136">
        <v>0.40279999999999899</v>
      </c>
      <c r="AF6136">
        <v>0.13854571449931</v>
      </c>
      <c r="AG6136">
        <v>-0.13584769999999899</v>
      </c>
      <c r="AH6136">
        <v>0.42812881195051</v>
      </c>
      <c r="AI6136">
        <v>106.798636426461</v>
      </c>
      <c r="AJ6136">
        <v>72.068027721520494</v>
      </c>
      <c r="AK6136">
        <v>0.47004658516318298</v>
      </c>
      <c r="AL6136">
        <v>68.488651983756498</v>
      </c>
      <c r="AM6136">
        <v>84.057282316778199</v>
      </c>
      <c r="AN6136">
        <v>1.0000000047236399</v>
      </c>
    </row>
    <row r="6137" spans="1:40" x14ac:dyDescent="0.25">
      <c r="A6137" t="str">
        <f>"20190304164808695"</f>
        <v>20190304164808695</v>
      </c>
      <c r="B6137" t="str">
        <f>"1551689288685623"</f>
        <v>1551689288685623</v>
      </c>
      <c r="C6137" t="s">
        <v>40</v>
      </c>
      <c r="D6137">
        <v>4.7871269999999999</v>
      </c>
      <c r="E6137">
        <v>0.56352869999999899</v>
      </c>
      <c r="F6137" t="s">
        <v>41</v>
      </c>
      <c r="G6137">
        <v>-184.61519999999999</v>
      </c>
      <c r="H6137">
        <v>0.97957629999999996</v>
      </c>
      <c r="I6137">
        <v>123.2042</v>
      </c>
      <c r="J6137">
        <v>-184.87469999999999</v>
      </c>
      <c r="K6137">
        <v>1.107756</v>
      </c>
      <c r="L6137">
        <v>122.8172</v>
      </c>
      <c r="M6137">
        <v>0.27911209999999997</v>
      </c>
      <c r="N6137">
        <v>-1.426532E-2</v>
      </c>
      <c r="O6137">
        <v>0.96015260000000002</v>
      </c>
      <c r="P6137">
        <v>0.349516099999999</v>
      </c>
      <c r="Q6137">
        <v>0.35378949999999998</v>
      </c>
      <c r="R6137">
        <v>0.86756650000000002</v>
      </c>
      <c r="S6137">
        <v>1.6027530000000001</v>
      </c>
      <c r="T6137">
        <v>-0.60625739999999995</v>
      </c>
      <c r="U6137">
        <v>3.0621339999999999</v>
      </c>
      <c r="V6137">
        <v>9.6473030000000001E-2</v>
      </c>
      <c r="W6137">
        <v>0.36624669999999998</v>
      </c>
      <c r="X6137">
        <v>0.92550330000000003</v>
      </c>
      <c r="Y6137">
        <v>0.19173509999999999</v>
      </c>
      <c r="Z6137">
        <v>-0.15757189999999999</v>
      </c>
      <c r="AA6137">
        <v>0.96871499999999999</v>
      </c>
      <c r="AB6137">
        <v>28</v>
      </c>
      <c r="AC6137">
        <v>0.25950000000000201</v>
      </c>
      <c r="AD6137">
        <v>-0.12817969999999901</v>
      </c>
      <c r="AE6137">
        <v>0.38700000000000001</v>
      </c>
      <c r="AF6137">
        <v>0.13122680902258299</v>
      </c>
      <c r="AG6137">
        <v>-0.12817969999999901</v>
      </c>
      <c r="AH6137">
        <v>0.41281358786587002</v>
      </c>
      <c r="AI6137">
        <v>106.484086513294</v>
      </c>
      <c r="AJ6137">
        <v>72.365375347626497</v>
      </c>
      <c r="AK6137">
        <v>0.451736172145903</v>
      </c>
      <c r="AL6137">
        <v>68.515673647081798</v>
      </c>
      <c r="AM6137">
        <v>84.049068209718897</v>
      </c>
      <c r="AN6137">
        <v>1.0000000245445799</v>
      </c>
    </row>
    <row r="6138" spans="1:40" x14ac:dyDescent="0.25">
      <c r="A6138" t="str">
        <f>"20190304164808710"</f>
        <v>20190304164808710</v>
      </c>
      <c r="B6138" t="str">
        <f>"1551689288706119"</f>
        <v>1551689288706119</v>
      </c>
      <c r="C6138" t="s">
        <v>40</v>
      </c>
      <c r="D6138">
        <v>4.7407389999999996</v>
      </c>
      <c r="E6138">
        <v>0.56376119999999996</v>
      </c>
      <c r="F6138" t="s">
        <v>41</v>
      </c>
      <c r="G6138">
        <v>-184.43190000000001</v>
      </c>
      <c r="H6138">
        <v>0.94052729999999996</v>
      </c>
      <c r="I6138">
        <v>123.65349999999999</v>
      </c>
      <c r="J6138">
        <v>-184.8194</v>
      </c>
      <c r="K6138">
        <v>1.107761</v>
      </c>
      <c r="L6138">
        <v>122.9958</v>
      </c>
      <c r="M6138">
        <v>0.28196359999999998</v>
      </c>
      <c r="N6138">
        <v>-1.4263090000000001E-2</v>
      </c>
      <c r="O6138">
        <v>0.95931909999999998</v>
      </c>
      <c r="P6138">
        <v>0.35208879999999998</v>
      </c>
      <c r="Q6138">
        <v>0.35368309999999997</v>
      </c>
      <c r="R6138">
        <v>0.86656900000000003</v>
      </c>
      <c r="S6138">
        <v>1.617828</v>
      </c>
      <c r="T6138">
        <v>-0.61094879999999996</v>
      </c>
      <c r="U6138">
        <v>3.0553129999999999</v>
      </c>
      <c r="V6138">
        <v>9.6450910000000001E-2</v>
      </c>
      <c r="W6138">
        <v>0.36614020000000003</v>
      </c>
      <c r="X6138">
        <v>0.92554769999999997</v>
      </c>
      <c r="Y6138">
        <v>0.19334960000000001</v>
      </c>
      <c r="Z6138">
        <v>-0.15877749999999999</v>
      </c>
      <c r="AA6138">
        <v>0.96819710000000003</v>
      </c>
      <c r="AB6138">
        <v>28</v>
      </c>
      <c r="AC6138">
        <v>0.38749999999998802</v>
      </c>
      <c r="AD6138">
        <v>-0.16723369999999901</v>
      </c>
      <c r="AE6138">
        <v>0.65769999999999096</v>
      </c>
      <c r="AF6138">
        <v>0.17777554657133199</v>
      </c>
      <c r="AG6138">
        <v>-0.16723369999999901</v>
      </c>
      <c r="AH6138">
        <v>0.706378681886074</v>
      </c>
      <c r="AI6138">
        <v>102.930377966148</v>
      </c>
      <c r="AJ6138">
        <v>75.873643150170196</v>
      </c>
      <c r="AK6138">
        <v>0.74735674051789602</v>
      </c>
      <c r="AL6138">
        <v>68.522230237097006</v>
      </c>
      <c r="AM6138">
        <v>84.050706255492798</v>
      </c>
      <c r="AN6138">
        <v>0.99999998453557803</v>
      </c>
    </row>
    <row r="6139" spans="1:40" x14ac:dyDescent="0.25">
      <c r="A6139" t="str">
        <f>"20190304164808728"</f>
        <v>20190304164808728</v>
      </c>
      <c r="B6139" t="str">
        <f>"1551689288715879"</f>
        <v>1551689288715879</v>
      </c>
      <c r="C6139" t="s">
        <v>40</v>
      </c>
      <c r="D6139">
        <v>4.6672650000000004</v>
      </c>
      <c r="E6139">
        <v>0.56390850000000003</v>
      </c>
      <c r="F6139" t="s">
        <v>41</v>
      </c>
      <c r="G6139">
        <v>-184.4572</v>
      </c>
      <c r="H6139">
        <v>0.9710474</v>
      </c>
      <c r="I6139">
        <v>123.6747</v>
      </c>
      <c r="J6139">
        <v>-184.74959999999999</v>
      </c>
      <c r="K6139">
        <v>1.1077669999999999</v>
      </c>
      <c r="L6139">
        <v>123.21899999999999</v>
      </c>
      <c r="M6139">
        <v>0.28552850000000002</v>
      </c>
      <c r="N6139">
        <v>-1.426034E-2</v>
      </c>
      <c r="O6139">
        <v>0.95826409999999995</v>
      </c>
      <c r="P6139">
        <v>0.35508859999999998</v>
      </c>
      <c r="Q6139">
        <v>0.35367159999999997</v>
      </c>
      <c r="R6139">
        <v>0.86534880000000003</v>
      </c>
      <c r="S6139">
        <v>1.6280059999999901</v>
      </c>
      <c r="T6139">
        <v>-0.61452959999999901</v>
      </c>
      <c r="U6139">
        <v>3.0512999999999999</v>
      </c>
      <c r="V6139">
        <v>9.6206639999999996E-2</v>
      </c>
      <c r="W6139">
        <v>0.36612990000000001</v>
      </c>
      <c r="X6139">
        <v>0.92557719999999999</v>
      </c>
      <c r="Y6139">
        <v>0.19267989999999999</v>
      </c>
      <c r="Z6139">
        <v>-0.15958069999999999</v>
      </c>
      <c r="AA6139">
        <v>0.96819860000000002</v>
      </c>
      <c r="AB6139">
        <v>28</v>
      </c>
      <c r="AC6139">
        <v>0.292399999999986</v>
      </c>
      <c r="AD6139">
        <v>-0.136719599999999</v>
      </c>
      <c r="AE6139">
        <v>0.45570000000000699</v>
      </c>
      <c r="AF6139">
        <v>0.14109966634268001</v>
      </c>
      <c r="AG6139">
        <v>-0.136719599999999</v>
      </c>
      <c r="AH6139">
        <v>0.489040577037893</v>
      </c>
      <c r="AI6139">
        <v>105.035326208973</v>
      </c>
      <c r="AJ6139">
        <v>73.905909809327497</v>
      </c>
      <c r="AK6139">
        <v>0.52703135661526901</v>
      </c>
      <c r="AL6139">
        <v>68.522864480439296</v>
      </c>
      <c r="AM6139">
        <v>84.065853470317904</v>
      </c>
      <c r="AN6139">
        <v>0.99999998720696903</v>
      </c>
    </row>
    <row r="6140" spans="1:40" x14ac:dyDescent="0.25">
      <c r="A6140" t="str">
        <f>"20190304164808751"</f>
        <v>20190304164808751</v>
      </c>
      <c r="B6140" t="str">
        <f>"1551689288746135"</f>
        <v>1551689288746135</v>
      </c>
      <c r="C6140" t="s">
        <v>40</v>
      </c>
      <c r="D6140">
        <v>4.6753660000000004</v>
      </c>
      <c r="E6140">
        <v>0.56432720000000003</v>
      </c>
      <c r="F6140" t="s">
        <v>41</v>
      </c>
      <c r="G6140">
        <v>-184.37790000000001</v>
      </c>
      <c r="H6140">
        <v>0.96825470000000002</v>
      </c>
      <c r="I6140">
        <v>123.91</v>
      </c>
      <c r="J6140">
        <v>-184.6618</v>
      </c>
      <c r="K6140">
        <v>1.107769</v>
      </c>
      <c r="L6140">
        <v>123.4962</v>
      </c>
      <c r="M6140">
        <v>0.28995389999999999</v>
      </c>
      <c r="N6140">
        <v>-1.425686E-2</v>
      </c>
      <c r="O6140">
        <v>0.95693450000000002</v>
      </c>
      <c r="P6140">
        <v>0.35929919999999999</v>
      </c>
      <c r="Q6140">
        <v>0.35380919999999999</v>
      </c>
      <c r="R6140">
        <v>0.8635526</v>
      </c>
      <c r="S6140">
        <v>1.638077</v>
      </c>
      <c r="T6140">
        <v>-0.61486039999999997</v>
      </c>
      <c r="U6140">
        <v>3.0459290000000001</v>
      </c>
      <c r="V6140">
        <v>9.6448190000000003E-2</v>
      </c>
      <c r="W6140">
        <v>0.36626340000000002</v>
      </c>
      <c r="X6140">
        <v>0.92549919999999997</v>
      </c>
      <c r="Y6140">
        <v>0.19134509999999999</v>
      </c>
      <c r="Z6140">
        <v>-0.15950619999999999</v>
      </c>
      <c r="AA6140">
        <v>0.96847550000000004</v>
      </c>
      <c r="AB6140">
        <v>28</v>
      </c>
      <c r="AC6140">
        <v>0.283899999999988</v>
      </c>
      <c r="AD6140">
        <v>-0.13951430000000001</v>
      </c>
      <c r="AE6140">
        <v>0.41379999999999401</v>
      </c>
      <c r="AF6140">
        <v>0.14082188150591499</v>
      </c>
      <c r="AG6140">
        <v>-0.13951430000000001</v>
      </c>
      <c r="AH6140">
        <v>0.44402659564068903</v>
      </c>
      <c r="AI6140">
        <v>106.67301680219499</v>
      </c>
      <c r="AJ6140">
        <v>72.403710879253495</v>
      </c>
      <c r="AK6140">
        <v>0.48626603814333602</v>
      </c>
      <c r="AL6140">
        <v>68.514643683409403</v>
      </c>
      <c r="AM6140">
        <v>84.050563304611003</v>
      </c>
      <c r="AN6140">
        <v>0.99999995036723599</v>
      </c>
    </row>
    <row r="6141" spans="1:40" x14ac:dyDescent="0.25">
      <c r="A6141" t="str">
        <f>"20190304164808775"</f>
        <v>20190304164808775</v>
      </c>
      <c r="B6141" t="str">
        <f>"1551689288765655"</f>
        <v>1551689288765655</v>
      </c>
      <c r="C6141" t="s">
        <v>40</v>
      </c>
      <c r="D6141">
        <v>4.6747009999999998</v>
      </c>
      <c r="E6141">
        <v>0.56460390000000005</v>
      </c>
      <c r="F6141" t="s">
        <v>41</v>
      </c>
      <c r="G6141">
        <v>-184.30500000000001</v>
      </c>
      <c r="H6141">
        <v>0.97510110000000005</v>
      </c>
      <c r="I6141">
        <v>124.1514</v>
      </c>
      <c r="J6141">
        <v>-184.57409999999999</v>
      </c>
      <c r="K6141">
        <v>1.1077809999999999</v>
      </c>
      <c r="L6141">
        <v>123.76819999999999</v>
      </c>
      <c r="M6141">
        <v>0.29429870000000002</v>
      </c>
      <c r="N6141">
        <v>-1.4253460000000001E-2</v>
      </c>
      <c r="O6141">
        <v>0.95560719999999999</v>
      </c>
      <c r="P6141">
        <v>0.36175590000000002</v>
      </c>
      <c r="Q6141">
        <v>0.3541319</v>
      </c>
      <c r="R6141">
        <v>0.86239390000000005</v>
      </c>
      <c r="S6141">
        <v>1.6538849999999901</v>
      </c>
      <c r="T6141">
        <v>-0.61500429999999995</v>
      </c>
      <c r="U6141">
        <v>3.0378569999999998</v>
      </c>
      <c r="V6141">
        <v>9.4902730000000005E-2</v>
      </c>
      <c r="W6141">
        <v>0.36659799999999998</v>
      </c>
      <c r="X6141">
        <v>0.92552650000000003</v>
      </c>
      <c r="Y6141">
        <v>0.1918591</v>
      </c>
      <c r="Z6141">
        <v>-0.1594121</v>
      </c>
      <c r="AA6141">
        <v>0.96838930000000001</v>
      </c>
      <c r="AB6141">
        <v>28</v>
      </c>
      <c r="AC6141">
        <v>0.26909999999998002</v>
      </c>
      <c r="AD6141">
        <v>-0.13267989999999899</v>
      </c>
      <c r="AE6141">
        <v>0.38320000000000198</v>
      </c>
      <c r="AF6141">
        <v>0.13366172135169199</v>
      </c>
      <c r="AG6141">
        <v>-0.13267989999999899</v>
      </c>
      <c r="AH6141">
        <v>0.41232453264936297</v>
      </c>
      <c r="AI6141">
        <v>107.019535131674</v>
      </c>
      <c r="AJ6141">
        <v>72.039052635864493</v>
      </c>
      <c r="AK6141">
        <v>0.45330004615400499</v>
      </c>
      <c r="AL6141">
        <v>68.494039652085107</v>
      </c>
      <c r="AM6141">
        <v>84.145399411650402</v>
      </c>
      <c r="AN6141">
        <v>0.99999996198384999</v>
      </c>
    </row>
    <row r="6142" spans="1:40" x14ac:dyDescent="0.25">
      <c r="A6142" t="str">
        <f>"20190304164808794"</f>
        <v>20190304164808794</v>
      </c>
      <c r="B6142" t="str">
        <f>"1551689288785177"</f>
        <v>1551689288785177</v>
      </c>
      <c r="C6142" t="s">
        <v>40</v>
      </c>
      <c r="D6142">
        <v>4.7589649999999999</v>
      </c>
      <c r="E6142">
        <v>0.56487830000000006</v>
      </c>
      <c r="F6142" t="s">
        <v>41</v>
      </c>
      <c r="G6142">
        <v>-184.11850000000001</v>
      </c>
      <c r="H6142">
        <v>0.93983779999999995</v>
      </c>
      <c r="I6142">
        <v>124.5981</v>
      </c>
      <c r="J6142">
        <v>-184.4965</v>
      </c>
      <c r="K6142">
        <v>1.1077920000000001</v>
      </c>
      <c r="L6142">
        <v>124.0055</v>
      </c>
      <c r="M6142">
        <v>0.29809170000000001</v>
      </c>
      <c r="N6142">
        <v>-1.4250489999999999E-2</v>
      </c>
      <c r="O6142">
        <v>0.95443089999999997</v>
      </c>
      <c r="P6142">
        <v>0.36334109999999997</v>
      </c>
      <c r="Q6142">
        <v>0.35451919999999998</v>
      </c>
      <c r="R6142">
        <v>0.861568</v>
      </c>
      <c r="S6142">
        <v>1.66519199999999</v>
      </c>
      <c r="T6142">
        <v>-0.61368819999999902</v>
      </c>
      <c r="U6142">
        <v>3.0321959999999999</v>
      </c>
      <c r="V6142">
        <v>9.2962030000000001E-2</v>
      </c>
      <c r="W6142">
        <v>0.3670004</v>
      </c>
      <c r="X6142">
        <v>0.9255641</v>
      </c>
      <c r="Y6142">
        <v>0.1915384</v>
      </c>
      <c r="Z6142">
        <v>-0.15890760000000001</v>
      </c>
      <c r="AA6142">
        <v>0.9685357</v>
      </c>
      <c r="AB6142">
        <v>28</v>
      </c>
      <c r="AC6142">
        <v>0.37799999999998501</v>
      </c>
      <c r="AD6142">
        <v>-0.1679542</v>
      </c>
      <c r="AE6142">
        <v>0.59260000000000401</v>
      </c>
      <c r="AF6142">
        <v>0.17419845348583299</v>
      </c>
      <c r="AG6142">
        <v>-0.1679542</v>
      </c>
      <c r="AH6142">
        <v>0.64170471076041302</v>
      </c>
      <c r="AI6142">
        <v>104.175815790043</v>
      </c>
      <c r="AJ6142">
        <v>74.812378089402898</v>
      </c>
      <c r="AK6142">
        <v>0.68581240168620605</v>
      </c>
      <c r="AL6142">
        <v>68.469258837445906</v>
      </c>
      <c r="AM6142">
        <v>84.264547198919402</v>
      </c>
      <c r="AN6142">
        <v>1.00000006791534</v>
      </c>
    </row>
    <row r="6143" spans="1:40" x14ac:dyDescent="0.25">
      <c r="A6143" t="str">
        <f>"20190304164808818"</f>
        <v>20190304164808818</v>
      </c>
      <c r="B6143" t="str">
        <f>"1551689288805672"</f>
        <v>1551689288805672</v>
      </c>
      <c r="C6143" t="s">
        <v>40</v>
      </c>
      <c r="D6143">
        <v>4.8091819999999998</v>
      </c>
      <c r="E6143">
        <v>0.57696559999999997</v>
      </c>
      <c r="F6143" t="s">
        <v>41</v>
      </c>
      <c r="G6143">
        <v>-184.03880000000001</v>
      </c>
      <c r="H6143">
        <v>0.94036960000000003</v>
      </c>
      <c r="I6143">
        <v>124.8334</v>
      </c>
      <c r="J6143">
        <v>-184.40690000000001</v>
      </c>
      <c r="K6143">
        <v>1.107799</v>
      </c>
      <c r="L6143">
        <v>124.2756</v>
      </c>
      <c r="M6143">
        <v>0.3024135</v>
      </c>
      <c r="N6143">
        <v>-1.424716E-2</v>
      </c>
      <c r="O6143">
        <v>0.95307030000000004</v>
      </c>
      <c r="P6143">
        <v>0.3667472</v>
      </c>
      <c r="Q6143">
        <v>0.35486889999999999</v>
      </c>
      <c r="R6143">
        <v>0.85997939999999995</v>
      </c>
      <c r="S6143">
        <v>1.67349199999999</v>
      </c>
      <c r="T6143">
        <v>-0.61219480000000004</v>
      </c>
      <c r="U6143">
        <v>3.0281980000000002</v>
      </c>
      <c r="V6143">
        <v>9.2467499999999994E-2</v>
      </c>
      <c r="W6143">
        <v>0.3673517</v>
      </c>
      <c r="X6143">
        <v>0.92547420000000002</v>
      </c>
      <c r="Y6143">
        <v>0.18971569999999999</v>
      </c>
      <c r="Z6143">
        <v>-0.1582894</v>
      </c>
      <c r="AA6143">
        <v>0.96899559999999996</v>
      </c>
      <c r="AB6143">
        <v>28</v>
      </c>
      <c r="AC6143">
        <v>0.36809999999999798</v>
      </c>
      <c r="AD6143">
        <v>-0.16742939999999901</v>
      </c>
      <c r="AE6143">
        <v>0.55779999999999996</v>
      </c>
      <c r="AF6143">
        <v>0.17139977023553299</v>
      </c>
      <c r="AG6143">
        <v>-0.16742939999999901</v>
      </c>
      <c r="AH6143">
        <v>0.60503235250426102</v>
      </c>
      <c r="AI6143">
        <v>104.909149257702</v>
      </c>
      <c r="AJ6143">
        <v>74.183090796099606</v>
      </c>
      <c r="AK6143">
        <v>0.65074928566844703</v>
      </c>
      <c r="AL6143">
        <v>68.447617863332894</v>
      </c>
      <c r="AM6143">
        <v>84.294305734925899</v>
      </c>
      <c r="AN6143">
        <v>1.0000000024573801</v>
      </c>
    </row>
    <row r="6144" spans="1:40" x14ac:dyDescent="0.25">
      <c r="A6144" t="str">
        <f>"20190304164808840"</f>
        <v>20190304164808840</v>
      </c>
      <c r="B6144" t="str">
        <f>"1551689288835927"</f>
        <v>1551689288835927</v>
      </c>
      <c r="C6144" t="s">
        <v>40</v>
      </c>
      <c r="D6144">
        <v>4.8218439999999996</v>
      </c>
      <c r="E6144">
        <v>0.57728409999999997</v>
      </c>
      <c r="F6144" t="s">
        <v>41</v>
      </c>
      <c r="G6144">
        <v>-183.92859999999999</v>
      </c>
      <c r="H6144">
        <v>0.96932629999999997</v>
      </c>
      <c r="I6144">
        <v>125.07340000000001</v>
      </c>
      <c r="J6144">
        <v>-184.31649999999999</v>
      </c>
      <c r="K6144">
        <v>1.1078079999999999</v>
      </c>
      <c r="L6144">
        <v>124.5438</v>
      </c>
      <c r="M6144">
        <v>0.3067124</v>
      </c>
      <c r="N6144">
        <v>-1.424397E-2</v>
      </c>
      <c r="O6144">
        <v>0.95169559999999997</v>
      </c>
      <c r="P6144">
        <v>0.37193900000000002</v>
      </c>
      <c r="Q6144">
        <v>0.3546607</v>
      </c>
      <c r="R6144">
        <v>0.85783279999999995</v>
      </c>
      <c r="S6144">
        <v>1.766113</v>
      </c>
      <c r="T6144">
        <v>-0.51132820000000001</v>
      </c>
      <c r="U6144">
        <v>2.946259</v>
      </c>
      <c r="V6144">
        <v>9.3859739999999997E-2</v>
      </c>
      <c r="W6144">
        <v>0.3671295</v>
      </c>
      <c r="X6144">
        <v>0.92542230000000003</v>
      </c>
      <c r="Y6144">
        <v>0.2213049</v>
      </c>
      <c r="Z6144">
        <v>-0.13235450000000001</v>
      </c>
      <c r="AA6144">
        <v>0.96618130000000002</v>
      </c>
      <c r="AB6144">
        <v>28</v>
      </c>
      <c r="AC6144">
        <v>0.38790000000000102</v>
      </c>
      <c r="AD6144">
        <v>-0.13848169999999899</v>
      </c>
      <c r="AE6144">
        <v>0.52960000000000196</v>
      </c>
      <c r="AF6144">
        <v>0.19794036600827999</v>
      </c>
      <c r="AG6144">
        <v>-0.13848169999999899</v>
      </c>
      <c r="AH6144">
        <v>0.59650994886632602</v>
      </c>
      <c r="AI6144">
        <v>102.425943415124</v>
      </c>
      <c r="AJ6144">
        <v>71.642566658812498</v>
      </c>
      <c r="AK6144">
        <v>0.64356949028592803</v>
      </c>
      <c r="AL6144">
        <v>68.461307072480494</v>
      </c>
      <c r="AM6144">
        <v>84.208654782546205</v>
      </c>
      <c r="AN6144">
        <v>1.0000000769502</v>
      </c>
    </row>
    <row r="6145" spans="1:40" x14ac:dyDescent="0.25">
      <c r="A6145" t="str">
        <f>"20190304164808854"</f>
        <v>20190304164808854</v>
      </c>
      <c r="B6145" t="str">
        <f>"1551689288845687"</f>
        <v>1551689288845687</v>
      </c>
      <c r="C6145" t="s">
        <v>40</v>
      </c>
      <c r="D6145">
        <v>4.8095600000000003</v>
      </c>
      <c r="E6145">
        <v>0.57733900000000005</v>
      </c>
      <c r="F6145" t="s">
        <v>41</v>
      </c>
      <c r="G6145">
        <v>-183.85069999999999</v>
      </c>
      <c r="H6145">
        <v>0.97469950000000005</v>
      </c>
      <c r="I6145">
        <v>125.3107</v>
      </c>
      <c r="J6145">
        <v>-184.25989999999999</v>
      </c>
      <c r="K6145">
        <v>1.1078129999999999</v>
      </c>
      <c r="L6145">
        <v>124.7101</v>
      </c>
      <c r="M6145">
        <v>0.30938369999999998</v>
      </c>
      <c r="N6145">
        <v>-1.4242009999999999E-2</v>
      </c>
      <c r="O6145">
        <v>0.95083059999999997</v>
      </c>
      <c r="P6145">
        <v>0.37526939999999998</v>
      </c>
      <c r="Q6145">
        <v>0.35460000000000003</v>
      </c>
      <c r="R6145">
        <v>0.85640629999999995</v>
      </c>
      <c r="S6145">
        <v>1.782043</v>
      </c>
      <c r="T6145">
        <v>-0.50923839999999998</v>
      </c>
      <c r="U6145">
        <v>2.9350740000000002</v>
      </c>
      <c r="V6145">
        <v>9.4853160000000006E-2</v>
      </c>
      <c r="W6145">
        <v>0.36705759999999998</v>
      </c>
      <c r="X6145">
        <v>0.92534950000000005</v>
      </c>
      <c r="Y6145">
        <v>0.22406390000000001</v>
      </c>
      <c r="Z6145">
        <v>-0.1318357</v>
      </c>
      <c r="AA6145">
        <v>0.96561620000000004</v>
      </c>
      <c r="AB6145">
        <v>28</v>
      </c>
      <c r="AC6145">
        <v>0.40919999999999801</v>
      </c>
      <c r="AD6145">
        <v>-0.133113499999999</v>
      </c>
      <c r="AE6145">
        <v>0.60060000000000002</v>
      </c>
      <c r="AF6145">
        <v>0.196686108790252</v>
      </c>
      <c r="AG6145">
        <v>-0.133113499999999</v>
      </c>
      <c r="AH6145">
        <v>0.67509108588890798</v>
      </c>
      <c r="AI6145">
        <v>100.71967656599401</v>
      </c>
      <c r="AJ6145">
        <v>73.756649270721098</v>
      </c>
      <c r="AK6145">
        <v>0.71564837980670803</v>
      </c>
      <c r="AL6145">
        <v>68.465735237241105</v>
      </c>
      <c r="AM6145">
        <v>84.147324673766093</v>
      </c>
      <c r="AN6145">
        <v>1.00000005041499</v>
      </c>
    </row>
    <row r="6146" spans="1:40" x14ac:dyDescent="0.25">
      <c r="A6146" t="str">
        <f>"20190304164808873"</f>
        <v>20190304164808873</v>
      </c>
      <c r="B6146" t="str">
        <f>"1551689288865207"</f>
        <v>1551689288865207</v>
      </c>
      <c r="C6146" t="s">
        <v>40</v>
      </c>
      <c r="D6146">
        <v>4.7971399999999997</v>
      </c>
      <c r="E6146">
        <v>0.57733749999999995</v>
      </c>
      <c r="F6146" t="s">
        <v>41</v>
      </c>
      <c r="G6146">
        <v>-183.75479999999999</v>
      </c>
      <c r="H6146">
        <v>0.96409869999999998</v>
      </c>
      <c r="I6146">
        <v>125.5361</v>
      </c>
      <c r="J6146">
        <v>-184.18289999999999</v>
      </c>
      <c r="K6146">
        <v>1.1078129999999999</v>
      </c>
      <c r="L6146">
        <v>124.9335</v>
      </c>
      <c r="M6146">
        <v>0.31299120000000002</v>
      </c>
      <c r="N6146">
        <v>-1.4239760000000001E-2</v>
      </c>
      <c r="O6146">
        <v>0.94964930000000003</v>
      </c>
      <c r="P6146">
        <v>0.3804054</v>
      </c>
      <c r="Q6146">
        <v>0.35316799999999998</v>
      </c>
      <c r="R6146">
        <v>0.8547304</v>
      </c>
      <c r="S6146">
        <v>1.7910919999999999</v>
      </c>
      <c r="T6146">
        <v>-0.5096039</v>
      </c>
      <c r="U6146">
        <v>2.9291689999999999</v>
      </c>
      <c r="V6146">
        <v>9.6715469999999998E-2</v>
      </c>
      <c r="W6146">
        <v>0.36561250000000001</v>
      </c>
      <c r="X6146">
        <v>0.92572869999999996</v>
      </c>
      <c r="Y6146">
        <v>0.22339980000000001</v>
      </c>
      <c r="Z6146">
        <v>-0.13184699999999999</v>
      </c>
      <c r="AA6146">
        <v>0.96576859999999998</v>
      </c>
      <c r="AB6146">
        <v>28</v>
      </c>
      <c r="AC6146">
        <v>0.42809999999999998</v>
      </c>
      <c r="AD6146">
        <v>-0.14371429999999999</v>
      </c>
      <c r="AE6146">
        <v>0.60260000000000902</v>
      </c>
      <c r="AF6146">
        <v>0.21001970948950099</v>
      </c>
      <c r="AG6146">
        <v>-0.14371429999999999</v>
      </c>
      <c r="AH6146">
        <v>0.68059527300647005</v>
      </c>
      <c r="AI6146">
        <v>101.40749320706099</v>
      </c>
      <c r="AJ6146">
        <v>72.850695866352098</v>
      </c>
      <c r="AK6146">
        <v>0.72661682064021604</v>
      </c>
      <c r="AL6146">
        <v>68.554718237033498</v>
      </c>
      <c r="AM6146">
        <v>84.035663135975497</v>
      </c>
      <c r="AN6146">
        <v>1.0000000041486301</v>
      </c>
    </row>
    <row r="6147" spans="1:40" x14ac:dyDescent="0.25">
      <c r="A6147" t="str">
        <f>"20190304164808895"</f>
        <v>20190304164808895</v>
      </c>
      <c r="B6147" t="str">
        <f>"1551689288885707"</f>
        <v>1551689288885707</v>
      </c>
      <c r="C6147" t="s">
        <v>40</v>
      </c>
      <c r="D6147">
        <v>4.8267160000000002</v>
      </c>
      <c r="E6147">
        <v>0.57735380000000003</v>
      </c>
      <c r="F6147" t="s">
        <v>41</v>
      </c>
      <c r="G6147">
        <v>-183.79390000000001</v>
      </c>
      <c r="H6147">
        <v>0.99652859999999999</v>
      </c>
      <c r="I6147">
        <v>125.56189999999999</v>
      </c>
      <c r="J6147">
        <v>-184.09440000000001</v>
      </c>
      <c r="K6147">
        <v>1.10781</v>
      </c>
      <c r="L6147">
        <v>125.18680000000001</v>
      </c>
      <c r="M6147">
        <v>0.31712829999999997</v>
      </c>
      <c r="N6147">
        <v>-1.4238000000000001E-2</v>
      </c>
      <c r="O6147">
        <v>0.94827570000000005</v>
      </c>
      <c r="P6147">
        <v>0.38515549999999998</v>
      </c>
      <c r="Q6147">
        <v>0.35195549999999998</v>
      </c>
      <c r="R6147">
        <v>0.85310169999999996</v>
      </c>
      <c r="S6147">
        <v>1.806595</v>
      </c>
      <c r="T6147">
        <v>-0.51687479999999997</v>
      </c>
      <c r="U6147">
        <v>2.919403</v>
      </c>
      <c r="V6147">
        <v>9.7686519999999999E-2</v>
      </c>
      <c r="W6147">
        <v>0.36439129999999997</v>
      </c>
      <c r="X6147">
        <v>0.92610820000000005</v>
      </c>
      <c r="Y6147">
        <v>0.22415489999999999</v>
      </c>
      <c r="Z6147">
        <v>-0.1337971</v>
      </c>
      <c r="AA6147">
        <v>0.96532530000000005</v>
      </c>
      <c r="AB6147">
        <v>28</v>
      </c>
      <c r="AC6147">
        <v>0.30049999999999899</v>
      </c>
      <c r="AD6147">
        <v>-0.111281399999999</v>
      </c>
      <c r="AE6147">
        <v>0.375099999999989</v>
      </c>
      <c r="AF6147">
        <v>0.15757169724558701</v>
      </c>
      <c r="AG6147">
        <v>-0.111281399999999</v>
      </c>
      <c r="AH6147">
        <v>0.42809171202815499</v>
      </c>
      <c r="AI6147">
        <v>103.70937325334801</v>
      </c>
      <c r="AJ6147">
        <v>69.792383350434903</v>
      </c>
      <c r="AK6147">
        <v>0.46954755208180199</v>
      </c>
      <c r="AL6147">
        <v>68.6298737553834</v>
      </c>
      <c r="AM6147">
        <v>83.978667969722906</v>
      </c>
      <c r="AN6147">
        <v>1.00000003690631</v>
      </c>
    </row>
    <row r="6148" spans="1:40" x14ac:dyDescent="0.25">
      <c r="A6148" t="str">
        <f>"20190304164808917"</f>
        <v>20190304164808917</v>
      </c>
      <c r="B6148" t="str">
        <f>"1551689288905223"</f>
        <v>1551689288905223</v>
      </c>
      <c r="C6148" t="s">
        <v>40</v>
      </c>
      <c r="D6148">
        <v>4.8245690000000003</v>
      </c>
      <c r="E6148">
        <v>0.57736339999999997</v>
      </c>
      <c r="F6148" t="s">
        <v>41</v>
      </c>
      <c r="G6148">
        <v>-183.584</v>
      </c>
      <c r="H6148">
        <v>0.96226699999999998</v>
      </c>
      <c r="I6148">
        <v>125.99850000000001</v>
      </c>
      <c r="J6148">
        <v>-184.00380000000001</v>
      </c>
      <c r="K6148">
        <v>1.107775</v>
      </c>
      <c r="L6148">
        <v>125.4423</v>
      </c>
      <c r="M6148">
        <v>0.32139299999999998</v>
      </c>
      <c r="N6148">
        <v>-1.4237929999999999E-2</v>
      </c>
      <c r="O6148">
        <v>0.94683890000000004</v>
      </c>
      <c r="P6148">
        <v>0.38863720000000002</v>
      </c>
      <c r="Q6148">
        <v>0.35437649999999998</v>
      </c>
      <c r="R6148">
        <v>0.85051659999999996</v>
      </c>
      <c r="S6148">
        <v>1.8269500000000001</v>
      </c>
      <c r="T6148">
        <v>-0.52098059999999902</v>
      </c>
      <c r="U6148">
        <v>2.9066930000000002</v>
      </c>
      <c r="V6148">
        <v>9.7687410000000002E-2</v>
      </c>
      <c r="W6148">
        <v>0.36678699999999997</v>
      </c>
      <c r="X6148">
        <v>0.92516180000000003</v>
      </c>
      <c r="Y6148">
        <v>0.2264282</v>
      </c>
      <c r="Z6148">
        <v>-0.1348898</v>
      </c>
      <c r="AA6148">
        <v>0.96464240000000001</v>
      </c>
      <c r="AB6148">
        <v>28</v>
      </c>
      <c r="AC6148">
        <v>0.419800000000009</v>
      </c>
      <c r="AD6148">
        <v>-0.145507999999999</v>
      </c>
      <c r="AE6148">
        <v>0.55620000000000402</v>
      </c>
      <c r="AF6148">
        <v>0.20960711783050801</v>
      </c>
      <c r="AG6148">
        <v>-0.145507999999999</v>
      </c>
      <c r="AH6148">
        <v>0.633977124910867</v>
      </c>
      <c r="AI6148">
        <v>102.29340697991999</v>
      </c>
      <c r="AJ6148">
        <v>71.7049507604588</v>
      </c>
      <c r="AK6148">
        <v>0.68339938309853698</v>
      </c>
      <c r="AL6148">
        <v>68.482399565519501</v>
      </c>
      <c r="AM6148">
        <v>83.972499221298904</v>
      </c>
      <c r="AN6148">
        <v>0.99999994481037202</v>
      </c>
    </row>
    <row r="6149" spans="1:40" x14ac:dyDescent="0.25">
      <c r="A6149" t="str">
        <f>"20190304164808940"</f>
        <v>20190304164808940</v>
      </c>
      <c r="B6149" t="str">
        <f>"1551689288935479"</f>
        <v>1551689288935479</v>
      </c>
      <c r="C6149" t="s">
        <v>40</v>
      </c>
      <c r="D6149">
        <v>4.8045359999999997</v>
      </c>
      <c r="E6149">
        <v>0.57743459999999902</v>
      </c>
      <c r="F6149" t="s">
        <v>41</v>
      </c>
      <c r="G6149">
        <v>-183.4992</v>
      </c>
      <c r="H6149">
        <v>0.9683716</v>
      </c>
      <c r="I6149">
        <v>126.2328</v>
      </c>
      <c r="J6149">
        <v>-183.90979999999999</v>
      </c>
      <c r="K6149">
        <v>1.107723</v>
      </c>
      <c r="L6149">
        <v>125.703</v>
      </c>
      <c r="M6149">
        <v>0.32584600000000002</v>
      </c>
      <c r="N6149">
        <v>-1.423986E-2</v>
      </c>
      <c r="O6149">
        <v>0.94531569999999998</v>
      </c>
      <c r="P6149">
        <v>0.39263700000000001</v>
      </c>
      <c r="Q6149">
        <v>0.3582745</v>
      </c>
      <c r="R6149">
        <v>0.84703930000000005</v>
      </c>
      <c r="S6149">
        <v>1.8477330000000001</v>
      </c>
      <c r="T6149">
        <v>-0.5104649</v>
      </c>
      <c r="U6149">
        <v>2.8956599999999999</v>
      </c>
      <c r="V6149">
        <v>9.8319509999999999E-2</v>
      </c>
      <c r="W6149">
        <v>0.37064279999999999</v>
      </c>
      <c r="X6149">
        <v>0.92355679999999996</v>
      </c>
      <c r="Y6149">
        <v>0.22866739999999999</v>
      </c>
      <c r="Z6149">
        <v>-0.13183110000000001</v>
      </c>
      <c r="AA6149">
        <v>0.96453710000000004</v>
      </c>
      <c r="AB6149">
        <v>27</v>
      </c>
      <c r="AC6149">
        <v>0.41059999999998797</v>
      </c>
      <c r="AD6149">
        <v>-0.13935139999999999</v>
      </c>
      <c r="AE6149">
        <v>0.52980000000000804</v>
      </c>
      <c r="AF6149">
        <v>0.206605348328539</v>
      </c>
      <c r="AG6149">
        <v>-0.13935139999999999</v>
      </c>
      <c r="AH6149">
        <v>0.60838911119498895</v>
      </c>
      <c r="AI6149">
        <v>102.237066262704</v>
      </c>
      <c r="AJ6149">
        <v>71.242816223384906</v>
      </c>
      <c r="AK6149">
        <v>0.65745105769216405</v>
      </c>
      <c r="AL6149">
        <v>68.244733823020198</v>
      </c>
      <c r="AM6149">
        <v>83.923323986001805</v>
      </c>
      <c r="AN6149">
        <v>0.99999998703235904</v>
      </c>
    </row>
    <row r="6150" spans="1:40" x14ac:dyDescent="0.25">
      <c r="A6150" t="str">
        <f>"20190304164808963"</f>
        <v>20190304164808963</v>
      </c>
      <c r="B6150" t="str">
        <f>"1551689288955975"</f>
        <v>1551689288955975</v>
      </c>
      <c r="C6150" t="s">
        <v>40</v>
      </c>
      <c r="D6150">
        <v>4.8309139999999999</v>
      </c>
      <c r="E6150">
        <v>0.57733749999999995</v>
      </c>
      <c r="F6150" t="s">
        <v>41</v>
      </c>
      <c r="G6150">
        <v>-183.4151</v>
      </c>
      <c r="H6150">
        <v>0.97592820000000002</v>
      </c>
      <c r="I6150">
        <v>126.468</v>
      </c>
      <c r="J6150">
        <v>-183.80840000000001</v>
      </c>
      <c r="K6150">
        <v>1.107629</v>
      </c>
      <c r="L6150">
        <v>125.9796</v>
      </c>
      <c r="M6150">
        <v>0.33072679999999999</v>
      </c>
      <c r="N6150">
        <v>-1.424365E-2</v>
      </c>
      <c r="O6150">
        <v>0.94361899999999999</v>
      </c>
      <c r="P6150">
        <v>0.39681759999999999</v>
      </c>
      <c r="Q6150">
        <v>0.36165320000000001</v>
      </c>
      <c r="R6150">
        <v>0.84364839999999997</v>
      </c>
      <c r="S6150">
        <v>1.8665620000000001</v>
      </c>
      <c r="T6150">
        <v>-0.49721919999999997</v>
      </c>
      <c r="U6150">
        <v>2.8868260000000001</v>
      </c>
      <c r="V6150">
        <v>9.8708389999999993E-2</v>
      </c>
      <c r="W6150">
        <v>0.37397829999999999</v>
      </c>
      <c r="X6150">
        <v>0.92216969999999998</v>
      </c>
      <c r="Y6150">
        <v>0.2297186</v>
      </c>
      <c r="Z6150">
        <v>-0.12793109999999999</v>
      </c>
      <c r="AA6150">
        <v>0.96481240000000001</v>
      </c>
      <c r="AB6150">
        <v>27</v>
      </c>
      <c r="AC6150">
        <v>0.39330000000000997</v>
      </c>
      <c r="AD6150">
        <v>-0.13170080000000001</v>
      </c>
      <c r="AE6150">
        <v>0.48839999999998401</v>
      </c>
      <c r="AF6150">
        <v>0.20076386601809601</v>
      </c>
      <c r="AG6150">
        <v>-0.13170080000000001</v>
      </c>
      <c r="AH6150">
        <v>0.56603047085222102</v>
      </c>
      <c r="AI6150">
        <v>102.368570652323</v>
      </c>
      <c r="AJ6150">
        <v>70.471046235713402</v>
      </c>
      <c r="AK6150">
        <v>0.61485097751598194</v>
      </c>
      <c r="AL6150">
        <v>68.038821205288301</v>
      </c>
      <c r="AM6150">
        <v>83.890363108680006</v>
      </c>
      <c r="AN6150">
        <v>1.0000000353626799</v>
      </c>
    </row>
    <row r="6151" spans="1:40" x14ac:dyDescent="0.25">
      <c r="A6151" t="str">
        <f>"20190304164808984"</f>
        <v>20190304164808984</v>
      </c>
      <c r="B6151" t="str">
        <f>"1551689288975495"</f>
        <v>1551689288975495</v>
      </c>
      <c r="C6151" t="s">
        <v>40</v>
      </c>
      <c r="D6151">
        <v>4.775207</v>
      </c>
      <c r="E6151">
        <v>0.5772043</v>
      </c>
      <c r="F6151" t="s">
        <v>41</v>
      </c>
      <c r="G6151">
        <v>-183.33459999999999</v>
      </c>
      <c r="H6151">
        <v>0.98529149999999999</v>
      </c>
      <c r="I6151">
        <v>126.70359999999999</v>
      </c>
      <c r="J6151">
        <v>-183.7184</v>
      </c>
      <c r="K6151">
        <v>1.107507</v>
      </c>
      <c r="L6151">
        <v>126.2212</v>
      </c>
      <c r="M6151">
        <v>0.33517609999999998</v>
      </c>
      <c r="N6151">
        <v>-1.424927E-2</v>
      </c>
      <c r="O6151">
        <v>0.94204779999999999</v>
      </c>
      <c r="P6151">
        <v>0.40011930000000001</v>
      </c>
      <c r="Q6151">
        <v>0.36237340000000001</v>
      </c>
      <c r="R6151">
        <v>0.84177800000000003</v>
      </c>
      <c r="S6151">
        <v>1.8834379999999999</v>
      </c>
      <c r="T6151">
        <v>-0.486149</v>
      </c>
      <c r="U6151">
        <v>2.8785249999999998</v>
      </c>
      <c r="V6151">
        <v>9.8186179999999998E-2</v>
      </c>
      <c r="W6151">
        <v>0.37467689999999998</v>
      </c>
      <c r="X6151">
        <v>0.92194180000000003</v>
      </c>
      <c r="Y6151">
        <v>0.23060729999999999</v>
      </c>
      <c r="Z6151">
        <v>-0.1246654</v>
      </c>
      <c r="AA6151">
        <v>0.96502790000000005</v>
      </c>
      <c r="AB6151">
        <v>27</v>
      </c>
      <c r="AC6151">
        <v>0.38380000000000702</v>
      </c>
      <c r="AD6151">
        <v>-0.12221549999999901</v>
      </c>
      <c r="AE6151">
        <v>0.482399999999998</v>
      </c>
      <c r="AF6151">
        <v>0.192329634961447</v>
      </c>
      <c r="AG6151">
        <v>-0.12221549999999901</v>
      </c>
      <c r="AH6151">
        <v>0.561089620887124</v>
      </c>
      <c r="AI6151">
        <v>101.642801383658</v>
      </c>
      <c r="AJ6151">
        <v>71.079371511394299</v>
      </c>
      <c r="AK6151">
        <v>0.60559795210346401</v>
      </c>
      <c r="AL6151">
        <v>67.995655163904999</v>
      </c>
      <c r="AM6151">
        <v>83.920952084174004</v>
      </c>
      <c r="AN6151">
        <v>0.99999999396192096</v>
      </c>
    </row>
    <row r="6152" spans="1:40" x14ac:dyDescent="0.25">
      <c r="A6152" t="str">
        <f>"20190304164809006"</f>
        <v>20190304164809006</v>
      </c>
      <c r="B6152" t="str">
        <f>"1551689288995991"</f>
        <v>1551689288995991</v>
      </c>
      <c r="C6152" t="s">
        <v>40</v>
      </c>
      <c r="D6152">
        <v>4.8061480000000003</v>
      </c>
      <c r="E6152">
        <v>0.58080880000000001</v>
      </c>
      <c r="F6152" t="s">
        <v>41</v>
      </c>
      <c r="G6152">
        <v>-183.2475</v>
      </c>
      <c r="H6152">
        <v>0.987066</v>
      </c>
      <c r="I6152">
        <v>126.9335</v>
      </c>
      <c r="J6152">
        <v>-183.6217</v>
      </c>
      <c r="K6152">
        <v>1.107351</v>
      </c>
      <c r="L6152">
        <v>126.4759</v>
      </c>
      <c r="M6152">
        <v>0.34011360000000002</v>
      </c>
      <c r="N6152">
        <v>-1.425915E-2</v>
      </c>
      <c r="O6152">
        <v>0.94027629999999995</v>
      </c>
      <c r="P6152">
        <v>0.40434819999999999</v>
      </c>
      <c r="Q6152">
        <v>0.36292619999999998</v>
      </c>
      <c r="R6152">
        <v>0.83951600000000004</v>
      </c>
      <c r="S6152">
        <v>1.8976440000000001</v>
      </c>
      <c r="T6152">
        <v>-0.48538409999999899</v>
      </c>
      <c r="U6152">
        <v>2.8708339999999999</v>
      </c>
      <c r="V6152">
        <v>9.8226910000000001E-2</v>
      </c>
      <c r="W6152">
        <v>0.37519639999999999</v>
      </c>
      <c r="X6152">
        <v>0.92172619999999905</v>
      </c>
      <c r="Y6152">
        <v>0.23004620000000001</v>
      </c>
      <c r="Z6152">
        <v>-0.1242431</v>
      </c>
      <c r="AA6152">
        <v>0.96521630000000003</v>
      </c>
      <c r="AB6152">
        <v>27</v>
      </c>
      <c r="AC6152">
        <v>0.37420000000000098</v>
      </c>
      <c r="AD6152">
        <v>-0.120284999999999</v>
      </c>
      <c r="AE6152">
        <v>0.45759999999999901</v>
      </c>
      <c r="AF6152">
        <v>0.18843295549722</v>
      </c>
      <c r="AG6152">
        <v>-0.120284999999999</v>
      </c>
      <c r="AH6152">
        <v>0.53542730872127198</v>
      </c>
      <c r="AI6152">
        <v>101.96466942950801</v>
      </c>
      <c r="AJ6152">
        <v>70.611497949612897</v>
      </c>
      <c r="AK6152">
        <v>0.58022225299183505</v>
      </c>
      <c r="AL6152">
        <v>67.963548531611593</v>
      </c>
      <c r="AM6152">
        <v>83.917037377251006</v>
      </c>
      <c r="AN6152">
        <v>1.00000002609377</v>
      </c>
    </row>
    <row r="6153" spans="1:40" x14ac:dyDescent="0.25">
      <c r="A6153" t="str">
        <f>"20190304164809029"</f>
        <v>20190304164809029</v>
      </c>
      <c r="B6153" t="str">
        <f>"1551689289025272"</f>
        <v>1551689289025272</v>
      </c>
      <c r="C6153" t="s">
        <v>40</v>
      </c>
      <c r="D6153">
        <v>4.8059370000000001</v>
      </c>
      <c r="E6153">
        <v>0.58057209999999904</v>
      </c>
      <c r="F6153" t="s">
        <v>51</v>
      </c>
      <c r="G6153">
        <v>-178.69730000000001</v>
      </c>
      <c r="H6153" s="1">
        <v>-6.0624989999999997E-6</v>
      </c>
      <c r="I6153">
        <v>133.6634</v>
      </c>
      <c r="J6153">
        <v>-183.52170000000001</v>
      </c>
      <c r="K6153">
        <v>1.1071439999999999</v>
      </c>
      <c r="L6153">
        <v>126.7347</v>
      </c>
      <c r="M6153">
        <v>0.34543449999999998</v>
      </c>
      <c r="N6153">
        <v>-1.427437E-2</v>
      </c>
      <c r="O6153">
        <v>0.93833429999999995</v>
      </c>
      <c r="P6153">
        <v>0.410441</v>
      </c>
      <c r="Q6153">
        <v>0.36401509999999998</v>
      </c>
      <c r="R6153">
        <v>0.83608079999999996</v>
      </c>
      <c r="S6153">
        <v>1.937897</v>
      </c>
      <c r="T6153">
        <v>-0.43577310000000002</v>
      </c>
      <c r="U6153">
        <v>2.8284760000000002</v>
      </c>
      <c r="V6153">
        <v>0.1000872</v>
      </c>
      <c r="W6153">
        <v>0.376222</v>
      </c>
      <c r="X6153">
        <v>0.92110780000000003</v>
      </c>
      <c r="Y6153">
        <v>0.24149599999999999</v>
      </c>
      <c r="Z6153">
        <v>-0.1110338</v>
      </c>
      <c r="AA6153">
        <v>0.96402860000000001</v>
      </c>
      <c r="AB6153">
        <v>27</v>
      </c>
      <c r="AC6153">
        <v>4.82439999999999</v>
      </c>
      <c r="AD6153">
        <v>-1.1071500624990001</v>
      </c>
      <c r="AE6153">
        <v>6.9286999999999903</v>
      </c>
      <c r="AF6153">
        <v>2.09763383250788</v>
      </c>
      <c r="AG6153">
        <v>-1.1071500624990001</v>
      </c>
      <c r="AH6153">
        <v>8.0306852840530301</v>
      </c>
      <c r="AI6153">
        <v>97.597814415749895</v>
      </c>
      <c r="AJ6153">
        <v>75.361275437366999</v>
      </c>
      <c r="AK6153">
        <v>8.3736345207848206</v>
      </c>
      <c r="AL6153">
        <v>67.900140184551105</v>
      </c>
      <c r="AM6153">
        <v>83.798593937448501</v>
      </c>
      <c r="AN6153">
        <v>1.00000001005434</v>
      </c>
    </row>
    <row r="6154" spans="1:40" x14ac:dyDescent="0.25">
      <c r="A6154" t="str">
        <f>"20190304164809052"</f>
        <v>20190304164809052</v>
      </c>
      <c r="B6154" t="str">
        <f>"1551689289045767"</f>
        <v>1551689289045767</v>
      </c>
      <c r="C6154" t="s">
        <v>40</v>
      </c>
      <c r="D6154">
        <v>4.8290810000000004</v>
      </c>
      <c r="E6154">
        <v>0.57490240000000004</v>
      </c>
      <c r="F6154" t="s">
        <v>51</v>
      </c>
      <c r="G6154">
        <v>-178.5341</v>
      </c>
      <c r="H6154" s="1">
        <v>-6.048271E-6</v>
      </c>
      <c r="I6154">
        <v>133.91329999999999</v>
      </c>
      <c r="J6154">
        <v>-183.41829999999999</v>
      </c>
      <c r="K6154">
        <v>1.1069009999999999</v>
      </c>
      <c r="L6154">
        <v>126.9967</v>
      </c>
      <c r="M6154">
        <v>0.3511725</v>
      </c>
      <c r="N6154">
        <v>-1.429507E-2</v>
      </c>
      <c r="O6154">
        <v>0.93620159999999997</v>
      </c>
      <c r="P6154">
        <v>0.4170719</v>
      </c>
      <c r="Q6154">
        <v>0.36448009999999997</v>
      </c>
      <c r="R6154">
        <v>0.83258960000000004</v>
      </c>
      <c r="S6154">
        <v>1.956955</v>
      </c>
      <c r="T6154">
        <v>-0.43440469999999998</v>
      </c>
      <c r="U6154">
        <v>2.8166199999999999</v>
      </c>
      <c r="V6154">
        <v>0.1020891</v>
      </c>
      <c r="W6154">
        <v>0.3766196</v>
      </c>
      <c r="X6154">
        <v>0.92072549999999997</v>
      </c>
      <c r="Y6154">
        <v>0.24189440000000001</v>
      </c>
      <c r="Z6154">
        <v>-0.110467</v>
      </c>
      <c r="AA6154">
        <v>0.96399380000000001</v>
      </c>
      <c r="AB6154">
        <v>27</v>
      </c>
      <c r="AC6154">
        <v>4.8841999999999901</v>
      </c>
      <c r="AD6154">
        <v>-1.1069070482709999</v>
      </c>
      <c r="AE6154">
        <v>6.9165999999999803</v>
      </c>
      <c r="AF6154">
        <v>2.1078723596624398</v>
      </c>
      <c r="AG6154">
        <v>-1.1069070482709999</v>
      </c>
      <c r="AH6154">
        <v>8.0537301083359694</v>
      </c>
      <c r="AI6154">
        <v>97.573723562134901</v>
      </c>
      <c r="AJ6154">
        <v>75.333180181469999</v>
      </c>
      <c r="AK6154">
        <v>8.3982699263632998</v>
      </c>
      <c r="AL6154">
        <v>67.875550031849798</v>
      </c>
      <c r="AM6154">
        <v>83.672946789145101</v>
      </c>
      <c r="AN6154">
        <v>0.99999997689660902</v>
      </c>
    </row>
    <row r="6155" spans="1:40" x14ac:dyDescent="0.25">
      <c r="A6155" t="str">
        <f>"20190304164809074"</f>
        <v>20190304164809074</v>
      </c>
      <c r="B6155" t="str">
        <f>"1551689289065288"</f>
        <v>1551689289065288</v>
      </c>
      <c r="C6155" t="s">
        <v>40</v>
      </c>
      <c r="D6155">
        <v>4.7433680000000003</v>
      </c>
      <c r="E6155">
        <v>0.57459209999999905</v>
      </c>
      <c r="F6155" t="s">
        <v>41</v>
      </c>
      <c r="G6155">
        <v>-182.99029999999999</v>
      </c>
      <c r="H6155">
        <v>0.99365230000000004</v>
      </c>
      <c r="I6155">
        <v>127.6229</v>
      </c>
      <c r="J6155">
        <v>-183.31909999999999</v>
      </c>
      <c r="K6155">
        <v>1.1066419999999999</v>
      </c>
      <c r="L6155">
        <v>127.2426</v>
      </c>
      <c r="M6155">
        <v>0.35692950000000001</v>
      </c>
      <c r="N6155">
        <v>-1.43191E-2</v>
      </c>
      <c r="O6155">
        <v>0.93402160000000001</v>
      </c>
      <c r="P6155">
        <v>0.42296479999999997</v>
      </c>
      <c r="Q6155">
        <v>0.36499910000000002</v>
      </c>
      <c r="R6155">
        <v>0.82938330000000005</v>
      </c>
      <c r="S6155">
        <v>1.949203</v>
      </c>
      <c r="T6155">
        <v>-0.51558279999999901</v>
      </c>
      <c r="U6155">
        <v>2.852509</v>
      </c>
      <c r="V6155">
        <v>0.10328850000000001</v>
      </c>
      <c r="W6155">
        <v>0.37707849999999998</v>
      </c>
      <c r="X6155">
        <v>0.92040390000000005</v>
      </c>
      <c r="Y6155">
        <v>0.22685179999999999</v>
      </c>
      <c r="Z6155">
        <v>-0.13139479999999901</v>
      </c>
      <c r="AA6155">
        <v>0.96502520000000003</v>
      </c>
      <c r="AB6155">
        <v>27</v>
      </c>
      <c r="AC6155">
        <v>0.32880000000000098</v>
      </c>
      <c r="AD6155">
        <v>-0.112989699999999</v>
      </c>
      <c r="AE6155">
        <v>0.38030000000000502</v>
      </c>
      <c r="AF6155">
        <v>0.16314266283397899</v>
      </c>
      <c r="AG6155">
        <v>-0.112989699999999</v>
      </c>
      <c r="AH6155">
        <v>0.44988974316255698</v>
      </c>
      <c r="AI6155">
        <v>103.284548564053</v>
      </c>
      <c r="AJ6155">
        <v>70.067932462390999</v>
      </c>
      <c r="AK6155">
        <v>0.49171432940837001</v>
      </c>
      <c r="AL6155">
        <v>67.847165351540397</v>
      </c>
      <c r="AM6155">
        <v>83.597008472316006</v>
      </c>
      <c r="AN6155">
        <v>1.0000000242648499</v>
      </c>
    </row>
    <row r="6156" spans="1:40" x14ac:dyDescent="0.25">
      <c r="A6156" t="str">
        <f>"20190304164809096"</f>
        <v>20190304164809096</v>
      </c>
      <c r="B6156" t="str">
        <f>"1551689289085784"</f>
        <v>1551689289085784</v>
      </c>
      <c r="C6156" t="s">
        <v>40</v>
      </c>
      <c r="D6156">
        <v>4.7658239999999896</v>
      </c>
      <c r="E6156">
        <v>0.57455100000000003</v>
      </c>
      <c r="F6156" t="s">
        <v>41</v>
      </c>
      <c r="G6156">
        <v>-182.8973</v>
      </c>
      <c r="H6156">
        <v>0.99572649999999996</v>
      </c>
      <c r="I6156">
        <v>127.85</v>
      </c>
      <c r="J6156">
        <v>-183.21530000000001</v>
      </c>
      <c r="K6156">
        <v>1.1063540000000001</v>
      </c>
      <c r="L6156">
        <v>127.4939</v>
      </c>
      <c r="M6156">
        <v>0.3632301</v>
      </c>
      <c r="N6156">
        <v>-1.4348700000000001E-2</v>
      </c>
      <c r="O6156">
        <v>0.93158890000000005</v>
      </c>
      <c r="P6156">
        <v>0.42975279999999999</v>
      </c>
      <c r="Q6156">
        <v>0.36592960000000002</v>
      </c>
      <c r="R6156">
        <v>0.8254745</v>
      </c>
      <c r="S6156">
        <v>1.971848</v>
      </c>
      <c r="T6156">
        <v>-0.51842179999999904</v>
      </c>
      <c r="U6156">
        <v>2.8396910000000002</v>
      </c>
      <c r="V6156">
        <v>0.10505979999999999</v>
      </c>
      <c r="W6156">
        <v>0.37793599999999999</v>
      </c>
      <c r="X6156">
        <v>0.91985150000000004</v>
      </c>
      <c r="Y6156">
        <v>0.22746640000000001</v>
      </c>
      <c r="Z6156">
        <v>-0.13186729999999899</v>
      </c>
      <c r="AA6156">
        <v>0.96481600000000001</v>
      </c>
      <c r="AB6156">
        <v>27</v>
      </c>
      <c r="AC6156">
        <v>0.318000000000012</v>
      </c>
      <c r="AD6156">
        <v>-0.1106275</v>
      </c>
      <c r="AE6156">
        <v>0.35609999999999697</v>
      </c>
      <c r="AF6156">
        <v>0.15841059353040901</v>
      </c>
      <c r="AG6156">
        <v>-0.1106275</v>
      </c>
      <c r="AH6156">
        <v>0.42449917370267098</v>
      </c>
      <c r="AI6156">
        <v>103.720919748857</v>
      </c>
      <c r="AJ6156">
        <v>69.535906383066006</v>
      </c>
      <c r="AK6156">
        <v>0.46640316076668797</v>
      </c>
      <c r="AL6156">
        <v>67.794107361431699</v>
      </c>
      <c r="AM6156">
        <v>83.484261561798505</v>
      </c>
      <c r="AN6156">
        <v>0.99999998186214401</v>
      </c>
    </row>
    <row r="6157" spans="1:40" x14ac:dyDescent="0.25">
      <c r="A6157" t="str">
        <f>"20190304164809117"</f>
        <v>20190304164809117</v>
      </c>
      <c r="B6157" t="str">
        <f>"1551689289105303"</f>
        <v>1551689289105303</v>
      </c>
      <c r="C6157" t="s">
        <v>40</v>
      </c>
      <c r="D6157">
        <v>5.1895819999999997</v>
      </c>
      <c r="E6157">
        <v>0.57445109999999999</v>
      </c>
      <c r="F6157" t="s">
        <v>41</v>
      </c>
      <c r="G6157">
        <v>-182.66419999999999</v>
      </c>
      <c r="H6157">
        <v>0.96488260000000003</v>
      </c>
      <c r="I6157">
        <v>128.2715</v>
      </c>
      <c r="J6157">
        <v>-183.11019999999999</v>
      </c>
      <c r="K6157">
        <v>1.10606</v>
      </c>
      <c r="L6157">
        <v>127.7422</v>
      </c>
      <c r="M6157">
        <v>0.36986479999999999</v>
      </c>
      <c r="N6157">
        <v>-1.438267E-2</v>
      </c>
      <c r="O6157">
        <v>0.92897430000000003</v>
      </c>
      <c r="P6157">
        <v>0.4367991</v>
      </c>
      <c r="Q6157">
        <v>0.36624699999999999</v>
      </c>
      <c r="R6157">
        <v>0.82162630000000003</v>
      </c>
      <c r="S6157">
        <v>1.999069</v>
      </c>
      <c r="T6157">
        <v>-0.51322579999999995</v>
      </c>
      <c r="U6157">
        <v>2.8210600000000001</v>
      </c>
      <c r="V6157">
        <v>0.1067073</v>
      </c>
      <c r="W6157">
        <v>0.3781872</v>
      </c>
      <c r="X6157">
        <v>0.9195586</v>
      </c>
      <c r="Y6157">
        <v>0.2298528</v>
      </c>
      <c r="Z6157">
        <v>-0.1302545</v>
      </c>
      <c r="AA6157">
        <v>0.96446949999999998</v>
      </c>
      <c r="AB6157">
        <v>27</v>
      </c>
      <c r="AC6157">
        <v>0.44599999999999801</v>
      </c>
      <c r="AD6157">
        <v>-0.14117740000000001</v>
      </c>
      <c r="AE6157">
        <v>0.52930000000000599</v>
      </c>
      <c r="AF6157">
        <v>0.209845445221123</v>
      </c>
      <c r="AG6157">
        <v>-0.14117740000000001</v>
      </c>
      <c r="AH6157">
        <v>0.63050273470544704</v>
      </c>
      <c r="AI6157">
        <v>101.994406318724</v>
      </c>
      <c r="AJ6157">
        <v>71.591401136091406</v>
      </c>
      <c r="AK6157">
        <v>0.67933781553941097</v>
      </c>
      <c r="AL6157">
        <v>67.778561519081805</v>
      </c>
      <c r="AM6157">
        <v>83.380894961546403</v>
      </c>
      <c r="AN6157">
        <v>1.0000000124755399</v>
      </c>
    </row>
    <row r="6158" spans="1:40" x14ac:dyDescent="0.25">
      <c r="A6158" t="str">
        <f>"20190304164809141"</f>
        <v>20190304164809141</v>
      </c>
      <c r="B6158" t="str">
        <f>"1551689289135559"</f>
        <v>1551689289135559</v>
      </c>
      <c r="C6158" t="s">
        <v>40</v>
      </c>
      <c r="D6158">
        <v>4.7998200000000004</v>
      </c>
      <c r="E6158">
        <v>0.57768619999999904</v>
      </c>
      <c r="F6158" t="s">
        <v>41</v>
      </c>
      <c r="G6158">
        <v>-182.5643</v>
      </c>
      <c r="H6158">
        <v>0.9681495</v>
      </c>
      <c r="I6158">
        <v>128.4957</v>
      </c>
      <c r="J6158">
        <v>-182.9984</v>
      </c>
      <c r="K6158">
        <v>1.105777</v>
      </c>
      <c r="L6158">
        <v>128.00020000000001</v>
      </c>
      <c r="M6158">
        <v>0.37712420000000002</v>
      </c>
      <c r="N6158">
        <v>-1.4419899999999901E-2</v>
      </c>
      <c r="O6158">
        <v>0.92605040000000005</v>
      </c>
      <c r="P6158">
        <v>0.44477879999999997</v>
      </c>
      <c r="Q6158">
        <v>0.3679771</v>
      </c>
      <c r="R6158">
        <v>0.81655659999999997</v>
      </c>
      <c r="S6158">
        <v>2.0286870000000001</v>
      </c>
      <c r="T6158">
        <v>-0.51226329999999998</v>
      </c>
      <c r="U6158">
        <v>2.8011170000000001</v>
      </c>
      <c r="V6158">
        <v>0.10905239999999999</v>
      </c>
      <c r="W6158">
        <v>0.37983660000000002</v>
      </c>
      <c r="X6158">
        <v>0.91860310000000001</v>
      </c>
      <c r="Y6158">
        <v>0.23222429999999999</v>
      </c>
      <c r="Z6158">
        <v>-0.12974579999999999</v>
      </c>
      <c r="AA6158">
        <v>0.96396990000000005</v>
      </c>
      <c r="AB6158">
        <v>27</v>
      </c>
      <c r="AC6158">
        <v>0.43409999999999999</v>
      </c>
      <c r="AD6158">
        <v>-0.13762749999999899</v>
      </c>
      <c r="AE6158">
        <v>0.495499999999992</v>
      </c>
      <c r="AF6158">
        <v>0.206157586176135</v>
      </c>
      <c r="AG6158">
        <v>-0.13762749999999899</v>
      </c>
      <c r="AH6158">
        <v>0.59659266698742697</v>
      </c>
      <c r="AI6158">
        <v>102.300161268267</v>
      </c>
      <c r="AJ6158">
        <v>70.936981466421301</v>
      </c>
      <c r="AK6158">
        <v>0.64603799377234095</v>
      </c>
      <c r="AL6158">
        <v>67.6764374506118</v>
      </c>
      <c r="AM6158">
        <v>83.229790877858207</v>
      </c>
      <c r="AN6158">
        <v>0.99999996198746399</v>
      </c>
    </row>
    <row r="6159" spans="1:40" x14ac:dyDescent="0.25">
      <c r="A6159" t="str">
        <f>"20190304164809163"</f>
        <v>20190304164809163</v>
      </c>
      <c r="B6159" t="str">
        <f>"1551689289156057"</f>
        <v>1551689289156057</v>
      </c>
      <c r="C6159" t="s">
        <v>40</v>
      </c>
      <c r="D6159">
        <v>4.7421259999999998</v>
      </c>
      <c r="E6159">
        <v>0.57745899999999994</v>
      </c>
      <c r="F6159" t="s">
        <v>51</v>
      </c>
      <c r="G6159">
        <v>-177.8861</v>
      </c>
      <c r="H6159" s="1">
        <v>-5.9413570000000003E-6</v>
      </c>
      <c r="I6159">
        <v>134.7611</v>
      </c>
      <c r="J6159">
        <v>-182.88409999999999</v>
      </c>
      <c r="K6159">
        <v>1.1055079999999999</v>
      </c>
      <c r="L6159">
        <v>128.25720000000001</v>
      </c>
      <c r="M6159">
        <v>0.38472909999999999</v>
      </c>
      <c r="N6159">
        <v>-1.445565E-2</v>
      </c>
      <c r="O6159">
        <v>0.92291630000000002</v>
      </c>
      <c r="P6159">
        <v>0.45312910000000001</v>
      </c>
      <c r="Q6159">
        <v>0.36854809999999999</v>
      </c>
      <c r="R6159">
        <v>0.81169340000000001</v>
      </c>
      <c r="S6159">
        <v>2.0760190000000001</v>
      </c>
      <c r="T6159">
        <v>-0.44904519999999998</v>
      </c>
      <c r="U6159">
        <v>2.7455289999999999</v>
      </c>
      <c r="V6159">
        <v>0.1112784</v>
      </c>
      <c r="W6159">
        <v>0.3803359</v>
      </c>
      <c r="X6159">
        <v>0.91812939999999998</v>
      </c>
      <c r="Y6159">
        <v>0.2454036</v>
      </c>
      <c r="Z6159">
        <v>-0.1131481</v>
      </c>
      <c r="AA6159">
        <v>0.96279519999999996</v>
      </c>
      <c r="AB6159">
        <v>27</v>
      </c>
      <c r="AC6159">
        <v>4.9979999999999896</v>
      </c>
      <c r="AD6159">
        <v>-1.1055139413570001</v>
      </c>
      <c r="AE6159">
        <v>6.5038999999999803</v>
      </c>
      <c r="AF6159">
        <v>2.0730593465387699</v>
      </c>
      <c r="AG6159">
        <v>-1.1055139413570001</v>
      </c>
      <c r="AH6159">
        <v>7.7848472548413801</v>
      </c>
      <c r="AI6159">
        <v>97.813680883856094</v>
      </c>
      <c r="AJ6159">
        <v>75.088510858042198</v>
      </c>
      <c r="AK6159">
        <v>8.1316408497927295</v>
      </c>
      <c r="AL6159">
        <v>67.645507893772603</v>
      </c>
      <c r="AM6159">
        <v>83.089388640309807</v>
      </c>
      <c r="AN6159">
        <v>0.99999993713986302</v>
      </c>
    </row>
    <row r="6160" spans="1:40" x14ac:dyDescent="0.25">
      <c r="A6160" t="str">
        <f>"20190304164809186"</f>
        <v>20190304164809186</v>
      </c>
      <c r="B6160" t="str">
        <f>"1551689289175575"</f>
        <v>1551689289175575</v>
      </c>
      <c r="C6160" t="s">
        <v>40</v>
      </c>
      <c r="D6160">
        <v>4.7202390000000003</v>
      </c>
      <c r="E6160">
        <v>0.57230819999999905</v>
      </c>
      <c r="F6160" t="s">
        <v>51</v>
      </c>
      <c r="G6160">
        <v>-177.678</v>
      </c>
      <c r="H6160" s="1">
        <v>-5.8914739999999898E-6</v>
      </c>
      <c r="I6160">
        <v>134.989</v>
      </c>
      <c r="J6160">
        <v>-182.77359999999999</v>
      </c>
      <c r="K6160">
        <v>1.1052580000000001</v>
      </c>
      <c r="L6160">
        <v>128.49979999999999</v>
      </c>
      <c r="M6160">
        <v>0.39225369999999998</v>
      </c>
      <c r="N6160">
        <v>-1.449015E-2</v>
      </c>
      <c r="O6160">
        <v>0.91974290000000003</v>
      </c>
      <c r="P6160">
        <v>0.46114870000000002</v>
      </c>
      <c r="Q6160">
        <v>0.36826370000000003</v>
      </c>
      <c r="R6160">
        <v>0.80729410000000001</v>
      </c>
      <c r="S6160">
        <v>2.1060940000000001</v>
      </c>
      <c r="T6160">
        <v>-0.4472293</v>
      </c>
      <c r="U6160">
        <v>2.7232820000000002</v>
      </c>
      <c r="V6160">
        <v>0.1130568</v>
      </c>
      <c r="W6160">
        <v>0.37999319999999998</v>
      </c>
      <c r="X6160">
        <v>0.91805409999999998</v>
      </c>
      <c r="Y6160">
        <v>0.2479944</v>
      </c>
      <c r="Z6160">
        <v>-0.11244609999999999</v>
      </c>
      <c r="AA6160">
        <v>0.9622134</v>
      </c>
      <c r="AB6160">
        <v>27</v>
      </c>
      <c r="AC6160">
        <v>5.0955999999999904</v>
      </c>
      <c r="AD6160">
        <v>-1.1052638914740001</v>
      </c>
      <c r="AE6160">
        <v>6.4892000000000101</v>
      </c>
      <c r="AF6160">
        <v>2.1037030064309401</v>
      </c>
      <c r="AG6160">
        <v>-1.1052638914740001</v>
      </c>
      <c r="AH6160">
        <v>7.8275347119058098</v>
      </c>
      <c r="AI6160">
        <v>97.765137533207493</v>
      </c>
      <c r="AJ6160">
        <v>74.956837080125695</v>
      </c>
      <c r="AK6160">
        <v>8.1803101576378694</v>
      </c>
      <c r="AL6160">
        <v>67.666738579708806</v>
      </c>
      <c r="AM6160">
        <v>82.979469824148097</v>
      </c>
      <c r="AN6160">
        <v>1.00000000129964</v>
      </c>
    </row>
    <row r="6161" spans="1:40" x14ac:dyDescent="0.25">
      <c r="A6161" t="str">
        <f>"20190304164809208"</f>
        <v>20190304164809208</v>
      </c>
      <c r="B6161" t="str">
        <f>"1551689289196072"</f>
        <v>1551689289196072</v>
      </c>
      <c r="C6161" t="s">
        <v>40</v>
      </c>
      <c r="D6161">
        <v>4.7395389999999997</v>
      </c>
      <c r="E6161">
        <v>0.5718472</v>
      </c>
      <c r="F6161" t="s">
        <v>41</v>
      </c>
      <c r="G6161">
        <v>-182.26490000000001</v>
      </c>
      <c r="H6161">
        <v>0.9788386</v>
      </c>
      <c r="I6161">
        <v>129.16200000000001</v>
      </c>
      <c r="J6161">
        <v>-182.65989999999999</v>
      </c>
      <c r="K6161">
        <v>1.1050040000000001</v>
      </c>
      <c r="L6161">
        <v>128.74299999999999</v>
      </c>
      <c r="M6161">
        <v>0.40014680000000002</v>
      </c>
      <c r="N6161">
        <v>-1.452881E-2</v>
      </c>
      <c r="O6161">
        <v>0.91633589999999998</v>
      </c>
      <c r="P6161">
        <v>0.46986539999999999</v>
      </c>
      <c r="Q6161">
        <v>0.36744569999999999</v>
      </c>
      <c r="R6161">
        <v>0.80262709999999904</v>
      </c>
      <c r="S6161">
        <v>2.1115110000000001</v>
      </c>
      <c r="T6161">
        <v>-0.52476859999999903</v>
      </c>
      <c r="U6161">
        <v>2.7493439999999998</v>
      </c>
      <c r="V6161">
        <v>0.1151905</v>
      </c>
      <c r="W6161">
        <v>0.3791136</v>
      </c>
      <c r="X6161">
        <v>0.91815250000000004</v>
      </c>
      <c r="Y6161">
        <v>0.2347957</v>
      </c>
      <c r="Z6161">
        <v>-0.13196429999999901</v>
      </c>
      <c r="AA6161">
        <v>0.96304540000000005</v>
      </c>
      <c r="AB6161">
        <v>27</v>
      </c>
      <c r="AC6161">
        <v>0.39499999999998098</v>
      </c>
      <c r="AD6161">
        <v>-0.12616540000000001</v>
      </c>
      <c r="AE6161">
        <v>0.41900000000001097</v>
      </c>
      <c r="AF6161">
        <v>0.18541106318417799</v>
      </c>
      <c r="AG6161">
        <v>-0.12616540000000001</v>
      </c>
      <c r="AH6161">
        <v>0.51723040935601095</v>
      </c>
      <c r="AI6161">
        <v>102.931961158788</v>
      </c>
      <c r="AJ6161">
        <v>70.278817605405195</v>
      </c>
      <c r="AK6161">
        <v>0.56375727655688301</v>
      </c>
      <c r="AL6161">
        <v>67.721212030122501</v>
      </c>
      <c r="AM6161">
        <v>82.849090611100195</v>
      </c>
      <c r="AN6161">
        <v>0.99999999312572996</v>
      </c>
    </row>
    <row r="6162" spans="1:40" x14ac:dyDescent="0.25">
      <c r="A6162" t="str">
        <f>"20190304164809230"</f>
        <v>20190304164809230</v>
      </c>
      <c r="B6162" t="str">
        <f>"1551689289225352"</f>
        <v>1551689289225352</v>
      </c>
      <c r="C6162" t="s">
        <v>40</v>
      </c>
      <c r="D6162">
        <v>4.6262749999999997</v>
      </c>
      <c r="E6162">
        <v>0.57711230000000002</v>
      </c>
      <c r="F6162" t="s">
        <v>41</v>
      </c>
      <c r="G6162">
        <v>-182.1591</v>
      </c>
      <c r="H6162">
        <v>0.98091879999999998</v>
      </c>
      <c r="I6162">
        <v>129.3811</v>
      </c>
      <c r="J6162">
        <v>-182.54040000000001</v>
      </c>
      <c r="K6162">
        <v>1.1047359999999999</v>
      </c>
      <c r="L6162">
        <v>128.99209999999999</v>
      </c>
      <c r="M6162">
        <v>0.40859220000000002</v>
      </c>
      <c r="N6162">
        <v>-1.457345E-2</v>
      </c>
      <c r="O6162">
        <v>0.91260070000000004</v>
      </c>
      <c r="P6162">
        <v>0.4791416</v>
      </c>
      <c r="Q6162">
        <v>0.36762860000000003</v>
      </c>
      <c r="R6162">
        <v>0.79703990000000002</v>
      </c>
      <c r="S6162">
        <v>2.140244</v>
      </c>
      <c r="T6162">
        <v>-0.53004519999999899</v>
      </c>
      <c r="U6162">
        <v>2.7274780000000001</v>
      </c>
      <c r="V6162">
        <v>0.11765970000000001</v>
      </c>
      <c r="W6162">
        <v>0.37922070000000002</v>
      </c>
      <c r="X6162">
        <v>0.91779509999999997</v>
      </c>
      <c r="Y6162">
        <v>0.2357399</v>
      </c>
      <c r="Z6162">
        <v>-0.13303229999999999</v>
      </c>
      <c r="AA6162">
        <v>0.96266770000000002</v>
      </c>
      <c r="AB6162">
        <v>27</v>
      </c>
      <c r="AC6162">
        <v>0.38130000000001002</v>
      </c>
      <c r="AD6162">
        <v>-0.1238172</v>
      </c>
      <c r="AE6162">
        <v>0.38900000000001</v>
      </c>
      <c r="AF6162">
        <v>0.17976415103396701</v>
      </c>
      <c r="AG6162">
        <v>-0.1238172</v>
      </c>
      <c r="AH6162">
        <v>0.48575378966067401</v>
      </c>
      <c r="AI6162">
        <v>103.444394185767</v>
      </c>
      <c r="AJ6162">
        <v>69.691869340384102</v>
      </c>
      <c r="AK6162">
        <v>0.53254351294754299</v>
      </c>
      <c r="AL6162">
        <v>67.714580503645493</v>
      </c>
      <c r="AM6162">
        <v>82.694629763512495</v>
      </c>
      <c r="AN6162">
        <v>0.99999999494829495</v>
      </c>
    </row>
    <row r="6163" spans="1:40" x14ac:dyDescent="0.25">
      <c r="A6163" t="str">
        <f>"20190304164809252"</f>
        <v>20190304164809252</v>
      </c>
      <c r="B6163" t="str">
        <f>"1551689289245851"</f>
        <v>1551689289245851</v>
      </c>
      <c r="C6163" t="s">
        <v>40</v>
      </c>
      <c r="D6163">
        <v>4.8059229999999999</v>
      </c>
      <c r="E6163">
        <v>0.57711230000000002</v>
      </c>
      <c r="F6163" t="s">
        <v>51</v>
      </c>
      <c r="G6163">
        <v>-175.8391</v>
      </c>
      <c r="H6163" s="1">
        <v>-5.4310829999999997E-6</v>
      </c>
      <c r="I6163">
        <v>137.01740000000001</v>
      </c>
      <c r="J6163">
        <v>-182.4188</v>
      </c>
      <c r="K6163">
        <v>1.104457</v>
      </c>
      <c r="L6163">
        <v>129.23859999999999</v>
      </c>
      <c r="M6163">
        <v>0.41731010000000002</v>
      </c>
      <c r="N6163">
        <v>-1.4621479999999999E-2</v>
      </c>
      <c r="O6163">
        <v>0.90864650000000002</v>
      </c>
      <c r="P6163">
        <v>0.48853380000000002</v>
      </c>
      <c r="Q6163">
        <v>0.36742029999999998</v>
      </c>
      <c r="R6163">
        <v>0.79141459999999997</v>
      </c>
      <c r="S6163">
        <v>2.1848909999999999</v>
      </c>
      <c r="T6163">
        <v>-0.36019230000000002</v>
      </c>
      <c r="U6163">
        <v>2.6165919999999998</v>
      </c>
      <c r="V6163">
        <v>0.1199519</v>
      </c>
      <c r="W6163">
        <v>0.37894099999999997</v>
      </c>
      <c r="X6163">
        <v>0.91761389999999998</v>
      </c>
      <c r="Y6163">
        <v>0.25913570000000002</v>
      </c>
      <c r="Z6163">
        <v>-8.8907169999999994E-2</v>
      </c>
      <c r="AA6163">
        <v>0.96174020000000005</v>
      </c>
      <c r="AB6163">
        <v>27</v>
      </c>
      <c r="AC6163">
        <v>6.5796999999999999</v>
      </c>
      <c r="AD6163">
        <v>-1.104462431083</v>
      </c>
      <c r="AE6163">
        <v>7.7788000000000102</v>
      </c>
      <c r="AF6163">
        <v>2.7010007763192201</v>
      </c>
      <c r="AG6163">
        <v>-1.104462431083</v>
      </c>
      <c r="AH6163">
        <v>9.7010021493391303</v>
      </c>
      <c r="AI6163">
        <v>96.259098721517205</v>
      </c>
      <c r="AJ6163">
        <v>74.441472128448396</v>
      </c>
      <c r="AK6163">
        <v>10.1303842551422</v>
      </c>
      <c r="AL6163">
        <v>67.731898929366395</v>
      </c>
      <c r="AM6163">
        <v>82.552437617188801</v>
      </c>
      <c r="AN6163">
        <v>1.0000000046339099</v>
      </c>
    </row>
    <row r="6164" spans="1:40" x14ac:dyDescent="0.25">
      <c r="A6164" t="str">
        <f>"20190304164809274"</f>
        <v>20190304164809274</v>
      </c>
      <c r="B6164" t="str">
        <f>"1551689289265367"</f>
        <v>1551689289265367</v>
      </c>
      <c r="C6164" t="s">
        <v>40</v>
      </c>
      <c r="D6164">
        <v>5.0638189999999996</v>
      </c>
      <c r="E6164">
        <v>0.57248209999999999</v>
      </c>
      <c r="F6164" t="s">
        <v>51</v>
      </c>
      <c r="G6164">
        <v>-175.62629999999999</v>
      </c>
      <c r="H6164" s="1">
        <v>-5.345458E-6</v>
      </c>
      <c r="I6164">
        <v>137.17439999999999</v>
      </c>
      <c r="J6164">
        <v>-182.30179999999999</v>
      </c>
      <c r="K6164">
        <v>1.1041970000000001</v>
      </c>
      <c r="L6164">
        <v>129.46969999999999</v>
      </c>
      <c r="M6164">
        <v>0.42582100000000001</v>
      </c>
      <c r="N6164">
        <v>-1.466899E-2</v>
      </c>
      <c r="O6164">
        <v>0.90468850000000001</v>
      </c>
      <c r="P6164">
        <v>0.49850889999999998</v>
      </c>
      <c r="Q6164">
        <v>0.36795559999999999</v>
      </c>
      <c r="R6164">
        <v>0.78491889999999997</v>
      </c>
      <c r="S6164">
        <v>2.2166600000000001</v>
      </c>
      <c r="T6164">
        <v>-0.36042669999999999</v>
      </c>
      <c r="U6164">
        <v>2.5897220000000001</v>
      </c>
      <c r="V6164">
        <v>0.1233245</v>
      </c>
      <c r="W6164">
        <v>0.37938</v>
      </c>
      <c r="X6164">
        <v>0.91698519999999994</v>
      </c>
      <c r="Y6164">
        <v>0.26180940000000003</v>
      </c>
      <c r="Z6164">
        <v>-8.8782490000000006E-2</v>
      </c>
      <c r="AA6164">
        <v>0.96102730000000003</v>
      </c>
      <c r="AB6164">
        <v>27</v>
      </c>
      <c r="AC6164">
        <v>6.6755000000000004</v>
      </c>
      <c r="AD6164">
        <v>-1.1042023454579999</v>
      </c>
      <c r="AE6164">
        <v>7.7046999999999999</v>
      </c>
      <c r="AF6164">
        <v>2.72673137874623</v>
      </c>
      <c r="AG6164">
        <v>-1.1042023454579999</v>
      </c>
      <c r="AH6164">
        <v>9.7001734476955104</v>
      </c>
      <c r="AI6164">
        <v>96.253857102919795</v>
      </c>
      <c r="AJ6164">
        <v>74.299257757252093</v>
      </c>
      <c r="AK6164">
        <v>10.1364536079898</v>
      </c>
      <c r="AL6164">
        <v>67.704715968956407</v>
      </c>
      <c r="AM6164">
        <v>82.340303523242696</v>
      </c>
      <c r="AN6164">
        <v>0.99999998685964497</v>
      </c>
    </row>
    <row r="6165" spans="1:40" x14ac:dyDescent="0.25">
      <c r="A6165" t="str">
        <f>"20190304164809296"</f>
        <v>20190304164809296</v>
      </c>
      <c r="B6165" t="str">
        <f>"1551689289285864"</f>
        <v>1551689289285864</v>
      </c>
      <c r="C6165" t="s">
        <v>40</v>
      </c>
      <c r="D6165">
        <v>5.1056080000000001</v>
      </c>
      <c r="E6165">
        <v>0.57108740000000002</v>
      </c>
      <c r="F6165" t="s">
        <v>41</v>
      </c>
      <c r="G6165">
        <v>-181.83099999999999</v>
      </c>
      <c r="H6165">
        <v>0.97798960000000001</v>
      </c>
      <c r="I6165">
        <v>130.02670000000001</v>
      </c>
      <c r="J6165">
        <v>-182.178</v>
      </c>
      <c r="K6165">
        <v>1.1039319999999999</v>
      </c>
      <c r="L6165">
        <v>129.70689999999999</v>
      </c>
      <c r="M6165">
        <v>0.43491770000000002</v>
      </c>
      <c r="N6165">
        <v>-1.47204E-2</v>
      </c>
      <c r="O6165">
        <v>0.90034989999999904</v>
      </c>
      <c r="P6165">
        <v>0.50829749999999996</v>
      </c>
      <c r="Q6165">
        <v>0.36890400000000001</v>
      </c>
      <c r="R6165">
        <v>0.77816680000000005</v>
      </c>
      <c r="S6165">
        <v>2.2579349999999998</v>
      </c>
      <c r="T6165">
        <v>-0.6052556</v>
      </c>
      <c r="U6165">
        <v>2.6717529999999998</v>
      </c>
      <c r="V6165">
        <v>0.1260317</v>
      </c>
      <c r="W6165">
        <v>0.38024279999999999</v>
      </c>
      <c r="X6165">
        <v>0.9162595</v>
      </c>
      <c r="Y6165">
        <v>0.24061560000000001</v>
      </c>
      <c r="Z6165">
        <v>-0.15054690000000001</v>
      </c>
      <c r="AA6165">
        <v>0.95887420000000001</v>
      </c>
      <c r="AB6165">
        <v>27</v>
      </c>
      <c r="AC6165">
        <v>0.34700000000000802</v>
      </c>
      <c r="AD6165">
        <v>-0.12594239999999901</v>
      </c>
      <c r="AE6165">
        <v>0.31980000000001402</v>
      </c>
      <c r="AF6165">
        <v>0.16182666130157</v>
      </c>
      <c r="AG6165">
        <v>-0.12594239999999901</v>
      </c>
      <c r="AH6165">
        <v>0.40971223530325102</v>
      </c>
      <c r="AI6165">
        <v>105.955189968002</v>
      </c>
      <c r="AJ6165">
        <v>68.447150064383294</v>
      </c>
      <c r="AK6165">
        <v>0.458163150180107</v>
      </c>
      <c r="AL6165">
        <v>67.651277505227995</v>
      </c>
      <c r="AM6165">
        <v>82.168099248705403</v>
      </c>
      <c r="AN6165">
        <v>1.0000000238484801</v>
      </c>
    </row>
    <row r="6166" spans="1:40" x14ac:dyDescent="0.25">
      <c r="A6166" t="str">
        <f>"20190304164809319"</f>
        <v>20190304164809319</v>
      </c>
      <c r="B6166" t="str">
        <f>"1551689289315689"</f>
        <v>1551689289315689</v>
      </c>
      <c r="C6166" t="s">
        <v>40</v>
      </c>
      <c r="D6166">
        <v>5.0814899999999996</v>
      </c>
      <c r="E6166">
        <v>0.57138429999999996</v>
      </c>
      <c r="F6166" t="s">
        <v>41</v>
      </c>
      <c r="G6166">
        <v>-181.57050000000001</v>
      </c>
      <c r="H6166">
        <v>0.9324789</v>
      </c>
      <c r="I6166">
        <v>130.4144</v>
      </c>
      <c r="J6166">
        <v>-182.04669999999999</v>
      </c>
      <c r="K6166">
        <v>1.1036779999999999</v>
      </c>
      <c r="L6166">
        <v>129.95169999999999</v>
      </c>
      <c r="M6166">
        <v>0.44465559999999998</v>
      </c>
      <c r="N6166">
        <v>-1.477533E-2</v>
      </c>
      <c r="O6166">
        <v>0.89557980000000004</v>
      </c>
      <c r="P6166">
        <v>0.51774730000000002</v>
      </c>
      <c r="Q6166">
        <v>0.36954130000000002</v>
      </c>
      <c r="R6166">
        <v>0.77160669999999898</v>
      </c>
      <c r="S6166">
        <v>2.2893520000000001</v>
      </c>
      <c r="T6166">
        <v>-0.64588979999999996</v>
      </c>
      <c r="U6166">
        <v>2.6659999999999999</v>
      </c>
      <c r="V6166">
        <v>0.1276601</v>
      </c>
      <c r="W6166">
        <v>0.38081920000000002</v>
      </c>
      <c r="X6166">
        <v>0.91579460000000001</v>
      </c>
      <c r="Y6166">
        <v>0.2365844</v>
      </c>
      <c r="Z6166">
        <v>-0.15964809999999999</v>
      </c>
      <c r="AA6166">
        <v>0.95840510000000001</v>
      </c>
      <c r="AB6166">
        <v>27</v>
      </c>
      <c r="AC6166">
        <v>0.47619999999997698</v>
      </c>
      <c r="AD6166">
        <v>-0.17119909999999999</v>
      </c>
      <c r="AE6166">
        <v>0.46270000000001199</v>
      </c>
      <c r="AF6166">
        <v>0.20699555117848001</v>
      </c>
      <c r="AG6166">
        <v>-0.17119909999999999</v>
      </c>
      <c r="AH6166">
        <v>0.58716233422896902</v>
      </c>
      <c r="AI6166">
        <v>105.375344262517</v>
      </c>
      <c r="AJ6166">
        <v>70.580638062357494</v>
      </c>
      <c r="AK6166">
        <v>0.64569024832786803</v>
      </c>
      <c r="AL6166">
        <v>67.6155663191321</v>
      </c>
      <c r="AM6166">
        <v>82.064211322589003</v>
      </c>
      <c r="AN6166">
        <v>1.0000000568048999</v>
      </c>
    </row>
    <row r="6167" spans="1:40" x14ac:dyDescent="0.25">
      <c r="A6167" t="str">
        <f>"20190304164809342"</f>
        <v>20190304164809342</v>
      </c>
      <c r="B6167" t="str">
        <f>"1551689289335209"</f>
        <v>1551689289335209</v>
      </c>
      <c r="C6167" t="s">
        <v>40</v>
      </c>
      <c r="D6167">
        <v>5.0357250000000002</v>
      </c>
      <c r="E6167">
        <v>0.57208910000000002</v>
      </c>
      <c r="F6167" t="s">
        <v>41</v>
      </c>
      <c r="G6167">
        <v>-181.45160000000001</v>
      </c>
      <c r="H6167">
        <v>0.93719019999999997</v>
      </c>
      <c r="I6167">
        <v>130.6258</v>
      </c>
      <c r="J6167">
        <v>-181.9134</v>
      </c>
      <c r="K6167">
        <v>1.1034569999999999</v>
      </c>
      <c r="L6167">
        <v>130.19309999999999</v>
      </c>
      <c r="M6167">
        <v>0.45455299999999998</v>
      </c>
      <c r="N6167">
        <v>-1.4828839999999999E-2</v>
      </c>
      <c r="O6167">
        <v>0.89059619999999995</v>
      </c>
      <c r="P6167">
        <v>0.52777439999999998</v>
      </c>
      <c r="Q6167">
        <v>0.37025429999999998</v>
      </c>
      <c r="R6167">
        <v>0.76443839999999996</v>
      </c>
      <c r="S6167">
        <v>2.3280639999999999</v>
      </c>
      <c r="T6167">
        <v>-0.65118580000000004</v>
      </c>
      <c r="U6167">
        <v>2.6377259999999998</v>
      </c>
      <c r="V6167">
        <v>0.1298512</v>
      </c>
      <c r="W6167">
        <v>0.38146669999999999</v>
      </c>
      <c r="X6167">
        <v>0.91521680000000005</v>
      </c>
      <c r="Y6167">
        <v>0.23873140000000001</v>
      </c>
      <c r="Z6167">
        <v>-0.1602925</v>
      </c>
      <c r="AA6167">
        <v>0.95776490000000003</v>
      </c>
      <c r="AB6167">
        <v>27</v>
      </c>
      <c r="AC6167">
        <v>0.461799999999982</v>
      </c>
      <c r="AD6167">
        <v>-0.16626679999999899</v>
      </c>
      <c r="AE6167">
        <v>0.43270000000001102</v>
      </c>
      <c r="AF6167">
        <v>0.200758058632764</v>
      </c>
      <c r="AG6167">
        <v>-0.16626679999999899</v>
      </c>
      <c r="AH6167">
        <v>0.55689786981626199</v>
      </c>
      <c r="AI6167">
        <v>105.68825149229301</v>
      </c>
      <c r="AJ6167">
        <v>70.176096513071101</v>
      </c>
      <c r="AK6167">
        <v>0.61488509844858497</v>
      </c>
      <c r="AL6167">
        <v>67.575436566020997</v>
      </c>
      <c r="AM6167">
        <v>81.924756820394904</v>
      </c>
      <c r="AN6167">
        <v>0.999999984176284</v>
      </c>
    </row>
    <row r="6168" spans="1:40" x14ac:dyDescent="0.25">
      <c r="A6168" t="str">
        <f>"20190304164809363"</f>
        <v>20190304164809363</v>
      </c>
      <c r="B6168" t="str">
        <f>"1551689289355708"</f>
        <v>1551689289355708</v>
      </c>
      <c r="C6168" t="s">
        <v>40</v>
      </c>
      <c r="D6168">
        <v>4.9832299999999998</v>
      </c>
      <c r="E6168">
        <v>0.58318440000000005</v>
      </c>
      <c r="F6168" t="s">
        <v>41</v>
      </c>
      <c r="G6168">
        <v>-181.3295</v>
      </c>
      <c r="H6168">
        <v>0.94328559999999995</v>
      </c>
      <c r="I6168">
        <v>130.83580000000001</v>
      </c>
      <c r="J6168">
        <v>-181.78200000000001</v>
      </c>
      <c r="K6168">
        <v>1.10327999999999</v>
      </c>
      <c r="L6168">
        <v>130.42449999999999</v>
      </c>
      <c r="M6168">
        <v>0.46430890000000002</v>
      </c>
      <c r="N6168">
        <v>-1.4877309999999999E-2</v>
      </c>
      <c r="O6168">
        <v>0.88554840000000001</v>
      </c>
      <c r="P6168">
        <v>0.53886849999999997</v>
      </c>
      <c r="Q6168">
        <v>0.3710117</v>
      </c>
      <c r="R6168">
        <v>0.75628759999999995</v>
      </c>
      <c r="S6168">
        <v>2.3663180000000001</v>
      </c>
      <c r="T6168">
        <v>-0.64883690000000005</v>
      </c>
      <c r="U6168">
        <v>2.6049799999999999</v>
      </c>
      <c r="V6168">
        <v>0.13352919999999999</v>
      </c>
      <c r="W6168">
        <v>0.38212869999999999</v>
      </c>
      <c r="X6168">
        <v>0.91441110000000003</v>
      </c>
      <c r="Y6168">
        <v>0.2418795</v>
      </c>
      <c r="Z6168">
        <v>-0.1591476</v>
      </c>
      <c r="AA6168">
        <v>0.95716579999999996</v>
      </c>
      <c r="AB6168">
        <v>27</v>
      </c>
      <c r="AC6168">
        <v>0.452500000000014</v>
      </c>
      <c r="AD6168">
        <v>-0.15999439999999901</v>
      </c>
      <c r="AE6168">
        <v>0.41130000000001099</v>
      </c>
      <c r="AF6168">
        <v>0.1963236225061</v>
      </c>
      <c r="AG6168">
        <v>-0.15999439999999901</v>
      </c>
      <c r="AH6168">
        <v>0.53758707445932596</v>
      </c>
      <c r="AI6168">
        <v>105.61871945343501</v>
      </c>
      <c r="AJ6168">
        <v>69.938105285124294</v>
      </c>
      <c r="AK6168">
        <v>0.59425670834330002</v>
      </c>
      <c r="AL6168">
        <v>67.534398884699101</v>
      </c>
      <c r="AM6168">
        <v>81.691960042302995</v>
      </c>
      <c r="AN6168">
        <v>1.0000000252097601</v>
      </c>
    </row>
    <row r="6169" spans="1:40" x14ac:dyDescent="0.25">
      <c r="A6169" t="str">
        <f>"20190304164809386"</f>
        <v>20190304164809386</v>
      </c>
      <c r="B6169" t="str">
        <f>"1551689289375225"</f>
        <v>1551689289375225</v>
      </c>
      <c r="C6169" t="s">
        <v>40</v>
      </c>
      <c r="D6169">
        <v>4.9624189999999997</v>
      </c>
      <c r="E6169">
        <v>0.58235909999999902</v>
      </c>
      <c r="F6169" t="s">
        <v>51</v>
      </c>
      <c r="G6169">
        <v>-177.01179999999999</v>
      </c>
      <c r="H6169" s="1">
        <v>-5.5664050000000001E-6</v>
      </c>
      <c r="I6169">
        <v>135.26599999999999</v>
      </c>
      <c r="J6169">
        <v>-181.64519999999999</v>
      </c>
      <c r="K6169">
        <v>1.1031010000000001</v>
      </c>
      <c r="L6169">
        <v>130.65870000000001</v>
      </c>
      <c r="M6169">
        <v>0.47444890000000001</v>
      </c>
      <c r="N6169">
        <v>-1.492512E-2</v>
      </c>
      <c r="O6169">
        <v>0.88015650000000001</v>
      </c>
      <c r="P6169">
        <v>0.54957119999999904</v>
      </c>
      <c r="Q6169">
        <v>0.37200929999999999</v>
      </c>
      <c r="R6169">
        <v>0.74805119999999903</v>
      </c>
      <c r="S6169">
        <v>2.4576720000000001</v>
      </c>
      <c r="T6169">
        <v>-0.5684302</v>
      </c>
      <c r="U6169">
        <v>2.4944459999999999</v>
      </c>
      <c r="V6169">
        <v>0.13646989999999901</v>
      </c>
      <c r="W6169">
        <v>0.38304470000000002</v>
      </c>
      <c r="X6169">
        <v>0.91359330000000005</v>
      </c>
      <c r="Y6169">
        <v>0.27174670000000001</v>
      </c>
      <c r="Z6169">
        <v>-0.13983380000000001</v>
      </c>
      <c r="AA6169">
        <v>0.95215559999999999</v>
      </c>
      <c r="AB6169">
        <v>27</v>
      </c>
      <c r="AC6169">
        <v>4.6333999999999902</v>
      </c>
      <c r="AD6169">
        <v>-1.1031065664049999</v>
      </c>
      <c r="AE6169">
        <v>4.60729999999998</v>
      </c>
      <c r="AF6169">
        <v>1.8399598287586201</v>
      </c>
      <c r="AG6169">
        <v>-1.1031065664049999</v>
      </c>
      <c r="AH6169">
        <v>6.0808463915854896</v>
      </c>
      <c r="AI6169">
        <v>99.850189294870404</v>
      </c>
      <c r="AJ6169">
        <v>73.165085145891297</v>
      </c>
      <c r="AK6169">
        <v>6.4481771925366296</v>
      </c>
      <c r="AL6169">
        <v>67.477593552731406</v>
      </c>
      <c r="AM6169">
        <v>81.504142860041796</v>
      </c>
      <c r="AN6169">
        <v>0.99999999680449503</v>
      </c>
    </row>
    <row r="6170" spans="1:40" x14ac:dyDescent="0.25">
      <c r="A6170" t="str">
        <f>"20190304164809408"</f>
        <v>20190304164809408</v>
      </c>
      <c r="B6170" t="str">
        <f>"1551689289405481"</f>
        <v>1551689289405481</v>
      </c>
      <c r="C6170" t="s">
        <v>40</v>
      </c>
      <c r="D6170">
        <v>5.0491659999999996</v>
      </c>
      <c r="E6170">
        <v>0.58130029999999999</v>
      </c>
      <c r="F6170" t="s">
        <v>51</v>
      </c>
      <c r="G6170">
        <v>-176.8674</v>
      </c>
      <c r="H6170" s="1">
        <v>-5.52061E-6</v>
      </c>
      <c r="I6170">
        <v>135.4049</v>
      </c>
      <c r="J6170">
        <v>-181.5078</v>
      </c>
      <c r="K6170">
        <v>1.1029310000000001</v>
      </c>
      <c r="L6170">
        <v>130.88740000000001</v>
      </c>
      <c r="M6170">
        <v>0.48460199999999998</v>
      </c>
      <c r="N6170">
        <v>-1.4973129999999999E-2</v>
      </c>
      <c r="O6170">
        <v>0.87460659999999901</v>
      </c>
      <c r="P6170">
        <v>0.55808100000000005</v>
      </c>
      <c r="Q6170">
        <v>0.37248009999999998</v>
      </c>
      <c r="R6170">
        <v>0.74148800000000004</v>
      </c>
      <c r="S6170">
        <v>2.4859309999999999</v>
      </c>
      <c r="T6170">
        <v>-0.57396080000000005</v>
      </c>
      <c r="U6170">
        <v>2.4695130000000001</v>
      </c>
      <c r="V6170">
        <v>0.13661779999999901</v>
      </c>
      <c r="W6170">
        <v>0.38350000000000001</v>
      </c>
      <c r="X6170">
        <v>0.91338010000000003</v>
      </c>
      <c r="Y6170">
        <v>0.27073219999999998</v>
      </c>
      <c r="Z6170">
        <v>-0.1405411</v>
      </c>
      <c r="AA6170">
        <v>0.95234039999999998</v>
      </c>
      <c r="AB6170">
        <v>27</v>
      </c>
      <c r="AC6170">
        <v>4.6403999999999996</v>
      </c>
      <c r="AD6170">
        <v>-1.1029365206099999</v>
      </c>
      <c r="AE6170">
        <v>4.5174999999999796</v>
      </c>
      <c r="AF6170">
        <v>1.8168482692521299</v>
      </c>
      <c r="AG6170">
        <v>-1.1029365206099999</v>
      </c>
      <c r="AH6170">
        <v>6.0257066823488996</v>
      </c>
      <c r="AI6170">
        <v>99.939910800586503</v>
      </c>
      <c r="AJ6170">
        <v>73.221089339432098</v>
      </c>
      <c r="AK6170">
        <v>6.3895655269888296</v>
      </c>
      <c r="AL6170">
        <v>67.449348626181106</v>
      </c>
      <c r="AM6170">
        <v>81.493113847991197</v>
      </c>
      <c r="AN6170">
        <v>0.99999994017642302</v>
      </c>
    </row>
    <row r="6171" spans="1:40" x14ac:dyDescent="0.25">
      <c r="A6171" t="str">
        <f>"20190304164809431"</f>
        <v>20190304164809431</v>
      </c>
      <c r="B6171" t="str">
        <f>"1551689289425779"</f>
        <v>1551689289425779</v>
      </c>
      <c r="C6171" t="s">
        <v>40</v>
      </c>
      <c r="D6171">
        <v>5.0068970000000004</v>
      </c>
      <c r="E6171">
        <v>0.57212739999999995</v>
      </c>
      <c r="F6171" t="s">
        <v>51</v>
      </c>
      <c r="G6171">
        <v>-176.74599999999899</v>
      </c>
      <c r="H6171" s="1">
        <v>-5.4847299999999997E-6</v>
      </c>
      <c r="I6171">
        <v>135.52860000000001</v>
      </c>
      <c r="J6171">
        <v>-181.36109999999999</v>
      </c>
      <c r="K6171">
        <v>1.102759</v>
      </c>
      <c r="L6171">
        <v>131.1249</v>
      </c>
      <c r="M6171">
        <v>0.49539329999999998</v>
      </c>
      <c r="N6171">
        <v>-1.5024569999999999E-2</v>
      </c>
      <c r="O6171">
        <v>0.8685389</v>
      </c>
      <c r="P6171">
        <v>0.5679263</v>
      </c>
      <c r="Q6171">
        <v>0.3731236</v>
      </c>
      <c r="R6171">
        <v>0.7336473</v>
      </c>
      <c r="S6171">
        <v>2.5114899999999998</v>
      </c>
      <c r="T6171">
        <v>-0.58171649999999997</v>
      </c>
      <c r="U6171">
        <v>2.4478759999999999</v>
      </c>
      <c r="V6171">
        <v>0.13784440000000001</v>
      </c>
      <c r="W6171">
        <v>0.38410369999999999</v>
      </c>
      <c r="X6171">
        <v>0.91294209999999998</v>
      </c>
      <c r="Y6171">
        <v>0.2677196</v>
      </c>
      <c r="Z6171">
        <v>-0.14161760000000001</v>
      </c>
      <c r="AA6171">
        <v>0.9530324</v>
      </c>
      <c r="AB6171">
        <v>27</v>
      </c>
      <c r="AC6171">
        <v>4.6151000000000098</v>
      </c>
      <c r="AD6171">
        <v>-1.10276448473</v>
      </c>
      <c r="AE6171">
        <v>4.4037000000000104</v>
      </c>
      <c r="AF6171">
        <v>1.77401923246885</v>
      </c>
      <c r="AG6171">
        <v>-1.10276448473</v>
      </c>
      <c r="AH6171">
        <v>5.9344115662771797</v>
      </c>
      <c r="AI6171">
        <v>100.09518552598099</v>
      </c>
      <c r="AJ6171">
        <v>73.356612802798196</v>
      </c>
      <c r="AK6171">
        <v>6.2913014856955902</v>
      </c>
      <c r="AL6171">
        <v>67.4118919758494</v>
      </c>
      <c r="AM6171">
        <v>81.413812471469498</v>
      </c>
      <c r="AN6171">
        <v>1.0000000044587301</v>
      </c>
    </row>
    <row r="6172" spans="1:40" x14ac:dyDescent="0.25">
      <c r="A6172" t="str">
        <f>"20190304164809444"</f>
        <v>20190304164809444</v>
      </c>
      <c r="B6172" t="str">
        <f>"1551689289435540"</f>
        <v>1551689289435540</v>
      </c>
      <c r="C6172" t="s">
        <v>40</v>
      </c>
      <c r="D6172">
        <v>5.0444630000000004</v>
      </c>
      <c r="E6172">
        <v>0.57185909999999995</v>
      </c>
      <c r="F6172" t="s">
        <v>41</v>
      </c>
      <c r="G6172">
        <v>-180.82480000000001</v>
      </c>
      <c r="H6172">
        <v>0.95930530000000003</v>
      </c>
      <c r="I6172">
        <v>131.6584</v>
      </c>
      <c r="J6172">
        <v>-181.27590000000001</v>
      </c>
      <c r="K6172">
        <v>1.102652</v>
      </c>
      <c r="L6172">
        <v>131.25909999999999</v>
      </c>
      <c r="M6172">
        <v>0.50162479999999998</v>
      </c>
      <c r="N6172">
        <v>-1.505426E-2</v>
      </c>
      <c r="O6172">
        <v>0.86495419999999901</v>
      </c>
      <c r="P6172">
        <v>0.57379060000000004</v>
      </c>
      <c r="Q6172">
        <v>0.37356679999999998</v>
      </c>
      <c r="R6172">
        <v>0.72884320000000002</v>
      </c>
      <c r="S6172">
        <v>2.5042110000000002</v>
      </c>
      <c r="T6172">
        <v>-0.66995229999999995</v>
      </c>
      <c r="U6172">
        <v>2.4913479999999999</v>
      </c>
      <c r="V6172">
        <v>0.13882120000000001</v>
      </c>
      <c r="W6172">
        <v>0.38451750000000001</v>
      </c>
      <c r="X6172">
        <v>0.91261979999999998</v>
      </c>
      <c r="Y6172">
        <v>0.2484468</v>
      </c>
      <c r="Z6172">
        <v>-0.1615789</v>
      </c>
      <c r="AA6172">
        <v>0.95507410000000004</v>
      </c>
      <c r="AB6172">
        <v>26</v>
      </c>
      <c r="AC6172">
        <v>0.451099999999996</v>
      </c>
      <c r="AD6172">
        <v>-0.14334669999999899</v>
      </c>
      <c r="AE6172">
        <v>0.39930000000000998</v>
      </c>
      <c r="AF6172">
        <v>0.17972785517956399</v>
      </c>
      <c r="AG6172">
        <v>-0.14334669999999899</v>
      </c>
      <c r="AH6172">
        <v>0.541088906640394</v>
      </c>
      <c r="AI6172">
        <v>104.112580294243</v>
      </c>
      <c r="AJ6172">
        <v>71.625599314343503</v>
      </c>
      <c r="AK6172">
        <v>0.58790099780288996</v>
      </c>
      <c r="AL6172">
        <v>67.386209854940304</v>
      </c>
      <c r="AM6172">
        <v>81.350877633235996</v>
      </c>
      <c r="AN6172">
        <v>0.99999996636386401</v>
      </c>
    </row>
    <row r="6173" spans="1:40" x14ac:dyDescent="0.25">
      <c r="A6173" t="str">
        <f>"20190304164809463"</f>
        <v>20190304164809463</v>
      </c>
      <c r="B6173" t="str">
        <f>"1551689289456039"</f>
        <v>1551689289456039</v>
      </c>
      <c r="C6173" t="s">
        <v>40</v>
      </c>
      <c r="D6173">
        <v>4.5622910000000001</v>
      </c>
      <c r="E6173">
        <v>0.5717238</v>
      </c>
      <c r="F6173" t="s">
        <v>41</v>
      </c>
      <c r="G6173">
        <v>-180.68029999999999</v>
      </c>
      <c r="H6173">
        <v>0.94415470000000001</v>
      </c>
      <c r="I6173">
        <v>131.84289999999999</v>
      </c>
      <c r="J6173">
        <v>-181.15029999999999</v>
      </c>
      <c r="K6173">
        <v>1.1025119999999999</v>
      </c>
      <c r="L6173">
        <v>131.45320000000001</v>
      </c>
      <c r="M6173">
        <v>0.51076080000000001</v>
      </c>
      <c r="N6173">
        <v>-1.5096790000000001E-2</v>
      </c>
      <c r="O6173">
        <v>0.85959030000000003</v>
      </c>
      <c r="P6173">
        <v>0.58189279999999999</v>
      </c>
      <c r="Q6173">
        <v>0.37424560000000001</v>
      </c>
      <c r="R6173">
        <v>0.72203949999999995</v>
      </c>
      <c r="S6173">
        <v>2.523361</v>
      </c>
      <c r="T6173">
        <v>-0.67135929999999999</v>
      </c>
      <c r="U6173">
        <v>2.4736479999999998</v>
      </c>
      <c r="V6173">
        <v>0.13967289999999999</v>
      </c>
      <c r="W6173">
        <v>0.38516630000000002</v>
      </c>
      <c r="X6173">
        <v>0.91221620000000003</v>
      </c>
      <c r="Y6173">
        <v>0.24526909999999999</v>
      </c>
      <c r="Z6173">
        <v>-0.16099289999999999</v>
      </c>
      <c r="AA6173">
        <v>0.95599389999999995</v>
      </c>
      <c r="AB6173">
        <v>26</v>
      </c>
      <c r="AC6173">
        <v>0.46999999999999797</v>
      </c>
      <c r="AD6173">
        <v>-0.15835730000000001</v>
      </c>
      <c r="AE6173">
        <v>0.38969999999997601</v>
      </c>
      <c r="AF6173">
        <v>0.19206646220051399</v>
      </c>
      <c r="AG6173">
        <v>-0.15835730000000001</v>
      </c>
      <c r="AH6173">
        <v>0.53885514194859097</v>
      </c>
      <c r="AI6173">
        <v>105.47308099839201</v>
      </c>
      <c r="AJ6173">
        <v>70.382188245885402</v>
      </c>
      <c r="AK6173">
        <v>0.59357512108405297</v>
      </c>
      <c r="AL6173">
        <v>67.345935162042807</v>
      </c>
      <c r="AM6173">
        <v>81.294832148377495</v>
      </c>
      <c r="AN6173">
        <v>0.99999999659627004</v>
      </c>
    </row>
    <row r="6174" spans="1:40" x14ac:dyDescent="0.25">
      <c r="A6174" t="str">
        <f>"20190304164809478"</f>
        <v>20190304164809478</v>
      </c>
      <c r="B6174" t="str">
        <f>"1551689289475556"</f>
        <v>1551689289475556</v>
      </c>
      <c r="C6174" t="s">
        <v>40</v>
      </c>
      <c r="D6174">
        <v>5.0457919999999996</v>
      </c>
      <c r="E6174">
        <v>0.57137780000000005</v>
      </c>
      <c r="F6174" t="s">
        <v>41</v>
      </c>
      <c r="G6174">
        <v>-180.54140000000001</v>
      </c>
      <c r="H6174">
        <v>0.94262429999999997</v>
      </c>
      <c r="I6174">
        <v>132.0367</v>
      </c>
      <c r="J6174">
        <v>-181.0558</v>
      </c>
      <c r="K6174">
        <v>1.102411</v>
      </c>
      <c r="L6174">
        <v>131.59639999999999</v>
      </c>
      <c r="M6174">
        <v>0.51759820000000001</v>
      </c>
      <c r="N6174">
        <v>-1.51279E-2</v>
      </c>
      <c r="O6174">
        <v>0.85549010000000003</v>
      </c>
      <c r="P6174">
        <v>0.58790299999999995</v>
      </c>
      <c r="Q6174">
        <v>0.37458079999999999</v>
      </c>
      <c r="R6174">
        <v>0.71697929999999999</v>
      </c>
      <c r="S6174">
        <v>2.552155</v>
      </c>
      <c r="T6174">
        <v>-0.6701994</v>
      </c>
      <c r="U6174">
        <v>2.4454799999999999</v>
      </c>
      <c r="V6174">
        <v>0.14021549999999999</v>
      </c>
      <c r="W6174">
        <v>0.3854822</v>
      </c>
      <c r="X6174">
        <v>0.91199949999999996</v>
      </c>
      <c r="Y6174">
        <v>0.24850040000000001</v>
      </c>
      <c r="Z6174">
        <v>-0.16028399999999901</v>
      </c>
      <c r="AA6174">
        <v>0.95527830000000002</v>
      </c>
      <c r="AB6174">
        <v>26</v>
      </c>
      <c r="AC6174">
        <v>0.51439999999999397</v>
      </c>
      <c r="AD6174">
        <v>-0.159786699999999</v>
      </c>
      <c r="AE6174">
        <v>0.44030000000000702</v>
      </c>
      <c r="AF6174">
        <v>0.20099660689238499</v>
      </c>
      <c r="AG6174">
        <v>-0.159786699999999</v>
      </c>
      <c r="AH6174">
        <v>0.609079380185375</v>
      </c>
      <c r="AI6174">
        <v>103.989146164064</v>
      </c>
      <c r="AJ6174">
        <v>71.737075155549803</v>
      </c>
      <c r="AK6174">
        <v>0.66099101116894399</v>
      </c>
      <c r="AL6174">
        <v>67.326320923740496</v>
      </c>
      <c r="AM6174">
        <v>81.259491107244401</v>
      </c>
      <c r="AN6174">
        <v>1.00000000047867</v>
      </c>
    </row>
    <row r="6175" spans="1:40" x14ac:dyDescent="0.25">
      <c r="A6175" t="str">
        <f>"20190304164809490"</f>
        <v>20190304164809490</v>
      </c>
      <c r="B6175" t="str">
        <f>"1551689289485316"</f>
        <v>1551689289485316</v>
      </c>
      <c r="C6175" t="s">
        <v>40</v>
      </c>
      <c r="D6175">
        <v>5.0401290000000003</v>
      </c>
      <c r="E6175">
        <v>0.57124799999999998</v>
      </c>
      <c r="F6175" t="s">
        <v>41</v>
      </c>
      <c r="G6175">
        <v>-180.39500000000001</v>
      </c>
      <c r="H6175">
        <v>0.92951249999999996</v>
      </c>
      <c r="I6175">
        <v>132.2193</v>
      </c>
      <c r="J6175">
        <v>-180.97229999999999</v>
      </c>
      <c r="K6175">
        <v>1.102328</v>
      </c>
      <c r="L6175">
        <v>131.72049999999999</v>
      </c>
      <c r="M6175">
        <v>0.52360109999999904</v>
      </c>
      <c r="N6175">
        <v>-1.515497E-2</v>
      </c>
      <c r="O6175">
        <v>0.85182880000000005</v>
      </c>
      <c r="P6175">
        <v>0.59289289999999994</v>
      </c>
      <c r="Q6175">
        <v>0.37534620000000002</v>
      </c>
      <c r="R6175">
        <v>0.71245579999999997</v>
      </c>
      <c r="S6175">
        <v>2.5728909999999998</v>
      </c>
      <c r="T6175">
        <v>-0.67271919999999996</v>
      </c>
      <c r="U6175">
        <v>2.4259949999999999</v>
      </c>
      <c r="V6175">
        <v>0.1404755</v>
      </c>
      <c r="W6175">
        <v>0.38623400000000002</v>
      </c>
      <c r="X6175">
        <v>0.91164140000000005</v>
      </c>
      <c r="Y6175">
        <v>0.24932470000000001</v>
      </c>
      <c r="Z6175">
        <v>-0.16039419999999999</v>
      </c>
      <c r="AA6175">
        <v>0.95504500000000003</v>
      </c>
      <c r="AB6175">
        <v>26</v>
      </c>
      <c r="AC6175">
        <v>0.57729999999997905</v>
      </c>
      <c r="AD6175">
        <v>-0.17281550000000001</v>
      </c>
      <c r="AE6175">
        <v>0.49880000000001701</v>
      </c>
      <c r="AF6175">
        <v>0.21936008307181101</v>
      </c>
      <c r="AG6175">
        <v>-0.17281550000000001</v>
      </c>
      <c r="AH6175">
        <v>0.69175788892759904</v>
      </c>
      <c r="AI6175">
        <v>103.39463333374999</v>
      </c>
      <c r="AJ6175">
        <v>72.4059034872637</v>
      </c>
      <c r="AK6175">
        <v>0.74599800266427696</v>
      </c>
      <c r="AL6175">
        <v>67.279631454019906</v>
      </c>
      <c r="AM6175">
        <v>81.240148377574002</v>
      </c>
      <c r="AN6175">
        <v>1.0000000555251001</v>
      </c>
    </row>
    <row r="6176" spans="1:40" x14ac:dyDescent="0.25">
      <c r="A6176" t="str">
        <f>"20190304164809502"</f>
        <v>20190304164809502</v>
      </c>
      <c r="B6176" t="str">
        <f>"1551689289496052"</f>
        <v>1551689289496052</v>
      </c>
      <c r="C6176" t="s">
        <v>40</v>
      </c>
      <c r="D6176">
        <v>5.0369299999999999</v>
      </c>
      <c r="E6176">
        <v>0.57119659999999906</v>
      </c>
      <c r="F6176" t="s">
        <v>41</v>
      </c>
      <c r="G6176">
        <v>-180.41079999999999</v>
      </c>
      <c r="H6176">
        <v>0.95671870000000003</v>
      </c>
      <c r="I6176">
        <v>132.2424</v>
      </c>
      <c r="J6176">
        <v>-180.89269999999999</v>
      </c>
      <c r="K6176">
        <v>1.102255</v>
      </c>
      <c r="L6176">
        <v>131.83680000000001</v>
      </c>
      <c r="M6176">
        <v>0.52929910000000002</v>
      </c>
      <c r="N6176">
        <v>-1.5180239999999999E-2</v>
      </c>
      <c r="O6176">
        <v>0.84829940000000004</v>
      </c>
      <c r="P6176">
        <v>0.59786499999999998</v>
      </c>
      <c r="Q6176">
        <v>0.3758957</v>
      </c>
      <c r="R6176">
        <v>0.70799709999999905</v>
      </c>
      <c r="S6176">
        <v>2.5907290000000001</v>
      </c>
      <c r="T6176">
        <v>-0.67113909999999999</v>
      </c>
      <c r="U6176">
        <v>2.408401</v>
      </c>
      <c r="V6176">
        <v>0.14098550000000001</v>
      </c>
      <c r="W6176">
        <v>0.38676660000000002</v>
      </c>
      <c r="X6176">
        <v>0.91133679999999995</v>
      </c>
      <c r="Y6176">
        <v>0.24969359999999999</v>
      </c>
      <c r="Z6176">
        <v>-0.15950320000000001</v>
      </c>
      <c r="AA6176">
        <v>0.9550978</v>
      </c>
      <c r="AB6176">
        <v>26</v>
      </c>
      <c r="AC6176">
        <v>0.481899999999996</v>
      </c>
      <c r="AD6176">
        <v>-0.14553629999999901</v>
      </c>
      <c r="AE6176">
        <v>0.40559999999999202</v>
      </c>
      <c r="AF6176">
        <v>0.184295133970448</v>
      </c>
      <c r="AG6176">
        <v>-0.14553629999999901</v>
      </c>
      <c r="AH6176">
        <v>0.56883975537835396</v>
      </c>
      <c r="AI6176">
        <v>103.67937416341201</v>
      </c>
      <c r="AJ6176">
        <v>72.048491236195801</v>
      </c>
      <c r="AK6176">
        <v>0.61540570221747304</v>
      </c>
      <c r="AL6176">
        <v>67.2465441055692</v>
      </c>
      <c r="AM6176">
        <v>81.205949039649795</v>
      </c>
      <c r="AN6176">
        <v>1.0000000385600201</v>
      </c>
    </row>
    <row r="6177" spans="1:40" x14ac:dyDescent="0.25">
      <c r="A6177" t="str">
        <f>"20190304164809520"</f>
        <v>20190304164809520</v>
      </c>
      <c r="B6177" t="str">
        <f>"1551689289515166"</f>
        <v>1551689289515166</v>
      </c>
      <c r="C6177" t="s">
        <v>40</v>
      </c>
      <c r="D6177">
        <v>5.0937720000000004</v>
      </c>
      <c r="E6177">
        <v>0.57057150000000001</v>
      </c>
      <c r="F6177" t="s">
        <v>41</v>
      </c>
      <c r="G6177">
        <v>-180.25790000000001</v>
      </c>
      <c r="H6177">
        <v>0.93937269999999995</v>
      </c>
      <c r="I6177">
        <v>132.41839999999999</v>
      </c>
      <c r="J6177">
        <v>-180.7722</v>
      </c>
      <c r="K6177">
        <v>1.1021459999999901</v>
      </c>
      <c r="L6177">
        <v>132.00989999999999</v>
      </c>
      <c r="M6177">
        <v>0.53786610000000001</v>
      </c>
      <c r="N6177">
        <v>-1.5217079999999999E-2</v>
      </c>
      <c r="O6177">
        <v>0.84289289999999994</v>
      </c>
      <c r="P6177">
        <v>0.60546299999999997</v>
      </c>
      <c r="Q6177">
        <v>0.37794719999999998</v>
      </c>
      <c r="R6177">
        <v>0.70040749999999996</v>
      </c>
      <c r="S6177">
        <v>2.6086429999999998</v>
      </c>
      <c r="T6177">
        <v>-0.66953969999999996</v>
      </c>
      <c r="U6177">
        <v>2.3899080000000001</v>
      </c>
      <c r="V6177">
        <v>0.14232320000000001</v>
      </c>
      <c r="W6177">
        <v>0.38877129999999999</v>
      </c>
      <c r="X6177">
        <v>0.91027530000000001</v>
      </c>
      <c r="Y6177">
        <v>0.24697640000000001</v>
      </c>
      <c r="Z6177">
        <v>-0.15819829999999999</v>
      </c>
      <c r="AA6177">
        <v>0.95602089999999995</v>
      </c>
      <c r="AB6177">
        <v>26</v>
      </c>
      <c r="AC6177">
        <v>0.51429999999999099</v>
      </c>
      <c r="AD6177">
        <v>-0.16277329999999901</v>
      </c>
      <c r="AE6177">
        <v>0.40850000000000303</v>
      </c>
      <c r="AF6177">
        <v>0.201434196066657</v>
      </c>
      <c r="AG6177">
        <v>-0.16277329999999901</v>
      </c>
      <c r="AH6177">
        <v>0.58508246022838795</v>
      </c>
      <c r="AI6177">
        <v>104.737903039206</v>
      </c>
      <c r="AJ6177">
        <v>71.002263234916299</v>
      </c>
      <c r="AK6177">
        <v>0.63983776678531101</v>
      </c>
      <c r="AL6177">
        <v>67.121933995808803</v>
      </c>
      <c r="AM6177">
        <v>81.113646106577093</v>
      </c>
      <c r="AN6177">
        <v>1.0000000693760001</v>
      </c>
    </row>
    <row r="6178" spans="1:40" x14ac:dyDescent="0.25">
      <c r="A6178" t="str">
        <f>"20190304164809542"</f>
        <v>20190304164809542</v>
      </c>
      <c r="B6178" t="str">
        <f>"1551689289535654"</f>
        <v>1551689289535654</v>
      </c>
      <c r="C6178" t="s">
        <v>40</v>
      </c>
      <c r="D6178">
        <v>5.063364</v>
      </c>
      <c r="E6178">
        <v>0.57023519999999905</v>
      </c>
      <c r="F6178" t="s">
        <v>41</v>
      </c>
      <c r="G6178">
        <v>-180.11150000000001</v>
      </c>
      <c r="H6178">
        <v>0.93421900000000002</v>
      </c>
      <c r="I6178">
        <v>132.6035</v>
      </c>
      <c r="J6178">
        <v>-180.61519999999999</v>
      </c>
      <c r="K6178">
        <v>1.102012</v>
      </c>
      <c r="L6178">
        <v>132.22929999999999</v>
      </c>
      <c r="M6178">
        <v>0.5489134</v>
      </c>
      <c r="N6178">
        <v>-1.5262980000000001E-2</v>
      </c>
      <c r="O6178">
        <v>0.83573989999999998</v>
      </c>
      <c r="P6178">
        <v>0.615284099999999</v>
      </c>
      <c r="Q6178">
        <v>0.37944329999999998</v>
      </c>
      <c r="R6178">
        <v>0.69097629999999999</v>
      </c>
      <c r="S6178">
        <v>2.6341860000000001</v>
      </c>
      <c r="T6178">
        <v>-0.66905669999999995</v>
      </c>
      <c r="U6178">
        <v>2.3671419999999999</v>
      </c>
      <c r="V6178">
        <v>0.1437976</v>
      </c>
      <c r="W6178">
        <v>0.3902214</v>
      </c>
      <c r="X6178">
        <v>0.90942259999999997</v>
      </c>
      <c r="Y6178">
        <v>0.24356230000000001</v>
      </c>
      <c r="Z6178">
        <v>-0.15674839999999901</v>
      </c>
      <c r="AA6178">
        <v>0.95713499999999996</v>
      </c>
      <c r="AB6178">
        <v>26</v>
      </c>
      <c r="AC6178">
        <v>0.50369999999998005</v>
      </c>
      <c r="AD6178">
        <v>-0.167792999999999</v>
      </c>
      <c r="AE6178">
        <v>0.37420000000000098</v>
      </c>
      <c r="AF6178">
        <v>0.20119721106758501</v>
      </c>
      <c r="AG6178">
        <v>-0.167792999999999</v>
      </c>
      <c r="AH6178">
        <v>0.54996472540385399</v>
      </c>
      <c r="AI6178">
        <v>105.988376411971</v>
      </c>
      <c r="AJ6178">
        <v>69.905632120922704</v>
      </c>
      <c r="AK6178">
        <v>0.60917649969357002</v>
      </c>
      <c r="AL6178">
        <v>67.031723212672901</v>
      </c>
      <c r="AM6178">
        <v>81.0147996716954</v>
      </c>
      <c r="AN6178">
        <v>0.99999997808723895</v>
      </c>
    </row>
    <row r="6179" spans="1:40" x14ac:dyDescent="0.25">
      <c r="A6179" t="str">
        <f>"20190304164809556"</f>
        <v>20190304164809556</v>
      </c>
      <c r="B6179" t="str">
        <f>"1551689289545411"</f>
        <v>1551689289545411</v>
      </c>
      <c r="C6179" t="s">
        <v>40</v>
      </c>
      <c r="D6179">
        <v>4.3614819999999996</v>
      </c>
      <c r="E6179">
        <v>0.57023519999999905</v>
      </c>
      <c r="F6179" t="s">
        <v>41</v>
      </c>
      <c r="G6179">
        <v>-179.96850000000001</v>
      </c>
      <c r="H6179">
        <v>0.94000459999999997</v>
      </c>
      <c r="I6179">
        <v>132.7955</v>
      </c>
      <c r="J6179">
        <v>-180.51830000000001</v>
      </c>
      <c r="K6179">
        <v>1.101936</v>
      </c>
      <c r="L6179">
        <v>132.3621</v>
      </c>
      <c r="M6179">
        <v>0.55567029999999995</v>
      </c>
      <c r="N6179">
        <v>-1.529029E-2</v>
      </c>
      <c r="O6179">
        <v>0.831262099999999</v>
      </c>
      <c r="P6179">
        <v>0.62114320000000001</v>
      </c>
      <c r="Q6179">
        <v>0.38009300000000001</v>
      </c>
      <c r="R6179">
        <v>0.68535440000000003</v>
      </c>
      <c r="S6179">
        <v>2.66629</v>
      </c>
      <c r="T6179">
        <v>-0.6678113</v>
      </c>
      <c r="U6179">
        <v>2.3341829999999999</v>
      </c>
      <c r="V6179">
        <v>0.1444539</v>
      </c>
      <c r="W6179">
        <v>0.3908509</v>
      </c>
      <c r="X6179">
        <v>0.90904819999999997</v>
      </c>
      <c r="Y6179">
        <v>0.2481873</v>
      </c>
      <c r="Z6179">
        <v>-0.1560116</v>
      </c>
      <c r="AA6179">
        <v>0.95606670000000005</v>
      </c>
      <c r="AB6179">
        <v>26</v>
      </c>
      <c r="AC6179">
        <v>0.54980000000000395</v>
      </c>
      <c r="AD6179">
        <v>-0.161931399999999</v>
      </c>
      <c r="AE6179">
        <v>0.433400000000006</v>
      </c>
      <c r="AF6179">
        <v>0.20524482998528301</v>
      </c>
      <c r="AG6179">
        <v>-0.161931399999999</v>
      </c>
      <c r="AH6179">
        <v>0.63203950194603498</v>
      </c>
      <c r="AI6179">
        <v>103.69483894682701</v>
      </c>
      <c r="AJ6179">
        <v>72.009614765095094</v>
      </c>
      <c r="AK6179">
        <v>0.68397452479009702</v>
      </c>
      <c r="AL6179">
        <v>66.992544572101295</v>
      </c>
      <c r="AM6179">
        <v>80.970808259105098</v>
      </c>
      <c r="AN6179">
        <v>0.99999999258963002</v>
      </c>
    </row>
    <row r="6180" spans="1:40" x14ac:dyDescent="0.25">
      <c r="A6180" t="str">
        <f>"20190304164809568"</f>
        <v>20190304164809568</v>
      </c>
      <c r="B6180" t="str">
        <f>"1551689289565907"</f>
        <v>1551689289565907</v>
      </c>
      <c r="C6180" t="s">
        <v>40</v>
      </c>
      <c r="D6180">
        <v>5.099488</v>
      </c>
      <c r="E6180">
        <v>0.56977319999999998</v>
      </c>
      <c r="F6180" t="s">
        <v>41</v>
      </c>
      <c r="G6180">
        <v>-179.81209999999999</v>
      </c>
      <c r="H6180">
        <v>0.92699019999999999</v>
      </c>
      <c r="I6180">
        <v>132.96940000000001</v>
      </c>
      <c r="J6180">
        <v>-180.42689999999999</v>
      </c>
      <c r="K6180">
        <v>1.1018730000000001</v>
      </c>
      <c r="L6180">
        <v>132.4845</v>
      </c>
      <c r="M6180">
        <v>0.56198749999999997</v>
      </c>
      <c r="N6180">
        <v>-1.5315459999999999E-2</v>
      </c>
      <c r="O6180">
        <v>0.82700399999999996</v>
      </c>
      <c r="P6180">
        <v>0.62654690000000002</v>
      </c>
      <c r="Q6180">
        <v>0.38015860000000001</v>
      </c>
      <c r="R6180">
        <v>0.68038120000000002</v>
      </c>
      <c r="S6180">
        <v>2.6870569999999998</v>
      </c>
      <c r="T6180">
        <v>-0.66537709999999906</v>
      </c>
      <c r="U6180">
        <v>2.3110200000000001</v>
      </c>
      <c r="V6180">
        <v>0.144806399999999</v>
      </c>
      <c r="W6180">
        <v>0.39090930000000002</v>
      </c>
      <c r="X6180">
        <v>0.90896699999999997</v>
      </c>
      <c r="Y6180">
        <v>0.24932789999999999</v>
      </c>
      <c r="Z6180">
        <v>-0.15488869999999999</v>
      </c>
      <c r="AA6180">
        <v>0.95595249999999998</v>
      </c>
      <c r="AB6180">
        <v>26</v>
      </c>
      <c r="AC6180">
        <v>0.61480000000000201</v>
      </c>
      <c r="AD6180">
        <v>-0.17488279999999901</v>
      </c>
      <c r="AE6180">
        <v>0.48490000000000999</v>
      </c>
      <c r="AF6180">
        <v>0.224750608808752</v>
      </c>
      <c r="AG6180">
        <v>-0.17488279999999901</v>
      </c>
      <c r="AH6180">
        <v>0.71113756539015505</v>
      </c>
      <c r="AI6180">
        <v>103.196732512694</v>
      </c>
      <c r="AJ6180">
        <v>72.461182853210502</v>
      </c>
      <c r="AK6180">
        <v>0.76603751005076903</v>
      </c>
      <c r="AL6180">
        <v>66.988909234562996</v>
      </c>
      <c r="AM6180">
        <v>80.94834413641</v>
      </c>
      <c r="AN6180">
        <v>0.99999999069822498</v>
      </c>
    </row>
    <row r="6181" spans="1:40" x14ac:dyDescent="0.25">
      <c r="A6181" t="str">
        <f>"20190304164809582"</f>
        <v>20190304164809582</v>
      </c>
      <c r="B6181" t="str">
        <f>"1551689289575670"</f>
        <v>1551689289575670</v>
      </c>
      <c r="C6181" t="s">
        <v>40</v>
      </c>
      <c r="D6181">
        <v>5.0832369999999996</v>
      </c>
      <c r="E6181">
        <v>0.56949939999999999</v>
      </c>
      <c r="F6181" t="s">
        <v>41</v>
      </c>
      <c r="G6181">
        <v>-179.82769999999999</v>
      </c>
      <c r="H6181">
        <v>0.95333650000000003</v>
      </c>
      <c r="I6181">
        <v>132.9924</v>
      </c>
      <c r="J6181">
        <v>-180.32820000000001</v>
      </c>
      <c r="K6181">
        <v>1.1018079999999999</v>
      </c>
      <c r="L6181">
        <v>132.6146</v>
      </c>
      <c r="M6181">
        <v>0.56875559999999903</v>
      </c>
      <c r="N6181">
        <v>-1.534161E-2</v>
      </c>
      <c r="O6181">
        <v>0.82236350000000003</v>
      </c>
      <c r="P6181">
        <v>0.63187289999999996</v>
      </c>
      <c r="Q6181">
        <v>0.38065260000000001</v>
      </c>
      <c r="R6181">
        <v>0.67515950000000002</v>
      </c>
      <c r="S6181">
        <v>2.70459</v>
      </c>
      <c r="T6181">
        <v>-0.67012240000000001</v>
      </c>
      <c r="U6181">
        <v>2.2930760000000001</v>
      </c>
      <c r="V6181">
        <v>0.1447174</v>
      </c>
      <c r="W6181">
        <v>0.39140520000000001</v>
      </c>
      <c r="X6181">
        <v>0.90876780000000001</v>
      </c>
      <c r="Y6181">
        <v>0.24803919999999999</v>
      </c>
      <c r="Z6181">
        <v>-0.15525910000000001</v>
      </c>
      <c r="AA6181">
        <v>0.95622750000000001</v>
      </c>
      <c r="AB6181">
        <v>26</v>
      </c>
      <c r="AC6181">
        <v>0.50050000000001604</v>
      </c>
      <c r="AD6181">
        <v>-0.14847149999999901</v>
      </c>
      <c r="AE6181">
        <v>0.37780000000000702</v>
      </c>
      <c r="AF6181">
        <v>0.186296825704794</v>
      </c>
      <c r="AG6181">
        <v>-0.14847149999999901</v>
      </c>
      <c r="AH6181">
        <v>0.56381494414619104</v>
      </c>
      <c r="AI6181">
        <v>104.038284699689</v>
      </c>
      <c r="AJ6181">
        <v>71.7153117463087</v>
      </c>
      <c r="AK6181">
        <v>0.61207645341289296</v>
      </c>
      <c r="AL6181">
        <v>66.958037519782906</v>
      </c>
      <c r="AM6181">
        <v>80.951865281832497</v>
      </c>
      <c r="AN6181">
        <v>1.0000000353833101</v>
      </c>
    </row>
    <row r="6182" spans="1:40" x14ac:dyDescent="0.25">
      <c r="A6182" t="str">
        <f>"20190304164809599"</f>
        <v>20190304164809599</v>
      </c>
      <c r="B6182" t="str">
        <f>"1551689289595187"</f>
        <v>1551689289595187</v>
      </c>
      <c r="C6182" t="s">
        <v>40</v>
      </c>
      <c r="D6182">
        <v>5.0191739999999996</v>
      </c>
      <c r="E6182">
        <v>0.56915899999999997</v>
      </c>
      <c r="F6182" t="s">
        <v>41</v>
      </c>
      <c r="G6182">
        <v>-179.67060000000001</v>
      </c>
      <c r="H6182">
        <v>0.93961689999999998</v>
      </c>
      <c r="I6182">
        <v>133.16370000000001</v>
      </c>
      <c r="J6182">
        <v>-180.2107</v>
      </c>
      <c r="K6182">
        <v>1.1017399999999999</v>
      </c>
      <c r="L6182">
        <v>132.76669999999999</v>
      </c>
      <c r="M6182">
        <v>0.57673790000000003</v>
      </c>
      <c r="N6182">
        <v>-1.53714E-2</v>
      </c>
      <c r="O6182">
        <v>0.81678459999999997</v>
      </c>
      <c r="P6182">
        <v>0.63901409999999903</v>
      </c>
      <c r="Q6182">
        <v>0.38142979999999999</v>
      </c>
      <c r="R6182">
        <v>0.66796140000000004</v>
      </c>
      <c r="S6182">
        <v>2.7227480000000002</v>
      </c>
      <c r="T6182">
        <v>-0.67129479999999997</v>
      </c>
      <c r="U6182">
        <v>2.2736510000000001</v>
      </c>
      <c r="V6182">
        <v>0.145875</v>
      </c>
      <c r="W6182">
        <v>0.39215100000000003</v>
      </c>
      <c r="X6182">
        <v>0.90826099999999999</v>
      </c>
      <c r="Y6182">
        <v>0.2458169</v>
      </c>
      <c r="Z6182">
        <v>-0.15458079999999999</v>
      </c>
      <c r="AA6182">
        <v>0.95691110000000001</v>
      </c>
      <c r="AB6182">
        <v>26</v>
      </c>
      <c r="AC6182">
        <v>0.54009999999999503</v>
      </c>
      <c r="AD6182">
        <v>-0.16212309999999899</v>
      </c>
      <c r="AE6182">
        <v>0.397000000000019</v>
      </c>
      <c r="AF6182">
        <v>0.20047803694022101</v>
      </c>
      <c r="AG6182">
        <v>-0.16212309999999899</v>
      </c>
      <c r="AH6182">
        <v>0.60069559712911902</v>
      </c>
      <c r="AI6182">
        <v>104.35991724351901</v>
      </c>
      <c r="AJ6182">
        <v>71.543921416322505</v>
      </c>
      <c r="AK6182">
        <v>0.65368994428499705</v>
      </c>
      <c r="AL6182">
        <v>66.911592314454097</v>
      </c>
      <c r="AM6182">
        <v>80.875697446603695</v>
      </c>
      <c r="AN6182">
        <v>0.99999998327349904</v>
      </c>
    </row>
    <row r="6183" spans="1:40" x14ac:dyDescent="0.25">
      <c r="A6183" t="str">
        <f>"20190304164809621"</f>
        <v>20190304164809621</v>
      </c>
      <c r="B6183" t="str">
        <f>"1551689289615527"</f>
        <v>1551689289615527</v>
      </c>
      <c r="C6183" t="s">
        <v>40</v>
      </c>
      <c r="D6183">
        <v>5.1072240000000004</v>
      </c>
      <c r="E6183">
        <v>0.56874969999999903</v>
      </c>
      <c r="F6183" t="s">
        <v>41</v>
      </c>
      <c r="G6183">
        <v>-179.51419999999999</v>
      </c>
      <c r="H6183">
        <v>0.93102200000000002</v>
      </c>
      <c r="I6183">
        <v>133.3373</v>
      </c>
      <c r="J6183">
        <v>-180.0454</v>
      </c>
      <c r="K6183">
        <v>1.10165</v>
      </c>
      <c r="L6183">
        <v>132.9751</v>
      </c>
      <c r="M6183">
        <v>0.58781919999999899</v>
      </c>
      <c r="N6183">
        <v>-1.541113E-2</v>
      </c>
      <c r="O6183">
        <v>0.80884560000000005</v>
      </c>
      <c r="P6183">
        <v>0.64840319999999996</v>
      </c>
      <c r="Q6183">
        <v>0.3822623</v>
      </c>
      <c r="R6183">
        <v>0.65836830000000002</v>
      </c>
      <c r="S6183">
        <v>2.7453609999999999</v>
      </c>
      <c r="T6183">
        <v>-0.67262480000000002</v>
      </c>
      <c r="U6183">
        <v>2.2490079999999999</v>
      </c>
      <c r="V6183">
        <v>0.1467427</v>
      </c>
      <c r="W6183">
        <v>0.39296110000000001</v>
      </c>
      <c r="X6183">
        <v>0.90777099999999999</v>
      </c>
      <c r="Y6183">
        <v>0.2417057</v>
      </c>
      <c r="Z6183">
        <v>-0.153471</v>
      </c>
      <c r="AA6183">
        <v>0.95813619999999999</v>
      </c>
      <c r="AB6183">
        <v>26</v>
      </c>
      <c r="AC6183">
        <v>0.531200000000012</v>
      </c>
      <c r="AD6183">
        <v>-0.170628</v>
      </c>
      <c r="AE6183">
        <v>0.36220000000000102</v>
      </c>
      <c r="AF6183">
        <v>0.20251301180842399</v>
      </c>
      <c r="AG6183">
        <v>-0.170628</v>
      </c>
      <c r="AH6183">
        <v>0.56545890465376902</v>
      </c>
      <c r="AI6183">
        <v>105.858901828217</v>
      </c>
      <c r="AJ6183">
        <v>70.295562323146697</v>
      </c>
      <c r="AK6183">
        <v>0.62439507300102803</v>
      </c>
      <c r="AL6183">
        <v>66.861126802656699</v>
      </c>
      <c r="AM6183">
        <v>80.817475245272007</v>
      </c>
      <c r="AN6183">
        <v>1.00000001727874</v>
      </c>
    </row>
    <row r="6184" spans="1:40" x14ac:dyDescent="0.25">
      <c r="A6184" t="str">
        <f>"20190304164809636"</f>
        <v>20190304164809636</v>
      </c>
      <c r="B6184" t="str">
        <f>"1551689289625245"</f>
        <v>1551689289625245</v>
      </c>
      <c r="C6184" t="s">
        <v>40</v>
      </c>
      <c r="D6184">
        <v>5.0479250000000002</v>
      </c>
      <c r="E6184">
        <v>0.56860149999999998</v>
      </c>
      <c r="F6184" t="s">
        <v>41</v>
      </c>
      <c r="G6184">
        <v>-179.3623</v>
      </c>
      <c r="H6184">
        <v>0.93572010000000005</v>
      </c>
      <c r="I6184">
        <v>133.52000000000001</v>
      </c>
      <c r="J6184">
        <v>-179.92840000000001</v>
      </c>
      <c r="K6184">
        <v>1.1015889999999999</v>
      </c>
      <c r="L6184">
        <v>133.11949999999999</v>
      </c>
      <c r="M6184">
        <v>0.59556260000000005</v>
      </c>
      <c r="N6184">
        <v>-1.543776E-2</v>
      </c>
      <c r="O6184">
        <v>0.8031606</v>
      </c>
      <c r="P6184">
        <v>0.65473819999999905</v>
      </c>
      <c r="Q6184">
        <v>0.3822526</v>
      </c>
      <c r="R6184">
        <v>0.6520743</v>
      </c>
      <c r="S6184">
        <v>2.7760929999999999</v>
      </c>
      <c r="T6184">
        <v>-0.67435800000000001</v>
      </c>
      <c r="U6184">
        <v>2.2142330000000001</v>
      </c>
      <c r="V6184">
        <v>0.14685319999999999</v>
      </c>
      <c r="W6184">
        <v>0.39295269999999999</v>
      </c>
      <c r="X6184">
        <v>0.90775669999999997</v>
      </c>
      <c r="Y6184">
        <v>0.24488770000000001</v>
      </c>
      <c r="Z6184">
        <v>-0.153203799999999</v>
      </c>
      <c r="AA6184">
        <v>0.95737070000000002</v>
      </c>
      <c r="AB6184">
        <v>26</v>
      </c>
      <c r="AC6184">
        <v>0.56610000000000504</v>
      </c>
      <c r="AD6184">
        <v>-0.16586890000000001</v>
      </c>
      <c r="AE6184">
        <v>0.40050000000002201</v>
      </c>
      <c r="AF6184">
        <v>0.20447339419937999</v>
      </c>
      <c r="AG6184">
        <v>-0.16586890000000001</v>
      </c>
      <c r="AH6184">
        <v>0.62323452537237201</v>
      </c>
      <c r="AI6184">
        <v>104.19143729245199</v>
      </c>
      <c r="AJ6184">
        <v>71.836154477906106</v>
      </c>
      <c r="AK6184">
        <v>0.67656716927349503</v>
      </c>
      <c r="AL6184">
        <v>66.861648704231399</v>
      </c>
      <c r="AM6184">
        <v>80.810536266209894</v>
      </c>
      <c r="AN6184">
        <v>0.99999995659120899</v>
      </c>
    </row>
    <row r="6185" spans="1:40" x14ac:dyDescent="0.25">
      <c r="A6185" t="str">
        <f>"20190304164809651"</f>
        <v>20190304164809651</v>
      </c>
      <c r="B6185" t="str">
        <f>"1551689289645741"</f>
        <v>1551689289645741</v>
      </c>
      <c r="C6185" t="s">
        <v>40</v>
      </c>
      <c r="D6185">
        <v>5.0901100000000001</v>
      </c>
      <c r="E6185">
        <v>0.56827309999999998</v>
      </c>
      <c r="F6185" t="s">
        <v>41</v>
      </c>
      <c r="G6185">
        <v>-179.20150000000001</v>
      </c>
      <c r="H6185">
        <v>0.92582439999999999</v>
      </c>
      <c r="I6185">
        <v>133.68799999999999</v>
      </c>
      <c r="J6185">
        <v>-179.8125</v>
      </c>
      <c r="K6185">
        <v>1.101534</v>
      </c>
      <c r="L6185">
        <v>133.25919999999999</v>
      </c>
      <c r="M6185">
        <v>0.60313050000000001</v>
      </c>
      <c r="N6185">
        <v>-1.5462800000000001E-2</v>
      </c>
      <c r="O6185">
        <v>0.7974926</v>
      </c>
      <c r="P6185">
        <v>0.66098819999999903</v>
      </c>
      <c r="Q6185">
        <v>0.38247170000000003</v>
      </c>
      <c r="R6185">
        <v>0.64560819999999997</v>
      </c>
      <c r="S6185">
        <v>2.7972109999999999</v>
      </c>
      <c r="T6185">
        <v>-0.67595369999999999</v>
      </c>
      <c r="U6185">
        <v>2.1883089999999998</v>
      </c>
      <c r="V6185">
        <v>0.14714769999999999</v>
      </c>
      <c r="W6185">
        <v>0.39316800000000002</v>
      </c>
      <c r="X6185">
        <v>0.90761579999999997</v>
      </c>
      <c r="Y6185">
        <v>0.2447501</v>
      </c>
      <c r="Z6185">
        <v>-0.15276029999999999</v>
      </c>
      <c r="AA6185">
        <v>0.95747669999999996</v>
      </c>
      <c r="AB6185">
        <v>26</v>
      </c>
      <c r="AC6185">
        <v>0.61099999999999</v>
      </c>
      <c r="AD6185">
        <v>-0.17570959999999899</v>
      </c>
      <c r="AE6185">
        <v>0.42879999999999502</v>
      </c>
      <c r="AF6185">
        <v>0.21666744543151001</v>
      </c>
      <c r="AG6185">
        <v>-0.17570959999999899</v>
      </c>
      <c r="AH6185">
        <v>0.67325741180885401</v>
      </c>
      <c r="AI6185">
        <v>103.95188220361</v>
      </c>
      <c r="AJ6185">
        <v>72.160805970621396</v>
      </c>
      <c r="AK6185">
        <v>0.72876209286538296</v>
      </c>
      <c r="AL6185">
        <v>66.848233740366894</v>
      </c>
      <c r="AM6185">
        <v>80.791018105992805</v>
      </c>
      <c r="AN6185">
        <v>0.99999998112446398</v>
      </c>
    </row>
    <row r="6186" spans="1:40" x14ac:dyDescent="0.25">
      <c r="A6186" t="str">
        <f>"20190304164809664"</f>
        <v>20190304164809664</v>
      </c>
      <c r="B6186" t="str">
        <f>"1551689289655501"</f>
        <v>1551689289655501</v>
      </c>
      <c r="C6186" t="s">
        <v>40</v>
      </c>
      <c r="D6186">
        <v>5.1903069999999998</v>
      </c>
      <c r="E6186">
        <v>0.56827309999999998</v>
      </c>
      <c r="F6186" t="s">
        <v>41</v>
      </c>
      <c r="G6186">
        <v>-179.21700000000001</v>
      </c>
      <c r="H6186">
        <v>0.95810499999999998</v>
      </c>
      <c r="I6186">
        <v>133.7166</v>
      </c>
      <c r="J6186">
        <v>-179.71299999999999</v>
      </c>
      <c r="K6186">
        <v>1.1014999999999999</v>
      </c>
      <c r="L6186">
        <v>133.3767</v>
      </c>
      <c r="M6186">
        <v>0.60955719999999902</v>
      </c>
      <c r="N6186">
        <v>-1.5482930000000001E-2</v>
      </c>
      <c r="O6186">
        <v>0.79259089999999999</v>
      </c>
      <c r="P6186">
        <v>0.66627519999999996</v>
      </c>
      <c r="Q6186">
        <v>0.38330350000000002</v>
      </c>
      <c r="R6186">
        <v>0.63965300000000003</v>
      </c>
      <c r="S6186">
        <v>2.8171840000000001</v>
      </c>
      <c r="T6186">
        <v>-0.67792019999999997</v>
      </c>
      <c r="U6186">
        <v>2.1640929999999998</v>
      </c>
      <c r="V6186">
        <v>0.14763789999999999</v>
      </c>
      <c r="W6186">
        <v>0.39398630000000001</v>
      </c>
      <c r="X6186">
        <v>0.90718129999999997</v>
      </c>
      <c r="Y6186">
        <v>0.24536079999999999</v>
      </c>
      <c r="Z6186">
        <v>-0.15253429999999901</v>
      </c>
      <c r="AA6186">
        <v>0.95735650000000005</v>
      </c>
      <c r="AB6186">
        <v>26</v>
      </c>
      <c r="AC6186">
        <v>0.49599999999998001</v>
      </c>
      <c r="AD6186">
        <v>-0.14339499999999999</v>
      </c>
      <c r="AE6186">
        <v>0.33989999999999998</v>
      </c>
      <c r="AF6186">
        <v>0.175952054442993</v>
      </c>
      <c r="AG6186">
        <v>-0.14339499999999999</v>
      </c>
      <c r="AH6186">
        <v>0.54104025715841197</v>
      </c>
      <c r="AI6186">
        <v>104.146327648149</v>
      </c>
      <c r="AJ6186">
        <v>71.984922679917702</v>
      </c>
      <c r="AK6186">
        <v>0.58672464696290905</v>
      </c>
      <c r="AL6186">
        <v>66.797233624165898</v>
      </c>
      <c r="AM6186">
        <v>80.756519220105105</v>
      </c>
      <c r="AN6186">
        <v>1.0000000325868901</v>
      </c>
    </row>
    <row r="6187" spans="1:40" x14ac:dyDescent="0.25">
      <c r="A6187" t="str">
        <f>"20190304164809681"</f>
        <v>20190304164809681</v>
      </c>
      <c r="B6187" t="str">
        <f>"1551689289675998"</f>
        <v>1551689289675998</v>
      </c>
      <c r="C6187" t="s">
        <v>40</v>
      </c>
      <c r="D6187">
        <v>5.1181130000000001</v>
      </c>
      <c r="E6187">
        <v>0.568083</v>
      </c>
      <c r="F6187" t="s">
        <v>41</v>
      </c>
      <c r="G6187">
        <v>-179.05029999999999</v>
      </c>
      <c r="H6187">
        <v>0.94380410000000003</v>
      </c>
      <c r="I6187">
        <v>133.87710000000001</v>
      </c>
      <c r="J6187">
        <v>-179.58510000000001</v>
      </c>
      <c r="K6187">
        <v>1.1014489999999999</v>
      </c>
      <c r="L6187">
        <v>133.52520000000001</v>
      </c>
      <c r="M6187">
        <v>0.61771949999999998</v>
      </c>
      <c r="N6187">
        <v>-1.5507430000000001E-2</v>
      </c>
      <c r="O6187">
        <v>0.78624559999999999</v>
      </c>
      <c r="P6187">
        <v>0.6728885</v>
      </c>
      <c r="Q6187">
        <v>0.383519</v>
      </c>
      <c r="R6187">
        <v>0.63256169999999901</v>
      </c>
      <c r="S6187">
        <v>2.835388</v>
      </c>
      <c r="T6187">
        <v>-0.67498230000000004</v>
      </c>
      <c r="U6187">
        <v>2.1410520000000002</v>
      </c>
      <c r="V6187">
        <v>0.147822799999999</v>
      </c>
      <c r="W6187">
        <v>0.39420110000000003</v>
      </c>
      <c r="X6187">
        <v>0.90705780000000003</v>
      </c>
      <c r="Y6187">
        <v>0.24345739999999999</v>
      </c>
      <c r="Z6187">
        <v>-0.15080579999999999</v>
      </c>
      <c r="AA6187">
        <v>0.95811590000000002</v>
      </c>
      <c r="AB6187">
        <v>26</v>
      </c>
      <c r="AC6187">
        <v>0.53480000000001804</v>
      </c>
      <c r="AD6187">
        <v>-0.15764489999999901</v>
      </c>
      <c r="AE6187">
        <v>0.35189999999999999</v>
      </c>
      <c r="AF6187">
        <v>0.191519816623902</v>
      </c>
      <c r="AG6187">
        <v>-0.15764489999999901</v>
      </c>
      <c r="AH6187">
        <v>0.57240034760770997</v>
      </c>
      <c r="AI6187">
        <v>104.63743926084901</v>
      </c>
      <c r="AJ6187">
        <v>71.500239502867998</v>
      </c>
      <c r="AK6187">
        <v>0.62383804997538395</v>
      </c>
      <c r="AL6187">
        <v>66.783841234794593</v>
      </c>
      <c r="AM6187">
        <v>80.743904701637902</v>
      </c>
      <c r="AN6187">
        <v>0.99999996999094398</v>
      </c>
    </row>
    <row r="6188" spans="1:40" x14ac:dyDescent="0.25">
      <c r="A6188" t="str">
        <f>"20190304164809698"</f>
        <v>20190304164809698</v>
      </c>
      <c r="B6188" t="str">
        <f>"1551689289695517"</f>
        <v>1551689289695517</v>
      </c>
      <c r="C6188" t="s">
        <v>40</v>
      </c>
      <c r="D6188">
        <v>5.1252909999999998</v>
      </c>
      <c r="E6188">
        <v>0.56808570000000003</v>
      </c>
      <c r="F6188" t="s">
        <v>41</v>
      </c>
      <c r="G6188">
        <v>-178.88589999999999</v>
      </c>
      <c r="H6188">
        <v>0.93687690000000001</v>
      </c>
      <c r="I6188">
        <v>134.04220000000001</v>
      </c>
      <c r="J6188">
        <v>-179.4504</v>
      </c>
      <c r="K6188">
        <v>1.1013999999999999</v>
      </c>
      <c r="L6188">
        <v>133.67830000000001</v>
      </c>
      <c r="M6188">
        <v>0.62620259999999905</v>
      </c>
      <c r="N6188">
        <v>-1.5531939999999999E-2</v>
      </c>
      <c r="O6188">
        <v>0.77950569999999997</v>
      </c>
      <c r="P6188">
        <v>0.67964729999999995</v>
      </c>
      <c r="Q6188">
        <v>0.38278479999999998</v>
      </c>
      <c r="R6188">
        <v>0.62574399999999997</v>
      </c>
      <c r="S6188">
        <v>2.8563540000000001</v>
      </c>
      <c r="T6188">
        <v>-0.67216849999999995</v>
      </c>
      <c r="U6188">
        <v>2.1117249999999999</v>
      </c>
      <c r="V6188">
        <v>0.14749000000000001</v>
      </c>
      <c r="W6188">
        <v>0.3934858</v>
      </c>
      <c r="X6188">
        <v>0.90742250000000002</v>
      </c>
      <c r="Y6188">
        <v>0.24285580000000001</v>
      </c>
      <c r="Z6188">
        <v>-0.14919669999999999</v>
      </c>
      <c r="AA6188">
        <v>0.95852040000000005</v>
      </c>
      <c r="AB6188">
        <v>26</v>
      </c>
      <c r="AC6188">
        <v>0.56450000000000899</v>
      </c>
      <c r="AD6188">
        <v>-0.16452309999999901</v>
      </c>
      <c r="AE6188">
        <v>0.363900000000001</v>
      </c>
      <c r="AF6188">
        <v>0.20016996901765499</v>
      </c>
      <c r="AG6188">
        <v>-0.16452309999999901</v>
      </c>
      <c r="AH6188">
        <v>0.60115712031009505</v>
      </c>
      <c r="AI6188">
        <v>104.556026262044</v>
      </c>
      <c r="AJ6188">
        <v>71.583558774338201</v>
      </c>
      <c r="AK6188">
        <v>0.65461878236853699</v>
      </c>
      <c r="AL6188">
        <v>66.828428915694403</v>
      </c>
      <c r="AM6188">
        <v>80.768031809055998</v>
      </c>
      <c r="AN6188">
        <v>0.99999998420394498</v>
      </c>
    </row>
    <row r="6189" spans="1:40" x14ac:dyDescent="0.25">
      <c r="A6189" t="str">
        <f>"20190304164809713"</f>
        <v>20190304164809713</v>
      </c>
      <c r="B6189" t="str">
        <f>"1551689289705277"</f>
        <v>1551689289705277</v>
      </c>
      <c r="C6189" t="s">
        <v>40</v>
      </c>
      <c r="D6189">
        <v>5.159675</v>
      </c>
      <c r="E6189">
        <v>0.56808879999999995</v>
      </c>
      <c r="F6189" t="s">
        <v>41</v>
      </c>
      <c r="G6189">
        <v>-178.72020000000001</v>
      </c>
      <c r="H6189">
        <v>0.93095159999999999</v>
      </c>
      <c r="I6189">
        <v>134.20580000000001</v>
      </c>
      <c r="J6189">
        <v>-179.3271</v>
      </c>
      <c r="K6189">
        <v>1.1013520000000001</v>
      </c>
      <c r="L6189">
        <v>133.81569999999999</v>
      </c>
      <c r="M6189">
        <v>0.63386799999999999</v>
      </c>
      <c r="N6189">
        <v>-1.5553620000000001E-2</v>
      </c>
      <c r="O6189">
        <v>0.77328490000000005</v>
      </c>
      <c r="P6189">
        <v>0.68553219999999904</v>
      </c>
      <c r="Q6189">
        <v>0.3823628</v>
      </c>
      <c r="R6189">
        <v>0.61955179999999999</v>
      </c>
      <c r="S6189">
        <v>2.87825</v>
      </c>
      <c r="T6189">
        <v>-0.67175769999999901</v>
      </c>
      <c r="U6189">
        <v>2.0790099999999998</v>
      </c>
      <c r="V6189">
        <v>0.14697360000000001</v>
      </c>
      <c r="W6189">
        <v>0.39308549999999998</v>
      </c>
      <c r="X6189">
        <v>0.90767969999999998</v>
      </c>
      <c r="Y6189">
        <v>0.24396499999999999</v>
      </c>
      <c r="Z6189">
        <v>-0.1483717</v>
      </c>
      <c r="AA6189">
        <v>0.95836679999999996</v>
      </c>
      <c r="AB6189">
        <v>26</v>
      </c>
      <c r="AC6189">
        <v>0.606899999999996</v>
      </c>
      <c r="AD6189">
        <v>-0.17040040000000001</v>
      </c>
      <c r="AE6189">
        <v>0.39010000000001799</v>
      </c>
      <c r="AF6189">
        <v>0.210328423536115</v>
      </c>
      <c r="AG6189">
        <v>-0.17040040000000001</v>
      </c>
      <c r="AH6189">
        <v>0.65016652858512802</v>
      </c>
      <c r="AI6189">
        <v>104.001927618438</v>
      </c>
      <c r="AJ6189">
        <v>72.073641522115196</v>
      </c>
      <c r="AK6189">
        <v>0.70426618331408097</v>
      </c>
      <c r="AL6189">
        <v>66.8533736398185</v>
      </c>
      <c r="AM6189">
        <v>80.802363978036198</v>
      </c>
      <c r="AN6189">
        <v>0.99999994359964794</v>
      </c>
    </row>
    <row r="6190" spans="1:40" x14ac:dyDescent="0.25">
      <c r="A6190" t="str">
        <f>"20190304164809727"</f>
        <v>20190304164809727</v>
      </c>
      <c r="B6190" t="str">
        <f>"1551689289725773"</f>
        <v>1551689289725773</v>
      </c>
      <c r="C6190" t="s">
        <v>40</v>
      </c>
      <c r="D6190">
        <v>5.1269660000000004</v>
      </c>
      <c r="E6190">
        <v>0.56805289999999997</v>
      </c>
      <c r="F6190" t="s">
        <v>41</v>
      </c>
      <c r="G6190">
        <v>-178.73400000000001</v>
      </c>
      <c r="H6190">
        <v>0.96387179999999995</v>
      </c>
      <c r="I6190">
        <v>134.23509999999999</v>
      </c>
      <c r="J6190">
        <v>-179.2167</v>
      </c>
      <c r="K6190">
        <v>1.101315</v>
      </c>
      <c r="L6190">
        <v>133.93559999999999</v>
      </c>
      <c r="M6190">
        <v>0.64063680000000001</v>
      </c>
      <c r="N6190">
        <v>-1.557275E-2</v>
      </c>
      <c r="O6190">
        <v>0.76768619999999899</v>
      </c>
      <c r="P6190">
        <v>0.69057849999999998</v>
      </c>
      <c r="Q6190">
        <v>0.38210519999999998</v>
      </c>
      <c r="R6190">
        <v>0.61408240000000003</v>
      </c>
      <c r="S6190">
        <v>2.8984070000000002</v>
      </c>
      <c r="T6190">
        <v>-0.67182909999999996</v>
      </c>
      <c r="U6190">
        <v>2.0497890000000001</v>
      </c>
      <c r="V6190">
        <v>0.14634949999999999</v>
      </c>
      <c r="W6190">
        <v>0.39285100000000001</v>
      </c>
      <c r="X6190">
        <v>0.90788210000000003</v>
      </c>
      <c r="Y6190">
        <v>0.2450792</v>
      </c>
      <c r="Z6190">
        <v>-0.14769959999999999</v>
      </c>
      <c r="AA6190">
        <v>0.95818630000000005</v>
      </c>
      <c r="AB6190">
        <v>26</v>
      </c>
      <c r="AC6190">
        <v>0.48269999999999402</v>
      </c>
      <c r="AD6190">
        <v>-0.13744319999999999</v>
      </c>
      <c r="AE6190">
        <v>0.29949999999999399</v>
      </c>
      <c r="AF6190">
        <v>0.168829870373984</v>
      </c>
      <c r="AG6190">
        <v>-0.13744319999999999</v>
      </c>
      <c r="AH6190">
        <v>0.50940263694802701</v>
      </c>
      <c r="AI6190">
        <v>104.365396221213</v>
      </c>
      <c r="AJ6190">
        <v>71.663401327773997</v>
      </c>
      <c r="AK6190">
        <v>0.55397220587890394</v>
      </c>
      <c r="AL6190">
        <v>66.867986232029097</v>
      </c>
      <c r="AM6190">
        <v>80.842764238885906</v>
      </c>
      <c r="AN6190">
        <v>0.99999999592583</v>
      </c>
    </row>
    <row r="6191" spans="1:40" x14ac:dyDescent="0.25">
      <c r="A6191" t="str">
        <f>"20190304164809744"</f>
        <v>20190304164809744</v>
      </c>
      <c r="B6191" t="str">
        <f>"1551689289735534"</f>
        <v>1551689289735534</v>
      </c>
      <c r="C6191" t="s">
        <v>40</v>
      </c>
      <c r="D6191">
        <v>5.1299250000000001</v>
      </c>
      <c r="E6191">
        <v>0.56805090000000003</v>
      </c>
      <c r="F6191" t="s">
        <v>41</v>
      </c>
      <c r="G6191">
        <v>-178.56280000000001</v>
      </c>
      <c r="H6191">
        <v>0.95069749999999997</v>
      </c>
      <c r="I6191">
        <v>134.3896</v>
      </c>
      <c r="J6191">
        <v>-179.09</v>
      </c>
      <c r="K6191">
        <v>1.101262</v>
      </c>
      <c r="L6191">
        <v>134.071</v>
      </c>
      <c r="M6191">
        <v>0.64831759999999905</v>
      </c>
      <c r="N6191">
        <v>-1.5594210000000001E-2</v>
      </c>
      <c r="O6191">
        <v>0.76121030000000001</v>
      </c>
      <c r="P6191">
        <v>0.69607089999999905</v>
      </c>
      <c r="Q6191">
        <v>0.3823472</v>
      </c>
      <c r="R6191">
        <v>0.60769740000000005</v>
      </c>
      <c r="S6191">
        <v>2.9153899999999999</v>
      </c>
      <c r="T6191">
        <v>-0.67095209999999905</v>
      </c>
      <c r="U6191">
        <v>2.0242770000000001</v>
      </c>
      <c r="V6191">
        <v>0.14553060000000001</v>
      </c>
      <c r="W6191">
        <v>0.39311839999999998</v>
      </c>
      <c r="X6191">
        <v>0.90789799999999998</v>
      </c>
      <c r="Y6191">
        <v>0.24373230000000001</v>
      </c>
      <c r="Z6191">
        <v>-0.1465204</v>
      </c>
      <c r="AA6191">
        <v>0.95871079999999997</v>
      </c>
      <c r="AB6191">
        <v>26</v>
      </c>
      <c r="AC6191">
        <v>0.52719999999999301</v>
      </c>
      <c r="AD6191">
        <v>-0.15056449999999999</v>
      </c>
      <c r="AE6191">
        <v>0.31860000000000299</v>
      </c>
      <c r="AF6191">
        <v>0.18379885891007799</v>
      </c>
      <c r="AG6191">
        <v>-0.15056449999999999</v>
      </c>
      <c r="AH6191">
        <v>0.55144035856320295</v>
      </c>
      <c r="AI6191">
        <v>104.52210369776699</v>
      </c>
      <c r="AJ6191">
        <v>71.566415894472399</v>
      </c>
      <c r="AK6191">
        <v>0.60044829773196196</v>
      </c>
      <c r="AL6191">
        <v>66.851325075708104</v>
      </c>
      <c r="AM6191">
        <v>80.893299464531694</v>
      </c>
      <c r="AN6191">
        <v>1.00000000517946</v>
      </c>
    </row>
    <row r="6192" spans="1:40" x14ac:dyDescent="0.25">
      <c r="A6192" t="str">
        <f>"20190304164809765"</f>
        <v>20190304164809765</v>
      </c>
      <c r="B6192" t="str">
        <f>"1551689289756030"</f>
        <v>1551689289756030</v>
      </c>
      <c r="C6192" t="s">
        <v>40</v>
      </c>
      <c r="D6192">
        <v>5.1490530000000003</v>
      </c>
      <c r="E6192">
        <v>0.56801239999999997</v>
      </c>
      <c r="F6192" t="s">
        <v>41</v>
      </c>
      <c r="G6192">
        <v>-178.3914</v>
      </c>
      <c r="H6192">
        <v>0.9421834</v>
      </c>
      <c r="I6192">
        <v>134.5455</v>
      </c>
      <c r="J6192">
        <v>-178.90870000000001</v>
      </c>
      <c r="K6192">
        <v>1.1011930000000001</v>
      </c>
      <c r="L6192">
        <v>134.26</v>
      </c>
      <c r="M6192">
        <v>0.65914479999999998</v>
      </c>
      <c r="N6192">
        <v>-1.562479E-2</v>
      </c>
      <c r="O6192">
        <v>0.75185380000000002</v>
      </c>
      <c r="P6192">
        <v>0.70450550000000001</v>
      </c>
      <c r="Q6192">
        <v>0.38258370000000003</v>
      </c>
      <c r="R6192">
        <v>0.59774709999999998</v>
      </c>
      <c r="S6192">
        <v>2.9361570000000001</v>
      </c>
      <c r="T6192">
        <v>-0.66853309999999999</v>
      </c>
      <c r="U6192">
        <v>1.994156</v>
      </c>
      <c r="V6192">
        <v>0.1454105</v>
      </c>
      <c r="W6192">
        <v>0.39336169999999998</v>
      </c>
      <c r="X6192">
        <v>0.90781179999999995</v>
      </c>
      <c r="Y6192">
        <v>0.239981</v>
      </c>
      <c r="Z6192">
        <v>-0.14437529999999901</v>
      </c>
      <c r="AA6192">
        <v>0.95998170000000005</v>
      </c>
      <c r="AB6192">
        <v>26</v>
      </c>
      <c r="AC6192">
        <v>0.51730000000000498</v>
      </c>
      <c r="AD6192">
        <v>-0.159009599999999</v>
      </c>
      <c r="AE6192">
        <v>0.28550000000001302</v>
      </c>
      <c r="AF6192">
        <v>0.18721377804811901</v>
      </c>
      <c r="AG6192">
        <v>-0.159009599999999</v>
      </c>
      <c r="AH6192">
        <v>0.51816953929090503</v>
      </c>
      <c r="AI6192">
        <v>106.098591606282</v>
      </c>
      <c r="AJ6192">
        <v>70.135297869173002</v>
      </c>
      <c r="AK6192">
        <v>0.57343938043367704</v>
      </c>
      <c r="AL6192">
        <v>66.836162241463597</v>
      </c>
      <c r="AM6192">
        <v>80.899839487483504</v>
      </c>
      <c r="AN6192">
        <v>0.99999995237818795</v>
      </c>
    </row>
    <row r="6193" spans="1:40" x14ac:dyDescent="0.25">
      <c r="A6193" t="str">
        <f>"20190304164809789"</f>
        <v>20190304164809789</v>
      </c>
      <c r="B6193" t="str">
        <f>"1551689289785310"</f>
        <v>1551689289785310</v>
      </c>
      <c r="C6193" t="s">
        <v>40</v>
      </c>
      <c r="D6193">
        <v>5.1164569999999996</v>
      </c>
      <c r="E6193">
        <v>0.56800680000000003</v>
      </c>
      <c r="F6193" t="s">
        <v>41</v>
      </c>
      <c r="G6193">
        <v>-178.22370000000001</v>
      </c>
      <c r="H6193">
        <v>0.94697019999999998</v>
      </c>
      <c r="I6193">
        <v>134.71100000000001</v>
      </c>
      <c r="J6193">
        <v>-178.7193</v>
      </c>
      <c r="K6193">
        <v>1.101113</v>
      </c>
      <c r="L6193">
        <v>134.45160000000001</v>
      </c>
      <c r="M6193">
        <v>0.67025760000000001</v>
      </c>
      <c r="N6193">
        <v>-1.565623E-2</v>
      </c>
      <c r="O6193">
        <v>0.74196340000000005</v>
      </c>
      <c r="P6193">
        <v>0.71263529999999997</v>
      </c>
      <c r="Q6193">
        <v>0.38348480000000001</v>
      </c>
      <c r="R6193">
        <v>0.58744399999999997</v>
      </c>
      <c r="S6193">
        <v>2.964127</v>
      </c>
      <c r="T6193">
        <v>-0.66684639999999995</v>
      </c>
      <c r="U6193">
        <v>1.952118</v>
      </c>
      <c r="V6193">
        <v>0.14483279999999901</v>
      </c>
      <c r="W6193">
        <v>0.39427699999999999</v>
      </c>
      <c r="X6193">
        <v>0.90750710000000001</v>
      </c>
      <c r="Y6193">
        <v>0.23938809999999999</v>
      </c>
      <c r="Z6193">
        <v>-0.14254639999999999</v>
      </c>
      <c r="AA6193">
        <v>0.96040300000000001</v>
      </c>
      <c r="AB6193">
        <v>26</v>
      </c>
      <c r="AC6193">
        <v>0.49559999999999599</v>
      </c>
      <c r="AD6193">
        <v>-0.1541428</v>
      </c>
      <c r="AE6193">
        <v>0.25939999999999902</v>
      </c>
      <c r="AF6193">
        <v>0.18019338374122801</v>
      </c>
      <c r="AG6193">
        <v>-0.1541428</v>
      </c>
      <c r="AH6193">
        <v>0.487678414529926</v>
      </c>
      <c r="AI6193">
        <v>106.51421326503799</v>
      </c>
      <c r="AJ6193">
        <v>69.721120468576999</v>
      </c>
      <c r="AK6193">
        <v>0.542272896551521</v>
      </c>
      <c r="AL6193">
        <v>66.779110327109393</v>
      </c>
      <c r="AM6193">
        <v>80.932399067970394</v>
      </c>
      <c r="AN6193">
        <v>1.00000001461762</v>
      </c>
    </row>
    <row r="6194" spans="1:40" x14ac:dyDescent="0.25">
      <c r="A6194" t="str">
        <f>"20190304164809811"</f>
        <v>20190304164809811</v>
      </c>
      <c r="B6194" t="str">
        <f>"1551689289805805"</f>
        <v>1551689289805805</v>
      </c>
      <c r="C6194" t="s">
        <v>40</v>
      </c>
      <c r="D6194">
        <v>5.090052</v>
      </c>
      <c r="E6194">
        <v>0.56803349999999997</v>
      </c>
      <c r="F6194" t="s">
        <v>41</v>
      </c>
      <c r="G6194">
        <v>-178.05369999999999</v>
      </c>
      <c r="H6194">
        <v>0.95406100000000005</v>
      </c>
      <c r="I6194">
        <v>134.87530000000001</v>
      </c>
      <c r="J6194">
        <v>-178.52799999999999</v>
      </c>
      <c r="K6194">
        <v>1.1010249999999999</v>
      </c>
      <c r="L6194">
        <v>134.63929999999999</v>
      </c>
      <c r="M6194">
        <v>0.68127399999999905</v>
      </c>
      <c r="N6194">
        <v>-1.5682829999999998E-2</v>
      </c>
      <c r="O6194">
        <v>0.73186049999999903</v>
      </c>
      <c r="P6194">
        <v>0.72096910000000003</v>
      </c>
      <c r="Q6194">
        <v>0.3842412</v>
      </c>
      <c r="R6194">
        <v>0.57668219999999903</v>
      </c>
      <c r="S6194">
        <v>2.9942470000000001</v>
      </c>
      <c r="T6194">
        <v>-0.66142019999999901</v>
      </c>
      <c r="U6194">
        <v>1.906296</v>
      </c>
      <c r="V6194">
        <v>0.1446887</v>
      </c>
      <c r="W6194">
        <v>0.3950301</v>
      </c>
      <c r="X6194">
        <v>0.90720250000000002</v>
      </c>
      <c r="Y6194">
        <v>0.24003289999999999</v>
      </c>
      <c r="Z6194">
        <v>-0.13992869999999999</v>
      </c>
      <c r="AA6194">
        <v>0.96062700000000001</v>
      </c>
      <c r="AB6194">
        <v>26</v>
      </c>
      <c r="AC6194">
        <v>0.474299999999999</v>
      </c>
      <c r="AD6194">
        <v>-0.14696399999999901</v>
      </c>
      <c r="AE6194">
        <v>0.236000000000018</v>
      </c>
      <c r="AF6194">
        <v>0.173046583845716</v>
      </c>
      <c r="AG6194">
        <v>-0.14696399999999901</v>
      </c>
      <c r="AH6194">
        <v>0.46047189302091002</v>
      </c>
      <c r="AI6194">
        <v>106.634013973666</v>
      </c>
      <c r="AJ6194">
        <v>69.403643919766907</v>
      </c>
      <c r="AK6194">
        <v>0.51339838501784596</v>
      </c>
      <c r="AL6194">
        <v>66.7321483677609</v>
      </c>
      <c r="AM6194">
        <v>80.938280045786897</v>
      </c>
      <c r="AN6194">
        <v>0.99999998790997402</v>
      </c>
    </row>
    <row r="6195" spans="1:40" x14ac:dyDescent="0.25">
      <c r="A6195" t="str">
        <f>"20190304164809833"</f>
        <v>20190304164809833</v>
      </c>
      <c r="B6195" t="str">
        <f>"1551689289825326"</f>
        <v>1551689289825326</v>
      </c>
      <c r="C6195" t="s">
        <v>40</v>
      </c>
      <c r="D6195">
        <v>5.1442779999999999</v>
      </c>
      <c r="E6195">
        <v>0.56801049999999997</v>
      </c>
      <c r="F6195" t="s">
        <v>41</v>
      </c>
      <c r="G6195">
        <v>-177.88140000000001</v>
      </c>
      <c r="H6195">
        <v>0.96046310000000001</v>
      </c>
      <c r="I6195">
        <v>135.03639999999999</v>
      </c>
      <c r="J6195">
        <v>-178.33860000000001</v>
      </c>
      <c r="K6195">
        <v>1.1009389999999999</v>
      </c>
      <c r="L6195">
        <v>134.8194</v>
      </c>
      <c r="M6195">
        <v>0.69199679999999997</v>
      </c>
      <c r="N6195">
        <v>-1.5703669999999999E-2</v>
      </c>
      <c r="O6195">
        <v>0.72172979999999998</v>
      </c>
      <c r="P6195">
        <v>0.72991949999999906</v>
      </c>
      <c r="Q6195">
        <v>0.38456600000000002</v>
      </c>
      <c r="R6195">
        <v>0.56508979999999998</v>
      </c>
      <c r="S6195">
        <v>3.0247649999999999</v>
      </c>
      <c r="T6195">
        <v>-0.65700259999999999</v>
      </c>
      <c r="U6195">
        <v>1.8583829999999999</v>
      </c>
      <c r="V6195">
        <v>0.1457724</v>
      </c>
      <c r="W6195">
        <v>0.39531480000000002</v>
      </c>
      <c r="X6195">
        <v>0.90690499999999996</v>
      </c>
      <c r="Y6195">
        <v>0.24135970000000001</v>
      </c>
      <c r="Z6195">
        <v>-0.13759549999999901</v>
      </c>
      <c r="AA6195">
        <v>0.96063149999999997</v>
      </c>
      <c r="AB6195">
        <v>26</v>
      </c>
      <c r="AC6195">
        <v>0.4572</v>
      </c>
      <c r="AD6195">
        <v>-0.14047589999999999</v>
      </c>
      <c r="AE6195">
        <v>0.21699999999998401</v>
      </c>
      <c r="AF6195">
        <v>0.166969165044694</v>
      </c>
      <c r="AG6195">
        <v>-0.14047589999999999</v>
      </c>
      <c r="AH6195">
        <v>0.43921424368609102</v>
      </c>
      <c r="AI6195">
        <v>106.644602676334</v>
      </c>
      <c r="AJ6195">
        <v>69.185486253119507</v>
      </c>
      <c r="AK6195">
        <v>0.490429742586313</v>
      </c>
      <c r="AL6195">
        <v>66.714391998255707</v>
      </c>
      <c r="AM6195">
        <v>80.868603448482801</v>
      </c>
      <c r="AN6195">
        <v>1.0000000313628901</v>
      </c>
    </row>
    <row r="6196" spans="1:40" x14ac:dyDescent="0.25">
      <c r="A6196" t="str">
        <f>"20190304164809847"</f>
        <v>20190304164809847</v>
      </c>
      <c r="B6196" t="str">
        <f>"1551689289845823"</f>
        <v>1551689289845823</v>
      </c>
      <c r="C6196" t="s">
        <v>40</v>
      </c>
      <c r="D6196">
        <v>4.9647050000000004</v>
      </c>
      <c r="E6196">
        <v>0.56800260000000002</v>
      </c>
      <c r="F6196" t="s">
        <v>41</v>
      </c>
      <c r="G6196">
        <v>-177.70699999999999</v>
      </c>
      <c r="H6196">
        <v>0.96528259999999999</v>
      </c>
      <c r="I6196">
        <v>135.19390000000001</v>
      </c>
      <c r="J6196">
        <v>-178.21629999999999</v>
      </c>
      <c r="K6196">
        <v>1.1008800000000001</v>
      </c>
      <c r="L6196">
        <v>134.9323</v>
      </c>
      <c r="M6196">
        <v>0.69882159999999904</v>
      </c>
      <c r="N6196">
        <v>-1.571438E-2</v>
      </c>
      <c r="O6196">
        <v>0.71512339999999996</v>
      </c>
      <c r="P6196">
        <v>0.7354714</v>
      </c>
      <c r="Q6196">
        <v>0.38463629999999999</v>
      </c>
      <c r="R6196">
        <v>0.55779650000000003</v>
      </c>
      <c r="S6196">
        <v>3.0537869999999998</v>
      </c>
      <c r="T6196">
        <v>-0.65589949999999997</v>
      </c>
      <c r="U6196">
        <v>1.81073</v>
      </c>
      <c r="V6196">
        <v>0.1462184</v>
      </c>
      <c r="W6196">
        <v>0.39536300000000002</v>
      </c>
      <c r="X6196">
        <v>0.90681210000000001</v>
      </c>
      <c r="Y6196">
        <v>0.2472924</v>
      </c>
      <c r="Z6196">
        <v>-0.13684569999999999</v>
      </c>
      <c r="AA6196">
        <v>0.95922879999999999</v>
      </c>
      <c r="AB6196">
        <v>26</v>
      </c>
      <c r="AC6196">
        <v>0.50929999999999598</v>
      </c>
      <c r="AD6196">
        <v>-0.13559739999999901</v>
      </c>
      <c r="AE6196">
        <v>0.26160000000001499</v>
      </c>
      <c r="AF6196">
        <v>0.171787866922545</v>
      </c>
      <c r="AG6196">
        <v>-0.13559739999999901</v>
      </c>
      <c r="AH6196">
        <v>0.51421229560124704</v>
      </c>
      <c r="AI6196">
        <v>104.042230373072</v>
      </c>
      <c r="AJ6196">
        <v>71.526574762813496</v>
      </c>
      <c r="AK6196">
        <v>0.55884882665713997</v>
      </c>
      <c r="AL6196">
        <v>66.711383490589498</v>
      </c>
      <c r="AM6196">
        <v>80.840215765476302</v>
      </c>
      <c r="AN6196">
        <v>0.99999995348698301</v>
      </c>
    </row>
    <row r="6197" spans="1:40" x14ac:dyDescent="0.25">
      <c r="A6197" t="str">
        <f>"20190304164809862"</f>
        <v>20190304164809862</v>
      </c>
      <c r="B6197" t="str">
        <f>"1551689289855581"</f>
        <v>1551689289855581</v>
      </c>
      <c r="C6197" t="s">
        <v>40</v>
      </c>
      <c r="D6197">
        <v>5.011749</v>
      </c>
      <c r="E6197">
        <v>0.58067930000000001</v>
      </c>
      <c r="F6197" t="s">
        <v>41</v>
      </c>
      <c r="G6197">
        <v>-177.52449999999999</v>
      </c>
      <c r="H6197">
        <v>0.95315099999999997</v>
      </c>
      <c r="I6197">
        <v>135.33269999999999</v>
      </c>
      <c r="J6197">
        <v>-178.09110000000001</v>
      </c>
      <c r="K6197">
        <v>1.100816</v>
      </c>
      <c r="L6197">
        <v>135.04599999999999</v>
      </c>
      <c r="M6197">
        <v>0.70573960000000002</v>
      </c>
      <c r="N6197">
        <v>-1.5724390000000001E-2</v>
      </c>
      <c r="O6197">
        <v>0.70829679999999995</v>
      </c>
      <c r="P6197">
        <v>0.74099530000000002</v>
      </c>
      <c r="Q6197">
        <v>0.3844014</v>
      </c>
      <c r="R6197">
        <v>0.55060109999999995</v>
      </c>
      <c r="S6197">
        <v>3.0727229999999999</v>
      </c>
      <c r="T6197">
        <v>-0.65531609999999996</v>
      </c>
      <c r="U6197">
        <v>1.778732</v>
      </c>
      <c r="V6197">
        <v>0.14638209999999999</v>
      </c>
      <c r="W6197">
        <v>0.39511370000000001</v>
      </c>
      <c r="X6197">
        <v>0.90689439999999999</v>
      </c>
      <c r="Y6197">
        <v>0.24801999999999999</v>
      </c>
      <c r="Z6197">
        <v>-0.13580400000000001</v>
      </c>
      <c r="AA6197">
        <v>0.95918890000000001</v>
      </c>
      <c r="AB6197">
        <v>26</v>
      </c>
      <c r="AC6197">
        <v>0.56660000000002197</v>
      </c>
      <c r="AD6197">
        <v>-0.14766499999999999</v>
      </c>
      <c r="AE6197">
        <v>0.28669999999999601</v>
      </c>
      <c r="AF6197">
        <v>0.18880056443882001</v>
      </c>
      <c r="AG6197">
        <v>-0.14766499999999999</v>
      </c>
      <c r="AH6197">
        <v>0.57207986329575999</v>
      </c>
      <c r="AI6197">
        <v>103.772565764254</v>
      </c>
      <c r="AJ6197">
        <v>71.735826691185693</v>
      </c>
      <c r="AK6197">
        <v>0.62026282763511897</v>
      </c>
      <c r="AL6197">
        <v>66.726934670171502</v>
      </c>
      <c r="AM6197">
        <v>80.830953001919298</v>
      </c>
      <c r="AN6197">
        <v>1.0000000039397201</v>
      </c>
    </row>
    <row r="6198" spans="1:40" x14ac:dyDescent="0.25">
      <c r="A6198" t="str">
        <f>"20190304164809877"</f>
        <v>20190304164809877</v>
      </c>
      <c r="B6198" t="str">
        <f>"1551689289865342"</f>
        <v>1551689289865342</v>
      </c>
      <c r="C6198" t="s">
        <v>40</v>
      </c>
      <c r="D6198">
        <v>4.462466</v>
      </c>
      <c r="E6198">
        <v>0.58067930000000001</v>
      </c>
      <c r="F6198" t="s">
        <v>51</v>
      </c>
      <c r="G6198">
        <v>-171.7028</v>
      </c>
      <c r="H6198" s="1">
        <v>-3.9067490000000001E-6</v>
      </c>
      <c r="I6198">
        <v>138.3886</v>
      </c>
      <c r="J6198">
        <v>-177.9648</v>
      </c>
      <c r="K6198">
        <v>1.100749</v>
      </c>
      <c r="L6198">
        <v>135.15860000000001</v>
      </c>
      <c r="M6198">
        <v>0.71264119999999997</v>
      </c>
      <c r="N6198">
        <v>-1.5733359999999998E-2</v>
      </c>
      <c r="O6198">
        <v>0.70135230000000004</v>
      </c>
      <c r="P6198">
        <v>0.74712149999999999</v>
      </c>
      <c r="Q6198">
        <v>0.3837931</v>
      </c>
      <c r="R6198">
        <v>0.54268989999999995</v>
      </c>
      <c r="S6198">
        <v>3.1157379999999999</v>
      </c>
      <c r="T6198">
        <v>-0.5368946</v>
      </c>
      <c r="U6198">
        <v>1.6302639999999999</v>
      </c>
      <c r="V6198">
        <v>0.14741499999999999</v>
      </c>
      <c r="W6198">
        <v>0.3944684</v>
      </c>
      <c r="X6198">
        <v>0.90700800000000004</v>
      </c>
      <c r="Y6198">
        <v>0.28295759999999998</v>
      </c>
      <c r="Z6198">
        <v>-0.1124956</v>
      </c>
      <c r="AA6198">
        <v>0.95251229999999998</v>
      </c>
      <c r="AB6198">
        <v>26</v>
      </c>
      <c r="AC6198">
        <v>6.2619999999999996</v>
      </c>
      <c r="AD6198">
        <v>-1.1007529067490001</v>
      </c>
      <c r="AE6198">
        <v>3.22999999999998</v>
      </c>
      <c r="AF6198">
        <v>2.0404950435161999</v>
      </c>
      <c r="AG6198">
        <v>-1.1007529067490001</v>
      </c>
      <c r="AH6198">
        <v>6.5684491584192504</v>
      </c>
      <c r="AI6198">
        <v>99.092374457767093</v>
      </c>
      <c r="AJ6198">
        <v>72.742542780051807</v>
      </c>
      <c r="AK6198">
        <v>6.9656156462346601</v>
      </c>
      <c r="AL6198">
        <v>66.767176500640105</v>
      </c>
      <c r="AM6198">
        <v>80.768501286685805</v>
      </c>
      <c r="AN6198">
        <v>1.00000000644378</v>
      </c>
    </row>
    <row r="6199" spans="1:40" x14ac:dyDescent="0.25">
      <c r="A6199" t="str">
        <f>"20190304164809892"</f>
        <v>20190304164809892</v>
      </c>
      <c r="B6199" t="str">
        <f>"1551689289885837"</f>
        <v>1551689289885837</v>
      </c>
      <c r="C6199" t="s">
        <v>40</v>
      </c>
      <c r="D6199">
        <v>5.1736829999999996</v>
      </c>
      <c r="E6199">
        <v>0.57351649999999998</v>
      </c>
      <c r="F6199" t="s">
        <v>51</v>
      </c>
      <c r="G6199">
        <v>-171.5667</v>
      </c>
      <c r="H6199" s="1">
        <v>-3.857313E-6</v>
      </c>
      <c r="I6199">
        <v>138.41730000000001</v>
      </c>
      <c r="J6199">
        <v>-177.81829999999999</v>
      </c>
      <c r="K6199">
        <v>1.1006720000000001</v>
      </c>
      <c r="L6199">
        <v>135.28620000000001</v>
      </c>
      <c r="M6199">
        <v>0.72054810000000002</v>
      </c>
      <c r="N6199">
        <v>-1.574149E-2</v>
      </c>
      <c r="O6199">
        <v>0.69322629999999996</v>
      </c>
      <c r="P6199">
        <v>0.75367379999999995</v>
      </c>
      <c r="Q6199">
        <v>0.38387640000000001</v>
      </c>
      <c r="R6199">
        <v>0.53349299999999999</v>
      </c>
      <c r="S6199">
        <v>3.1331790000000002</v>
      </c>
      <c r="T6199">
        <v>-0.53904649999999998</v>
      </c>
      <c r="U6199">
        <v>1.59581</v>
      </c>
      <c r="V6199">
        <v>0.14829229999999999</v>
      </c>
      <c r="W6199">
        <v>0.39451049999999999</v>
      </c>
      <c r="X6199">
        <v>0.90684659999999995</v>
      </c>
      <c r="Y6199">
        <v>0.28254669999999998</v>
      </c>
      <c r="Z6199">
        <v>-0.1120467</v>
      </c>
      <c r="AA6199">
        <v>0.95268719999999996</v>
      </c>
      <c r="AB6199">
        <v>26</v>
      </c>
      <c r="AC6199">
        <v>6.2515999999999901</v>
      </c>
      <c r="AD6199">
        <v>-1.10067585731299</v>
      </c>
      <c r="AE6199">
        <v>3.1311</v>
      </c>
      <c r="AF6199">
        <v>2.0276735032905799</v>
      </c>
      <c r="AG6199">
        <v>-1.10067585731299</v>
      </c>
      <c r="AH6199">
        <v>6.5145250788535298</v>
      </c>
      <c r="AI6199">
        <v>99.164192391723503</v>
      </c>
      <c r="AJ6199">
        <v>72.711025342244099</v>
      </c>
      <c r="AK6199">
        <v>6.9110045711046997</v>
      </c>
      <c r="AL6199">
        <v>66.764550030620796</v>
      </c>
      <c r="AM6199">
        <v>80.712892872431098</v>
      </c>
      <c r="AN6199">
        <v>0.99999994839054795</v>
      </c>
    </row>
    <row r="6200" spans="1:40" x14ac:dyDescent="0.25">
      <c r="A6200" t="str">
        <f>"20190304164809911"</f>
        <v>20190304164809911</v>
      </c>
      <c r="B6200" t="str">
        <f>"1551689289905357"</f>
        <v>1551689289905357</v>
      </c>
      <c r="C6200" t="s">
        <v>40</v>
      </c>
      <c r="D6200">
        <v>5.1769749999999997</v>
      </c>
      <c r="E6200">
        <v>0.57058730000000002</v>
      </c>
      <c r="F6200" t="s">
        <v>41</v>
      </c>
      <c r="G6200">
        <v>-177.1541</v>
      </c>
      <c r="H6200">
        <v>0.97178359999999997</v>
      </c>
      <c r="I6200">
        <v>135.62950000000001</v>
      </c>
      <c r="J6200">
        <v>-177.66419999999999</v>
      </c>
      <c r="K6200">
        <v>1.1005959999999999</v>
      </c>
      <c r="L6200">
        <v>135.41669999999999</v>
      </c>
      <c r="M6200">
        <v>0.72874559999999999</v>
      </c>
      <c r="N6200">
        <v>-1.574789E-2</v>
      </c>
      <c r="O6200">
        <v>0.68460330000000003</v>
      </c>
      <c r="P6200">
        <v>0.761216</v>
      </c>
      <c r="Q6200">
        <v>0.38300479999999998</v>
      </c>
      <c r="R6200">
        <v>0.5233139</v>
      </c>
      <c r="S6200">
        <v>3.1410680000000002</v>
      </c>
      <c r="T6200">
        <v>-0.60924509999999998</v>
      </c>
      <c r="U6200">
        <v>1.624268</v>
      </c>
      <c r="V6200">
        <v>0.15004629999999999</v>
      </c>
      <c r="W6200">
        <v>0.39357700000000001</v>
      </c>
      <c r="X6200">
        <v>0.90696379999999999</v>
      </c>
      <c r="Y6200">
        <v>0.26325680000000001</v>
      </c>
      <c r="Z6200">
        <v>-0.1242949</v>
      </c>
      <c r="AA6200">
        <v>0.95668520000000001</v>
      </c>
      <c r="AB6200">
        <v>26</v>
      </c>
      <c r="AC6200">
        <v>0.510099999999994</v>
      </c>
      <c r="AD6200">
        <v>-0.12881239999999899</v>
      </c>
      <c r="AE6200">
        <v>0.212800000000015</v>
      </c>
      <c r="AF6200">
        <v>0.18416039924673899</v>
      </c>
      <c r="AG6200">
        <v>-0.12881239999999899</v>
      </c>
      <c r="AH6200">
        <v>0.49082167576965902</v>
      </c>
      <c r="AI6200">
        <v>103.804973671855</v>
      </c>
      <c r="AJ6200">
        <v>69.433488844976196</v>
      </c>
      <c r="AK6200">
        <v>0.53982738393843499</v>
      </c>
      <c r="AL6200">
        <v>66.822746292402698</v>
      </c>
      <c r="AM6200">
        <v>80.606184785378403</v>
      </c>
      <c r="AN6200">
        <v>1.0000000407915599</v>
      </c>
    </row>
    <row r="6201" spans="1:40" x14ac:dyDescent="0.25">
      <c r="A6201" t="str">
        <f>"20190304164809925"</f>
        <v>20190304164809925</v>
      </c>
      <c r="B6201" t="str">
        <f>"1551689289916094"</f>
        <v>1551689289916094</v>
      </c>
      <c r="C6201" t="s">
        <v>40</v>
      </c>
      <c r="D6201">
        <v>5.1397529999999998</v>
      </c>
      <c r="E6201">
        <v>0.56993289999999996</v>
      </c>
      <c r="F6201" t="s">
        <v>41</v>
      </c>
      <c r="G6201">
        <v>-176.976</v>
      </c>
      <c r="H6201">
        <v>0.96024659999999995</v>
      </c>
      <c r="I6201">
        <v>135.7679</v>
      </c>
      <c r="J6201">
        <v>-177.5258</v>
      </c>
      <c r="K6201">
        <v>1.1005309999999999</v>
      </c>
      <c r="L6201">
        <v>135.53120000000001</v>
      </c>
      <c r="M6201">
        <v>0.73601139999999998</v>
      </c>
      <c r="N6201">
        <v>-1.5750719999999999E-2</v>
      </c>
      <c r="O6201">
        <v>0.67678590000000005</v>
      </c>
      <c r="P6201">
        <v>0.76731179999999999</v>
      </c>
      <c r="Q6201">
        <v>0.38222800000000001</v>
      </c>
      <c r="R6201">
        <v>0.51491209999999998</v>
      </c>
      <c r="S6201">
        <v>3.1569820000000002</v>
      </c>
      <c r="T6201">
        <v>-0.64327100000000004</v>
      </c>
      <c r="U6201">
        <v>1.611343</v>
      </c>
      <c r="V6201">
        <v>0.15064089999999999</v>
      </c>
      <c r="W6201">
        <v>0.39276990000000001</v>
      </c>
      <c r="X6201">
        <v>0.90721510000000005</v>
      </c>
      <c r="Y6201">
        <v>0.25703130000000002</v>
      </c>
      <c r="Z6201">
        <v>-0.1297228</v>
      </c>
      <c r="AA6201">
        <v>0.95765699999999998</v>
      </c>
      <c r="AB6201">
        <v>26</v>
      </c>
      <c r="AC6201">
        <v>0.54980000000000395</v>
      </c>
      <c r="AD6201">
        <v>-0.140284399999999</v>
      </c>
      <c r="AE6201">
        <v>0.23669999999998401</v>
      </c>
      <c r="AF6201">
        <v>0.187603566584437</v>
      </c>
      <c r="AG6201">
        <v>-0.140284399999999</v>
      </c>
      <c r="AH6201">
        <v>0.53551181812695703</v>
      </c>
      <c r="AI6201">
        <v>103.88682983027699</v>
      </c>
      <c r="AJ6201">
        <v>70.693329422786604</v>
      </c>
      <c r="AK6201">
        <v>0.58450638870092797</v>
      </c>
      <c r="AL6201">
        <v>66.873040549018896</v>
      </c>
      <c r="AM6201">
        <v>80.572191901571898</v>
      </c>
      <c r="AN6201">
        <v>1.0000000563834099</v>
      </c>
    </row>
    <row r="6202" spans="1:40" x14ac:dyDescent="0.25">
      <c r="A6202" t="str">
        <f>"20190304164809943"</f>
        <v>20190304164809943</v>
      </c>
      <c r="B6202" t="str">
        <f>"1551689289935617"</f>
        <v>1551689289935617</v>
      </c>
      <c r="C6202" t="s">
        <v>40</v>
      </c>
      <c r="D6202">
        <v>5.1052569999999999</v>
      </c>
      <c r="E6202">
        <v>0.56918769999999996</v>
      </c>
      <c r="F6202" t="s">
        <v>41</v>
      </c>
      <c r="G6202">
        <v>-176.7894</v>
      </c>
      <c r="H6202">
        <v>0.94887940000000004</v>
      </c>
      <c r="I6202">
        <v>135.89830000000001</v>
      </c>
      <c r="J6202">
        <v>-177.36109999999999</v>
      </c>
      <c r="K6202">
        <v>1.1004499999999999</v>
      </c>
      <c r="L6202">
        <v>135.6643</v>
      </c>
      <c r="M6202">
        <v>0.74453979999999997</v>
      </c>
      <c r="N6202">
        <v>-1.574969E-2</v>
      </c>
      <c r="O6202">
        <v>0.66739230000000005</v>
      </c>
      <c r="P6202">
        <v>0.77451610000000004</v>
      </c>
      <c r="Q6202">
        <v>0.3813125</v>
      </c>
      <c r="R6202">
        <v>0.50470360000000003</v>
      </c>
      <c r="S6202">
        <v>3.1733699999999998</v>
      </c>
      <c r="T6202">
        <v>-0.65331439999999996</v>
      </c>
      <c r="U6202">
        <v>1.582306</v>
      </c>
      <c r="V6202">
        <v>0.15149379999999901</v>
      </c>
      <c r="W6202">
        <v>0.39181060000000001</v>
      </c>
      <c r="X6202">
        <v>0.90748779999999996</v>
      </c>
      <c r="Y6202">
        <v>0.25357030000000003</v>
      </c>
      <c r="Z6202">
        <v>-0.13018479999999999</v>
      </c>
      <c r="AA6202">
        <v>0.95851660000000005</v>
      </c>
      <c r="AB6202">
        <v>25</v>
      </c>
      <c r="AC6202">
        <v>0.57169999999999199</v>
      </c>
      <c r="AD6202">
        <v>-0.151570599999999</v>
      </c>
      <c r="AE6202">
        <v>0.23400000000000801</v>
      </c>
      <c r="AF6202">
        <v>0.195577063161915</v>
      </c>
      <c r="AG6202">
        <v>-0.151570599999999</v>
      </c>
      <c r="AH6202">
        <v>0.548852277830432</v>
      </c>
      <c r="AI6202">
        <v>104.581563757987</v>
      </c>
      <c r="AJ6202">
        <v>70.387071676431901</v>
      </c>
      <c r="AK6202">
        <v>0.60204888281521896</v>
      </c>
      <c r="AL6202">
        <v>66.932793077904606</v>
      </c>
      <c r="AM6202">
        <v>80.522576841051404</v>
      </c>
      <c r="AN6202">
        <v>1.0000000124298101</v>
      </c>
    </row>
    <row r="6203" spans="1:40" x14ac:dyDescent="0.25">
      <c r="A6203" t="str">
        <f>"20190304164809960"</f>
        <v>20190304164809960</v>
      </c>
      <c r="B6203" t="str">
        <f>"1551689289956110"</f>
        <v>1551689289956110</v>
      </c>
      <c r="C6203" t="s">
        <v>40</v>
      </c>
      <c r="D6203">
        <v>5.1355320000000004</v>
      </c>
      <c r="E6203">
        <v>0.568851</v>
      </c>
      <c r="F6203" t="s">
        <v>41</v>
      </c>
      <c r="G6203">
        <v>-176.60339999999999</v>
      </c>
      <c r="H6203">
        <v>0.94258459999999999</v>
      </c>
      <c r="I6203">
        <v>136.03139999999999</v>
      </c>
      <c r="J6203">
        <v>-177.2183</v>
      </c>
      <c r="K6203">
        <v>1.1003860000000001</v>
      </c>
      <c r="L6203">
        <v>135.77709999999999</v>
      </c>
      <c r="M6203">
        <v>0.75182399999999905</v>
      </c>
      <c r="N6203">
        <v>-1.5744290000000001E-2</v>
      </c>
      <c r="O6203">
        <v>0.65917590000000004</v>
      </c>
      <c r="P6203">
        <v>0.78012340000000002</v>
      </c>
      <c r="Q6203">
        <v>0.3808745</v>
      </c>
      <c r="R6203">
        <v>0.49632860000000001</v>
      </c>
      <c r="S6203">
        <v>3.1928709999999998</v>
      </c>
      <c r="T6203">
        <v>-0.66507709999999998</v>
      </c>
      <c r="U6203">
        <v>1.546783</v>
      </c>
      <c r="V6203">
        <v>0.15149019999999999</v>
      </c>
      <c r="W6203">
        <v>0.3913507</v>
      </c>
      <c r="X6203">
        <v>0.90768680000000002</v>
      </c>
      <c r="Y6203">
        <v>0.25357400000000002</v>
      </c>
      <c r="Z6203">
        <v>-0.13137499999999999</v>
      </c>
      <c r="AA6203">
        <v>0.95835320000000002</v>
      </c>
      <c r="AB6203">
        <v>25</v>
      </c>
      <c r="AC6203">
        <v>0.614900000000005</v>
      </c>
      <c r="AD6203">
        <v>-0.15780140000000001</v>
      </c>
      <c r="AE6203">
        <v>0.25430000000000003</v>
      </c>
      <c r="AF6203">
        <v>0.20276169719735701</v>
      </c>
      <c r="AG6203">
        <v>-0.15780140000000001</v>
      </c>
      <c r="AH6203">
        <v>0.59645842764557</v>
      </c>
      <c r="AI6203">
        <v>104.062465147043</v>
      </c>
      <c r="AJ6203">
        <v>71.224908919739505</v>
      </c>
      <c r="AK6203">
        <v>0.64944302567795598</v>
      </c>
      <c r="AL6203">
        <v>66.961429692959896</v>
      </c>
      <c r="AM6203">
        <v>80.524838060056894</v>
      </c>
      <c r="AN6203">
        <v>0.999999988990384</v>
      </c>
    </row>
    <row r="6204" spans="1:40" x14ac:dyDescent="0.25">
      <c r="A6204" t="str">
        <f>"20190304164809971"</f>
        <v>20190304164809971</v>
      </c>
      <c r="B6204" t="str">
        <f>"1551689289965869"</f>
        <v>1551689289965869</v>
      </c>
      <c r="C6204" t="s">
        <v>40</v>
      </c>
      <c r="D6204">
        <v>5.1573099999999998</v>
      </c>
      <c r="E6204">
        <v>0.56865529999999997</v>
      </c>
      <c r="F6204" t="s">
        <v>41</v>
      </c>
      <c r="G6204">
        <v>-176.41390000000001</v>
      </c>
      <c r="H6204">
        <v>0.9320581</v>
      </c>
      <c r="I6204">
        <v>136.15690000000001</v>
      </c>
      <c r="J6204">
        <v>-177.09880000000001</v>
      </c>
      <c r="K6204">
        <v>1.10033</v>
      </c>
      <c r="L6204">
        <v>135.86949999999999</v>
      </c>
      <c r="M6204">
        <v>0.75783940000000005</v>
      </c>
      <c r="N6204">
        <v>-1.5736409999999999E-2</v>
      </c>
      <c r="O6204">
        <v>0.65225140000000004</v>
      </c>
      <c r="P6204">
        <v>0.78502139999999998</v>
      </c>
      <c r="Q6204">
        <v>0.38018239999999998</v>
      </c>
      <c r="R6204">
        <v>0.48908370000000001</v>
      </c>
      <c r="S6204">
        <v>3.208939</v>
      </c>
      <c r="T6204">
        <v>-0.67103119999999905</v>
      </c>
      <c r="U6204">
        <v>1.5155639999999999</v>
      </c>
      <c r="V6204">
        <v>0.1518128</v>
      </c>
      <c r="W6204">
        <v>0.39063100000000001</v>
      </c>
      <c r="X6204">
        <v>0.9079429</v>
      </c>
      <c r="Y6204">
        <v>0.25405250000000001</v>
      </c>
      <c r="Z6204">
        <v>-0.1315878</v>
      </c>
      <c r="AA6204">
        <v>0.95819719999999997</v>
      </c>
      <c r="AB6204">
        <v>25</v>
      </c>
      <c r="AC6204">
        <v>0.68489999999999895</v>
      </c>
      <c r="AD6204">
        <v>-0.1682719</v>
      </c>
      <c r="AE6204">
        <v>0.28740000000001897</v>
      </c>
      <c r="AF6204">
        <v>0.217774939456545</v>
      </c>
      <c r="AG6204">
        <v>-0.1682719</v>
      </c>
      <c r="AH6204">
        <v>0.67209339643114097</v>
      </c>
      <c r="AI6204">
        <v>103.397007279603</v>
      </c>
      <c r="AJ6204">
        <v>72.046388901632994</v>
      </c>
      <c r="AK6204">
        <v>0.72625814288809099</v>
      </c>
      <c r="AL6204">
        <v>67.006232411257002</v>
      </c>
      <c r="AM6204">
        <v>80.507657081777495</v>
      </c>
      <c r="AN6204">
        <v>1.00000000703262</v>
      </c>
    </row>
    <row r="6205" spans="1:40" x14ac:dyDescent="0.25">
      <c r="A6205" t="str">
        <f>"20190304164809986"</f>
        <v>20190304164809986</v>
      </c>
      <c r="B6205" t="str">
        <f>"1551689289975630"</f>
        <v>1551689289975630</v>
      </c>
      <c r="C6205" t="s">
        <v>40</v>
      </c>
      <c r="D6205">
        <v>5.1388369999999997</v>
      </c>
      <c r="E6205">
        <v>0.56866569999999905</v>
      </c>
      <c r="F6205" t="s">
        <v>41</v>
      </c>
      <c r="G6205">
        <v>-176.42140000000001</v>
      </c>
      <c r="H6205">
        <v>0.95804549999999999</v>
      </c>
      <c r="I6205">
        <v>136.18219999999999</v>
      </c>
      <c r="J6205">
        <v>-176.97280000000001</v>
      </c>
      <c r="K6205">
        <v>1.1002809999999901</v>
      </c>
      <c r="L6205">
        <v>135.96440000000001</v>
      </c>
      <c r="M6205">
        <v>0.76409349999999998</v>
      </c>
      <c r="N6205">
        <v>-1.5725969999999999E-2</v>
      </c>
      <c r="O6205">
        <v>0.64491390000000004</v>
      </c>
      <c r="P6205">
        <v>0.79007689999999997</v>
      </c>
      <c r="Q6205">
        <v>0.37940200000000002</v>
      </c>
      <c r="R6205">
        <v>0.48148999999999997</v>
      </c>
      <c r="S6205">
        <v>3.2222599999999999</v>
      </c>
      <c r="T6205">
        <v>-0.67620809999999998</v>
      </c>
      <c r="U6205">
        <v>1.487595</v>
      </c>
      <c r="V6205">
        <v>0.15207679999999901</v>
      </c>
      <c r="W6205">
        <v>0.38982359999999999</v>
      </c>
      <c r="X6205">
        <v>0.90824570000000004</v>
      </c>
      <c r="Y6205">
        <v>0.25301430000000003</v>
      </c>
      <c r="Z6205">
        <v>-0.1314659</v>
      </c>
      <c r="AA6205">
        <v>0.95848860000000002</v>
      </c>
      <c r="AB6205">
        <v>25</v>
      </c>
      <c r="AC6205">
        <v>0.551400000000001</v>
      </c>
      <c r="AD6205">
        <v>-0.14223549999999899</v>
      </c>
      <c r="AE6205">
        <v>0.21779999999998201</v>
      </c>
      <c r="AF6205">
        <v>0.17891130453635901</v>
      </c>
      <c r="AG6205">
        <v>-0.14223549999999899</v>
      </c>
      <c r="AH6205">
        <v>0.53127304726970204</v>
      </c>
      <c r="AI6205">
        <v>104.236938323063</v>
      </c>
      <c r="AJ6205">
        <v>71.388553049746307</v>
      </c>
      <c r="AK6205">
        <v>0.57835217913170101</v>
      </c>
      <c r="AL6205">
        <v>67.056476805632002</v>
      </c>
      <c r="AM6205">
        <v>80.494563412645803</v>
      </c>
      <c r="AN6205">
        <v>1.0000000218918399</v>
      </c>
    </row>
    <row r="6206" spans="1:40" x14ac:dyDescent="0.25">
      <c r="A6206" t="str">
        <f>"20190304164810001"</f>
        <v>20190304164810001</v>
      </c>
      <c r="B6206" t="str">
        <f>"1551689289996126"</f>
        <v>1551689289996126</v>
      </c>
      <c r="C6206" t="s">
        <v>40</v>
      </c>
      <c r="D6206">
        <v>5.1655959999999999</v>
      </c>
      <c r="E6206">
        <v>0.56868839999999998</v>
      </c>
      <c r="F6206" t="s">
        <v>41</v>
      </c>
      <c r="G6206">
        <v>-176.22790000000001</v>
      </c>
      <c r="H6206">
        <v>0.94377259999999996</v>
      </c>
      <c r="I6206">
        <v>136.29990000000001</v>
      </c>
      <c r="J6206">
        <v>-176.8313</v>
      </c>
      <c r="K6206">
        <v>1.100223</v>
      </c>
      <c r="L6206">
        <v>136.06909999999999</v>
      </c>
      <c r="M6206">
        <v>0.7710167</v>
      </c>
      <c r="N6206">
        <v>-1.571206E-2</v>
      </c>
      <c r="O6206">
        <v>0.63662109999999905</v>
      </c>
      <c r="P6206">
        <v>0.79647730000000005</v>
      </c>
      <c r="Q6206">
        <v>0.37695499999999998</v>
      </c>
      <c r="R6206">
        <v>0.4727884</v>
      </c>
      <c r="S6206">
        <v>3.2353360000000002</v>
      </c>
      <c r="T6206">
        <v>-0.67969360000000001</v>
      </c>
      <c r="U6206">
        <v>1.457352</v>
      </c>
      <c r="V6206">
        <v>0.15295220000000001</v>
      </c>
      <c r="W6206">
        <v>0.38733810000000002</v>
      </c>
      <c r="X6206">
        <v>0.90916160000000001</v>
      </c>
      <c r="Y6206">
        <v>0.25146269999999998</v>
      </c>
      <c r="Z6206">
        <v>-0.1308291</v>
      </c>
      <c r="AA6206">
        <v>0.95898399999999995</v>
      </c>
      <c r="AB6206">
        <v>25</v>
      </c>
      <c r="AC6206">
        <v>0.60339999999999305</v>
      </c>
      <c r="AD6206">
        <v>-0.15645039999999899</v>
      </c>
      <c r="AE6206">
        <v>0.23080000000001599</v>
      </c>
      <c r="AF6206">
        <v>0.194788309404966</v>
      </c>
      <c r="AG6206">
        <v>-0.15645039999999899</v>
      </c>
      <c r="AH6206">
        <v>0.57832257623597405</v>
      </c>
      <c r="AI6206">
        <v>104.37938702386499</v>
      </c>
      <c r="AJ6206">
        <v>71.385650191410207</v>
      </c>
      <c r="AK6206">
        <v>0.62998112299117204</v>
      </c>
      <c r="AL6206">
        <v>67.211030647937704</v>
      </c>
      <c r="AM6206">
        <v>80.450306707681094</v>
      </c>
      <c r="AN6206">
        <v>0.99999999705550402</v>
      </c>
    </row>
    <row r="6207" spans="1:40" x14ac:dyDescent="0.25">
      <c r="A6207" t="str">
        <f>"20190304164810023"</f>
        <v>20190304164810023</v>
      </c>
      <c r="B6207" t="str">
        <f>"1551689290015645"</f>
        <v>1551689290015645</v>
      </c>
      <c r="C6207" t="s">
        <v>40</v>
      </c>
      <c r="D6207">
        <v>5.1978090000000003</v>
      </c>
      <c r="E6207">
        <v>0.56899270000000002</v>
      </c>
      <c r="F6207" t="s">
        <v>41</v>
      </c>
      <c r="G6207">
        <v>-176.03460000000001</v>
      </c>
      <c r="H6207">
        <v>0.93123370000000005</v>
      </c>
      <c r="I6207">
        <v>136.4177</v>
      </c>
      <c r="J6207">
        <v>-176.6249</v>
      </c>
      <c r="K6207">
        <v>1.1001529999999999</v>
      </c>
      <c r="L6207">
        <v>136.2175</v>
      </c>
      <c r="M6207">
        <v>0.78092620000000001</v>
      </c>
      <c r="N6207">
        <v>-1.5688069999999998E-2</v>
      </c>
      <c r="O6207">
        <v>0.62442640000000005</v>
      </c>
      <c r="P6207">
        <v>0.80370909999999995</v>
      </c>
      <c r="Q6207">
        <v>0.37601980000000002</v>
      </c>
      <c r="R6207">
        <v>0.4611517</v>
      </c>
      <c r="S6207">
        <v>3.2486269999999999</v>
      </c>
      <c r="T6207">
        <v>-0.68874749999999996</v>
      </c>
      <c r="U6207">
        <v>1.4216770000000001</v>
      </c>
      <c r="V6207">
        <v>0.15218570000000001</v>
      </c>
      <c r="W6207">
        <v>0.3863897</v>
      </c>
      <c r="X6207">
        <v>0.90969370000000005</v>
      </c>
      <c r="Y6207">
        <v>0.24641350000000001</v>
      </c>
      <c r="Z6207">
        <v>-0.1304438</v>
      </c>
      <c r="AA6207">
        <v>0.96034620000000004</v>
      </c>
      <c r="AB6207">
        <v>25</v>
      </c>
      <c r="AC6207">
        <v>0.59029999999998495</v>
      </c>
      <c r="AD6207">
        <v>-0.16891929999999999</v>
      </c>
      <c r="AE6207">
        <v>0.20019999999999499</v>
      </c>
      <c r="AF6207">
        <v>0.19776018702766099</v>
      </c>
      <c r="AG6207">
        <v>-0.16891929999999999</v>
      </c>
      <c r="AH6207">
        <v>0.54596743034276796</v>
      </c>
      <c r="AI6207">
        <v>106.219660867505</v>
      </c>
      <c r="AJ6207">
        <v>70.088612731022906</v>
      </c>
      <c r="AK6207">
        <v>0.60475057377466801</v>
      </c>
      <c r="AL6207">
        <v>67.269959715361097</v>
      </c>
      <c r="AM6207">
        <v>80.502745878118802</v>
      </c>
      <c r="AN6207">
        <v>1.00000005768513</v>
      </c>
    </row>
    <row r="6208" spans="1:40" x14ac:dyDescent="0.25">
      <c r="A6208" t="str">
        <f>"20190304164810043"</f>
        <v>20190304164810043</v>
      </c>
      <c r="B6208" t="str">
        <f>"1551689290036142"</f>
        <v>1551689290036142</v>
      </c>
      <c r="C6208" t="s">
        <v>40</v>
      </c>
      <c r="D6208">
        <v>5.2149269999999897</v>
      </c>
      <c r="E6208">
        <v>0.56923809999999997</v>
      </c>
      <c r="F6208" t="s">
        <v>41</v>
      </c>
      <c r="G6208">
        <v>-175.84110000000001</v>
      </c>
      <c r="H6208">
        <v>0.93511440000000001</v>
      </c>
      <c r="I6208">
        <v>136.54519999999999</v>
      </c>
      <c r="J6208">
        <v>-176.42080000000001</v>
      </c>
      <c r="K6208">
        <v>1.1000939999999999</v>
      </c>
      <c r="L6208">
        <v>136.35919999999999</v>
      </c>
      <c r="M6208">
        <v>0.79048409999999902</v>
      </c>
      <c r="N6208">
        <v>-1.5660980000000001E-2</v>
      </c>
      <c r="O6208">
        <v>0.6122824</v>
      </c>
      <c r="P6208">
        <v>0.81049950000000004</v>
      </c>
      <c r="Q6208">
        <v>0.37598219999999999</v>
      </c>
      <c r="R6208">
        <v>0.44914150000000003</v>
      </c>
      <c r="S6208">
        <v>3.269882</v>
      </c>
      <c r="T6208">
        <v>-0.68816909999999998</v>
      </c>
      <c r="U6208">
        <v>1.3677220000000001</v>
      </c>
      <c r="V6208">
        <v>0.1517116</v>
      </c>
      <c r="W6208">
        <v>0.38632539999999999</v>
      </c>
      <c r="X6208">
        <v>0.9098001</v>
      </c>
      <c r="Y6208">
        <v>0.2473139</v>
      </c>
      <c r="Z6208">
        <v>-0.12861139999999999</v>
      </c>
      <c r="AA6208">
        <v>0.96036189999999999</v>
      </c>
      <c r="AB6208">
        <v>25</v>
      </c>
      <c r="AC6208">
        <v>0.57970000000000199</v>
      </c>
      <c r="AD6208">
        <v>-0.1649796</v>
      </c>
      <c r="AE6208">
        <v>0.18600000000000699</v>
      </c>
      <c r="AF6208">
        <v>0.19371056208486101</v>
      </c>
      <c r="AG6208">
        <v>-0.1649796</v>
      </c>
      <c r="AH6208">
        <v>0.53305388302378898</v>
      </c>
      <c r="AI6208">
        <v>106.219044521969</v>
      </c>
      <c r="AJ6208">
        <v>70.028971144041705</v>
      </c>
      <c r="AK6208">
        <v>0.59066783600102402</v>
      </c>
      <c r="AL6208">
        <v>67.273951963398204</v>
      </c>
      <c r="AM6208">
        <v>80.532883155146294</v>
      </c>
      <c r="AN6208">
        <v>0.99999997310986399</v>
      </c>
    </row>
    <row r="6209" spans="1:40" x14ac:dyDescent="0.25">
      <c r="A6209" t="str">
        <f>"20190304164810066"</f>
        <v>20190304164810066</v>
      </c>
      <c r="B6209" t="str">
        <f>"1551689290055662"</f>
        <v>1551689290055662</v>
      </c>
      <c r="C6209" t="s">
        <v>40</v>
      </c>
      <c r="D6209">
        <v>4.5433349999999999</v>
      </c>
      <c r="E6209">
        <v>0.56932329999999998</v>
      </c>
      <c r="F6209" t="s">
        <v>41</v>
      </c>
      <c r="G6209">
        <v>-175.6455</v>
      </c>
      <c r="H6209">
        <v>0.93849269999999996</v>
      </c>
      <c r="I6209">
        <v>136.66890000000001</v>
      </c>
      <c r="J6209">
        <v>-176.20769999999999</v>
      </c>
      <c r="K6209">
        <v>1.100041</v>
      </c>
      <c r="L6209">
        <v>136.50229999999999</v>
      </c>
      <c r="M6209">
        <v>0.8002203</v>
      </c>
      <c r="N6209">
        <v>-1.5626870000000001E-2</v>
      </c>
      <c r="O6209">
        <v>0.59950249999999905</v>
      </c>
      <c r="P6209">
        <v>0.81776319999999902</v>
      </c>
      <c r="Q6209">
        <v>0.37654219999999999</v>
      </c>
      <c r="R6209">
        <v>0.43529230000000002</v>
      </c>
      <c r="S6209">
        <v>3.2907099999999998</v>
      </c>
      <c r="T6209">
        <v>-0.68535939999999995</v>
      </c>
      <c r="U6209">
        <v>1.3148799999999901</v>
      </c>
      <c r="V6209">
        <v>0.15247049999999901</v>
      </c>
      <c r="W6209">
        <v>0.38681450000000001</v>
      </c>
      <c r="X6209">
        <v>0.90946539999999998</v>
      </c>
      <c r="Y6209">
        <v>0.24742539999999999</v>
      </c>
      <c r="Z6209">
        <v>-0.12614600000000001</v>
      </c>
      <c r="AA6209">
        <v>0.96066010000000002</v>
      </c>
      <c r="AB6209">
        <v>25</v>
      </c>
      <c r="AC6209">
        <v>0.56219999999999004</v>
      </c>
      <c r="AD6209">
        <v>-0.16154830000000001</v>
      </c>
      <c r="AE6209">
        <v>0.16660000000001601</v>
      </c>
      <c r="AF6209">
        <v>0.18937411862190701</v>
      </c>
      <c r="AG6209">
        <v>-0.16154830000000001</v>
      </c>
      <c r="AH6209">
        <v>0.51103798081595497</v>
      </c>
      <c r="AI6209">
        <v>106.510887853631</v>
      </c>
      <c r="AJ6209">
        <v>69.666926467317296</v>
      </c>
      <c r="AK6209">
        <v>0.56843665247163899</v>
      </c>
      <c r="AL6209">
        <v>67.243567369036001</v>
      </c>
      <c r="AM6209">
        <v>80.482952638162701</v>
      </c>
      <c r="AN6209">
        <v>1.00000001228883</v>
      </c>
    </row>
    <row r="6210" spans="1:40" x14ac:dyDescent="0.25">
      <c r="A6210" t="str">
        <f>"20190304164810089"</f>
        <v>20190304164810089</v>
      </c>
      <c r="B6210" t="str">
        <f>"1551689290085917"</f>
        <v>1551689290085917</v>
      </c>
      <c r="C6210" t="s">
        <v>40</v>
      </c>
      <c r="D6210">
        <v>5.2959250000000004</v>
      </c>
      <c r="E6210">
        <v>0.56963629999999998</v>
      </c>
      <c r="F6210" t="s">
        <v>41</v>
      </c>
      <c r="G6210">
        <v>-175.44880000000001</v>
      </c>
      <c r="H6210">
        <v>0.94346669999999999</v>
      </c>
      <c r="I6210">
        <v>136.79159999999999</v>
      </c>
      <c r="J6210">
        <v>-175.98580000000001</v>
      </c>
      <c r="K6210">
        <v>1.099993</v>
      </c>
      <c r="L6210">
        <v>136.64609999999999</v>
      </c>
      <c r="M6210">
        <v>0.81008979999999997</v>
      </c>
      <c r="N6210">
        <v>-1.5583359999999999E-2</v>
      </c>
      <c r="O6210">
        <v>0.58609869999999997</v>
      </c>
      <c r="P6210">
        <v>0.82524719999999996</v>
      </c>
      <c r="Q6210">
        <v>0.37740879999999999</v>
      </c>
      <c r="R6210">
        <v>0.42015449999999999</v>
      </c>
      <c r="S6210">
        <v>3.31134</v>
      </c>
      <c r="T6210">
        <v>-0.68314410000000003</v>
      </c>
      <c r="U6210">
        <v>1.2619929999999999</v>
      </c>
      <c r="V6210">
        <v>0.15392120000000001</v>
      </c>
      <c r="W6210">
        <v>0.38757989999999998</v>
      </c>
      <c r="X6210">
        <v>0.90889500000000001</v>
      </c>
      <c r="Y6210">
        <v>0.24697520000000001</v>
      </c>
      <c r="Z6210">
        <v>-0.123631</v>
      </c>
      <c r="AA6210">
        <v>0.96110280000000003</v>
      </c>
      <c r="AB6210">
        <v>25</v>
      </c>
      <c r="AC6210">
        <v>0.53700000000000603</v>
      </c>
      <c r="AD6210">
        <v>-0.15652629999999901</v>
      </c>
      <c r="AE6210">
        <v>0.14549999999999799</v>
      </c>
      <c r="AF6210">
        <v>0.182449684594264</v>
      </c>
      <c r="AG6210">
        <v>-0.15652629999999901</v>
      </c>
      <c r="AH6210">
        <v>0.48219252569786403</v>
      </c>
      <c r="AI6210">
        <v>106.888660060237</v>
      </c>
      <c r="AJ6210">
        <v>69.274601345211593</v>
      </c>
      <c r="AK6210">
        <v>0.53879309743084303</v>
      </c>
      <c r="AL6210">
        <v>67.196003146145202</v>
      </c>
      <c r="AM6210">
        <v>80.388165064320106</v>
      </c>
      <c r="AN6210">
        <v>1.0000000178592201</v>
      </c>
    </row>
    <row r="6211" spans="1:40" x14ac:dyDescent="0.25">
      <c r="A6211" t="str">
        <f>"20190304164810112"</f>
        <v>20190304164810112</v>
      </c>
      <c r="B6211" t="str">
        <f>"1551689290105437"</f>
        <v>1551689290105437</v>
      </c>
      <c r="C6211" t="s">
        <v>40</v>
      </c>
      <c r="D6211">
        <v>5.2334269999999998</v>
      </c>
      <c r="E6211">
        <v>0.56995039999999997</v>
      </c>
      <c r="F6211" t="s">
        <v>41</v>
      </c>
      <c r="G6211">
        <v>-175.24959999999999</v>
      </c>
      <c r="H6211">
        <v>0.95023210000000002</v>
      </c>
      <c r="I6211">
        <v>136.91149999999999</v>
      </c>
      <c r="J6211">
        <v>-175.7603</v>
      </c>
      <c r="K6211">
        <v>1.0999479999999999</v>
      </c>
      <c r="L6211">
        <v>136.7869</v>
      </c>
      <c r="M6211">
        <v>0.81983639999999902</v>
      </c>
      <c r="N6211">
        <v>-1.553102E-2</v>
      </c>
      <c r="O6211">
        <v>0.57238719999999998</v>
      </c>
      <c r="P6211">
        <v>0.83181640000000001</v>
      </c>
      <c r="Q6211">
        <v>0.37791730000000001</v>
      </c>
      <c r="R6211">
        <v>0.40652179999999999</v>
      </c>
      <c r="S6211">
        <v>3.3331599999999999</v>
      </c>
      <c r="T6211">
        <v>-0.67757699999999998</v>
      </c>
      <c r="U6211">
        <v>1.2020420000000001</v>
      </c>
      <c r="V6211">
        <v>0.15349549999999901</v>
      </c>
      <c r="W6211">
        <v>0.38803739999999998</v>
      </c>
      <c r="X6211">
        <v>0.90877180000000002</v>
      </c>
      <c r="Y6211">
        <v>0.24836140000000001</v>
      </c>
      <c r="Z6211">
        <v>-0.12063219999999999</v>
      </c>
      <c r="AA6211">
        <v>0.9611267</v>
      </c>
      <c r="AB6211">
        <v>25</v>
      </c>
      <c r="AC6211">
        <v>0.51070000000001403</v>
      </c>
      <c r="AD6211">
        <v>-0.14971589999999901</v>
      </c>
      <c r="AE6211">
        <v>0.124599999999986</v>
      </c>
      <c r="AF6211">
        <v>0.17591999290867399</v>
      </c>
      <c r="AG6211">
        <v>-0.14971589999999901</v>
      </c>
      <c r="AH6211">
        <v>0.453300264095501</v>
      </c>
      <c r="AI6211">
        <v>107.113891730446</v>
      </c>
      <c r="AJ6211">
        <v>68.789408641545606</v>
      </c>
      <c r="AK6211">
        <v>0.50876696438236702</v>
      </c>
      <c r="AL6211">
        <v>67.167565229761095</v>
      </c>
      <c r="AM6211">
        <v>80.412979181239095</v>
      </c>
      <c r="AN6211">
        <v>1.0000000383971199</v>
      </c>
    </row>
    <row r="6212" spans="1:40" x14ac:dyDescent="0.25">
      <c r="A6212" t="str">
        <f>"20190304164810133"</f>
        <v>20190304164810133</v>
      </c>
      <c r="B6212" t="str">
        <f>"1551689290125934"</f>
        <v>1551689290125934</v>
      </c>
      <c r="C6212" t="s">
        <v>40</v>
      </c>
      <c r="D6212">
        <v>5.2231860000000001</v>
      </c>
      <c r="E6212">
        <v>0.57005519999999998</v>
      </c>
      <c r="F6212" t="s">
        <v>41</v>
      </c>
      <c r="G6212">
        <v>-175.0488</v>
      </c>
      <c r="H6212">
        <v>0.95747400000000005</v>
      </c>
      <c r="I6212">
        <v>137.02889999999999</v>
      </c>
      <c r="J6212">
        <v>-175.54669999999999</v>
      </c>
      <c r="K6212">
        <v>1.099907</v>
      </c>
      <c r="L6212">
        <v>136.9153</v>
      </c>
      <c r="M6212">
        <v>0.82880200000000004</v>
      </c>
      <c r="N6212">
        <v>-1.547479E-2</v>
      </c>
      <c r="O6212">
        <v>0.55932799999999905</v>
      </c>
      <c r="P6212">
        <v>0.83739180000000002</v>
      </c>
      <c r="Q6212">
        <v>0.37836920000000002</v>
      </c>
      <c r="R6212">
        <v>0.39447670000000001</v>
      </c>
      <c r="S6212">
        <v>3.3542480000000001</v>
      </c>
      <c r="T6212">
        <v>-0.67166610000000004</v>
      </c>
      <c r="U6212">
        <v>1.1406559999999999</v>
      </c>
      <c r="V6212">
        <v>0.152132399999999</v>
      </c>
      <c r="W6212">
        <v>0.38846449999999999</v>
      </c>
      <c r="X6212">
        <v>0.90881849999999997</v>
      </c>
      <c r="Y6212">
        <v>0.2509864</v>
      </c>
      <c r="Z6212">
        <v>-0.11780889999999999</v>
      </c>
      <c r="AA6212">
        <v>0.96079490000000001</v>
      </c>
      <c r="AB6212">
        <v>25</v>
      </c>
      <c r="AC6212">
        <v>0.49789999999998702</v>
      </c>
      <c r="AD6212">
        <v>-0.142433</v>
      </c>
      <c r="AE6212">
        <v>0.113599999999991</v>
      </c>
      <c r="AF6212">
        <v>0.17105406820876001</v>
      </c>
      <c r="AG6212">
        <v>-0.142433</v>
      </c>
      <c r="AH6212">
        <v>0.44188499747266402</v>
      </c>
      <c r="AI6212">
        <v>106.730499531229</v>
      </c>
      <c r="AJ6212">
        <v>68.838535952141498</v>
      </c>
      <c r="AK6212">
        <v>0.49478177485754599</v>
      </c>
      <c r="AL6212">
        <v>67.141010214661804</v>
      </c>
      <c r="AM6212">
        <v>80.497035421291102</v>
      </c>
      <c r="AN6212">
        <v>1.00000000041613</v>
      </c>
    </row>
    <row r="6213" spans="1:40" x14ac:dyDescent="0.25">
      <c r="A6213" t="str">
        <f>"20190304164810156"</f>
        <v>20190304164810156</v>
      </c>
      <c r="B6213" t="str">
        <f>"1551689290145454"</f>
        <v>1551689290145454</v>
      </c>
      <c r="C6213" t="s">
        <v>40</v>
      </c>
      <c r="D6213">
        <v>5.249403</v>
      </c>
      <c r="E6213">
        <v>0.5701233</v>
      </c>
      <c r="F6213" t="s">
        <v>41</v>
      </c>
      <c r="G6213">
        <v>-174.84610000000001</v>
      </c>
      <c r="H6213">
        <v>0.96119770000000004</v>
      </c>
      <c r="I6213">
        <v>137.14019999999999</v>
      </c>
      <c r="J6213">
        <v>-175.3253</v>
      </c>
      <c r="K6213">
        <v>1.099874</v>
      </c>
      <c r="L6213">
        <v>137.04339999999999</v>
      </c>
      <c r="M6213">
        <v>0.837823599999999</v>
      </c>
      <c r="N6213">
        <v>-1.541466E-2</v>
      </c>
      <c r="O6213">
        <v>0.54572339999999997</v>
      </c>
      <c r="P6213">
        <v>0.84340009999999999</v>
      </c>
      <c r="Q6213">
        <v>0.37984479999999998</v>
      </c>
      <c r="R6213">
        <v>0.37999250000000001</v>
      </c>
      <c r="S6213">
        <v>3.3736419999999998</v>
      </c>
      <c r="T6213">
        <v>-0.66723599999999905</v>
      </c>
      <c r="U6213">
        <v>1.08345</v>
      </c>
      <c r="V6213">
        <v>0.15266399999999999</v>
      </c>
      <c r="W6213">
        <v>0.38984950000000002</v>
      </c>
      <c r="X6213">
        <v>0.9081361</v>
      </c>
      <c r="Y6213">
        <v>0.25190960000000001</v>
      </c>
      <c r="Z6213">
        <v>-0.11501599999999999</v>
      </c>
      <c r="AA6213">
        <v>0.96089170000000002</v>
      </c>
      <c r="AB6213">
        <v>25</v>
      </c>
      <c r="AC6213">
        <v>0.47919999999999102</v>
      </c>
      <c r="AD6213">
        <v>-0.1386763</v>
      </c>
      <c r="AE6213">
        <v>9.6800000000001704E-2</v>
      </c>
      <c r="AF6213">
        <v>0.16699378420393099</v>
      </c>
      <c r="AG6213">
        <v>-0.1386763</v>
      </c>
      <c r="AH6213">
        <v>0.42052774841301999</v>
      </c>
      <c r="AI6213">
        <v>107.039580670717</v>
      </c>
      <c r="AJ6213">
        <v>68.341712328656996</v>
      </c>
      <c r="AK6213">
        <v>0.473245842379797</v>
      </c>
      <c r="AL6213">
        <v>67.054866103983599</v>
      </c>
      <c r="AM6213">
        <v>80.457404148996403</v>
      </c>
      <c r="AN6213">
        <v>1.0000000528347199</v>
      </c>
    </row>
    <row r="6214" spans="1:40" x14ac:dyDescent="0.25">
      <c r="A6214" t="str">
        <f>"20190304164810178"</f>
        <v>20190304164810178</v>
      </c>
      <c r="B6214" t="str">
        <f>"1551689290175709"</f>
        <v>1551689290175709</v>
      </c>
      <c r="C6214" t="s">
        <v>40</v>
      </c>
      <c r="D6214">
        <v>5.2525459999999997</v>
      </c>
      <c r="E6214">
        <v>0.57014980000000004</v>
      </c>
      <c r="F6214" t="s">
        <v>41</v>
      </c>
      <c r="G6214">
        <v>-174.43010000000001</v>
      </c>
      <c r="H6214">
        <v>0.92529939999999999</v>
      </c>
      <c r="I6214">
        <v>137.3142</v>
      </c>
      <c r="J6214">
        <v>-175.0976</v>
      </c>
      <c r="K6214">
        <v>1.0998289999999999</v>
      </c>
      <c r="L6214">
        <v>137.16990000000001</v>
      </c>
      <c r="M6214">
        <v>0.84681550000000005</v>
      </c>
      <c r="N6214">
        <v>-1.535189E-2</v>
      </c>
      <c r="O6214">
        <v>0.5316651</v>
      </c>
      <c r="P6214">
        <v>0.84924009999999905</v>
      </c>
      <c r="Q6214">
        <v>0.38100980000000001</v>
      </c>
      <c r="R6214">
        <v>0.36554449999999999</v>
      </c>
      <c r="S6214">
        <v>3.3923190000000001</v>
      </c>
      <c r="T6214">
        <v>-0.66121969999999997</v>
      </c>
      <c r="U6214">
        <v>1.0265500000000001</v>
      </c>
      <c r="V6214">
        <v>0.1527869</v>
      </c>
      <c r="W6214">
        <v>0.39093689999999998</v>
      </c>
      <c r="X6214">
        <v>0.9076478</v>
      </c>
      <c r="Y6214">
        <v>0.25240949999999901</v>
      </c>
      <c r="Z6214">
        <v>-0.1118444</v>
      </c>
      <c r="AA6214">
        <v>0.96113490000000001</v>
      </c>
      <c r="AB6214">
        <v>25</v>
      </c>
      <c r="AC6214">
        <v>0.66749999999998899</v>
      </c>
      <c r="AD6214">
        <v>-0.17452960000000001</v>
      </c>
      <c r="AE6214">
        <v>0.14429999999998699</v>
      </c>
      <c r="AF6214">
        <v>0.21845074159508401</v>
      </c>
      <c r="AG6214">
        <v>-0.17452960000000001</v>
      </c>
      <c r="AH6214">
        <v>0.60268138715786301</v>
      </c>
      <c r="AI6214">
        <v>105.229965617335</v>
      </c>
      <c r="AJ6214">
        <v>70.076205870424403</v>
      </c>
      <c r="AK6214">
        <v>0.66438404722429101</v>
      </c>
      <c r="AL6214">
        <v>66.9871916876358</v>
      </c>
      <c r="AM6214">
        <v>80.444820347929294</v>
      </c>
      <c r="AN6214">
        <v>1.0000000127190301</v>
      </c>
    </row>
    <row r="6215" spans="1:40" x14ac:dyDescent="0.25">
      <c r="A6215" t="str">
        <f>"20190304164810202"</f>
        <v>20190304164810202</v>
      </c>
      <c r="B6215" t="str">
        <f>"1551689290195230"</f>
        <v>1551689290195230</v>
      </c>
      <c r="C6215" t="s">
        <v>40</v>
      </c>
      <c r="D6215">
        <v>5.2149580000000002</v>
      </c>
      <c r="E6215">
        <v>0.57013930000000002</v>
      </c>
      <c r="F6215" t="s">
        <v>41</v>
      </c>
      <c r="G6215">
        <v>-174.2253</v>
      </c>
      <c r="H6215">
        <v>0.93164650000000004</v>
      </c>
      <c r="I6215">
        <v>137.4186</v>
      </c>
      <c r="J6215">
        <v>-174.8587</v>
      </c>
      <c r="K6215">
        <v>1.0997969999999999</v>
      </c>
      <c r="L6215">
        <v>137.29730000000001</v>
      </c>
      <c r="M6215">
        <v>0.85594179999999997</v>
      </c>
      <c r="N6215">
        <v>-1.5287419999999999E-2</v>
      </c>
      <c r="O6215">
        <v>0.51684620000000003</v>
      </c>
      <c r="P6215">
        <v>0.85444299999999995</v>
      </c>
      <c r="Q6215">
        <v>0.38078719999999999</v>
      </c>
      <c r="R6215">
        <v>0.35345260000000001</v>
      </c>
      <c r="S6215">
        <v>3.4089969999999998</v>
      </c>
      <c r="T6215">
        <v>-0.65722119999999995</v>
      </c>
      <c r="U6215">
        <v>0.97206119999999996</v>
      </c>
      <c r="V6215">
        <v>0.14991860000000001</v>
      </c>
      <c r="W6215">
        <v>0.39073550000000001</v>
      </c>
      <c r="X6215">
        <v>0.90821269999999998</v>
      </c>
      <c r="Y6215">
        <v>0.25139</v>
      </c>
      <c r="Z6215">
        <v>-0.1088083</v>
      </c>
      <c r="AA6215">
        <v>0.96175040000000001</v>
      </c>
      <c r="AB6215">
        <v>25</v>
      </c>
      <c r="AC6215">
        <v>0.63339999999999397</v>
      </c>
      <c r="AD6215">
        <v>-0.16815049999999901</v>
      </c>
      <c r="AE6215">
        <v>0.12129999999999</v>
      </c>
      <c r="AF6215">
        <v>0.209339330653906</v>
      </c>
      <c r="AG6215">
        <v>-0.16815049999999901</v>
      </c>
      <c r="AH6215">
        <v>0.56641152490592195</v>
      </c>
      <c r="AI6215">
        <v>105.560400875385</v>
      </c>
      <c r="AJ6215">
        <v>69.716254340685296</v>
      </c>
      <c r="AK6215">
        <v>0.626832961445971</v>
      </c>
      <c r="AL6215">
        <v>66.999729432557004</v>
      </c>
      <c r="AM6215">
        <v>80.626714863129394</v>
      </c>
      <c r="AN6215">
        <v>1.00000006301374</v>
      </c>
    </row>
    <row r="6216" spans="1:40" x14ac:dyDescent="0.25">
      <c r="A6216" t="str">
        <f>"20190304164810222"</f>
        <v>20190304164810222</v>
      </c>
      <c r="B6216" t="str">
        <f>"1551689290215726"</f>
        <v>1551689290215726</v>
      </c>
      <c r="C6216" t="s">
        <v>40</v>
      </c>
      <c r="D6216">
        <v>5.2108759999999998</v>
      </c>
      <c r="E6216">
        <v>0.57014830000000005</v>
      </c>
      <c r="F6216" t="s">
        <v>41</v>
      </c>
      <c r="G6216">
        <v>-174.02010000000001</v>
      </c>
      <c r="H6216">
        <v>0.93872449999999996</v>
      </c>
      <c r="I6216">
        <v>137.52260000000001</v>
      </c>
      <c r="J6216">
        <v>-174.63640000000001</v>
      </c>
      <c r="K6216">
        <v>1.0997760000000001</v>
      </c>
      <c r="L6216">
        <v>137.41130000000001</v>
      </c>
      <c r="M6216">
        <v>0.86415149999999996</v>
      </c>
      <c r="N6216">
        <v>-1.522922E-2</v>
      </c>
      <c r="O6216">
        <v>0.50300140000000004</v>
      </c>
      <c r="P6216">
        <v>0.85872719999999902</v>
      </c>
      <c r="Q6216">
        <v>0.38135930000000001</v>
      </c>
      <c r="R6216">
        <v>0.34227580000000002</v>
      </c>
      <c r="S6216">
        <v>3.4235530000000001</v>
      </c>
      <c r="T6216">
        <v>-0.65728969999999998</v>
      </c>
      <c r="U6216">
        <v>0.9196472</v>
      </c>
      <c r="V6216">
        <v>0.14702779999999999</v>
      </c>
      <c r="W6216">
        <v>0.3913336</v>
      </c>
      <c r="X6216">
        <v>0.90842769999999995</v>
      </c>
      <c r="Y6216">
        <v>0.25077389999999999</v>
      </c>
      <c r="Z6216">
        <v>-0.10667450000000001</v>
      </c>
      <c r="AA6216">
        <v>0.96215019999999996</v>
      </c>
      <c r="AB6216">
        <v>25</v>
      </c>
      <c r="AC6216">
        <v>0.61629999999999496</v>
      </c>
      <c r="AD6216">
        <v>-0.16105149999999999</v>
      </c>
      <c r="AE6216">
        <v>0.111299999999999</v>
      </c>
      <c r="AF6216">
        <v>0.20057987402728999</v>
      </c>
      <c r="AG6216">
        <v>-0.16105149999999999</v>
      </c>
      <c r="AH6216">
        <v>0.55211664591119902</v>
      </c>
      <c r="AI6216">
        <v>105.331839440333</v>
      </c>
      <c r="AJ6216">
        <v>70.034292946111904</v>
      </c>
      <c r="AK6216">
        <v>0.60909987868106397</v>
      </c>
      <c r="AL6216">
        <v>66.962495199136995</v>
      </c>
      <c r="AM6216">
        <v>80.806476796943301</v>
      </c>
      <c r="AN6216">
        <v>1.0000000232945401</v>
      </c>
    </row>
    <row r="6217" spans="1:40" x14ac:dyDescent="0.25">
      <c r="A6217" t="str">
        <f>"20190304164810245"</f>
        <v>20190304164810245</v>
      </c>
      <c r="B6217" t="str">
        <f>"1551689290235246"</f>
        <v>1551689290235246</v>
      </c>
      <c r="C6217" t="s">
        <v>40</v>
      </c>
      <c r="D6217">
        <v>5.2315649999999998</v>
      </c>
      <c r="E6217">
        <v>0.57022109999999904</v>
      </c>
      <c r="F6217" t="s">
        <v>41</v>
      </c>
      <c r="G6217">
        <v>-173.81110000000001</v>
      </c>
      <c r="H6217">
        <v>0.94299569999999999</v>
      </c>
      <c r="I6217">
        <v>137.61959999999999</v>
      </c>
      <c r="J6217">
        <v>-174.40770000000001</v>
      </c>
      <c r="K6217">
        <v>1.0997709999999901</v>
      </c>
      <c r="L6217">
        <v>137.52379999999999</v>
      </c>
      <c r="M6217">
        <v>0.87230810000000003</v>
      </c>
      <c r="N6217">
        <v>-1.51692999999999E-2</v>
      </c>
      <c r="O6217">
        <v>0.48872139999999997</v>
      </c>
      <c r="P6217">
        <v>0.86319780000000002</v>
      </c>
      <c r="Q6217">
        <v>0.38231759999999998</v>
      </c>
      <c r="R6217">
        <v>0.32973200000000003</v>
      </c>
      <c r="S6217">
        <v>3.437805</v>
      </c>
      <c r="T6217">
        <v>-0.65315959999999995</v>
      </c>
      <c r="U6217">
        <v>0.86755369999999998</v>
      </c>
      <c r="V6217">
        <v>0.1451316</v>
      </c>
      <c r="W6217">
        <v>0.39228560000000001</v>
      </c>
      <c r="X6217">
        <v>0.90832199999999996</v>
      </c>
      <c r="Y6217">
        <v>0.24987119999999999</v>
      </c>
      <c r="Z6217">
        <v>-0.103727</v>
      </c>
      <c r="AA6217">
        <v>0.96270719999999999</v>
      </c>
      <c r="AB6217">
        <v>25</v>
      </c>
      <c r="AC6217">
        <v>0.59659999999999502</v>
      </c>
      <c r="AD6217">
        <v>-0.15677529999999901</v>
      </c>
      <c r="AE6217">
        <v>9.5799999999996999E-2</v>
      </c>
      <c r="AF6217">
        <v>0.19490719134891901</v>
      </c>
      <c r="AG6217">
        <v>-0.15677529999999901</v>
      </c>
      <c r="AH6217">
        <v>0.53152261199147899</v>
      </c>
      <c r="AI6217">
        <v>105.478672760809</v>
      </c>
      <c r="AJ6217">
        <v>69.862217405017702</v>
      </c>
      <c r="AK6217">
        <v>0.58743816269277105</v>
      </c>
      <c r="AL6217">
        <v>66.903209290361204</v>
      </c>
      <c r="AM6217">
        <v>80.922019421242098</v>
      </c>
      <c r="AN6217">
        <v>1.0000000144849599</v>
      </c>
    </row>
    <row r="6218" spans="1:40" x14ac:dyDescent="0.25">
      <c r="A6218" t="str">
        <f>"20190304164810267"</f>
        <v>20190304164810267</v>
      </c>
      <c r="B6218" t="str">
        <f>"1551689290265502"</f>
        <v>1551689290265502</v>
      </c>
      <c r="C6218" t="s">
        <v>40</v>
      </c>
      <c r="D6218">
        <v>5.2799559999999897</v>
      </c>
      <c r="E6218">
        <v>0.56994040000000001</v>
      </c>
      <c r="F6218" t="s">
        <v>41</v>
      </c>
      <c r="G6218">
        <v>-173.60130000000001</v>
      </c>
      <c r="H6218">
        <v>0.9480421</v>
      </c>
      <c r="I6218">
        <v>137.715</v>
      </c>
      <c r="J6218">
        <v>-174.173</v>
      </c>
      <c r="K6218">
        <v>1.099766</v>
      </c>
      <c r="L6218">
        <v>137.6345</v>
      </c>
      <c r="M6218">
        <v>0.88038090000000002</v>
      </c>
      <c r="N6218">
        <v>-1.5109610000000001E-2</v>
      </c>
      <c r="O6218">
        <v>0.47402640000000001</v>
      </c>
      <c r="P6218">
        <v>0.86725219999999903</v>
      </c>
      <c r="Q6218">
        <v>0.38357069999999999</v>
      </c>
      <c r="R6218">
        <v>0.3174071</v>
      </c>
      <c r="S6218">
        <v>3.4503020000000002</v>
      </c>
      <c r="T6218">
        <v>-0.64870719999999904</v>
      </c>
      <c r="U6218">
        <v>0.81800839999999997</v>
      </c>
      <c r="V6218">
        <v>0.1425922</v>
      </c>
      <c r="W6218">
        <v>0.39355289999999998</v>
      </c>
      <c r="X6218">
        <v>0.90817599999999998</v>
      </c>
      <c r="Y6218">
        <v>0.24789700000000001</v>
      </c>
      <c r="Z6218">
        <v>-0.1005952</v>
      </c>
      <c r="AA6218">
        <v>0.96354960000000001</v>
      </c>
      <c r="AB6218">
        <v>25</v>
      </c>
      <c r="AC6218">
        <v>0.57169999999999199</v>
      </c>
      <c r="AD6218">
        <v>-0.15172389999999999</v>
      </c>
      <c r="AE6218">
        <v>8.0500000000000599E-2</v>
      </c>
      <c r="AF6218">
        <v>0.18722292563232301</v>
      </c>
      <c r="AG6218">
        <v>-0.15172389999999999</v>
      </c>
      <c r="AH6218">
        <v>0.50655084741136402</v>
      </c>
      <c r="AI6218">
        <v>105.692598294278</v>
      </c>
      <c r="AJ6218">
        <v>69.715515110094003</v>
      </c>
      <c r="AK6218">
        <v>0.56095126947597396</v>
      </c>
      <c r="AL6218">
        <v>66.824248168913101</v>
      </c>
      <c r="AM6218">
        <v>81.076870393525397</v>
      </c>
      <c r="AN6218">
        <v>1.00000003378762</v>
      </c>
    </row>
    <row r="6219" spans="1:40" x14ac:dyDescent="0.25">
      <c r="A6219" t="str">
        <f>"20190304164810289"</f>
        <v>20190304164810289</v>
      </c>
      <c r="B6219" t="str">
        <f>"1551689290285998"</f>
        <v>1551689290285998</v>
      </c>
      <c r="C6219" t="s">
        <v>40</v>
      </c>
      <c r="D6219">
        <v>5.3029580000000003</v>
      </c>
      <c r="E6219">
        <v>0.56960949999999999</v>
      </c>
      <c r="F6219" t="s">
        <v>41</v>
      </c>
      <c r="G6219">
        <v>-173.39019999999999</v>
      </c>
      <c r="H6219">
        <v>0.95400200000000002</v>
      </c>
      <c r="I6219">
        <v>137.8081</v>
      </c>
      <c r="J6219">
        <v>-173.9374</v>
      </c>
      <c r="K6219">
        <v>1.0997570000000001</v>
      </c>
      <c r="L6219">
        <v>137.74090000000001</v>
      </c>
      <c r="M6219">
        <v>0.88817849999999998</v>
      </c>
      <c r="N6219">
        <v>-1.505392E-2</v>
      </c>
      <c r="O6219">
        <v>0.45925189999999999</v>
      </c>
      <c r="P6219">
        <v>0.87142019999999998</v>
      </c>
      <c r="Q6219">
        <v>0.3838664</v>
      </c>
      <c r="R6219">
        <v>0.3054074</v>
      </c>
      <c r="S6219">
        <v>3.4633639999999999</v>
      </c>
      <c r="T6219">
        <v>-0.64487669999999997</v>
      </c>
      <c r="U6219">
        <v>0.76794430000000002</v>
      </c>
      <c r="V6219">
        <v>0.13987829999999901</v>
      </c>
      <c r="W6219">
        <v>0.39387860000000002</v>
      </c>
      <c r="X6219">
        <v>0.90845679999999995</v>
      </c>
      <c r="Y6219">
        <v>0.2461296</v>
      </c>
      <c r="Z6219">
        <v>-9.7555009999999998E-2</v>
      </c>
      <c r="AA6219">
        <v>0.96431489999999997</v>
      </c>
      <c r="AB6219">
        <v>25</v>
      </c>
      <c r="AC6219">
        <v>0.54720000000000302</v>
      </c>
      <c r="AD6219">
        <v>-0.145754999999999</v>
      </c>
      <c r="AE6219">
        <v>6.7199999999985494E-2</v>
      </c>
      <c r="AF6219">
        <v>0.17911901706292699</v>
      </c>
      <c r="AG6219">
        <v>-0.145754999999999</v>
      </c>
      <c r="AH6219">
        <v>0.48316048540183298</v>
      </c>
      <c r="AI6219">
        <v>105.79398344407799</v>
      </c>
      <c r="AJ6219">
        <v>69.659065624454698</v>
      </c>
      <c r="AK6219">
        <v>0.53551115483463496</v>
      </c>
      <c r="AL6219">
        <v>66.803947033902304</v>
      </c>
      <c r="AM6219">
        <v>81.246708521970206</v>
      </c>
      <c r="AN6219">
        <v>1.0000000239075399</v>
      </c>
    </row>
    <row r="6220" spans="1:40" x14ac:dyDescent="0.25">
      <c r="A6220" t="str">
        <f>"20190304164810312"</f>
        <v>20190304164810312</v>
      </c>
      <c r="B6220" t="str">
        <f>"1551689290305521"</f>
        <v>1551689290305521</v>
      </c>
      <c r="C6220" t="s">
        <v>40</v>
      </c>
      <c r="D6220">
        <v>5.3379909999999997</v>
      </c>
      <c r="E6220">
        <v>0.56934770000000001</v>
      </c>
      <c r="F6220" t="s">
        <v>41</v>
      </c>
      <c r="G6220">
        <v>-173.1781</v>
      </c>
      <c r="H6220">
        <v>0.95881859999999997</v>
      </c>
      <c r="I6220">
        <v>137.89779999999999</v>
      </c>
      <c r="J6220">
        <v>-173.6996</v>
      </c>
      <c r="K6220">
        <v>1.0997709999999901</v>
      </c>
      <c r="L6220">
        <v>137.84360000000001</v>
      </c>
      <c r="M6220">
        <v>0.89574319999999896</v>
      </c>
      <c r="N6220">
        <v>-1.500227E-2</v>
      </c>
      <c r="O6220">
        <v>0.44431870000000001</v>
      </c>
      <c r="P6220">
        <v>0.876412999999999</v>
      </c>
      <c r="Q6220">
        <v>0.38346520000000001</v>
      </c>
      <c r="R6220">
        <v>0.29129860000000002</v>
      </c>
      <c r="S6220">
        <v>3.4750519999999998</v>
      </c>
      <c r="T6220">
        <v>-0.64486650000000001</v>
      </c>
      <c r="U6220">
        <v>0.71807860000000001</v>
      </c>
      <c r="V6220">
        <v>0.13938719999999999</v>
      </c>
      <c r="W6220">
        <v>0.3934512</v>
      </c>
      <c r="X6220">
        <v>0.90871740000000001</v>
      </c>
      <c r="Y6220">
        <v>0.24406910000000001</v>
      </c>
      <c r="Z6220">
        <v>-9.5080970000000001E-2</v>
      </c>
      <c r="AA6220">
        <v>0.96508539999999998</v>
      </c>
      <c r="AB6220">
        <v>25</v>
      </c>
      <c r="AC6220">
        <v>0.52150000000000296</v>
      </c>
      <c r="AD6220">
        <v>-0.14095239999999901</v>
      </c>
      <c r="AE6220">
        <v>5.4199999999980202E-2</v>
      </c>
      <c r="AF6220">
        <v>0.17083680467812301</v>
      </c>
      <c r="AG6220">
        <v>-0.14095239999999901</v>
      </c>
      <c r="AH6220">
        <v>0.45815558217429803</v>
      </c>
      <c r="AI6220">
        <v>106.080359030034</v>
      </c>
      <c r="AJ6220">
        <v>69.550547911656196</v>
      </c>
      <c r="AK6220">
        <v>0.50888046766982598</v>
      </c>
      <c r="AL6220">
        <v>66.830585077771801</v>
      </c>
      <c r="AM6220">
        <v>81.279430143095496</v>
      </c>
      <c r="AN6220">
        <v>0.99999997568401899</v>
      </c>
    </row>
    <row r="6221" spans="1:40" x14ac:dyDescent="0.25">
      <c r="A6221" t="str">
        <f>"20190304164810334"</f>
        <v>20190304164810334</v>
      </c>
      <c r="B6221" t="str">
        <f>"1551689290326017"</f>
        <v>1551689290326017</v>
      </c>
      <c r="C6221" t="s">
        <v>40</v>
      </c>
      <c r="D6221">
        <v>5.2348809999999997</v>
      </c>
      <c r="E6221">
        <v>0.56928469999999998</v>
      </c>
      <c r="F6221" t="s">
        <v>41</v>
      </c>
      <c r="G6221">
        <v>-172.96469999999999</v>
      </c>
      <c r="H6221">
        <v>0.96300770000000002</v>
      </c>
      <c r="I6221">
        <v>137.9836</v>
      </c>
      <c r="J6221">
        <v>-173.46350000000001</v>
      </c>
      <c r="K6221">
        <v>1.0997920000000001</v>
      </c>
      <c r="L6221">
        <v>137.9409</v>
      </c>
      <c r="M6221">
        <v>0.90294459999999999</v>
      </c>
      <c r="N6221">
        <v>-1.495457E-2</v>
      </c>
      <c r="O6221">
        <v>0.42949660000000001</v>
      </c>
      <c r="P6221">
        <v>0.88103560000000003</v>
      </c>
      <c r="Q6221">
        <v>0.38399909999999998</v>
      </c>
      <c r="R6221">
        <v>0.27626260000000002</v>
      </c>
      <c r="S6221">
        <v>3.4860989999999998</v>
      </c>
      <c r="T6221">
        <v>-0.64863280000000001</v>
      </c>
      <c r="U6221">
        <v>0.66412349999999998</v>
      </c>
      <c r="V6221">
        <v>0.1398546</v>
      </c>
      <c r="W6221">
        <v>0.39393149999999999</v>
      </c>
      <c r="X6221">
        <v>0.90843750000000001</v>
      </c>
      <c r="Y6221">
        <v>0.2431738</v>
      </c>
      <c r="Z6221">
        <v>-9.3298409999999998E-2</v>
      </c>
      <c r="AA6221">
        <v>0.96548529999999999</v>
      </c>
      <c r="AB6221">
        <v>25</v>
      </c>
      <c r="AC6221">
        <v>0.49880000000001701</v>
      </c>
      <c r="AD6221">
        <v>-0.1367843</v>
      </c>
      <c r="AE6221">
        <v>4.2699999999996401E-2</v>
      </c>
      <c r="AF6221">
        <v>0.16349164537188501</v>
      </c>
      <c r="AG6221">
        <v>-0.1367843</v>
      </c>
      <c r="AH6221">
        <v>0.436215795458611</v>
      </c>
      <c r="AI6221">
        <v>106.363543646263</v>
      </c>
      <c r="AJ6221">
        <v>69.454236166449704</v>
      </c>
      <c r="AK6221">
        <v>0.485513834036153</v>
      </c>
      <c r="AL6221">
        <v>66.800649231469293</v>
      </c>
      <c r="AM6221">
        <v>81.247985598578595</v>
      </c>
      <c r="AN6221">
        <v>1.0000000136198299</v>
      </c>
    </row>
    <row r="6222" spans="1:40" x14ac:dyDescent="0.25">
      <c r="A6222" t="str">
        <f>"20190304164810357"</f>
        <v>20190304164810357</v>
      </c>
      <c r="B6222" t="str">
        <f>"1551689290345534"</f>
        <v>1551689290345534</v>
      </c>
      <c r="C6222" t="s">
        <v>40</v>
      </c>
      <c r="D6222">
        <v>5.1301589999999999</v>
      </c>
      <c r="E6222">
        <v>0.58030660000000001</v>
      </c>
      <c r="F6222" t="s">
        <v>41</v>
      </c>
      <c r="G6222">
        <v>-172.53450000000001</v>
      </c>
      <c r="H6222">
        <v>0.92775759999999996</v>
      </c>
      <c r="I6222">
        <v>138.10230000000001</v>
      </c>
      <c r="J6222">
        <v>-173.22489999999999</v>
      </c>
      <c r="K6222">
        <v>1.0998270000000001</v>
      </c>
      <c r="L6222">
        <v>138.03440000000001</v>
      </c>
      <c r="M6222">
        <v>0.90991060000000001</v>
      </c>
      <c r="N6222">
        <v>-1.4908390000000001E-2</v>
      </c>
      <c r="O6222">
        <v>0.41453640000000003</v>
      </c>
      <c r="P6222">
        <v>0.8861483</v>
      </c>
      <c r="Q6222">
        <v>0.38251610000000003</v>
      </c>
      <c r="R6222">
        <v>0.26157710000000001</v>
      </c>
      <c r="S6222">
        <v>3.4967959999999998</v>
      </c>
      <c r="T6222">
        <v>-0.64741610000000005</v>
      </c>
      <c r="U6222">
        <v>0.60736080000000003</v>
      </c>
      <c r="V6222">
        <v>0.14015830000000001</v>
      </c>
      <c r="W6222">
        <v>0.3924163</v>
      </c>
      <c r="X6222">
        <v>0.90904620000000003</v>
      </c>
      <c r="Y6222">
        <v>0.2431335</v>
      </c>
      <c r="Z6222">
        <v>-9.081264E-2</v>
      </c>
      <c r="AA6222">
        <v>0.96573249999999999</v>
      </c>
      <c r="AB6222">
        <v>25</v>
      </c>
      <c r="AC6222">
        <v>0.69039999999998203</v>
      </c>
      <c r="AD6222">
        <v>-0.17206940000000001</v>
      </c>
      <c r="AE6222">
        <v>6.7900000000008703E-2</v>
      </c>
      <c r="AF6222">
        <v>0.21143047669710999</v>
      </c>
      <c r="AG6222">
        <v>-0.17206940000000001</v>
      </c>
      <c r="AH6222">
        <v>0.618378814192871</v>
      </c>
      <c r="AI6222">
        <v>104.750866645025</v>
      </c>
      <c r="AJ6222">
        <v>71.123880990292605</v>
      </c>
      <c r="AK6222">
        <v>0.67579810796961304</v>
      </c>
      <c r="AL6222">
        <v>66.895066287513004</v>
      </c>
      <c r="AM6222">
        <v>81.235057115808303</v>
      </c>
      <c r="AN6222">
        <v>0.99999994764950795</v>
      </c>
    </row>
    <row r="6223" spans="1:40" x14ac:dyDescent="0.25">
      <c r="A6223" t="str">
        <f>"20190304164810378"</f>
        <v>20190304164810378</v>
      </c>
      <c r="B6223" t="str">
        <f>"1551689290375790"</f>
        <v>1551689290375790</v>
      </c>
      <c r="C6223" t="s">
        <v>40</v>
      </c>
      <c r="D6223">
        <v>5.3492100000000002</v>
      </c>
      <c r="E6223">
        <v>0.57092959999999904</v>
      </c>
      <c r="F6223" t="s">
        <v>42</v>
      </c>
      <c r="G6223">
        <v>-166.1771</v>
      </c>
      <c r="H6223" s="1">
        <v>-1.9076639999999998E-6</v>
      </c>
      <c r="I6223">
        <v>138.93940000000001</v>
      </c>
      <c r="J6223">
        <v>-172.98339999999999</v>
      </c>
      <c r="K6223">
        <v>1.0998520000000001</v>
      </c>
      <c r="L6223">
        <v>138.12450000000001</v>
      </c>
      <c r="M6223">
        <v>0.91664789999999996</v>
      </c>
      <c r="N6223">
        <v>-1.4863619999999999E-2</v>
      </c>
      <c r="O6223">
        <v>0.39941939999999998</v>
      </c>
      <c r="P6223">
        <v>0.89104779999999995</v>
      </c>
      <c r="Q6223">
        <v>0.38046200000000002</v>
      </c>
      <c r="R6223">
        <v>0.24755340000000001</v>
      </c>
      <c r="S6223">
        <v>3.4881899999999999</v>
      </c>
      <c r="T6223">
        <v>-0.54434179999999999</v>
      </c>
      <c r="U6223">
        <v>0.44792179999999998</v>
      </c>
      <c r="V6223">
        <v>0.1397167</v>
      </c>
      <c r="W6223">
        <v>0.39035890000000001</v>
      </c>
      <c r="X6223">
        <v>0.90999949999999996</v>
      </c>
      <c r="Y6223">
        <v>0.27231549999999999</v>
      </c>
      <c r="Z6223">
        <v>-7.7006640000000001E-2</v>
      </c>
      <c r="AA6223">
        <v>0.95912160000000002</v>
      </c>
      <c r="AB6223">
        <v>25</v>
      </c>
      <c r="AC6223">
        <v>6.8062999999999896</v>
      </c>
      <c r="AD6223">
        <v>-1.0998539076639999</v>
      </c>
      <c r="AE6223">
        <v>0.81489999999999396</v>
      </c>
      <c r="AF6223">
        <v>1.9223223687965001</v>
      </c>
      <c r="AG6223">
        <v>-1.0998539076639999</v>
      </c>
      <c r="AH6223">
        <v>6.4004232985306704</v>
      </c>
      <c r="AI6223">
        <v>99.345850921204402</v>
      </c>
      <c r="AJ6223">
        <v>73.2827274161411</v>
      </c>
      <c r="AK6223">
        <v>6.7727705046128204</v>
      </c>
      <c r="AL6223">
        <v>67.023165944902701</v>
      </c>
      <c r="AM6223">
        <v>81.271258654704496</v>
      </c>
      <c r="AN6223">
        <v>0.999999958534174</v>
      </c>
    </row>
    <row r="6224" spans="1:40" x14ac:dyDescent="0.25">
      <c r="A6224" t="str">
        <f>"20190304164810402"</f>
        <v>20190304164810402</v>
      </c>
      <c r="B6224" t="str">
        <f>"1551689290395310"</f>
        <v>1551689290395310</v>
      </c>
      <c r="C6224" t="s">
        <v>40</v>
      </c>
      <c r="D6224">
        <v>5.3438720000000002</v>
      </c>
      <c r="E6224">
        <v>0.56880900000000001</v>
      </c>
      <c r="F6224" t="s">
        <v>41</v>
      </c>
      <c r="G6224">
        <v>-172.0976</v>
      </c>
      <c r="H6224">
        <v>0.93657179999999995</v>
      </c>
      <c r="I6224">
        <v>138.2449</v>
      </c>
      <c r="J6224">
        <v>-172.73240000000001</v>
      </c>
      <c r="K6224">
        <v>1.0998889999999999</v>
      </c>
      <c r="L6224">
        <v>138.21350000000001</v>
      </c>
      <c r="M6224">
        <v>0.92332270000000005</v>
      </c>
      <c r="N6224">
        <v>-1.4819280000000001E-2</v>
      </c>
      <c r="O6224">
        <v>0.383739</v>
      </c>
      <c r="P6224">
        <v>0.89573719999999901</v>
      </c>
      <c r="Q6224">
        <v>0.37753170000000003</v>
      </c>
      <c r="R6224">
        <v>0.23478660000000001</v>
      </c>
      <c r="S6224">
        <v>3.510345</v>
      </c>
      <c r="T6224">
        <v>-0.64672030000000003</v>
      </c>
      <c r="U6224">
        <v>0.47732540000000001</v>
      </c>
      <c r="V6224">
        <v>0.13755200000000001</v>
      </c>
      <c r="W6224">
        <v>0.38748450000000001</v>
      </c>
      <c r="X6224">
        <v>0.91155649999999999</v>
      </c>
      <c r="Y6224">
        <v>0.2464875</v>
      </c>
      <c r="Z6224">
        <v>-8.6450289999999999E-2</v>
      </c>
      <c r="AA6224">
        <v>0.96528250000000004</v>
      </c>
      <c r="AB6224">
        <v>25</v>
      </c>
      <c r="AC6224">
        <v>0.63480000000001202</v>
      </c>
      <c r="AD6224">
        <v>-0.163317199999999</v>
      </c>
      <c r="AE6224">
        <v>3.1399999999990699E-2</v>
      </c>
      <c r="AF6224">
        <v>0.20133498504948599</v>
      </c>
      <c r="AG6224">
        <v>-0.163317199999999</v>
      </c>
      <c r="AH6224">
        <v>0.56118628009058502</v>
      </c>
      <c r="AI6224">
        <v>105.319017858911</v>
      </c>
      <c r="AJ6224">
        <v>70.263700698643206</v>
      </c>
      <c r="AK6224">
        <v>0.61817337776923498</v>
      </c>
      <c r="AL6224">
        <v>67.201932595650305</v>
      </c>
      <c r="AM6224">
        <v>81.418924848982101</v>
      </c>
      <c r="AN6224">
        <v>1.0000000215682401</v>
      </c>
    </row>
    <row r="6225" spans="1:40" x14ac:dyDescent="0.25">
      <c r="A6225" t="str">
        <f>"20190304164810424"</f>
        <v>20190304164810424</v>
      </c>
      <c r="B6225" t="str">
        <f>"1551689290415806"</f>
        <v>1551689290415806</v>
      </c>
      <c r="C6225" t="s">
        <v>40</v>
      </c>
      <c r="D6225">
        <v>4.5911580000000001</v>
      </c>
      <c r="E6225">
        <v>0.56804900000000003</v>
      </c>
      <c r="F6225" t="s">
        <v>41</v>
      </c>
      <c r="G6225">
        <v>-171.88390000000001</v>
      </c>
      <c r="H6225">
        <v>0.93596970000000002</v>
      </c>
      <c r="I6225">
        <v>138.31950000000001</v>
      </c>
      <c r="J6225">
        <v>-172.49180000000001</v>
      </c>
      <c r="K6225">
        <v>1.0999369999999999</v>
      </c>
      <c r="L6225">
        <v>138.2945</v>
      </c>
      <c r="M6225">
        <v>0.92940710000000004</v>
      </c>
      <c r="N6225">
        <v>-1.4773720000000001E-2</v>
      </c>
      <c r="O6225">
        <v>0.36876039999999999</v>
      </c>
      <c r="P6225">
        <v>0.89973099999999995</v>
      </c>
      <c r="Q6225">
        <v>0.3751698</v>
      </c>
      <c r="R6225">
        <v>0.22300629999999999</v>
      </c>
      <c r="S6225">
        <v>3.5203250000000001</v>
      </c>
      <c r="T6225">
        <v>-0.67964969999999902</v>
      </c>
      <c r="U6225">
        <v>0.43998720000000002</v>
      </c>
      <c r="V6225">
        <v>0.1350094</v>
      </c>
      <c r="W6225">
        <v>0.385187</v>
      </c>
      <c r="X6225">
        <v>0.91290930000000003</v>
      </c>
      <c r="Y6225">
        <v>0.24062</v>
      </c>
      <c r="Z6225">
        <v>-8.7806170000000003E-2</v>
      </c>
      <c r="AA6225">
        <v>0.96663960000000004</v>
      </c>
      <c r="AB6225">
        <v>25</v>
      </c>
      <c r="AC6225">
        <v>0.6079</v>
      </c>
      <c r="AD6225">
        <v>-0.16396730000000001</v>
      </c>
      <c r="AE6225">
        <v>2.5000000000005601E-2</v>
      </c>
      <c r="AF6225">
        <v>0.18734902792827901</v>
      </c>
      <c r="AG6225">
        <v>-0.16396730000000001</v>
      </c>
      <c r="AH6225">
        <v>0.53538332991670901</v>
      </c>
      <c r="AI6225">
        <v>106.123174511</v>
      </c>
      <c r="AJ6225">
        <v>70.713303834057896</v>
      </c>
      <c r="AK6225">
        <v>0.59044071987598001</v>
      </c>
      <c r="AL6225">
        <v>67.344649498705493</v>
      </c>
      <c r="AM6225">
        <v>81.587551119979807</v>
      </c>
      <c r="AN6225">
        <v>0.99999997654192396</v>
      </c>
    </row>
    <row r="6226" spans="1:40" x14ac:dyDescent="0.25">
      <c r="A6226" t="str">
        <f>"20190304164810446"</f>
        <v>20190304164810446</v>
      </c>
      <c r="B6226" t="str">
        <f>"1551689290435327"</f>
        <v>1551689290435327</v>
      </c>
      <c r="C6226" t="s">
        <v>40</v>
      </c>
      <c r="D6226">
        <v>5.3505370000000001</v>
      </c>
      <c r="E6226">
        <v>0.56744629999999996</v>
      </c>
      <c r="F6226" t="s">
        <v>41</v>
      </c>
      <c r="G6226">
        <v>-171.66669999999999</v>
      </c>
      <c r="H6226">
        <v>0.93681210000000004</v>
      </c>
      <c r="I6226">
        <v>138.38730000000001</v>
      </c>
      <c r="J6226">
        <v>-172.25200000000001</v>
      </c>
      <c r="K6226">
        <v>1.09998</v>
      </c>
      <c r="L6226">
        <v>138.37100000000001</v>
      </c>
      <c r="M6226">
        <v>0.9351739</v>
      </c>
      <c r="N6226">
        <v>-1.471397E-2</v>
      </c>
      <c r="O6226">
        <v>0.35388309999999901</v>
      </c>
      <c r="P6226">
        <v>0.90290700000000002</v>
      </c>
      <c r="Q6226">
        <v>0.37462909999999999</v>
      </c>
      <c r="R6226">
        <v>0.2107416</v>
      </c>
      <c r="S6226">
        <v>3.5264890000000002</v>
      </c>
      <c r="T6226">
        <v>-0.69666759999999905</v>
      </c>
      <c r="U6226">
        <v>0.3968506</v>
      </c>
      <c r="V6226">
        <v>0.13285640000000001</v>
      </c>
      <c r="W6226">
        <v>0.3846755</v>
      </c>
      <c r="X6226">
        <v>0.91344069999999999</v>
      </c>
      <c r="Y6226">
        <v>0.23680799999999999</v>
      </c>
      <c r="Z6226">
        <v>-8.7133749999999996E-2</v>
      </c>
      <c r="AA6226">
        <v>0.96764130000000004</v>
      </c>
      <c r="AB6226">
        <v>25</v>
      </c>
      <c r="AC6226">
        <v>0.58530000000001703</v>
      </c>
      <c r="AD6226">
        <v>-0.1631679</v>
      </c>
      <c r="AE6226">
        <v>1.6300000000001001E-2</v>
      </c>
      <c r="AF6226">
        <v>0.178076491437757</v>
      </c>
      <c r="AG6226">
        <v>-0.1631679</v>
      </c>
      <c r="AH6226">
        <v>0.51332281194301699</v>
      </c>
      <c r="AI6226">
        <v>106.715474757569</v>
      </c>
      <c r="AJ6226">
        <v>70.867860797083097</v>
      </c>
      <c r="AK6226">
        <v>0.56730530550513802</v>
      </c>
      <c r="AL6226">
        <v>67.376403324025304</v>
      </c>
      <c r="AM6226">
        <v>81.724580262663295</v>
      </c>
      <c r="AN6226">
        <v>0.99999998786884903</v>
      </c>
    </row>
    <row r="6227" spans="1:40" x14ac:dyDescent="0.25">
      <c r="A6227" t="str">
        <f>"20190304164810468"</f>
        <v>20190304164810468</v>
      </c>
      <c r="B6227" t="str">
        <f>"1551689290465582"</f>
        <v>1551689290465582</v>
      </c>
      <c r="C6227" t="s">
        <v>40</v>
      </c>
      <c r="D6227">
        <v>5.262886</v>
      </c>
      <c r="E6227">
        <v>0.57528089999999998</v>
      </c>
      <c r="F6227" t="s">
        <v>41</v>
      </c>
      <c r="G6227">
        <v>-171.4478</v>
      </c>
      <c r="H6227">
        <v>0.93899889999999997</v>
      </c>
      <c r="I6227">
        <v>138.4521</v>
      </c>
      <c r="J6227">
        <v>-172.0061</v>
      </c>
      <c r="K6227">
        <v>1.1000350000000001</v>
      </c>
      <c r="L6227">
        <v>138.4453</v>
      </c>
      <c r="M6227">
        <v>0.94078170000000005</v>
      </c>
      <c r="N6227">
        <v>-1.463193E-2</v>
      </c>
      <c r="O6227">
        <v>0.33869700000000003</v>
      </c>
      <c r="P6227">
        <v>0.90564990000000001</v>
      </c>
      <c r="Q6227">
        <v>0.37481900000000001</v>
      </c>
      <c r="R6227">
        <v>0.1982651</v>
      </c>
      <c r="S6227">
        <v>3.532562</v>
      </c>
      <c r="T6227">
        <v>-0.7065825</v>
      </c>
      <c r="U6227">
        <v>0.35646060000000002</v>
      </c>
      <c r="V6227">
        <v>0.1305711</v>
      </c>
      <c r="W6227">
        <v>0.38487450000000001</v>
      </c>
      <c r="X6227">
        <v>0.91368640000000001</v>
      </c>
      <c r="Y6227">
        <v>0.23226540000000001</v>
      </c>
      <c r="Z6227">
        <v>-8.5279430000000003E-2</v>
      </c>
      <c r="AA6227">
        <v>0.96890670000000001</v>
      </c>
      <c r="AB6227">
        <v>25</v>
      </c>
      <c r="AC6227">
        <v>0.55830000000000202</v>
      </c>
      <c r="AD6227">
        <v>-0.16103609999999999</v>
      </c>
      <c r="AE6227">
        <v>6.7999999999983603E-3</v>
      </c>
      <c r="AF6227">
        <v>0.16868468987760399</v>
      </c>
      <c r="AG6227">
        <v>-0.16103609999999999</v>
      </c>
      <c r="AH6227">
        <v>0.48708012703936698</v>
      </c>
      <c r="AI6227">
        <v>107.34937372627</v>
      </c>
      <c r="AJ6227">
        <v>70.898101666219901</v>
      </c>
      <c r="AK6227">
        <v>0.54003166597802299</v>
      </c>
      <c r="AL6227">
        <v>67.364051072054707</v>
      </c>
      <c r="AM6227">
        <v>81.867164708541196</v>
      </c>
      <c r="AN6227">
        <v>1.0000000152252</v>
      </c>
    </row>
    <row r="6228" spans="1:40" x14ac:dyDescent="0.25">
      <c r="A6228" t="str">
        <f>"20190304164810490"</f>
        <v>20190304164810490</v>
      </c>
      <c r="B6228" t="str">
        <f>"1551689290486078"</f>
        <v>1551689290486078</v>
      </c>
      <c r="C6228" t="s">
        <v>40</v>
      </c>
      <c r="D6228">
        <v>5.3092990000000002</v>
      </c>
      <c r="E6228">
        <v>0.57466280000000003</v>
      </c>
      <c r="F6228" t="s">
        <v>41</v>
      </c>
      <c r="G6228">
        <v>-171.2132</v>
      </c>
      <c r="H6228">
        <v>0.95873180000000002</v>
      </c>
      <c r="I6228">
        <v>138.49860000000001</v>
      </c>
      <c r="J6228">
        <v>-171.75599999999901</v>
      </c>
      <c r="K6228">
        <v>1.100093</v>
      </c>
      <c r="L6228">
        <v>138.51660000000001</v>
      </c>
      <c r="M6228">
        <v>0.946183</v>
      </c>
      <c r="N6228">
        <v>-1.452824E-2</v>
      </c>
      <c r="O6228">
        <v>0.32330569999999997</v>
      </c>
      <c r="P6228">
        <v>0.90786180000000005</v>
      </c>
      <c r="Q6228">
        <v>0.37574039999999997</v>
      </c>
      <c r="R6228">
        <v>0.18602759999999999</v>
      </c>
      <c r="S6228">
        <v>3.5204469999999999</v>
      </c>
      <c r="T6228">
        <v>-0.62745859999999998</v>
      </c>
      <c r="U6228">
        <v>0.23655699999999999</v>
      </c>
      <c r="V6228">
        <v>0.1278175</v>
      </c>
      <c r="W6228">
        <v>0.3857932</v>
      </c>
      <c r="X6228">
        <v>0.91368830000000001</v>
      </c>
      <c r="Y6228">
        <v>0.25082680000000002</v>
      </c>
      <c r="Z6228">
        <v>-7.542095E-2</v>
      </c>
      <c r="AA6228">
        <v>0.96508939999999999</v>
      </c>
      <c r="AB6228">
        <v>25</v>
      </c>
      <c r="AC6228">
        <v>0.54279999999997097</v>
      </c>
      <c r="AD6228">
        <v>-0.14136119999999899</v>
      </c>
      <c r="AE6228">
        <v>-1.8000000000000599E-2</v>
      </c>
      <c r="AF6228">
        <v>0.18032509646901501</v>
      </c>
      <c r="AG6228">
        <v>-0.14136119999999899</v>
      </c>
      <c r="AH6228">
        <v>0.47560073183906398</v>
      </c>
      <c r="AI6228">
        <v>105.531714231691</v>
      </c>
      <c r="AJ6228">
        <v>69.235663630237198</v>
      </c>
      <c r="AK6228">
        <v>0.52791683569275705</v>
      </c>
      <c r="AL6228">
        <v>67.307008275080605</v>
      </c>
      <c r="AM6228">
        <v>82.036469983758806</v>
      </c>
      <c r="AN6228">
        <v>1.00000000801469</v>
      </c>
    </row>
    <row r="6229" spans="1:40" x14ac:dyDescent="0.25">
      <c r="A6229" t="str">
        <f>"20190304164810513"</f>
        <v>20190304164810513</v>
      </c>
      <c r="B6229" t="str">
        <f>"1551689290505601"</f>
        <v>1551689290505601</v>
      </c>
      <c r="C6229" t="s">
        <v>40</v>
      </c>
      <c r="D6229">
        <v>5.2996470000000002</v>
      </c>
      <c r="E6229">
        <v>0.57423659999999999</v>
      </c>
      <c r="F6229" t="s">
        <v>41</v>
      </c>
      <c r="G6229">
        <v>-170.99199999999999</v>
      </c>
      <c r="H6229">
        <v>0.96343769999999995</v>
      </c>
      <c r="I6229">
        <v>138.55879999999999</v>
      </c>
      <c r="J6229">
        <v>-171.50739999999999</v>
      </c>
      <c r="K6229">
        <v>1.1001399999999999</v>
      </c>
      <c r="L6229">
        <v>138.58320000000001</v>
      </c>
      <c r="M6229">
        <v>0.9512545</v>
      </c>
      <c r="N6229">
        <v>-1.441227E-2</v>
      </c>
      <c r="O6229">
        <v>0.30806999999999901</v>
      </c>
      <c r="P6229">
        <v>0.90984259999999995</v>
      </c>
      <c r="Q6229">
        <v>0.37733519999999998</v>
      </c>
      <c r="R6229">
        <v>0.17263919999999999</v>
      </c>
      <c r="S6229">
        <v>3.5254669999999999</v>
      </c>
      <c r="T6229">
        <v>-0.630384099999999</v>
      </c>
      <c r="U6229">
        <v>0.19480900000000001</v>
      </c>
      <c r="V6229">
        <v>0.12637419999999999</v>
      </c>
      <c r="W6229">
        <v>0.38733030000000002</v>
      </c>
      <c r="X6229">
        <v>0.91323860000000001</v>
      </c>
      <c r="Y6229">
        <v>0.24696709999999999</v>
      </c>
      <c r="Z6229">
        <v>-7.3027770000000006E-2</v>
      </c>
      <c r="AA6229">
        <v>0.96626820000000002</v>
      </c>
      <c r="AB6229">
        <v>25</v>
      </c>
      <c r="AC6229">
        <v>0.51539999999997099</v>
      </c>
      <c r="AD6229">
        <v>-0.136702299999999</v>
      </c>
      <c r="AE6229">
        <v>-2.4400000000014101E-2</v>
      </c>
      <c r="AF6229">
        <v>0.17007108511055899</v>
      </c>
      <c r="AG6229">
        <v>-0.136702299999999</v>
      </c>
      <c r="AH6229">
        <v>0.45114297523562502</v>
      </c>
      <c r="AI6229">
        <v>105.829906188259</v>
      </c>
      <c r="AJ6229">
        <v>69.344648645230507</v>
      </c>
      <c r="AK6229">
        <v>0.50114037646194998</v>
      </c>
      <c r="AL6229">
        <v>67.211514746439093</v>
      </c>
      <c r="AM6229">
        <v>82.121429732180999</v>
      </c>
      <c r="AN6229">
        <v>0.99999997012684405</v>
      </c>
    </row>
    <row r="6230" spans="1:40" x14ac:dyDescent="0.25">
      <c r="A6230" t="str">
        <f>"20190304164810535"</f>
        <v>20190304164810535</v>
      </c>
      <c r="B6230" t="str">
        <f>"1551689290526094"</f>
        <v>1551689290526094</v>
      </c>
      <c r="C6230" t="s">
        <v>40</v>
      </c>
      <c r="D6230">
        <v>5.1116219999999997</v>
      </c>
      <c r="E6230">
        <v>0.57258310000000001</v>
      </c>
      <c r="F6230" t="s">
        <v>41</v>
      </c>
      <c r="G6230">
        <v>-170.7688</v>
      </c>
      <c r="H6230">
        <v>0.96912719999999997</v>
      </c>
      <c r="I6230">
        <v>138.6146</v>
      </c>
      <c r="J6230">
        <v>-171.2603</v>
      </c>
      <c r="K6230">
        <v>1.100176</v>
      </c>
      <c r="L6230">
        <v>138.64519999999999</v>
      </c>
      <c r="M6230">
        <v>0.95601210000000003</v>
      </c>
      <c r="N6230">
        <v>-1.4291420000000001E-2</v>
      </c>
      <c r="O6230">
        <v>0.29297889999999999</v>
      </c>
      <c r="P6230">
        <v>0.91154400000000002</v>
      </c>
      <c r="Q6230">
        <v>0.37847140000000001</v>
      </c>
      <c r="R6230">
        <v>0.1607701</v>
      </c>
      <c r="S6230">
        <v>3.5284270000000002</v>
      </c>
      <c r="T6230">
        <v>-0.62591549999999996</v>
      </c>
      <c r="U6230">
        <v>0.14984129999999901</v>
      </c>
      <c r="V6230">
        <v>0.1236497</v>
      </c>
      <c r="W6230">
        <v>0.38844000000000001</v>
      </c>
      <c r="X6230">
        <v>0.91314019999999996</v>
      </c>
      <c r="Y6230">
        <v>0.244335</v>
      </c>
      <c r="Z6230">
        <v>-6.9931789999999994E-2</v>
      </c>
      <c r="AA6230">
        <v>0.96716590000000002</v>
      </c>
      <c r="AB6230">
        <v>25</v>
      </c>
      <c r="AC6230">
        <v>0.49150000000000199</v>
      </c>
      <c r="AD6230">
        <v>-0.13104879999999999</v>
      </c>
      <c r="AE6230">
        <v>-3.0599999999992598E-2</v>
      </c>
      <c r="AF6230">
        <v>0.16181173511497299</v>
      </c>
      <c r="AG6230">
        <v>-0.13104879999999999</v>
      </c>
      <c r="AH6230">
        <v>0.43047669872939498</v>
      </c>
      <c r="AI6230">
        <v>105.905464088195</v>
      </c>
      <c r="AJ6230">
        <v>69.399279090982802</v>
      </c>
      <c r="AK6230">
        <v>0.47819139865886001</v>
      </c>
      <c r="AL6230">
        <v>67.142532458012795</v>
      </c>
      <c r="AM6230">
        <v>82.288397311011195</v>
      </c>
      <c r="AN6230">
        <v>0.99999995338306302</v>
      </c>
    </row>
    <row r="6231" spans="1:40" x14ac:dyDescent="0.25">
      <c r="A6231" t="str">
        <f>"20190304164810558"</f>
        <v>20190304164810558</v>
      </c>
      <c r="B6231" t="str">
        <f>"1551689290545614"</f>
        <v>1551689290545614</v>
      </c>
      <c r="C6231" t="s">
        <v>40</v>
      </c>
      <c r="D6231">
        <v>4.9508080000000003</v>
      </c>
      <c r="E6231">
        <v>0.57134719999999894</v>
      </c>
      <c r="F6231" t="s">
        <v>41</v>
      </c>
      <c r="G6231">
        <v>-170.32640000000001</v>
      </c>
      <c r="H6231">
        <v>0.93837740000000003</v>
      </c>
      <c r="I6231">
        <v>138.67609999999999</v>
      </c>
      <c r="J6231">
        <v>-171.00810000000001</v>
      </c>
      <c r="K6231">
        <v>1.100209</v>
      </c>
      <c r="L6231">
        <v>138.70410000000001</v>
      </c>
      <c r="M6231">
        <v>0.96059070000000002</v>
      </c>
      <c r="N6231">
        <v>-1.416622E-2</v>
      </c>
      <c r="O6231">
        <v>0.2776053</v>
      </c>
      <c r="P6231">
        <v>0.9130701</v>
      </c>
      <c r="Q6231">
        <v>0.37904009999999999</v>
      </c>
      <c r="R6231">
        <v>0.1504384</v>
      </c>
      <c r="S6231">
        <v>3.523895</v>
      </c>
      <c r="T6231">
        <v>-0.61027909999999996</v>
      </c>
      <c r="U6231">
        <v>0.11692809999999999</v>
      </c>
      <c r="V6231">
        <v>0.1192236</v>
      </c>
      <c r="W6231">
        <v>0.38902520000000002</v>
      </c>
      <c r="X6231">
        <v>0.91347970000000001</v>
      </c>
      <c r="Y6231">
        <v>0.23840829999999999</v>
      </c>
      <c r="Z6231">
        <v>-6.5412369999999997E-2</v>
      </c>
      <c r="AA6231">
        <v>0.96895960000000003</v>
      </c>
      <c r="AB6231">
        <v>25</v>
      </c>
      <c r="AC6231">
        <v>0.68170000000000597</v>
      </c>
      <c r="AD6231">
        <v>-0.16183159999999999</v>
      </c>
      <c r="AE6231">
        <v>-2.8000000000019998E-2</v>
      </c>
      <c r="AF6231">
        <v>0.2046480576369</v>
      </c>
      <c r="AG6231">
        <v>-0.16183159999999999</v>
      </c>
      <c r="AH6231">
        <v>0.61265791661371505</v>
      </c>
      <c r="AI6231">
        <v>104.065303662266</v>
      </c>
      <c r="AJ6231">
        <v>71.528971542963305</v>
      </c>
      <c r="AK6231">
        <v>0.66589790286692896</v>
      </c>
      <c r="AL6231">
        <v>67.106142337929001</v>
      </c>
      <c r="AM6231">
        <v>82.564023694306997</v>
      </c>
      <c r="AN6231">
        <v>1.0000000176720401</v>
      </c>
    </row>
    <row r="6232" spans="1:40" x14ac:dyDescent="0.25">
      <c r="A6232" t="str">
        <f>"20190304164810580"</f>
        <v>20190304164810580</v>
      </c>
      <c r="B6232" t="str">
        <f>"1551689290575873"</f>
        <v>1551689290575873</v>
      </c>
      <c r="C6232" t="s">
        <v>40</v>
      </c>
      <c r="D6232">
        <v>5.0055199999999997</v>
      </c>
      <c r="E6232">
        <v>0.56953240000000005</v>
      </c>
      <c r="F6232" t="s">
        <v>41</v>
      </c>
      <c r="G6232">
        <v>-170.101</v>
      </c>
      <c r="H6232">
        <v>0.94627470000000002</v>
      </c>
      <c r="I6232">
        <v>138.7252</v>
      </c>
      <c r="J6232">
        <v>-170.75299999999999</v>
      </c>
      <c r="K6232">
        <v>1.1002179999999999</v>
      </c>
      <c r="L6232">
        <v>138.7595</v>
      </c>
      <c r="M6232">
        <v>0.96494060000000004</v>
      </c>
      <c r="N6232">
        <v>-1.404443E-2</v>
      </c>
      <c r="O6232">
        <v>0.26209270000000001</v>
      </c>
      <c r="P6232">
        <v>0.91447940000000005</v>
      </c>
      <c r="Q6232">
        <v>0.37949470000000002</v>
      </c>
      <c r="R6232">
        <v>0.14039779999999999</v>
      </c>
      <c r="S6232">
        <v>3.5199889999999998</v>
      </c>
      <c r="T6232">
        <v>-0.59705850000000005</v>
      </c>
      <c r="U6232">
        <v>8.1954959999999993E-2</v>
      </c>
      <c r="V6232">
        <v>0.11444509999999999</v>
      </c>
      <c r="W6232">
        <v>0.38950699999999999</v>
      </c>
      <c r="X6232">
        <v>0.91388550000000002</v>
      </c>
      <c r="Y6232">
        <v>0.2329157</v>
      </c>
      <c r="Z6232">
        <v>-6.1273309999999997E-2</v>
      </c>
      <c r="AA6232">
        <v>0.97056469999999995</v>
      </c>
      <c r="AB6232">
        <v>25</v>
      </c>
      <c r="AC6232">
        <v>0.65199999999998604</v>
      </c>
      <c r="AD6232">
        <v>-0.15394330000000001</v>
      </c>
      <c r="AE6232">
        <v>-3.4300000000001697E-2</v>
      </c>
      <c r="AF6232">
        <v>0.193258059623754</v>
      </c>
      <c r="AG6232">
        <v>-0.15394330000000001</v>
      </c>
      <c r="AH6232">
        <v>0.58754856282132795</v>
      </c>
      <c r="AI6232">
        <v>103.976445895856</v>
      </c>
      <c r="AJ6232">
        <v>71.792790933310002</v>
      </c>
      <c r="AK6232">
        <v>0.63738570026149499</v>
      </c>
      <c r="AL6232">
        <v>67.076174120610503</v>
      </c>
      <c r="AM6232">
        <v>82.862056946953999</v>
      </c>
      <c r="AN6232">
        <v>1.00000004553662</v>
      </c>
    </row>
    <row r="6233" spans="1:40" x14ac:dyDescent="0.25">
      <c r="A6233" t="str">
        <f>"20190304164810604"</f>
        <v>20190304164810604</v>
      </c>
      <c r="B6233" t="str">
        <f>"1551689290595390"</f>
        <v>1551689290595390</v>
      </c>
      <c r="C6233" t="s">
        <v>40</v>
      </c>
      <c r="D6233">
        <v>5.0562709999999997</v>
      </c>
      <c r="E6233">
        <v>0.56844749999999999</v>
      </c>
      <c r="F6233" t="s">
        <v>41</v>
      </c>
      <c r="G6233">
        <v>-169.87530000000001</v>
      </c>
      <c r="H6233">
        <v>0.95393039999999996</v>
      </c>
      <c r="I6233">
        <v>138.77269999999999</v>
      </c>
      <c r="J6233">
        <v>-170.4907</v>
      </c>
      <c r="K6233">
        <v>1.1002400000000001</v>
      </c>
      <c r="L6233">
        <v>138.81209999999999</v>
      </c>
      <c r="M6233">
        <v>0.96912860000000001</v>
      </c>
      <c r="N6233">
        <v>-1.3928650000000001E-2</v>
      </c>
      <c r="O6233">
        <v>0.24616209999999999</v>
      </c>
      <c r="P6233">
        <v>0.91587529999999995</v>
      </c>
      <c r="Q6233">
        <v>0.37975340000000002</v>
      </c>
      <c r="R6233">
        <v>0.1302296</v>
      </c>
      <c r="S6233">
        <v>3.5155639999999999</v>
      </c>
      <c r="T6233">
        <v>-0.58591689999999996</v>
      </c>
      <c r="U6233">
        <v>5.3054810000000001E-2</v>
      </c>
      <c r="V6233">
        <v>0.1094692</v>
      </c>
      <c r="W6233">
        <v>0.3898025</v>
      </c>
      <c r="X6233">
        <v>0.91436890000000004</v>
      </c>
      <c r="Y6233">
        <v>0.22537409999999999</v>
      </c>
      <c r="Z6233">
        <v>-5.7200800000000003E-2</v>
      </c>
      <c r="AA6233">
        <v>0.97259169999999995</v>
      </c>
      <c r="AB6233">
        <v>25</v>
      </c>
      <c r="AC6233">
        <v>0.61539999999999395</v>
      </c>
      <c r="AD6233">
        <v>-0.14630959999999901</v>
      </c>
      <c r="AE6233">
        <v>-3.9400000000000497E-2</v>
      </c>
      <c r="AF6233">
        <v>0.17958107079829</v>
      </c>
      <c r="AG6233">
        <v>-0.14630959999999901</v>
      </c>
      <c r="AH6233">
        <v>0.55548970268492104</v>
      </c>
      <c r="AI6233">
        <v>104.069539419845</v>
      </c>
      <c r="AJ6233">
        <v>72.084797014744495</v>
      </c>
      <c r="AK6233">
        <v>0.60185103624584901</v>
      </c>
      <c r="AL6233">
        <v>67.057788823190407</v>
      </c>
      <c r="AM6233">
        <v>83.172983177690398</v>
      </c>
      <c r="AN6233">
        <v>0.99999999002105</v>
      </c>
    </row>
    <row r="6234" spans="1:40" x14ac:dyDescent="0.25">
      <c r="A6234" t="str">
        <f>"20190304164810624"</f>
        <v>20190304164810624</v>
      </c>
      <c r="B6234" t="str">
        <f>"1551689290615886"</f>
        <v>1551689290615886</v>
      </c>
      <c r="C6234" t="s">
        <v>40</v>
      </c>
      <c r="D6234">
        <v>5.0907229999999997</v>
      </c>
      <c r="E6234">
        <v>0.56757519999999995</v>
      </c>
      <c r="F6234" t="s">
        <v>41</v>
      </c>
      <c r="G6234">
        <v>-169.64869999999999</v>
      </c>
      <c r="H6234">
        <v>0.96102489999999996</v>
      </c>
      <c r="I6234">
        <v>138.81659999999999</v>
      </c>
      <c r="J6234">
        <v>-170.25120000000001</v>
      </c>
      <c r="K6234">
        <v>1.1002639999999999</v>
      </c>
      <c r="L6234">
        <v>138.8563</v>
      </c>
      <c r="M6234">
        <v>0.97270109999999999</v>
      </c>
      <c r="N6234">
        <v>-1.382946E-2</v>
      </c>
      <c r="O6234">
        <v>0.23164899999999999</v>
      </c>
      <c r="P6234">
        <v>0.91664230000000002</v>
      </c>
      <c r="Q6234">
        <v>0.38075619999999999</v>
      </c>
      <c r="R6234">
        <v>0.1216204</v>
      </c>
      <c r="S6234">
        <v>3.5137330000000002</v>
      </c>
      <c r="T6234">
        <v>-0.58089279999999999</v>
      </c>
      <c r="U6234">
        <v>1.8966670000000001E-2</v>
      </c>
      <c r="V6234">
        <v>0.1042691</v>
      </c>
      <c r="W6234">
        <v>0.3908567</v>
      </c>
      <c r="X6234">
        <v>0.91452659999999997</v>
      </c>
      <c r="Y6234">
        <v>0.2205781</v>
      </c>
      <c r="Z6234">
        <v>-5.4208069999999997E-2</v>
      </c>
      <c r="AA6234">
        <v>0.9738618</v>
      </c>
      <c r="AB6234">
        <v>25</v>
      </c>
      <c r="AC6234">
        <v>0.60250000000002002</v>
      </c>
      <c r="AD6234">
        <v>-0.13923909999999901</v>
      </c>
      <c r="AE6234">
        <v>-3.9700000000010498E-2</v>
      </c>
      <c r="AF6234">
        <v>0.16920398162109701</v>
      </c>
      <c r="AG6234">
        <v>-0.13923909999999901</v>
      </c>
      <c r="AH6234">
        <v>0.54778155678605001</v>
      </c>
      <c r="AI6234">
        <v>103.65084354304101</v>
      </c>
      <c r="AJ6234">
        <v>72.834629531750295</v>
      </c>
      <c r="AK6234">
        <v>0.58998487126382404</v>
      </c>
      <c r="AL6234">
        <v>66.992182589341397</v>
      </c>
      <c r="AM6234">
        <v>83.495549742608901</v>
      </c>
      <c r="AN6234">
        <v>0.99999995362862804</v>
      </c>
    </row>
    <row r="6235" spans="1:40" x14ac:dyDescent="0.25">
      <c r="A6235" t="str">
        <f>"20190304164810647"</f>
        <v>20190304164810647</v>
      </c>
      <c r="B6235" t="str">
        <f>"1551689290635407"</f>
        <v>1551689290635407</v>
      </c>
      <c r="C6235" t="s">
        <v>40</v>
      </c>
      <c r="D6235">
        <v>5.069331</v>
      </c>
      <c r="E6235">
        <v>0.56677100000000002</v>
      </c>
      <c r="F6235" t="s">
        <v>41</v>
      </c>
      <c r="G6235">
        <v>-169.42179999999999</v>
      </c>
      <c r="H6235">
        <v>0.96504690000000004</v>
      </c>
      <c r="I6235">
        <v>138.85390000000001</v>
      </c>
      <c r="J6235">
        <v>-169.9958</v>
      </c>
      <c r="K6235">
        <v>1.1002940000000001</v>
      </c>
      <c r="L6235">
        <v>138.89949999999999</v>
      </c>
      <c r="M6235">
        <v>0.97625119999999999</v>
      </c>
      <c r="N6235">
        <v>-1.3726530000000001E-2</v>
      </c>
      <c r="O6235">
        <v>0.21620629999999999</v>
      </c>
      <c r="P6235">
        <v>0.91756110000000002</v>
      </c>
      <c r="Q6235">
        <v>0.38136959999999998</v>
      </c>
      <c r="R6235">
        <v>0.1124237</v>
      </c>
      <c r="S6235">
        <v>3.5117799999999999</v>
      </c>
      <c r="T6235">
        <v>-0.57211769999999995</v>
      </c>
      <c r="U6235">
        <v>-1.010132E-2</v>
      </c>
      <c r="V6235">
        <v>9.8848660000000005E-2</v>
      </c>
      <c r="W6235">
        <v>0.39152670000000001</v>
      </c>
      <c r="X6235">
        <v>0.91484189999999999</v>
      </c>
      <c r="Y6235">
        <v>0.2136236</v>
      </c>
      <c r="Z6235">
        <v>-5.0580369999999999E-2</v>
      </c>
      <c r="AA6235">
        <v>0.97560570000000002</v>
      </c>
      <c r="AB6235">
        <v>25</v>
      </c>
      <c r="AC6235">
        <v>0.57400000000001195</v>
      </c>
      <c r="AD6235">
        <v>-0.13524710000000001</v>
      </c>
      <c r="AE6235">
        <v>-4.55999999999789E-2</v>
      </c>
      <c r="AF6235">
        <v>0.15981825004171499</v>
      </c>
      <c r="AG6235">
        <v>-0.13524710000000001</v>
      </c>
      <c r="AH6235">
        <v>0.52177493822274701</v>
      </c>
      <c r="AI6235">
        <v>103.919730306985</v>
      </c>
      <c r="AJ6235">
        <v>72.970315465557903</v>
      </c>
      <c r="AK6235">
        <v>0.56221235957790705</v>
      </c>
      <c r="AL6235">
        <v>66.950470442468301</v>
      </c>
      <c r="AM6235">
        <v>83.833116264561099</v>
      </c>
      <c r="AN6235">
        <v>0.99999995819614695</v>
      </c>
    </row>
    <row r="6236" spans="1:40" x14ac:dyDescent="0.25">
      <c r="A6236" t="str">
        <f>"20190304164810669"</f>
        <v>20190304164810669</v>
      </c>
      <c r="B6236" t="str">
        <f>"1551689290665662"</f>
        <v>1551689290665662</v>
      </c>
      <c r="C6236" t="s">
        <v>40</v>
      </c>
      <c r="D6236">
        <v>5.0682510000000001</v>
      </c>
      <c r="E6236">
        <v>0.56585719999999995</v>
      </c>
      <c r="F6236" t="s">
        <v>41</v>
      </c>
      <c r="G6236">
        <v>-169.19370000000001</v>
      </c>
      <c r="H6236">
        <v>0.97097650000000002</v>
      </c>
      <c r="I6236">
        <v>138.88980000000001</v>
      </c>
      <c r="J6236">
        <v>-169.73910000000001</v>
      </c>
      <c r="K6236">
        <v>1.100333</v>
      </c>
      <c r="L6236">
        <v>138.93879999999999</v>
      </c>
      <c r="M6236">
        <v>0.97954889999999994</v>
      </c>
      <c r="N6236">
        <v>-1.362646E-2</v>
      </c>
      <c r="O6236">
        <v>0.2007438</v>
      </c>
      <c r="P6236">
        <v>0.91859789999999997</v>
      </c>
      <c r="Q6236">
        <v>0.38100220000000001</v>
      </c>
      <c r="R6236">
        <v>0.1049537</v>
      </c>
      <c r="S6236">
        <v>3.5097809999999998</v>
      </c>
      <c r="T6236">
        <v>-0.56562469999999998</v>
      </c>
      <c r="U6236">
        <v>-4.2098999999999998E-2</v>
      </c>
      <c r="V6236">
        <v>9.1769320000000001E-2</v>
      </c>
      <c r="W6236">
        <v>0.39127050000000002</v>
      </c>
      <c r="X6236">
        <v>0.91568870000000002</v>
      </c>
      <c r="Y6236">
        <v>0.20744799999999999</v>
      </c>
      <c r="Z6236">
        <v>-4.7284779999999998E-2</v>
      </c>
      <c r="AA6236">
        <v>0.97710260000000004</v>
      </c>
      <c r="AB6236">
        <v>25</v>
      </c>
      <c r="AC6236">
        <v>0.5454</v>
      </c>
      <c r="AD6236">
        <v>-0.12935650000000001</v>
      </c>
      <c r="AE6236">
        <v>-4.8999999999978103E-2</v>
      </c>
      <c r="AF6236">
        <v>0.14917390353526899</v>
      </c>
      <c r="AG6236">
        <v>-0.12935650000000001</v>
      </c>
      <c r="AH6236">
        <v>0.49673891948052201</v>
      </c>
      <c r="AI6236">
        <v>104.004308752952</v>
      </c>
      <c r="AJ6236">
        <v>73.284648383727301</v>
      </c>
      <c r="AK6236">
        <v>0.53454233856157396</v>
      </c>
      <c r="AL6236">
        <v>66.966423346829799</v>
      </c>
      <c r="AM6236">
        <v>84.276988908555197</v>
      </c>
      <c r="AN6236">
        <v>1.0000000037856001</v>
      </c>
    </row>
    <row r="6237" spans="1:40" x14ac:dyDescent="0.25">
      <c r="A6237" t="str">
        <f>"20190304164810692"</f>
        <v>20190304164810692</v>
      </c>
      <c r="B6237" t="str">
        <f>"1551689290686158"</f>
        <v>1551689290686158</v>
      </c>
      <c r="C6237" t="s">
        <v>40</v>
      </c>
      <c r="D6237">
        <v>5.007771</v>
      </c>
      <c r="E6237">
        <v>0.56511440000000002</v>
      </c>
      <c r="F6237" t="s">
        <v>41</v>
      </c>
      <c r="G6237">
        <v>-168.9649</v>
      </c>
      <c r="H6237">
        <v>0.97695790000000005</v>
      </c>
      <c r="I6237">
        <v>138.92310000000001</v>
      </c>
      <c r="J6237">
        <v>-169.47890000000001</v>
      </c>
      <c r="K6237">
        <v>1.1003889999999901</v>
      </c>
      <c r="L6237">
        <v>138.97470000000001</v>
      </c>
      <c r="M6237">
        <v>0.98261359999999998</v>
      </c>
      <c r="N6237">
        <v>-1.352916E-2</v>
      </c>
      <c r="O6237">
        <v>0.18516869999999999</v>
      </c>
      <c r="P6237">
        <v>0.91959579999999996</v>
      </c>
      <c r="Q6237">
        <v>0.38028479999999998</v>
      </c>
      <c r="R6237">
        <v>9.8627049999999994E-2</v>
      </c>
      <c r="S6237">
        <v>3.5057070000000001</v>
      </c>
      <c r="T6237">
        <v>-0.5586624</v>
      </c>
      <c r="U6237">
        <v>-7.1258539999999995E-2</v>
      </c>
      <c r="V6237">
        <v>8.3465600000000001E-2</v>
      </c>
      <c r="W6237">
        <v>0.39070339999999998</v>
      </c>
      <c r="X6237">
        <v>0.91672480000000001</v>
      </c>
      <c r="Y6237">
        <v>0.2004349</v>
      </c>
      <c r="Z6237">
        <v>-4.3938779999999997E-2</v>
      </c>
      <c r="AA6237">
        <v>0.97872119999999996</v>
      </c>
      <c r="AB6237">
        <v>25</v>
      </c>
      <c r="AC6237">
        <v>0.51400000000001</v>
      </c>
      <c r="AD6237">
        <v>-0.123431099999999</v>
      </c>
      <c r="AE6237">
        <v>-5.1600000000007598E-2</v>
      </c>
      <c r="AF6237">
        <v>0.13801358701904901</v>
      </c>
      <c r="AG6237">
        <v>-0.123431099999999</v>
      </c>
      <c r="AH6237">
        <v>0.468790313909562</v>
      </c>
      <c r="AI6237">
        <v>104.175207135007</v>
      </c>
      <c r="AJ6237">
        <v>73.595377905171802</v>
      </c>
      <c r="AK6237">
        <v>0.50403109533490098</v>
      </c>
      <c r="AL6237">
        <v>67.001726064304805</v>
      </c>
      <c r="AM6237">
        <v>84.797699813269205</v>
      </c>
      <c r="AN6237">
        <v>1.0000000060449801</v>
      </c>
    </row>
    <row r="6238" spans="1:40" x14ac:dyDescent="0.25">
      <c r="A6238" t="str">
        <f>"20190304164810715"</f>
        <v>20190304164810715</v>
      </c>
      <c r="B6238" t="str">
        <f>"1551689290705678"</f>
        <v>1551689290705678</v>
      </c>
      <c r="C6238" t="s">
        <v>40</v>
      </c>
      <c r="D6238">
        <v>5.2012130000000001</v>
      </c>
      <c r="E6238">
        <v>0.56438449999999996</v>
      </c>
      <c r="F6238" t="s">
        <v>41</v>
      </c>
      <c r="G6238">
        <v>-168.73599999999999</v>
      </c>
      <c r="H6238">
        <v>0.98198739999999995</v>
      </c>
      <c r="I6238">
        <v>138.95359999999999</v>
      </c>
      <c r="J6238">
        <v>-169.2287</v>
      </c>
      <c r="K6238">
        <v>1.1004689999999999</v>
      </c>
      <c r="L6238">
        <v>139.00530000000001</v>
      </c>
      <c r="M6238">
        <v>0.98529750000000005</v>
      </c>
      <c r="N6238">
        <v>-1.343369E-2</v>
      </c>
      <c r="O6238">
        <v>0.17031859999999999</v>
      </c>
      <c r="P6238">
        <v>0.91995910000000003</v>
      </c>
      <c r="Q6238">
        <v>0.3812854</v>
      </c>
      <c r="R6238">
        <v>9.1087699999999994E-2</v>
      </c>
      <c r="S6238">
        <v>3.5036930000000002</v>
      </c>
      <c r="T6238">
        <v>-0.55801440000000002</v>
      </c>
      <c r="U6238">
        <v>-9.9060060000000005E-2</v>
      </c>
      <c r="V6238">
        <v>7.6977790000000004E-2</v>
      </c>
      <c r="W6238">
        <v>0.3917987</v>
      </c>
      <c r="X6238">
        <v>0.91682509999999995</v>
      </c>
      <c r="Y6238">
        <v>0.19368089999999999</v>
      </c>
      <c r="Z6238">
        <v>-4.1219079999999998E-2</v>
      </c>
      <c r="AA6238">
        <v>0.98019829999999997</v>
      </c>
      <c r="AB6238">
        <v>25</v>
      </c>
      <c r="AC6238">
        <v>0.49270000000001302</v>
      </c>
      <c r="AD6238">
        <v>-0.11848160000000001</v>
      </c>
      <c r="AE6238">
        <v>-5.1700000000010897E-2</v>
      </c>
      <c r="AF6238">
        <v>0.12757120222558899</v>
      </c>
      <c r="AG6238">
        <v>-0.11848160000000001</v>
      </c>
      <c r="AH6238">
        <v>0.450902861747221</v>
      </c>
      <c r="AI6238">
        <v>104.18932114064501</v>
      </c>
      <c r="AJ6238">
        <v>74.202523198488706</v>
      </c>
      <c r="AK6238">
        <v>0.483348416680634</v>
      </c>
      <c r="AL6238">
        <v>66.933534642700906</v>
      </c>
      <c r="AM6238">
        <v>85.200630780673904</v>
      </c>
      <c r="AN6238">
        <v>1.0000000327324901</v>
      </c>
    </row>
    <row r="6239" spans="1:40" x14ac:dyDescent="0.25">
      <c r="A6239" t="str">
        <f>"20190304164810737"</f>
        <v>20190304164810737</v>
      </c>
      <c r="B6239" t="str">
        <f>"1551689290726175"</f>
        <v>1551689290726175</v>
      </c>
      <c r="C6239" t="s">
        <v>40</v>
      </c>
      <c r="D6239">
        <v>5.2206229999999998</v>
      </c>
      <c r="E6239">
        <v>0.56370159999999903</v>
      </c>
      <c r="F6239" t="s">
        <v>41</v>
      </c>
      <c r="G6239">
        <v>-168.28919999999999</v>
      </c>
      <c r="H6239">
        <v>0.95176919999999998</v>
      </c>
      <c r="I6239">
        <v>138.97280000000001</v>
      </c>
      <c r="J6239">
        <v>-168.96350000000001</v>
      </c>
      <c r="K6239">
        <v>1.1005940000000001</v>
      </c>
      <c r="L6239">
        <v>139.03360000000001</v>
      </c>
      <c r="M6239">
        <v>0.98785780000000001</v>
      </c>
      <c r="N6239">
        <v>-1.3327530000000001E-2</v>
      </c>
      <c r="O6239">
        <v>0.1547887</v>
      </c>
      <c r="P6239">
        <v>0.92003310000000005</v>
      </c>
      <c r="Q6239">
        <v>0.38308439999999999</v>
      </c>
      <c r="R6239">
        <v>8.2374260000000005E-2</v>
      </c>
      <c r="S6239">
        <v>3.5027159999999999</v>
      </c>
      <c r="T6239">
        <v>-0.55416330000000003</v>
      </c>
      <c r="U6239">
        <v>-0.121337899999999</v>
      </c>
      <c r="V6239">
        <v>7.0998850000000002E-2</v>
      </c>
      <c r="W6239">
        <v>0.39366810000000002</v>
      </c>
      <c r="X6239">
        <v>0.91650670000000001</v>
      </c>
      <c r="Y6239">
        <v>0.18481529999999999</v>
      </c>
      <c r="Z6239">
        <v>-3.7982290000000002E-2</v>
      </c>
      <c r="AA6239">
        <v>0.982039</v>
      </c>
      <c r="AB6239">
        <v>25</v>
      </c>
      <c r="AC6239">
        <v>0.674300000000016</v>
      </c>
      <c r="AD6239">
        <v>-0.14882480000000001</v>
      </c>
      <c r="AE6239">
        <v>-6.0800000000000402E-2</v>
      </c>
      <c r="AF6239">
        <v>0.156870374564309</v>
      </c>
      <c r="AG6239">
        <v>-0.14882480000000001</v>
      </c>
      <c r="AH6239">
        <v>0.62648768972091295</v>
      </c>
      <c r="AI6239">
        <v>102.97670217334699</v>
      </c>
      <c r="AJ6239">
        <v>75.942372808091207</v>
      </c>
      <c r="AK6239">
        <v>0.662754827129033</v>
      </c>
      <c r="AL6239">
        <v>66.817066545695894</v>
      </c>
      <c r="AM6239">
        <v>85.570325606143101</v>
      </c>
      <c r="AN6239">
        <v>0.99999997040191002</v>
      </c>
    </row>
    <row r="6240" spans="1:40" x14ac:dyDescent="0.25">
      <c r="A6240" t="str">
        <f>"20190304164810760"</f>
        <v>20190304164810760</v>
      </c>
      <c r="B6240" t="str">
        <f>"1551689290755456"</f>
        <v>1551689290755456</v>
      </c>
      <c r="C6240" t="s">
        <v>40</v>
      </c>
      <c r="D6240">
        <v>5.0337719999999999</v>
      </c>
      <c r="E6240">
        <v>0.56302289999999999</v>
      </c>
      <c r="F6240" t="s">
        <v>41</v>
      </c>
      <c r="G6240">
        <v>-168.0582</v>
      </c>
      <c r="H6240">
        <v>0.95917850000000004</v>
      </c>
      <c r="I6240">
        <v>138.9965</v>
      </c>
      <c r="J6240">
        <v>-168.7054</v>
      </c>
      <c r="K6240">
        <v>1.10073</v>
      </c>
      <c r="L6240">
        <v>139.0573</v>
      </c>
      <c r="M6240">
        <v>0.99008379999999996</v>
      </c>
      <c r="N6240">
        <v>-1.322621E-2</v>
      </c>
      <c r="O6240">
        <v>0.13985359999999999</v>
      </c>
      <c r="P6240">
        <v>0.92024329999999999</v>
      </c>
      <c r="Q6240">
        <v>0.38378990000000002</v>
      </c>
      <c r="R6240">
        <v>7.6537069999999999E-2</v>
      </c>
      <c r="S6240">
        <v>3.5012660000000002</v>
      </c>
      <c r="T6240">
        <v>-0.54685569999999994</v>
      </c>
      <c r="U6240">
        <v>-0.1431732</v>
      </c>
      <c r="V6240">
        <v>6.2768560000000001E-2</v>
      </c>
      <c r="W6240">
        <v>0.3945092</v>
      </c>
      <c r="X6240">
        <v>0.9167457</v>
      </c>
      <c r="Y6240">
        <v>0.1764715</v>
      </c>
      <c r="Z6240">
        <v>-3.4690230000000002E-2</v>
      </c>
      <c r="AA6240">
        <v>0.98369430000000002</v>
      </c>
      <c r="AB6240">
        <v>25</v>
      </c>
      <c r="AC6240">
        <v>0.647199999999997</v>
      </c>
      <c r="AD6240">
        <v>-0.1415515</v>
      </c>
      <c r="AE6240">
        <v>-6.0800000000000402E-2</v>
      </c>
      <c r="AF6240">
        <v>0.14390019173874799</v>
      </c>
      <c r="AG6240">
        <v>-0.1415515</v>
      </c>
      <c r="AH6240">
        <v>0.60370831873572095</v>
      </c>
      <c r="AI6240">
        <v>102.848253700779</v>
      </c>
      <c r="AJ6240">
        <v>76.593122325038493</v>
      </c>
      <c r="AK6240">
        <v>0.63655936600242502</v>
      </c>
      <c r="AL6240">
        <v>66.764633336766593</v>
      </c>
      <c r="AM6240">
        <v>86.083134712998998</v>
      </c>
      <c r="AN6240">
        <v>1.0000000397388</v>
      </c>
    </row>
    <row r="6241" spans="1:40" x14ac:dyDescent="0.25">
      <c r="A6241" t="str">
        <f>"20190304164810784"</f>
        <v>20190304164810784</v>
      </c>
      <c r="B6241" t="str">
        <f>"1551689290775950"</f>
        <v>1551689290775950</v>
      </c>
      <c r="C6241" t="s">
        <v>40</v>
      </c>
      <c r="D6241">
        <v>5.3003640000000001</v>
      </c>
      <c r="E6241">
        <v>0.56223559999999995</v>
      </c>
      <c r="F6241" t="s">
        <v>41</v>
      </c>
      <c r="G6241">
        <v>-167.82640000000001</v>
      </c>
      <c r="H6241">
        <v>0.96674899999999997</v>
      </c>
      <c r="I6241">
        <v>139.01660000000001</v>
      </c>
      <c r="J6241">
        <v>-168.42359999999999</v>
      </c>
      <c r="K6241">
        <v>1.100902</v>
      </c>
      <c r="L6241">
        <v>139.07910000000001</v>
      </c>
      <c r="M6241">
        <v>0.99221820000000005</v>
      </c>
      <c r="N6241">
        <v>-1.311973E-2</v>
      </c>
      <c r="O6241">
        <v>0.123818</v>
      </c>
      <c r="P6241">
        <v>0.92093860000000005</v>
      </c>
      <c r="Q6241">
        <v>0.38322260000000002</v>
      </c>
      <c r="R6241">
        <v>7.0800160000000001E-2</v>
      </c>
      <c r="S6241">
        <v>3.4954830000000001</v>
      </c>
      <c r="T6241">
        <v>-0.53233609999999998</v>
      </c>
      <c r="U6241">
        <v>-0.16181950000000001</v>
      </c>
      <c r="V6241">
        <v>5.3445319999999998E-2</v>
      </c>
      <c r="W6241">
        <v>0.39410430000000002</v>
      </c>
      <c r="X6241">
        <v>0.91751039999999995</v>
      </c>
      <c r="Y6241">
        <v>0.16631580000000001</v>
      </c>
      <c r="Z6241">
        <v>-3.0781969999999999E-2</v>
      </c>
      <c r="AA6241">
        <v>0.98559189999999997</v>
      </c>
      <c r="AB6241">
        <v>25</v>
      </c>
      <c r="AC6241">
        <v>0.59719999999998596</v>
      </c>
      <c r="AD6241">
        <v>-0.13415299999999999</v>
      </c>
      <c r="AE6241">
        <v>-6.25E-2</v>
      </c>
      <c r="AF6241">
        <v>0.12950520919025499</v>
      </c>
      <c r="AG6241">
        <v>-0.13415299999999999</v>
      </c>
      <c r="AH6241">
        <v>0.55705887973637203</v>
      </c>
      <c r="AI6241">
        <v>103.201107703118</v>
      </c>
      <c r="AJ6241">
        <v>76.912338669790699</v>
      </c>
      <c r="AK6241">
        <v>0.58743784531604204</v>
      </c>
      <c r="AL6241">
        <v>66.789875958426094</v>
      </c>
      <c r="AM6241">
        <v>86.666266825205199</v>
      </c>
      <c r="AN6241">
        <v>0.99999996780827505</v>
      </c>
    </row>
    <row r="6242" spans="1:40" x14ac:dyDescent="0.25">
      <c r="A6242" t="str">
        <f>"20190304164810809"</f>
        <v>20190304164810809</v>
      </c>
      <c r="B6242" t="str">
        <f>"1551689290806206"</f>
        <v>1551689290806206</v>
      </c>
      <c r="C6242" t="s">
        <v>40</v>
      </c>
      <c r="D6242">
        <v>5.2557260000000001</v>
      </c>
      <c r="E6242">
        <v>0.56110260000000001</v>
      </c>
      <c r="F6242" t="s">
        <v>41</v>
      </c>
      <c r="G6242">
        <v>-167.59440000000001</v>
      </c>
      <c r="H6242">
        <v>0.97427560000000002</v>
      </c>
      <c r="I6242">
        <v>139.0359</v>
      </c>
      <c r="J6242">
        <v>-168.13579999999999</v>
      </c>
      <c r="K6242">
        <v>1.101124</v>
      </c>
      <c r="L6242">
        <v>139.09719999999999</v>
      </c>
      <c r="M6242">
        <v>0.99408479999999999</v>
      </c>
      <c r="N6242">
        <v>-1.300892E-2</v>
      </c>
      <c r="O6242">
        <v>0.1078253</v>
      </c>
      <c r="P6242">
        <v>0.92158870000000004</v>
      </c>
      <c r="Q6242">
        <v>0.38306469999999998</v>
      </c>
      <c r="R6242">
        <v>6.2734479999999995E-2</v>
      </c>
      <c r="S6242">
        <v>3.4933779999999999</v>
      </c>
      <c r="T6242">
        <v>-0.53312519999999997</v>
      </c>
      <c r="U6242">
        <v>-0.181839</v>
      </c>
      <c r="V6242">
        <v>4.6452399999999998E-2</v>
      </c>
      <c r="W6242">
        <v>0.39404070000000002</v>
      </c>
      <c r="X6242">
        <v>0.91791829999999996</v>
      </c>
      <c r="Y6242">
        <v>0.15636410000000001</v>
      </c>
      <c r="Z6242">
        <v>-2.782047E-2</v>
      </c>
      <c r="AA6242">
        <v>0.98730759999999995</v>
      </c>
      <c r="AB6242">
        <v>25</v>
      </c>
      <c r="AC6242">
        <v>0.54139999999998101</v>
      </c>
      <c r="AD6242">
        <v>-0.1268484</v>
      </c>
      <c r="AE6242">
        <v>-6.1299999999988503E-2</v>
      </c>
      <c r="AF6242">
        <v>0.113189222110483</v>
      </c>
      <c r="AG6242">
        <v>-0.1268484</v>
      </c>
      <c r="AH6242">
        <v>0.50429961205422802</v>
      </c>
      <c r="AI6242">
        <v>103.789421243079</v>
      </c>
      <c r="AJ6242">
        <v>77.349703584737298</v>
      </c>
      <c r="AK6242">
        <v>0.53218456883169896</v>
      </c>
      <c r="AL6242">
        <v>66.793840422449705</v>
      </c>
      <c r="AM6242">
        <v>87.102947066659695</v>
      </c>
      <c r="AN6242">
        <v>0.99999995209856796</v>
      </c>
    </row>
    <row r="6243" spans="1:40" x14ac:dyDescent="0.25">
      <c r="A6243" t="str">
        <f>"20190304164810837"</f>
        <v>20190304164810837</v>
      </c>
      <c r="B6243" t="str">
        <f>"1551689290825727"</f>
        <v>1551689290825727</v>
      </c>
      <c r="C6243" t="s">
        <v>40</v>
      </c>
      <c r="D6243">
        <v>4.8859000000000004</v>
      </c>
      <c r="E6243">
        <v>0.56087980000000004</v>
      </c>
      <c r="F6243" t="s">
        <v>41</v>
      </c>
      <c r="G6243">
        <v>-167.36160000000001</v>
      </c>
      <c r="H6243">
        <v>0.98236319999999999</v>
      </c>
      <c r="I6243">
        <v>139.05330000000001</v>
      </c>
      <c r="J6243">
        <v>-167.81049999999999</v>
      </c>
      <c r="K6243">
        <v>1.1014679999999999</v>
      </c>
      <c r="L6243">
        <v>139.11269999999999</v>
      </c>
      <c r="M6243">
        <v>0.99582269999999995</v>
      </c>
      <c r="N6243">
        <v>-1.2871230000000001E-2</v>
      </c>
      <c r="O6243">
        <v>9.0397169999999999E-2</v>
      </c>
      <c r="P6243">
        <v>0.9211802</v>
      </c>
      <c r="Q6243">
        <v>0.38524449999999999</v>
      </c>
      <c r="R6243">
        <v>5.4899259999999998E-2</v>
      </c>
      <c r="S6243">
        <v>3.4911189999999999</v>
      </c>
      <c r="T6243">
        <v>-0.53508659999999997</v>
      </c>
      <c r="U6243">
        <v>-0.1976929</v>
      </c>
      <c r="V6243">
        <v>3.7763329999999998E-2</v>
      </c>
      <c r="W6243">
        <v>0.39631850000000002</v>
      </c>
      <c r="X6243">
        <v>0.91733620000000005</v>
      </c>
      <c r="Y6243">
        <v>0.14386399999999999</v>
      </c>
      <c r="Z6243">
        <v>-2.448651E-2</v>
      </c>
      <c r="AA6243">
        <v>0.98929449999999997</v>
      </c>
      <c r="AB6243">
        <v>25</v>
      </c>
      <c r="AC6243">
        <v>0.44889999999997998</v>
      </c>
      <c r="AD6243">
        <v>-0.1191048</v>
      </c>
      <c r="AE6243">
        <v>-5.93999999999823E-2</v>
      </c>
      <c r="AF6243">
        <v>9.3285333772152604E-2</v>
      </c>
      <c r="AG6243">
        <v>-0.1191048</v>
      </c>
      <c r="AH6243">
        <v>0.41311015799650602</v>
      </c>
      <c r="AI6243">
        <v>105.707651870289</v>
      </c>
      <c r="AJ6243">
        <v>77.275328275981806</v>
      </c>
      <c r="AK6243">
        <v>0.43994102959365</v>
      </c>
      <c r="AL6243">
        <v>66.651770630015605</v>
      </c>
      <c r="AM6243">
        <v>87.642676224527193</v>
      </c>
      <c r="AN6243">
        <v>1.00000006318268</v>
      </c>
    </row>
    <row r="6244" spans="1:40" x14ac:dyDescent="0.25">
      <c r="A6244" t="str">
        <f>"20190304164810862"</f>
        <v>20190304164810862</v>
      </c>
      <c r="B6244" t="str">
        <f>"1551689290855983"</f>
        <v>1551689290855983</v>
      </c>
      <c r="C6244" t="s">
        <v>40</v>
      </c>
      <c r="D6244">
        <v>5.1948589999999903</v>
      </c>
      <c r="E6244">
        <v>0.55979140000000005</v>
      </c>
      <c r="F6244" t="s">
        <v>41</v>
      </c>
      <c r="G6244">
        <v>-166.90780000000001</v>
      </c>
      <c r="H6244">
        <v>0.96682679999999999</v>
      </c>
      <c r="I6244">
        <v>139.0573</v>
      </c>
      <c r="J6244">
        <v>-167.51140000000001</v>
      </c>
      <c r="K6244">
        <v>1.1018810000000001</v>
      </c>
      <c r="L6244">
        <v>139.1225</v>
      </c>
      <c r="M6244">
        <v>0.99709239999999999</v>
      </c>
      <c r="N6244">
        <v>-1.2732250000000001E-2</v>
      </c>
      <c r="O6244">
        <v>7.5131820000000002E-2</v>
      </c>
      <c r="P6244">
        <v>0.92179880000000003</v>
      </c>
      <c r="Q6244">
        <v>0.38469429999999999</v>
      </c>
      <c r="R6244">
        <v>4.7933070000000001E-2</v>
      </c>
      <c r="S6244">
        <v>3.4868769999999998</v>
      </c>
      <c r="T6244">
        <v>-0.51988979999999996</v>
      </c>
      <c r="U6244">
        <v>-0.21415709999999999</v>
      </c>
      <c r="V6244">
        <v>3.0210939999999999E-2</v>
      </c>
      <c r="W6244">
        <v>0.39584170000000002</v>
      </c>
      <c r="X6244">
        <v>0.91782169999999996</v>
      </c>
      <c r="Y6244">
        <v>0.1338309</v>
      </c>
      <c r="Z6244">
        <v>-2.094847E-2</v>
      </c>
      <c r="AA6244">
        <v>0.99078270000000002</v>
      </c>
      <c r="AB6244">
        <v>25</v>
      </c>
      <c r="AC6244">
        <v>0.60360000000000003</v>
      </c>
      <c r="AD6244">
        <v>-0.13505419999999899</v>
      </c>
      <c r="AE6244">
        <v>-6.5200000000004296E-2</v>
      </c>
      <c r="AF6244">
        <v>0.105164776337037</v>
      </c>
      <c r="AG6244">
        <v>-0.13505419999999899</v>
      </c>
      <c r="AH6244">
        <v>0.56884502923568403</v>
      </c>
      <c r="AI6244">
        <v>103.141018738192</v>
      </c>
      <c r="AJ6244">
        <v>79.525750651914294</v>
      </c>
      <c r="AK6244">
        <v>0.59404034745613399</v>
      </c>
      <c r="AL6244">
        <v>66.681521235285402</v>
      </c>
      <c r="AM6244">
        <v>88.114737728510804</v>
      </c>
      <c r="AN6244">
        <v>1.00000001267273</v>
      </c>
    </row>
    <row r="6245" spans="1:40" x14ac:dyDescent="0.25">
      <c r="A6245" t="str">
        <f>"20190304164810886"</f>
        <v>20190304164810886</v>
      </c>
      <c r="B6245" t="str">
        <f>"1551689290875503"</f>
        <v>1551689290875503</v>
      </c>
      <c r="C6245" t="s">
        <v>40</v>
      </c>
      <c r="D6245">
        <v>5.2129789999999998</v>
      </c>
      <c r="E6245">
        <v>0.55914189999999997</v>
      </c>
      <c r="F6245" t="s">
        <v>41</v>
      </c>
      <c r="G6245">
        <v>-166.67339999999999</v>
      </c>
      <c r="H6245">
        <v>0.9759951</v>
      </c>
      <c r="I6245">
        <v>139.06610000000001</v>
      </c>
      <c r="J6245">
        <v>-167.2372</v>
      </c>
      <c r="K6245">
        <v>1.1022809999999901</v>
      </c>
      <c r="L6245">
        <v>139.1283</v>
      </c>
      <c r="M6245">
        <v>0.99801289999999998</v>
      </c>
      <c r="N6245">
        <v>-1.2606320000000001E-2</v>
      </c>
      <c r="O6245">
        <v>6.1735480000000002E-2</v>
      </c>
      <c r="P6245">
        <v>0.92263530000000005</v>
      </c>
      <c r="Q6245">
        <v>0.38354529999999998</v>
      </c>
      <c r="R6245">
        <v>4.0467070000000001E-2</v>
      </c>
      <c r="S6245">
        <v>3.4852910000000001</v>
      </c>
      <c r="T6245">
        <v>-0.52375530000000003</v>
      </c>
      <c r="U6245">
        <v>-0.23487849999999999</v>
      </c>
      <c r="V6245">
        <v>2.4901380000000001E-2</v>
      </c>
      <c r="W6245">
        <v>0.39471820000000002</v>
      </c>
      <c r="X6245">
        <v>0.91846470000000002</v>
      </c>
      <c r="Y6245">
        <v>0.12659519999999999</v>
      </c>
      <c r="Z6245">
        <v>-1.8694369999999998E-2</v>
      </c>
      <c r="AA6245">
        <v>0.9917783</v>
      </c>
      <c r="AB6245">
        <v>25</v>
      </c>
      <c r="AC6245">
        <v>0.56380000000001396</v>
      </c>
      <c r="AD6245">
        <v>-0.12628589999999901</v>
      </c>
      <c r="AE6245">
        <v>-6.2199999999989999E-2</v>
      </c>
      <c r="AF6245">
        <v>9.2314669942169206E-2</v>
      </c>
      <c r="AG6245">
        <v>-0.12628589999999901</v>
      </c>
      <c r="AH6245">
        <v>0.53248945865493003</v>
      </c>
      <c r="AI6245">
        <v>103.152625681142</v>
      </c>
      <c r="AJ6245">
        <v>80.164712734459997</v>
      </c>
      <c r="AK6245">
        <v>0.55499112641911796</v>
      </c>
      <c r="AL6245">
        <v>66.751599198762605</v>
      </c>
      <c r="AM6245">
        <v>88.446979451621104</v>
      </c>
      <c r="AN6245">
        <v>0.99999997064161605</v>
      </c>
    </row>
    <row r="6246" spans="1:40" x14ac:dyDescent="0.25">
      <c r="A6246" t="str">
        <f>"20190304164810911"</f>
        <v>20190304164810911</v>
      </c>
      <c r="B6246" t="str">
        <f>"1551689290905758"</f>
        <v>1551689290905758</v>
      </c>
      <c r="C6246" t="s">
        <v>40</v>
      </c>
      <c r="D6246">
        <v>5.1367099999999999</v>
      </c>
      <c r="E6246">
        <v>0.54181519999999905</v>
      </c>
      <c r="F6246" t="s">
        <v>41</v>
      </c>
      <c r="G6246">
        <v>-166.44059999999999</v>
      </c>
      <c r="H6246">
        <v>0.98084649999999995</v>
      </c>
      <c r="I6246">
        <v>139.06979999999999</v>
      </c>
      <c r="J6246">
        <v>-166.9529</v>
      </c>
      <c r="K6246">
        <v>1.102751</v>
      </c>
      <c r="L6246">
        <v>139.13140000000001</v>
      </c>
      <c r="M6246">
        <v>0.99874030000000003</v>
      </c>
      <c r="N6246">
        <v>-1.2475969999999999E-2</v>
      </c>
      <c r="O6246">
        <v>4.8604679999999997E-2</v>
      </c>
      <c r="P6246">
        <v>0.92326220000000003</v>
      </c>
      <c r="Q6246">
        <v>0.38296560000000002</v>
      </c>
      <c r="R6246">
        <v>3.0400010000000002E-2</v>
      </c>
      <c r="S6246">
        <v>3.4834139999999998</v>
      </c>
      <c r="T6246">
        <v>-0.53076219999999996</v>
      </c>
      <c r="U6246">
        <v>-0.25555420000000001</v>
      </c>
      <c r="V6246">
        <v>2.2366830000000001E-2</v>
      </c>
      <c r="W6246">
        <v>0.394092</v>
      </c>
      <c r="X6246">
        <v>0.91879880000000003</v>
      </c>
      <c r="Y6246">
        <v>0.11959930000000001</v>
      </c>
      <c r="Z6246">
        <v>-1.6551400000000001E-2</v>
      </c>
      <c r="AA6246">
        <v>0.99268420000000002</v>
      </c>
      <c r="AB6246">
        <v>25</v>
      </c>
      <c r="AC6246">
        <v>0.51230000000000997</v>
      </c>
      <c r="AD6246">
        <v>-0.121904499999999</v>
      </c>
      <c r="AE6246">
        <v>-6.1600000000026897E-2</v>
      </c>
      <c r="AF6246">
        <v>8.1860208302989998E-2</v>
      </c>
      <c r="AG6246">
        <v>-0.121904499999999</v>
      </c>
      <c r="AH6246">
        <v>0.481807685633097</v>
      </c>
      <c r="AI6246">
        <v>104.006051937544</v>
      </c>
      <c r="AJ6246">
        <v>80.357398300984698</v>
      </c>
      <c r="AK6246">
        <v>0.50368685386734102</v>
      </c>
      <c r="AL6246">
        <v>66.790643722758702</v>
      </c>
      <c r="AM6246">
        <v>88.605492407653998</v>
      </c>
      <c r="AN6246">
        <v>1.0000000072148401</v>
      </c>
    </row>
    <row r="6247" spans="1:40" x14ac:dyDescent="0.25">
      <c r="A6247" t="str">
        <f>"20190304164810932"</f>
        <v>20190304164810932</v>
      </c>
      <c r="B6247" t="str">
        <f>"1551689290925278"</f>
        <v>1551689290925278</v>
      </c>
      <c r="C6247" t="s">
        <v>40</v>
      </c>
      <c r="D6247">
        <v>5.1264139999999996</v>
      </c>
      <c r="E6247">
        <v>0.54253719999999905</v>
      </c>
      <c r="F6247" t="s">
        <v>41</v>
      </c>
      <c r="G6247">
        <v>-166.215</v>
      </c>
      <c r="H6247">
        <v>0.97356710000000002</v>
      </c>
      <c r="I6247">
        <v>139.10239999999999</v>
      </c>
      <c r="J6247">
        <v>-166.71</v>
      </c>
      <c r="K6247">
        <v>1.1032040000000001</v>
      </c>
      <c r="L6247">
        <v>139.1317</v>
      </c>
      <c r="M6247">
        <v>0.99919480000000005</v>
      </c>
      <c r="N6247">
        <v>-1.235734E-2</v>
      </c>
      <c r="O6247">
        <v>3.8172890000000001E-2</v>
      </c>
      <c r="P6247">
        <v>0.92445359999999999</v>
      </c>
      <c r="Q6247">
        <v>0.38047130000000001</v>
      </c>
      <c r="R6247">
        <v>2.504665E-2</v>
      </c>
      <c r="S6247">
        <v>3.5087280000000001</v>
      </c>
      <c r="T6247">
        <v>-0.61440839999999997</v>
      </c>
      <c r="U6247">
        <v>-0.13812260000000001</v>
      </c>
      <c r="V6247">
        <v>1.760863E-2</v>
      </c>
      <c r="W6247">
        <v>0.39160830000000002</v>
      </c>
      <c r="X6247">
        <v>0.91996350000000005</v>
      </c>
      <c r="Y6247">
        <v>7.5718309999999997E-2</v>
      </c>
      <c r="Z6247">
        <v>-1.321193E-2</v>
      </c>
      <c r="AA6247">
        <v>0.99704170000000003</v>
      </c>
      <c r="AB6247">
        <v>25</v>
      </c>
      <c r="AC6247">
        <v>0.49500000000000399</v>
      </c>
      <c r="AD6247">
        <v>-0.1296369</v>
      </c>
      <c r="AE6247">
        <v>-2.93000000000063E-2</v>
      </c>
      <c r="AF6247">
        <v>4.5093592008863398E-2</v>
      </c>
      <c r="AG6247">
        <v>-0.1296369</v>
      </c>
      <c r="AH6247">
        <v>0.46194728746421398</v>
      </c>
      <c r="AI6247">
        <v>105.60524986404801</v>
      </c>
      <c r="AJ6247">
        <v>84.424661383980705</v>
      </c>
      <c r="AK6247">
        <v>0.48190710129382502</v>
      </c>
      <c r="AL6247">
        <v>66.945389983275504</v>
      </c>
      <c r="AM6247">
        <v>88.903459755026702</v>
      </c>
      <c r="AN6247">
        <v>0.99999998290580805</v>
      </c>
    </row>
    <row r="6248" spans="1:40" x14ac:dyDescent="0.25">
      <c r="A6248" t="str">
        <f>"20190304164810961"</f>
        <v>20190304164810961</v>
      </c>
      <c r="B6248" t="str">
        <f>"1551689290955538"</f>
        <v>1551689290955538</v>
      </c>
      <c r="C6248" t="s">
        <v>40</v>
      </c>
      <c r="D6248">
        <v>5.133686</v>
      </c>
      <c r="E6248">
        <v>0.54149429999999998</v>
      </c>
      <c r="F6248" t="s">
        <v>41</v>
      </c>
      <c r="G6248">
        <v>-165.98150000000001</v>
      </c>
      <c r="H6248">
        <v>0.9781839</v>
      </c>
      <c r="I6248">
        <v>139.0966</v>
      </c>
      <c r="J6248">
        <v>-166.37739999999999</v>
      </c>
      <c r="K6248">
        <v>1.1039540000000001</v>
      </c>
      <c r="L6248">
        <v>139.1293</v>
      </c>
      <c r="M6248">
        <v>0.99960700000000002</v>
      </c>
      <c r="N6248">
        <v>-1.218406E-2</v>
      </c>
      <c r="O6248">
        <v>2.5247749999999999E-2</v>
      </c>
      <c r="P6248">
        <v>0.92567869999999997</v>
      </c>
      <c r="Q6248">
        <v>0.37786170000000002</v>
      </c>
      <c r="R6248">
        <v>1.842363E-2</v>
      </c>
      <c r="S6248">
        <v>3.4965359999999999</v>
      </c>
      <c r="T6248">
        <v>-0.59974459999999996</v>
      </c>
      <c r="U6248">
        <v>-0.1678925</v>
      </c>
      <c r="V6248">
        <v>1.151636E-2</v>
      </c>
      <c r="W6248">
        <v>0.38897510000000002</v>
      </c>
      <c r="X6248">
        <v>0.92117629999999995</v>
      </c>
      <c r="Y6248">
        <v>7.1728399999999998E-2</v>
      </c>
      <c r="Z6248">
        <v>-1.053597E-2</v>
      </c>
      <c r="AA6248">
        <v>0.99736860000000005</v>
      </c>
      <c r="AB6248">
        <v>25</v>
      </c>
      <c r="AC6248">
        <v>0.39589999999998299</v>
      </c>
      <c r="AD6248">
        <v>-0.1257701</v>
      </c>
      <c r="AE6248">
        <v>-3.2700000000005502E-2</v>
      </c>
      <c r="AF6248">
        <v>3.8796980933375101E-2</v>
      </c>
      <c r="AG6248">
        <v>-0.1257701</v>
      </c>
      <c r="AH6248">
        <v>0.35896617707395401</v>
      </c>
      <c r="AI6248">
        <v>109.205216957936</v>
      </c>
      <c r="AJ6248">
        <v>83.831429952362399</v>
      </c>
      <c r="AK6248">
        <v>0.38233498409986499</v>
      </c>
      <c r="AL6248">
        <v>67.109258218019505</v>
      </c>
      <c r="AM6248">
        <v>89.283737054368302</v>
      </c>
      <c r="AN6248">
        <v>1.00000001532467</v>
      </c>
    </row>
    <row r="6249" spans="1:40" x14ac:dyDescent="0.25">
      <c r="A6249" t="str">
        <f>"20190304164810984"</f>
        <v>20190304164810984</v>
      </c>
      <c r="B6249" t="str">
        <f>"1551689290976031"</f>
        <v>1551689290976031</v>
      </c>
      <c r="C6249" t="s">
        <v>40</v>
      </c>
      <c r="D6249">
        <v>5.1178759999999999</v>
      </c>
      <c r="E6249">
        <v>0.54105590000000003</v>
      </c>
      <c r="F6249" t="s">
        <v>41</v>
      </c>
      <c r="G6249">
        <v>-165.52959999999999</v>
      </c>
      <c r="H6249">
        <v>0.95706820000000004</v>
      </c>
      <c r="I6249">
        <v>139.08320000000001</v>
      </c>
      <c r="J6249">
        <v>-166.09829999999999</v>
      </c>
      <c r="K6249">
        <v>1.104617</v>
      </c>
      <c r="L6249">
        <v>139.12530000000001</v>
      </c>
      <c r="M6249">
        <v>0.99980760000000002</v>
      </c>
      <c r="N6249">
        <v>-1.2043949999999999E-2</v>
      </c>
      <c r="O6249">
        <v>1.5483129999999999E-2</v>
      </c>
      <c r="P6249">
        <v>0.92636130000000005</v>
      </c>
      <c r="Q6249">
        <v>0.37648320000000002</v>
      </c>
      <c r="R6249">
        <v>1.074632E-2</v>
      </c>
      <c r="S6249">
        <v>3.491425</v>
      </c>
      <c r="T6249">
        <v>-0.60454479999999999</v>
      </c>
      <c r="U6249">
        <v>-0.18952939999999999</v>
      </c>
      <c r="V6249">
        <v>9.5016479999999997E-3</v>
      </c>
      <c r="W6249">
        <v>0.38751409999999997</v>
      </c>
      <c r="X6249">
        <v>0.92181489999999999</v>
      </c>
      <c r="Y6249">
        <v>6.8374110000000002E-2</v>
      </c>
      <c r="Z6249">
        <v>-8.7612539999999996E-3</v>
      </c>
      <c r="AA6249">
        <v>0.99762130000000004</v>
      </c>
      <c r="AB6249">
        <v>25</v>
      </c>
      <c r="AC6249">
        <v>0.56870000000000598</v>
      </c>
      <c r="AD6249">
        <v>-0.14754880000000001</v>
      </c>
      <c r="AE6249">
        <v>-4.2100000000004897E-2</v>
      </c>
      <c r="AF6249">
        <v>4.7707004618811499E-2</v>
      </c>
      <c r="AG6249">
        <v>-0.14754880000000001</v>
      </c>
      <c r="AH6249">
        <v>0.53234126105472501</v>
      </c>
      <c r="AI6249">
        <v>105.432870901508</v>
      </c>
      <c r="AJ6249">
        <v>84.878985161478994</v>
      </c>
      <c r="AK6249">
        <v>0.55446715402490199</v>
      </c>
      <c r="AL6249">
        <v>67.200094419835096</v>
      </c>
      <c r="AM6249">
        <v>89.409442123485903</v>
      </c>
      <c r="AN6249">
        <v>1.0000000844377599</v>
      </c>
    </row>
    <row r="6250" spans="1:40" x14ac:dyDescent="0.25">
      <c r="A6250" t="str">
        <f>"20190304164811012"</f>
        <v>20190304164811012</v>
      </c>
      <c r="B6250" t="str">
        <f>"1551689291005312"</f>
        <v>1551689291005312</v>
      </c>
      <c r="C6250" t="s">
        <v>40</v>
      </c>
      <c r="D6250">
        <v>5.1570839999999896</v>
      </c>
      <c r="E6250">
        <v>0.54007139999999998</v>
      </c>
      <c r="F6250" t="s">
        <v>41</v>
      </c>
      <c r="G6250">
        <v>-165.29519999999999</v>
      </c>
      <c r="H6250">
        <v>0.96426610000000001</v>
      </c>
      <c r="I6250">
        <v>139.07689999999999</v>
      </c>
      <c r="J6250">
        <v>-165.7877</v>
      </c>
      <c r="K6250">
        <v>1.105286</v>
      </c>
      <c r="L6250">
        <v>139.1189</v>
      </c>
      <c r="M6250">
        <v>0.99991339999999995</v>
      </c>
      <c r="N6250">
        <v>-1.1904029999999999E-2</v>
      </c>
      <c r="O6250">
        <v>5.606209E-3</v>
      </c>
      <c r="P6250">
        <v>0.92685899999999999</v>
      </c>
      <c r="Q6250">
        <v>0.37538319999999997</v>
      </c>
      <c r="R6250">
        <v>4.4556860000000004E-3</v>
      </c>
      <c r="S6250">
        <v>3.4886170000000001</v>
      </c>
      <c r="T6250">
        <v>-0.60948549999999901</v>
      </c>
      <c r="U6250">
        <v>-0.20994570000000001</v>
      </c>
      <c r="V6250">
        <v>6.0034490000000001E-3</v>
      </c>
      <c r="W6250">
        <v>0.38634390000000002</v>
      </c>
      <c r="X6250">
        <v>0.92233529999999997</v>
      </c>
      <c r="Y6250">
        <v>6.4551670000000005E-2</v>
      </c>
      <c r="Z6250">
        <v>-6.8841830000000003E-3</v>
      </c>
      <c r="AA6250">
        <v>0.99789059999999896</v>
      </c>
      <c r="AB6250">
        <v>26</v>
      </c>
      <c r="AC6250">
        <v>0.49250000000000599</v>
      </c>
      <c r="AD6250">
        <v>-0.141019899999999</v>
      </c>
      <c r="AE6250">
        <v>-4.2000000000001501E-2</v>
      </c>
      <c r="AF6250">
        <v>4.1391504040574699E-2</v>
      </c>
      <c r="AG6250">
        <v>-0.141019899999999</v>
      </c>
      <c r="AH6250">
        <v>0.455205057897837</v>
      </c>
      <c r="AI6250">
        <v>107.146114155942</v>
      </c>
      <c r="AJ6250">
        <v>84.804419347898303</v>
      </c>
      <c r="AK6250">
        <v>0.47834246470340103</v>
      </c>
      <c r="AL6250">
        <v>67.272804084706905</v>
      </c>
      <c r="AM6250">
        <v>89.627068992484794</v>
      </c>
      <c r="AN6250">
        <v>1.0000000280465899</v>
      </c>
    </row>
    <row r="6251" spans="1:40" x14ac:dyDescent="0.25">
      <c r="A6251" t="str">
        <f>"20190304164811058"</f>
        <v>20190304164811058</v>
      </c>
      <c r="B6251" t="str">
        <f>"1551689291056063"</f>
        <v>1551689291056063</v>
      </c>
      <c r="C6251" t="s">
        <v>40</v>
      </c>
      <c r="D6251">
        <v>5.0534860000000004</v>
      </c>
      <c r="E6251">
        <v>0.53940859999999902</v>
      </c>
      <c r="F6251" t="s">
        <v>41</v>
      </c>
      <c r="G6251">
        <v>-165.05850000000001</v>
      </c>
      <c r="H6251">
        <v>0.97596669999999996</v>
      </c>
      <c r="I6251">
        <v>139.0718</v>
      </c>
      <c r="J6251">
        <v>-165.24469999999999</v>
      </c>
      <c r="K6251">
        <v>1.1062730000000001</v>
      </c>
      <c r="L6251">
        <v>139.10319999999999</v>
      </c>
      <c r="M6251">
        <v>0.99989240000000001</v>
      </c>
      <c r="N6251">
        <v>-1.168193E-2</v>
      </c>
      <c r="O6251">
        <v>-8.8727760000000006E-3</v>
      </c>
      <c r="P6251">
        <v>0.9268689</v>
      </c>
      <c r="Q6251">
        <v>0.37538559999999999</v>
      </c>
      <c r="R6251">
        <v>1.432858E-4</v>
      </c>
      <c r="S6251">
        <v>3.4882049999999998</v>
      </c>
      <c r="T6251">
        <v>-0.61826910000000002</v>
      </c>
      <c r="U6251">
        <v>-0.22476199999999999</v>
      </c>
      <c r="V6251">
        <v>-4.0242749999999999E-3</v>
      </c>
      <c r="W6251">
        <v>0.3862564</v>
      </c>
      <c r="X6251">
        <v>0.9223827</v>
      </c>
      <c r="Y6251">
        <v>5.4658779999999997E-2</v>
      </c>
      <c r="Z6251">
        <v>-3.667933E-3</v>
      </c>
      <c r="AA6251">
        <v>0.99849840000000001</v>
      </c>
      <c r="AB6251">
        <v>26</v>
      </c>
      <c r="AC6251">
        <v>0.18619999999998499</v>
      </c>
      <c r="AD6251">
        <v>-0.13030630000000001</v>
      </c>
      <c r="AE6251">
        <v>-3.1399999999990699E-2</v>
      </c>
      <c r="AF6251">
        <v>2.0150693041876298E-2</v>
      </c>
      <c r="AG6251">
        <v>-0.13030630000000001</v>
      </c>
      <c r="AH6251">
        <v>0.12631807855685401</v>
      </c>
      <c r="AI6251">
        <v>135.53052897088199</v>
      </c>
      <c r="AJ6251">
        <v>80.936348988504406</v>
      </c>
      <c r="AK6251">
        <v>0.18259802633121</v>
      </c>
      <c r="AL6251">
        <v>67.278239277052094</v>
      </c>
      <c r="AM6251">
        <v>90.249974885830397</v>
      </c>
      <c r="AN6251">
        <v>1.0000000232947599</v>
      </c>
    </row>
    <row r="6252" spans="1:40" x14ac:dyDescent="0.25">
      <c r="A6252" t="str">
        <f>"20190304164811083"</f>
        <v>20190304164811083</v>
      </c>
      <c r="B6252" t="str">
        <f>"1551689291075586"</f>
        <v>1551689291075586</v>
      </c>
      <c r="C6252" t="s">
        <v>40</v>
      </c>
      <c r="D6252">
        <v>5.1206769999999997</v>
      </c>
      <c r="E6252">
        <v>0.53344309999999995</v>
      </c>
      <c r="F6252" t="s">
        <v>41</v>
      </c>
      <c r="G6252">
        <v>-164.37700000000001</v>
      </c>
      <c r="H6252">
        <v>0.9528527</v>
      </c>
      <c r="I6252">
        <v>139.04300000000001</v>
      </c>
      <c r="J6252">
        <v>-164.95650000000001</v>
      </c>
      <c r="K6252">
        <v>1.106724</v>
      </c>
      <c r="L6252">
        <v>139.09280000000001</v>
      </c>
      <c r="M6252">
        <v>0.99981390000000003</v>
      </c>
      <c r="N6252">
        <v>-1.157555E-2</v>
      </c>
      <c r="O6252">
        <v>-1.543128E-2</v>
      </c>
      <c r="P6252">
        <v>0.92518</v>
      </c>
      <c r="Q6252">
        <v>0.37952839999999999</v>
      </c>
      <c r="R6252">
        <v>-3.5496799999999999E-4</v>
      </c>
      <c r="S6252">
        <v>3.486389</v>
      </c>
      <c r="T6252">
        <v>-0.61641689999999905</v>
      </c>
      <c r="U6252">
        <v>-0.24191280000000001</v>
      </c>
      <c r="V6252">
        <v>-9.939303E-3</v>
      </c>
      <c r="W6252">
        <v>0.39033299999999999</v>
      </c>
      <c r="X6252">
        <v>0.92062010000000005</v>
      </c>
      <c r="Y6252">
        <v>5.3150749999999997E-2</v>
      </c>
      <c r="Z6252">
        <v>-2.4410180000000001E-3</v>
      </c>
      <c r="AA6252">
        <v>0.99858349999999996</v>
      </c>
      <c r="AB6252">
        <v>26</v>
      </c>
      <c r="AC6252">
        <v>0.57949999999999502</v>
      </c>
      <c r="AD6252">
        <v>-0.15387129999999999</v>
      </c>
      <c r="AE6252">
        <v>-4.9800000000004702E-2</v>
      </c>
      <c r="AF6252">
        <v>3.8179034985271802E-2</v>
      </c>
      <c r="AG6252">
        <v>-0.15387129999999999</v>
      </c>
      <c r="AH6252">
        <v>0.54224949718432702</v>
      </c>
      <c r="AI6252">
        <v>105.804908216651</v>
      </c>
      <c r="AJ6252">
        <v>85.972530082978906</v>
      </c>
      <c r="AK6252">
        <v>0.56495002688092</v>
      </c>
      <c r="AL6252">
        <v>67.024778893433904</v>
      </c>
      <c r="AM6252">
        <v>90.618559152115097</v>
      </c>
      <c r="AN6252">
        <v>1.00000000457856</v>
      </c>
    </row>
    <row r="6253" spans="1:40" x14ac:dyDescent="0.25">
      <c r="A6253" t="str">
        <f>"20190304164811107"</f>
        <v>20190304164811107</v>
      </c>
      <c r="B6253" t="str">
        <f>"1551689291105839"</f>
        <v>1551689291105839</v>
      </c>
      <c r="C6253" t="s">
        <v>40</v>
      </c>
      <c r="D6253">
        <v>5.0753250000000003</v>
      </c>
      <c r="E6253">
        <v>0.533271099999999</v>
      </c>
      <c r="F6253" t="s">
        <v>41</v>
      </c>
      <c r="G6253">
        <v>-164.1302</v>
      </c>
      <c r="H6253">
        <v>0.98438550000000002</v>
      </c>
      <c r="I6253">
        <v>139.04589999999999</v>
      </c>
      <c r="J6253">
        <v>-164.67449999999999</v>
      </c>
      <c r="K6253">
        <v>1.1070990000000001</v>
      </c>
      <c r="L6253">
        <v>139.08150000000001</v>
      </c>
      <c r="M6253">
        <v>0.99970689999999995</v>
      </c>
      <c r="N6253">
        <v>-1.148417E-2</v>
      </c>
      <c r="O6253">
        <v>-2.1314739999999999E-2</v>
      </c>
      <c r="P6253">
        <v>0.92422939999999998</v>
      </c>
      <c r="Q6253">
        <v>0.38183739999999999</v>
      </c>
      <c r="R6253">
        <v>-6.9165969999999998E-4</v>
      </c>
      <c r="S6253">
        <v>3.4521639999999998</v>
      </c>
      <c r="T6253">
        <v>-0.51100749999999995</v>
      </c>
      <c r="U6253">
        <v>-0.1955414</v>
      </c>
      <c r="V6253">
        <v>-1.5349420000000001E-2</v>
      </c>
      <c r="W6253">
        <v>0.3925844</v>
      </c>
      <c r="X6253">
        <v>0.91958790000000001</v>
      </c>
      <c r="Y6253">
        <v>3.5044029999999997E-2</v>
      </c>
      <c r="Z6253">
        <v>1.112968E-4</v>
      </c>
      <c r="AA6253">
        <v>0.99938579999999999</v>
      </c>
      <c r="AB6253">
        <v>26</v>
      </c>
      <c r="AC6253">
        <v>0.54429999999999201</v>
      </c>
      <c r="AD6253">
        <v>-0.1227135</v>
      </c>
      <c r="AE6253">
        <v>-3.56000000000165E-2</v>
      </c>
      <c r="AF6253">
        <v>2.2833864318433299E-2</v>
      </c>
      <c r="AG6253">
        <v>-0.1227135</v>
      </c>
      <c r="AH6253">
        <v>0.51868353190568495</v>
      </c>
      <c r="AI6253">
        <v>103.29823946330499</v>
      </c>
      <c r="AJ6253">
        <v>87.479310977489305</v>
      </c>
      <c r="AK6253">
        <v>0.53349095091868104</v>
      </c>
      <c r="AL6253">
        <v>66.884596072013807</v>
      </c>
      <c r="AM6253">
        <v>90.956271088728499</v>
      </c>
      <c r="AN6253">
        <v>1.0000000108220499</v>
      </c>
    </row>
    <row r="6254" spans="1:40" x14ac:dyDescent="0.25">
      <c r="A6254" t="str">
        <f>"20190304164811131"</f>
        <v>20190304164811131</v>
      </c>
      <c r="B6254" t="str">
        <f>"1551689291125359"</f>
        <v>1551689291125359</v>
      </c>
      <c r="C6254" t="s">
        <v>40</v>
      </c>
      <c r="D6254">
        <v>5.0914739999999998</v>
      </c>
      <c r="E6254">
        <v>0.53303140000000004</v>
      </c>
      <c r="F6254" t="s">
        <v>41</v>
      </c>
      <c r="G6254">
        <v>-163.89709999999999</v>
      </c>
      <c r="H6254">
        <v>0.98834420000000001</v>
      </c>
      <c r="I6254">
        <v>139.03870000000001</v>
      </c>
      <c r="J6254">
        <v>-164.41319999999999</v>
      </c>
      <c r="K6254">
        <v>1.1074219999999999</v>
      </c>
      <c r="L6254">
        <v>139.07</v>
      </c>
      <c r="M6254">
        <v>0.99958860000000005</v>
      </c>
      <c r="N6254">
        <v>-1.140888E-2</v>
      </c>
      <c r="O6254">
        <v>-2.631609E-2</v>
      </c>
      <c r="P6254">
        <v>0.92359000000000002</v>
      </c>
      <c r="Q6254">
        <v>0.38336999999999999</v>
      </c>
      <c r="R6254">
        <v>3.027577E-3</v>
      </c>
      <c r="S6254">
        <v>3.4644170000000001</v>
      </c>
      <c r="T6254">
        <v>-0.52914930000000004</v>
      </c>
      <c r="U6254">
        <v>-0.19047549999999999</v>
      </c>
      <c r="V6254">
        <v>-2.395429E-2</v>
      </c>
      <c r="W6254">
        <v>0.39409759999999999</v>
      </c>
      <c r="X6254">
        <v>0.91875640000000003</v>
      </c>
      <c r="Y6254">
        <v>2.8506380000000001E-2</v>
      </c>
      <c r="Z6254">
        <v>1.3671709999999999E-3</v>
      </c>
      <c r="AA6254">
        <v>0.9995927</v>
      </c>
      <c r="AB6254">
        <v>26</v>
      </c>
      <c r="AC6254">
        <v>0.51609999999999401</v>
      </c>
      <c r="AD6254">
        <v>-0.1190778</v>
      </c>
      <c r="AE6254">
        <v>-3.12999999999874E-2</v>
      </c>
      <c r="AF6254">
        <v>1.6814697713354101E-2</v>
      </c>
      <c r="AG6254">
        <v>-0.1190778</v>
      </c>
      <c r="AH6254">
        <v>0.49071756788963</v>
      </c>
      <c r="AI6254">
        <v>103.63208085237299</v>
      </c>
      <c r="AJ6254">
        <v>88.037497563534203</v>
      </c>
      <c r="AK6254">
        <v>0.50523854558767101</v>
      </c>
      <c r="AL6254">
        <v>66.790295036009098</v>
      </c>
      <c r="AM6254">
        <v>91.493506714154904</v>
      </c>
      <c r="AN6254">
        <v>1.00000002443806</v>
      </c>
    </row>
    <row r="6255" spans="1:40" x14ac:dyDescent="0.25">
      <c r="A6255" t="str">
        <f>"20190304164811151"</f>
        <v>20190304164811151</v>
      </c>
      <c r="B6255" t="str">
        <f>"1551689291145855"</f>
        <v>1551689291145855</v>
      </c>
      <c r="C6255" t="s">
        <v>40</v>
      </c>
      <c r="D6255">
        <v>5.154382</v>
      </c>
      <c r="E6255">
        <v>0.53293679999999999</v>
      </c>
      <c r="F6255" t="s">
        <v>41</v>
      </c>
      <c r="G6255">
        <v>-163.66409999999999</v>
      </c>
      <c r="H6255">
        <v>0.99182090000000001</v>
      </c>
      <c r="I6255">
        <v>139.03100000000001</v>
      </c>
      <c r="J6255">
        <v>-164.17189999999999</v>
      </c>
      <c r="K6255">
        <v>1.107701</v>
      </c>
      <c r="L6255">
        <v>139.05869999999999</v>
      </c>
      <c r="M6255">
        <v>0.99946840000000003</v>
      </c>
      <c r="N6255">
        <v>-1.134519E-2</v>
      </c>
      <c r="O6255">
        <v>-3.056507E-2</v>
      </c>
      <c r="P6255">
        <v>0.92258019999999996</v>
      </c>
      <c r="Q6255">
        <v>0.3857623</v>
      </c>
      <c r="R6255">
        <v>5.7877900000000001E-3</v>
      </c>
      <c r="S6255">
        <v>3.4711150000000002</v>
      </c>
      <c r="T6255">
        <v>-0.53556319999999902</v>
      </c>
      <c r="U6255">
        <v>-0.1807404</v>
      </c>
      <c r="V6255">
        <v>-3.0849729999999999E-2</v>
      </c>
      <c r="W6255">
        <v>0.39645419999999998</v>
      </c>
      <c r="X6255">
        <v>0.91753600000000002</v>
      </c>
      <c r="Y6255">
        <v>2.1486390000000001E-2</v>
      </c>
      <c r="Z6255">
        <v>2.5693529999999999E-3</v>
      </c>
      <c r="AA6255">
        <v>0.99976580000000004</v>
      </c>
      <c r="AB6255">
        <v>26</v>
      </c>
      <c r="AC6255">
        <v>0.50780000000000303</v>
      </c>
      <c r="AD6255">
        <v>-0.115880099999999</v>
      </c>
      <c r="AE6255">
        <v>-2.76999999999816E-2</v>
      </c>
      <c r="AF6255">
        <v>1.15646673542232E-2</v>
      </c>
      <c r="AG6255">
        <v>-0.115880099999999</v>
      </c>
      <c r="AH6255">
        <v>0.48331527208368702</v>
      </c>
      <c r="AI6255">
        <v>103.479061496363</v>
      </c>
      <c r="AJ6255">
        <v>88.629300052244105</v>
      </c>
      <c r="AK6255">
        <v>0.49714745431949198</v>
      </c>
      <c r="AL6255">
        <v>66.643299680257996</v>
      </c>
      <c r="AM6255">
        <v>91.925694169830905</v>
      </c>
      <c r="AN6255">
        <v>0.99999997491735604</v>
      </c>
    </row>
    <row r="6256" spans="1:40" x14ac:dyDescent="0.25">
      <c r="A6256" t="str">
        <f>"20190304164811176"</f>
        <v>20190304164811176</v>
      </c>
      <c r="B6256" t="str">
        <f>"1551689291165375"</f>
        <v>1551689291165375</v>
      </c>
      <c r="C6256" t="s">
        <v>40</v>
      </c>
      <c r="D6256">
        <v>5.0833240000000002</v>
      </c>
      <c r="E6256">
        <v>0.53251919999999897</v>
      </c>
      <c r="F6256" t="s">
        <v>41</v>
      </c>
      <c r="G6256">
        <v>-163.43180000000001</v>
      </c>
      <c r="H6256">
        <v>0.99373049999999996</v>
      </c>
      <c r="I6256">
        <v>139.02180000000001</v>
      </c>
      <c r="J6256">
        <v>-163.88749999999999</v>
      </c>
      <c r="K6256">
        <v>1.108017</v>
      </c>
      <c r="L6256">
        <v>139.0445</v>
      </c>
      <c r="M6256">
        <v>0.99931769999999998</v>
      </c>
      <c r="N6256">
        <v>-1.1276950000000001E-2</v>
      </c>
      <c r="O6256">
        <v>-3.5170350000000003E-2</v>
      </c>
      <c r="P6256">
        <v>0.92064729999999995</v>
      </c>
      <c r="Q6256">
        <v>0.39036799999999999</v>
      </c>
      <c r="R6256">
        <v>4.6050099999999997E-3</v>
      </c>
      <c r="S6256">
        <v>3.476715</v>
      </c>
      <c r="T6256">
        <v>-0.53541079999999996</v>
      </c>
      <c r="U6256">
        <v>-0.17333979999999999</v>
      </c>
      <c r="V6256">
        <v>-3.4112860000000002E-2</v>
      </c>
      <c r="W6256">
        <v>0.40097189999999999</v>
      </c>
      <c r="X6256">
        <v>0.91545500000000002</v>
      </c>
      <c r="Y6256">
        <v>1.4803719999999999E-2</v>
      </c>
      <c r="Z6256">
        <v>3.7682319999999998E-3</v>
      </c>
      <c r="AA6256">
        <v>0.99988330000000003</v>
      </c>
      <c r="AB6256">
        <v>26</v>
      </c>
      <c r="AC6256">
        <v>0.45569999999997801</v>
      </c>
      <c r="AD6256">
        <v>-0.114286499999999</v>
      </c>
      <c r="AE6256">
        <v>-2.2699999999986099E-2</v>
      </c>
      <c r="AF6256">
        <v>6.2647465474057603E-3</v>
      </c>
      <c r="AG6256">
        <v>-0.114286499999999</v>
      </c>
      <c r="AH6256">
        <v>0.42928258458880098</v>
      </c>
      <c r="AI6256">
        <v>104.906365147893</v>
      </c>
      <c r="AJ6256">
        <v>89.163911904407797</v>
      </c>
      <c r="AK6256">
        <v>0.44427940371211699</v>
      </c>
      <c r="AL6256">
        <v>66.361049400743497</v>
      </c>
      <c r="AM6256">
        <v>92.134041548303699</v>
      </c>
      <c r="AN6256">
        <v>1.00000000441599</v>
      </c>
    </row>
    <row r="6257" spans="1:40" x14ac:dyDescent="0.25">
      <c r="A6257" t="str">
        <f>"20190304164811200"</f>
        <v>20190304164811200</v>
      </c>
      <c r="B6257" t="str">
        <f>"1551689291195631"</f>
        <v>1551689291195631</v>
      </c>
      <c r="C6257" t="s">
        <v>40</v>
      </c>
      <c r="D6257">
        <v>5.1448140000000002</v>
      </c>
      <c r="E6257">
        <v>0.53220999999999996</v>
      </c>
      <c r="F6257" t="s">
        <v>41</v>
      </c>
      <c r="G6257">
        <v>-162.97970000000001</v>
      </c>
      <c r="H6257">
        <v>0.97111919999999996</v>
      </c>
      <c r="I6257">
        <v>139.00290000000001</v>
      </c>
      <c r="J6257">
        <v>-163.61070000000001</v>
      </c>
      <c r="K6257">
        <v>1.1082970000000001</v>
      </c>
      <c r="L6257">
        <v>139.0299</v>
      </c>
      <c r="M6257">
        <v>0.99916640000000001</v>
      </c>
      <c r="N6257">
        <v>-1.121866E-2</v>
      </c>
      <c r="O6257">
        <v>-3.9252679999999998E-2</v>
      </c>
      <c r="P6257">
        <v>0.91969109999999998</v>
      </c>
      <c r="Q6257">
        <v>0.39259339999999998</v>
      </c>
      <c r="R6257">
        <v>6.228875E-3</v>
      </c>
      <c r="S6257">
        <v>3.4819789999999999</v>
      </c>
      <c r="T6257">
        <v>-0.52501790000000004</v>
      </c>
      <c r="U6257">
        <v>-0.1593628</v>
      </c>
      <c r="V6257">
        <v>-3.9712440000000002E-2</v>
      </c>
      <c r="W6257">
        <v>0.40314220000000001</v>
      </c>
      <c r="X6257">
        <v>0.91427530000000001</v>
      </c>
      <c r="Y6257">
        <v>6.767571E-3</v>
      </c>
      <c r="Z6257">
        <v>4.8964949999999998E-3</v>
      </c>
      <c r="AA6257">
        <v>0.99996510000000005</v>
      </c>
      <c r="AB6257">
        <v>26</v>
      </c>
      <c r="AC6257">
        <v>0.63100000000000001</v>
      </c>
      <c r="AD6257">
        <v>-0.13717779999999899</v>
      </c>
      <c r="AE6257">
        <v>-2.6999999999986798E-2</v>
      </c>
      <c r="AF6257">
        <v>2.10966649280686E-3</v>
      </c>
      <c r="AG6257">
        <v>-0.13717779999999899</v>
      </c>
      <c r="AH6257">
        <v>0.60312111693773496</v>
      </c>
      <c r="AI6257">
        <v>102.813658494623</v>
      </c>
      <c r="AJ6257">
        <v>89.799585042138204</v>
      </c>
      <c r="AK6257">
        <v>0.618528318835744</v>
      </c>
      <c r="AL6257">
        <v>66.225240333298999</v>
      </c>
      <c r="AM6257">
        <v>92.487134744954503</v>
      </c>
      <c r="AN6257">
        <v>1.0000000177508399</v>
      </c>
    </row>
    <row r="6258" spans="1:40" x14ac:dyDescent="0.25">
      <c r="A6258" t="str">
        <f>"20190304164811226"</f>
        <v>20190304164811226</v>
      </c>
      <c r="B6258" t="str">
        <f>"1551689291216126"</f>
        <v>1551689291216126</v>
      </c>
      <c r="C6258" t="s">
        <v>40</v>
      </c>
      <c r="D6258">
        <v>5.1067809999999998</v>
      </c>
      <c r="E6258">
        <v>0.53202689999999997</v>
      </c>
      <c r="F6258" t="s">
        <v>41</v>
      </c>
      <c r="G6258">
        <v>-162.745</v>
      </c>
      <c r="H6258">
        <v>0.97728289999999995</v>
      </c>
      <c r="I6258">
        <v>138.994</v>
      </c>
      <c r="J6258">
        <v>-163.3107</v>
      </c>
      <c r="K6258">
        <v>1.108557</v>
      </c>
      <c r="L6258">
        <v>139.01329999999999</v>
      </c>
      <c r="M6258">
        <v>0.99899800000000005</v>
      </c>
      <c r="N6258">
        <v>-1.116397E-2</v>
      </c>
      <c r="O6258">
        <v>-4.3339870000000003E-2</v>
      </c>
      <c r="P6258">
        <v>0.92064420000000002</v>
      </c>
      <c r="Q6258">
        <v>0.39017309999999999</v>
      </c>
      <c r="R6258">
        <v>1.338642E-2</v>
      </c>
      <c r="S6258">
        <v>3.4882659999999999</v>
      </c>
      <c r="T6258">
        <v>-0.52789160000000002</v>
      </c>
      <c r="U6258">
        <v>-0.14463809999999999</v>
      </c>
      <c r="V6258">
        <v>-5.0919369999999999E-2</v>
      </c>
      <c r="W6258">
        <v>0.40071760000000001</v>
      </c>
      <c r="X6258">
        <v>0.91478559999999998</v>
      </c>
      <c r="Y6258">
        <v>-1.475538E-3</v>
      </c>
      <c r="Z6258">
        <v>6.1538189999999996E-3</v>
      </c>
      <c r="AA6258">
        <v>0.99997999999999998</v>
      </c>
      <c r="AB6258">
        <v>26</v>
      </c>
      <c r="AC6258">
        <v>0.56569999999999199</v>
      </c>
      <c r="AD6258">
        <v>-0.1312741</v>
      </c>
      <c r="AE6258">
        <v>-1.9299999999986901E-2</v>
      </c>
      <c r="AF6258">
        <v>-4.9697211081114502E-3</v>
      </c>
      <c r="AG6258">
        <v>-0.1312741</v>
      </c>
      <c r="AH6258">
        <v>0.53711489377518795</v>
      </c>
      <c r="AI6258">
        <v>103.733623904209</v>
      </c>
      <c r="AJ6258">
        <v>90.530121065021504</v>
      </c>
      <c r="AK6258">
        <v>0.552946648939871</v>
      </c>
      <c r="AL6258">
        <v>66.376954106142094</v>
      </c>
      <c r="AM6258">
        <v>93.185945971934999</v>
      </c>
      <c r="AN6258">
        <v>1.0000000355791501</v>
      </c>
    </row>
    <row r="6259" spans="1:40" x14ac:dyDescent="0.25">
      <c r="A6259" t="str">
        <f>"20190304164811249"</f>
        <v>20190304164811249</v>
      </c>
      <c r="B6259" t="str">
        <f>"1551689291245407"</f>
        <v>1551689291245407</v>
      </c>
      <c r="C6259" t="s">
        <v>40</v>
      </c>
      <c r="D6259">
        <v>5.0929880000000001</v>
      </c>
      <c r="E6259">
        <v>0.53182819999999997</v>
      </c>
      <c r="F6259" t="s">
        <v>41</v>
      </c>
      <c r="G6259">
        <v>-162.50980000000001</v>
      </c>
      <c r="H6259">
        <v>0.98449739999999997</v>
      </c>
      <c r="I6259">
        <v>138.98320000000001</v>
      </c>
      <c r="J6259">
        <v>-163.03829999999999</v>
      </c>
      <c r="K6259">
        <v>1.108765</v>
      </c>
      <c r="L6259">
        <v>138.9975</v>
      </c>
      <c r="M6259">
        <v>0.99884640000000002</v>
      </c>
      <c r="N6259">
        <v>-1.112016E-2</v>
      </c>
      <c r="O6259">
        <v>-4.6714310000000002E-2</v>
      </c>
      <c r="P6259">
        <v>0.92170929999999995</v>
      </c>
      <c r="Q6259">
        <v>0.38734039999999997</v>
      </c>
      <c r="R6259">
        <v>2.0480729999999999E-2</v>
      </c>
      <c r="S6259">
        <v>3.4895779999999998</v>
      </c>
      <c r="T6259">
        <v>-0.54051159999999998</v>
      </c>
      <c r="U6259">
        <v>-0.1310577</v>
      </c>
      <c r="V6259">
        <v>-6.1374930000000001E-2</v>
      </c>
      <c r="W6259">
        <v>0.39788079999999998</v>
      </c>
      <c r="X6259">
        <v>0.91538189999999997</v>
      </c>
      <c r="Y6259">
        <v>-8.6062250000000003E-3</v>
      </c>
      <c r="Z6259">
        <v>7.3806189999999997E-3</v>
      </c>
      <c r="AA6259">
        <v>0.99993569999999998</v>
      </c>
      <c r="AB6259">
        <v>26</v>
      </c>
      <c r="AC6259">
        <v>0.52849999999997899</v>
      </c>
      <c r="AD6259">
        <v>-0.12426760000000001</v>
      </c>
      <c r="AE6259">
        <v>-1.42999999999915E-2</v>
      </c>
      <c r="AF6259">
        <v>-9.8608700184773801E-3</v>
      </c>
      <c r="AG6259">
        <v>-0.12426760000000001</v>
      </c>
      <c r="AH6259">
        <v>0.50091690462470395</v>
      </c>
      <c r="AI6259">
        <v>103.93008068277599</v>
      </c>
      <c r="AJ6259">
        <v>91.127758444852901</v>
      </c>
      <c r="AK6259">
        <v>0.51619513607363299</v>
      </c>
      <c r="AL6259">
        <v>66.554236714376898</v>
      </c>
      <c r="AM6259">
        <v>93.835851594307996</v>
      </c>
      <c r="AN6259">
        <v>1.00000001794437</v>
      </c>
    </row>
    <row r="6260" spans="1:40" x14ac:dyDescent="0.25">
      <c r="A6260" t="str">
        <f>"20190304164811268"</f>
        <v>20190304164811268</v>
      </c>
      <c r="B6260" t="str">
        <f>"1551689291265903"</f>
        <v>1551689291265903</v>
      </c>
      <c r="C6260" t="s">
        <v>40</v>
      </c>
      <c r="D6260">
        <v>5.1410489999999998</v>
      </c>
      <c r="E6260">
        <v>0.53137539999999905</v>
      </c>
      <c r="F6260" t="s">
        <v>41</v>
      </c>
      <c r="G6260">
        <v>-162.2766</v>
      </c>
      <c r="H6260">
        <v>0.98743550000000002</v>
      </c>
      <c r="I6260">
        <v>138.97110000000001</v>
      </c>
      <c r="J6260">
        <v>-162.81559999999999</v>
      </c>
      <c r="K6260">
        <v>1.1089359999999999</v>
      </c>
      <c r="L6260">
        <v>138.98419999999999</v>
      </c>
      <c r="M6260">
        <v>0.99872850000000002</v>
      </c>
      <c r="N6260">
        <v>-1.1087110000000001E-2</v>
      </c>
      <c r="O6260">
        <v>-4.9179439999999998E-2</v>
      </c>
      <c r="P6260">
        <v>0.92103729999999995</v>
      </c>
      <c r="Q6260">
        <v>0.38884390000000002</v>
      </c>
      <c r="R6260">
        <v>2.2159330000000001E-2</v>
      </c>
      <c r="S6260">
        <v>3.4911650000000001</v>
      </c>
      <c r="T6260">
        <v>-0.55603549999999902</v>
      </c>
      <c r="U6260">
        <v>-0.1204224</v>
      </c>
      <c r="V6260">
        <v>-6.5454819999999997E-2</v>
      </c>
      <c r="W6260">
        <v>0.39933619999999997</v>
      </c>
      <c r="X6260">
        <v>0.91446499999999997</v>
      </c>
      <c r="Y6260">
        <v>-1.3998149999999999E-2</v>
      </c>
      <c r="Z6260">
        <v>8.420805E-3</v>
      </c>
      <c r="AA6260">
        <v>0.99986649999999999</v>
      </c>
      <c r="AB6260">
        <v>26</v>
      </c>
      <c r="AC6260">
        <v>0.53899999999998705</v>
      </c>
      <c r="AD6260">
        <v>-0.1215005</v>
      </c>
      <c r="AE6260">
        <v>-1.30999999999801E-2</v>
      </c>
      <c r="AF6260">
        <v>-1.27763708188298E-2</v>
      </c>
      <c r="AG6260">
        <v>-0.1215005</v>
      </c>
      <c r="AH6260">
        <v>0.51294298731743804</v>
      </c>
      <c r="AI6260">
        <v>103.322027794763</v>
      </c>
      <c r="AJ6260">
        <v>91.426826789405993</v>
      </c>
      <c r="AK6260">
        <v>0.52729130031671101</v>
      </c>
      <c r="AL6260">
        <v>66.463311936473801</v>
      </c>
      <c r="AM6260">
        <v>94.094087744524302</v>
      </c>
      <c r="AN6260">
        <v>0.99999998515833599</v>
      </c>
    </row>
    <row r="6261" spans="1:40" x14ac:dyDescent="0.25">
      <c r="A6261" t="str">
        <f>"20190304164811290"</f>
        <v>20190304164811290</v>
      </c>
      <c r="B6261" t="str">
        <f>"1551689291285422"</f>
        <v>1551689291285422</v>
      </c>
      <c r="C6261" t="s">
        <v>40</v>
      </c>
      <c r="D6261">
        <v>5.2242259999999998</v>
      </c>
      <c r="E6261">
        <v>0.53125800000000001</v>
      </c>
      <c r="F6261" t="s">
        <v>41</v>
      </c>
      <c r="G6261">
        <v>-162.0446</v>
      </c>
      <c r="H6261">
        <v>0.98751909999999998</v>
      </c>
      <c r="I6261">
        <v>138.96019999999999</v>
      </c>
      <c r="J6261">
        <v>-162.56700000000001</v>
      </c>
      <c r="K6261">
        <v>1.1091629999999999</v>
      </c>
      <c r="L6261">
        <v>138.9691</v>
      </c>
      <c r="M6261">
        <v>0.99860610000000005</v>
      </c>
      <c r="N6261">
        <v>-1.1049150000000001E-2</v>
      </c>
      <c r="O6261">
        <v>-5.1613970000000002E-2</v>
      </c>
      <c r="P6261">
        <v>0.92014039999999997</v>
      </c>
      <c r="Q6261">
        <v>0.39104100000000003</v>
      </c>
      <c r="R6261">
        <v>2.070497E-2</v>
      </c>
      <c r="S6261">
        <v>3.491943</v>
      </c>
      <c r="T6261">
        <v>-0.54985479999999998</v>
      </c>
      <c r="U6261">
        <v>-0.1086121</v>
      </c>
      <c r="V6261">
        <v>-6.6411520000000002E-2</v>
      </c>
      <c r="W6261">
        <v>0.40145399999999998</v>
      </c>
      <c r="X6261">
        <v>0.91346819999999895</v>
      </c>
      <c r="Y6261">
        <v>-1.973629E-2</v>
      </c>
      <c r="Z6261">
        <v>9.1578760000000006E-3</v>
      </c>
      <c r="AA6261">
        <v>0.99976330000000002</v>
      </c>
      <c r="AB6261">
        <v>26</v>
      </c>
      <c r="AC6261">
        <v>0.52240000000000397</v>
      </c>
      <c r="AD6261">
        <v>-0.1216439</v>
      </c>
      <c r="AE6261">
        <v>-8.9000000000112305E-3</v>
      </c>
      <c r="AF6261">
        <v>-1.7147163866333599E-2</v>
      </c>
      <c r="AG6261">
        <v>-0.1216439</v>
      </c>
      <c r="AH6261">
        <v>0.49531395960459901</v>
      </c>
      <c r="AI6261">
        <v>103.79021336965199</v>
      </c>
      <c r="AJ6261">
        <v>91.982718038639604</v>
      </c>
      <c r="AK6261">
        <v>0.510320666066989</v>
      </c>
      <c r="AL6261">
        <v>66.330892899062704</v>
      </c>
      <c r="AM6261">
        <v>94.158236512780604</v>
      </c>
      <c r="AN6261">
        <v>0.99999997825797404</v>
      </c>
    </row>
    <row r="6262" spans="1:40" x14ac:dyDescent="0.25">
      <c r="A6262" t="str">
        <f>"20190304164811310"</f>
        <v>20190304164811310</v>
      </c>
      <c r="B6262" t="str">
        <f>"1551689291305919"</f>
        <v>1551689291305919</v>
      </c>
      <c r="C6262" t="s">
        <v>40</v>
      </c>
      <c r="D6262">
        <v>5.1289290000000003</v>
      </c>
      <c r="E6262">
        <v>0.53126989999999996</v>
      </c>
      <c r="F6262" t="s">
        <v>41</v>
      </c>
      <c r="G6262">
        <v>-161.81120000000001</v>
      </c>
      <c r="H6262">
        <v>0.99088290000000001</v>
      </c>
      <c r="I6262">
        <v>138.94640000000001</v>
      </c>
      <c r="J6262">
        <v>-162.3313</v>
      </c>
      <c r="K6262">
        <v>1.1094029999999999</v>
      </c>
      <c r="L6262">
        <v>138.9545</v>
      </c>
      <c r="M6262">
        <v>0.998502</v>
      </c>
      <c r="N6262">
        <v>-1.101195E-2</v>
      </c>
      <c r="O6262">
        <v>-5.3596230000000002E-2</v>
      </c>
      <c r="P6262">
        <v>0.92059080000000004</v>
      </c>
      <c r="Q6262">
        <v>0.38987179999999999</v>
      </c>
      <c r="R6262">
        <v>2.2641100000000001E-2</v>
      </c>
      <c r="S6262">
        <v>3.495193</v>
      </c>
      <c r="T6262">
        <v>-0.54697839999999998</v>
      </c>
      <c r="U6262">
        <v>-0.104126</v>
      </c>
      <c r="V6262">
        <v>-7.0438529999999999E-2</v>
      </c>
      <c r="W6262">
        <v>0.40022740000000001</v>
      </c>
      <c r="X6262">
        <v>0.91370479999999998</v>
      </c>
      <c r="Y6262">
        <v>-2.2978800000000001E-2</v>
      </c>
      <c r="Z6262">
        <v>9.6573309999999999E-3</v>
      </c>
      <c r="AA6262">
        <v>0.9996893</v>
      </c>
      <c r="AB6262">
        <v>26</v>
      </c>
      <c r="AC6262">
        <v>0.52009999999998502</v>
      </c>
      <c r="AD6262">
        <v>-0.1185201</v>
      </c>
      <c r="AE6262">
        <v>-8.0999999999846698E-3</v>
      </c>
      <c r="AF6262">
        <v>-1.8812076054944799E-2</v>
      </c>
      <c r="AG6262">
        <v>-0.1185201</v>
      </c>
      <c r="AH6262">
        <v>0.49413289410393901</v>
      </c>
      <c r="AI6262">
        <v>103.478454063294</v>
      </c>
      <c r="AJ6262">
        <v>92.180248033214298</v>
      </c>
      <c r="AK6262">
        <v>0.50849604260509496</v>
      </c>
      <c r="AL6262">
        <v>66.407605128926505</v>
      </c>
      <c r="AM6262">
        <v>94.408276980337604</v>
      </c>
      <c r="AN6262">
        <v>1.0000000098811801</v>
      </c>
    </row>
    <row r="6263" spans="1:40" x14ac:dyDescent="0.25">
      <c r="A6263" t="str">
        <f>"20190304164811332"</f>
        <v>20190304164811332</v>
      </c>
      <c r="B6263" t="str">
        <f>"1551689291326110"</f>
        <v>1551689291326110</v>
      </c>
      <c r="C6263" t="s">
        <v>40</v>
      </c>
      <c r="D6263">
        <v>5.1584979999999998</v>
      </c>
      <c r="E6263">
        <v>0.53126960000000001</v>
      </c>
      <c r="F6263" t="s">
        <v>41</v>
      </c>
      <c r="G6263">
        <v>-161.5796</v>
      </c>
      <c r="H6263">
        <v>0.99034390000000005</v>
      </c>
      <c r="I6263">
        <v>138.93209999999999</v>
      </c>
      <c r="J6263">
        <v>-162.07380000000001</v>
      </c>
      <c r="K6263">
        <v>1.1096870000000001</v>
      </c>
      <c r="L6263">
        <v>138.9385</v>
      </c>
      <c r="M6263">
        <v>0.99840379999999995</v>
      </c>
      <c r="N6263">
        <v>-1.096958E-2</v>
      </c>
      <c r="O6263">
        <v>-5.540378E-2</v>
      </c>
      <c r="P6263">
        <v>0.92154029999999998</v>
      </c>
      <c r="Q6263">
        <v>0.38749309999999998</v>
      </c>
      <c r="R6263">
        <v>2.4755940000000001E-2</v>
      </c>
      <c r="S6263">
        <v>3.495819</v>
      </c>
      <c r="T6263">
        <v>-0.55367219999999995</v>
      </c>
      <c r="U6263">
        <v>-0.1039581</v>
      </c>
      <c r="V6263">
        <v>-7.4554949999999995E-2</v>
      </c>
      <c r="W6263">
        <v>0.3977793</v>
      </c>
      <c r="X6263">
        <v>0.91444689999999995</v>
      </c>
      <c r="Y6263">
        <v>-2.4776639999999999E-2</v>
      </c>
      <c r="Z6263">
        <v>1.0195360000000001E-2</v>
      </c>
      <c r="AA6263">
        <v>0.999641</v>
      </c>
      <c r="AB6263">
        <v>26</v>
      </c>
      <c r="AC6263">
        <v>0.49420000000000602</v>
      </c>
      <c r="AD6263">
        <v>-0.11934309999999999</v>
      </c>
      <c r="AE6263">
        <v>-6.4000000000134999E-3</v>
      </c>
      <c r="AF6263">
        <v>-1.9835489931989699E-2</v>
      </c>
      <c r="AG6263">
        <v>-0.11934309999999999</v>
      </c>
      <c r="AH6263">
        <v>0.46659023564229102</v>
      </c>
      <c r="AI6263">
        <v>104.33493729196201</v>
      </c>
      <c r="AJ6263">
        <v>92.434268610175096</v>
      </c>
      <c r="AK6263">
        <v>0.48201936701255099</v>
      </c>
      <c r="AL6263">
        <v>66.560574310893003</v>
      </c>
      <c r="AM6263">
        <v>94.661021536370896</v>
      </c>
      <c r="AN6263">
        <v>0.99999997249880002</v>
      </c>
    </row>
    <row r="6264" spans="1:40" x14ac:dyDescent="0.25">
      <c r="A6264" t="str">
        <f>"20190304164811354"</f>
        <v>20190304164811354</v>
      </c>
      <c r="B6264" t="str">
        <f>"1551689291345631"</f>
        <v>1551689291345631</v>
      </c>
      <c r="C6264" t="s">
        <v>40</v>
      </c>
      <c r="D6264">
        <v>5.1328050000000003</v>
      </c>
      <c r="E6264">
        <v>0.53133730000000001</v>
      </c>
      <c r="F6264" t="s">
        <v>41</v>
      </c>
      <c r="G6264">
        <v>-161.34690000000001</v>
      </c>
      <c r="H6264">
        <v>0.99224760000000001</v>
      </c>
      <c r="I6264">
        <v>138.91650000000001</v>
      </c>
      <c r="J6264">
        <v>-161.82589999999999</v>
      </c>
      <c r="K6264">
        <v>1.1099589999999999</v>
      </c>
      <c r="L6264">
        <v>138.92310000000001</v>
      </c>
      <c r="M6264">
        <v>0.9983282</v>
      </c>
      <c r="N6264">
        <v>-1.0928459999999999E-2</v>
      </c>
      <c r="O6264">
        <v>-5.6759379999999998E-2</v>
      </c>
      <c r="P6264">
        <v>0.92193700000000001</v>
      </c>
      <c r="Q6264">
        <v>0.38669130000000002</v>
      </c>
      <c r="R6264">
        <v>2.2415029999999999E-2</v>
      </c>
      <c r="S6264">
        <v>3.4957280000000002</v>
      </c>
      <c r="T6264">
        <v>-0.56479380000000001</v>
      </c>
      <c r="U6264">
        <v>-0.1050415</v>
      </c>
      <c r="V6264">
        <v>-7.3763029999999993E-2</v>
      </c>
      <c r="W6264">
        <v>0.39689059999999998</v>
      </c>
      <c r="X6264">
        <v>0.91489719999999997</v>
      </c>
      <c r="Y6264">
        <v>-2.5755839999999999E-2</v>
      </c>
      <c r="Z6264">
        <v>1.0695410000000001E-2</v>
      </c>
      <c r="AA6264">
        <v>0.99961100000000003</v>
      </c>
      <c r="AB6264">
        <v>26</v>
      </c>
      <c r="AC6264">
        <v>0.47899999999998399</v>
      </c>
      <c r="AD6264">
        <v>-0.11771139999999899</v>
      </c>
      <c r="AE6264">
        <v>-6.5999999999917201E-3</v>
      </c>
      <c r="AF6264">
        <v>-1.94270263562481E-2</v>
      </c>
      <c r="AG6264">
        <v>-0.11771139999999899</v>
      </c>
      <c r="AH6264">
        <v>0.45135040075481397</v>
      </c>
      <c r="AI6264">
        <v>104.60410607449499</v>
      </c>
      <c r="AJ6264">
        <v>92.464604011712396</v>
      </c>
      <c r="AK6264">
        <v>0.46685176159519498</v>
      </c>
      <c r="AL6264">
        <v>66.616062022681902</v>
      </c>
      <c r="AM6264">
        <v>94.609466982648399</v>
      </c>
      <c r="AN6264">
        <v>1.00000000976549</v>
      </c>
    </row>
    <row r="6265" spans="1:40" x14ac:dyDescent="0.25">
      <c r="A6265" t="str">
        <f>"20190304164811376"</f>
        <v>20190304164811376</v>
      </c>
      <c r="B6265" t="str">
        <f>"1551689291366126"</f>
        <v>1551689291366126</v>
      </c>
      <c r="C6265" t="s">
        <v>40</v>
      </c>
      <c r="D6265">
        <v>5.1588580000000004</v>
      </c>
      <c r="E6265">
        <v>0.53139809999999998</v>
      </c>
      <c r="F6265" t="s">
        <v>41</v>
      </c>
      <c r="G6265">
        <v>-161.114</v>
      </c>
      <c r="H6265">
        <v>0.99468599999999996</v>
      </c>
      <c r="I6265">
        <v>138.8998</v>
      </c>
      <c r="J6265">
        <v>-161.56139999999999</v>
      </c>
      <c r="K6265">
        <v>1.1102430000000001</v>
      </c>
      <c r="L6265">
        <v>138.9067</v>
      </c>
      <c r="M6265">
        <v>0.99827160000000004</v>
      </c>
      <c r="N6265">
        <v>-1.088735E-2</v>
      </c>
      <c r="O6265">
        <v>-5.7752980000000002E-2</v>
      </c>
      <c r="P6265">
        <v>0.92223580000000005</v>
      </c>
      <c r="Q6265">
        <v>0.3861694</v>
      </c>
      <c r="R6265">
        <v>1.8839930000000001E-2</v>
      </c>
      <c r="S6265">
        <v>3.49411</v>
      </c>
      <c r="T6265">
        <v>-0.56582650000000001</v>
      </c>
      <c r="U6265">
        <v>-0.11361690000000001</v>
      </c>
      <c r="V6265">
        <v>-7.1408330000000006E-2</v>
      </c>
      <c r="W6265">
        <v>0.3962791</v>
      </c>
      <c r="X6265">
        <v>0.91534899999999997</v>
      </c>
      <c r="Y6265">
        <v>-2.4290240000000001E-2</v>
      </c>
      <c r="Z6265">
        <v>1.074481E-2</v>
      </c>
      <c r="AA6265">
        <v>0.99964719999999996</v>
      </c>
      <c r="AB6265">
        <v>26</v>
      </c>
      <c r="AC6265">
        <v>0.44739999999998697</v>
      </c>
      <c r="AD6265">
        <v>-0.11555700000000001</v>
      </c>
      <c r="AE6265">
        <v>-6.90000000000168E-3</v>
      </c>
      <c r="AF6265">
        <v>-1.7766765891945799E-2</v>
      </c>
      <c r="AG6265">
        <v>-0.11555700000000001</v>
      </c>
      <c r="AH6265">
        <v>0.41909957376014001</v>
      </c>
      <c r="AI6265">
        <v>105.401785092323</v>
      </c>
      <c r="AJ6265">
        <v>92.427469782989107</v>
      </c>
      <c r="AK6265">
        <v>0.43510174780755601</v>
      </c>
      <c r="AL6265">
        <v>66.654228663722805</v>
      </c>
      <c r="AM6265">
        <v>94.460731561945494</v>
      </c>
      <c r="AN6265">
        <v>1.0000000332455901</v>
      </c>
    </row>
    <row r="6266" spans="1:40" x14ac:dyDescent="0.25">
      <c r="A6266" t="str">
        <f>"20190304164811401"</f>
        <v>20190304164811401</v>
      </c>
      <c r="B6266" t="str">
        <f>"1551689291395407"</f>
        <v>1551689291395407</v>
      </c>
      <c r="C6266" t="s">
        <v>40</v>
      </c>
      <c r="D6266">
        <v>5.1182489999999996</v>
      </c>
      <c r="E6266">
        <v>0.53142469999999997</v>
      </c>
      <c r="F6266" t="s">
        <v>41</v>
      </c>
      <c r="G6266">
        <v>-160.6644</v>
      </c>
      <c r="H6266">
        <v>0.9635205</v>
      </c>
      <c r="I6266">
        <v>138.87549999999999</v>
      </c>
      <c r="J6266">
        <v>-161.27680000000001</v>
      </c>
      <c r="K6266">
        <v>1.1105130000000001</v>
      </c>
      <c r="L6266">
        <v>138.88929999999999</v>
      </c>
      <c r="M6266">
        <v>0.99823669999999998</v>
      </c>
      <c r="N6266">
        <v>-1.0841669999999999E-2</v>
      </c>
      <c r="O6266">
        <v>-5.836127E-2</v>
      </c>
      <c r="P6266">
        <v>0.92334430000000001</v>
      </c>
      <c r="Q6266">
        <v>0.38358219999999998</v>
      </c>
      <c r="R6266">
        <v>1.732098E-2</v>
      </c>
      <c r="S6266">
        <v>3.4948429999999999</v>
      </c>
      <c r="T6266">
        <v>-0.5716888</v>
      </c>
      <c r="U6266">
        <v>-0.1213226</v>
      </c>
      <c r="V6266">
        <v>-7.0796520000000002E-2</v>
      </c>
      <c r="W6266">
        <v>0.39361210000000002</v>
      </c>
      <c r="X6266">
        <v>0.91654650000000004</v>
      </c>
      <c r="Y6266">
        <v>-2.269904E-2</v>
      </c>
      <c r="Z6266">
        <v>1.0813120000000001E-2</v>
      </c>
      <c r="AA6266">
        <v>0.99968389999999996</v>
      </c>
      <c r="AB6266">
        <v>26</v>
      </c>
      <c r="AC6266">
        <v>0.61240000000000705</v>
      </c>
      <c r="AD6266">
        <v>-0.146992499999999</v>
      </c>
      <c r="AE6266">
        <v>-1.3800000000003299E-2</v>
      </c>
      <c r="AF6266">
        <v>-2.0770049184088899E-2</v>
      </c>
      <c r="AG6266">
        <v>-0.146992499999999</v>
      </c>
      <c r="AH6266">
        <v>0.57883030527389201</v>
      </c>
      <c r="AI6266">
        <v>104.24012324394501</v>
      </c>
      <c r="AJ6266">
        <v>92.055051002536899</v>
      </c>
      <c r="AK6266">
        <v>0.59756398176498704</v>
      </c>
      <c r="AL6266">
        <v>66.820559092812999</v>
      </c>
      <c r="AM6266">
        <v>94.416909845219607</v>
      </c>
      <c r="AN6266">
        <v>1.0000000595863801</v>
      </c>
    </row>
    <row r="6267" spans="1:40" x14ac:dyDescent="0.25">
      <c r="A6267" t="str">
        <f>"20190304164811428"</f>
        <v>20190304164811428</v>
      </c>
      <c r="B6267" t="str">
        <f>"1551689291415902"</f>
        <v>1551689291415902</v>
      </c>
      <c r="C6267" t="s">
        <v>40</v>
      </c>
      <c r="D6267">
        <v>5.075958</v>
      </c>
      <c r="E6267">
        <v>0.53141740000000004</v>
      </c>
      <c r="F6267" t="s">
        <v>41</v>
      </c>
      <c r="G6267">
        <v>-160.43010000000001</v>
      </c>
      <c r="H6267">
        <v>0.96884859999999995</v>
      </c>
      <c r="I6267">
        <v>138.8578</v>
      </c>
      <c r="J6267">
        <v>-160.98060000000001</v>
      </c>
      <c r="K6267">
        <v>1.110735</v>
      </c>
      <c r="L6267">
        <v>138.87139999999999</v>
      </c>
      <c r="M6267">
        <v>0.99822169999999999</v>
      </c>
      <c r="N6267">
        <v>-1.079457E-2</v>
      </c>
      <c r="O6267">
        <v>-5.8626709999999999E-2</v>
      </c>
      <c r="P6267">
        <v>0.92443189999999997</v>
      </c>
      <c r="Q6267">
        <v>0.38094070000000002</v>
      </c>
      <c r="R6267">
        <v>1.760227E-2</v>
      </c>
      <c r="S6267">
        <v>3.4943849999999999</v>
      </c>
      <c r="T6267">
        <v>-0.58468209999999998</v>
      </c>
      <c r="U6267">
        <v>-0.12927249999999901</v>
      </c>
      <c r="V6267">
        <v>-7.1614670000000005E-2</v>
      </c>
      <c r="W6267">
        <v>0.39089780000000002</v>
      </c>
      <c r="X6267">
        <v>0.91764380000000001</v>
      </c>
      <c r="Y6267">
        <v>-2.0667950000000001E-2</v>
      </c>
      <c r="Z6267">
        <v>1.093161E-2</v>
      </c>
      <c r="AA6267">
        <v>0.99972669999999997</v>
      </c>
      <c r="AB6267">
        <v>26</v>
      </c>
      <c r="AC6267">
        <v>0.55049999999999899</v>
      </c>
      <c r="AD6267">
        <v>-0.1418864</v>
      </c>
      <c r="AE6267">
        <v>-1.35999999999967E-2</v>
      </c>
      <c r="AF6267">
        <v>-1.7535121853658301E-2</v>
      </c>
      <c r="AG6267">
        <v>-0.1418864</v>
      </c>
      <c r="AH6267">
        <v>0.51608740276086296</v>
      </c>
      <c r="AI6267">
        <v>105.363920111114</v>
      </c>
      <c r="AJ6267">
        <v>91.945992326912901</v>
      </c>
      <c r="AK6267">
        <v>0.53552351796334396</v>
      </c>
      <c r="AL6267">
        <v>66.989624040947305</v>
      </c>
      <c r="AM6267">
        <v>94.462426904227698</v>
      </c>
      <c r="AN6267">
        <v>0.99999994734124298</v>
      </c>
    </row>
    <row r="6268" spans="1:40" x14ac:dyDescent="0.25">
      <c r="A6268" t="str">
        <f>"20190304164811463"</f>
        <v>20190304164811463</v>
      </c>
      <c r="B6268" t="str">
        <f>"1551689291455527"</f>
        <v>1551689291455527</v>
      </c>
      <c r="C6268" t="s">
        <v>40</v>
      </c>
      <c r="D6268">
        <v>5.107062</v>
      </c>
      <c r="E6268">
        <v>0.53146079999999996</v>
      </c>
      <c r="F6268" t="s">
        <v>41</v>
      </c>
      <c r="G6268">
        <v>-160.1942</v>
      </c>
      <c r="H6268">
        <v>0.97676660000000004</v>
      </c>
      <c r="I6268">
        <v>138.84139999999999</v>
      </c>
      <c r="J6268">
        <v>-160.55940000000001</v>
      </c>
      <c r="K6268">
        <v>1.1109560000000001</v>
      </c>
      <c r="L6268">
        <v>138.84649999999999</v>
      </c>
      <c r="M6268">
        <v>0.99823059999999997</v>
      </c>
      <c r="N6268">
        <v>-1.0724310000000001E-2</v>
      </c>
      <c r="O6268">
        <v>-5.8488690000000003E-2</v>
      </c>
      <c r="P6268">
        <v>0.92529280000000003</v>
      </c>
      <c r="Q6268">
        <v>0.37885210000000002</v>
      </c>
      <c r="R6268">
        <v>1.7452410000000002E-2</v>
      </c>
      <c r="S6268">
        <v>3.4929809999999999</v>
      </c>
      <c r="T6268">
        <v>-0.59510529999999995</v>
      </c>
      <c r="U6268">
        <v>-0.13287349999999901</v>
      </c>
      <c r="V6268">
        <v>-7.1617879999999995E-2</v>
      </c>
      <c r="W6268">
        <v>0.38871240000000001</v>
      </c>
      <c r="X6268">
        <v>0.91857149999999999</v>
      </c>
      <c r="Y6268">
        <v>-1.9466609999999999E-2</v>
      </c>
      <c r="Z6268">
        <v>1.1010809999999999E-2</v>
      </c>
      <c r="AA6268">
        <v>0.99974989999999997</v>
      </c>
      <c r="AB6268">
        <v>26</v>
      </c>
      <c r="AC6268">
        <v>0.36520000000001501</v>
      </c>
      <c r="AD6268">
        <v>-0.13418939999999999</v>
      </c>
      <c r="AE6268">
        <v>-5.0999999999987696E-3</v>
      </c>
      <c r="AF6268">
        <v>-1.4334996593020699E-2</v>
      </c>
      <c r="AG6268">
        <v>-0.13418939999999999</v>
      </c>
      <c r="AH6268">
        <v>0.32147788124105597</v>
      </c>
      <c r="AI6268">
        <v>112.636123374679</v>
      </c>
      <c r="AJ6268">
        <v>92.553180586612001</v>
      </c>
      <c r="AK6268">
        <v>0.34865500903747298</v>
      </c>
      <c r="AL6268">
        <v>67.125595751815993</v>
      </c>
      <c r="AM6268">
        <v>94.458137320267795</v>
      </c>
      <c r="AN6268">
        <v>1.0000000256308501</v>
      </c>
    </row>
    <row r="6269" spans="1:40" x14ac:dyDescent="0.25">
      <c r="A6269" t="str">
        <f>"20190304164811486"</f>
        <v>20190304164811486</v>
      </c>
      <c r="B6269" t="str">
        <f>"1551689291476023"</f>
        <v>1551689291476023</v>
      </c>
      <c r="C6269" t="s">
        <v>40</v>
      </c>
      <c r="D6269">
        <v>5.1471119999999999</v>
      </c>
      <c r="E6269">
        <v>0.53144060000000004</v>
      </c>
      <c r="F6269" t="s">
        <v>41</v>
      </c>
      <c r="G6269">
        <v>-159.7328</v>
      </c>
      <c r="H6269">
        <v>0.96854750000000001</v>
      </c>
      <c r="I6269">
        <v>138.81360000000001</v>
      </c>
      <c r="J6269">
        <v>-160.28120000000001</v>
      </c>
      <c r="K6269">
        <v>1.1110629999999999</v>
      </c>
      <c r="L6269">
        <v>138.8304</v>
      </c>
      <c r="M6269">
        <v>0.99824990000000002</v>
      </c>
      <c r="N6269">
        <v>-1.0671770000000001E-2</v>
      </c>
      <c r="O6269">
        <v>-5.816491E-2</v>
      </c>
      <c r="P6269">
        <v>0.92561740000000003</v>
      </c>
      <c r="Q6269">
        <v>0.37803829999999999</v>
      </c>
      <c r="R6269">
        <v>1.7880389999999999E-2</v>
      </c>
      <c r="S6269">
        <v>3.4911349999999999</v>
      </c>
      <c r="T6269">
        <v>-0.60148500000000005</v>
      </c>
      <c r="U6269">
        <v>-0.13929749999999999</v>
      </c>
      <c r="V6269">
        <v>-7.1872320000000003E-2</v>
      </c>
      <c r="W6269">
        <v>0.3878335</v>
      </c>
      <c r="X6269">
        <v>0.91892300000000005</v>
      </c>
      <c r="Y6269">
        <v>-1.7298890000000001E-2</v>
      </c>
      <c r="Z6269">
        <v>1.089204E-2</v>
      </c>
      <c r="AA6269">
        <v>0.99979099999999999</v>
      </c>
      <c r="AB6269">
        <v>26</v>
      </c>
      <c r="AC6269">
        <v>0.54840000000001499</v>
      </c>
      <c r="AD6269">
        <v>-0.14251549999999899</v>
      </c>
      <c r="AE6269">
        <v>-1.6799999999989199E-2</v>
      </c>
      <c r="AF6269">
        <v>-1.4171710491940199E-2</v>
      </c>
      <c r="AG6269">
        <v>-0.14251549999999899</v>
      </c>
      <c r="AH6269">
        <v>0.51378284875268598</v>
      </c>
      <c r="AI6269">
        <v>105.497589446338</v>
      </c>
      <c r="AJ6269">
        <v>91.579993124788103</v>
      </c>
      <c r="AK6269">
        <v>0.53337071609804598</v>
      </c>
      <c r="AL6269">
        <v>67.180238760618806</v>
      </c>
      <c r="AM6269">
        <v>94.472207366456999</v>
      </c>
      <c r="AN6269">
        <v>0.99999996701671501</v>
      </c>
    </row>
    <row r="6270" spans="1:40" x14ac:dyDescent="0.25">
      <c r="A6270" t="str">
        <f>"20190304164811509"</f>
        <v>20190304164811509</v>
      </c>
      <c r="B6270" t="str">
        <f>"1551689291505304"</f>
        <v>1551689291505304</v>
      </c>
      <c r="C6270" t="s">
        <v>40</v>
      </c>
      <c r="D6270">
        <v>5.1338900000000001</v>
      </c>
      <c r="E6270">
        <v>0.53141989999999995</v>
      </c>
      <c r="F6270" t="s">
        <v>41</v>
      </c>
      <c r="G6270">
        <v>-159.4967</v>
      </c>
      <c r="H6270">
        <v>0.9754777</v>
      </c>
      <c r="I6270">
        <v>138.79910000000001</v>
      </c>
      <c r="J6270">
        <v>-160.0224</v>
      </c>
      <c r="K6270">
        <v>1.1111340000000001</v>
      </c>
      <c r="L6270">
        <v>138.81559999999999</v>
      </c>
      <c r="M6270">
        <v>0.99827259999999995</v>
      </c>
      <c r="N6270">
        <v>-1.06243E-2</v>
      </c>
      <c r="O6270">
        <v>-5.7784469999999998E-2</v>
      </c>
      <c r="P6270">
        <v>0.9261568</v>
      </c>
      <c r="Q6270">
        <v>0.37668639999999998</v>
      </c>
      <c r="R6270">
        <v>1.8475499999999999E-2</v>
      </c>
      <c r="S6270">
        <v>3.4901580000000001</v>
      </c>
      <c r="T6270">
        <v>-0.60332189999999997</v>
      </c>
      <c r="U6270">
        <v>-0.13818359999999999</v>
      </c>
      <c r="V6270">
        <v>-7.2214639999999997E-2</v>
      </c>
      <c r="W6270">
        <v>0.38643060000000001</v>
      </c>
      <c r="X6270">
        <v>0.9194871</v>
      </c>
      <c r="Y6270">
        <v>-1.7223929999999998E-2</v>
      </c>
      <c r="Z6270">
        <v>1.086406E-2</v>
      </c>
      <c r="AA6270">
        <v>0.99979260000000003</v>
      </c>
      <c r="AB6270">
        <v>26</v>
      </c>
      <c r="AC6270">
        <v>0.52569999999999995</v>
      </c>
      <c r="AD6270">
        <v>-0.13565630000000001</v>
      </c>
      <c r="AE6270">
        <v>-1.6499999999979299E-2</v>
      </c>
      <c r="AF6270">
        <v>-1.3039168478424699E-2</v>
      </c>
      <c r="AG6270">
        <v>-0.13565630000000001</v>
      </c>
      <c r="AH6270">
        <v>0.492980136788923</v>
      </c>
      <c r="AI6270">
        <v>105.380501453985</v>
      </c>
      <c r="AJ6270">
        <v>91.515101972364107</v>
      </c>
      <c r="AK6270">
        <v>0.51147049466486705</v>
      </c>
      <c r="AL6270">
        <v>67.267418665485707</v>
      </c>
      <c r="AM6270">
        <v>94.490675565799705</v>
      </c>
      <c r="AN6270">
        <v>1.00000004495654</v>
      </c>
    </row>
    <row r="6271" spans="1:40" x14ac:dyDescent="0.25">
      <c r="A6271" t="str">
        <f>"20190304164811532"</f>
        <v>20190304164811532</v>
      </c>
      <c r="B6271" t="str">
        <f>"1551689291525800"</f>
        <v>1551689291525800</v>
      </c>
      <c r="C6271" t="s">
        <v>40</v>
      </c>
      <c r="D6271">
        <v>5.0995679999999997</v>
      </c>
      <c r="E6271">
        <v>0.53137670000000004</v>
      </c>
      <c r="F6271" t="s">
        <v>41</v>
      </c>
      <c r="G6271">
        <v>-159.26179999999999</v>
      </c>
      <c r="H6271">
        <v>0.9788268</v>
      </c>
      <c r="I6271">
        <v>138.78569999999999</v>
      </c>
      <c r="J6271">
        <v>-159.74529999999999</v>
      </c>
      <c r="K6271">
        <v>1.111164</v>
      </c>
      <c r="L6271">
        <v>138.79990000000001</v>
      </c>
      <c r="M6271">
        <v>0.99829860000000004</v>
      </c>
      <c r="N6271">
        <v>-1.0574200000000001E-2</v>
      </c>
      <c r="O6271">
        <v>-5.7343579999999998E-2</v>
      </c>
      <c r="P6271">
        <v>0.92674829999999997</v>
      </c>
      <c r="Q6271">
        <v>0.37514530000000001</v>
      </c>
      <c r="R6271">
        <v>2.010122E-2</v>
      </c>
      <c r="S6271">
        <v>3.4887700000000001</v>
      </c>
      <c r="T6271">
        <v>-0.60690569999999999</v>
      </c>
      <c r="U6271">
        <v>-0.13690189999999999</v>
      </c>
      <c r="V6271">
        <v>-7.3505249999999994E-2</v>
      </c>
      <c r="W6271">
        <v>0.38484010000000002</v>
      </c>
      <c r="X6271">
        <v>0.92005159999999997</v>
      </c>
      <c r="Y6271">
        <v>-1.7126809999999999E-2</v>
      </c>
      <c r="Z6271">
        <v>1.0857550000000001E-2</v>
      </c>
      <c r="AA6271">
        <v>0.99979439999999997</v>
      </c>
      <c r="AB6271">
        <v>26</v>
      </c>
      <c r="AC6271">
        <v>0.48349999999999199</v>
      </c>
      <c r="AD6271">
        <v>-0.13233719999999999</v>
      </c>
      <c r="AE6271">
        <v>-1.42000000000166E-2</v>
      </c>
      <c r="AF6271">
        <v>-1.26069004097294E-2</v>
      </c>
      <c r="AG6271">
        <v>-0.13233719999999999</v>
      </c>
      <c r="AH6271">
        <v>0.449847210842099</v>
      </c>
      <c r="AI6271">
        <v>106.386874461567</v>
      </c>
      <c r="AJ6271">
        <v>91.605285429825003</v>
      </c>
      <c r="AK6271">
        <v>0.46907843858378001</v>
      </c>
      <c r="AL6271">
        <v>67.366184623499194</v>
      </c>
      <c r="AM6271">
        <v>94.567802784739797</v>
      </c>
      <c r="AN6271">
        <v>0.99999993550406396</v>
      </c>
    </row>
    <row r="6272" spans="1:40" x14ac:dyDescent="0.25">
      <c r="A6272" t="str">
        <f>"20190304164811557"</f>
        <v>20190304164811557</v>
      </c>
      <c r="B6272" t="str">
        <f>"1551689291545319"</f>
        <v>1551689291545319</v>
      </c>
      <c r="C6272" t="s">
        <v>40</v>
      </c>
      <c r="D6272">
        <v>5.065893</v>
      </c>
      <c r="E6272">
        <v>0.53131870000000003</v>
      </c>
      <c r="F6272" t="s">
        <v>41</v>
      </c>
      <c r="G6272">
        <v>-159.02529999999999</v>
      </c>
      <c r="H6272">
        <v>0.98497049999999997</v>
      </c>
      <c r="I6272">
        <v>138.77279999999999</v>
      </c>
      <c r="J6272">
        <v>-159.4709</v>
      </c>
      <c r="K6272">
        <v>1.111157</v>
      </c>
      <c r="L6272">
        <v>138.78460000000001</v>
      </c>
      <c r="M6272">
        <v>0.99832449999999995</v>
      </c>
      <c r="N6272">
        <v>-1.0524210000000001E-2</v>
      </c>
      <c r="O6272">
        <v>-5.6900350000000002E-2</v>
      </c>
      <c r="P6272">
        <v>0.92695780000000005</v>
      </c>
      <c r="Q6272">
        <v>0.37451119999999999</v>
      </c>
      <c r="R6272">
        <v>2.2146929999999999E-2</v>
      </c>
      <c r="S6272">
        <v>3.4874269999999998</v>
      </c>
      <c r="T6272">
        <v>-0.61135509999999904</v>
      </c>
      <c r="U6272">
        <v>-0.13087460000000001</v>
      </c>
      <c r="V6272">
        <v>-7.5160729999999995E-2</v>
      </c>
      <c r="W6272">
        <v>0.3841579</v>
      </c>
      <c r="X6272">
        <v>0.92020299999999999</v>
      </c>
      <c r="Y6272">
        <v>-1.8362170000000001E-2</v>
      </c>
      <c r="Z6272">
        <v>1.0988629999999999E-2</v>
      </c>
      <c r="AA6272">
        <v>0.99977099999999997</v>
      </c>
      <c r="AB6272">
        <v>26</v>
      </c>
      <c r="AC6272">
        <v>0.44560000000001299</v>
      </c>
      <c r="AD6272">
        <v>-0.12618649999999901</v>
      </c>
      <c r="AE6272">
        <v>-1.1800000000022201E-2</v>
      </c>
      <c r="AF6272">
        <v>-1.2568148367957801E-2</v>
      </c>
      <c r="AG6272">
        <v>-0.12618649999999901</v>
      </c>
      <c r="AH6272">
        <v>0.41249360762972997</v>
      </c>
      <c r="AI6272">
        <v>107.00203456059501</v>
      </c>
      <c r="AJ6272">
        <v>91.745188615828098</v>
      </c>
      <c r="AK6272">
        <v>0.43154602010798199</v>
      </c>
      <c r="AL6272">
        <v>67.408528252567393</v>
      </c>
      <c r="AM6272">
        <v>94.669463433655906</v>
      </c>
      <c r="AN6272">
        <v>0.99999999433777098</v>
      </c>
    </row>
    <row r="6273" spans="1:40" x14ac:dyDescent="0.25">
      <c r="A6273" t="str">
        <f>"20190304164811579"</f>
        <v>20190304164811579</v>
      </c>
      <c r="B6273" t="str">
        <f>"1551689291575575"</f>
        <v>1551689291575575</v>
      </c>
      <c r="C6273" t="s">
        <v>40</v>
      </c>
      <c r="D6273">
        <v>5.0534410000000003</v>
      </c>
      <c r="E6273">
        <v>0.531228699999999</v>
      </c>
      <c r="F6273" t="s">
        <v>41</v>
      </c>
      <c r="G6273">
        <v>-158.5718</v>
      </c>
      <c r="H6273">
        <v>0.9532697</v>
      </c>
      <c r="I6273">
        <v>138.75290000000001</v>
      </c>
      <c r="J6273">
        <v>-159.202</v>
      </c>
      <c r="K6273">
        <v>1.1111329999999999</v>
      </c>
      <c r="L6273">
        <v>138.7697</v>
      </c>
      <c r="M6273">
        <v>0.99834900000000004</v>
      </c>
      <c r="N6273">
        <v>-1.047873E-2</v>
      </c>
      <c r="O6273">
        <v>-5.647692E-2</v>
      </c>
      <c r="P6273">
        <v>0.92727859999999995</v>
      </c>
      <c r="Q6273">
        <v>0.37357780000000002</v>
      </c>
      <c r="R6273">
        <v>2.4375709999999998E-2</v>
      </c>
      <c r="S6273">
        <v>3.4867249999999999</v>
      </c>
      <c r="T6273">
        <v>-0.6123691</v>
      </c>
      <c r="U6273">
        <v>-0.1221313</v>
      </c>
      <c r="V6273">
        <v>-7.7004719999999999E-2</v>
      </c>
      <c r="W6273">
        <v>0.38318469999999999</v>
      </c>
      <c r="X6273">
        <v>0.92045630000000001</v>
      </c>
      <c r="Y6273">
        <v>-2.0402320000000002E-2</v>
      </c>
      <c r="Z6273">
        <v>1.1131780000000001E-2</v>
      </c>
      <c r="AA6273">
        <v>0.99972989999999995</v>
      </c>
      <c r="AB6273">
        <v>26</v>
      </c>
      <c r="AC6273">
        <v>0.63020000000000198</v>
      </c>
      <c r="AD6273">
        <v>-0.15786329999999901</v>
      </c>
      <c r="AE6273">
        <v>-1.6799999999989199E-2</v>
      </c>
      <c r="AF6273">
        <v>-1.7710029239167899E-2</v>
      </c>
      <c r="AG6273">
        <v>-0.15786329999999901</v>
      </c>
      <c r="AH6273">
        <v>0.59296167329219196</v>
      </c>
      <c r="AI6273">
        <v>104.90162739372199</v>
      </c>
      <c r="AJ6273">
        <v>91.710748630538802</v>
      </c>
      <c r="AK6273">
        <v>0.61387133229693802</v>
      </c>
      <c r="AL6273">
        <v>67.468910130088105</v>
      </c>
      <c r="AM6273">
        <v>94.782188298467602</v>
      </c>
      <c r="AN6273">
        <v>1.00000002071302</v>
      </c>
    </row>
    <row r="6274" spans="1:40" x14ac:dyDescent="0.25">
      <c r="A6274" t="str">
        <f>"20190304164811603"</f>
        <v>20190304164811603</v>
      </c>
      <c r="B6274" t="str">
        <f>"1551689291596071"</f>
        <v>1551689291596071</v>
      </c>
      <c r="C6274" t="s">
        <v>40</v>
      </c>
      <c r="D6274">
        <v>5.1053579999999998</v>
      </c>
      <c r="E6274">
        <v>0.53120230000000002</v>
      </c>
      <c r="F6274" t="s">
        <v>41</v>
      </c>
      <c r="G6274">
        <v>-158.3348</v>
      </c>
      <c r="H6274">
        <v>0.95831869999999997</v>
      </c>
      <c r="I6274">
        <v>138.7424</v>
      </c>
      <c r="J6274">
        <v>-158.9203</v>
      </c>
      <c r="K6274">
        <v>1.1110960000000001</v>
      </c>
      <c r="L6274">
        <v>138.7542</v>
      </c>
      <c r="M6274">
        <v>0.99837330000000002</v>
      </c>
      <c r="N6274">
        <v>-1.0436569999999999E-2</v>
      </c>
      <c r="O6274">
        <v>-5.6052789999999998E-2</v>
      </c>
      <c r="P6274">
        <v>0.92796509999999999</v>
      </c>
      <c r="Q6274">
        <v>0.37173640000000002</v>
      </c>
      <c r="R6274">
        <v>2.632702E-2</v>
      </c>
      <c r="S6274">
        <v>3.4856569999999998</v>
      </c>
      <c r="T6274">
        <v>-0.61429100000000003</v>
      </c>
      <c r="U6274">
        <v>-0.1094208</v>
      </c>
      <c r="V6274">
        <v>-7.8582460000000007E-2</v>
      </c>
      <c r="W6274">
        <v>0.38131290000000001</v>
      </c>
      <c r="X6274">
        <v>0.92110000000000003</v>
      </c>
      <c r="Y6274">
        <v>-2.3554329999999998E-2</v>
      </c>
      <c r="Z6274">
        <v>1.139658E-2</v>
      </c>
      <c r="AA6274">
        <v>0.99965760000000004</v>
      </c>
      <c r="AB6274">
        <v>26</v>
      </c>
      <c r="AC6274">
        <v>0.58549999999999602</v>
      </c>
      <c r="AD6274">
        <v>-0.15277729999999901</v>
      </c>
      <c r="AE6274">
        <v>-1.17999999999938E-2</v>
      </c>
      <c r="AF6274">
        <v>-1.9698577138835102E-2</v>
      </c>
      <c r="AG6274">
        <v>-0.15277729999999901</v>
      </c>
      <c r="AH6274">
        <v>0.54794788778062797</v>
      </c>
      <c r="AI6274">
        <v>105.569815492535</v>
      </c>
      <c r="AJ6274">
        <v>92.058881000055294</v>
      </c>
      <c r="AK6274">
        <v>0.56918874291383903</v>
      </c>
      <c r="AL6274">
        <v>67.584968860335096</v>
      </c>
      <c r="AM6274">
        <v>94.876307878693694</v>
      </c>
      <c r="AN6274">
        <v>0.99999997036303001</v>
      </c>
    </row>
    <row r="6275" spans="1:40" x14ac:dyDescent="0.25">
      <c r="A6275" t="str">
        <f>"20190304164811627"</f>
        <v>20190304164811627</v>
      </c>
      <c r="B6275" t="str">
        <f>"1551689291615592"</f>
        <v>1551689291615592</v>
      </c>
      <c r="C6275" t="s">
        <v>40</v>
      </c>
      <c r="D6275">
        <v>5.0766619999999998</v>
      </c>
      <c r="E6275">
        <v>0.5311804</v>
      </c>
      <c r="F6275" t="s">
        <v>41</v>
      </c>
      <c r="G6275">
        <v>-158.09710000000001</v>
      </c>
      <c r="H6275">
        <v>0.96442139999999998</v>
      </c>
      <c r="I6275">
        <v>138.73050000000001</v>
      </c>
      <c r="J6275">
        <v>-158.63220000000001</v>
      </c>
      <c r="K6275">
        <v>1.1110690000000001</v>
      </c>
      <c r="L6275">
        <v>138.73840000000001</v>
      </c>
      <c r="M6275">
        <v>0.99839699999999998</v>
      </c>
      <c r="N6275">
        <v>-1.039549E-2</v>
      </c>
      <c r="O6275">
        <v>-5.5636619999999998E-2</v>
      </c>
      <c r="P6275">
        <v>0.92890360000000005</v>
      </c>
      <c r="Q6275">
        <v>0.36928460000000002</v>
      </c>
      <c r="R6275">
        <v>2.7692600000000001E-2</v>
      </c>
      <c r="S6275">
        <v>3.484451</v>
      </c>
      <c r="T6275">
        <v>-0.62094550000000004</v>
      </c>
      <c r="U6275">
        <v>-9.9716189999999996E-2</v>
      </c>
      <c r="V6275">
        <v>-7.9597180000000003E-2</v>
      </c>
      <c r="W6275">
        <v>0.37883509999999998</v>
      </c>
      <c r="X6275">
        <v>0.92203489999999999</v>
      </c>
      <c r="Y6275">
        <v>-2.5849E-2</v>
      </c>
      <c r="Z6275">
        <v>1.1675359999999999E-2</v>
      </c>
      <c r="AA6275">
        <v>0.99959770000000003</v>
      </c>
      <c r="AB6275">
        <v>26</v>
      </c>
      <c r="AC6275">
        <v>0.53509999999999902</v>
      </c>
      <c r="AD6275">
        <v>-0.14664759999999999</v>
      </c>
      <c r="AE6275">
        <v>-7.9000000000064505E-3</v>
      </c>
      <c r="AF6275">
        <v>-2.0356425382708002E-2</v>
      </c>
      <c r="AG6275">
        <v>-0.14664759999999999</v>
      </c>
      <c r="AH6275">
        <v>0.49736334418990902</v>
      </c>
      <c r="AI6275">
        <v>106.415151924811</v>
      </c>
      <c r="AJ6275">
        <v>92.343732528457096</v>
      </c>
      <c r="AK6275">
        <v>0.51893178625315595</v>
      </c>
      <c r="AL6275">
        <v>67.738456459517806</v>
      </c>
      <c r="AM6275">
        <v>94.933982058018799</v>
      </c>
      <c r="AN6275">
        <v>1.0000000504369799</v>
      </c>
    </row>
    <row r="6276" spans="1:40" x14ac:dyDescent="0.25">
      <c r="A6276" t="str">
        <f>"20190304164811651"</f>
        <v>20190304164811651</v>
      </c>
      <c r="B6276" t="str">
        <f>"1551689291645377"</f>
        <v>1551689291645377</v>
      </c>
      <c r="C6276" t="s">
        <v>40</v>
      </c>
      <c r="D6276">
        <v>5.126779</v>
      </c>
      <c r="E6276">
        <v>0.53118889999999996</v>
      </c>
      <c r="F6276" t="s">
        <v>41</v>
      </c>
      <c r="G6276">
        <v>-157.85890000000001</v>
      </c>
      <c r="H6276">
        <v>0.97127839999999999</v>
      </c>
      <c r="I6276">
        <v>138.71809999999999</v>
      </c>
      <c r="J6276">
        <v>-158.35839999999999</v>
      </c>
      <c r="K6276">
        <v>1.1110580000000001</v>
      </c>
      <c r="L6276">
        <v>138.7236</v>
      </c>
      <c r="M6276">
        <v>0.99841930000000001</v>
      </c>
      <c r="N6276">
        <v>-1.03553E-2</v>
      </c>
      <c r="O6276">
        <v>-5.5242140000000002E-2</v>
      </c>
      <c r="P6276">
        <v>0.92993859999999995</v>
      </c>
      <c r="Q6276">
        <v>0.36662919999999999</v>
      </c>
      <c r="R6276">
        <v>2.824057E-2</v>
      </c>
      <c r="S6276">
        <v>3.4826510000000002</v>
      </c>
      <c r="T6276">
        <v>-0.62963150000000001</v>
      </c>
      <c r="U6276">
        <v>-9.1491699999999995E-2</v>
      </c>
      <c r="V6276">
        <v>-7.9830709999999999E-2</v>
      </c>
      <c r="W6276">
        <v>0.37615389999999999</v>
      </c>
      <c r="X6276">
        <v>0.92311169999999998</v>
      </c>
      <c r="Y6276">
        <v>-2.7734890000000002E-2</v>
      </c>
      <c r="Z6276">
        <v>1.1963140000000001E-2</v>
      </c>
      <c r="AA6276">
        <v>0.99954370000000003</v>
      </c>
      <c r="AB6276">
        <v>26</v>
      </c>
      <c r="AC6276">
        <v>0.49949999999998301</v>
      </c>
      <c r="AD6276">
        <v>-0.1397796</v>
      </c>
      <c r="AE6276">
        <v>-5.5000000000120499E-3</v>
      </c>
      <c r="AF6276">
        <v>-2.0498302463077801E-2</v>
      </c>
      <c r="AG6276">
        <v>-0.1397796</v>
      </c>
      <c r="AH6276">
        <v>0.46280333925677603</v>
      </c>
      <c r="AI6276">
        <v>106.79025665691</v>
      </c>
      <c r="AJ6276">
        <v>92.536064500643505</v>
      </c>
      <c r="AK6276">
        <v>0.48388577971175201</v>
      </c>
      <c r="AL6276">
        <v>67.904350078974105</v>
      </c>
      <c r="AM6276">
        <v>94.942642456775403</v>
      </c>
      <c r="AN6276">
        <v>0.99999995471059999</v>
      </c>
    </row>
    <row r="6277" spans="1:40" x14ac:dyDescent="0.25">
      <c r="A6277" t="str">
        <f>"20190304164811671"</f>
        <v>20190304164811671</v>
      </c>
      <c r="B6277" t="str">
        <f>"1551689291665874"</f>
        <v>1551689291665874</v>
      </c>
      <c r="C6277" t="s">
        <v>40</v>
      </c>
      <c r="D6277">
        <v>5.0976509999999999</v>
      </c>
      <c r="E6277">
        <v>0.53116799999999997</v>
      </c>
      <c r="F6277" t="s">
        <v>41</v>
      </c>
      <c r="G6277">
        <v>-157.6215</v>
      </c>
      <c r="H6277">
        <v>0.97591939999999999</v>
      </c>
      <c r="I6277">
        <v>138.70500000000001</v>
      </c>
      <c r="J6277">
        <v>-158.11869999999999</v>
      </c>
      <c r="K6277">
        <v>1.111065</v>
      </c>
      <c r="L6277">
        <v>138.7107</v>
      </c>
      <c r="M6277">
        <v>0.99843999999999999</v>
      </c>
      <c r="N6277">
        <v>-1.032192E-2</v>
      </c>
      <c r="O6277">
        <v>-5.4871830000000003E-2</v>
      </c>
      <c r="P6277">
        <v>0.93051139999999999</v>
      </c>
      <c r="Q6277">
        <v>0.36525449999999998</v>
      </c>
      <c r="R6277">
        <v>2.7160030000000002E-2</v>
      </c>
      <c r="S6277">
        <v>3.4803009999999999</v>
      </c>
      <c r="T6277">
        <v>-0.63828949999999995</v>
      </c>
      <c r="U6277">
        <v>-8.7265010000000004E-2</v>
      </c>
      <c r="V6277">
        <v>-7.8449370000000004E-2</v>
      </c>
      <c r="W6277">
        <v>0.37475389999999997</v>
      </c>
      <c r="X6277">
        <v>0.92379929999999999</v>
      </c>
      <c r="Y6277">
        <v>-2.8513340000000002E-2</v>
      </c>
      <c r="Z6277">
        <v>1.215221E-2</v>
      </c>
      <c r="AA6277">
        <v>0.99951950000000001</v>
      </c>
      <c r="AB6277">
        <v>26</v>
      </c>
      <c r="AC6277">
        <v>0.49719999999999198</v>
      </c>
      <c r="AD6277">
        <v>-0.13514559999999901</v>
      </c>
      <c r="AE6277">
        <v>-5.6999999999902597E-3</v>
      </c>
      <c r="AF6277">
        <v>-2.01069600475343E-2</v>
      </c>
      <c r="AG6277">
        <v>-0.13514559999999901</v>
      </c>
      <c r="AH6277">
        <v>0.46259075743331701</v>
      </c>
      <c r="AI6277">
        <v>106.271140804358</v>
      </c>
      <c r="AJ6277">
        <v>92.488850537625098</v>
      </c>
      <c r="AK6277">
        <v>0.48234721094295102</v>
      </c>
      <c r="AL6277">
        <v>67.990896083142502</v>
      </c>
      <c r="AM6277">
        <v>94.853932638122799</v>
      </c>
      <c r="AN6277">
        <v>0.99999996794954704</v>
      </c>
    </row>
    <row r="6278" spans="1:40" x14ac:dyDescent="0.25">
      <c r="A6278" t="str">
        <f>"20190304164811709"</f>
        <v>20190304164811709</v>
      </c>
      <c r="B6278" t="str">
        <f>"1551689291705890"</f>
        <v>1551689291705890</v>
      </c>
      <c r="C6278" t="s">
        <v>40</v>
      </c>
      <c r="D6278">
        <v>5.0699829999999997</v>
      </c>
      <c r="E6278">
        <v>0.53117479999999995</v>
      </c>
      <c r="F6278" t="s">
        <v>41</v>
      </c>
      <c r="G6278">
        <v>-157.386</v>
      </c>
      <c r="H6278">
        <v>0.97567769999999998</v>
      </c>
      <c r="I6278">
        <v>138.6926</v>
      </c>
      <c r="J6278">
        <v>-157.6764</v>
      </c>
      <c r="K6278">
        <v>1.1111340000000001</v>
      </c>
      <c r="L6278">
        <v>138.68729999999999</v>
      </c>
      <c r="M6278">
        <v>0.9984864</v>
      </c>
      <c r="N6278">
        <v>-1.0259570000000001E-2</v>
      </c>
      <c r="O6278">
        <v>-5.403699E-2</v>
      </c>
      <c r="P6278">
        <v>0.93015210000000004</v>
      </c>
      <c r="Q6278">
        <v>0.36647259999999998</v>
      </c>
      <c r="R6278">
        <v>2.2699279999999999E-2</v>
      </c>
      <c r="S6278">
        <v>3.478882</v>
      </c>
      <c r="T6278">
        <v>-0.64285800000000004</v>
      </c>
      <c r="U6278">
        <v>-8.6059570000000002E-2</v>
      </c>
      <c r="V6278">
        <v>-7.3268050000000001E-2</v>
      </c>
      <c r="W6278">
        <v>0.37590440000000003</v>
      </c>
      <c r="X6278">
        <v>0.92375739999999995</v>
      </c>
      <c r="Y6278">
        <v>-2.8014109999999998E-2</v>
      </c>
      <c r="Z6278">
        <v>1.205585E-2</v>
      </c>
      <c r="AA6278">
        <v>0.99953479999999995</v>
      </c>
      <c r="AB6278">
        <v>26</v>
      </c>
      <c r="AC6278">
        <v>0.29040000000000499</v>
      </c>
      <c r="AD6278">
        <v>-0.1354563</v>
      </c>
      <c r="AE6278">
        <v>5.3000000000054098E-3</v>
      </c>
      <c r="AF6278">
        <v>-1.72364759424352E-2</v>
      </c>
      <c r="AG6278">
        <v>-0.1354563</v>
      </c>
      <c r="AH6278">
        <v>0.237937656094658</v>
      </c>
      <c r="AI6278">
        <v>119.588142200511</v>
      </c>
      <c r="AJ6278">
        <v>94.143334228031506</v>
      </c>
      <c r="AK6278">
        <v>0.27433525748693699</v>
      </c>
      <c r="AL6278">
        <v>67.919779378777903</v>
      </c>
      <c r="AM6278">
        <v>94.534935409296097</v>
      </c>
      <c r="AN6278">
        <v>1.00000002957246</v>
      </c>
    </row>
    <row r="6279" spans="1:40" x14ac:dyDescent="0.25">
      <c r="A6279" t="str">
        <f>"20190304164811734"</f>
        <v>20190304164811734</v>
      </c>
      <c r="B6279" t="str">
        <f>"1551689291725410"</f>
        <v>1551689291725410</v>
      </c>
      <c r="C6279" t="s">
        <v>40</v>
      </c>
      <c r="D6279">
        <v>5.1879489999999997</v>
      </c>
      <c r="E6279">
        <v>0.53118540000000003</v>
      </c>
      <c r="F6279" t="s">
        <v>41</v>
      </c>
      <c r="G6279">
        <v>-156.91579999999999</v>
      </c>
      <c r="H6279">
        <v>0.97192559999999995</v>
      </c>
      <c r="I6279">
        <v>138.66800000000001</v>
      </c>
      <c r="J6279">
        <v>-157.38319999999999</v>
      </c>
      <c r="K6279">
        <v>1.1111930000000001</v>
      </c>
      <c r="L6279">
        <v>138.6722</v>
      </c>
      <c r="M6279">
        <v>0.99852320000000006</v>
      </c>
      <c r="N6279">
        <v>-1.021994E-2</v>
      </c>
      <c r="O6279">
        <v>-5.3355489999999998E-2</v>
      </c>
      <c r="P6279">
        <v>0.93021019999999999</v>
      </c>
      <c r="Q6279">
        <v>0.36640030000000001</v>
      </c>
      <c r="R6279">
        <v>2.1444479999999998E-2</v>
      </c>
      <c r="S6279">
        <v>3.4782410000000001</v>
      </c>
      <c r="T6279">
        <v>-0.63656020000000002</v>
      </c>
      <c r="U6279">
        <v>-8.7951660000000001E-2</v>
      </c>
      <c r="V6279">
        <v>-7.1448860000000003E-2</v>
      </c>
      <c r="W6279">
        <v>0.37578679999999998</v>
      </c>
      <c r="X6279">
        <v>0.92394770000000004</v>
      </c>
      <c r="Y6279">
        <v>-2.683992E-2</v>
      </c>
      <c r="Z6279">
        <v>1.1710180000000001E-2</v>
      </c>
      <c r="AA6279">
        <v>0.99957110000000005</v>
      </c>
      <c r="AB6279">
        <v>26</v>
      </c>
      <c r="AC6279">
        <v>0.46739999999999698</v>
      </c>
      <c r="AD6279">
        <v>-0.13926740000000001</v>
      </c>
      <c r="AE6279">
        <v>-4.1999999999973101E-3</v>
      </c>
      <c r="AF6279">
        <v>-1.9054129814988899E-2</v>
      </c>
      <c r="AG6279">
        <v>-0.13926740000000001</v>
      </c>
      <c r="AH6279">
        <v>0.42888441821172102</v>
      </c>
      <c r="AI6279">
        <v>107.973069719406</v>
      </c>
      <c r="AJ6279">
        <v>92.543817758373905</v>
      </c>
      <c r="AK6279">
        <v>0.45133171033129599</v>
      </c>
      <c r="AL6279">
        <v>67.927049901795399</v>
      </c>
      <c r="AM6279">
        <v>94.421881496334294</v>
      </c>
      <c r="AN6279">
        <v>1.0000000054924101</v>
      </c>
    </row>
    <row r="6280" spans="1:40" x14ac:dyDescent="0.25">
      <c r="A6280" t="str">
        <f>"20190304164811760"</f>
        <v>20190304164811760</v>
      </c>
      <c r="B6280" t="str">
        <f>"1551689291755667"</f>
        <v>1551689291755667</v>
      </c>
      <c r="C6280" t="s">
        <v>40</v>
      </c>
      <c r="D6280">
        <v>5.0822399999999996</v>
      </c>
      <c r="E6280">
        <v>0.5310703</v>
      </c>
      <c r="F6280" t="s">
        <v>41</v>
      </c>
      <c r="G6280">
        <v>-156.67490000000001</v>
      </c>
      <c r="H6280">
        <v>0.98172020000000004</v>
      </c>
      <c r="I6280">
        <v>138.6542</v>
      </c>
      <c r="J6280">
        <v>-157.08150000000001</v>
      </c>
      <c r="K6280">
        <v>1.1112759999999999</v>
      </c>
      <c r="L6280">
        <v>138.65700000000001</v>
      </c>
      <c r="M6280">
        <v>0.9985695</v>
      </c>
      <c r="N6280">
        <v>-1.017711E-2</v>
      </c>
      <c r="O6280">
        <v>-5.2491650000000001E-2</v>
      </c>
      <c r="P6280">
        <v>0.93011739999999998</v>
      </c>
      <c r="Q6280">
        <v>0.36670789999999998</v>
      </c>
      <c r="R6280">
        <v>2.0173400000000001E-2</v>
      </c>
      <c r="S6280">
        <v>3.4775089999999902</v>
      </c>
      <c r="T6280">
        <v>-0.63572079999999997</v>
      </c>
      <c r="U6280">
        <v>-8.7905880000000006E-2</v>
      </c>
      <c r="V6280">
        <v>-6.9452199999999895E-2</v>
      </c>
      <c r="W6280">
        <v>0.37604219999999999</v>
      </c>
      <c r="X6280">
        <v>0.92399600000000004</v>
      </c>
      <c r="Y6280">
        <v>-2.6012710000000001E-2</v>
      </c>
      <c r="Z6280">
        <v>1.1471790000000001E-2</v>
      </c>
      <c r="AA6280">
        <v>0.99959580000000003</v>
      </c>
      <c r="AB6280">
        <v>26</v>
      </c>
      <c r="AC6280">
        <v>0.40659999999999702</v>
      </c>
      <c r="AD6280">
        <v>-0.1295558</v>
      </c>
      <c r="AE6280">
        <v>-2.80000000000768E-3</v>
      </c>
      <c r="AF6280">
        <v>-1.6838590566547101E-2</v>
      </c>
      <c r="AG6280">
        <v>-0.1295558</v>
      </c>
      <c r="AH6280">
        <v>0.36875026226959701</v>
      </c>
      <c r="AI6280">
        <v>109.339633808339</v>
      </c>
      <c r="AJ6280">
        <v>92.614534886266199</v>
      </c>
      <c r="AK6280">
        <v>0.39120966165191301</v>
      </c>
      <c r="AL6280">
        <v>67.911257633124706</v>
      </c>
      <c r="AM6280">
        <v>94.298556643584405</v>
      </c>
      <c r="AN6280">
        <v>0.99999997614083902</v>
      </c>
    </row>
    <row r="6281" spans="1:40" x14ac:dyDescent="0.25">
      <c r="A6281" t="str">
        <f>"20190304164811782"</f>
        <v>20190304164811782</v>
      </c>
      <c r="B6281" t="str">
        <f>"1551689291776163"</f>
        <v>1551689291776163</v>
      </c>
      <c r="C6281" t="s">
        <v>40</v>
      </c>
      <c r="D6281">
        <v>5.0593769999999996</v>
      </c>
      <c r="E6281">
        <v>0.52315210000000001</v>
      </c>
      <c r="F6281" t="s">
        <v>41</v>
      </c>
      <c r="G6281">
        <v>-156.21379999999999</v>
      </c>
      <c r="H6281">
        <v>0.9541849</v>
      </c>
      <c r="I6281">
        <v>138.63509999999999</v>
      </c>
      <c r="J6281">
        <v>-156.81049999999999</v>
      </c>
      <c r="K6281">
        <v>1.111351</v>
      </c>
      <c r="L6281">
        <v>138.6437</v>
      </c>
      <c r="M6281">
        <v>0.99861759999999999</v>
      </c>
      <c r="N6281">
        <v>-1.013315E-2</v>
      </c>
      <c r="O6281">
        <v>-5.157685E-2</v>
      </c>
      <c r="P6281">
        <v>0.92997850000000004</v>
      </c>
      <c r="Q6281">
        <v>0.36709740000000002</v>
      </c>
      <c r="R6281">
        <v>1.9478209999999999E-2</v>
      </c>
      <c r="S6281">
        <v>3.4753880000000001</v>
      </c>
      <c r="T6281">
        <v>-0.62924950000000002</v>
      </c>
      <c r="U6281">
        <v>-8.7585449999999995E-2</v>
      </c>
      <c r="V6281">
        <v>-6.7980189999999996E-2</v>
      </c>
      <c r="W6281">
        <v>0.37637880000000001</v>
      </c>
      <c r="X6281">
        <v>0.92396840000000002</v>
      </c>
      <c r="Y6281">
        <v>-2.522396E-2</v>
      </c>
      <c r="Z6281">
        <v>1.113191E-2</v>
      </c>
      <c r="AA6281">
        <v>0.99961979999999995</v>
      </c>
      <c r="AB6281">
        <v>27</v>
      </c>
      <c r="AC6281">
        <v>0.59669999999999801</v>
      </c>
      <c r="AD6281">
        <v>-0.157166099999999</v>
      </c>
      <c r="AE6281">
        <v>-8.6000000000012698E-3</v>
      </c>
      <c r="AF6281">
        <v>-2.0749713367962799E-2</v>
      </c>
      <c r="AG6281">
        <v>-0.157166099999999</v>
      </c>
      <c r="AH6281">
        <v>0.55766883212892204</v>
      </c>
      <c r="AI6281">
        <v>105.728921405535</v>
      </c>
      <c r="AJ6281">
        <v>92.130875444535306</v>
      </c>
      <c r="AK6281">
        <v>0.57976396914787498</v>
      </c>
      <c r="AL6281">
        <v>67.890442212372804</v>
      </c>
      <c r="AM6281">
        <v>94.207906542382105</v>
      </c>
      <c r="AN6281">
        <v>0.99999995576021705</v>
      </c>
    </row>
    <row r="6282" spans="1:40" x14ac:dyDescent="0.25">
      <c r="A6282" t="str">
        <f>"20190304164811806"</f>
        <v>20190304164811806</v>
      </c>
      <c r="B6282" t="str">
        <f>"1551689291795682"</f>
        <v>1551689291795682</v>
      </c>
      <c r="C6282" t="s">
        <v>40</v>
      </c>
      <c r="D6282">
        <v>5.0620459999999996</v>
      </c>
      <c r="E6282">
        <v>0.52203920000000004</v>
      </c>
      <c r="F6282" t="s">
        <v>41</v>
      </c>
      <c r="G6282">
        <v>-155.96209999999999</v>
      </c>
      <c r="H6282">
        <v>0.98246860000000003</v>
      </c>
      <c r="I6282">
        <v>138.63630000000001</v>
      </c>
      <c r="J6282">
        <v>-156.53229999999999</v>
      </c>
      <c r="K6282">
        <v>1.1114189999999999</v>
      </c>
      <c r="L6282">
        <v>138.63040000000001</v>
      </c>
      <c r="M6282">
        <v>0.99867220000000001</v>
      </c>
      <c r="N6282">
        <v>-1.008567E-2</v>
      </c>
      <c r="O6282">
        <v>-5.0519880000000003E-2</v>
      </c>
      <c r="P6282">
        <v>0.929894</v>
      </c>
      <c r="Q6282">
        <v>0.36732500000000001</v>
      </c>
      <c r="R6282">
        <v>1.9216359999999998E-2</v>
      </c>
      <c r="S6282">
        <v>3.4323579999999998</v>
      </c>
      <c r="T6282">
        <v>-0.52147650000000001</v>
      </c>
      <c r="U6282">
        <v>-2.938843E-2</v>
      </c>
      <c r="V6282">
        <v>-6.6808859999999998E-2</v>
      </c>
      <c r="W6282">
        <v>0.37655119999999997</v>
      </c>
      <c r="X6282">
        <v>0.92398369999999996</v>
      </c>
      <c r="Y6282">
        <v>-4.0963300000000001E-2</v>
      </c>
      <c r="Z6282">
        <v>1.0423460000000001E-2</v>
      </c>
      <c r="AA6282">
        <v>0.9991063</v>
      </c>
      <c r="AB6282">
        <v>27</v>
      </c>
      <c r="AC6282">
        <v>0.57019999999999904</v>
      </c>
      <c r="AD6282">
        <v>-0.12895039999999999</v>
      </c>
      <c r="AE6282">
        <v>5.8999999999968999E-3</v>
      </c>
      <c r="AF6282">
        <v>-3.3012184111944898E-2</v>
      </c>
      <c r="AG6282">
        <v>-0.12895039999999999</v>
      </c>
      <c r="AH6282">
        <v>0.54148330997652305</v>
      </c>
      <c r="AI6282">
        <v>103.371149058244</v>
      </c>
      <c r="AJ6282">
        <v>93.488788220734506</v>
      </c>
      <c r="AK6282">
        <v>0.55760396783302402</v>
      </c>
      <c r="AL6282">
        <v>67.879782296502796</v>
      </c>
      <c r="AM6282">
        <v>94.135587895131593</v>
      </c>
      <c r="AN6282">
        <v>1.00000005393081</v>
      </c>
    </row>
    <row r="6283" spans="1:40" x14ac:dyDescent="0.25">
      <c r="A6283" t="str">
        <f>"20190304164811843"</f>
        <v>20190304164811843</v>
      </c>
      <c r="B6283" t="str">
        <f>"1551689291835698"</f>
        <v>1551689291835698</v>
      </c>
      <c r="C6283" t="s">
        <v>40</v>
      </c>
      <c r="D6283">
        <v>4.9898009999999999</v>
      </c>
      <c r="E6283">
        <v>0.52072879999999999</v>
      </c>
      <c r="F6283" t="s">
        <v>41</v>
      </c>
      <c r="G6283">
        <v>-155.72069999999999</v>
      </c>
      <c r="H6283">
        <v>0.99046040000000002</v>
      </c>
      <c r="I6283">
        <v>138.62569999999999</v>
      </c>
      <c r="J6283">
        <v>-156.08179999999999</v>
      </c>
      <c r="K6283">
        <v>1.1115090000000001</v>
      </c>
      <c r="L6283">
        <v>138.60980000000001</v>
      </c>
      <c r="M6283">
        <v>0.99876860000000001</v>
      </c>
      <c r="N6283">
        <v>-1.000358E-2</v>
      </c>
      <c r="O6283">
        <v>-4.859496E-2</v>
      </c>
      <c r="P6283">
        <v>0.9301142</v>
      </c>
      <c r="Q6283">
        <v>0.36683250000000001</v>
      </c>
      <c r="R6283">
        <v>1.7926040000000001E-2</v>
      </c>
      <c r="S6283">
        <v>3.4284520000000001</v>
      </c>
      <c r="T6283">
        <v>-0.51111130000000005</v>
      </c>
      <c r="U6283">
        <v>-1.9332889999999998E-2</v>
      </c>
      <c r="V6283">
        <v>-6.3842300000000005E-2</v>
      </c>
      <c r="W6283">
        <v>0.37597459999999999</v>
      </c>
      <c r="X6283">
        <v>0.92442809999999997</v>
      </c>
      <c r="Y6283">
        <v>-4.2001810000000001E-2</v>
      </c>
      <c r="Z6283">
        <v>1.004335E-2</v>
      </c>
      <c r="AA6283">
        <v>0.99906709999999999</v>
      </c>
      <c r="AB6283">
        <v>27</v>
      </c>
      <c r="AC6283">
        <v>0.36109999999999298</v>
      </c>
      <c r="AD6283">
        <v>-0.12104860000000001</v>
      </c>
      <c r="AE6283">
        <v>1.5899999999987799E-2</v>
      </c>
      <c r="AF6283">
        <v>-3.0058483378250199E-2</v>
      </c>
      <c r="AG6283">
        <v>-0.12104860000000001</v>
      </c>
      <c r="AH6283">
        <v>0.323606196270044</v>
      </c>
      <c r="AI6283">
        <v>110.42825628530601</v>
      </c>
      <c r="AJ6283">
        <v>95.306748549490607</v>
      </c>
      <c r="AK6283">
        <v>0.34681010113508298</v>
      </c>
      <c r="AL6283">
        <v>67.915438716755503</v>
      </c>
      <c r="AM6283">
        <v>93.950653939787202</v>
      </c>
      <c r="AN6283">
        <v>1.0000000255920201</v>
      </c>
    </row>
    <row r="6284" spans="1:40" x14ac:dyDescent="0.25">
      <c r="A6284" t="str">
        <f>"20190304164811866"</f>
        <v>20190304164811866</v>
      </c>
      <c r="B6284" t="str">
        <f>"1551689291856194"</f>
        <v>1551689291856194</v>
      </c>
      <c r="C6284" t="s">
        <v>40</v>
      </c>
      <c r="D6284">
        <v>5.0093290000000001</v>
      </c>
      <c r="E6284">
        <v>0.52041150000000003</v>
      </c>
      <c r="F6284" t="s">
        <v>41</v>
      </c>
      <c r="G6284">
        <v>-155.24520000000001</v>
      </c>
      <c r="H6284">
        <v>0.98845240000000001</v>
      </c>
      <c r="I6284">
        <v>138.60669999999999</v>
      </c>
      <c r="J6284">
        <v>-155.80269999999999</v>
      </c>
      <c r="K6284">
        <v>1.1115429999999999</v>
      </c>
      <c r="L6284">
        <v>138.5975</v>
      </c>
      <c r="M6284">
        <v>0.99883100000000002</v>
      </c>
      <c r="N6284">
        <v>-9.9440529999999996E-3</v>
      </c>
      <c r="O6284">
        <v>-4.7307799999999997E-2</v>
      </c>
      <c r="P6284">
        <v>0.93046989999999996</v>
      </c>
      <c r="Q6284">
        <v>0.36592659999999999</v>
      </c>
      <c r="R6284">
        <v>1.799738E-2</v>
      </c>
      <c r="S6284">
        <v>3.4243320000000002</v>
      </c>
      <c r="T6284">
        <v>-0.50376179999999904</v>
      </c>
      <c r="U6284">
        <v>-1.229858E-2</v>
      </c>
      <c r="V6284">
        <v>-6.2775890000000001E-2</v>
      </c>
      <c r="W6284">
        <v>0.37501299999999999</v>
      </c>
      <c r="X6284">
        <v>0.92489160000000004</v>
      </c>
      <c r="Y6284">
        <v>-4.2788039999999999E-2</v>
      </c>
      <c r="Z6284">
        <v>9.7963960000000006E-3</v>
      </c>
      <c r="AA6284">
        <v>0.99903609999999998</v>
      </c>
      <c r="AB6284">
        <v>27</v>
      </c>
      <c r="AC6284">
        <v>0.55749999999997601</v>
      </c>
      <c r="AD6284">
        <v>-0.12309059999999999</v>
      </c>
      <c r="AE6284">
        <v>9.1999999999927695E-3</v>
      </c>
      <c r="AF6284">
        <v>-3.3912374541713898E-2</v>
      </c>
      <c r="AG6284">
        <v>-0.12309059999999999</v>
      </c>
      <c r="AH6284">
        <v>0.53058249909712996</v>
      </c>
      <c r="AI6284">
        <v>103.035398155821</v>
      </c>
      <c r="AJ6284">
        <v>93.657106150915595</v>
      </c>
      <c r="AK6284">
        <v>0.54572807633800002</v>
      </c>
      <c r="AL6284">
        <v>67.974884078830996</v>
      </c>
      <c r="AM6284">
        <v>93.882925818333803</v>
      </c>
      <c r="AN6284">
        <v>1.0000000171424199</v>
      </c>
    </row>
    <row r="6285" spans="1:40" x14ac:dyDescent="0.25">
      <c r="A6285" t="str">
        <f>"20190304164811891"</f>
        <v>20190304164811891</v>
      </c>
      <c r="B6285" t="str">
        <f>"1551689291885474"</f>
        <v>1551689291885474</v>
      </c>
      <c r="C6285" t="s">
        <v>40</v>
      </c>
      <c r="D6285">
        <v>5.0406769999999996</v>
      </c>
      <c r="E6285">
        <v>0.52020310000000003</v>
      </c>
      <c r="F6285" t="s">
        <v>41</v>
      </c>
      <c r="G6285">
        <v>-155.0044</v>
      </c>
      <c r="H6285">
        <v>0.99310730000000003</v>
      </c>
      <c r="I6285">
        <v>138.5951</v>
      </c>
      <c r="J6285">
        <v>-155.51990000000001</v>
      </c>
      <c r="K6285">
        <v>1.1115539999999999</v>
      </c>
      <c r="L6285">
        <v>138.5855</v>
      </c>
      <c r="M6285">
        <v>0.99889430000000001</v>
      </c>
      <c r="N6285">
        <v>-9.8793760000000005E-3</v>
      </c>
      <c r="O6285">
        <v>-4.5964890000000001E-2</v>
      </c>
      <c r="P6285">
        <v>0.93073669999999997</v>
      </c>
      <c r="Q6285">
        <v>0.36524790000000001</v>
      </c>
      <c r="R6285">
        <v>1.79828E-2</v>
      </c>
      <c r="S6285">
        <v>3.4241640000000002</v>
      </c>
      <c r="T6285">
        <v>-0.50805540000000005</v>
      </c>
      <c r="U6285">
        <v>-1.043701E-2</v>
      </c>
      <c r="V6285">
        <v>-6.1551920000000003E-2</v>
      </c>
      <c r="W6285">
        <v>0.374276</v>
      </c>
      <c r="X6285">
        <v>0.92527230000000005</v>
      </c>
      <c r="Y6285">
        <v>-4.199336E-2</v>
      </c>
      <c r="Z6285">
        <v>9.6360060000000008E-3</v>
      </c>
      <c r="AA6285">
        <v>0.99907140000000005</v>
      </c>
      <c r="AB6285">
        <v>27</v>
      </c>
      <c r="AC6285">
        <v>0.51550000000000296</v>
      </c>
      <c r="AD6285">
        <v>-0.1184467</v>
      </c>
      <c r="AE6285">
        <v>9.6000000000060395E-3</v>
      </c>
      <c r="AF6285">
        <v>-3.1617268402178801E-2</v>
      </c>
      <c r="AG6285">
        <v>-0.1184467</v>
      </c>
      <c r="AH6285">
        <v>0.48872097845456902</v>
      </c>
      <c r="AI6285">
        <v>103.596185548111</v>
      </c>
      <c r="AJ6285">
        <v>93.701529444703098</v>
      </c>
      <c r="AK6285">
        <v>0.50386254790735996</v>
      </c>
      <c r="AL6285">
        <v>68.020427620452693</v>
      </c>
      <c r="AM6285">
        <v>93.805881583118705</v>
      </c>
      <c r="AN6285">
        <v>0.99999999608948797</v>
      </c>
    </row>
    <row r="6286" spans="1:40" x14ac:dyDescent="0.25">
      <c r="A6286" t="str">
        <f>"20190304164811912"</f>
        <v>20190304164811912</v>
      </c>
      <c r="B6286" t="str">
        <f>"1551689291905970"</f>
        <v>1551689291905970</v>
      </c>
      <c r="C6286" t="s">
        <v>40</v>
      </c>
      <c r="D6286">
        <v>5.0686879999999999</v>
      </c>
      <c r="E6286">
        <v>0.52002219999999999</v>
      </c>
      <c r="F6286" t="s">
        <v>41</v>
      </c>
      <c r="G6286">
        <v>-154.7629</v>
      </c>
      <c r="H6286">
        <v>0.99850640000000002</v>
      </c>
      <c r="I6286">
        <v>138.58359999999999</v>
      </c>
      <c r="J6286">
        <v>-155.24860000000001</v>
      </c>
      <c r="K6286">
        <v>1.111559</v>
      </c>
      <c r="L6286">
        <v>138.5744</v>
      </c>
      <c r="M6286">
        <v>0.99895409999999996</v>
      </c>
      <c r="N6286">
        <v>-9.8128980000000005E-3</v>
      </c>
      <c r="O6286">
        <v>-4.4660619999999998E-2</v>
      </c>
      <c r="P6286">
        <v>0.93067009999999994</v>
      </c>
      <c r="Q6286">
        <v>0.36542330000000001</v>
      </c>
      <c r="R6286">
        <v>1.7858949999999998E-2</v>
      </c>
      <c r="S6286">
        <v>3.4241489999999999</v>
      </c>
      <c r="T6286">
        <v>-0.5114706</v>
      </c>
      <c r="U6286">
        <v>-7.9956049999999994E-3</v>
      </c>
      <c r="V6286">
        <v>-6.022744E-2</v>
      </c>
      <c r="W6286">
        <v>0.37439050000000001</v>
      </c>
      <c r="X6286">
        <v>0.92531319999999995</v>
      </c>
      <c r="Y6286">
        <v>-4.140779E-2</v>
      </c>
      <c r="Z6286">
        <v>9.4762240000000001E-3</v>
      </c>
      <c r="AA6286">
        <v>0.99909740000000002</v>
      </c>
      <c r="AB6286">
        <v>27</v>
      </c>
      <c r="AC6286">
        <v>0.48570000000000801</v>
      </c>
      <c r="AD6286">
        <v>-0.113052599999999</v>
      </c>
      <c r="AE6286">
        <v>9.1999999999927695E-3</v>
      </c>
      <c r="AF6286">
        <v>-2.9296843230000199E-2</v>
      </c>
      <c r="AG6286">
        <v>-0.113052599999999</v>
      </c>
      <c r="AH6286">
        <v>0.45989696064903002</v>
      </c>
      <c r="AI6286">
        <v>103.78382911956299</v>
      </c>
      <c r="AJ6286">
        <v>93.644991193601797</v>
      </c>
      <c r="AK6286">
        <v>0.47449384590763499</v>
      </c>
      <c r="AL6286">
        <v>68.013354231817104</v>
      </c>
      <c r="AM6286">
        <v>93.724055112345297</v>
      </c>
      <c r="AN6286">
        <v>1.00000005455672</v>
      </c>
    </row>
    <row r="6287" spans="1:40" x14ac:dyDescent="0.25">
      <c r="A6287" t="str">
        <f>"20190304164811937"</f>
        <v>20190304164811937</v>
      </c>
      <c r="B6287" t="str">
        <f>"1551689291925490"</f>
        <v>1551689291925490</v>
      </c>
      <c r="C6287" t="s">
        <v>40</v>
      </c>
      <c r="D6287">
        <v>5.0256639999999999</v>
      </c>
      <c r="E6287">
        <v>0.51987950000000005</v>
      </c>
      <c r="F6287" t="s">
        <v>41</v>
      </c>
      <c r="G6287">
        <v>-154.52099999999999</v>
      </c>
      <c r="H6287">
        <v>1.0032890000000001</v>
      </c>
      <c r="I6287">
        <v>138.57380000000001</v>
      </c>
      <c r="J6287">
        <v>-154.9632</v>
      </c>
      <c r="K6287">
        <v>1.1115489999999999</v>
      </c>
      <c r="L6287">
        <v>138.56309999999999</v>
      </c>
      <c r="M6287">
        <v>0.99901519999999999</v>
      </c>
      <c r="N6287">
        <v>-9.7368969999999996E-3</v>
      </c>
      <c r="O6287">
        <v>-4.3286900000000003E-2</v>
      </c>
      <c r="P6287">
        <v>0.93066680000000002</v>
      </c>
      <c r="Q6287">
        <v>0.36541639999999997</v>
      </c>
      <c r="R6287">
        <v>1.8167860000000001E-2</v>
      </c>
      <c r="S6287">
        <v>3.4235839999999902</v>
      </c>
      <c r="T6287">
        <v>-0.50953219999999999</v>
      </c>
      <c r="U6287">
        <v>-2.2583009999999999E-3</v>
      </c>
      <c r="V6287">
        <v>-5.9264850000000001E-2</v>
      </c>
      <c r="W6287">
        <v>0.3743148</v>
      </c>
      <c r="X6287">
        <v>0.9254059</v>
      </c>
      <c r="Y6287">
        <v>-4.1723780000000002E-2</v>
      </c>
      <c r="Z6287">
        <v>9.2783310000000008E-3</v>
      </c>
      <c r="AA6287">
        <v>0.99908609999999998</v>
      </c>
      <c r="AB6287">
        <v>27</v>
      </c>
      <c r="AC6287">
        <v>0.44219999999998499</v>
      </c>
      <c r="AD6287">
        <v>-0.10826</v>
      </c>
      <c r="AE6287">
        <v>1.0700000000014099E-2</v>
      </c>
      <c r="AF6287">
        <v>-2.8146312789198699E-2</v>
      </c>
      <c r="AG6287">
        <v>-0.10826</v>
      </c>
      <c r="AH6287">
        <v>0.41638011123533802</v>
      </c>
      <c r="AI6287">
        <v>104.542590943721</v>
      </c>
      <c r="AJ6287">
        <v>93.867176349305495</v>
      </c>
      <c r="AK6287">
        <v>0.43114364144213002</v>
      </c>
      <c r="AL6287">
        <v>68.018030043582201</v>
      </c>
      <c r="AM6287">
        <v>93.664332505366701</v>
      </c>
      <c r="AN6287">
        <v>0.99999998584968597</v>
      </c>
    </row>
    <row r="6288" spans="1:40" x14ac:dyDescent="0.25">
      <c r="A6288" t="str">
        <f>"20190304164811960"</f>
        <v>20190304164811960</v>
      </c>
      <c r="B6288" t="str">
        <f>"1551689291955746"</f>
        <v>1551689291955746</v>
      </c>
      <c r="C6288" t="s">
        <v>40</v>
      </c>
      <c r="D6288">
        <v>5.0320960000000001</v>
      </c>
      <c r="E6288">
        <v>0.51950359999999995</v>
      </c>
      <c r="F6288" t="s">
        <v>41</v>
      </c>
      <c r="G6288">
        <v>-154.05260000000001</v>
      </c>
      <c r="H6288">
        <v>0.97626710000000005</v>
      </c>
      <c r="I6288">
        <v>138.56479999999999</v>
      </c>
      <c r="J6288">
        <v>-154.68219999999999</v>
      </c>
      <c r="K6288">
        <v>1.1115409999999999</v>
      </c>
      <c r="L6288">
        <v>138.5523</v>
      </c>
      <c r="M6288">
        <v>0.99907330000000005</v>
      </c>
      <c r="N6288">
        <v>-9.663207E-3</v>
      </c>
      <c r="O6288">
        <v>-4.1943630000000003E-2</v>
      </c>
      <c r="P6288">
        <v>0.93062009999999995</v>
      </c>
      <c r="Q6288">
        <v>0.3654791</v>
      </c>
      <c r="R6288">
        <v>1.9270860000000001E-2</v>
      </c>
      <c r="S6288">
        <v>3.4230649999999998</v>
      </c>
      <c r="T6288">
        <v>-0.50861309999999904</v>
      </c>
      <c r="U6288">
        <v>6.4697269999999998E-3</v>
      </c>
      <c r="V6288">
        <v>-5.9118030000000002E-2</v>
      </c>
      <c r="W6288">
        <v>0.37430950000000002</v>
      </c>
      <c r="X6288">
        <v>0.9254175</v>
      </c>
      <c r="Y6288">
        <v>-4.2929290000000002E-2</v>
      </c>
      <c r="Z6288">
        <v>9.1740039999999995E-3</v>
      </c>
      <c r="AA6288">
        <v>0.99903600000000004</v>
      </c>
      <c r="AB6288">
        <v>27</v>
      </c>
      <c r="AC6288">
        <v>0.62959999999998195</v>
      </c>
      <c r="AD6288">
        <v>-0.135273899999999</v>
      </c>
      <c r="AE6288">
        <v>1.24999999999886E-2</v>
      </c>
      <c r="AF6288">
        <v>-3.7182158142948202E-2</v>
      </c>
      <c r="AG6288">
        <v>-0.135273899999999</v>
      </c>
      <c r="AH6288">
        <v>0.60079758515370096</v>
      </c>
      <c r="AI6288">
        <v>102.66550774230799</v>
      </c>
      <c r="AJ6288">
        <v>93.541404204471803</v>
      </c>
      <c r="AK6288">
        <v>0.61695970632764596</v>
      </c>
      <c r="AL6288">
        <v>68.018358915379196</v>
      </c>
      <c r="AM6288">
        <v>93.655233604809993</v>
      </c>
      <c r="AN6288">
        <v>1.0000000462837799</v>
      </c>
    </row>
    <row r="6289" spans="1:40" x14ac:dyDescent="0.25">
      <c r="A6289" t="str">
        <f>"20190304164811982"</f>
        <v>20190304164811982</v>
      </c>
      <c r="B6289" t="str">
        <f>"1551689291976242"</f>
        <v>1551689291976242</v>
      </c>
      <c r="C6289" t="s">
        <v>40</v>
      </c>
      <c r="D6289">
        <v>5.0406639999999996</v>
      </c>
      <c r="E6289">
        <v>0.51944780000000002</v>
      </c>
      <c r="F6289" t="s">
        <v>41</v>
      </c>
      <c r="G6289">
        <v>-153.80889999999999</v>
      </c>
      <c r="H6289">
        <v>0.98233380000000003</v>
      </c>
      <c r="I6289">
        <v>138.5566</v>
      </c>
      <c r="J6289">
        <v>-154.41890000000001</v>
      </c>
      <c r="K6289">
        <v>1.111532</v>
      </c>
      <c r="L6289">
        <v>138.54259999999999</v>
      </c>
      <c r="M6289">
        <v>0.99912570000000001</v>
      </c>
      <c r="N6289">
        <v>-9.5997930000000006E-3</v>
      </c>
      <c r="O6289">
        <v>-4.0695189999999999E-2</v>
      </c>
      <c r="P6289">
        <v>0.93038790000000005</v>
      </c>
      <c r="Q6289">
        <v>0.36598239999999999</v>
      </c>
      <c r="R6289">
        <v>2.0862800000000001E-2</v>
      </c>
      <c r="S6289">
        <v>3.42218</v>
      </c>
      <c r="T6289">
        <v>-0.50640479999999999</v>
      </c>
      <c r="U6289">
        <v>1.7089839999999999E-2</v>
      </c>
      <c r="V6289">
        <v>-5.9539469999999997E-2</v>
      </c>
      <c r="W6289">
        <v>0.3747508</v>
      </c>
      <c r="X6289">
        <v>0.92521180000000003</v>
      </c>
      <c r="Y6289">
        <v>-4.4779260000000001E-2</v>
      </c>
      <c r="Z6289">
        <v>9.1108300000000003E-3</v>
      </c>
      <c r="AA6289">
        <v>0.99895540000000005</v>
      </c>
      <c r="AB6289">
        <v>27</v>
      </c>
      <c r="AC6289">
        <v>0.61000000000001298</v>
      </c>
      <c r="AD6289">
        <v>-0.12919820000000001</v>
      </c>
      <c r="AE6289">
        <v>1.4000000000009999E-2</v>
      </c>
      <c r="AF6289">
        <v>-3.7148045150385299E-2</v>
      </c>
      <c r="AG6289">
        <v>-0.12919820000000001</v>
      </c>
      <c r="AH6289">
        <v>0.58279482534799598</v>
      </c>
      <c r="AI6289">
        <v>102.47507470230499</v>
      </c>
      <c r="AJ6289">
        <v>93.647168028158305</v>
      </c>
      <c r="AK6289">
        <v>0.598098621127098</v>
      </c>
      <c r="AL6289">
        <v>67.9910882350935</v>
      </c>
      <c r="AM6289">
        <v>93.682035783265704</v>
      </c>
      <c r="AN6289">
        <v>0.99999999272387996</v>
      </c>
    </row>
    <row r="6290" spans="1:40" x14ac:dyDescent="0.25">
      <c r="A6290" t="str">
        <f>"20190304164812003"</f>
        <v>20190304164812003</v>
      </c>
      <c r="B6290" t="str">
        <f>"1551689291995763"</f>
        <v>1551689291995763</v>
      </c>
      <c r="C6290" t="s">
        <v>40</v>
      </c>
      <c r="D6290">
        <v>5.0106890000000002</v>
      </c>
      <c r="E6290">
        <v>0.51929780000000003</v>
      </c>
      <c r="F6290" t="s">
        <v>41</v>
      </c>
      <c r="G6290">
        <v>-153.5658</v>
      </c>
      <c r="H6290">
        <v>0.98589210000000005</v>
      </c>
      <c r="I6290">
        <v>138.54859999999999</v>
      </c>
      <c r="J6290">
        <v>-154.16659999999999</v>
      </c>
      <c r="K6290">
        <v>1.111524</v>
      </c>
      <c r="L6290">
        <v>138.53360000000001</v>
      </c>
      <c r="M6290">
        <v>0.9991736</v>
      </c>
      <c r="N6290">
        <v>-9.544828E-3</v>
      </c>
      <c r="O6290">
        <v>-3.9511520000000001E-2</v>
      </c>
      <c r="P6290">
        <v>0.93008519999999995</v>
      </c>
      <c r="Q6290">
        <v>0.3667203</v>
      </c>
      <c r="R6290">
        <v>2.1394610000000001E-2</v>
      </c>
      <c r="S6290">
        <v>3.4221949999999999</v>
      </c>
      <c r="T6290">
        <v>-0.50405239999999996</v>
      </c>
      <c r="U6290">
        <v>2.4002079999999999E-2</v>
      </c>
      <c r="V6290">
        <v>-5.8959739999999997E-2</v>
      </c>
      <c r="W6290">
        <v>0.37543680000000001</v>
      </c>
      <c r="X6290">
        <v>0.92497070000000003</v>
      </c>
      <c r="Y6290">
        <v>-4.5623219999999999E-2</v>
      </c>
      <c r="Z6290">
        <v>8.9729059999999992E-3</v>
      </c>
      <c r="AA6290">
        <v>0.99891839999999998</v>
      </c>
      <c r="AB6290">
        <v>27</v>
      </c>
      <c r="AC6290">
        <v>0.60079999999999201</v>
      </c>
      <c r="AD6290">
        <v>-0.12563189999999899</v>
      </c>
      <c r="AE6290">
        <v>1.49999999999863E-2</v>
      </c>
      <c r="AF6290">
        <v>-3.7106382633643402E-2</v>
      </c>
      <c r="AG6290">
        <v>-0.12563189999999899</v>
      </c>
      <c r="AH6290">
        <v>0.57462757396850395</v>
      </c>
      <c r="AI6290">
        <v>102.30777711397999</v>
      </c>
      <c r="AJ6290">
        <v>93.694725890568293</v>
      </c>
      <c r="AK6290">
        <v>0.58937009314580302</v>
      </c>
      <c r="AL6290">
        <v>67.948685803588901</v>
      </c>
      <c r="AM6290">
        <v>93.647229218519399</v>
      </c>
      <c r="AN6290">
        <v>0.99999991879679495</v>
      </c>
    </row>
    <row r="6291" spans="1:40" x14ac:dyDescent="0.25">
      <c r="A6291" t="str">
        <f>"20190304164812031"</f>
        <v>20190304164812031</v>
      </c>
      <c r="B6291" t="str">
        <f>"1551689292026018"</f>
        <v>1551689292026018</v>
      </c>
      <c r="C6291" t="s">
        <v>40</v>
      </c>
      <c r="D6291">
        <v>5.0113089999999998</v>
      </c>
      <c r="E6291">
        <v>0.51915239999999996</v>
      </c>
      <c r="F6291" t="s">
        <v>41</v>
      </c>
      <c r="G6291">
        <v>-153.3229</v>
      </c>
      <c r="H6291">
        <v>0.98806240000000001</v>
      </c>
      <c r="I6291">
        <v>138.54040000000001</v>
      </c>
      <c r="J6291">
        <v>-153.8202</v>
      </c>
      <c r="K6291">
        <v>1.1115090000000001</v>
      </c>
      <c r="L6291">
        <v>138.52170000000001</v>
      </c>
      <c r="M6291">
        <v>0.99923629999999997</v>
      </c>
      <c r="N6291">
        <v>-9.4774909999999993E-3</v>
      </c>
      <c r="O6291">
        <v>-3.7908480000000001E-2</v>
      </c>
      <c r="P6291">
        <v>0.929705</v>
      </c>
      <c r="Q6291">
        <v>0.36761909999999998</v>
      </c>
      <c r="R6291">
        <v>2.2468180000000001E-2</v>
      </c>
      <c r="S6291">
        <v>3.4223629999999998</v>
      </c>
      <c r="T6291">
        <v>-0.5008937</v>
      </c>
      <c r="U6291">
        <v>2.8076170000000001E-2</v>
      </c>
      <c r="V6291">
        <v>-5.8524630000000001E-2</v>
      </c>
      <c r="W6291">
        <v>0.37627189999999999</v>
      </c>
      <c r="X6291">
        <v>0.92465900000000001</v>
      </c>
      <c r="Y6291">
        <v>-4.5239849999999998E-2</v>
      </c>
      <c r="Z6291">
        <v>8.6690569999999904E-3</v>
      </c>
      <c r="AA6291">
        <v>0.99893860000000001</v>
      </c>
      <c r="AB6291">
        <v>27</v>
      </c>
      <c r="AC6291">
        <v>0.49729999999999502</v>
      </c>
      <c r="AD6291">
        <v>-0.1234466</v>
      </c>
      <c r="AE6291">
        <v>1.8699999999995401E-2</v>
      </c>
      <c r="AF6291">
        <v>-3.53632838292589E-2</v>
      </c>
      <c r="AG6291">
        <v>-0.1234466</v>
      </c>
      <c r="AH6291">
        <v>0.46746886067763199</v>
      </c>
      <c r="AI6291">
        <v>104.75236184065101</v>
      </c>
      <c r="AJ6291">
        <v>94.3260958372056</v>
      </c>
      <c r="AK6291">
        <v>0.48478527267027399</v>
      </c>
      <c r="AL6291">
        <v>67.897053461775997</v>
      </c>
      <c r="AM6291">
        <v>93.621602489829002</v>
      </c>
      <c r="AN6291">
        <v>0.99999997066362301</v>
      </c>
    </row>
    <row r="6292" spans="1:40" x14ac:dyDescent="0.25">
      <c r="A6292" t="str">
        <f>"20190304164812054"</f>
        <v>20190304164812054</v>
      </c>
      <c r="B6292" t="str">
        <f>"1551689292045538"</f>
        <v>1551689292045538</v>
      </c>
      <c r="C6292" t="s">
        <v>40</v>
      </c>
      <c r="D6292">
        <v>4.9946270000000004</v>
      </c>
      <c r="E6292">
        <v>0.51904640000000002</v>
      </c>
      <c r="F6292" t="s">
        <v>41</v>
      </c>
      <c r="G6292">
        <v>-153.07380000000001</v>
      </c>
      <c r="H6292">
        <v>1.0031680000000001</v>
      </c>
      <c r="I6292">
        <v>138.52940000000001</v>
      </c>
      <c r="J6292">
        <v>-153.5462</v>
      </c>
      <c r="K6292">
        <v>1.111505</v>
      </c>
      <c r="L6292">
        <v>138.51259999999999</v>
      </c>
      <c r="M6292">
        <v>0.99928340000000004</v>
      </c>
      <c r="N6292">
        <v>-9.4309879999999995E-3</v>
      </c>
      <c r="O6292">
        <v>-3.6660890000000002E-2</v>
      </c>
      <c r="P6292">
        <v>0.92933889999999997</v>
      </c>
      <c r="Q6292">
        <v>0.36844369999999999</v>
      </c>
      <c r="R6292">
        <v>2.405332E-2</v>
      </c>
      <c r="S6292">
        <v>3.4224549999999998</v>
      </c>
      <c r="T6292">
        <v>-0.49684879999999998</v>
      </c>
      <c r="U6292">
        <v>3.5430910000000003E-2</v>
      </c>
      <c r="V6292">
        <v>-5.8930839999999998E-2</v>
      </c>
      <c r="W6292">
        <v>0.3770502</v>
      </c>
      <c r="X6292">
        <v>0.92431609999999997</v>
      </c>
      <c r="Y6292">
        <v>-4.6154100000000003E-2</v>
      </c>
      <c r="Z6292">
        <v>8.5010169999999996E-3</v>
      </c>
      <c r="AA6292">
        <v>0.99889810000000001</v>
      </c>
      <c r="AB6292">
        <v>27</v>
      </c>
      <c r="AC6292">
        <v>0.47239999999999299</v>
      </c>
      <c r="AD6292">
        <v>-0.108336999999999</v>
      </c>
      <c r="AE6292">
        <v>1.6800000000017599E-2</v>
      </c>
      <c r="AF6292">
        <v>-3.2405884714167797E-2</v>
      </c>
      <c r="AG6292">
        <v>-0.108336999999999</v>
      </c>
      <c r="AH6292">
        <v>0.44793753666291702</v>
      </c>
      <c r="AI6292">
        <v>103.562184864117</v>
      </c>
      <c r="AJ6292">
        <v>94.137834419412897</v>
      </c>
      <c r="AK6292">
        <v>0.46199035020739299</v>
      </c>
      <c r="AL6292">
        <v>67.848914896179096</v>
      </c>
      <c r="AM6292">
        <v>93.648021029756507</v>
      </c>
      <c r="AN6292">
        <v>0.99999997497117699</v>
      </c>
    </row>
    <row r="6293" spans="1:40" x14ac:dyDescent="0.25">
      <c r="A6293" t="str">
        <f>"20190304164812088"</f>
        <v>20190304164812088</v>
      </c>
      <c r="B6293" t="str">
        <f>"1551689292075794"</f>
        <v>1551689292075794</v>
      </c>
      <c r="C6293" t="s">
        <v>40</v>
      </c>
      <c r="D6293">
        <v>4.9836989999999997</v>
      </c>
      <c r="E6293">
        <v>0.51889810000000003</v>
      </c>
      <c r="F6293" t="s">
        <v>41</v>
      </c>
      <c r="G6293">
        <v>-152.8289</v>
      </c>
      <c r="H6293">
        <v>1.007968</v>
      </c>
      <c r="I6293">
        <v>138.5213</v>
      </c>
      <c r="J6293">
        <v>-153.1318</v>
      </c>
      <c r="K6293">
        <v>1.111483</v>
      </c>
      <c r="L6293">
        <v>138.49959999999999</v>
      </c>
      <c r="M6293">
        <v>0.9993495</v>
      </c>
      <c r="N6293">
        <v>-9.3828279999999993E-3</v>
      </c>
      <c r="O6293">
        <v>-3.4823949999999999E-2</v>
      </c>
      <c r="P6293">
        <v>0.92910099999999995</v>
      </c>
      <c r="Q6293">
        <v>0.36876009999999998</v>
      </c>
      <c r="R6293">
        <v>2.8059919999999999E-2</v>
      </c>
      <c r="S6293">
        <v>3.4228969999999999</v>
      </c>
      <c r="T6293">
        <v>-0.49415330000000002</v>
      </c>
      <c r="U6293">
        <v>4.1793820000000002E-2</v>
      </c>
      <c r="V6293">
        <v>-6.1200810000000001E-2</v>
      </c>
      <c r="W6293">
        <v>0.37731789999999998</v>
      </c>
      <c r="X6293">
        <v>0.92405930000000003</v>
      </c>
      <c r="Y6293">
        <v>-4.619877E-2</v>
      </c>
      <c r="Z6293">
        <v>8.2110310000000006E-3</v>
      </c>
      <c r="AA6293">
        <v>0.99889850000000002</v>
      </c>
      <c r="AB6293">
        <v>27</v>
      </c>
      <c r="AC6293">
        <v>0.30289999999999301</v>
      </c>
      <c r="AD6293">
        <v>-0.103515</v>
      </c>
      <c r="AE6293">
        <v>2.1700000000009802E-2</v>
      </c>
      <c r="AF6293">
        <v>-2.88798065447292E-2</v>
      </c>
      <c r="AG6293">
        <v>-0.103515</v>
      </c>
      <c r="AH6293">
        <v>0.27052687502733003</v>
      </c>
      <c r="AI6293">
        <v>110.83083368706301</v>
      </c>
      <c r="AJ6293">
        <v>96.093471570462995</v>
      </c>
      <c r="AK6293">
        <v>0.291091374937688</v>
      </c>
      <c r="AL6293">
        <v>67.8323532969588</v>
      </c>
      <c r="AM6293">
        <v>93.789188043328707</v>
      </c>
      <c r="AN6293">
        <v>0.99999996336077701</v>
      </c>
    </row>
    <row r="6294" spans="1:40" x14ac:dyDescent="0.25">
      <c r="A6294" t="str">
        <f>"20190304164812114"</f>
        <v>20190304164812114</v>
      </c>
      <c r="B6294" t="str">
        <f>"1551689292106051"</f>
        <v>1551689292106051</v>
      </c>
      <c r="C6294" t="s">
        <v>40</v>
      </c>
      <c r="D6294">
        <v>4.8846689999999997</v>
      </c>
      <c r="E6294">
        <v>0.51868769999999997</v>
      </c>
      <c r="F6294" t="s">
        <v>41</v>
      </c>
      <c r="G6294">
        <v>-152.34639999999999</v>
      </c>
      <c r="H6294">
        <v>0.99823379999999995</v>
      </c>
      <c r="I6294">
        <v>138.512</v>
      </c>
      <c r="J6294">
        <v>-152.8125</v>
      </c>
      <c r="K6294">
        <v>1.111462</v>
      </c>
      <c r="L6294">
        <v>138.49</v>
      </c>
      <c r="M6294">
        <v>0.99939679999999997</v>
      </c>
      <c r="N6294">
        <v>-9.3566940000000005E-3</v>
      </c>
      <c r="O6294">
        <v>-3.3444099999999997E-2</v>
      </c>
      <c r="P6294">
        <v>0.92934729999999999</v>
      </c>
      <c r="Q6294">
        <v>0.36794789999999999</v>
      </c>
      <c r="R6294">
        <v>3.0462550000000001E-2</v>
      </c>
      <c r="S6294">
        <v>3.423203</v>
      </c>
      <c r="T6294">
        <v>-0.49364279999999999</v>
      </c>
      <c r="U6294">
        <v>5.4550170000000002E-2</v>
      </c>
      <c r="V6294">
        <v>-6.230927E-2</v>
      </c>
      <c r="W6294">
        <v>0.37648480000000001</v>
      </c>
      <c r="X6294">
        <v>0.92432499999999995</v>
      </c>
      <c r="Y6294">
        <v>-4.8528599999999998E-2</v>
      </c>
      <c r="Z6294">
        <v>8.1950129999999993E-3</v>
      </c>
      <c r="AA6294">
        <v>0.99878820000000001</v>
      </c>
      <c r="AB6294">
        <v>27</v>
      </c>
      <c r="AC6294">
        <v>0.46610000000001101</v>
      </c>
      <c r="AD6294">
        <v>-0.1132282</v>
      </c>
      <c r="AE6294">
        <v>2.1999999999991301E-2</v>
      </c>
      <c r="AF6294">
        <v>-3.5487107759402101E-2</v>
      </c>
      <c r="AG6294">
        <v>-0.1132282</v>
      </c>
      <c r="AH6294">
        <v>0.43923998686107102</v>
      </c>
      <c r="AI6294">
        <v>104.410132040829</v>
      </c>
      <c r="AJ6294">
        <v>94.619012079392604</v>
      </c>
      <c r="AK6294">
        <v>0.45498541311791701</v>
      </c>
      <c r="AL6294">
        <v>67.883887172165004</v>
      </c>
      <c r="AM6294">
        <v>93.856506341994702</v>
      </c>
      <c r="AN6294">
        <v>0.99999997769198601</v>
      </c>
    </row>
    <row r="6295" spans="1:40" x14ac:dyDescent="0.25">
      <c r="A6295" t="str">
        <f>"20190304164812137"</f>
        <v>20190304164812137</v>
      </c>
      <c r="B6295" t="str">
        <f>"1551689292125571"</f>
        <v>1551689292125571</v>
      </c>
      <c r="C6295" t="s">
        <v>40</v>
      </c>
      <c r="D6295">
        <v>4.9729570000000001</v>
      </c>
      <c r="E6295">
        <v>0.5187136</v>
      </c>
      <c r="F6295" t="s">
        <v>41</v>
      </c>
      <c r="G6295">
        <v>-151.8683</v>
      </c>
      <c r="H6295">
        <v>0.9750624</v>
      </c>
      <c r="I6295">
        <v>138.5078</v>
      </c>
      <c r="J6295">
        <v>-152.52950000000001</v>
      </c>
      <c r="K6295">
        <v>1.11144</v>
      </c>
      <c r="L6295">
        <v>138.48179999999999</v>
      </c>
      <c r="M6295">
        <v>0.99943610000000005</v>
      </c>
      <c r="N6295">
        <v>-9.344438E-3</v>
      </c>
      <c r="O6295">
        <v>-3.2250460000000002E-2</v>
      </c>
      <c r="P6295">
        <v>0.92954809999999999</v>
      </c>
      <c r="Q6295">
        <v>0.36722490000000002</v>
      </c>
      <c r="R6295">
        <v>3.295944E-2</v>
      </c>
      <c r="S6295">
        <v>3.421646</v>
      </c>
      <c r="T6295">
        <v>-0.49432419999999999</v>
      </c>
      <c r="U6295">
        <v>6.4895629999999996E-2</v>
      </c>
      <c r="V6295">
        <v>-6.3686729999999997E-2</v>
      </c>
      <c r="W6295">
        <v>0.37575150000000002</v>
      </c>
      <c r="X6295">
        <v>0.92452959999999995</v>
      </c>
      <c r="Y6295">
        <v>-5.034947E-2</v>
      </c>
      <c r="Z6295">
        <v>8.1890369999999997E-3</v>
      </c>
      <c r="AA6295">
        <v>0.99869810000000003</v>
      </c>
      <c r="AB6295">
        <v>27</v>
      </c>
      <c r="AC6295">
        <v>0.661200000000007</v>
      </c>
      <c r="AD6295">
        <v>-0.13637759999999999</v>
      </c>
      <c r="AE6295">
        <v>2.60000000000104E-2</v>
      </c>
      <c r="AF6295">
        <v>-4.5383667765849602E-2</v>
      </c>
      <c r="AG6295">
        <v>-0.13637759999999999</v>
      </c>
      <c r="AH6295">
        <v>0.63312452265909702</v>
      </c>
      <c r="AI6295">
        <v>102.125817962168</v>
      </c>
      <c r="AJ6295">
        <v>94.1000664166436</v>
      </c>
      <c r="AK6295">
        <v>0.64923430922429703</v>
      </c>
      <c r="AL6295">
        <v>67.929234244277097</v>
      </c>
      <c r="AM6295">
        <v>93.940626108296598</v>
      </c>
      <c r="AN6295">
        <v>1.00000008530324</v>
      </c>
    </row>
    <row r="6296" spans="1:40" x14ac:dyDescent="0.25">
      <c r="A6296" t="str">
        <f>"20190304164812159"</f>
        <v>20190304164812159</v>
      </c>
      <c r="B6296" t="str">
        <f>"1551689292155827"</f>
        <v>1551689292155827</v>
      </c>
      <c r="C6296" t="s">
        <v>40</v>
      </c>
      <c r="D6296">
        <v>4.9542199999999896</v>
      </c>
      <c r="E6296">
        <v>0.5187311</v>
      </c>
      <c r="F6296" t="s">
        <v>41</v>
      </c>
      <c r="G6296">
        <v>-151.62139999999999</v>
      </c>
      <c r="H6296">
        <v>0.97944140000000002</v>
      </c>
      <c r="I6296">
        <v>138.50069999999999</v>
      </c>
      <c r="J6296">
        <v>-152.2619</v>
      </c>
      <c r="K6296">
        <v>1.1114219999999999</v>
      </c>
      <c r="L6296">
        <v>138.4744</v>
      </c>
      <c r="M6296">
        <v>0.99947140000000001</v>
      </c>
      <c r="N6296">
        <v>-9.3410109999999998E-3</v>
      </c>
      <c r="O6296">
        <v>-3.1140620000000001E-2</v>
      </c>
      <c r="P6296">
        <v>0.92974299999999999</v>
      </c>
      <c r="Q6296">
        <v>0.36654989999999998</v>
      </c>
      <c r="R6296">
        <v>3.491735E-2</v>
      </c>
      <c r="S6296">
        <v>3.4213559999999998</v>
      </c>
      <c r="T6296">
        <v>-0.49739889999999998</v>
      </c>
      <c r="U6296">
        <v>7.1044919999999998E-2</v>
      </c>
      <c r="V6296">
        <v>-6.4606899999999995E-2</v>
      </c>
      <c r="W6296">
        <v>0.3750752</v>
      </c>
      <c r="X6296">
        <v>0.92474029999999996</v>
      </c>
      <c r="Y6296">
        <v>-5.1028249999999997E-2</v>
      </c>
      <c r="Z6296">
        <v>8.1426150000000006E-3</v>
      </c>
      <c r="AA6296">
        <v>0.998664</v>
      </c>
      <c r="AB6296">
        <v>27</v>
      </c>
      <c r="AC6296">
        <v>0.64050000000000296</v>
      </c>
      <c r="AD6296">
        <v>-0.131980599999999</v>
      </c>
      <c r="AE6296">
        <v>2.6299999999992E-2</v>
      </c>
      <c r="AF6296">
        <v>-4.4353588527754402E-2</v>
      </c>
      <c r="AG6296">
        <v>-0.131980599999999</v>
      </c>
      <c r="AH6296">
        <v>0.61337032231116095</v>
      </c>
      <c r="AI6296">
        <v>102.112652943002</v>
      </c>
      <c r="AJ6296">
        <v>94.135931931327804</v>
      </c>
      <c r="AK6296">
        <v>0.62897477841623095</v>
      </c>
      <c r="AL6296">
        <v>67.971040191655007</v>
      </c>
      <c r="AM6296">
        <v>93.996470656532694</v>
      </c>
      <c r="AN6296">
        <v>1.0000000398133599</v>
      </c>
    </row>
    <row r="6297" spans="1:40" x14ac:dyDescent="0.25">
      <c r="A6297" t="str">
        <f>"20190304164812183"</f>
        <v>20190304164812183</v>
      </c>
      <c r="B6297" t="str">
        <f>"1551689292175347"</f>
        <v>1551689292175347</v>
      </c>
      <c r="C6297" t="s">
        <v>40</v>
      </c>
      <c r="D6297">
        <v>4.9528919999999896</v>
      </c>
      <c r="E6297">
        <v>0.51882200000000001</v>
      </c>
      <c r="F6297" t="s">
        <v>41</v>
      </c>
      <c r="G6297">
        <v>-151.37520000000001</v>
      </c>
      <c r="H6297">
        <v>0.98162570000000005</v>
      </c>
      <c r="I6297">
        <v>138.4941</v>
      </c>
      <c r="J6297">
        <v>-151.97190000000001</v>
      </c>
      <c r="K6297">
        <v>1.111418</v>
      </c>
      <c r="L6297">
        <v>138.4667</v>
      </c>
      <c r="M6297">
        <v>0.99950760000000005</v>
      </c>
      <c r="N6297">
        <v>-9.3468100000000005E-3</v>
      </c>
      <c r="O6297">
        <v>-2.9952929999999999E-2</v>
      </c>
      <c r="P6297">
        <v>0.92987470000000005</v>
      </c>
      <c r="Q6297">
        <v>0.36613309999999999</v>
      </c>
      <c r="R6297">
        <v>3.5768969999999997E-2</v>
      </c>
      <c r="S6297">
        <v>3.4213100000000001</v>
      </c>
      <c r="T6297">
        <v>-0.500911</v>
      </c>
      <c r="U6297">
        <v>7.6385499999999995E-2</v>
      </c>
      <c r="V6297">
        <v>-6.4351569999999997E-2</v>
      </c>
      <c r="W6297">
        <v>0.37466719999999998</v>
      </c>
      <c r="X6297">
        <v>0.92492339999999995</v>
      </c>
      <c r="Y6297">
        <v>-5.1394809999999999E-2</v>
      </c>
      <c r="Z6297">
        <v>8.0664159999999999E-3</v>
      </c>
      <c r="AA6297">
        <v>0.99864580000000003</v>
      </c>
      <c r="AB6297">
        <v>27</v>
      </c>
      <c r="AC6297">
        <v>0.59669999999999801</v>
      </c>
      <c r="AD6297">
        <v>-0.1297923</v>
      </c>
      <c r="AE6297">
        <v>2.7400000000000001E-2</v>
      </c>
      <c r="AF6297">
        <v>-4.3220772545590203E-2</v>
      </c>
      <c r="AG6297">
        <v>-0.1297923</v>
      </c>
      <c r="AH6297">
        <v>0.56875813780351703</v>
      </c>
      <c r="AI6297">
        <v>102.819203334927</v>
      </c>
      <c r="AJ6297">
        <v>94.345638986836704</v>
      </c>
      <c r="AK6297">
        <v>0.58497854288550799</v>
      </c>
      <c r="AL6297">
        <v>67.996253940401303</v>
      </c>
      <c r="AM6297">
        <v>93.979941762093006</v>
      </c>
      <c r="AN6297">
        <v>0.99999996559243098</v>
      </c>
    </row>
    <row r="6298" spans="1:40" x14ac:dyDescent="0.25">
      <c r="A6298" t="str">
        <f>"20190304164812224"</f>
        <v>20190304164812224</v>
      </c>
      <c r="B6298" t="str">
        <f>"1551689292215362"</f>
        <v>1551689292215362</v>
      </c>
      <c r="C6298" t="s">
        <v>40</v>
      </c>
      <c r="D6298">
        <v>5.0066059999999997</v>
      </c>
      <c r="E6298">
        <v>0.51891899999999902</v>
      </c>
      <c r="F6298" t="s">
        <v>41</v>
      </c>
      <c r="G6298">
        <v>-151.12710000000001</v>
      </c>
      <c r="H6298">
        <v>0.98730240000000002</v>
      </c>
      <c r="I6298">
        <v>138.48599999999999</v>
      </c>
      <c r="J6298">
        <v>-151.476</v>
      </c>
      <c r="K6298">
        <v>1.1114040000000001</v>
      </c>
      <c r="L6298">
        <v>138.45419999999999</v>
      </c>
      <c r="M6298">
        <v>0.9995657</v>
      </c>
      <c r="N6298">
        <v>-9.3748170000000006E-3</v>
      </c>
      <c r="O6298">
        <v>-2.793988E-2</v>
      </c>
      <c r="P6298">
        <v>0.93011390000000005</v>
      </c>
      <c r="Q6298">
        <v>0.36548259999999999</v>
      </c>
      <c r="R6298">
        <v>3.6210369999999999E-2</v>
      </c>
      <c r="S6298">
        <v>3.4211879999999999</v>
      </c>
      <c r="T6298">
        <v>-0.50276609999999999</v>
      </c>
      <c r="U6298">
        <v>7.8735349999999996E-2</v>
      </c>
      <c r="V6298">
        <v>-6.2926220000000005E-2</v>
      </c>
      <c r="W6298">
        <v>0.37404949999999998</v>
      </c>
      <c r="X6298">
        <v>0.92527150000000002</v>
      </c>
      <c r="Y6298">
        <v>-5.0097250000000003E-2</v>
      </c>
      <c r="Z6298">
        <v>7.7199310000000002E-3</v>
      </c>
      <c r="AA6298">
        <v>0.99871449999999995</v>
      </c>
      <c r="AB6298">
        <v>27</v>
      </c>
      <c r="AC6298">
        <v>0.348899999999986</v>
      </c>
      <c r="AD6298">
        <v>-0.12410160000000001</v>
      </c>
      <c r="AE6298">
        <v>3.1800000000003999E-2</v>
      </c>
      <c r="AF6298">
        <v>-3.6905490405482903E-2</v>
      </c>
      <c r="AG6298">
        <v>-0.12410160000000001</v>
      </c>
      <c r="AH6298">
        <v>0.30909172114574601</v>
      </c>
      <c r="AI6298">
        <v>111.735804431068</v>
      </c>
      <c r="AJ6298">
        <v>96.808870384843004</v>
      </c>
      <c r="AK6298">
        <v>0.335113285957852</v>
      </c>
      <c r="AL6298">
        <v>68.034422681928703</v>
      </c>
      <c r="AM6298">
        <v>93.890602592891298</v>
      </c>
      <c r="AN6298">
        <v>1.0000000431629901</v>
      </c>
    </row>
    <row r="6299" spans="1:40" x14ac:dyDescent="0.25">
      <c r="A6299" t="str">
        <f>"20190304164812254"</f>
        <v>20190304164812254</v>
      </c>
      <c r="B6299" t="str">
        <f>"1551689292245620"</f>
        <v>1551689292245620</v>
      </c>
      <c r="C6299" t="s">
        <v>40</v>
      </c>
      <c r="D6299">
        <v>4.9854969999999996</v>
      </c>
      <c r="E6299">
        <v>0.51897399999999905</v>
      </c>
      <c r="F6299" t="s">
        <v>41</v>
      </c>
      <c r="G6299">
        <v>-150.63509999999999</v>
      </c>
      <c r="H6299">
        <v>0.98696890000000004</v>
      </c>
      <c r="I6299">
        <v>138.47329999999999</v>
      </c>
      <c r="J6299">
        <v>-151.09209999999999</v>
      </c>
      <c r="K6299">
        <v>1.111407</v>
      </c>
      <c r="L6299">
        <v>138.4453</v>
      </c>
      <c r="M6299">
        <v>0.99960769999999999</v>
      </c>
      <c r="N6299">
        <v>-9.4055230000000007E-3</v>
      </c>
      <c r="O6299">
        <v>-2.63848E-2</v>
      </c>
      <c r="P6299">
        <v>0.93008299999999999</v>
      </c>
      <c r="Q6299">
        <v>0.36551070000000002</v>
      </c>
      <c r="R6299">
        <v>3.6711599999999997E-2</v>
      </c>
      <c r="S6299">
        <v>3.4213870000000002</v>
      </c>
      <c r="T6299">
        <v>-0.50641930000000002</v>
      </c>
      <c r="U6299">
        <v>7.7850340000000004E-2</v>
      </c>
      <c r="V6299">
        <v>-6.1983530000000002E-2</v>
      </c>
      <c r="W6299">
        <v>0.37410789999999999</v>
      </c>
      <c r="X6299">
        <v>0.92531149999999995</v>
      </c>
      <c r="Y6299">
        <v>-4.8307490000000002E-2</v>
      </c>
      <c r="Z6299">
        <v>7.4206180000000004E-3</v>
      </c>
      <c r="AA6299">
        <v>0.9988049</v>
      </c>
      <c r="AB6299">
        <v>28</v>
      </c>
      <c r="AC6299">
        <v>0.45699999999999302</v>
      </c>
      <c r="AD6299">
        <v>-0.1244381</v>
      </c>
      <c r="AE6299">
        <v>2.79999999999915E-2</v>
      </c>
      <c r="AF6299">
        <v>-3.7293872068769197E-2</v>
      </c>
      <c r="AG6299">
        <v>-0.1244381</v>
      </c>
      <c r="AH6299">
        <v>0.42472887471218101</v>
      </c>
      <c r="AI6299">
        <v>106.270385716181</v>
      </c>
      <c r="AJ6299">
        <v>95.018060631303399</v>
      </c>
      <c r="AK6299">
        <v>0.44415120245223599</v>
      </c>
      <c r="AL6299">
        <v>68.030814245049896</v>
      </c>
      <c r="AM6299">
        <v>93.832327782918696</v>
      </c>
      <c r="AN6299">
        <v>1.00000002543296</v>
      </c>
    </row>
    <row r="6300" spans="1:40" x14ac:dyDescent="0.25">
      <c r="A6300" t="str">
        <f>"20190304164812274"</f>
        <v>20190304164812274</v>
      </c>
      <c r="B6300" t="str">
        <f>"1551689292266114"</f>
        <v>1551689292266114</v>
      </c>
      <c r="C6300" t="s">
        <v>40</v>
      </c>
      <c r="D6300">
        <v>4.9908979999999996</v>
      </c>
      <c r="E6300">
        <v>0.51902199999999998</v>
      </c>
      <c r="F6300" t="s">
        <v>41</v>
      </c>
      <c r="G6300">
        <v>-150.14840000000001</v>
      </c>
      <c r="H6300">
        <v>0.97154180000000001</v>
      </c>
      <c r="I6300">
        <v>138.46709999999999</v>
      </c>
      <c r="J6300">
        <v>-150.84620000000001</v>
      </c>
      <c r="K6300">
        <v>1.1114090000000001</v>
      </c>
      <c r="L6300">
        <v>138.43979999999999</v>
      </c>
      <c r="M6300">
        <v>0.99963299999999999</v>
      </c>
      <c r="N6300">
        <v>-9.4342660000000002E-3</v>
      </c>
      <c r="O6300">
        <v>-2.539657E-2</v>
      </c>
      <c r="P6300">
        <v>0.93029980000000001</v>
      </c>
      <c r="Q6300">
        <v>0.36487399999999998</v>
      </c>
      <c r="R6300">
        <v>3.7540629999999998E-2</v>
      </c>
      <c r="S6300">
        <v>3.4216609999999998</v>
      </c>
      <c r="T6300">
        <v>-0.50714979999999998</v>
      </c>
      <c r="U6300">
        <v>7.9254149999999995E-2</v>
      </c>
      <c r="V6300">
        <v>-6.1897050000000002E-2</v>
      </c>
      <c r="W6300">
        <v>0.37350070000000002</v>
      </c>
      <c r="X6300">
        <v>0.92556260000000001</v>
      </c>
      <c r="Y6300">
        <v>-4.774167E-2</v>
      </c>
      <c r="Z6300">
        <v>7.2498160000000001E-3</v>
      </c>
      <c r="AA6300">
        <v>0.99883339999999998</v>
      </c>
      <c r="AB6300">
        <v>28</v>
      </c>
      <c r="AC6300">
        <v>0.69779999999999998</v>
      </c>
      <c r="AD6300">
        <v>-0.1398672</v>
      </c>
      <c r="AE6300">
        <v>2.7299999999996698E-2</v>
      </c>
      <c r="AF6300">
        <v>-4.32776305010397E-2</v>
      </c>
      <c r="AG6300">
        <v>-0.1398672</v>
      </c>
      <c r="AH6300">
        <v>0.67000439822957403</v>
      </c>
      <c r="AI6300">
        <v>101.76763973041</v>
      </c>
      <c r="AJ6300">
        <v>93.695775190652896</v>
      </c>
      <c r="AK6300">
        <v>0.68581461094423901</v>
      </c>
      <c r="AL6300">
        <v>68.068324445512999</v>
      </c>
      <c r="AM6300">
        <v>93.825961624363003</v>
      </c>
      <c r="AN6300">
        <v>1.0000000721089699</v>
      </c>
    </row>
    <row r="6301" spans="1:40" x14ac:dyDescent="0.25">
      <c r="A6301" t="str">
        <f>"20190304164812293"</f>
        <v>20190304164812293</v>
      </c>
      <c r="B6301" t="str">
        <f>"1551689292286611"</f>
        <v>1551689292286611</v>
      </c>
      <c r="C6301" t="s">
        <v>40</v>
      </c>
      <c r="D6301">
        <v>4.9638710000000001</v>
      </c>
      <c r="E6301">
        <v>0.51907769999999998</v>
      </c>
      <c r="F6301" t="s">
        <v>41</v>
      </c>
      <c r="G6301">
        <v>-149.9015</v>
      </c>
      <c r="H6301">
        <v>0.9706051</v>
      </c>
      <c r="I6301">
        <v>138.46170000000001</v>
      </c>
      <c r="J6301">
        <v>-150.59989999999999</v>
      </c>
      <c r="K6301">
        <v>1.1114200000000001</v>
      </c>
      <c r="L6301">
        <v>138.43459999999999</v>
      </c>
      <c r="M6301">
        <v>0.99965700000000002</v>
      </c>
      <c r="N6301">
        <v>-9.4695160000000007E-3</v>
      </c>
      <c r="O6301">
        <v>-2.441436E-2</v>
      </c>
      <c r="P6301">
        <v>0.93038030000000005</v>
      </c>
      <c r="Q6301">
        <v>0.36458410000000002</v>
      </c>
      <c r="R6301">
        <v>3.8352740000000003E-2</v>
      </c>
      <c r="S6301">
        <v>3.421646</v>
      </c>
      <c r="T6301">
        <v>-0.51013310000000001</v>
      </c>
      <c r="U6301">
        <v>8.0078129999999997E-2</v>
      </c>
      <c r="V6301">
        <v>-6.1793099999999997E-2</v>
      </c>
      <c r="W6301">
        <v>0.37324590000000002</v>
      </c>
      <c r="X6301">
        <v>0.9256723</v>
      </c>
      <c r="Y6301">
        <v>-4.7009519999999999E-2</v>
      </c>
      <c r="Z6301">
        <v>7.0979629999999997E-3</v>
      </c>
      <c r="AA6301">
        <v>0.99886920000000001</v>
      </c>
      <c r="AB6301">
        <v>28</v>
      </c>
      <c r="AC6301">
        <v>0.69839999999999203</v>
      </c>
      <c r="AD6301">
        <v>-0.14081489999999999</v>
      </c>
      <c r="AE6301">
        <v>2.7100000000018502E-2</v>
      </c>
      <c r="AF6301">
        <v>-4.2421714293988402E-2</v>
      </c>
      <c r="AG6301">
        <v>-0.14081489999999999</v>
      </c>
      <c r="AH6301">
        <v>0.67032080446046804</v>
      </c>
      <c r="AI6301">
        <v>101.840653146807</v>
      </c>
      <c r="AJ6301">
        <v>93.621173702467601</v>
      </c>
      <c r="AK6301">
        <v>0.68626410280458305</v>
      </c>
      <c r="AL6301">
        <v>68.084060938639297</v>
      </c>
      <c r="AM6301">
        <v>93.819104023985105</v>
      </c>
      <c r="AN6301">
        <v>1.00000004803085</v>
      </c>
    </row>
    <row r="6302" spans="1:40" x14ac:dyDescent="0.25">
      <c r="A6302" t="str">
        <f>"20190304164812315"</f>
        <v>20190304164812315</v>
      </c>
      <c r="B6302" t="str">
        <f>"1551689292306130"</f>
        <v>1551689292306130</v>
      </c>
      <c r="C6302" t="s">
        <v>40</v>
      </c>
      <c r="D6302">
        <v>4.997128</v>
      </c>
      <c r="E6302">
        <v>0.51910500000000004</v>
      </c>
      <c r="F6302" t="s">
        <v>41</v>
      </c>
      <c r="G6302">
        <v>-149.8861</v>
      </c>
      <c r="H6302">
        <v>1.0046660000000001</v>
      </c>
      <c r="I6302">
        <v>138.45160000000001</v>
      </c>
      <c r="J6302">
        <v>-150.33320000000001</v>
      </c>
      <c r="K6302">
        <v>1.111434</v>
      </c>
      <c r="L6302">
        <v>138.42930000000001</v>
      </c>
      <c r="M6302">
        <v>0.99968120000000005</v>
      </c>
      <c r="N6302">
        <v>-9.5261070000000007E-3</v>
      </c>
      <c r="O6302">
        <v>-2.3382400000000001E-2</v>
      </c>
      <c r="P6302">
        <v>0.93013109999999999</v>
      </c>
      <c r="Q6302">
        <v>0.36507499999999998</v>
      </c>
      <c r="R6302">
        <v>3.9706190000000002E-2</v>
      </c>
      <c r="S6302">
        <v>3.4216920000000002</v>
      </c>
      <c r="T6302">
        <v>-0.51187349999999998</v>
      </c>
      <c r="U6302">
        <v>8.2199099999999997E-2</v>
      </c>
      <c r="V6302">
        <v>-6.2166869999999999E-2</v>
      </c>
      <c r="W6302">
        <v>0.37378860000000003</v>
      </c>
      <c r="X6302">
        <v>0.92542820000000003</v>
      </c>
      <c r="Y6302">
        <v>-4.6606399999999999E-2</v>
      </c>
      <c r="Z6302">
        <v>6.9461540000000004E-3</v>
      </c>
      <c r="AA6302">
        <v>0.99888920000000003</v>
      </c>
      <c r="AB6302">
        <v>28</v>
      </c>
      <c r="AC6302">
        <v>0.44710000000000599</v>
      </c>
      <c r="AD6302">
        <v>-0.106767999999999</v>
      </c>
      <c r="AE6302">
        <v>2.2300000000001301E-2</v>
      </c>
      <c r="AF6302">
        <v>-3.09860240331871E-2</v>
      </c>
      <c r="AG6302">
        <v>-0.106767999999999</v>
      </c>
      <c r="AH6302">
        <v>0.42242676957006903</v>
      </c>
      <c r="AI6302">
        <v>104.147916852374</v>
      </c>
      <c r="AJ6302">
        <v>94.195270281561903</v>
      </c>
      <c r="AK6302">
        <v>0.43681107490400201</v>
      </c>
      <c r="AL6302">
        <v>68.050539195017905</v>
      </c>
      <c r="AM6302">
        <v>93.843146186408504</v>
      </c>
      <c r="AN6302">
        <v>0.99999999528539796</v>
      </c>
    </row>
    <row r="6303" spans="1:40" x14ac:dyDescent="0.25">
      <c r="A6303" t="str">
        <f>"20190304164812339"</f>
        <v>20190304164812339</v>
      </c>
      <c r="B6303" t="str">
        <f>"1551689292335411"</f>
        <v>1551689292335411</v>
      </c>
      <c r="C6303" t="s">
        <v>40</v>
      </c>
      <c r="D6303">
        <v>5.011012</v>
      </c>
      <c r="E6303">
        <v>0.51913019999999999</v>
      </c>
      <c r="F6303" t="s">
        <v>41</v>
      </c>
      <c r="G6303">
        <v>-149.405</v>
      </c>
      <c r="H6303">
        <v>0.97295240000000005</v>
      </c>
      <c r="I6303">
        <v>138.45230000000001</v>
      </c>
      <c r="J6303">
        <v>-150.03970000000001</v>
      </c>
      <c r="K6303">
        <v>1.111418</v>
      </c>
      <c r="L6303">
        <v>138.42359999999999</v>
      </c>
      <c r="M6303">
        <v>0.99970409999999998</v>
      </c>
      <c r="N6303">
        <v>-9.6405669999999992E-3</v>
      </c>
      <c r="O6303">
        <v>-2.234154E-2</v>
      </c>
      <c r="P6303">
        <v>0.93008299999999999</v>
      </c>
      <c r="Q6303">
        <v>0.3650024</v>
      </c>
      <c r="R6303">
        <v>4.1460919999999998E-2</v>
      </c>
      <c r="S6303">
        <v>3.4221499999999998</v>
      </c>
      <c r="T6303">
        <v>-0.51064750000000003</v>
      </c>
      <c r="U6303">
        <v>8.5098270000000004E-2</v>
      </c>
      <c r="V6303">
        <v>-6.2907580000000005E-2</v>
      </c>
      <c r="W6303">
        <v>0.37382739999999998</v>
      </c>
      <c r="X6303">
        <v>0.92536249999999998</v>
      </c>
      <c r="Y6303">
        <v>-4.6425050000000002E-2</v>
      </c>
      <c r="Z6303">
        <v>6.7699609999999997E-3</v>
      </c>
      <c r="AA6303">
        <v>0.99889890000000003</v>
      </c>
      <c r="AB6303">
        <v>28</v>
      </c>
      <c r="AC6303">
        <v>0.63470000000000903</v>
      </c>
      <c r="AD6303">
        <v>-0.13846559999999999</v>
      </c>
      <c r="AE6303">
        <v>2.87000000000148E-2</v>
      </c>
      <c r="AF6303">
        <v>-4.0929660452344398E-2</v>
      </c>
      <c r="AG6303">
        <v>-0.13846559999999999</v>
      </c>
      <c r="AH6303">
        <v>0.60515758919174101</v>
      </c>
      <c r="AI6303">
        <v>102.859546442265</v>
      </c>
      <c r="AJ6303">
        <v>93.869290873955407</v>
      </c>
      <c r="AK6303">
        <v>0.62214441028145895</v>
      </c>
      <c r="AL6303">
        <v>68.048142991763797</v>
      </c>
      <c r="AM6303">
        <v>93.8890723422642</v>
      </c>
      <c r="AN6303">
        <v>1.00000002250923</v>
      </c>
    </row>
    <row r="6304" spans="1:40" x14ac:dyDescent="0.25">
      <c r="A6304" t="str">
        <f>"20190304164812361"</f>
        <v>20190304164812361</v>
      </c>
      <c r="B6304" t="str">
        <f>"1551689292355907"</f>
        <v>1551689292355907</v>
      </c>
      <c r="C6304" t="s">
        <v>40</v>
      </c>
      <c r="D6304">
        <v>5.0051500000000004</v>
      </c>
      <c r="E6304">
        <v>0.51916770000000001</v>
      </c>
      <c r="F6304" t="s">
        <v>41</v>
      </c>
      <c r="G6304">
        <v>-149.15430000000001</v>
      </c>
      <c r="H6304">
        <v>0.97901760000000004</v>
      </c>
      <c r="I6304">
        <v>138.4469</v>
      </c>
      <c r="J6304">
        <v>-149.77459999999999</v>
      </c>
      <c r="K6304">
        <v>1.111397</v>
      </c>
      <c r="L6304">
        <v>138.4187</v>
      </c>
      <c r="M6304">
        <v>0.99972119999999998</v>
      </c>
      <c r="N6304">
        <v>-9.7872480000000001E-3</v>
      </c>
      <c r="O6304">
        <v>-2.148885E-2</v>
      </c>
      <c r="P6304">
        <v>0.93011460000000001</v>
      </c>
      <c r="Q6304">
        <v>0.36474590000000001</v>
      </c>
      <c r="R6304">
        <v>4.2982579999999999E-2</v>
      </c>
      <c r="S6304">
        <v>3.4223479999999999</v>
      </c>
      <c r="T6304">
        <v>-0.51178919999999894</v>
      </c>
      <c r="U6304">
        <v>9.0087890000000004E-2</v>
      </c>
      <c r="V6304">
        <v>-6.3579570000000002E-2</v>
      </c>
      <c r="W6304">
        <v>0.3737161</v>
      </c>
      <c r="X6304">
        <v>0.92536149999999995</v>
      </c>
      <c r="Y6304">
        <v>-4.7024879999999998E-2</v>
      </c>
      <c r="Z6304">
        <v>6.713658E-3</v>
      </c>
      <c r="AA6304">
        <v>0.99887110000000001</v>
      </c>
      <c r="AB6304">
        <v>28</v>
      </c>
      <c r="AC6304">
        <v>0.62029999999998597</v>
      </c>
      <c r="AD6304">
        <v>-0.13237940000000001</v>
      </c>
      <c r="AE6304">
        <v>2.8199999999998199E-2</v>
      </c>
      <c r="AF6304">
        <v>-3.9718429065620099E-2</v>
      </c>
      <c r="AG6304">
        <v>-0.13237940000000001</v>
      </c>
      <c r="AH6304">
        <v>0.59261592748420899</v>
      </c>
      <c r="AI6304">
        <v>102.564794179331</v>
      </c>
      <c r="AJ6304">
        <v>93.834355342269703</v>
      </c>
      <c r="AK6304">
        <v>0.608519101310525</v>
      </c>
      <c r="AL6304">
        <v>68.0550177057832</v>
      </c>
      <c r="AM6304">
        <v>93.930490813571396</v>
      </c>
      <c r="AN6304">
        <v>0.99999999540142204</v>
      </c>
    </row>
    <row r="6305" spans="1:40" x14ac:dyDescent="0.25">
      <c r="A6305" t="str">
        <f>"20190304164812383"</f>
        <v>20190304164812383</v>
      </c>
      <c r="B6305" t="str">
        <f>"1551689292375427"</f>
        <v>1551689292375427</v>
      </c>
      <c r="C6305" t="s">
        <v>40</v>
      </c>
      <c r="D6305">
        <v>4.9901530000000003</v>
      </c>
      <c r="E6305">
        <v>0.51921479999999998</v>
      </c>
      <c r="F6305" t="s">
        <v>41</v>
      </c>
      <c r="G6305">
        <v>-148.90539999999999</v>
      </c>
      <c r="H6305">
        <v>0.98097409999999996</v>
      </c>
      <c r="I6305">
        <v>138.44290000000001</v>
      </c>
      <c r="J6305">
        <v>-149.4941</v>
      </c>
      <c r="K6305">
        <v>1.111383</v>
      </c>
      <c r="L6305">
        <v>138.4136</v>
      </c>
      <c r="M6305">
        <v>0.99973520000000005</v>
      </c>
      <c r="N6305">
        <v>-1.0044549999999999E-2</v>
      </c>
      <c r="O6305">
        <v>-2.0710920000000001E-2</v>
      </c>
      <c r="P6305">
        <v>0.92983859999999996</v>
      </c>
      <c r="Q6305">
        <v>0.3652572</v>
      </c>
      <c r="R6305">
        <v>4.458281E-2</v>
      </c>
      <c r="S6305">
        <v>3.4223789999999998</v>
      </c>
      <c r="T6305">
        <v>-0.51355969999999995</v>
      </c>
      <c r="U6305">
        <v>9.5504759999999994E-2</v>
      </c>
      <c r="V6305">
        <v>-6.4372840000000001E-2</v>
      </c>
      <c r="W6305">
        <v>0.3744749</v>
      </c>
      <c r="X6305">
        <v>0.92499980000000004</v>
      </c>
      <c r="Y6305">
        <v>-4.7820000000000001E-2</v>
      </c>
      <c r="Z6305">
        <v>6.6920209999999898E-3</v>
      </c>
      <c r="AA6305">
        <v>0.99883350000000004</v>
      </c>
      <c r="AB6305">
        <v>28</v>
      </c>
      <c r="AC6305">
        <v>0.58870000000001699</v>
      </c>
      <c r="AD6305">
        <v>-0.13040889999999999</v>
      </c>
      <c r="AE6305">
        <v>2.93000000000063E-2</v>
      </c>
      <c r="AF6305">
        <v>-3.9550836550695002E-2</v>
      </c>
      <c r="AG6305">
        <v>-0.13040889999999999</v>
      </c>
      <c r="AH6305">
        <v>0.56052900809478701</v>
      </c>
      <c r="AI6305">
        <v>103.065697084253</v>
      </c>
      <c r="AJ6305">
        <v>94.036091694982403</v>
      </c>
      <c r="AK6305">
        <v>0.57685658424498898</v>
      </c>
      <c r="AL6305">
        <v>68.008137169072398</v>
      </c>
      <c r="AM6305">
        <v>93.980925242225396</v>
      </c>
      <c r="AN6305">
        <v>0.99999997162985699</v>
      </c>
    </row>
    <row r="6306" spans="1:40" x14ac:dyDescent="0.25">
      <c r="A6306" t="str">
        <f>"20190304164812405"</f>
        <v>20190304164812405</v>
      </c>
      <c r="B6306" t="str">
        <f>"1551689292395922"</f>
        <v>1551689292395922</v>
      </c>
      <c r="C6306" t="s">
        <v>40</v>
      </c>
      <c r="D6306">
        <v>5.009436</v>
      </c>
      <c r="E6306">
        <v>0.51925749999999904</v>
      </c>
      <c r="F6306" t="s">
        <v>41</v>
      </c>
      <c r="G6306">
        <v>-148.65539999999999</v>
      </c>
      <c r="H6306">
        <v>0.98584629999999995</v>
      </c>
      <c r="I6306">
        <v>138.4385</v>
      </c>
      <c r="J6306">
        <v>-149.22229999999999</v>
      </c>
      <c r="K6306">
        <v>1.111367</v>
      </c>
      <c r="L6306">
        <v>138.40870000000001</v>
      </c>
      <c r="M6306">
        <v>0.99974399999999997</v>
      </c>
      <c r="N6306">
        <v>-1.0394509999999999E-2</v>
      </c>
      <c r="O6306">
        <v>-2.0099269999999999E-2</v>
      </c>
      <c r="P6306">
        <v>0.92938690000000002</v>
      </c>
      <c r="Q6306">
        <v>0.3662474</v>
      </c>
      <c r="R6306">
        <v>4.5859120000000003E-2</v>
      </c>
      <c r="S6306">
        <v>3.4227599999999998</v>
      </c>
      <c r="T6306">
        <v>-0.51243349999999999</v>
      </c>
      <c r="U6306">
        <v>0.102005</v>
      </c>
      <c r="V6306">
        <v>-6.4981419999999998E-2</v>
      </c>
      <c r="W6306">
        <v>0.3757991</v>
      </c>
      <c r="X6306">
        <v>0.92442009999999997</v>
      </c>
      <c r="Y6306">
        <v>-4.909517E-2</v>
      </c>
      <c r="Z6306">
        <v>6.6947530000000003E-3</v>
      </c>
      <c r="AA6306">
        <v>0.99877169999999904</v>
      </c>
      <c r="AB6306">
        <v>28</v>
      </c>
      <c r="AC6306">
        <v>0.56690000000000396</v>
      </c>
      <c r="AD6306">
        <v>-0.12552070000000001</v>
      </c>
      <c r="AE6306">
        <v>2.97999999999944E-2</v>
      </c>
      <c r="AF6306">
        <v>-3.9269011584740603E-2</v>
      </c>
      <c r="AG6306">
        <v>-0.12552070000000001</v>
      </c>
      <c r="AH6306">
        <v>0.53979589556933005</v>
      </c>
      <c r="AI6306">
        <v>103.05724221445401</v>
      </c>
      <c r="AJ6306">
        <v>94.160817269841203</v>
      </c>
      <c r="AK6306">
        <v>0.55558717612344799</v>
      </c>
      <c r="AL6306">
        <v>67.9262901065877</v>
      </c>
      <c r="AM6306">
        <v>94.020949818939599</v>
      </c>
      <c r="AN6306">
        <v>1.00000003489501</v>
      </c>
    </row>
    <row r="6307" spans="1:40" x14ac:dyDescent="0.25">
      <c r="A6307" t="str">
        <f>"20190304164812435"</f>
        <v>20190304164812435</v>
      </c>
      <c r="B6307" t="str">
        <f>"1551689292426178"</f>
        <v>1551689292426178</v>
      </c>
      <c r="C6307" t="s">
        <v>40</v>
      </c>
      <c r="D6307">
        <v>4.9779109999999998</v>
      </c>
      <c r="E6307">
        <v>0.51917550000000001</v>
      </c>
      <c r="F6307" t="s">
        <v>41</v>
      </c>
      <c r="G6307">
        <v>-148.40610000000001</v>
      </c>
      <c r="H6307">
        <v>0.98991019999999996</v>
      </c>
      <c r="I6307">
        <v>138.43389999999999</v>
      </c>
      <c r="J6307">
        <v>-148.85939999999999</v>
      </c>
      <c r="K6307">
        <v>1.111305</v>
      </c>
      <c r="L6307">
        <v>138.40219999999999</v>
      </c>
      <c r="M6307">
        <v>0.99975000000000003</v>
      </c>
      <c r="N6307">
        <v>-1.0893399999999999E-2</v>
      </c>
      <c r="O6307">
        <v>-1.952334E-2</v>
      </c>
      <c r="P6307">
        <v>0.92925250000000004</v>
      </c>
      <c r="Q6307">
        <v>0.36635499999999999</v>
      </c>
      <c r="R6307">
        <v>4.7685810000000002E-2</v>
      </c>
      <c r="S6307">
        <v>3.4234619999999998</v>
      </c>
      <c r="T6307">
        <v>-0.509517</v>
      </c>
      <c r="U6307">
        <v>0.10664369999999999</v>
      </c>
      <c r="V6307">
        <v>-6.6122639999999996E-2</v>
      </c>
      <c r="W6307">
        <v>0.37639119999999998</v>
      </c>
      <c r="X6307">
        <v>0.92409819999999998</v>
      </c>
      <c r="Y6307">
        <v>-4.9870780000000003E-2</v>
      </c>
      <c r="Z6307">
        <v>6.6408589999999998E-3</v>
      </c>
      <c r="AA6307">
        <v>0.9987336</v>
      </c>
      <c r="AB6307">
        <v>28</v>
      </c>
      <c r="AC6307">
        <v>0.45329999999998399</v>
      </c>
      <c r="AD6307">
        <v>-0.1213948</v>
      </c>
      <c r="AE6307">
        <v>3.17000000000007E-2</v>
      </c>
      <c r="AF6307">
        <v>-3.7843553830414003E-2</v>
      </c>
      <c r="AG6307">
        <v>-0.1213948</v>
      </c>
      <c r="AH6307">
        <v>0.422445148652147</v>
      </c>
      <c r="AI6307">
        <v>105.97197611763799</v>
      </c>
      <c r="AJ6307">
        <v>95.119016228176605</v>
      </c>
      <c r="AK6307">
        <v>0.44116746894268</v>
      </c>
      <c r="AL6307">
        <v>67.889676640532699</v>
      </c>
      <c r="AM6307">
        <v>94.092749331505203</v>
      </c>
      <c r="AN6307">
        <v>1.00000001110062</v>
      </c>
    </row>
    <row r="6308" spans="1:40" x14ac:dyDescent="0.25">
      <c r="A6308" t="str">
        <f>"20190304164812467"</f>
        <v>20190304164812467</v>
      </c>
      <c r="B6308" t="str">
        <f>"1551689292455822"</f>
        <v>1551689292455822</v>
      </c>
      <c r="C6308" t="s">
        <v>40</v>
      </c>
      <c r="D6308">
        <v>4.9531619999999998</v>
      </c>
      <c r="E6308">
        <v>0.51927860000000003</v>
      </c>
      <c r="F6308" t="s">
        <v>41</v>
      </c>
      <c r="G6308">
        <v>-147.92009999999999</v>
      </c>
      <c r="H6308">
        <v>0.97184959999999998</v>
      </c>
      <c r="I6308">
        <v>138.4331</v>
      </c>
      <c r="J6308">
        <v>-148.4513</v>
      </c>
      <c r="K6308">
        <v>1.1111580000000001</v>
      </c>
      <c r="L6308">
        <v>138.3947</v>
      </c>
      <c r="M6308">
        <v>0.99974989999999997</v>
      </c>
      <c r="N6308">
        <v>-1.13974E-2</v>
      </c>
      <c r="O6308">
        <v>-1.9245040000000001E-2</v>
      </c>
      <c r="P6308">
        <v>0.93105170000000004</v>
      </c>
      <c r="Q6308">
        <v>0.36150209999999999</v>
      </c>
      <c r="R6308">
        <v>4.9591030000000001E-2</v>
      </c>
      <c r="S6308">
        <v>3.4229889999999998</v>
      </c>
      <c r="T6308">
        <v>-0.50823940000000001</v>
      </c>
      <c r="U6308">
        <v>0.11309809999999999</v>
      </c>
      <c r="V6308">
        <v>-6.763595E-2</v>
      </c>
      <c r="W6308">
        <v>0.37205290000000002</v>
      </c>
      <c r="X6308">
        <v>0.92574409999999896</v>
      </c>
      <c r="Y6308">
        <v>-5.1465299999999999E-2</v>
      </c>
      <c r="Z6308">
        <v>6.7170279999999999E-3</v>
      </c>
      <c r="AA6308">
        <v>0.99865219999999999</v>
      </c>
      <c r="AB6308">
        <v>28</v>
      </c>
      <c r="AC6308">
        <v>0.531200000000012</v>
      </c>
      <c r="AD6308">
        <v>-0.1393084</v>
      </c>
      <c r="AE6308">
        <v>3.8399999999995701E-2</v>
      </c>
      <c r="AF6308">
        <v>-4.55032427164156E-2</v>
      </c>
      <c r="AG6308">
        <v>-0.1393084</v>
      </c>
      <c r="AH6308">
        <v>0.49639953407829901</v>
      </c>
      <c r="AI6308">
        <v>105.613869110591</v>
      </c>
      <c r="AJ6308">
        <v>95.237470583284093</v>
      </c>
      <c r="AK6308">
        <v>0.51758078870976398</v>
      </c>
      <c r="AL6308">
        <v>68.157720614092398</v>
      </c>
      <c r="AM6308">
        <v>94.178672262582097</v>
      </c>
      <c r="AN6308">
        <v>1.0000000604078001</v>
      </c>
    </row>
    <row r="6309" spans="1:40" x14ac:dyDescent="0.25">
      <c r="A6309" t="str">
        <f>"20190304164812494"</f>
        <v>20190304164812494</v>
      </c>
      <c r="B6309" t="str">
        <f>"1551689292486074"</f>
        <v>1551689292486074</v>
      </c>
      <c r="C6309" t="s">
        <v>40</v>
      </c>
      <c r="D6309">
        <v>4.9957479999999999</v>
      </c>
      <c r="E6309">
        <v>0.5214626</v>
      </c>
      <c r="F6309" t="s">
        <v>41</v>
      </c>
      <c r="G6309">
        <v>-147.6652</v>
      </c>
      <c r="H6309">
        <v>0.990012</v>
      </c>
      <c r="I6309">
        <v>138.4221</v>
      </c>
      <c r="J6309">
        <v>-148.11709999999999</v>
      </c>
      <c r="K6309">
        <v>1.111051</v>
      </c>
      <c r="L6309">
        <v>138.38839999999999</v>
      </c>
      <c r="M6309">
        <v>0.99974580000000002</v>
      </c>
      <c r="N6309">
        <v>-1.1776139999999999E-2</v>
      </c>
      <c r="O6309">
        <v>-1.9224769999999999E-2</v>
      </c>
      <c r="P6309">
        <v>0.93216030000000005</v>
      </c>
      <c r="Q6309">
        <v>0.3585139</v>
      </c>
      <c r="R6309">
        <v>5.0447760000000001E-2</v>
      </c>
      <c r="S6309">
        <v>3.420471</v>
      </c>
      <c r="T6309">
        <v>-0.52717009999999997</v>
      </c>
      <c r="U6309">
        <v>0.1197662</v>
      </c>
      <c r="V6309">
        <v>-6.8384310000000004E-2</v>
      </c>
      <c r="W6309">
        <v>0.36944850000000001</v>
      </c>
      <c r="X6309">
        <v>0.92673159999999999</v>
      </c>
      <c r="Y6309">
        <v>-5.332986E-2</v>
      </c>
      <c r="Z6309">
        <v>7.1201019999999997E-3</v>
      </c>
      <c r="AA6309">
        <v>0.99855150000000004</v>
      </c>
      <c r="AB6309">
        <v>28</v>
      </c>
      <c r="AC6309">
        <v>0.45189999999999397</v>
      </c>
      <c r="AD6309">
        <v>-0.12103899999999899</v>
      </c>
      <c r="AE6309">
        <v>3.3700000000010201E-2</v>
      </c>
      <c r="AF6309">
        <v>-3.9559700175350099E-2</v>
      </c>
      <c r="AG6309">
        <v>-0.12103899999999899</v>
      </c>
      <c r="AH6309">
        <v>0.421123890790849</v>
      </c>
      <c r="AI6309">
        <v>105.96895886021601</v>
      </c>
      <c r="AJ6309">
        <v>95.366524749475701</v>
      </c>
      <c r="AK6309">
        <v>0.43995538500373699</v>
      </c>
      <c r="AL6309">
        <v>68.318391880356401</v>
      </c>
      <c r="AM6309">
        <v>94.220255319907693</v>
      </c>
      <c r="AN6309">
        <v>1.0000000332224901</v>
      </c>
    </row>
    <row r="6310" spans="1:40" x14ac:dyDescent="0.25">
      <c r="A6310" t="str">
        <f>"20190304164812517"</f>
        <v>20190304164812517</v>
      </c>
      <c r="B6310" t="str">
        <f>"1551689292505594"</f>
        <v>1551689292505594</v>
      </c>
      <c r="C6310" t="s">
        <v>40</v>
      </c>
      <c r="D6310">
        <v>4.9957750000000001</v>
      </c>
      <c r="E6310">
        <v>0.52168820000000005</v>
      </c>
      <c r="F6310" t="s">
        <v>41</v>
      </c>
      <c r="G6310">
        <v>-147.1885</v>
      </c>
      <c r="H6310">
        <v>0.95529909999999996</v>
      </c>
      <c r="I6310">
        <v>138.41810000000001</v>
      </c>
      <c r="J6310">
        <v>-147.84610000000001</v>
      </c>
      <c r="K6310">
        <v>1.1109610000000001</v>
      </c>
      <c r="L6310">
        <v>138.38310000000001</v>
      </c>
      <c r="M6310">
        <v>0.99973959999999995</v>
      </c>
      <c r="N6310">
        <v>-1.205377E-2</v>
      </c>
      <c r="O6310">
        <v>-1.937558E-2</v>
      </c>
      <c r="P6310">
        <v>0.93317419999999995</v>
      </c>
      <c r="Q6310">
        <v>0.35594870000000001</v>
      </c>
      <c r="R6310">
        <v>4.9864369999999998E-2</v>
      </c>
      <c r="S6310">
        <v>3.4339140000000001</v>
      </c>
      <c r="T6310">
        <v>-0.57598139999999998</v>
      </c>
      <c r="U6310">
        <v>0.1098938</v>
      </c>
      <c r="V6310">
        <v>-6.7877480000000004E-2</v>
      </c>
      <c r="W6310">
        <v>0.36716900000000002</v>
      </c>
      <c r="X6310">
        <v>0.92767429999999995</v>
      </c>
      <c r="Y6310">
        <v>-5.036007E-2</v>
      </c>
      <c r="Z6310">
        <v>7.4937229999999999E-3</v>
      </c>
      <c r="AA6310">
        <v>0.99870300000000001</v>
      </c>
      <c r="AB6310">
        <v>28</v>
      </c>
      <c r="AC6310">
        <v>0.65760000000000196</v>
      </c>
      <c r="AD6310">
        <v>-0.15566189999999999</v>
      </c>
      <c r="AE6310">
        <v>3.4999999999996499E-2</v>
      </c>
      <c r="AF6310">
        <v>-4.5209674573007799E-2</v>
      </c>
      <c r="AG6310">
        <v>-0.15566189999999999</v>
      </c>
      <c r="AH6310">
        <v>0.62204213673362996</v>
      </c>
      <c r="AI6310">
        <v>104.01386295667101</v>
      </c>
      <c r="AJ6310">
        <v>94.156916128796198</v>
      </c>
      <c r="AK6310">
        <v>0.64281487355127898</v>
      </c>
      <c r="AL6310">
        <v>68.458872607310298</v>
      </c>
      <c r="AM6310">
        <v>94.1848468696232</v>
      </c>
      <c r="AN6310">
        <v>1.0000000168663199</v>
      </c>
    </row>
    <row r="6311" spans="1:40" x14ac:dyDescent="0.25">
      <c r="A6311" t="str">
        <f>"20190304164812540"</f>
        <v>20190304164812540</v>
      </c>
      <c r="B6311" t="str">
        <f>"1551689292535426"</f>
        <v>1551689292535426</v>
      </c>
      <c r="C6311" t="s">
        <v>40</v>
      </c>
      <c r="D6311">
        <v>5.0083989999999998</v>
      </c>
      <c r="E6311">
        <v>0.52328889999999995</v>
      </c>
      <c r="F6311" t="s">
        <v>41</v>
      </c>
      <c r="G6311">
        <v>-146.94139999999999</v>
      </c>
      <c r="H6311">
        <v>0.95811500000000005</v>
      </c>
      <c r="I6311">
        <v>138.4118</v>
      </c>
      <c r="J6311">
        <v>-147.56819999999999</v>
      </c>
      <c r="K6311">
        <v>1.1108880000000001</v>
      </c>
      <c r="L6311">
        <v>138.3775</v>
      </c>
      <c r="M6311">
        <v>0.99973140000000005</v>
      </c>
      <c r="N6311">
        <v>-1.2309219999999999E-2</v>
      </c>
      <c r="O6311">
        <v>-1.9636219999999999E-2</v>
      </c>
      <c r="P6311">
        <v>0.93347849999999999</v>
      </c>
      <c r="Q6311">
        <v>0.35537210000000002</v>
      </c>
      <c r="R6311">
        <v>4.8257170000000002E-2</v>
      </c>
      <c r="S6311">
        <v>3.4300229999999998</v>
      </c>
      <c r="T6311">
        <v>-0.57947419999999905</v>
      </c>
      <c r="U6311">
        <v>0.1094208</v>
      </c>
      <c r="V6311">
        <v>-6.6439100000000001E-2</v>
      </c>
      <c r="W6311">
        <v>0.36684739999999999</v>
      </c>
      <c r="X6311">
        <v>0.9279056</v>
      </c>
      <c r="Y6311">
        <v>-5.049944E-2</v>
      </c>
      <c r="Z6311">
        <v>7.6011509999999996E-3</v>
      </c>
      <c r="AA6311">
        <v>0.99869509999999995</v>
      </c>
      <c r="AB6311">
        <v>28</v>
      </c>
      <c r="AC6311">
        <v>0.62680000000000202</v>
      </c>
      <c r="AD6311">
        <v>-0.15277299999999899</v>
      </c>
      <c r="AE6311">
        <v>3.4300000000001697E-2</v>
      </c>
      <c r="AF6311">
        <v>-4.3996423294306801E-2</v>
      </c>
      <c r="AG6311">
        <v>-0.15277299999999899</v>
      </c>
      <c r="AH6311">
        <v>0.59100097585259803</v>
      </c>
      <c r="AI6311">
        <v>104.455299670983</v>
      </c>
      <c r="AJ6311">
        <v>94.257468611402501</v>
      </c>
      <c r="AK6311">
        <v>0.61201097069449295</v>
      </c>
      <c r="AL6311">
        <v>68.478680516126204</v>
      </c>
      <c r="AM6311">
        <v>94.095453995367194</v>
      </c>
      <c r="AN6311">
        <v>0.99999998570346404</v>
      </c>
    </row>
    <row r="6312" spans="1:40" x14ac:dyDescent="0.25">
      <c r="A6312" t="str">
        <f>"20190304164812563"</f>
        <v>20190304164812563</v>
      </c>
      <c r="B6312" t="str">
        <f>"1551689292555923"</f>
        <v>1551689292555923</v>
      </c>
      <c r="C6312" t="s">
        <v>40</v>
      </c>
      <c r="D6312">
        <v>5.03613</v>
      </c>
      <c r="E6312">
        <v>0.52521049999999903</v>
      </c>
      <c r="F6312" t="s">
        <v>41</v>
      </c>
      <c r="G6312">
        <v>-146.69200000000001</v>
      </c>
      <c r="H6312">
        <v>0.96693899999999999</v>
      </c>
      <c r="I6312">
        <v>138.4015</v>
      </c>
      <c r="J6312">
        <v>-147.27969999999999</v>
      </c>
      <c r="K6312">
        <v>1.110833</v>
      </c>
      <c r="L6312">
        <v>138.3715</v>
      </c>
      <c r="M6312">
        <v>0.99972139999999998</v>
      </c>
      <c r="N6312">
        <v>-1.254389E-2</v>
      </c>
      <c r="O6312">
        <v>-1.9996770000000001E-2</v>
      </c>
      <c r="P6312">
        <v>0.93349490000000002</v>
      </c>
      <c r="Q6312">
        <v>0.35550520000000002</v>
      </c>
      <c r="R6312">
        <v>4.6944890000000003E-2</v>
      </c>
      <c r="S6312">
        <v>3.4230800000000001</v>
      </c>
      <c r="T6312">
        <v>-0.56239640000000002</v>
      </c>
      <c r="U6312">
        <v>9.3353270000000002E-2</v>
      </c>
      <c r="V6312">
        <v>-6.5388269999999998E-2</v>
      </c>
      <c r="W6312">
        <v>0.36721150000000002</v>
      </c>
      <c r="X6312">
        <v>0.9278362</v>
      </c>
      <c r="Y6312">
        <v>-4.6349389999999997E-2</v>
      </c>
      <c r="Z6312">
        <v>7.0880140000000001E-3</v>
      </c>
      <c r="AA6312">
        <v>0.99890009999999996</v>
      </c>
      <c r="AB6312">
        <v>27</v>
      </c>
      <c r="AC6312">
        <v>0.58769999999998301</v>
      </c>
      <c r="AD6312">
        <v>-0.14389399999999899</v>
      </c>
      <c r="AE6312">
        <v>3.0000000000001099E-2</v>
      </c>
      <c r="AF6312">
        <v>-3.9391713029463697E-2</v>
      </c>
      <c r="AG6312">
        <v>-0.14389399999999899</v>
      </c>
      <c r="AH6312">
        <v>0.55386572308262705</v>
      </c>
      <c r="AI6312">
        <v>104.528312483227</v>
      </c>
      <c r="AJ6312">
        <v>94.068106870846194</v>
      </c>
      <c r="AK6312">
        <v>0.57360651103106997</v>
      </c>
      <c r="AL6312">
        <v>68.456253439646204</v>
      </c>
      <c r="AM6312">
        <v>94.031194233627502</v>
      </c>
      <c r="AN6312">
        <v>0.99999996280813996</v>
      </c>
    </row>
    <row r="6313" spans="1:40" x14ac:dyDescent="0.25">
      <c r="A6313" t="str">
        <f>"20190304164812583"</f>
        <v>20190304164812583</v>
      </c>
      <c r="B6313" t="str">
        <f>"1551689292575442"</f>
        <v>1551689292575442</v>
      </c>
      <c r="C6313" t="s">
        <v>40</v>
      </c>
      <c r="D6313">
        <v>4.9664599999999997</v>
      </c>
      <c r="E6313">
        <v>0.52633960000000002</v>
      </c>
      <c r="F6313" t="s">
        <v>41</v>
      </c>
      <c r="G6313">
        <v>-146.44390000000001</v>
      </c>
      <c r="H6313">
        <v>0.9736321</v>
      </c>
      <c r="I6313">
        <v>138.3897</v>
      </c>
      <c r="J6313">
        <v>-147.0343</v>
      </c>
      <c r="K6313">
        <v>1.110795</v>
      </c>
      <c r="L6313">
        <v>138.3663</v>
      </c>
      <c r="M6313">
        <v>0.99971180000000004</v>
      </c>
      <c r="N6313">
        <v>-1.272097E-2</v>
      </c>
      <c r="O6313">
        <v>-2.036632E-2</v>
      </c>
      <c r="P6313">
        <v>0.93369530000000001</v>
      </c>
      <c r="Q6313">
        <v>0.35512589999999999</v>
      </c>
      <c r="R6313">
        <v>4.5818570000000003E-2</v>
      </c>
      <c r="S6313">
        <v>3.4240569999999999</v>
      </c>
      <c r="T6313">
        <v>-0.56211409999999995</v>
      </c>
      <c r="U6313">
        <v>7.4813840000000006E-2</v>
      </c>
      <c r="V6313">
        <v>-6.4554990000000007E-2</v>
      </c>
      <c r="W6313">
        <v>0.36700840000000001</v>
      </c>
      <c r="X6313">
        <v>0.92797490000000005</v>
      </c>
      <c r="Y6313">
        <v>-4.1373840000000002E-2</v>
      </c>
      <c r="Z6313">
        <v>6.7015879999999996E-3</v>
      </c>
      <c r="AA6313">
        <v>0.99912120000000004</v>
      </c>
      <c r="AB6313">
        <v>27</v>
      </c>
      <c r="AC6313">
        <v>0.59039999999998805</v>
      </c>
      <c r="AD6313">
        <v>-0.13716289999999901</v>
      </c>
      <c r="AE6313">
        <v>2.3400000000009399E-2</v>
      </c>
      <c r="AF6313">
        <v>-3.3609229476833397E-2</v>
      </c>
      <c r="AG6313">
        <v>-0.13716289999999901</v>
      </c>
      <c r="AH6313">
        <v>0.55964242391197005</v>
      </c>
      <c r="AI6313">
        <v>103.747352532221</v>
      </c>
      <c r="AJ6313">
        <v>93.436760493330098</v>
      </c>
      <c r="AK6313">
        <v>0.57718531173662202</v>
      </c>
      <c r="AL6313">
        <v>68.468763731257795</v>
      </c>
      <c r="AM6313">
        <v>93.979395623378196</v>
      </c>
      <c r="AN6313">
        <v>0.99999996371723399</v>
      </c>
    </row>
    <row r="6314" spans="1:40" x14ac:dyDescent="0.25">
      <c r="A6314" t="str">
        <f>"20190304164812608"</f>
        <v>20190304164812608</v>
      </c>
      <c r="B6314" t="str">
        <f>"1551689292605698"</f>
        <v>1551689292605698</v>
      </c>
      <c r="C6314" t="s">
        <v>40</v>
      </c>
      <c r="D6314">
        <v>5.0274279999999996</v>
      </c>
      <c r="E6314">
        <v>0.52775039999999995</v>
      </c>
      <c r="F6314" t="s">
        <v>41</v>
      </c>
      <c r="G6314">
        <v>-146.19909999999999</v>
      </c>
      <c r="H6314">
        <v>0.97347760000000005</v>
      </c>
      <c r="I6314">
        <v>138.38149999999999</v>
      </c>
      <c r="J6314">
        <v>-146.726</v>
      </c>
      <c r="K6314">
        <v>1.1107530000000001</v>
      </c>
      <c r="L6314">
        <v>138.35939999999999</v>
      </c>
      <c r="M6314">
        <v>0.99969819999999998</v>
      </c>
      <c r="N6314">
        <v>-1.291637E-2</v>
      </c>
      <c r="O6314">
        <v>-2.0904869999999999E-2</v>
      </c>
      <c r="P6314">
        <v>0.93378130000000004</v>
      </c>
      <c r="Q6314">
        <v>0.3550875</v>
      </c>
      <c r="R6314">
        <v>4.4335479999999997E-2</v>
      </c>
      <c r="S6314">
        <v>3.424118</v>
      </c>
      <c r="T6314">
        <v>-0.56304169999999998</v>
      </c>
      <c r="U6314">
        <v>6.2515260000000003E-2</v>
      </c>
      <c r="V6314">
        <v>-6.3519370000000006E-2</v>
      </c>
      <c r="W6314">
        <v>0.36716130000000002</v>
      </c>
      <c r="X6314">
        <v>0.92798590000000003</v>
      </c>
      <c r="Y6314">
        <v>-3.8359129999999998E-2</v>
      </c>
      <c r="Z6314">
        <v>6.5279219999999898E-3</v>
      </c>
      <c r="AA6314">
        <v>0.99924270000000004</v>
      </c>
      <c r="AB6314">
        <v>27</v>
      </c>
      <c r="AC6314">
        <v>0.52690000000001103</v>
      </c>
      <c r="AD6314">
        <v>-0.13727539999999999</v>
      </c>
      <c r="AE6314">
        <v>2.20999999999946E-2</v>
      </c>
      <c r="AF6314">
        <v>-3.1009683913781699E-2</v>
      </c>
      <c r="AG6314">
        <v>-0.13727539999999999</v>
      </c>
      <c r="AH6314">
        <v>0.492922936543993</v>
      </c>
      <c r="AI6314">
        <v>105.532907712822</v>
      </c>
      <c r="AJ6314">
        <v>93.599722291202795</v>
      </c>
      <c r="AK6314">
        <v>0.51261989554907605</v>
      </c>
      <c r="AL6314">
        <v>68.459346091849696</v>
      </c>
      <c r="AM6314">
        <v>93.915710318529605</v>
      </c>
      <c r="AN6314">
        <v>0.99999998059084805</v>
      </c>
    </row>
    <row r="6315" spans="1:40" x14ac:dyDescent="0.25">
      <c r="A6315" t="str">
        <f>"20190304164812633"</f>
        <v>20190304164812633</v>
      </c>
      <c r="B6315" t="str">
        <f>"1551689292626195"</f>
        <v>1551689292626195</v>
      </c>
      <c r="C6315" t="s">
        <v>40</v>
      </c>
      <c r="D6315">
        <v>5.0422070000000003</v>
      </c>
      <c r="E6315">
        <v>0.52825559999999905</v>
      </c>
      <c r="F6315" t="s">
        <v>41</v>
      </c>
      <c r="G6315">
        <v>-145.94980000000001</v>
      </c>
      <c r="H6315">
        <v>0.9837475</v>
      </c>
      <c r="I6315">
        <v>138.37020000000001</v>
      </c>
      <c r="J6315">
        <v>-146.4282</v>
      </c>
      <c r="K6315">
        <v>1.1107199999999999</v>
      </c>
      <c r="L6315">
        <v>138.3526</v>
      </c>
      <c r="M6315">
        <v>0.99968360000000001</v>
      </c>
      <c r="N6315">
        <v>-1.307968E-2</v>
      </c>
      <c r="O6315">
        <v>-2.14904E-2</v>
      </c>
      <c r="P6315">
        <v>0.9340908</v>
      </c>
      <c r="Q6315">
        <v>0.3544889</v>
      </c>
      <c r="R6315">
        <v>4.2569389999999999E-2</v>
      </c>
      <c r="S6315">
        <v>3.423492</v>
      </c>
      <c r="T6315">
        <v>-0.56020719999999902</v>
      </c>
      <c r="U6315">
        <v>4.8034670000000002E-2</v>
      </c>
      <c r="V6315">
        <v>-6.2266189999999999E-2</v>
      </c>
      <c r="W6315">
        <v>0.36672450000000001</v>
      </c>
      <c r="X6315">
        <v>0.9282435</v>
      </c>
      <c r="Y6315">
        <v>-3.4774590000000001E-2</v>
      </c>
      <c r="Z6315">
        <v>6.2690749999999998E-3</v>
      </c>
      <c r="AA6315">
        <v>0.99937549999999997</v>
      </c>
      <c r="AB6315">
        <v>27</v>
      </c>
      <c r="AC6315">
        <v>0.478399999999993</v>
      </c>
      <c r="AD6315">
        <v>-0.12697249999999999</v>
      </c>
      <c r="AE6315">
        <v>1.7600000000015801E-2</v>
      </c>
      <c r="AF6315">
        <v>-2.6045575413257201E-2</v>
      </c>
      <c r="AG6315">
        <v>-0.12697249999999999</v>
      </c>
      <c r="AH6315">
        <v>0.44650094118059702</v>
      </c>
      <c r="AI6315">
        <v>105.84869905992301</v>
      </c>
      <c r="AJ6315">
        <v>93.338430537993204</v>
      </c>
      <c r="AK6315">
        <v>0.46493384285295503</v>
      </c>
      <c r="AL6315">
        <v>68.486249260887703</v>
      </c>
      <c r="AM6315">
        <v>93.837628057978307</v>
      </c>
      <c r="AN6315">
        <v>0.99999996630480703</v>
      </c>
    </row>
    <row r="6316" spans="1:40" x14ac:dyDescent="0.25">
      <c r="A6316" t="str">
        <f>"20190304164812658"</f>
        <v>20190304164812658</v>
      </c>
      <c r="B6316" t="str">
        <f>"1551689292645713"</f>
        <v>1551689292645713</v>
      </c>
      <c r="C6316" t="s">
        <v>40</v>
      </c>
      <c r="D6316">
        <v>4.9228839999999998</v>
      </c>
      <c r="E6316">
        <v>0.52807340000000003</v>
      </c>
      <c r="F6316" t="s">
        <v>41</v>
      </c>
      <c r="G6316">
        <v>-145.70160000000001</v>
      </c>
      <c r="H6316">
        <v>0.99207120000000004</v>
      </c>
      <c r="I6316">
        <v>138.3613</v>
      </c>
      <c r="J6316">
        <v>-146.1258</v>
      </c>
      <c r="K6316">
        <v>1.1107020000000001</v>
      </c>
      <c r="L6316">
        <v>138.34530000000001</v>
      </c>
      <c r="M6316">
        <v>0.99966759999999999</v>
      </c>
      <c r="N6316">
        <v>-1.322076E-2</v>
      </c>
      <c r="O6316">
        <v>-2.2135160000000001E-2</v>
      </c>
      <c r="P6316">
        <v>0.93453109999999995</v>
      </c>
      <c r="Q6316">
        <v>0.35355569999999997</v>
      </c>
      <c r="R6316">
        <v>4.0618649999999999E-2</v>
      </c>
      <c r="S6316">
        <v>3.4218600000000001</v>
      </c>
      <c r="T6316">
        <v>-0.55877779999999999</v>
      </c>
      <c r="U6316">
        <v>4.1259770000000001E-2</v>
      </c>
      <c r="V6316">
        <v>-6.0898939999999999E-2</v>
      </c>
      <c r="W6316">
        <v>0.36593120000000001</v>
      </c>
      <c r="X6316">
        <v>0.92864720000000001</v>
      </c>
      <c r="Y6316">
        <v>-3.3462239999999997E-2</v>
      </c>
      <c r="Z6316">
        <v>6.2365519999999898E-3</v>
      </c>
      <c r="AA6316">
        <v>0.99942050000000004</v>
      </c>
      <c r="AB6316">
        <v>27</v>
      </c>
      <c r="AC6316">
        <v>0.42419999999998398</v>
      </c>
      <c r="AD6316">
        <v>-0.11863079999999999</v>
      </c>
      <c r="AE6316">
        <v>1.5999999999991101E-2</v>
      </c>
      <c r="AF6316">
        <v>-2.35476275871697E-2</v>
      </c>
      <c r="AG6316">
        <v>-0.11863079999999999</v>
      </c>
      <c r="AH6316">
        <v>0.39304601048653798</v>
      </c>
      <c r="AI6316">
        <v>106.766713403856</v>
      </c>
      <c r="AJ6316">
        <v>93.428527232094893</v>
      </c>
      <c r="AK6316">
        <v>0.41123341769973798</v>
      </c>
      <c r="AL6316">
        <v>68.535097813817899</v>
      </c>
      <c r="AM6316">
        <v>93.751977364331097</v>
      </c>
      <c r="AN6316">
        <v>0.99999997304720101</v>
      </c>
    </row>
    <row r="6317" spans="1:40" x14ac:dyDescent="0.25">
      <c r="A6317" t="str">
        <f>"20190304164812678"</f>
        <v>20190304164812678</v>
      </c>
      <c r="B6317" t="str">
        <f>"1551689292675971"</f>
        <v>1551689292675971</v>
      </c>
      <c r="C6317" t="s">
        <v>40</v>
      </c>
      <c r="D6317">
        <v>5.0583549999999997</v>
      </c>
      <c r="E6317">
        <v>0.52822460000000004</v>
      </c>
      <c r="F6317" t="s">
        <v>41</v>
      </c>
      <c r="G6317">
        <v>-145.22559999999999</v>
      </c>
      <c r="H6317">
        <v>0.96641520000000003</v>
      </c>
      <c r="I6317">
        <v>138.35489999999999</v>
      </c>
      <c r="J6317">
        <v>-145.86850000000001</v>
      </c>
      <c r="K6317">
        <v>1.1106990000000001</v>
      </c>
      <c r="L6317">
        <v>138.339</v>
      </c>
      <c r="M6317">
        <v>0.99965360000000003</v>
      </c>
      <c r="N6317">
        <v>-1.332465E-2</v>
      </c>
      <c r="O6317">
        <v>-2.270467E-2</v>
      </c>
      <c r="P6317">
        <v>0.93516619999999995</v>
      </c>
      <c r="Q6317">
        <v>0.35206320000000002</v>
      </c>
      <c r="R6317">
        <v>3.8937729999999997E-2</v>
      </c>
      <c r="S6317">
        <v>3.4156949999999999</v>
      </c>
      <c r="T6317">
        <v>-0.54747990000000002</v>
      </c>
      <c r="U6317">
        <v>3.6712649999999999E-2</v>
      </c>
      <c r="V6317">
        <v>-5.975192E-2</v>
      </c>
      <c r="W6317">
        <v>0.36454490000000001</v>
      </c>
      <c r="X6317">
        <v>0.92926679999999995</v>
      </c>
      <c r="Y6317">
        <v>-3.2753379999999999E-2</v>
      </c>
      <c r="Z6317">
        <v>6.1430159999999899E-3</v>
      </c>
      <c r="AA6317">
        <v>0.99944460000000002</v>
      </c>
      <c r="AB6317">
        <v>27</v>
      </c>
      <c r="AC6317">
        <v>0.64290000000002501</v>
      </c>
      <c r="AD6317">
        <v>-0.14428379999999899</v>
      </c>
      <c r="AE6317">
        <v>1.5899999999987799E-2</v>
      </c>
      <c r="AF6317">
        <v>-2.9032626288192601E-2</v>
      </c>
      <c r="AG6317">
        <v>-0.14428379999999899</v>
      </c>
      <c r="AH6317">
        <v>0.611588024201002</v>
      </c>
      <c r="AI6317">
        <v>103.259908999644</v>
      </c>
      <c r="AJ6317">
        <v>92.717841190133697</v>
      </c>
      <c r="AK6317">
        <v>0.62904739064534398</v>
      </c>
      <c r="AL6317">
        <v>68.620422930148806</v>
      </c>
      <c r="AM6317">
        <v>93.679057840147806</v>
      </c>
      <c r="AN6317">
        <v>1.00000003082096</v>
      </c>
    </row>
    <row r="6318" spans="1:40" x14ac:dyDescent="0.25">
      <c r="A6318" t="str">
        <f>"20190304164812697"</f>
        <v>20190304164812697</v>
      </c>
      <c r="B6318" t="str">
        <f>"1551689292685730"</f>
        <v>1551689292685730</v>
      </c>
      <c r="C6318" t="s">
        <v>40</v>
      </c>
      <c r="D6318">
        <v>5.0696909999999997</v>
      </c>
      <c r="E6318">
        <v>0.52844019999999903</v>
      </c>
      <c r="F6318" t="s">
        <v>41</v>
      </c>
      <c r="G6318">
        <v>-144.97980000000001</v>
      </c>
      <c r="H6318">
        <v>0.97153789999999995</v>
      </c>
      <c r="I6318">
        <v>138.3467</v>
      </c>
      <c r="J6318">
        <v>-145.6403</v>
      </c>
      <c r="K6318">
        <v>1.1107070000000001</v>
      </c>
      <c r="L6318">
        <v>138.33320000000001</v>
      </c>
      <c r="M6318">
        <v>0.99964070000000005</v>
      </c>
      <c r="N6318">
        <v>-1.340594E-2</v>
      </c>
      <c r="O6318">
        <v>-2.3216170000000001E-2</v>
      </c>
      <c r="P6318">
        <v>0.93574120000000005</v>
      </c>
      <c r="Q6318">
        <v>0.35074179999999999</v>
      </c>
      <c r="R6318">
        <v>3.6994029999999997E-2</v>
      </c>
      <c r="S6318">
        <v>3.407654</v>
      </c>
      <c r="T6318">
        <v>-0.53364309999999904</v>
      </c>
      <c r="U6318">
        <v>2.9815669999999999E-2</v>
      </c>
      <c r="V6318">
        <v>-5.8294150000000003E-2</v>
      </c>
      <c r="W6318">
        <v>0.36330659999999998</v>
      </c>
      <c r="X6318">
        <v>0.92984409999999895</v>
      </c>
      <c r="Y6318">
        <v>-3.1313069999999998E-2</v>
      </c>
      <c r="Z6318">
        <v>5.9521319999999997E-3</v>
      </c>
      <c r="AA6318">
        <v>0.99949189999999999</v>
      </c>
      <c r="AB6318">
        <v>27</v>
      </c>
      <c r="AC6318">
        <v>0.66049999999998399</v>
      </c>
      <c r="AD6318">
        <v>-0.13916909999999899</v>
      </c>
      <c r="AE6318">
        <v>1.3499999999993399E-2</v>
      </c>
      <c r="AF6318">
        <v>-2.7606903800880801E-2</v>
      </c>
      <c r="AG6318">
        <v>-0.13916909999999899</v>
      </c>
      <c r="AH6318">
        <v>0.63196379580528905</v>
      </c>
      <c r="AI6318">
        <v>102.40780466176901</v>
      </c>
      <c r="AJ6318">
        <v>92.501336416981104</v>
      </c>
      <c r="AK6318">
        <v>0.64769469562511495</v>
      </c>
      <c r="AL6318">
        <v>68.696594299188106</v>
      </c>
      <c r="AM6318">
        <v>93.587314550845804</v>
      </c>
      <c r="AN6318">
        <v>0.99999997191629497</v>
      </c>
    </row>
    <row r="6319" spans="1:40" x14ac:dyDescent="0.25">
      <c r="A6319" t="str">
        <f>"20190304164812718"</f>
        <v>20190304164812718</v>
      </c>
      <c r="B6319" t="str">
        <f>"1551689292715987"</f>
        <v>1551689292715987</v>
      </c>
      <c r="C6319" t="s">
        <v>40</v>
      </c>
      <c r="D6319">
        <v>5.0591839999999904</v>
      </c>
      <c r="E6319">
        <v>0.52888219999999997</v>
      </c>
      <c r="F6319" t="s">
        <v>41</v>
      </c>
      <c r="G6319">
        <v>-144.73840000000001</v>
      </c>
      <c r="H6319">
        <v>0.96792330000000004</v>
      </c>
      <c r="I6319">
        <v>138.33949999999999</v>
      </c>
      <c r="J6319">
        <v>-145.38249999999999</v>
      </c>
      <c r="K6319">
        <v>1.1107129999999901</v>
      </c>
      <c r="L6319">
        <v>138.32660000000001</v>
      </c>
      <c r="M6319">
        <v>0.99962589999999996</v>
      </c>
      <c r="N6319">
        <v>-1.348619E-2</v>
      </c>
      <c r="O6319">
        <v>-2.3796479999999998E-2</v>
      </c>
      <c r="P6319">
        <v>0.93628250000000002</v>
      </c>
      <c r="Q6319">
        <v>0.3495241</v>
      </c>
      <c r="R6319">
        <v>3.4759730000000003E-2</v>
      </c>
      <c r="S6319">
        <v>3.407257</v>
      </c>
      <c r="T6319">
        <v>-0.53939559999999998</v>
      </c>
      <c r="U6319">
        <v>2.412415E-2</v>
      </c>
      <c r="V6319">
        <v>-5.6615239999999997E-2</v>
      </c>
      <c r="W6319">
        <v>0.36216999999999999</v>
      </c>
      <c r="X6319">
        <v>0.93039110000000003</v>
      </c>
      <c r="Y6319">
        <v>-3.0219349999999999E-2</v>
      </c>
      <c r="Z6319">
        <v>6.0067929999999999E-3</v>
      </c>
      <c r="AA6319">
        <v>0.9995252</v>
      </c>
      <c r="AB6319">
        <v>27</v>
      </c>
      <c r="AC6319">
        <v>0.64409999999998002</v>
      </c>
      <c r="AD6319">
        <v>-0.14278969999999899</v>
      </c>
      <c r="AE6319">
        <v>1.28999999999734E-2</v>
      </c>
      <c r="AF6319">
        <v>-2.6903391617065401E-2</v>
      </c>
      <c r="AG6319">
        <v>-0.14278969999999899</v>
      </c>
      <c r="AH6319">
        <v>0.61347298611284296</v>
      </c>
      <c r="AI6319">
        <v>103.090515733346</v>
      </c>
      <c r="AJ6319">
        <v>92.511053946933401</v>
      </c>
      <c r="AK6319">
        <v>0.63044571185535103</v>
      </c>
      <c r="AL6319">
        <v>68.766476828696298</v>
      </c>
      <c r="AM6319">
        <v>93.482212371382502</v>
      </c>
      <c r="AN6319">
        <v>0.99999999662973305</v>
      </c>
    </row>
    <row r="6320" spans="1:40" x14ac:dyDescent="0.25">
      <c r="A6320" t="str">
        <f>"20190304164812744"</f>
        <v>20190304164812744</v>
      </c>
      <c r="B6320" t="str">
        <f>"1551689292735506"</f>
        <v>1551689292735506</v>
      </c>
      <c r="C6320" t="s">
        <v>40</v>
      </c>
      <c r="D6320">
        <v>5.0437659999999997</v>
      </c>
      <c r="E6320">
        <v>0.5290878</v>
      </c>
      <c r="F6320" t="s">
        <v>41</v>
      </c>
      <c r="G6320">
        <v>-144.49529999999999</v>
      </c>
      <c r="H6320">
        <v>0.96849540000000001</v>
      </c>
      <c r="I6320">
        <v>138.33070000000001</v>
      </c>
      <c r="J6320">
        <v>-145.07740000000001</v>
      </c>
      <c r="K6320">
        <v>1.1107149999999999</v>
      </c>
      <c r="L6320">
        <v>138.3185</v>
      </c>
      <c r="M6320">
        <v>0.99960830000000001</v>
      </c>
      <c r="N6320">
        <v>-1.356738E-2</v>
      </c>
      <c r="O6320">
        <v>-2.4481010000000001E-2</v>
      </c>
      <c r="P6320">
        <v>0.93710380000000004</v>
      </c>
      <c r="Q6320">
        <v>0.34750259999999999</v>
      </c>
      <c r="R6320">
        <v>3.2843990000000003E-2</v>
      </c>
      <c r="S6320">
        <v>3.4075009999999999</v>
      </c>
      <c r="T6320">
        <v>-0.54626269999999999</v>
      </c>
      <c r="U6320">
        <v>1.5975949999999999E-2</v>
      </c>
      <c r="V6320">
        <v>-5.5364709999999998E-2</v>
      </c>
      <c r="W6320">
        <v>0.36023349999999998</v>
      </c>
      <c r="X6320">
        <v>0.93121779999999998</v>
      </c>
      <c r="Y6320">
        <v>-2.8512860000000001E-2</v>
      </c>
      <c r="Z6320">
        <v>6.0349189999999997E-3</v>
      </c>
      <c r="AA6320">
        <v>0.9995752</v>
      </c>
      <c r="AB6320">
        <v>27</v>
      </c>
      <c r="AC6320">
        <v>0.58210000000002504</v>
      </c>
      <c r="AD6320">
        <v>-0.142219599999999</v>
      </c>
      <c r="AE6320">
        <v>1.2200000000007E-2</v>
      </c>
      <c r="AF6320">
        <v>-2.4958834933848699E-2</v>
      </c>
      <c r="AG6320">
        <v>-0.142219599999999</v>
      </c>
      <c r="AH6320">
        <v>0.54887705868356595</v>
      </c>
      <c r="AI6320">
        <v>104.51208602844601</v>
      </c>
      <c r="AJ6320">
        <v>92.603591184020104</v>
      </c>
      <c r="AK6320">
        <v>0.56755209770957404</v>
      </c>
      <c r="AL6320">
        <v>68.885463437142505</v>
      </c>
      <c r="AM6320">
        <v>93.402463398060306</v>
      </c>
      <c r="AN6320">
        <v>1.0000000083362299</v>
      </c>
    </row>
    <row r="6321" spans="1:40" x14ac:dyDescent="0.25">
      <c r="A6321" t="str">
        <f>"20190304164812766"</f>
        <v>20190304164812766</v>
      </c>
      <c r="B6321" t="str">
        <f>"1551689292756002"</f>
        <v>1551689292756002</v>
      </c>
      <c r="C6321" t="s">
        <v>40</v>
      </c>
      <c r="D6321">
        <v>4.960286</v>
      </c>
      <c r="E6321">
        <v>0.52907479999999996</v>
      </c>
      <c r="F6321" t="s">
        <v>41</v>
      </c>
      <c r="G6321">
        <v>-144.24950000000001</v>
      </c>
      <c r="H6321">
        <v>0.97566240000000004</v>
      </c>
      <c r="I6321">
        <v>138.32130000000001</v>
      </c>
      <c r="J6321">
        <v>-144.80860000000001</v>
      </c>
      <c r="K6321">
        <v>1.1107089999999999</v>
      </c>
      <c r="L6321">
        <v>138.31120000000001</v>
      </c>
      <c r="M6321">
        <v>0.9995927</v>
      </c>
      <c r="N6321">
        <v>-1.3628700000000001E-2</v>
      </c>
      <c r="O6321">
        <v>-2.5074140000000002E-2</v>
      </c>
      <c r="P6321">
        <v>0.93811630000000001</v>
      </c>
      <c r="Q6321">
        <v>0.34484690000000001</v>
      </c>
      <c r="R6321">
        <v>3.1916060000000003E-2</v>
      </c>
      <c r="S6321">
        <v>3.4070589999999998</v>
      </c>
      <c r="T6321">
        <v>-0.55580850000000004</v>
      </c>
      <c r="U6321">
        <v>1.147461E-2</v>
      </c>
      <c r="V6321">
        <v>-5.5026760000000001E-2</v>
      </c>
      <c r="W6321">
        <v>0.35764770000000001</v>
      </c>
      <c r="X6321">
        <v>0.93223400000000001</v>
      </c>
      <c r="Y6321">
        <v>-2.7766679999999998E-2</v>
      </c>
      <c r="Z6321">
        <v>6.1641389999999999E-3</v>
      </c>
      <c r="AA6321">
        <v>0.99959540000000002</v>
      </c>
      <c r="AB6321">
        <v>27</v>
      </c>
      <c r="AC6321">
        <v>0.55910000000000004</v>
      </c>
      <c r="AD6321">
        <v>-0.13504659999999999</v>
      </c>
      <c r="AE6321">
        <v>1.00999999999942E-2</v>
      </c>
      <c r="AF6321">
        <v>-2.27879927668008E-2</v>
      </c>
      <c r="AG6321">
        <v>-0.13504659999999999</v>
      </c>
      <c r="AH6321">
        <v>0.52788272676936598</v>
      </c>
      <c r="AI6321">
        <v>104.337226556226</v>
      </c>
      <c r="AJ6321">
        <v>92.471847635967904</v>
      </c>
      <c r="AK6321">
        <v>0.54535956029702104</v>
      </c>
      <c r="AL6321">
        <v>69.044197253775906</v>
      </c>
      <c r="AM6321">
        <v>93.378065081740104</v>
      </c>
      <c r="AN6321">
        <v>1.0000000261936901</v>
      </c>
    </row>
    <row r="6322" spans="1:40" x14ac:dyDescent="0.25">
      <c r="A6322" t="str">
        <f>"20190304164812791"</f>
        <v>20190304164812791</v>
      </c>
      <c r="B6322" t="str">
        <f>"1551689292786259"</f>
        <v>1551689292786259</v>
      </c>
      <c r="C6322" t="s">
        <v>40</v>
      </c>
      <c r="D6322">
        <v>4.9478920000000004</v>
      </c>
      <c r="E6322">
        <v>0.52891560000000004</v>
      </c>
      <c r="F6322" t="s">
        <v>41</v>
      </c>
      <c r="G6322">
        <v>-144.0061</v>
      </c>
      <c r="H6322">
        <v>0.97810229999999998</v>
      </c>
      <c r="I6322">
        <v>138.3133</v>
      </c>
      <c r="J6322">
        <v>-144.5127</v>
      </c>
      <c r="K6322">
        <v>1.1107009999999999</v>
      </c>
      <c r="L6322">
        <v>138.3031</v>
      </c>
      <c r="M6322">
        <v>0.99957600000000002</v>
      </c>
      <c r="N6322">
        <v>-1.3686469999999999E-2</v>
      </c>
      <c r="O6322">
        <v>-2.5703199999999999E-2</v>
      </c>
      <c r="P6322">
        <v>0.93962270000000003</v>
      </c>
      <c r="Q6322">
        <v>0.34069120000000003</v>
      </c>
      <c r="R6322">
        <v>3.2228609999999998E-2</v>
      </c>
      <c r="S6322">
        <v>3.404404</v>
      </c>
      <c r="T6322">
        <v>-0.56262659999999998</v>
      </c>
      <c r="U6322">
        <v>9.3841549999999999E-3</v>
      </c>
      <c r="V6322">
        <v>-5.5985189999999997E-2</v>
      </c>
      <c r="W6322">
        <v>0.35356539999999997</v>
      </c>
      <c r="X6322">
        <v>0.93373289999999998</v>
      </c>
      <c r="Y6322">
        <v>-2.775969E-2</v>
      </c>
      <c r="Z6322">
        <v>6.338982E-3</v>
      </c>
      <c r="AA6322">
        <v>0.99959450000000005</v>
      </c>
      <c r="AB6322">
        <v>27</v>
      </c>
      <c r="AC6322">
        <v>0.50659999999999095</v>
      </c>
      <c r="AD6322">
        <v>-0.13259869999999899</v>
      </c>
      <c r="AE6322">
        <v>1.0199999999997499E-2</v>
      </c>
      <c r="AF6322">
        <v>-2.1730926725505199E-2</v>
      </c>
      <c r="AG6322">
        <v>-0.13259869999999899</v>
      </c>
      <c r="AH6322">
        <v>0.47372882362275698</v>
      </c>
      <c r="AI6322">
        <v>105.621533969353</v>
      </c>
      <c r="AJ6322">
        <v>92.626435418273005</v>
      </c>
      <c r="AK6322">
        <v>0.49241613169050502</v>
      </c>
      <c r="AL6322">
        <v>69.294452936035995</v>
      </c>
      <c r="AM6322">
        <v>93.431259026995306</v>
      </c>
      <c r="AN6322">
        <v>0.99999998105945198</v>
      </c>
    </row>
    <row r="6323" spans="1:40" x14ac:dyDescent="0.25">
      <c r="A6323" t="str">
        <f>"20190304164812827"</f>
        <v>20190304164812827</v>
      </c>
      <c r="B6323" t="str">
        <f>"1551689292815538"</f>
        <v>1551689292815538</v>
      </c>
      <c r="C6323" t="s">
        <v>40</v>
      </c>
      <c r="D6323">
        <v>5.0432370000000004</v>
      </c>
      <c r="E6323">
        <v>0.52912239999999999</v>
      </c>
      <c r="F6323" t="s">
        <v>41</v>
      </c>
      <c r="G6323">
        <v>-143.76089999999999</v>
      </c>
      <c r="H6323">
        <v>0.98509069999999999</v>
      </c>
      <c r="I6323">
        <v>138.30549999999999</v>
      </c>
      <c r="J6323">
        <v>-144.07830000000001</v>
      </c>
      <c r="K6323">
        <v>1.1107009999999999</v>
      </c>
      <c r="L6323">
        <v>138.29079999999999</v>
      </c>
      <c r="M6323">
        <v>0.99955329999999998</v>
      </c>
      <c r="N6323">
        <v>-1.375462E-2</v>
      </c>
      <c r="O6323">
        <v>-2.6533919999999999E-2</v>
      </c>
      <c r="P6323">
        <v>0.9423243</v>
      </c>
      <c r="Q6323">
        <v>0.33301229999999998</v>
      </c>
      <c r="R6323">
        <v>3.3582300000000002E-2</v>
      </c>
      <c r="S6323">
        <v>3.3982700000000001</v>
      </c>
      <c r="T6323">
        <v>-0.56783450000000002</v>
      </c>
      <c r="U6323">
        <v>1.1291499999999999E-2</v>
      </c>
      <c r="V6323">
        <v>-5.823826E-2</v>
      </c>
      <c r="W6323">
        <v>0.34598240000000002</v>
      </c>
      <c r="X6323">
        <v>0.93643180000000004</v>
      </c>
      <c r="Y6323">
        <v>-2.9110790000000001E-2</v>
      </c>
      <c r="Z6323">
        <v>6.6572030000000004E-3</v>
      </c>
      <c r="AA6323">
        <v>0.99955400000000005</v>
      </c>
      <c r="AB6323">
        <v>27</v>
      </c>
      <c r="AC6323">
        <v>0.31740000000002</v>
      </c>
      <c r="AD6323">
        <v>-0.12561030000000001</v>
      </c>
      <c r="AE6323">
        <v>1.47000000000048E-2</v>
      </c>
      <c r="AF6323">
        <v>-1.9992965969904901E-2</v>
      </c>
      <c r="AG6323">
        <v>-0.12561030000000001</v>
      </c>
      <c r="AH6323">
        <v>0.27406672606326798</v>
      </c>
      <c r="AI6323">
        <v>114.56540028924201</v>
      </c>
      <c r="AJ6323">
        <v>94.172294335855796</v>
      </c>
      <c r="AK6323">
        <v>0.302142741910843</v>
      </c>
      <c r="AL6323">
        <v>69.758223691412397</v>
      </c>
      <c r="AM6323">
        <v>93.558736922788995</v>
      </c>
      <c r="AN6323">
        <v>1.00000001604441</v>
      </c>
    </row>
    <row r="6324" spans="1:40" x14ac:dyDescent="0.25">
      <c r="A6324" t="str">
        <f>"20190304164812857"</f>
        <v>20190304164812857</v>
      </c>
      <c r="B6324" t="str">
        <f>"1551689292845381"</f>
        <v>1551689292845381</v>
      </c>
      <c r="C6324" t="s">
        <v>40</v>
      </c>
      <c r="D6324">
        <v>4.9909369999999997</v>
      </c>
      <c r="E6324">
        <v>0.52927939999999996</v>
      </c>
      <c r="F6324" t="s">
        <v>41</v>
      </c>
      <c r="G6324">
        <v>-143.2843</v>
      </c>
      <c r="H6324">
        <v>0.97139640000000005</v>
      </c>
      <c r="I6324">
        <v>138.29480000000001</v>
      </c>
      <c r="J6324">
        <v>-143.7131</v>
      </c>
      <c r="K6324">
        <v>1.110768</v>
      </c>
      <c r="L6324">
        <v>138.28039999999999</v>
      </c>
      <c r="M6324">
        <v>0.99953669999999994</v>
      </c>
      <c r="N6324">
        <v>-1.380026E-2</v>
      </c>
      <c r="O6324">
        <v>-2.7128590000000001E-2</v>
      </c>
      <c r="P6324">
        <v>0.94241260000000004</v>
      </c>
      <c r="Q6324">
        <v>0.33268589999999998</v>
      </c>
      <c r="R6324">
        <v>3.4332029999999999E-2</v>
      </c>
      <c r="S6324">
        <v>3.3934169999999999</v>
      </c>
      <c r="T6324">
        <v>-0.59540959999999998</v>
      </c>
      <c r="U6324">
        <v>1.6662599999999899E-2</v>
      </c>
      <c r="V6324">
        <v>-5.9601559999999998E-2</v>
      </c>
      <c r="W6324">
        <v>0.345692</v>
      </c>
      <c r="X6324">
        <v>0.93645330000000004</v>
      </c>
      <c r="Y6324">
        <v>-3.1173280000000001E-2</v>
      </c>
      <c r="Z6324">
        <v>7.282668E-3</v>
      </c>
      <c r="AA6324">
        <v>0.99948749999999997</v>
      </c>
      <c r="AB6324">
        <v>27</v>
      </c>
      <c r="AC6324">
        <v>0.42879999999999502</v>
      </c>
      <c r="AD6324">
        <v>-0.13937159999999901</v>
      </c>
      <c r="AE6324">
        <v>1.44000000000232E-2</v>
      </c>
      <c r="AF6324">
        <v>-2.3544089614170802E-2</v>
      </c>
      <c r="AG6324">
        <v>-0.13937159999999901</v>
      </c>
      <c r="AH6324">
        <v>0.387374335499928</v>
      </c>
      <c r="AI6324">
        <v>109.75436158500101</v>
      </c>
      <c r="AJ6324">
        <v>93.478081678473501</v>
      </c>
      <c r="AK6324">
        <v>0.41235620869138201</v>
      </c>
      <c r="AL6324">
        <v>69.775957192195506</v>
      </c>
      <c r="AM6324">
        <v>93.641738399681998</v>
      </c>
      <c r="AN6324">
        <v>1.0000000439496599</v>
      </c>
    </row>
    <row r="6325" spans="1:40" x14ac:dyDescent="0.25">
      <c r="A6325" t="str">
        <f>"20190304164812879"</f>
        <v>20190304164812879</v>
      </c>
      <c r="B6325" t="str">
        <f>"1551689292865879"</f>
        <v>1551689292865879</v>
      </c>
      <c r="C6325" t="s">
        <v>40</v>
      </c>
      <c r="D6325">
        <v>5.1076670000000002</v>
      </c>
      <c r="E6325">
        <v>0.52940669999999901</v>
      </c>
      <c r="F6325" t="s">
        <v>41</v>
      </c>
      <c r="G6325">
        <v>-142.81110000000001</v>
      </c>
      <c r="H6325">
        <v>0.95306340000000001</v>
      </c>
      <c r="I6325">
        <v>138.28460000000001</v>
      </c>
      <c r="J6325">
        <v>-143.44040000000001</v>
      </c>
      <c r="K6325">
        <v>1.1108290000000001</v>
      </c>
      <c r="L6325">
        <v>138.27260000000001</v>
      </c>
      <c r="M6325">
        <v>0.99952669999999999</v>
      </c>
      <c r="N6325">
        <v>-1.382803E-2</v>
      </c>
      <c r="O6325">
        <v>-2.7480520000000001E-2</v>
      </c>
      <c r="P6325">
        <v>0.94235590000000002</v>
      </c>
      <c r="Q6325">
        <v>0.33266570000000001</v>
      </c>
      <c r="R6325">
        <v>3.6041459999999997E-2</v>
      </c>
      <c r="S6325">
        <v>3.3921049999999999</v>
      </c>
      <c r="T6325">
        <v>-0.59307600000000005</v>
      </c>
      <c r="U6325">
        <v>1.5838620000000001E-2</v>
      </c>
      <c r="V6325">
        <v>-6.1686779999999997E-2</v>
      </c>
      <c r="W6325">
        <v>0.34568939999999998</v>
      </c>
      <c r="X6325">
        <v>0.93631920000000002</v>
      </c>
      <c r="Y6325">
        <v>-3.128417E-2</v>
      </c>
      <c r="Z6325">
        <v>7.3230439999999999E-3</v>
      </c>
      <c r="AA6325">
        <v>0.99948369999999997</v>
      </c>
      <c r="AB6325">
        <v>27</v>
      </c>
      <c r="AC6325">
        <v>0.62929999999999997</v>
      </c>
      <c r="AD6325">
        <v>-0.15776560000000001</v>
      </c>
      <c r="AE6325">
        <v>1.2000000000000399E-2</v>
      </c>
      <c r="AF6325">
        <v>-2.7559134428297501E-2</v>
      </c>
      <c r="AG6325">
        <v>-0.15776560000000001</v>
      </c>
      <c r="AH6325">
        <v>0.59156576853167997</v>
      </c>
      <c r="AI6325">
        <v>104.917292440697</v>
      </c>
      <c r="AJ6325">
        <v>92.667296398436505</v>
      </c>
      <c r="AK6325">
        <v>0.61286176984069896</v>
      </c>
      <c r="AL6325">
        <v>69.776115700655197</v>
      </c>
      <c r="AM6325">
        <v>93.769325445638998</v>
      </c>
      <c r="AN6325">
        <v>1.00000003219388</v>
      </c>
    </row>
    <row r="6326" spans="1:40" x14ac:dyDescent="0.25">
      <c r="A6326" t="str">
        <f>"20190304164812899"</f>
        <v>20190304164812899</v>
      </c>
      <c r="B6326" t="str">
        <f>"1551689292896134"</f>
        <v>1551689292896134</v>
      </c>
      <c r="C6326" t="s">
        <v>40</v>
      </c>
      <c r="D6326">
        <v>5.0943849999999999</v>
      </c>
      <c r="E6326">
        <v>0.52956169999999902</v>
      </c>
      <c r="F6326" t="s">
        <v>41</v>
      </c>
      <c r="G6326">
        <v>-142.56819999999999</v>
      </c>
      <c r="H6326">
        <v>0.95870330000000004</v>
      </c>
      <c r="I6326">
        <v>138.2766</v>
      </c>
      <c r="J6326">
        <v>-143.20140000000001</v>
      </c>
      <c r="K6326">
        <v>1.110886</v>
      </c>
      <c r="L6326">
        <v>138.26570000000001</v>
      </c>
      <c r="M6326">
        <v>0.99951979999999996</v>
      </c>
      <c r="N6326">
        <v>-1.3848940000000001E-2</v>
      </c>
      <c r="O6326">
        <v>-2.7724970000000002E-2</v>
      </c>
      <c r="P6326">
        <v>0.94256850000000003</v>
      </c>
      <c r="Q6326">
        <v>0.3317235</v>
      </c>
      <c r="R6326">
        <v>3.90427E-2</v>
      </c>
      <c r="S6326">
        <v>3.3917389999999998</v>
      </c>
      <c r="T6326">
        <v>-0.59164289999999997</v>
      </c>
      <c r="U6326">
        <v>1.6418459999999999E-2</v>
      </c>
      <c r="V6326">
        <v>-6.4966549999999998E-2</v>
      </c>
      <c r="W6326">
        <v>0.34476250000000003</v>
      </c>
      <c r="X6326">
        <v>0.93643909999999997</v>
      </c>
      <c r="Y6326">
        <v>-3.169421E-2</v>
      </c>
      <c r="Z6326">
        <v>7.3830700000000003E-3</v>
      </c>
      <c r="AA6326">
        <v>0.99947039999999998</v>
      </c>
      <c r="AB6326">
        <v>27</v>
      </c>
      <c r="AC6326">
        <v>0.63320000000001597</v>
      </c>
      <c r="AD6326">
        <v>-0.152182699999999</v>
      </c>
      <c r="AE6326">
        <v>1.08999999999923E-2</v>
      </c>
      <c r="AF6326">
        <v>-2.68996032875785E-2</v>
      </c>
      <c r="AG6326">
        <v>-0.152182699999999</v>
      </c>
      <c r="AH6326">
        <v>0.59811567075256</v>
      </c>
      <c r="AI6326">
        <v>104.26142786228201</v>
      </c>
      <c r="AJ6326">
        <v>92.575080283795998</v>
      </c>
      <c r="AK6326">
        <v>0.61775846286077196</v>
      </c>
      <c r="AL6326">
        <v>69.832701669415997</v>
      </c>
      <c r="AM6326">
        <v>93.968602360205594</v>
      </c>
      <c r="AN6326">
        <v>1.00000001101698</v>
      </c>
    </row>
    <row r="6327" spans="1:40" x14ac:dyDescent="0.25">
      <c r="A6327" t="str">
        <f>"20190304164812921"</f>
        <v>20190304164812921</v>
      </c>
      <c r="B6327" t="str">
        <f>"1551689292915654"</f>
        <v>1551689292915654</v>
      </c>
      <c r="C6327" t="s">
        <v>40</v>
      </c>
      <c r="D6327">
        <v>5.0234120000000004</v>
      </c>
      <c r="E6327">
        <v>0.52967419999999898</v>
      </c>
      <c r="F6327" t="s">
        <v>41</v>
      </c>
      <c r="G6327">
        <v>-142.32830000000001</v>
      </c>
      <c r="H6327">
        <v>0.9583564</v>
      </c>
      <c r="I6327">
        <v>138.27080000000001</v>
      </c>
      <c r="J6327">
        <v>-142.9349</v>
      </c>
      <c r="K6327">
        <v>1.1109469999999999</v>
      </c>
      <c r="L6327">
        <v>138.25810000000001</v>
      </c>
      <c r="M6327">
        <v>0.99951429999999997</v>
      </c>
      <c r="N6327">
        <v>-1.3868760000000001E-2</v>
      </c>
      <c r="O6327">
        <v>-2.7909610000000001E-2</v>
      </c>
      <c r="P6327">
        <v>0.94323469999999998</v>
      </c>
      <c r="Q6327">
        <v>0.32948840000000001</v>
      </c>
      <c r="R6327">
        <v>4.1785429999999998E-2</v>
      </c>
      <c r="S6327">
        <v>3.3904109999999998</v>
      </c>
      <c r="T6327">
        <v>-0.59226040000000002</v>
      </c>
      <c r="U6327">
        <v>1.9653319999999998E-2</v>
      </c>
      <c r="V6327">
        <v>-6.7954169999999994E-2</v>
      </c>
      <c r="W6327">
        <v>0.34254509999999899</v>
      </c>
      <c r="X6327">
        <v>0.9370406</v>
      </c>
      <c r="Y6327">
        <v>-3.2811180000000002E-2</v>
      </c>
      <c r="Z6327">
        <v>7.527616E-3</v>
      </c>
      <c r="AA6327">
        <v>0.99943320000000002</v>
      </c>
      <c r="AB6327">
        <v>27</v>
      </c>
      <c r="AC6327">
        <v>0.60659999999998604</v>
      </c>
      <c r="AD6327">
        <v>-0.15259059999999899</v>
      </c>
      <c r="AE6327">
        <v>1.26999999999952E-2</v>
      </c>
      <c r="AF6327">
        <v>-2.78642360473366E-2</v>
      </c>
      <c r="AG6327">
        <v>-0.15259059999999899</v>
      </c>
      <c r="AH6327">
        <v>0.56995925379299095</v>
      </c>
      <c r="AI6327">
        <v>104.970775541107</v>
      </c>
      <c r="AJ6327">
        <v>92.798854529710098</v>
      </c>
      <c r="AK6327">
        <v>0.59068930737158698</v>
      </c>
      <c r="AL6327">
        <v>69.967988623744503</v>
      </c>
      <c r="AM6327">
        <v>94.147827877651494</v>
      </c>
      <c r="AN6327">
        <v>1.00000000040137</v>
      </c>
    </row>
    <row r="6328" spans="1:40" x14ac:dyDescent="0.25">
      <c r="A6328" t="str">
        <f>"20190304164812942"</f>
        <v>20190304164812942</v>
      </c>
      <c r="B6328" t="str">
        <f>"1551689292936184"</f>
        <v>1551689292936184</v>
      </c>
      <c r="C6328" t="s">
        <v>40</v>
      </c>
      <c r="D6328">
        <v>5.1376530000000002</v>
      </c>
      <c r="E6328">
        <v>0.52984730000000002</v>
      </c>
      <c r="F6328" t="s">
        <v>41</v>
      </c>
      <c r="G6328">
        <v>-142.08709999999999</v>
      </c>
      <c r="H6328">
        <v>0.96130159999999998</v>
      </c>
      <c r="I6328">
        <v>138.26439999999999</v>
      </c>
      <c r="J6328">
        <v>-142.68559999999999</v>
      </c>
      <c r="K6328">
        <v>1.111016</v>
      </c>
      <c r="L6328">
        <v>138.251</v>
      </c>
      <c r="M6328">
        <v>0.9995115</v>
      </c>
      <c r="N6328">
        <v>-1.388464E-2</v>
      </c>
      <c r="O6328">
        <v>-2.800356E-2</v>
      </c>
      <c r="P6328">
        <v>0.94378779999999995</v>
      </c>
      <c r="Q6328">
        <v>0.32762190000000002</v>
      </c>
      <c r="R6328">
        <v>4.3919409999999999E-2</v>
      </c>
      <c r="S6328">
        <v>3.3883510000000001</v>
      </c>
      <c r="T6328">
        <v>-0.598109</v>
      </c>
      <c r="U6328">
        <v>2.554321E-2</v>
      </c>
      <c r="V6328">
        <v>-7.0242399999999997E-2</v>
      </c>
      <c r="W6328">
        <v>0.34069149999999998</v>
      </c>
      <c r="X6328">
        <v>0.93754749999999998</v>
      </c>
      <c r="Y6328">
        <v>-3.4595840000000003E-2</v>
      </c>
      <c r="Z6328">
        <v>7.7908409999999997E-3</v>
      </c>
      <c r="AA6328">
        <v>0.99937100000000001</v>
      </c>
      <c r="AB6328">
        <v>27</v>
      </c>
      <c r="AC6328">
        <v>0.59850000000000103</v>
      </c>
      <c r="AD6328">
        <v>-0.1497144</v>
      </c>
      <c r="AE6328">
        <v>1.339999999999E-2</v>
      </c>
      <c r="AF6328">
        <v>-2.83814191593998E-2</v>
      </c>
      <c r="AG6328">
        <v>-0.1497144</v>
      </c>
      <c r="AH6328">
        <v>0.56269699414206098</v>
      </c>
      <c r="AI6328">
        <v>104.88119230497</v>
      </c>
      <c r="AJ6328">
        <v>92.887448632863993</v>
      </c>
      <c r="AK6328">
        <v>0.58296467623465198</v>
      </c>
      <c r="AL6328">
        <v>70.080990502395295</v>
      </c>
      <c r="AM6328">
        <v>94.284676790679697</v>
      </c>
      <c r="AN6328">
        <v>1.00000000384313</v>
      </c>
    </row>
    <row r="6329" spans="1:40" x14ac:dyDescent="0.25">
      <c r="A6329" t="str">
        <f>"20190304164812963"</f>
        <v>20190304164812963</v>
      </c>
      <c r="B6329" t="str">
        <f>"1551689292955704"</f>
        <v>1551689292955704</v>
      </c>
      <c r="C6329" t="s">
        <v>40</v>
      </c>
      <c r="D6329">
        <v>5.0735359999999998</v>
      </c>
      <c r="E6329">
        <v>0.53001399999999999</v>
      </c>
      <c r="F6329" t="s">
        <v>41</v>
      </c>
      <c r="G6329">
        <v>-141.8475</v>
      </c>
      <c r="H6329">
        <v>0.96184639999999999</v>
      </c>
      <c r="I6329">
        <v>138.2585</v>
      </c>
      <c r="J6329">
        <v>-142.42689999999999</v>
      </c>
      <c r="K6329">
        <v>1.1111</v>
      </c>
      <c r="L6329">
        <v>138.24359999999999</v>
      </c>
      <c r="M6329">
        <v>0.99951069999999997</v>
      </c>
      <c r="N6329">
        <v>-1.3898580000000001E-2</v>
      </c>
      <c r="O6329">
        <v>-2.8022370000000001E-2</v>
      </c>
      <c r="P6329">
        <v>0.94336750000000003</v>
      </c>
      <c r="Q6329">
        <v>0.32862989999999997</v>
      </c>
      <c r="R6329">
        <v>4.5393099999999999E-2</v>
      </c>
      <c r="S6329">
        <v>3.3864899999999998</v>
      </c>
      <c r="T6329">
        <v>-0.60276509999999905</v>
      </c>
      <c r="U6329">
        <v>3.0715940000000001E-2</v>
      </c>
      <c r="V6329">
        <v>-7.1772929999999999E-2</v>
      </c>
      <c r="W6329">
        <v>0.34169549999999999</v>
      </c>
      <c r="X6329">
        <v>0.93706610000000001</v>
      </c>
      <c r="Y6329">
        <v>-3.6103469999999999E-2</v>
      </c>
      <c r="Z6329">
        <v>8.0026560000000004E-3</v>
      </c>
      <c r="AA6329">
        <v>0.99931599999999998</v>
      </c>
      <c r="AB6329">
        <v>27</v>
      </c>
      <c r="AC6329">
        <v>0.57939999999999203</v>
      </c>
      <c r="AD6329">
        <v>-0.14925359999999999</v>
      </c>
      <c r="AE6329">
        <v>1.4900000000011401E-2</v>
      </c>
      <c r="AF6329">
        <v>-2.9195785928128899E-2</v>
      </c>
      <c r="AG6329">
        <v>-0.14925359999999999</v>
      </c>
      <c r="AH6329">
        <v>0.54276209852638901</v>
      </c>
      <c r="AI6329">
        <v>105.35451643501</v>
      </c>
      <c r="AJ6329">
        <v>93.079037224619</v>
      </c>
      <c r="AK6329">
        <v>0.563666325609124</v>
      </c>
      <c r="AL6329">
        <v>70.019793657433198</v>
      </c>
      <c r="AM6329">
        <v>94.379917863868798</v>
      </c>
      <c r="AN6329">
        <v>1.0000000219851199</v>
      </c>
    </row>
    <row r="6330" spans="1:40" x14ac:dyDescent="0.25">
      <c r="A6330" t="str">
        <f>"20190304164812988"</f>
        <v>20190304164812988</v>
      </c>
      <c r="B6330" t="str">
        <f>"1551689292976201"</f>
        <v>1551689292976201</v>
      </c>
      <c r="C6330" t="s">
        <v>40</v>
      </c>
      <c r="D6330">
        <v>5.0960460000000003</v>
      </c>
      <c r="E6330">
        <v>0.53017130000000001</v>
      </c>
      <c r="F6330" t="s">
        <v>41</v>
      </c>
      <c r="G6330">
        <v>-141.6063</v>
      </c>
      <c r="H6330">
        <v>0.96642099999999997</v>
      </c>
      <c r="I6330">
        <v>138.2516</v>
      </c>
      <c r="J6330">
        <v>-142.13460000000001</v>
      </c>
      <c r="K6330">
        <v>1.111191</v>
      </c>
      <c r="L6330">
        <v>138.2355</v>
      </c>
      <c r="M6330">
        <v>0.99951279999999998</v>
      </c>
      <c r="N6330">
        <v>-1.3911750000000001E-2</v>
      </c>
      <c r="O6330">
        <v>-2.7945569999999999E-2</v>
      </c>
      <c r="P6330">
        <v>0.94219779999999997</v>
      </c>
      <c r="Q6330">
        <v>0.33191490000000001</v>
      </c>
      <c r="R6330">
        <v>4.5781879999999997E-2</v>
      </c>
      <c r="S6330">
        <v>3.3864899999999998</v>
      </c>
      <c r="T6330">
        <v>-0.59713099999999997</v>
      </c>
      <c r="U6330">
        <v>3.3691409999999998E-2</v>
      </c>
      <c r="V6330">
        <v>-7.2115449999999998E-2</v>
      </c>
      <c r="W6330">
        <v>0.34496349999999998</v>
      </c>
      <c r="X6330">
        <v>0.93584160000000005</v>
      </c>
      <c r="Y6330">
        <v>-3.6910600000000002E-2</v>
      </c>
      <c r="Z6330">
        <v>7.9914310000000002E-3</v>
      </c>
      <c r="AA6330">
        <v>0.99928660000000002</v>
      </c>
      <c r="AB6330">
        <v>27</v>
      </c>
      <c r="AC6330">
        <v>0.52830000000000099</v>
      </c>
      <c r="AD6330">
        <v>-0.14477000000000001</v>
      </c>
      <c r="AE6330">
        <v>1.60999999999944E-2</v>
      </c>
      <c r="AF6330">
        <v>-2.87052371355364E-2</v>
      </c>
      <c r="AG6330">
        <v>-0.14477000000000001</v>
      </c>
      <c r="AH6330">
        <v>0.49082094410792099</v>
      </c>
      <c r="AI6330">
        <v>106.407153267951</v>
      </c>
      <c r="AJ6330">
        <v>93.347081323951201</v>
      </c>
      <c r="AK6330">
        <v>0.51253052856781001</v>
      </c>
      <c r="AL6330">
        <v>69.820431835791595</v>
      </c>
      <c r="AM6330">
        <v>94.406473583841006</v>
      </c>
      <c r="AN6330">
        <v>0.99999997737575597</v>
      </c>
    </row>
    <row r="6331" spans="1:40" x14ac:dyDescent="0.25">
      <c r="A6331" t="str">
        <f>"20190304164813010"</f>
        <v>20190304164813010</v>
      </c>
      <c r="B6331" t="str">
        <f>"1551689293005480"</f>
        <v>1551689293005480</v>
      </c>
      <c r="C6331" t="s">
        <v>40</v>
      </c>
      <c r="D6331">
        <v>5.1131070000000003</v>
      </c>
      <c r="E6331">
        <v>0.53038879999999999</v>
      </c>
      <c r="F6331" t="s">
        <v>41</v>
      </c>
      <c r="G6331">
        <v>-141.3622</v>
      </c>
      <c r="H6331">
        <v>0.97806700000000002</v>
      </c>
      <c r="I6331">
        <v>138.24299999999999</v>
      </c>
      <c r="J6331">
        <v>-141.87739999999999</v>
      </c>
      <c r="K6331">
        <v>1.1112550000000001</v>
      </c>
      <c r="L6331">
        <v>138.22839999999999</v>
      </c>
      <c r="M6331">
        <v>0.99951679999999998</v>
      </c>
      <c r="N6331">
        <v>-1.392141E-2</v>
      </c>
      <c r="O6331">
        <v>-2.7788650000000002E-2</v>
      </c>
      <c r="P6331">
        <v>0.9413279</v>
      </c>
      <c r="Q6331">
        <v>0.3342405</v>
      </c>
      <c r="R6331">
        <v>4.6742069999999997E-2</v>
      </c>
      <c r="S6331">
        <v>3.388153</v>
      </c>
      <c r="T6331">
        <v>-0.58393700000000004</v>
      </c>
      <c r="U6331">
        <v>3.3096309999999997E-2</v>
      </c>
      <c r="V6331">
        <v>-7.2956729999999997E-2</v>
      </c>
      <c r="W6331">
        <v>0.34727459999999999</v>
      </c>
      <c r="X6331">
        <v>0.93492120000000001</v>
      </c>
      <c r="Y6331">
        <v>-3.6623749999999997E-2</v>
      </c>
      <c r="Z6331">
        <v>7.7593230000000003E-3</v>
      </c>
      <c r="AA6331">
        <v>0.99929900000000005</v>
      </c>
      <c r="AB6331">
        <v>27</v>
      </c>
      <c r="AC6331">
        <v>0.515199999999993</v>
      </c>
      <c r="AD6331">
        <v>-0.133187999999999</v>
      </c>
      <c r="AE6331">
        <v>1.4600000000001501E-2</v>
      </c>
      <c r="AF6331">
        <v>-2.7102617965367601E-2</v>
      </c>
      <c r="AG6331">
        <v>-0.133187999999999</v>
      </c>
      <c r="AH6331">
        <v>0.48238294346654198</v>
      </c>
      <c r="AI6331">
        <v>105.41190897993199</v>
      </c>
      <c r="AJ6331">
        <v>93.215774386731894</v>
      </c>
      <c r="AK6331">
        <v>0.50116554090641696</v>
      </c>
      <c r="AL6331">
        <v>69.679292017686805</v>
      </c>
      <c r="AM6331">
        <v>94.462043078254098</v>
      </c>
      <c r="AN6331">
        <v>0.99999999123344596</v>
      </c>
    </row>
    <row r="6332" spans="1:40" x14ac:dyDescent="0.25">
      <c r="A6332" t="str">
        <f>"20190304164813037"</f>
        <v>20190304164813037</v>
      </c>
      <c r="B6332" t="str">
        <f>"1551689293025976"</f>
        <v>1551689293025976</v>
      </c>
      <c r="C6332" t="s">
        <v>40</v>
      </c>
      <c r="D6332">
        <v>5.17964</v>
      </c>
      <c r="E6332">
        <v>0.53056959999999997</v>
      </c>
      <c r="F6332" t="s">
        <v>41</v>
      </c>
      <c r="G6332">
        <v>-141.12139999999999</v>
      </c>
      <c r="H6332">
        <v>0.98327980000000004</v>
      </c>
      <c r="I6332">
        <v>138.2353</v>
      </c>
      <c r="J6332">
        <v>-141.56299999999999</v>
      </c>
      <c r="K6332">
        <v>1.1113010000000001</v>
      </c>
      <c r="L6332">
        <v>138.2199</v>
      </c>
      <c r="M6332">
        <v>0.9995252</v>
      </c>
      <c r="N6332">
        <v>-1.3931209999999999E-2</v>
      </c>
      <c r="O6332">
        <v>-2.7485119999999998E-2</v>
      </c>
      <c r="P6332">
        <v>0.94182089999999996</v>
      </c>
      <c r="Q6332">
        <v>0.3326248</v>
      </c>
      <c r="R6332">
        <v>4.8317319999999997E-2</v>
      </c>
      <c r="S6332">
        <v>3.38916</v>
      </c>
      <c r="T6332">
        <v>-0.57377279999999997</v>
      </c>
      <c r="U6332">
        <v>3.1539919999999999E-2</v>
      </c>
      <c r="V6332">
        <v>-7.4325260000000004E-2</v>
      </c>
      <c r="W6332">
        <v>0.34566019999999997</v>
      </c>
      <c r="X6332">
        <v>0.93541149999999995</v>
      </c>
      <c r="Y6332">
        <v>-3.5905949999999999E-2</v>
      </c>
      <c r="Z6332">
        <v>7.509295E-3</v>
      </c>
      <c r="AA6332">
        <v>0.99932690000000002</v>
      </c>
      <c r="AB6332">
        <v>27</v>
      </c>
      <c r="AC6332">
        <v>0.441599999999993</v>
      </c>
      <c r="AD6332">
        <v>-0.1280212</v>
      </c>
      <c r="AE6332">
        <v>1.53999999999996E-2</v>
      </c>
      <c r="AF6332">
        <v>-2.5400615936171201E-2</v>
      </c>
      <c r="AG6332">
        <v>-0.1280212</v>
      </c>
      <c r="AH6332">
        <v>0.40685750947066901</v>
      </c>
      <c r="AI6332">
        <v>107.43474686514401</v>
      </c>
      <c r="AJ6332">
        <v>93.5724096253347</v>
      </c>
      <c r="AK6332">
        <v>0.42727936055004101</v>
      </c>
      <c r="AL6332">
        <v>69.777896834046103</v>
      </c>
      <c r="AM6332">
        <v>94.543022507869694</v>
      </c>
      <c r="AN6332">
        <v>0.99999994623517696</v>
      </c>
    </row>
    <row r="6333" spans="1:40" x14ac:dyDescent="0.25">
      <c r="A6333" t="str">
        <f>"20190304164813071"</f>
        <v>20190304164813071</v>
      </c>
      <c r="B6333" t="str">
        <f>"1551689293065622"</f>
        <v>1551689293065622</v>
      </c>
      <c r="C6333" t="s">
        <v>40</v>
      </c>
      <c r="D6333">
        <v>5.1639670000000004</v>
      </c>
      <c r="E6333">
        <v>0.53081919999999905</v>
      </c>
      <c r="F6333" t="s">
        <v>41</v>
      </c>
      <c r="G6333">
        <v>-140.65770000000001</v>
      </c>
      <c r="H6333">
        <v>0.95689270000000004</v>
      </c>
      <c r="I6333">
        <v>138.2277</v>
      </c>
      <c r="J6333">
        <v>-141.13910000000001</v>
      </c>
      <c r="K6333">
        <v>1.1113390000000001</v>
      </c>
      <c r="L6333">
        <v>138.2089</v>
      </c>
      <c r="M6333">
        <v>0.99954109999999996</v>
      </c>
      <c r="N6333">
        <v>-1.394135E-2</v>
      </c>
      <c r="O6333">
        <v>-2.689689E-2</v>
      </c>
      <c r="P6333">
        <v>0.94494140000000004</v>
      </c>
      <c r="Q6333">
        <v>0.32299109999999998</v>
      </c>
      <c r="R6333">
        <v>5.2561040000000003E-2</v>
      </c>
      <c r="S6333">
        <v>3.3879239999999999</v>
      </c>
      <c r="T6333">
        <v>-0.57791769999999998</v>
      </c>
      <c r="U6333">
        <v>2.9296880000000001E-2</v>
      </c>
      <c r="V6333">
        <v>-7.8173030000000004E-2</v>
      </c>
      <c r="W6333">
        <v>0.33605990000000002</v>
      </c>
      <c r="X6333">
        <v>0.93859079999999995</v>
      </c>
      <c r="Y6333">
        <v>-3.4672599999999998E-2</v>
      </c>
      <c r="Z6333">
        <v>7.3618869999999897E-3</v>
      </c>
      <c r="AA6333">
        <v>0.99937160000000003</v>
      </c>
      <c r="AB6333">
        <v>27</v>
      </c>
      <c r="AC6333">
        <v>0.48140000000000699</v>
      </c>
      <c r="AD6333">
        <v>-0.15444629999999901</v>
      </c>
      <c r="AE6333">
        <v>1.87999999999988E-2</v>
      </c>
      <c r="AF6333">
        <v>-2.87843496809311E-2</v>
      </c>
      <c r="AG6333">
        <v>-0.15444629999999901</v>
      </c>
      <c r="AH6333">
        <v>0.43591916799297498</v>
      </c>
      <c r="AI6333">
        <v>109.470051492406</v>
      </c>
      <c r="AJ6333">
        <v>93.777835838105702</v>
      </c>
      <c r="AK6333">
        <v>0.463365643303355</v>
      </c>
      <c r="AL6333">
        <v>70.362996878484793</v>
      </c>
      <c r="AM6333">
        <v>94.761042752516701</v>
      </c>
      <c r="AN6333">
        <v>0.99999998442601501</v>
      </c>
    </row>
    <row r="6334" spans="1:40" x14ac:dyDescent="0.25">
      <c r="A6334" t="str">
        <f>"20190304164813097"</f>
        <v>20190304164813097</v>
      </c>
      <c r="B6334" t="str">
        <f>"1551689293086118"</f>
        <v>1551689293086118</v>
      </c>
      <c r="C6334" t="s">
        <v>40</v>
      </c>
      <c r="D6334">
        <v>5.164587</v>
      </c>
      <c r="E6334">
        <v>0.5307212</v>
      </c>
      <c r="F6334" t="s">
        <v>41</v>
      </c>
      <c r="G6334">
        <v>-140.40979999999999</v>
      </c>
      <c r="H6334">
        <v>0.97976929999999995</v>
      </c>
      <c r="I6334">
        <v>138.21559999999999</v>
      </c>
      <c r="J6334">
        <v>-140.8347</v>
      </c>
      <c r="K6334">
        <v>1.111389</v>
      </c>
      <c r="L6334">
        <v>138.2013</v>
      </c>
      <c r="M6334">
        <v>0.99955479999999997</v>
      </c>
      <c r="N6334">
        <v>-1.3946780000000001E-2</v>
      </c>
      <c r="O6334">
        <v>-2.6378260000000001E-2</v>
      </c>
      <c r="P6334">
        <v>0.94478399999999996</v>
      </c>
      <c r="Q6334">
        <v>0.32313910000000001</v>
      </c>
      <c r="R6334">
        <v>5.4444399999999997E-2</v>
      </c>
      <c r="S6334">
        <v>3.3816220000000001</v>
      </c>
      <c r="T6334">
        <v>-0.61012580000000005</v>
      </c>
      <c r="U6334">
        <v>3.1112669999999999E-2</v>
      </c>
      <c r="V6334">
        <v>-7.9605819999999994E-2</v>
      </c>
      <c r="W6334">
        <v>0.33619909999999997</v>
      </c>
      <c r="X6334">
        <v>0.93842049999999999</v>
      </c>
      <c r="Y6334">
        <v>-3.4611389999999999E-2</v>
      </c>
      <c r="Z6334">
        <v>7.6963379999999996E-3</v>
      </c>
      <c r="AA6334">
        <v>0.99937120000000002</v>
      </c>
      <c r="AB6334">
        <v>27</v>
      </c>
      <c r="AC6334">
        <v>0.42490000000000799</v>
      </c>
      <c r="AD6334">
        <v>-0.13161969999999901</v>
      </c>
      <c r="AE6334">
        <v>1.42999999999915E-2</v>
      </c>
      <c r="AF6334">
        <v>-2.3273545180000701E-2</v>
      </c>
      <c r="AG6334">
        <v>-0.13161969999999901</v>
      </c>
      <c r="AH6334">
        <v>0.387257555149985</v>
      </c>
      <c r="AI6334">
        <v>108.740238250516</v>
      </c>
      <c r="AJ6334">
        <v>93.439245906393495</v>
      </c>
      <c r="AK6334">
        <v>0.40967525841094998</v>
      </c>
      <c r="AL6334">
        <v>70.354528455751193</v>
      </c>
      <c r="AM6334">
        <v>94.848768663545002</v>
      </c>
      <c r="AN6334">
        <v>0.99999997811946595</v>
      </c>
    </row>
    <row r="6335" spans="1:40" x14ac:dyDescent="0.25">
      <c r="A6335" t="str">
        <f>"20190304164813121"</f>
        <v>20190304164813121</v>
      </c>
      <c r="B6335" t="str">
        <f>"1551689293115397"</f>
        <v>1551689293115397</v>
      </c>
      <c r="C6335" t="s">
        <v>40</v>
      </c>
      <c r="D6335">
        <v>5.1332870000000002</v>
      </c>
      <c r="E6335">
        <v>0.53021689999999999</v>
      </c>
      <c r="F6335" t="s">
        <v>41</v>
      </c>
      <c r="G6335">
        <v>-139.9486</v>
      </c>
      <c r="H6335">
        <v>0.95194219999999896</v>
      </c>
      <c r="I6335">
        <v>138.21090000000001</v>
      </c>
      <c r="J6335">
        <v>-140.5583</v>
      </c>
      <c r="K6335">
        <v>1.111442</v>
      </c>
      <c r="L6335">
        <v>138.19460000000001</v>
      </c>
      <c r="M6335">
        <v>0.99956860000000003</v>
      </c>
      <c r="N6335">
        <v>-1.395033E-2</v>
      </c>
      <c r="O6335">
        <v>-2.5846419999999998E-2</v>
      </c>
      <c r="P6335">
        <v>0.94380629999999999</v>
      </c>
      <c r="Q6335">
        <v>0.32581399999999999</v>
      </c>
      <c r="R6335">
        <v>5.5451010000000002E-2</v>
      </c>
      <c r="S6335">
        <v>3.381332</v>
      </c>
      <c r="T6335">
        <v>-0.60846269999999902</v>
      </c>
      <c r="U6335">
        <v>3.6605829999999999E-2</v>
      </c>
      <c r="V6335">
        <v>-8.0116670000000001E-2</v>
      </c>
      <c r="W6335">
        <v>0.3388563</v>
      </c>
      <c r="X6335">
        <v>0.93742080000000005</v>
      </c>
      <c r="Y6335">
        <v>-3.5697359999999997E-2</v>
      </c>
      <c r="Z6335">
        <v>7.6929469999999899E-3</v>
      </c>
      <c r="AA6335">
        <v>0.99933300000000003</v>
      </c>
      <c r="AB6335">
        <v>27</v>
      </c>
      <c r="AC6335">
        <v>0.60970000000000302</v>
      </c>
      <c r="AD6335">
        <v>-0.1594998</v>
      </c>
      <c r="AE6335">
        <v>1.6300000000001001E-2</v>
      </c>
      <c r="AF6335">
        <v>-3.00028267017655E-2</v>
      </c>
      <c r="AG6335">
        <v>-0.1594998</v>
      </c>
      <c r="AH6335">
        <v>0.57008796803440898</v>
      </c>
      <c r="AI6335">
        <v>105.610064230421</v>
      </c>
      <c r="AJ6335">
        <v>93.012606777573097</v>
      </c>
      <c r="AK6335">
        <v>0.59273994897234505</v>
      </c>
      <c r="AL6335">
        <v>70.192791295818196</v>
      </c>
      <c r="AM6335">
        <v>94.884913385703797</v>
      </c>
      <c r="AN6335">
        <v>1.0000000145671</v>
      </c>
    </row>
    <row r="6336" spans="1:40" x14ac:dyDescent="0.25">
      <c r="A6336" t="str">
        <f>"20190304164813144"</f>
        <v>20190304164813144</v>
      </c>
      <c r="B6336" t="str">
        <f>"1551689293135894"</f>
        <v>1551689293135894</v>
      </c>
      <c r="C6336" t="s">
        <v>40</v>
      </c>
      <c r="D6336">
        <v>5.1717930000000001</v>
      </c>
      <c r="E6336">
        <v>0.517926</v>
      </c>
      <c r="F6336" t="s">
        <v>41</v>
      </c>
      <c r="G6336">
        <v>-139.70769999999999</v>
      </c>
      <c r="H6336">
        <v>0.96117810000000004</v>
      </c>
      <c r="I6336">
        <v>138.2056</v>
      </c>
      <c r="J6336">
        <v>-140.2782</v>
      </c>
      <c r="K6336">
        <v>1.11148</v>
      </c>
      <c r="L6336">
        <v>138.18799999999999</v>
      </c>
      <c r="M6336">
        <v>0.99958329999999995</v>
      </c>
      <c r="N6336">
        <v>-1.395296E-2</v>
      </c>
      <c r="O6336">
        <v>-2.5270259999999999E-2</v>
      </c>
      <c r="P6336">
        <v>0.94321569999999999</v>
      </c>
      <c r="Q6336">
        <v>0.32732</v>
      </c>
      <c r="R6336">
        <v>5.6621049999999999E-2</v>
      </c>
      <c r="S6336">
        <v>3.382339</v>
      </c>
      <c r="T6336">
        <v>-0.5976399</v>
      </c>
      <c r="U6336">
        <v>4.4357300000000002E-2</v>
      </c>
      <c r="V6336">
        <v>-8.0751550000000005E-2</v>
      </c>
      <c r="W6336">
        <v>0.34035070000000001</v>
      </c>
      <c r="X6336">
        <v>0.93682469999999995</v>
      </c>
      <c r="Y6336">
        <v>-3.7421540000000003E-2</v>
      </c>
      <c r="Z6336">
        <v>7.6241159999999898E-3</v>
      </c>
      <c r="AA6336">
        <v>0.99927049999999995</v>
      </c>
      <c r="AB6336">
        <v>27</v>
      </c>
      <c r="AC6336">
        <v>0.570500000000009</v>
      </c>
      <c r="AD6336">
        <v>-0.15030189999999999</v>
      </c>
      <c r="AE6336">
        <v>1.7600000000015801E-2</v>
      </c>
      <c r="AF6336">
        <v>-2.9936564809138502E-2</v>
      </c>
      <c r="AG6336">
        <v>-0.15030189999999999</v>
      </c>
      <c r="AH6336">
        <v>0.53291864138901102</v>
      </c>
      <c r="AI6336">
        <v>105.726763829425</v>
      </c>
      <c r="AJ6336">
        <v>93.215196258395295</v>
      </c>
      <c r="AK6336">
        <v>0.55451703075387304</v>
      </c>
      <c r="AL6336">
        <v>70.101757234932904</v>
      </c>
      <c r="AM6336">
        <v>94.926551429988294</v>
      </c>
      <c r="AN6336">
        <v>0.99999996517399004</v>
      </c>
    </row>
    <row r="6337" spans="1:40" x14ac:dyDescent="0.25">
      <c r="A6337" t="str">
        <f>"20190304164813168"</f>
        <v>20190304164813168</v>
      </c>
      <c r="B6337" t="str">
        <f>"1551689293155414"</f>
        <v>1551689293155414</v>
      </c>
      <c r="C6337" t="s">
        <v>40</v>
      </c>
      <c r="D6337">
        <v>5.1700200000000001</v>
      </c>
      <c r="E6337">
        <v>0.51804669999999997</v>
      </c>
      <c r="F6337" t="s">
        <v>41</v>
      </c>
      <c r="G6337">
        <v>-139.45099999999999</v>
      </c>
      <c r="H6337">
        <v>0.99877570000000004</v>
      </c>
      <c r="I6337">
        <v>138.2217</v>
      </c>
      <c r="J6337">
        <v>-140.00989999999999</v>
      </c>
      <c r="K6337">
        <v>1.1114949999999999</v>
      </c>
      <c r="L6337">
        <v>138.18190000000001</v>
      </c>
      <c r="M6337">
        <v>0.99959759999999998</v>
      </c>
      <c r="N6337">
        <v>-1.39547E-2</v>
      </c>
      <c r="O6337">
        <v>-2.4700130000000001E-2</v>
      </c>
      <c r="P6337">
        <v>0.94352840000000004</v>
      </c>
      <c r="Q6337">
        <v>0.32610289999999997</v>
      </c>
      <c r="R6337">
        <v>5.8404890000000001E-2</v>
      </c>
      <c r="S6337">
        <v>3.3299259999999999</v>
      </c>
      <c r="T6337">
        <v>-0.4537388</v>
      </c>
      <c r="U6337">
        <v>0.1356049</v>
      </c>
      <c r="V6337">
        <v>-8.2016850000000002E-2</v>
      </c>
      <c r="W6337">
        <v>0.3391362</v>
      </c>
      <c r="X6337">
        <v>0.93715519999999997</v>
      </c>
      <c r="Y6337">
        <v>-6.4518439999999996E-2</v>
      </c>
      <c r="Z6337">
        <v>7.8321829999999995E-3</v>
      </c>
      <c r="AA6337">
        <v>0.99788580000000004</v>
      </c>
      <c r="AB6337">
        <v>26</v>
      </c>
      <c r="AC6337">
        <v>0.55889999999999396</v>
      </c>
      <c r="AD6337">
        <v>-0.11271929999999999</v>
      </c>
      <c r="AE6337">
        <v>3.9799999999985403E-2</v>
      </c>
      <c r="AF6337">
        <v>-5.1509518117321199E-2</v>
      </c>
      <c r="AG6337">
        <v>-0.11271929999999999</v>
      </c>
      <c r="AH6337">
        <v>0.53605233167598898</v>
      </c>
      <c r="AI6337">
        <v>101.82205016396701</v>
      </c>
      <c r="AJ6337">
        <v>95.488726362227197</v>
      </c>
      <c r="AK6337">
        <v>0.55019176052030505</v>
      </c>
      <c r="AL6337">
        <v>70.175744492969898</v>
      </c>
      <c r="AM6337">
        <v>95.001601416510198</v>
      </c>
      <c r="AN6337">
        <v>0.999999997360701</v>
      </c>
    </row>
    <row r="6338" spans="1:40" x14ac:dyDescent="0.25">
      <c r="A6338" t="str">
        <f>"20190304164813189"</f>
        <v>20190304164813189</v>
      </c>
      <c r="B6338" t="str">
        <f>"1551689293185671"</f>
        <v>1551689293185671</v>
      </c>
      <c r="C6338" t="s">
        <v>40</v>
      </c>
      <c r="D6338">
        <v>5.2280600000000002</v>
      </c>
      <c r="E6338">
        <v>0.51790979999999998</v>
      </c>
      <c r="F6338" t="s">
        <v>41</v>
      </c>
      <c r="G6338">
        <v>-139.2133</v>
      </c>
      <c r="H6338">
        <v>1.0017879999999999</v>
      </c>
      <c r="I6338">
        <v>138.21520000000001</v>
      </c>
      <c r="J6338">
        <v>-139.74610000000001</v>
      </c>
      <c r="K6338">
        <v>1.1114999999999999</v>
      </c>
      <c r="L6338">
        <v>138.17599999999999</v>
      </c>
      <c r="M6338">
        <v>0.99961129999999998</v>
      </c>
      <c r="N6338">
        <v>-1.395567E-2</v>
      </c>
      <c r="O6338">
        <v>-2.413334E-2</v>
      </c>
      <c r="P6338">
        <v>0.94411579999999995</v>
      </c>
      <c r="Q6338">
        <v>0.32394309999999998</v>
      </c>
      <c r="R6338">
        <v>6.088023E-2</v>
      </c>
      <c r="S6338">
        <v>3.3293910000000002</v>
      </c>
      <c r="T6338">
        <v>-0.45857009999999998</v>
      </c>
      <c r="U6338">
        <v>0.1398315</v>
      </c>
      <c r="V6338">
        <v>-8.3974610000000005E-2</v>
      </c>
      <c r="W6338">
        <v>0.33698220000000001</v>
      </c>
      <c r="X6338">
        <v>0.9377586</v>
      </c>
      <c r="Y6338">
        <v>-6.5203049999999999E-2</v>
      </c>
      <c r="Z6338">
        <v>7.8967209999999902E-3</v>
      </c>
      <c r="AA6338">
        <v>0.99784079999999997</v>
      </c>
      <c r="AB6338">
        <v>26</v>
      </c>
      <c r="AC6338">
        <v>0.53280000000000804</v>
      </c>
      <c r="AD6338">
        <v>-0.109712</v>
      </c>
      <c r="AE6338">
        <v>3.9199999999993899E-2</v>
      </c>
      <c r="AF6338">
        <v>-4.99418744484895E-2</v>
      </c>
      <c r="AG6338">
        <v>-0.109712</v>
      </c>
      <c r="AH6338">
        <v>0.51018269691505802</v>
      </c>
      <c r="AI6338">
        <v>102.080285220517</v>
      </c>
      <c r="AJ6338">
        <v>95.590881215940996</v>
      </c>
      <c r="AK6338">
        <v>0.52423019561920603</v>
      </c>
      <c r="AL6338">
        <v>70.306879616839893</v>
      </c>
      <c r="AM6338">
        <v>95.117086213901601</v>
      </c>
      <c r="AN6338">
        <v>0.99999996505772504</v>
      </c>
    </row>
    <row r="6339" spans="1:40" x14ac:dyDescent="0.25">
      <c r="A6339" t="str">
        <f>"20190304164813212"</f>
        <v>20190304164813212</v>
      </c>
      <c r="B6339" t="str">
        <f>"1551689293206166"</f>
        <v>1551689293206166</v>
      </c>
      <c r="C6339" t="s">
        <v>40</v>
      </c>
      <c r="D6339">
        <v>5.191916</v>
      </c>
      <c r="E6339">
        <v>0.5198469</v>
      </c>
      <c r="F6339" t="s">
        <v>41</v>
      </c>
      <c r="G6339">
        <v>-138.97649999999999</v>
      </c>
      <c r="H6339">
        <v>1.0031950000000001</v>
      </c>
      <c r="I6339">
        <v>138.21039999999999</v>
      </c>
      <c r="J6339">
        <v>-139.48830000000001</v>
      </c>
      <c r="K6339">
        <v>1.111507</v>
      </c>
      <c r="L6339">
        <v>138.1704</v>
      </c>
      <c r="M6339">
        <v>0.99962450000000003</v>
      </c>
      <c r="N6339">
        <v>-1.395619E-2</v>
      </c>
      <c r="O6339">
        <v>-2.3579409999999999E-2</v>
      </c>
      <c r="P6339">
        <v>0.94390160000000001</v>
      </c>
      <c r="Q6339">
        <v>0.3242372</v>
      </c>
      <c r="R6339">
        <v>6.2610369999999999E-2</v>
      </c>
      <c r="S6339">
        <v>3.3287049999999998</v>
      </c>
      <c r="T6339">
        <v>-0.46848709999999999</v>
      </c>
      <c r="U6339">
        <v>0.14904790000000001</v>
      </c>
      <c r="V6339">
        <v>-8.5177370000000002E-2</v>
      </c>
      <c r="W6339">
        <v>0.33727269999999998</v>
      </c>
      <c r="X6339">
        <v>0.93754570000000004</v>
      </c>
      <c r="Y6339">
        <v>-6.7359959999999997E-2</v>
      </c>
      <c r="Z6339">
        <v>8.1608789999999994E-3</v>
      </c>
      <c r="AA6339">
        <v>0.99769540000000001</v>
      </c>
      <c r="AB6339">
        <v>26</v>
      </c>
      <c r="AC6339">
        <v>0.51180000000002202</v>
      </c>
      <c r="AD6339">
        <v>-0.10831199999999901</v>
      </c>
      <c r="AE6339">
        <v>3.9999999999992E-2</v>
      </c>
      <c r="AF6339">
        <v>-4.98393866894912E-2</v>
      </c>
      <c r="AG6339">
        <v>-0.10831199999999901</v>
      </c>
      <c r="AH6339">
        <v>0.48894877750764598</v>
      </c>
      <c r="AI6339">
        <v>102.42808698188</v>
      </c>
      <c r="AJ6339">
        <v>95.820155246201296</v>
      </c>
      <c r="AK6339">
        <v>0.50327563107685402</v>
      </c>
      <c r="AL6339">
        <v>70.289200920973798</v>
      </c>
      <c r="AM6339">
        <v>95.191152393084593</v>
      </c>
      <c r="AN6339">
        <v>0.99999999905694803</v>
      </c>
    </row>
    <row r="6340" spans="1:40" x14ac:dyDescent="0.25">
      <c r="A6340" t="str">
        <f>"20190304164813239"</f>
        <v>20190304164813239</v>
      </c>
      <c r="B6340" t="str">
        <f>"1551689293225686"</f>
        <v>1551689293225686</v>
      </c>
      <c r="C6340" t="s">
        <v>40</v>
      </c>
      <c r="D6340">
        <v>5.1818569999999999</v>
      </c>
      <c r="E6340">
        <v>0.52000199999999996</v>
      </c>
      <c r="F6340" t="s">
        <v>41</v>
      </c>
      <c r="G6340">
        <v>-138.7527</v>
      </c>
      <c r="H6340">
        <v>0.98374079999999997</v>
      </c>
      <c r="I6340">
        <v>138.20249999999999</v>
      </c>
      <c r="J6340">
        <v>-139.19120000000001</v>
      </c>
      <c r="K6340">
        <v>1.111513</v>
      </c>
      <c r="L6340">
        <v>138.16409999999999</v>
      </c>
      <c r="M6340">
        <v>0.99963930000000001</v>
      </c>
      <c r="N6340">
        <v>-1.395617E-2</v>
      </c>
      <c r="O6340">
        <v>-2.2946500000000002E-2</v>
      </c>
      <c r="P6340">
        <v>0.94324280000000005</v>
      </c>
      <c r="Q6340">
        <v>0.325905</v>
      </c>
      <c r="R6340">
        <v>6.3868850000000005E-2</v>
      </c>
      <c r="S6340">
        <v>3.3695979999999999</v>
      </c>
      <c r="T6340">
        <v>-0.58540059999999905</v>
      </c>
      <c r="U6340">
        <v>0.14767459999999999</v>
      </c>
      <c r="V6340">
        <v>-8.5821720000000004E-2</v>
      </c>
      <c r="W6340">
        <v>0.3389317</v>
      </c>
      <c r="X6340">
        <v>0.93688850000000001</v>
      </c>
      <c r="Y6340">
        <v>-6.5351469999999995E-2</v>
      </c>
      <c r="Z6340">
        <v>9.7291770000000003E-3</v>
      </c>
      <c r="AA6340">
        <v>0.99781489999999995</v>
      </c>
      <c r="AB6340">
        <v>26</v>
      </c>
      <c r="AC6340">
        <v>0.438500000000004</v>
      </c>
      <c r="AD6340">
        <v>-0.127772199999999</v>
      </c>
      <c r="AE6340">
        <v>3.8399999999995701E-2</v>
      </c>
      <c r="AF6340">
        <v>-4.4687580894492498E-2</v>
      </c>
      <c r="AG6340">
        <v>-0.127772199999999</v>
      </c>
      <c r="AH6340">
        <v>0.40350444697297999</v>
      </c>
      <c r="AI6340">
        <v>107.470456231461</v>
      </c>
      <c r="AJ6340">
        <v>96.319677840329106</v>
      </c>
      <c r="AK6340">
        <v>0.425603751987705</v>
      </c>
      <c r="AL6340">
        <v>70.188200473878993</v>
      </c>
      <c r="AM6340">
        <v>95.2338539252045</v>
      </c>
      <c r="AN6340">
        <v>1.00000006316044</v>
      </c>
    </row>
    <row r="6341" spans="1:40" x14ac:dyDescent="0.25">
      <c r="A6341" t="str">
        <f>"20190304164813272"</f>
        <v>20190304164813272</v>
      </c>
      <c r="B6341" t="str">
        <f>"1551689293265703"</f>
        <v>1551689293265703</v>
      </c>
      <c r="C6341" t="s">
        <v>40</v>
      </c>
      <c r="D6341">
        <v>5.218826</v>
      </c>
      <c r="E6341">
        <v>0.52057229999999999</v>
      </c>
      <c r="F6341" t="s">
        <v>41</v>
      </c>
      <c r="G6341">
        <v>-138.29470000000001</v>
      </c>
      <c r="H6341">
        <v>0.95721829999999997</v>
      </c>
      <c r="I6341">
        <v>138.20410000000001</v>
      </c>
      <c r="J6341">
        <v>-138.77590000000001</v>
      </c>
      <c r="K6341">
        <v>1.111499</v>
      </c>
      <c r="L6341">
        <v>138.15559999999999</v>
      </c>
      <c r="M6341">
        <v>0.99965899999999996</v>
      </c>
      <c r="N6341">
        <v>-1.395536E-2</v>
      </c>
      <c r="O6341">
        <v>-2.2074759999999999E-2</v>
      </c>
      <c r="P6341">
        <v>0.9426717</v>
      </c>
      <c r="Q6341">
        <v>0.32725880000000002</v>
      </c>
      <c r="R6341">
        <v>6.5359589999999995E-2</v>
      </c>
      <c r="S6341">
        <v>3.3707889999999998</v>
      </c>
      <c r="T6341">
        <v>-0.58023459999999905</v>
      </c>
      <c r="U6341">
        <v>0.15084839999999999</v>
      </c>
      <c r="V6341">
        <v>-8.6473910000000001E-2</v>
      </c>
      <c r="W6341">
        <v>0.34027849999999998</v>
      </c>
      <c r="X6341">
        <v>0.93634010000000001</v>
      </c>
      <c r="Y6341">
        <v>-6.5437319999999993E-2</v>
      </c>
      <c r="Z6341">
        <v>9.5133370000000002E-3</v>
      </c>
      <c r="AA6341">
        <v>0.99781129999999996</v>
      </c>
      <c r="AB6341">
        <v>26</v>
      </c>
      <c r="AC6341">
        <v>0.48120000000000102</v>
      </c>
      <c r="AD6341">
        <v>-0.15428069999999899</v>
      </c>
      <c r="AE6341">
        <v>4.8500000000018403E-2</v>
      </c>
      <c r="AF6341">
        <v>-5.3651903028274599E-2</v>
      </c>
      <c r="AG6341">
        <v>-0.15428069999999899</v>
      </c>
      <c r="AH6341">
        <v>0.43567695953582197</v>
      </c>
      <c r="AI6341">
        <v>109.364650401266</v>
      </c>
      <c r="AJ6341">
        <v>97.0204041193048</v>
      </c>
      <c r="AK6341">
        <v>0.46529074153847499</v>
      </c>
      <c r="AL6341">
        <v>70.106157069338096</v>
      </c>
      <c r="AM6341">
        <v>95.276475581021103</v>
      </c>
      <c r="AN6341">
        <v>0.99999998877047402</v>
      </c>
    </row>
    <row r="6342" spans="1:40" x14ac:dyDescent="0.25">
      <c r="A6342" t="str">
        <f>"20190304164813301"</f>
        <v>20190304164813301</v>
      </c>
      <c r="B6342" t="str">
        <f>"1551689293295958"</f>
        <v>1551689293295958</v>
      </c>
      <c r="C6342" t="s">
        <v>40</v>
      </c>
      <c r="D6342">
        <v>5.1975499999999997</v>
      </c>
      <c r="E6342">
        <v>0.52076409999999995</v>
      </c>
      <c r="F6342" t="s">
        <v>41</v>
      </c>
      <c r="G6342">
        <v>-138.047</v>
      </c>
      <c r="H6342">
        <v>0.98648789999999997</v>
      </c>
      <c r="I6342">
        <v>138.1883</v>
      </c>
      <c r="J6342">
        <v>-138.44329999999999</v>
      </c>
      <c r="K6342">
        <v>1.111486</v>
      </c>
      <c r="L6342">
        <v>138.1491</v>
      </c>
      <c r="M6342">
        <v>0.9996739</v>
      </c>
      <c r="N6342">
        <v>-1.3954350000000001E-2</v>
      </c>
      <c r="O6342">
        <v>-2.1386450000000001E-2</v>
      </c>
      <c r="P6342">
        <v>0.94292880000000001</v>
      </c>
      <c r="Q6342">
        <v>0.32631850000000001</v>
      </c>
      <c r="R6342">
        <v>6.6344200000000006E-2</v>
      </c>
      <c r="S6342">
        <v>3.3727420000000001</v>
      </c>
      <c r="T6342">
        <v>-0.57844019999999996</v>
      </c>
      <c r="U6342">
        <v>0.15135190000000001</v>
      </c>
      <c r="V6342">
        <v>-8.6809639999999993E-2</v>
      </c>
      <c r="W6342">
        <v>0.33934219999999998</v>
      </c>
      <c r="X6342">
        <v>0.93664879999999995</v>
      </c>
      <c r="Y6342">
        <v>-6.4899589999999993E-2</v>
      </c>
      <c r="Z6342">
        <v>9.3222670000000004E-3</v>
      </c>
      <c r="AA6342">
        <v>0.99784830000000002</v>
      </c>
      <c r="AB6342">
        <v>26</v>
      </c>
      <c r="AC6342">
        <v>0.39629999999999599</v>
      </c>
      <c r="AD6342">
        <v>-0.124998099999999</v>
      </c>
      <c r="AE6342">
        <v>3.9199999999993899E-2</v>
      </c>
      <c r="AF6342">
        <v>-4.3392247472273403E-2</v>
      </c>
      <c r="AG6342">
        <v>-0.124998099999999</v>
      </c>
      <c r="AH6342">
        <v>0.35991192222952401</v>
      </c>
      <c r="AI6342">
        <v>109.024448905198</v>
      </c>
      <c r="AJ6342">
        <v>96.874600148536501</v>
      </c>
      <c r="AK6342">
        <v>0.383463171513584</v>
      </c>
      <c r="AL6342">
        <v>70.163197757786406</v>
      </c>
      <c r="AM6342">
        <v>95.295109091885493</v>
      </c>
      <c r="AN6342">
        <v>1.0000000084195999</v>
      </c>
    </row>
    <row r="6343" spans="1:40" x14ac:dyDescent="0.25">
      <c r="A6343" t="str">
        <f>"20190304164813339"</f>
        <v>20190304164813339</v>
      </c>
      <c r="B6343" t="str">
        <f>"1551689293335974"</f>
        <v>1551689293335974</v>
      </c>
      <c r="C6343" t="s">
        <v>40</v>
      </c>
      <c r="D6343">
        <v>5.2249670000000004</v>
      </c>
      <c r="E6343">
        <v>0.52112619999999998</v>
      </c>
      <c r="F6343" t="s">
        <v>41</v>
      </c>
      <c r="G6343">
        <v>-137.5889</v>
      </c>
      <c r="H6343">
        <v>0.96412659999999994</v>
      </c>
      <c r="I6343">
        <v>138.1876</v>
      </c>
      <c r="J6343">
        <v>-137.99359999999999</v>
      </c>
      <c r="K6343">
        <v>1.111475</v>
      </c>
      <c r="L6343">
        <v>138.14060000000001</v>
      </c>
      <c r="M6343">
        <v>0.99969330000000001</v>
      </c>
      <c r="N6343">
        <v>-1.3952259999999999E-2</v>
      </c>
      <c r="O6343">
        <v>-2.046272E-2</v>
      </c>
      <c r="P6343">
        <v>0.94312810000000002</v>
      </c>
      <c r="Q6343">
        <v>0.32562249999999998</v>
      </c>
      <c r="R6343">
        <v>6.6928650000000006E-2</v>
      </c>
      <c r="S6343">
        <v>3.3721619999999999</v>
      </c>
      <c r="T6343">
        <v>-0.58158859999999901</v>
      </c>
      <c r="U6343">
        <v>0.1518555</v>
      </c>
      <c r="V6343">
        <v>-8.6522160000000001E-2</v>
      </c>
      <c r="W6343">
        <v>0.33864949999999999</v>
      </c>
      <c r="X6343">
        <v>0.93692609999999998</v>
      </c>
      <c r="Y6343">
        <v>-6.4143309999999995E-2</v>
      </c>
      <c r="Z6343">
        <v>9.1576709999999992E-3</v>
      </c>
      <c r="AA6343">
        <v>0.99789870000000003</v>
      </c>
      <c r="AB6343">
        <v>26</v>
      </c>
      <c r="AC6343">
        <v>0.40469999999999101</v>
      </c>
      <c r="AD6343">
        <v>-0.14734839999999999</v>
      </c>
      <c r="AE6343">
        <v>4.6999999999997003E-2</v>
      </c>
      <c r="AF6343">
        <v>-4.8878891296768902E-2</v>
      </c>
      <c r="AG6343">
        <v>-0.14734839999999999</v>
      </c>
      <c r="AH6343">
        <v>0.35696284434869802</v>
      </c>
      <c r="AI6343">
        <v>112.242959136157</v>
      </c>
      <c r="AJ6343">
        <v>97.797016566812303</v>
      </c>
      <c r="AK6343">
        <v>0.38925977090173902</v>
      </c>
      <c r="AL6343">
        <v>70.205385214388599</v>
      </c>
      <c r="AM6343">
        <v>95.276119714600995</v>
      </c>
      <c r="AN6343">
        <v>1.0000000424412601</v>
      </c>
    </row>
    <row r="6344" spans="1:40" x14ac:dyDescent="0.25">
      <c r="A6344" t="str">
        <f>"20190304164813364"</f>
        <v>20190304164813364</v>
      </c>
      <c r="B6344" t="str">
        <f>"1551689293355495"</f>
        <v>1551689293355495</v>
      </c>
      <c r="C6344" t="s">
        <v>40</v>
      </c>
      <c r="D6344">
        <v>5.1945030000000001</v>
      </c>
      <c r="E6344">
        <v>0.52119170000000004</v>
      </c>
      <c r="F6344" t="s">
        <v>41</v>
      </c>
      <c r="G6344">
        <v>-137.12360000000001</v>
      </c>
      <c r="H6344">
        <v>0.96018239999999999</v>
      </c>
      <c r="I6344">
        <v>138.17939999999999</v>
      </c>
      <c r="J6344">
        <v>-137.703</v>
      </c>
      <c r="K6344">
        <v>1.1114710000000001</v>
      </c>
      <c r="L6344">
        <v>138.1354</v>
      </c>
      <c r="M6344">
        <v>0.99970539999999997</v>
      </c>
      <c r="N6344">
        <v>-1.395068E-2</v>
      </c>
      <c r="O6344">
        <v>-1.986651E-2</v>
      </c>
      <c r="P6344">
        <v>0.94315110000000002</v>
      </c>
      <c r="Q6344">
        <v>0.32552619999999999</v>
      </c>
      <c r="R6344">
        <v>6.7072590000000001E-2</v>
      </c>
      <c r="S6344">
        <v>3.3727260000000001</v>
      </c>
      <c r="T6344">
        <v>-0.5865667</v>
      </c>
      <c r="U6344">
        <v>0.150665299999999</v>
      </c>
      <c r="V6344">
        <v>-8.6101759999999999E-2</v>
      </c>
      <c r="W6344">
        <v>0.33855400000000002</v>
      </c>
      <c r="X6344">
        <v>0.93699929999999998</v>
      </c>
      <c r="Y6344">
        <v>-6.3191090000000005E-2</v>
      </c>
      <c r="Z6344">
        <v>9.0486609999999995E-3</v>
      </c>
      <c r="AA6344">
        <v>0.99796039999999997</v>
      </c>
      <c r="AB6344">
        <v>26</v>
      </c>
      <c r="AC6344">
        <v>0.57939999999999203</v>
      </c>
      <c r="AD6344">
        <v>-0.151288599999999</v>
      </c>
      <c r="AE6344">
        <v>4.3999999999982699E-2</v>
      </c>
      <c r="AF6344">
        <v>-5.1979463314505897E-2</v>
      </c>
      <c r="AG6344">
        <v>-0.151288599999999</v>
      </c>
      <c r="AH6344">
        <v>0.54169083595187695</v>
      </c>
      <c r="AI6344">
        <v>105.536597906019</v>
      </c>
      <c r="AJ6344">
        <v>95.481194885921994</v>
      </c>
      <c r="AK6344">
        <v>0.56481772887425097</v>
      </c>
      <c r="AL6344">
        <v>70.211199720191502</v>
      </c>
      <c r="AM6344">
        <v>95.250219468256503</v>
      </c>
      <c r="AN6344">
        <v>1.0000000060957901</v>
      </c>
    </row>
    <row r="6345" spans="1:40" x14ac:dyDescent="0.25">
      <c r="A6345" t="str">
        <f>"20190304164813386"</f>
        <v>20190304164813386</v>
      </c>
      <c r="B6345" t="str">
        <f>"1551689293375990"</f>
        <v>1551689293375990</v>
      </c>
      <c r="C6345" t="s">
        <v>40</v>
      </c>
      <c r="D6345">
        <v>5.2348650000000001</v>
      </c>
      <c r="E6345">
        <v>0.52122809999999997</v>
      </c>
      <c r="F6345" t="s">
        <v>41</v>
      </c>
      <c r="G6345">
        <v>-136.88659999999999</v>
      </c>
      <c r="H6345">
        <v>0.96898030000000002</v>
      </c>
      <c r="I6345">
        <v>138.17169999999999</v>
      </c>
      <c r="J6345">
        <v>-137.44290000000001</v>
      </c>
      <c r="K6345">
        <v>1.1114599999999999</v>
      </c>
      <c r="L6345">
        <v>138.13079999999999</v>
      </c>
      <c r="M6345">
        <v>0.99971580000000004</v>
      </c>
      <c r="N6345">
        <v>-1.3949100000000001E-2</v>
      </c>
      <c r="O6345">
        <v>-1.9332140000000001E-2</v>
      </c>
      <c r="P6345">
        <v>0.94316049999999996</v>
      </c>
      <c r="Q6345">
        <v>0.32559690000000002</v>
      </c>
      <c r="R6345">
        <v>6.6595890000000005E-2</v>
      </c>
      <c r="S6345">
        <v>3.3733520000000001</v>
      </c>
      <c r="T6345">
        <v>-0.588912199999999</v>
      </c>
      <c r="U6345">
        <v>0.15086359999999999</v>
      </c>
      <c r="V6345">
        <v>-8.5120009999999996E-2</v>
      </c>
      <c r="W6345">
        <v>0.33862579999999998</v>
      </c>
      <c r="X6345">
        <v>0.93706299999999998</v>
      </c>
      <c r="Y6345">
        <v>-6.2713080000000004E-2</v>
      </c>
      <c r="Z6345">
        <v>8.9521199999999992E-3</v>
      </c>
      <c r="AA6345">
        <v>0.99799139999999997</v>
      </c>
      <c r="AB6345">
        <v>26</v>
      </c>
      <c r="AC6345">
        <v>0.556300000000021</v>
      </c>
      <c r="AD6345">
        <v>-0.14247969999999999</v>
      </c>
      <c r="AE6345">
        <v>4.0899999999993497E-2</v>
      </c>
      <c r="AF6345">
        <v>-4.8484503798883603E-2</v>
      </c>
      <c r="AG6345">
        <v>-0.14247969999999999</v>
      </c>
      <c r="AH6345">
        <v>0.52138738150563202</v>
      </c>
      <c r="AI6345">
        <v>105.221469282443</v>
      </c>
      <c r="AJ6345">
        <v>95.312731897788794</v>
      </c>
      <c r="AK6345">
        <v>0.54267486915648999</v>
      </c>
      <c r="AL6345">
        <v>70.206826635066705</v>
      </c>
      <c r="AM6345">
        <v>95.190333340776206</v>
      </c>
      <c r="AN6345">
        <v>0.99999995724851898</v>
      </c>
    </row>
    <row r="6346" spans="1:40" x14ac:dyDescent="0.25">
      <c r="A6346" t="str">
        <f>"20190304164813411"</f>
        <v>20190304164813411</v>
      </c>
      <c r="B6346" t="str">
        <f>"1551689293406246"</f>
        <v>1551689293406246</v>
      </c>
      <c r="C6346" t="s">
        <v>40</v>
      </c>
      <c r="D6346">
        <v>5.2216509999999996</v>
      </c>
      <c r="E6346">
        <v>0.52119150000000003</v>
      </c>
      <c r="F6346" t="s">
        <v>41</v>
      </c>
      <c r="G6346">
        <v>-136.65190000000001</v>
      </c>
      <c r="H6346">
        <v>0.9731822</v>
      </c>
      <c r="I6346">
        <v>138.16560000000001</v>
      </c>
      <c r="J6346">
        <v>-137.15899999999999</v>
      </c>
      <c r="K6346">
        <v>1.111442</v>
      </c>
      <c r="L6346">
        <v>138.126</v>
      </c>
      <c r="M6346">
        <v>0.99972700000000003</v>
      </c>
      <c r="N6346">
        <v>-1.39472E-2</v>
      </c>
      <c r="O6346">
        <v>-1.874866E-2</v>
      </c>
      <c r="P6346">
        <v>0.94348399999999999</v>
      </c>
      <c r="Q6346">
        <v>0.32470719999999997</v>
      </c>
      <c r="R6346">
        <v>6.6359429999999997E-2</v>
      </c>
      <c r="S6346">
        <v>3.3739469999999998</v>
      </c>
      <c r="T6346">
        <v>-0.58986229999999995</v>
      </c>
      <c r="U6346">
        <v>0.1485138</v>
      </c>
      <c r="V6346">
        <v>-8.433794E-2</v>
      </c>
      <c r="W6346">
        <v>0.3377404</v>
      </c>
      <c r="X6346">
        <v>0.93745319999999999</v>
      </c>
      <c r="Y6346">
        <v>-6.1453500000000001E-2</v>
      </c>
      <c r="Z6346">
        <v>8.7534459999999998E-3</v>
      </c>
      <c r="AA6346">
        <v>0.99807159999999995</v>
      </c>
      <c r="AB6346">
        <v>26</v>
      </c>
      <c r="AC6346">
        <v>0.50709999999997901</v>
      </c>
      <c r="AD6346">
        <v>-0.13825979999999999</v>
      </c>
      <c r="AE6346">
        <v>3.9600000000007102E-2</v>
      </c>
      <c r="AF6346">
        <v>-4.5723095034751603E-2</v>
      </c>
      <c r="AG6346">
        <v>-0.13825979999999999</v>
      </c>
      <c r="AH6346">
        <v>0.47143566643190299</v>
      </c>
      <c r="AI6346">
        <v>106.27275025666</v>
      </c>
      <c r="AJ6346">
        <v>95.539615358529204</v>
      </c>
      <c r="AK6346">
        <v>0.49341459372386698</v>
      </c>
      <c r="AL6346">
        <v>70.260732986224198</v>
      </c>
      <c r="AM6346">
        <v>95.140773060628803</v>
      </c>
      <c r="AN6346">
        <v>0.99999998405292101</v>
      </c>
    </row>
    <row r="6347" spans="1:40" x14ac:dyDescent="0.25">
      <c r="A6347" t="str">
        <f>"20190304164813436"</f>
        <v>20190304164813436</v>
      </c>
      <c r="B6347" t="str">
        <f>"1551689293425767"</f>
        <v>1551689293425767</v>
      </c>
      <c r="C6347" t="s">
        <v>40</v>
      </c>
      <c r="D6347">
        <v>5.2431219999999996</v>
      </c>
      <c r="E6347">
        <v>0.52122840000000004</v>
      </c>
      <c r="F6347" t="s">
        <v>41</v>
      </c>
      <c r="G6347">
        <v>-136.4162</v>
      </c>
      <c r="H6347">
        <v>0.98021579999999997</v>
      </c>
      <c r="I6347">
        <v>138.15870000000001</v>
      </c>
      <c r="J6347">
        <v>-136.86660000000001</v>
      </c>
      <c r="K6347">
        <v>1.111421</v>
      </c>
      <c r="L6347">
        <v>138.12119999999999</v>
      </c>
      <c r="M6347">
        <v>0.99973809999999996</v>
      </c>
      <c r="N6347">
        <v>-1.394606E-2</v>
      </c>
      <c r="O6347">
        <v>-1.8146820000000001E-2</v>
      </c>
      <c r="P6347">
        <v>0.9439052</v>
      </c>
      <c r="Q6347">
        <v>0.3235479</v>
      </c>
      <c r="R6347">
        <v>6.6028379999999998E-2</v>
      </c>
      <c r="S6347">
        <v>3.37439</v>
      </c>
      <c r="T6347">
        <v>-0.59617869999999995</v>
      </c>
      <c r="U6347">
        <v>0.14897160000000001</v>
      </c>
      <c r="V6347">
        <v>-8.3444690000000002E-2</v>
      </c>
      <c r="W6347">
        <v>0.336588</v>
      </c>
      <c r="X6347">
        <v>0.93794750000000005</v>
      </c>
      <c r="Y6347">
        <v>-6.097205E-2</v>
      </c>
      <c r="Z6347">
        <v>8.7001779999999994E-3</v>
      </c>
      <c r="AA6347">
        <v>0.99810149999999997</v>
      </c>
      <c r="AB6347">
        <v>26</v>
      </c>
      <c r="AC6347">
        <v>0.45040000000000102</v>
      </c>
      <c r="AD6347">
        <v>-0.13120519999999899</v>
      </c>
      <c r="AE6347">
        <v>3.7500000000022703E-2</v>
      </c>
      <c r="AF6347">
        <v>-4.2118368538650398E-2</v>
      </c>
      <c r="AG6347">
        <v>-0.13120519999999899</v>
      </c>
      <c r="AH6347">
        <v>0.41469621117043398</v>
      </c>
      <c r="AI6347">
        <v>107.472406909871</v>
      </c>
      <c r="AJ6347">
        <v>95.799324924075194</v>
      </c>
      <c r="AK6347">
        <v>0.43699165785459898</v>
      </c>
      <c r="AL6347">
        <v>70.3308677413808</v>
      </c>
      <c r="AM6347">
        <v>95.083946045868998</v>
      </c>
      <c r="AN6347">
        <v>1.00000000539472</v>
      </c>
    </row>
    <row r="6348" spans="1:40" x14ac:dyDescent="0.25">
      <c r="A6348" t="str">
        <f>"20190304164813474"</f>
        <v>20190304164813474</v>
      </c>
      <c r="B6348" t="str">
        <f>"1551689293465786"</f>
        <v>1551689293465786</v>
      </c>
      <c r="C6348" t="s">
        <v>40</v>
      </c>
      <c r="D6348">
        <v>5.2274900000000004</v>
      </c>
      <c r="E6348">
        <v>0.52118580000000003</v>
      </c>
      <c r="F6348" t="s">
        <v>41</v>
      </c>
      <c r="G6348">
        <v>-135.96539999999999</v>
      </c>
      <c r="H6348">
        <v>0.95064939999999998</v>
      </c>
      <c r="I6348">
        <v>138.1609</v>
      </c>
      <c r="J6348">
        <v>-136.4273</v>
      </c>
      <c r="K6348">
        <v>1.11144</v>
      </c>
      <c r="L6348">
        <v>138.11429999999999</v>
      </c>
      <c r="M6348">
        <v>0.99975259999999999</v>
      </c>
      <c r="N6348">
        <v>-1.404336E-2</v>
      </c>
      <c r="O6348">
        <v>-1.725022E-2</v>
      </c>
      <c r="P6348">
        <v>0.94458169999999997</v>
      </c>
      <c r="Q6348">
        <v>0.32175589999999998</v>
      </c>
      <c r="R6348">
        <v>6.5104599999999999E-2</v>
      </c>
      <c r="S6348">
        <v>3.3742070000000002</v>
      </c>
      <c r="T6348">
        <v>-0.60201669999999996</v>
      </c>
      <c r="U6348">
        <v>0.1490784</v>
      </c>
      <c r="V6348">
        <v>-8.1685350000000004E-2</v>
      </c>
      <c r="W6348">
        <v>0.33489960000000002</v>
      </c>
      <c r="X6348">
        <v>0.9387065</v>
      </c>
      <c r="Y6348">
        <v>-6.011292E-2</v>
      </c>
      <c r="Z6348">
        <v>8.5558909999999995E-3</v>
      </c>
      <c r="AA6348">
        <v>0.99815489999999996</v>
      </c>
      <c r="AB6348">
        <v>26</v>
      </c>
      <c r="AC6348">
        <v>0.46190000000001402</v>
      </c>
      <c r="AD6348">
        <v>-0.16079059999999901</v>
      </c>
      <c r="AE6348">
        <v>4.6600000000012097E-2</v>
      </c>
      <c r="AF6348">
        <v>-4.87176770486695E-2</v>
      </c>
      <c r="AG6348">
        <v>-0.16079059999999901</v>
      </c>
      <c r="AH6348">
        <v>0.41164716064320001</v>
      </c>
      <c r="AI6348">
        <v>111.201069749024</v>
      </c>
      <c r="AJ6348">
        <v>96.749454360379104</v>
      </c>
      <c r="AK6348">
        <v>0.44461265610752398</v>
      </c>
      <c r="AL6348">
        <v>70.433568550388401</v>
      </c>
      <c r="AM6348">
        <v>94.973296557729498</v>
      </c>
      <c r="AN6348">
        <v>1.00000006581351</v>
      </c>
    </row>
    <row r="6349" spans="1:40" x14ac:dyDescent="0.25">
      <c r="A6349" t="str">
        <f>"20190304164813498"</f>
        <v>20190304164813498</v>
      </c>
      <c r="B6349" t="str">
        <f>"1551689293496039"</f>
        <v>1551689293496039</v>
      </c>
      <c r="C6349" t="s">
        <v>40</v>
      </c>
      <c r="D6349">
        <v>5.2187749999999999</v>
      </c>
      <c r="E6349">
        <v>0.52111109999999905</v>
      </c>
      <c r="F6349" t="s">
        <v>41</v>
      </c>
      <c r="G6349">
        <v>-135.7193</v>
      </c>
      <c r="H6349">
        <v>0.98311689999999996</v>
      </c>
      <c r="I6349">
        <v>138.14619999999999</v>
      </c>
      <c r="J6349">
        <v>-136.1397</v>
      </c>
      <c r="K6349">
        <v>1.1114900000000001</v>
      </c>
      <c r="L6349">
        <v>138.11000000000001</v>
      </c>
      <c r="M6349">
        <v>0.99975959999999997</v>
      </c>
      <c r="N6349">
        <v>-1.426175E-2</v>
      </c>
      <c r="O6349">
        <v>-1.6665329999999999E-2</v>
      </c>
      <c r="P6349">
        <v>0.94474329999999995</v>
      </c>
      <c r="Q6349">
        <v>0.32128519999999999</v>
      </c>
      <c r="R6349">
        <v>6.5087539999999999E-2</v>
      </c>
      <c r="S6349">
        <v>3.3738860000000002</v>
      </c>
      <c r="T6349">
        <v>-0.61169309999999999</v>
      </c>
      <c r="U6349">
        <v>0.15240479999999901</v>
      </c>
      <c r="V6349">
        <v>-8.1116820000000006E-2</v>
      </c>
      <c r="W6349">
        <v>0.33463809999999999</v>
      </c>
      <c r="X6349">
        <v>0.93884900000000004</v>
      </c>
      <c r="Y6349">
        <v>-6.0476540000000002E-2</v>
      </c>
      <c r="Z6349">
        <v>8.6304169999999996E-3</v>
      </c>
      <c r="AA6349">
        <v>0.99813229999999997</v>
      </c>
      <c r="AB6349">
        <v>26</v>
      </c>
      <c r="AC6349">
        <v>0.4204</v>
      </c>
      <c r="AD6349">
        <v>-0.12837309999999899</v>
      </c>
      <c r="AE6349">
        <v>3.6199999999979499E-2</v>
      </c>
      <c r="AF6349">
        <v>-3.9541867969778197E-2</v>
      </c>
      <c r="AG6349">
        <v>-0.12837309999999899</v>
      </c>
      <c r="AH6349">
        <v>0.38417935222899202</v>
      </c>
      <c r="AI6349">
        <v>108.386439946821</v>
      </c>
      <c r="AJ6349">
        <v>95.876506196753397</v>
      </c>
      <c r="AK6349">
        <v>0.406985241507892</v>
      </c>
      <c r="AL6349">
        <v>70.449467918499096</v>
      </c>
      <c r="AM6349">
        <v>94.938108298860499</v>
      </c>
      <c r="AN6349">
        <v>1.0000000206297599</v>
      </c>
    </row>
    <row r="6350" spans="1:40" x14ac:dyDescent="0.25">
      <c r="A6350" t="str">
        <f>"20190304164813521"</f>
        <v>20190304164813521</v>
      </c>
      <c r="B6350" t="str">
        <f>"1551689293515559"</f>
        <v>1551689293515559</v>
      </c>
      <c r="C6350" t="s">
        <v>40</v>
      </c>
      <c r="D6350">
        <v>5.2291869999999996</v>
      </c>
      <c r="E6350">
        <v>0.52101430000000004</v>
      </c>
      <c r="F6350" t="s">
        <v>41</v>
      </c>
      <c r="G6350">
        <v>-135.2724</v>
      </c>
      <c r="H6350">
        <v>0.95334370000000002</v>
      </c>
      <c r="I6350">
        <v>138.15020000000001</v>
      </c>
      <c r="J6350">
        <v>-135.88149999999999</v>
      </c>
      <c r="K6350">
        <v>1.1115710000000001</v>
      </c>
      <c r="L6350">
        <v>138.1063</v>
      </c>
      <c r="M6350">
        <v>0.99976330000000002</v>
      </c>
      <c r="N6350">
        <v>-1.4599839999999999E-2</v>
      </c>
      <c r="O6350">
        <v>-1.6135440000000001E-2</v>
      </c>
      <c r="P6350">
        <v>0.94470829999999995</v>
      </c>
      <c r="Q6350">
        <v>0.32153199999999998</v>
      </c>
      <c r="R6350">
        <v>6.4370079999999996E-2</v>
      </c>
      <c r="S6350">
        <v>3.3739469999999998</v>
      </c>
      <c r="T6350">
        <v>-0.61525609999999997</v>
      </c>
      <c r="U6350">
        <v>0.15618899999999999</v>
      </c>
      <c r="V6350">
        <v>-7.9894510000000002E-2</v>
      </c>
      <c r="W6350">
        <v>0.33520470000000002</v>
      </c>
      <c r="X6350">
        <v>0.93875160000000002</v>
      </c>
      <c r="Y6350">
        <v>-6.104561E-2</v>
      </c>
      <c r="Z6350">
        <v>8.6506940000000004E-3</v>
      </c>
      <c r="AA6350">
        <v>0.99809749999999997</v>
      </c>
      <c r="AB6350">
        <v>26</v>
      </c>
      <c r="AC6350">
        <v>0.60909999999998299</v>
      </c>
      <c r="AD6350">
        <v>-0.15822729999999899</v>
      </c>
      <c r="AE6350">
        <v>4.3900000000007801E-2</v>
      </c>
      <c r="AF6350">
        <v>-5.0343707291491901E-2</v>
      </c>
      <c r="AG6350">
        <v>-0.15822729999999899</v>
      </c>
      <c r="AH6350">
        <v>0.57004358044484005</v>
      </c>
      <c r="AI6350">
        <v>105.455820934339</v>
      </c>
      <c r="AJ6350">
        <v>95.047013334309497</v>
      </c>
      <c r="AK6350">
        <v>0.59373399004563798</v>
      </c>
      <c r="AL6350">
        <v>70.415012757529595</v>
      </c>
      <c r="AM6350">
        <v>94.864560296659107</v>
      </c>
      <c r="AN6350">
        <v>0.999999945066393</v>
      </c>
    </row>
    <row r="6351" spans="1:40" x14ac:dyDescent="0.25">
      <c r="A6351" t="str">
        <f>"20190304164813545"</f>
        <v>20190304164813545</v>
      </c>
      <c r="B6351" t="str">
        <f>"1551689293536054"</f>
        <v>1551689293536054</v>
      </c>
      <c r="C6351" t="s">
        <v>40</v>
      </c>
      <c r="D6351">
        <v>5.2380930000000001</v>
      </c>
      <c r="E6351">
        <v>0.52095630000000004</v>
      </c>
      <c r="F6351" t="s">
        <v>41</v>
      </c>
      <c r="G6351">
        <v>-135.04169999999999</v>
      </c>
      <c r="H6351">
        <v>0.9584163</v>
      </c>
      <c r="I6351">
        <v>138.14519999999999</v>
      </c>
      <c r="J6351">
        <v>-135.60040000000001</v>
      </c>
      <c r="K6351">
        <v>1.111693</v>
      </c>
      <c r="L6351">
        <v>138.10239999999999</v>
      </c>
      <c r="M6351">
        <v>0.99976430000000005</v>
      </c>
      <c r="N6351">
        <v>-1.514917E-2</v>
      </c>
      <c r="O6351">
        <v>-1.555726E-2</v>
      </c>
      <c r="P6351">
        <v>0.94492469999999995</v>
      </c>
      <c r="Q6351">
        <v>0.32109929999999998</v>
      </c>
      <c r="R6351">
        <v>6.3347589999999995E-2</v>
      </c>
      <c r="S6351">
        <v>3.3744049999999999</v>
      </c>
      <c r="T6351">
        <v>-0.61549160000000003</v>
      </c>
      <c r="U6351">
        <v>0.1564941</v>
      </c>
      <c r="V6351">
        <v>-7.8324589999999999E-2</v>
      </c>
      <c r="W6351">
        <v>0.3352945</v>
      </c>
      <c r="X6351">
        <v>0.93885189999999996</v>
      </c>
      <c r="Y6351">
        <v>-6.0566689999999999E-2</v>
      </c>
      <c r="Z6351">
        <v>8.5180519999999999E-3</v>
      </c>
      <c r="AA6351">
        <v>0.99812780000000001</v>
      </c>
      <c r="AB6351">
        <v>26</v>
      </c>
      <c r="AC6351">
        <v>0.55870000000001596</v>
      </c>
      <c r="AD6351">
        <v>-0.15327669999999999</v>
      </c>
      <c r="AE6351">
        <v>4.2799999999999699E-2</v>
      </c>
      <c r="AF6351">
        <v>-4.7903239440485398E-2</v>
      </c>
      <c r="AG6351">
        <v>-0.15327669999999999</v>
      </c>
      <c r="AH6351">
        <v>0.51912247815907897</v>
      </c>
      <c r="AI6351">
        <v>106.383970655357</v>
      </c>
      <c r="AJ6351">
        <v>95.272171369761793</v>
      </c>
      <c r="AK6351">
        <v>0.54339360912860102</v>
      </c>
      <c r="AL6351">
        <v>70.409553012021405</v>
      </c>
      <c r="AM6351">
        <v>94.768910284443393</v>
      </c>
      <c r="AN6351">
        <v>1.0000000166312599</v>
      </c>
    </row>
    <row r="6352" spans="1:40" x14ac:dyDescent="0.25">
      <c r="A6352" t="str">
        <f>"20190304164813567"</f>
        <v>20190304164813567</v>
      </c>
      <c r="B6352" t="str">
        <f>"1551689293555574"</f>
        <v>1551689293555574</v>
      </c>
      <c r="C6352" t="s">
        <v>40</v>
      </c>
      <c r="D6352">
        <v>5.210623</v>
      </c>
      <c r="E6352">
        <v>0.52092129999999903</v>
      </c>
      <c r="F6352" t="s">
        <v>41</v>
      </c>
      <c r="G6352">
        <v>-134.81059999999999</v>
      </c>
      <c r="H6352">
        <v>0.9670839</v>
      </c>
      <c r="I6352">
        <v>138.1387</v>
      </c>
      <c r="J6352">
        <v>-135.36240000000001</v>
      </c>
      <c r="K6352">
        <v>1.1117889999999999</v>
      </c>
      <c r="L6352">
        <v>138.0993</v>
      </c>
      <c r="M6352">
        <v>0.99976339999999997</v>
      </c>
      <c r="N6352">
        <v>-1.568893E-2</v>
      </c>
      <c r="O6352">
        <v>-1.506911E-2</v>
      </c>
      <c r="P6352">
        <v>0.94566859999999997</v>
      </c>
      <c r="Q6352">
        <v>0.319156099999999</v>
      </c>
      <c r="R6352">
        <v>6.205132E-2</v>
      </c>
      <c r="S6352">
        <v>3.3744200000000002</v>
      </c>
      <c r="T6352">
        <v>-0.6178477</v>
      </c>
      <c r="U6352">
        <v>0.15499879999999999</v>
      </c>
      <c r="V6352">
        <v>-7.6576069999999996E-2</v>
      </c>
      <c r="W6352">
        <v>0.33387319999999998</v>
      </c>
      <c r="X6352">
        <v>0.93950239999999996</v>
      </c>
      <c r="Y6352">
        <v>-5.9649840000000003E-2</v>
      </c>
      <c r="Z6352">
        <v>8.3860519999999997E-3</v>
      </c>
      <c r="AA6352">
        <v>0.99818410000000002</v>
      </c>
      <c r="AB6352">
        <v>26</v>
      </c>
      <c r="AC6352">
        <v>0.55180000000001395</v>
      </c>
      <c r="AD6352">
        <v>-0.144705099999999</v>
      </c>
      <c r="AE6352">
        <v>3.9400000000000497E-2</v>
      </c>
      <c r="AF6352">
        <v>-4.46562159898964E-2</v>
      </c>
      <c r="AG6352">
        <v>-0.144705099999999</v>
      </c>
      <c r="AH6352">
        <v>0.51584817358254897</v>
      </c>
      <c r="AI6352">
        <v>105.61427116836801</v>
      </c>
      <c r="AJ6352">
        <v>94.947676301126194</v>
      </c>
      <c r="AK6352">
        <v>0.53761797010609402</v>
      </c>
      <c r="AL6352">
        <v>70.495967288202493</v>
      </c>
      <c r="AM6352">
        <v>94.659709467762397</v>
      </c>
      <c r="AN6352">
        <v>0.99999998389032196</v>
      </c>
    </row>
    <row r="6353" spans="1:40" x14ac:dyDescent="0.25">
      <c r="A6353" t="str">
        <f>"20190304164813590"</f>
        <v>20190304164813590</v>
      </c>
      <c r="B6353" t="str">
        <f>"1551689293585830"</f>
        <v>1551689293585830</v>
      </c>
      <c r="C6353" t="s">
        <v>40</v>
      </c>
      <c r="D6353">
        <v>5.1986840000000001</v>
      </c>
      <c r="E6353">
        <v>0.5208178</v>
      </c>
      <c r="F6353" t="s">
        <v>41</v>
      </c>
      <c r="G6353">
        <v>-134.5848</v>
      </c>
      <c r="H6353">
        <v>0.96754989999999996</v>
      </c>
      <c r="I6353">
        <v>138.13399999999999</v>
      </c>
      <c r="J6353">
        <v>-135.10399999999899</v>
      </c>
      <c r="K6353">
        <v>1.1118790000000001</v>
      </c>
      <c r="L6353">
        <v>138.096</v>
      </c>
      <c r="M6353">
        <v>0.99976169999999998</v>
      </c>
      <c r="N6353">
        <v>-1.6287369999999999E-2</v>
      </c>
      <c r="O6353">
        <v>-1.454371E-2</v>
      </c>
      <c r="P6353">
        <v>0.94669930000000002</v>
      </c>
      <c r="Q6353">
        <v>0.31630360000000002</v>
      </c>
      <c r="R6353">
        <v>6.0933689999999999E-2</v>
      </c>
      <c r="S6353">
        <v>3.373672</v>
      </c>
      <c r="T6353">
        <v>-0.6258148</v>
      </c>
      <c r="U6353">
        <v>0.15103150000000001</v>
      </c>
      <c r="V6353">
        <v>-7.4975799999999995E-2</v>
      </c>
      <c r="W6353">
        <v>0.3316019</v>
      </c>
      <c r="X6353">
        <v>0.94043540000000003</v>
      </c>
      <c r="Y6353">
        <v>-5.796776E-2</v>
      </c>
      <c r="Z6353">
        <v>8.2440380000000004E-3</v>
      </c>
      <c r="AA6353">
        <v>0.99828439999999996</v>
      </c>
      <c r="AB6353">
        <v>25</v>
      </c>
      <c r="AC6353">
        <v>0.51919999999998301</v>
      </c>
      <c r="AD6353">
        <v>-0.14432909999999999</v>
      </c>
      <c r="AE6353">
        <v>3.7999999999982402E-2</v>
      </c>
      <c r="AF6353">
        <v>-4.2296994081544997E-2</v>
      </c>
      <c r="AG6353">
        <v>-0.14432909999999999</v>
      </c>
      <c r="AH6353">
        <v>0.48157681958489201</v>
      </c>
      <c r="AI6353">
        <v>106.623087856308</v>
      </c>
      <c r="AJ6353">
        <v>95.019420049634505</v>
      </c>
      <c r="AK6353">
        <v>0.50451576583556301</v>
      </c>
      <c r="AL6353">
        <v>70.633966148355498</v>
      </c>
      <c r="AM6353">
        <v>94.558239819469094</v>
      </c>
      <c r="AN6353">
        <v>0.99999996612120401</v>
      </c>
    </row>
    <row r="6354" spans="1:40" x14ac:dyDescent="0.25">
      <c r="A6354" t="str">
        <f>"20190304164813612"</f>
        <v>20190304164813612</v>
      </c>
      <c r="B6354" t="str">
        <f>"1551689293606326"</f>
        <v>1551689293606326</v>
      </c>
      <c r="C6354" t="s">
        <v>40</v>
      </c>
      <c r="D6354">
        <v>5.2156330000000004</v>
      </c>
      <c r="E6354">
        <v>0.52074739999999997</v>
      </c>
      <c r="F6354" t="s">
        <v>41</v>
      </c>
      <c r="G6354">
        <v>-134.3588</v>
      </c>
      <c r="H6354">
        <v>0.97116780000000003</v>
      </c>
      <c r="I6354">
        <v>138.1284</v>
      </c>
      <c r="J6354">
        <v>-134.8535</v>
      </c>
      <c r="K6354">
        <v>1.111947</v>
      </c>
      <c r="L6354">
        <v>138.09299999999999</v>
      </c>
      <c r="M6354">
        <v>0.99975959999999997</v>
      </c>
      <c r="N6354">
        <v>-1.6846860000000002E-2</v>
      </c>
      <c r="O6354">
        <v>-1.403976E-2</v>
      </c>
      <c r="P6354">
        <v>0.9476485</v>
      </c>
      <c r="Q6354">
        <v>0.313457599999999</v>
      </c>
      <c r="R6354">
        <v>6.0885050000000003E-2</v>
      </c>
      <c r="S6354">
        <v>3.372223</v>
      </c>
      <c r="T6354">
        <v>-0.63678029999999997</v>
      </c>
      <c r="U6354">
        <v>0.146698</v>
      </c>
      <c r="V6354">
        <v>-7.4462210000000001E-2</v>
      </c>
      <c r="W6354">
        <v>0.32929999999999998</v>
      </c>
      <c r="X6354">
        <v>0.94128469999999997</v>
      </c>
      <c r="Y6354">
        <v>-5.6197879999999999E-2</v>
      </c>
      <c r="Z6354">
        <v>8.1275169999999904E-3</v>
      </c>
      <c r="AA6354">
        <v>0.99838660000000001</v>
      </c>
      <c r="AB6354">
        <v>25</v>
      </c>
      <c r="AC6354">
        <v>0.49469999999999398</v>
      </c>
      <c r="AD6354">
        <v>-0.14077919999999999</v>
      </c>
      <c r="AE6354">
        <v>3.5400000000009799E-2</v>
      </c>
      <c r="AF6354">
        <v>-3.9185756208441599E-2</v>
      </c>
      <c r="AG6354">
        <v>-0.14077919999999999</v>
      </c>
      <c r="AH6354">
        <v>0.45730865388009401</v>
      </c>
      <c r="AI6354">
        <v>107.05176566573699</v>
      </c>
      <c r="AJ6354">
        <v>94.897583975769095</v>
      </c>
      <c r="AK6354">
        <v>0.48008906627405201</v>
      </c>
      <c r="AL6354">
        <v>70.773706113993498</v>
      </c>
      <c r="AM6354">
        <v>94.523077982266003</v>
      </c>
      <c r="AN6354">
        <v>0.99999999858608701</v>
      </c>
    </row>
    <row r="6355" spans="1:40" x14ac:dyDescent="0.25">
      <c r="A6355" t="str">
        <f>"20190304164813641"</f>
        <v>20190304164813641</v>
      </c>
      <c r="B6355" t="str">
        <f>"1551689293635607"</f>
        <v>1551689293635607</v>
      </c>
      <c r="C6355" t="s">
        <v>40</v>
      </c>
      <c r="D6355">
        <v>5.1969580000000004</v>
      </c>
      <c r="E6355">
        <v>0.52068539999999996</v>
      </c>
      <c r="F6355" t="s">
        <v>41</v>
      </c>
      <c r="G6355">
        <v>-134.13460000000001</v>
      </c>
      <c r="H6355">
        <v>0.97393560000000001</v>
      </c>
      <c r="I6355">
        <v>138.12389999999999</v>
      </c>
      <c r="J6355">
        <v>-134.54089999999999</v>
      </c>
      <c r="K6355">
        <v>1.111999</v>
      </c>
      <c r="L6355">
        <v>138.08940000000001</v>
      </c>
      <c r="M6355">
        <v>0.9997566</v>
      </c>
      <c r="N6355">
        <v>-1.751494E-2</v>
      </c>
      <c r="O6355">
        <v>-1.342229E-2</v>
      </c>
      <c r="P6355">
        <v>0.94854899999999998</v>
      </c>
      <c r="Q6355">
        <v>0.31062919999999999</v>
      </c>
      <c r="R6355">
        <v>6.1359379999999998E-2</v>
      </c>
      <c r="S6355">
        <v>3.3704529999999999</v>
      </c>
      <c r="T6355">
        <v>-0.64714050000000001</v>
      </c>
      <c r="U6355">
        <v>0.14530940000000001</v>
      </c>
      <c r="V6355">
        <v>-7.4354409999999996E-2</v>
      </c>
      <c r="W6355">
        <v>0.32711899999999999</v>
      </c>
      <c r="X6355">
        <v>0.94205340000000004</v>
      </c>
      <c r="Y6355">
        <v>-5.5178770000000002E-2</v>
      </c>
      <c r="Z6355">
        <v>8.0549419999999903E-3</v>
      </c>
      <c r="AA6355">
        <v>0.998444</v>
      </c>
      <c r="AB6355">
        <v>25</v>
      </c>
      <c r="AC6355">
        <v>0.406299999999987</v>
      </c>
      <c r="AD6355">
        <v>-0.138063399999999</v>
      </c>
      <c r="AE6355">
        <v>3.4499999999979901E-2</v>
      </c>
      <c r="AF6355">
        <v>-3.58421872065183E-2</v>
      </c>
      <c r="AG6355">
        <v>-0.138063399999999</v>
      </c>
      <c r="AH6355">
        <v>0.36406333439319</v>
      </c>
      <c r="AI6355">
        <v>110.676731660134</v>
      </c>
      <c r="AJ6355">
        <v>95.622674225693004</v>
      </c>
      <c r="AK6355">
        <v>0.39100930456038302</v>
      </c>
      <c r="AL6355">
        <v>70.905996772341993</v>
      </c>
      <c r="AM6355">
        <v>94.512886764517603</v>
      </c>
      <c r="AN6355">
        <v>1.0000000134495</v>
      </c>
    </row>
    <row r="6356" spans="1:40" x14ac:dyDescent="0.25">
      <c r="A6356" t="str">
        <f>"20190304164813675"</f>
        <v>20190304164813675</v>
      </c>
      <c r="B6356" t="str">
        <f>"1551689293665862"</f>
        <v>1551689293665862</v>
      </c>
      <c r="C6356" t="s">
        <v>40</v>
      </c>
      <c r="D6356">
        <v>5.2100369999999998</v>
      </c>
      <c r="E6356">
        <v>0.52065099999999997</v>
      </c>
      <c r="F6356" t="s">
        <v>41</v>
      </c>
      <c r="G6356">
        <v>-133.7046</v>
      </c>
      <c r="H6356">
        <v>0.94886590000000004</v>
      </c>
      <c r="I6356">
        <v>138.12549999999999</v>
      </c>
      <c r="J6356">
        <v>-134.16829999999999</v>
      </c>
      <c r="K6356">
        <v>1.112044</v>
      </c>
      <c r="L6356">
        <v>138.08529999999999</v>
      </c>
      <c r="M6356">
        <v>0.99975159999999996</v>
      </c>
      <c r="N6356">
        <v>-1.831723E-2</v>
      </c>
      <c r="O6356">
        <v>-1.270874E-2</v>
      </c>
      <c r="P6356">
        <v>0.94934339999999995</v>
      </c>
      <c r="Q6356">
        <v>0.3078979</v>
      </c>
      <c r="R6356">
        <v>6.281863E-2</v>
      </c>
      <c r="S6356">
        <v>3.368484</v>
      </c>
      <c r="T6356">
        <v>-0.6570954</v>
      </c>
      <c r="U6356">
        <v>0.145889299999999</v>
      </c>
      <c r="V6356">
        <v>-7.5123579999999995E-2</v>
      </c>
      <c r="W6356">
        <v>0.3251636</v>
      </c>
      <c r="X6356">
        <v>0.94266919999999998</v>
      </c>
      <c r="Y6356">
        <v>-5.4641910000000002E-2</v>
      </c>
      <c r="Z6356">
        <v>8.0074499999999993E-3</v>
      </c>
      <c r="AA6356">
        <v>0.99847390000000003</v>
      </c>
      <c r="AB6356">
        <v>25</v>
      </c>
      <c r="AC6356">
        <v>0.46369999999998801</v>
      </c>
      <c r="AD6356">
        <v>-0.16317809999999999</v>
      </c>
      <c r="AE6356">
        <v>4.0199999999998598E-2</v>
      </c>
      <c r="AF6356">
        <v>-4.1045730964056101E-2</v>
      </c>
      <c r="AG6356">
        <v>-0.16317809999999999</v>
      </c>
      <c r="AH6356">
        <v>0.41245544412505802</v>
      </c>
      <c r="AI6356">
        <v>111.488638389996</v>
      </c>
      <c r="AJ6356">
        <v>95.683109783517494</v>
      </c>
      <c r="AK6356">
        <v>0.44545632528720802</v>
      </c>
      <c r="AL6356">
        <v>71.024514438861303</v>
      </c>
      <c r="AM6356">
        <v>94.556409274272198</v>
      </c>
      <c r="AN6356">
        <v>1.0000000698328</v>
      </c>
    </row>
    <row r="6357" spans="1:40" x14ac:dyDescent="0.25">
      <c r="A6357" t="str">
        <f>"20190304164813700"</f>
        <v>20190304164813700</v>
      </c>
      <c r="B6357" t="str">
        <f>"1551689293696119"</f>
        <v>1551689293696119</v>
      </c>
      <c r="C6357" t="s">
        <v>40</v>
      </c>
      <c r="D6357">
        <v>5.2143870000000003</v>
      </c>
      <c r="E6357">
        <v>0.52056629999999904</v>
      </c>
      <c r="F6357" t="s">
        <v>41</v>
      </c>
      <c r="G6357">
        <v>-133.27510000000001</v>
      </c>
      <c r="H6357">
        <v>0.93525930000000002</v>
      </c>
      <c r="I6357">
        <v>138.12530000000001</v>
      </c>
      <c r="J6357">
        <v>-133.88470000000001</v>
      </c>
      <c r="K6357">
        <v>1.1120650000000001</v>
      </c>
      <c r="L6357">
        <v>138.0823</v>
      </c>
      <c r="M6357">
        <v>0.99974689999999999</v>
      </c>
      <c r="N6357">
        <v>-1.8910079999999999E-2</v>
      </c>
      <c r="O6357">
        <v>-1.220625E-2</v>
      </c>
      <c r="P6357">
        <v>0.94971810000000001</v>
      </c>
      <c r="Q6357">
        <v>0.30655189999999999</v>
      </c>
      <c r="R6357">
        <v>6.3732789999999997E-2</v>
      </c>
      <c r="S6357">
        <v>3.3661799999999999</v>
      </c>
      <c r="T6357">
        <v>-0.6663289</v>
      </c>
      <c r="U6357">
        <v>0.1513062</v>
      </c>
      <c r="V6357">
        <v>-7.5541259999999999E-2</v>
      </c>
      <c r="W6357">
        <v>0.3243897</v>
      </c>
      <c r="X6357">
        <v>0.94290240000000003</v>
      </c>
      <c r="Y6357">
        <v>-5.5718509999999999E-2</v>
      </c>
      <c r="Z6357">
        <v>8.1549180000000006E-3</v>
      </c>
      <c r="AA6357">
        <v>0.9984132</v>
      </c>
      <c r="AB6357">
        <v>24</v>
      </c>
      <c r="AC6357">
        <v>0.60960000000000003</v>
      </c>
      <c r="AD6357">
        <v>-0.17680569999999901</v>
      </c>
      <c r="AE6357">
        <v>4.3000000000006297E-2</v>
      </c>
      <c r="AF6357">
        <v>-4.6543195086930098E-2</v>
      </c>
      <c r="AG6357">
        <v>-0.17680569999999901</v>
      </c>
      <c r="AH6357">
        <v>0.56198880176652999</v>
      </c>
      <c r="AI6357">
        <v>107.407968268589</v>
      </c>
      <c r="AJ6357">
        <v>94.734358809461995</v>
      </c>
      <c r="AK6357">
        <v>0.59098048857163599</v>
      </c>
      <c r="AL6357">
        <v>71.071396680649897</v>
      </c>
      <c r="AM6357">
        <v>94.580506606193197</v>
      </c>
      <c r="AN6357">
        <v>1.00000004767711</v>
      </c>
    </row>
    <row r="6358" spans="1:40" x14ac:dyDescent="0.25">
      <c r="A6358" t="str">
        <f>"20190304164813725"</f>
        <v>20190304164813725</v>
      </c>
      <c r="B6358" t="str">
        <f>"1551689293715639"</f>
        <v>1551689293715639</v>
      </c>
      <c r="C6358" t="s">
        <v>40</v>
      </c>
      <c r="D6358">
        <v>5.1902439999999999</v>
      </c>
      <c r="E6358">
        <v>0.52051380000000003</v>
      </c>
      <c r="F6358" t="s">
        <v>41</v>
      </c>
      <c r="G6358">
        <v>-133.05510000000001</v>
      </c>
      <c r="H6358">
        <v>0.94680520000000001</v>
      </c>
      <c r="I6358">
        <v>138.1206</v>
      </c>
      <c r="J6358">
        <v>-133.6275</v>
      </c>
      <c r="K6358">
        <v>1.112082</v>
      </c>
      <c r="L6358">
        <v>138.0797</v>
      </c>
      <c r="M6358">
        <v>0.99974169999999996</v>
      </c>
      <c r="N6358">
        <v>-1.9429600000000002E-2</v>
      </c>
      <c r="O6358">
        <v>-1.179438E-2</v>
      </c>
      <c r="P6358">
        <v>0.95004770000000005</v>
      </c>
      <c r="Q6358">
        <v>0.3051585</v>
      </c>
      <c r="R6358">
        <v>6.5480460000000004E-2</v>
      </c>
      <c r="S6358">
        <v>3.3647610000000001</v>
      </c>
      <c r="T6358">
        <v>-0.67024600000000001</v>
      </c>
      <c r="U6358">
        <v>0.1552124</v>
      </c>
      <c r="V6358">
        <v>-7.6876609999999998E-2</v>
      </c>
      <c r="W6358">
        <v>0.32349729999999999</v>
      </c>
      <c r="X6358">
        <v>0.94310099999999997</v>
      </c>
      <c r="Y6358">
        <v>-5.6455030000000003E-2</v>
      </c>
      <c r="Z6358">
        <v>8.2182869999999995E-3</v>
      </c>
      <c r="AA6358">
        <v>0.99837129999999996</v>
      </c>
      <c r="AB6358">
        <v>24</v>
      </c>
      <c r="AC6358">
        <v>0.57239999999998703</v>
      </c>
      <c r="AD6358">
        <v>-0.165276799999999</v>
      </c>
      <c r="AE6358">
        <v>4.0899999999993497E-2</v>
      </c>
      <c r="AF6358">
        <v>-4.3999779642647903E-2</v>
      </c>
      <c r="AG6358">
        <v>-0.165276799999999</v>
      </c>
      <c r="AH6358">
        <v>0.528074285403351</v>
      </c>
      <c r="AI6358">
        <v>107.322669644296</v>
      </c>
      <c r="AJ6358">
        <v>94.762950917837998</v>
      </c>
      <c r="AK6358">
        <v>0.55508094196351399</v>
      </c>
      <c r="AL6358">
        <v>71.125440924807506</v>
      </c>
      <c r="AM6358">
        <v>94.660145732683901</v>
      </c>
      <c r="AN6358">
        <v>1.0000000062366901</v>
      </c>
    </row>
    <row r="6359" spans="1:40" x14ac:dyDescent="0.25">
      <c r="A6359" t="str">
        <f>"20190304164813748"</f>
        <v>20190304164813748</v>
      </c>
      <c r="B6359" t="str">
        <f>"1551689293745895"</f>
        <v>1551689293745895</v>
      </c>
      <c r="C6359" t="s">
        <v>40</v>
      </c>
      <c r="D6359">
        <v>5.2175159999999998</v>
      </c>
      <c r="E6359">
        <v>0.51843009999999901</v>
      </c>
      <c r="F6359" t="s">
        <v>41</v>
      </c>
      <c r="G6359">
        <v>-132.83850000000001</v>
      </c>
      <c r="H6359">
        <v>0.95372970000000001</v>
      </c>
      <c r="I6359">
        <v>138.1174</v>
      </c>
      <c r="J6359">
        <v>-133.3768</v>
      </c>
      <c r="K6359">
        <v>1.11209</v>
      </c>
      <c r="L6359">
        <v>138.0772</v>
      </c>
      <c r="M6359">
        <v>0.99973610000000002</v>
      </c>
      <c r="N6359">
        <v>-1.9917250000000001E-2</v>
      </c>
      <c r="O6359">
        <v>-1.145411E-2</v>
      </c>
      <c r="P6359">
        <v>0.9503412</v>
      </c>
      <c r="Q6359">
        <v>0.30411779999999999</v>
      </c>
      <c r="R6359">
        <v>6.6062170000000003E-2</v>
      </c>
      <c r="S6359">
        <v>3.3634949999999999</v>
      </c>
      <c r="T6359">
        <v>-0.67509540000000001</v>
      </c>
      <c r="U6359">
        <v>0.16078190000000001</v>
      </c>
      <c r="V6359">
        <v>-7.7107800000000004E-2</v>
      </c>
      <c r="W6359">
        <v>0.32293060000000001</v>
      </c>
      <c r="X6359">
        <v>0.94327629999999996</v>
      </c>
      <c r="Y6359">
        <v>-5.7737089999999998E-2</v>
      </c>
      <c r="Z6359">
        <v>8.3646459999999999E-3</v>
      </c>
      <c r="AA6359">
        <v>0.99829679999999998</v>
      </c>
      <c r="AB6359">
        <v>24</v>
      </c>
      <c r="AC6359">
        <v>0.53829999999999201</v>
      </c>
      <c r="AD6359">
        <v>-0.15836030000000001</v>
      </c>
      <c r="AE6359">
        <v>4.0199999999998598E-2</v>
      </c>
      <c r="AF6359">
        <v>-4.2690184783397797E-2</v>
      </c>
      <c r="AG6359">
        <v>-0.15836030000000001</v>
      </c>
      <c r="AH6359">
        <v>0.49518577167355299</v>
      </c>
      <c r="AI6359">
        <v>107.67281248912499</v>
      </c>
      <c r="AJ6359">
        <v>94.927311649773003</v>
      </c>
      <c r="AK6359">
        <v>0.52164104991925497</v>
      </c>
      <c r="AL6359">
        <v>71.159751582405306</v>
      </c>
      <c r="AM6359">
        <v>94.673233329877803</v>
      </c>
      <c r="AN6359">
        <v>0.99999998168944404</v>
      </c>
    </row>
    <row r="6360" spans="1:40" x14ac:dyDescent="0.25">
      <c r="A6360" t="str">
        <f>"20190304164813775"</f>
        <v>20190304164813775</v>
      </c>
      <c r="B6360" t="str">
        <f>"1551689293766390"</f>
        <v>1551689293766390</v>
      </c>
      <c r="C6360" t="s">
        <v>40</v>
      </c>
      <c r="D6360">
        <v>5.2073729999999996</v>
      </c>
      <c r="E6360">
        <v>0.51897819999999995</v>
      </c>
      <c r="F6360" t="s">
        <v>41</v>
      </c>
      <c r="G6360">
        <v>-132.62190000000001</v>
      </c>
      <c r="H6360">
        <v>0.96345780000000003</v>
      </c>
      <c r="I6360">
        <v>138.11750000000001</v>
      </c>
      <c r="J6360">
        <v>-133.108</v>
      </c>
      <c r="K6360">
        <v>1.1120859999999999</v>
      </c>
      <c r="L6360">
        <v>138.0746</v>
      </c>
      <c r="M6360">
        <v>0.99972870000000003</v>
      </c>
      <c r="N6360">
        <v>-2.0439010000000001E-2</v>
      </c>
      <c r="O6360">
        <v>-1.1167089999999999E-2</v>
      </c>
      <c r="P6360">
        <v>0.95047470000000001</v>
      </c>
      <c r="Q6360">
        <v>0.3037204</v>
      </c>
      <c r="R6360">
        <v>6.5968250000000006E-2</v>
      </c>
      <c r="S6360">
        <v>3.3557589999999902</v>
      </c>
      <c r="T6360">
        <v>-0.66081009999999996</v>
      </c>
      <c r="U6360">
        <v>0.1792755</v>
      </c>
      <c r="V6360">
        <v>-7.6698619999999995E-2</v>
      </c>
      <c r="W6360">
        <v>0.32303939999999998</v>
      </c>
      <c r="X6360">
        <v>0.94327240000000001</v>
      </c>
      <c r="Y6360">
        <v>-6.2991130000000006E-2</v>
      </c>
      <c r="Z6360">
        <v>8.7403869999999901E-3</v>
      </c>
      <c r="AA6360">
        <v>0.99797579999999997</v>
      </c>
      <c r="AB6360">
        <v>24</v>
      </c>
      <c r="AC6360">
        <v>0.48609999999999298</v>
      </c>
      <c r="AD6360">
        <v>-0.14862819999999999</v>
      </c>
      <c r="AE6360">
        <v>4.2900000000002998E-2</v>
      </c>
      <c r="AF6360">
        <v>-4.42243333775112E-2</v>
      </c>
      <c r="AG6360">
        <v>-0.14862819999999999</v>
      </c>
      <c r="AH6360">
        <v>0.44436886168803702</v>
      </c>
      <c r="AI6360">
        <v>108.408790953184</v>
      </c>
      <c r="AJ6360">
        <v>95.683457190146797</v>
      </c>
      <c r="AK6360">
        <v>0.47064829622112397</v>
      </c>
      <c r="AL6360">
        <v>71.153164672690195</v>
      </c>
      <c r="AM6360">
        <v>94.648562470717195</v>
      </c>
      <c r="AN6360">
        <v>0.999999976432011</v>
      </c>
    </row>
    <row r="6361" spans="1:40" x14ac:dyDescent="0.25">
      <c r="A6361" t="str">
        <f>"20190304164813799"</f>
        <v>20190304164813799</v>
      </c>
      <c r="B6361" t="str">
        <f>"1551689293795671"</f>
        <v>1551689293795671</v>
      </c>
      <c r="C6361" t="s">
        <v>40</v>
      </c>
      <c r="D6361">
        <v>5.5703849999999999</v>
      </c>
      <c r="E6361">
        <v>0.52505740000000001</v>
      </c>
      <c r="F6361" t="s">
        <v>41</v>
      </c>
      <c r="G6361">
        <v>-132.21430000000001</v>
      </c>
      <c r="H6361">
        <v>0.94048449999999995</v>
      </c>
      <c r="I6361">
        <v>138.1215</v>
      </c>
      <c r="J6361">
        <v>-132.8546</v>
      </c>
      <c r="K6361">
        <v>1.112096</v>
      </c>
      <c r="L6361">
        <v>138.072</v>
      </c>
      <c r="M6361">
        <v>0.99971889999999997</v>
      </c>
      <c r="N6361">
        <v>-2.1012920000000001E-2</v>
      </c>
      <c r="O6361">
        <v>-1.0986920000000001E-2</v>
      </c>
      <c r="P6361">
        <v>0.95072080000000003</v>
      </c>
      <c r="Q6361">
        <v>0.30314029999999997</v>
      </c>
      <c r="R6361">
        <v>6.5087279999999997E-2</v>
      </c>
      <c r="S6361">
        <v>3.34964</v>
      </c>
      <c r="T6361">
        <v>-0.6432099</v>
      </c>
      <c r="U6361">
        <v>0.17591860000000001</v>
      </c>
      <c r="V6361">
        <v>-7.5600769999999998E-2</v>
      </c>
      <c r="W6361">
        <v>0.32301819999999998</v>
      </c>
      <c r="X6361">
        <v>0.94336830000000005</v>
      </c>
      <c r="Y6361">
        <v>-6.2002559999999998E-2</v>
      </c>
      <c r="Z6361">
        <v>8.41412699999999E-3</v>
      </c>
      <c r="AA6361">
        <v>0.9980405</v>
      </c>
      <c r="AB6361">
        <v>23</v>
      </c>
      <c r="AC6361">
        <v>0.64029999999999598</v>
      </c>
      <c r="AD6361">
        <v>-0.1716115</v>
      </c>
      <c r="AE6361">
        <v>4.9499999999994701E-2</v>
      </c>
      <c r="AF6361">
        <v>-5.2765674994095499E-2</v>
      </c>
      <c r="AG6361">
        <v>-0.1716115</v>
      </c>
      <c r="AH6361">
        <v>0.59708181952643102</v>
      </c>
      <c r="AI6361">
        <v>105.97648436590001</v>
      </c>
      <c r="AJ6361">
        <v>95.050257455871503</v>
      </c>
      <c r="AK6361">
        <v>0.62349131717997996</v>
      </c>
      <c r="AL6361">
        <v>71.1544484502529</v>
      </c>
      <c r="AM6361">
        <v>94.581845369786706</v>
      </c>
      <c r="AN6361">
        <v>0.99999999170036102</v>
      </c>
    </row>
    <row r="6362" spans="1:40" x14ac:dyDescent="0.25">
      <c r="A6362" t="str">
        <f>"20190304164813822"</f>
        <v>20190304164813822</v>
      </c>
      <c r="B6362" t="str">
        <f>"1551689293816167"</f>
        <v>1551689293816167</v>
      </c>
      <c r="C6362" t="s">
        <v>40</v>
      </c>
      <c r="D6362">
        <v>5.3147510000000002</v>
      </c>
      <c r="E6362">
        <v>0.54852429999999996</v>
      </c>
      <c r="F6362" t="s">
        <v>41</v>
      </c>
      <c r="G6362">
        <v>-132.00890000000001</v>
      </c>
      <c r="H6362">
        <v>0.94198360000000003</v>
      </c>
      <c r="I6362">
        <v>138.1044</v>
      </c>
      <c r="J6362">
        <v>-132.60910000000001</v>
      </c>
      <c r="K6362">
        <v>1.112133</v>
      </c>
      <c r="L6362">
        <v>138.06950000000001</v>
      </c>
      <c r="M6362">
        <v>0.99970689999999995</v>
      </c>
      <c r="N6362">
        <v>-2.163474E-2</v>
      </c>
      <c r="O6362">
        <v>-1.0878229999999999E-2</v>
      </c>
      <c r="P6362">
        <v>0.95092909999999997</v>
      </c>
      <c r="Q6362">
        <v>0.3026452</v>
      </c>
      <c r="R6362">
        <v>6.4343590000000006E-2</v>
      </c>
      <c r="S6362">
        <v>3.3623349999999999</v>
      </c>
      <c r="T6362">
        <v>-0.67641819999999997</v>
      </c>
      <c r="U6362">
        <v>0.12910460000000001</v>
      </c>
      <c r="V6362">
        <v>-7.4715290000000004E-2</v>
      </c>
      <c r="W6362">
        <v>0.32312459999999998</v>
      </c>
      <c r="X6362">
        <v>0.94340239999999997</v>
      </c>
      <c r="Y6362">
        <v>-4.800024E-2</v>
      </c>
      <c r="Z6362">
        <v>7.2366549999999998E-3</v>
      </c>
      <c r="AA6362">
        <v>0.99882110000000002</v>
      </c>
      <c r="AB6362">
        <v>23</v>
      </c>
      <c r="AC6362">
        <v>0.60020000000000095</v>
      </c>
      <c r="AD6362">
        <v>-0.17014940000000001</v>
      </c>
      <c r="AE6362">
        <v>3.48999999999932E-2</v>
      </c>
      <c r="AF6362">
        <v>-3.8356434114892E-2</v>
      </c>
      <c r="AG6362">
        <v>-0.17014940000000001</v>
      </c>
      <c r="AH6362">
        <v>0.55530761916872096</v>
      </c>
      <c r="AI6362">
        <v>106.997204925741</v>
      </c>
      <c r="AJ6362">
        <v>93.951281549390302</v>
      </c>
      <c r="AK6362">
        <v>0.58205548383741101</v>
      </c>
      <c r="AL6362">
        <v>71.1480066089388</v>
      </c>
      <c r="AM6362">
        <v>94.528241660447804</v>
      </c>
      <c r="AN6362">
        <v>0.99999998500535103</v>
      </c>
    </row>
    <row r="6363" spans="1:40" x14ac:dyDescent="0.25">
      <c r="A6363" t="str">
        <f>"20190304164813853"</f>
        <v>20190304164813853</v>
      </c>
      <c r="B6363" t="str">
        <f>"1551689293845446"</f>
        <v>1551689293845446</v>
      </c>
      <c r="C6363" t="s">
        <v>40</v>
      </c>
      <c r="D6363">
        <v>5.1464990000000004</v>
      </c>
      <c r="E6363">
        <v>0.54752679999999998</v>
      </c>
      <c r="F6363" t="s">
        <v>41</v>
      </c>
      <c r="G6363">
        <v>-131.84020000000001</v>
      </c>
      <c r="H6363">
        <v>0.86966810000000005</v>
      </c>
      <c r="I6363">
        <v>138.06399999999999</v>
      </c>
      <c r="J6363">
        <v>-132.29750000000001</v>
      </c>
      <c r="K6363">
        <v>1.112193</v>
      </c>
      <c r="L6363">
        <v>138.06620000000001</v>
      </c>
      <c r="M6363">
        <v>0.99968990000000002</v>
      </c>
      <c r="N6363">
        <v>-2.242429E-2</v>
      </c>
      <c r="O6363">
        <v>-1.0829999999999999E-2</v>
      </c>
      <c r="P6363">
        <v>0.95092949999999998</v>
      </c>
      <c r="Q6363">
        <v>0.30326979999999998</v>
      </c>
      <c r="R6363">
        <v>6.1323750000000003E-2</v>
      </c>
      <c r="S6363">
        <v>3.5086210000000002</v>
      </c>
      <c r="T6363">
        <v>-1.10639</v>
      </c>
      <c r="U6363">
        <v>-2.4856570000000001E-2</v>
      </c>
      <c r="V6363">
        <v>-7.1609839999999994E-2</v>
      </c>
      <c r="W6363">
        <v>0.32450380000000001</v>
      </c>
      <c r="X6363">
        <v>0.94316979999999995</v>
      </c>
      <c r="Y6363">
        <v>-3.1317979999999999E-3</v>
      </c>
      <c r="Z6363">
        <v>3.61458E-3</v>
      </c>
      <c r="AA6363">
        <v>0.99998860000000001</v>
      </c>
      <c r="AB6363">
        <v>23</v>
      </c>
      <c r="AC6363">
        <v>0.45730000000000298</v>
      </c>
      <c r="AD6363">
        <v>-0.24252489999999999</v>
      </c>
      <c r="AE6363">
        <v>-2.2000000000161799E-3</v>
      </c>
      <c r="AF6363">
        <v>-2.1494032950309899E-3</v>
      </c>
      <c r="AG6363">
        <v>-0.24252489999999999</v>
      </c>
      <c r="AH6363">
        <v>0.356913345338781</v>
      </c>
      <c r="AI6363">
        <v>124.195875566726</v>
      </c>
      <c r="AJ6363">
        <v>90.345042431561893</v>
      </c>
      <c r="AK6363">
        <v>0.43152066362510899</v>
      </c>
      <c r="AL6363">
        <v>71.064483997879705</v>
      </c>
      <c r="AM6363">
        <v>94.341832070222907</v>
      </c>
      <c r="AN6363">
        <v>0.99999997851565203</v>
      </c>
    </row>
    <row r="6364" spans="1:40" x14ac:dyDescent="0.25">
      <c r="A6364" t="str">
        <f>"20190304164813882"</f>
        <v>20190304164813882</v>
      </c>
      <c r="B6364" t="str">
        <f>"1551689293875703"</f>
        <v>1551689293875703</v>
      </c>
      <c r="C6364" t="s">
        <v>40</v>
      </c>
      <c r="D6364">
        <v>5.157667</v>
      </c>
      <c r="E6364">
        <v>0.5478286</v>
      </c>
      <c r="F6364" t="s">
        <v>41</v>
      </c>
      <c r="G6364">
        <v>-131.63050000000001</v>
      </c>
      <c r="H6364">
        <v>0.88875530000000003</v>
      </c>
      <c r="I6364">
        <v>138.06270000000001</v>
      </c>
      <c r="J6364">
        <v>-132.01150000000001</v>
      </c>
      <c r="K6364">
        <v>1.112258</v>
      </c>
      <c r="L6364">
        <v>138.06309999999999</v>
      </c>
      <c r="M6364">
        <v>0.99967340000000005</v>
      </c>
      <c r="N6364">
        <v>-2.3141490000000001E-2</v>
      </c>
      <c r="O6364">
        <v>-1.085618E-2</v>
      </c>
      <c r="P6364">
        <v>0.95092209999999999</v>
      </c>
      <c r="Q6364">
        <v>0.30367519999999998</v>
      </c>
      <c r="R6364">
        <v>5.9404659999999998E-2</v>
      </c>
      <c r="S6364">
        <v>3.533493</v>
      </c>
      <c r="T6364">
        <v>-1.1837009999999999</v>
      </c>
      <c r="U6364">
        <v>-1.8218990000000001E-2</v>
      </c>
      <c r="V6364">
        <v>-6.9693249999999998E-2</v>
      </c>
      <c r="W6364">
        <v>0.32559100000000002</v>
      </c>
      <c r="X6364">
        <v>0.94293870000000002</v>
      </c>
      <c r="Y6364">
        <v>-4.9022110000000001E-3</v>
      </c>
      <c r="Z6364">
        <v>4.1525590000000001E-3</v>
      </c>
      <c r="AA6364">
        <v>0.99997939999999996</v>
      </c>
      <c r="AB6364">
        <v>23</v>
      </c>
      <c r="AC6364">
        <v>0.38100000000000001</v>
      </c>
      <c r="AD6364">
        <v>-0.223502699999999</v>
      </c>
      <c r="AE6364">
        <v>-3.9999999998485599E-4</v>
      </c>
      <c r="AF6364">
        <v>-2.7804988162411799E-3</v>
      </c>
      <c r="AG6364">
        <v>-0.223502699999999</v>
      </c>
      <c r="AH6364">
        <v>0.28344248323731802</v>
      </c>
      <c r="AI6364">
        <v>128.255473688134</v>
      </c>
      <c r="AJ6364">
        <v>90.562039025931696</v>
      </c>
      <c r="AK6364">
        <v>0.36097206177860203</v>
      </c>
      <c r="AL6364">
        <v>70.998616016179994</v>
      </c>
      <c r="AM6364">
        <v>94.227084556944504</v>
      </c>
      <c r="AN6364">
        <v>1.00000002016712</v>
      </c>
    </row>
    <row r="6365" spans="1:40" x14ac:dyDescent="0.25">
      <c r="A6365" t="str">
        <f>"20190304164813903"</f>
        <v>20190304164813903</v>
      </c>
      <c r="B6365" t="str">
        <f>"1551689293896199"</f>
        <v>1551689293896199</v>
      </c>
      <c r="C6365" t="s">
        <v>40</v>
      </c>
      <c r="D6365">
        <v>5.0831949999999999</v>
      </c>
      <c r="E6365">
        <v>0.54803139999999995</v>
      </c>
      <c r="F6365" t="s">
        <v>41</v>
      </c>
      <c r="G6365">
        <v>-131.25</v>
      </c>
      <c r="H6365">
        <v>0.85589550000000003</v>
      </c>
      <c r="I6365">
        <v>138.05770000000001</v>
      </c>
      <c r="J6365">
        <v>-131.80590000000001</v>
      </c>
      <c r="K6365">
        <v>1.112309</v>
      </c>
      <c r="L6365">
        <v>138.0609</v>
      </c>
      <c r="M6365">
        <v>0.9996602</v>
      </c>
      <c r="N6365">
        <v>-2.3687799999999998E-2</v>
      </c>
      <c r="O6365">
        <v>-1.088486E-2</v>
      </c>
      <c r="P6365">
        <v>0.95111129999999999</v>
      </c>
      <c r="Q6365">
        <v>0.30338730000000003</v>
      </c>
      <c r="R6365">
        <v>5.7822100000000001E-2</v>
      </c>
      <c r="S6365">
        <v>3.5366209999999998</v>
      </c>
      <c r="T6365">
        <v>-1.1907049999999999</v>
      </c>
      <c r="U6365">
        <v>-2.470398E-2</v>
      </c>
      <c r="V6365">
        <v>-6.8129380000000003E-2</v>
      </c>
      <c r="W6365">
        <v>0.32582499999999998</v>
      </c>
      <c r="X6365">
        <v>0.94297209999999998</v>
      </c>
      <c r="Y6365">
        <v>-3.1950220000000001E-3</v>
      </c>
      <c r="Z6365">
        <v>3.8771230000000001E-3</v>
      </c>
      <c r="AA6365">
        <v>0.99998739999999997</v>
      </c>
      <c r="AB6365">
        <v>22</v>
      </c>
      <c r="AC6365">
        <v>0.55590000000000805</v>
      </c>
      <c r="AD6365">
        <v>-0.25641350000000002</v>
      </c>
      <c r="AE6365">
        <v>-3.19999999999254E-3</v>
      </c>
      <c r="AF6365">
        <v>-2.35232010830268E-3</v>
      </c>
      <c r="AG6365">
        <v>-0.25641350000000002</v>
      </c>
      <c r="AH6365">
        <v>0.45838044730796501</v>
      </c>
      <c r="AI6365">
        <v>119.221897240979</v>
      </c>
      <c r="AJ6365">
        <v>90.294028316289101</v>
      </c>
      <c r="AK6365">
        <v>0.52522952208191098</v>
      </c>
      <c r="AL6365">
        <v>70.984434404595206</v>
      </c>
      <c r="AM6365">
        <v>94.132418109781398</v>
      </c>
      <c r="AN6365">
        <v>0.99999996221129595</v>
      </c>
    </row>
    <row r="6366" spans="1:40" x14ac:dyDescent="0.25">
      <c r="A6366" t="str">
        <f>"20190304164813924"</f>
        <v>20190304164813924</v>
      </c>
      <c r="B6366" t="str">
        <f>"1551689293915719"</f>
        <v>1551689293915719</v>
      </c>
      <c r="C6366" t="s">
        <v>40</v>
      </c>
      <c r="D6366">
        <v>5.0358890000000001</v>
      </c>
      <c r="E6366">
        <v>0.54820749999999996</v>
      </c>
      <c r="F6366" t="s">
        <v>41</v>
      </c>
      <c r="G6366">
        <v>-131.05449999999999</v>
      </c>
      <c r="H6366">
        <v>0.8601742</v>
      </c>
      <c r="I6366">
        <v>138.05430000000001</v>
      </c>
      <c r="J6366">
        <v>-131.60149999999999</v>
      </c>
      <c r="K6366">
        <v>1.112368</v>
      </c>
      <c r="L6366">
        <v>138.05860000000001</v>
      </c>
      <c r="M6366">
        <v>0.99964609999999998</v>
      </c>
      <c r="N6366">
        <v>-2.4262860000000001E-2</v>
      </c>
      <c r="O6366">
        <v>-1.0912989999999999E-2</v>
      </c>
      <c r="P6366">
        <v>0.95139039999999997</v>
      </c>
      <c r="Q6366">
        <v>0.30272149999999998</v>
      </c>
      <c r="R6366">
        <v>5.6711079999999997E-2</v>
      </c>
      <c r="S6366">
        <v>3.5343779999999998</v>
      </c>
      <c r="T6366">
        <v>-1.1859470000000001</v>
      </c>
      <c r="U6366">
        <v>-3.091431E-2</v>
      </c>
      <c r="V6366">
        <v>-6.704359E-2</v>
      </c>
      <c r="W6366">
        <v>0.32570959999999899</v>
      </c>
      <c r="X6366">
        <v>0.94308979999999998</v>
      </c>
      <c r="Y6366">
        <v>-1.5632510000000001E-3</v>
      </c>
      <c r="Z6366">
        <v>3.5805189999999999E-3</v>
      </c>
      <c r="AA6366">
        <v>0.9999924</v>
      </c>
      <c r="AB6366">
        <v>22</v>
      </c>
      <c r="AC6366">
        <v>0.54699999999999704</v>
      </c>
      <c r="AD6366">
        <v>-0.25219380000000002</v>
      </c>
      <c r="AE6366">
        <v>-4.3000000000006297E-3</v>
      </c>
      <c r="AF6366">
        <v>-1.3784298087697901E-3</v>
      </c>
      <c r="AG6366">
        <v>-0.25219380000000002</v>
      </c>
      <c r="AH6366">
        <v>0.451126119255018</v>
      </c>
      <c r="AI6366">
        <v>119.206460151187</v>
      </c>
      <c r="AJ6366">
        <v>90.175068481386205</v>
      </c>
      <c r="AK6366">
        <v>0.516834972018409</v>
      </c>
      <c r="AL6366">
        <v>70.991428154311606</v>
      </c>
      <c r="AM6366">
        <v>94.066275942832306</v>
      </c>
      <c r="AN6366">
        <v>0.99999997867814305</v>
      </c>
    </row>
    <row r="6367" spans="1:40" x14ac:dyDescent="0.25">
      <c r="A6367" t="str">
        <f>"20190304164813949"</f>
        <v>20190304164813949</v>
      </c>
      <c r="B6367" t="str">
        <f>"1551689293945975"</f>
        <v>1551689293945975</v>
      </c>
      <c r="C6367" t="s">
        <v>40</v>
      </c>
      <c r="D6367">
        <v>5.1486799999999997</v>
      </c>
      <c r="E6367">
        <v>0.54810490000000001</v>
      </c>
      <c r="F6367" t="s">
        <v>41</v>
      </c>
      <c r="G6367">
        <v>-130.86089999999999</v>
      </c>
      <c r="H6367">
        <v>0.86598280000000005</v>
      </c>
      <c r="I6367">
        <v>138.05080000000001</v>
      </c>
      <c r="J6367">
        <v>-131.36940000000001</v>
      </c>
      <c r="K6367">
        <v>1.11243799999999</v>
      </c>
      <c r="L6367">
        <v>138.05600000000001</v>
      </c>
      <c r="M6367">
        <v>0.99962980000000001</v>
      </c>
      <c r="N6367">
        <v>-2.4915039999999999E-2</v>
      </c>
      <c r="O6367">
        <v>-1.094257E-2</v>
      </c>
      <c r="P6367">
        <v>0.95141929999999997</v>
      </c>
      <c r="Q6367">
        <v>0.302558099999999</v>
      </c>
      <c r="R6367">
        <v>5.709724E-2</v>
      </c>
      <c r="S6367">
        <v>3.5290680000000001</v>
      </c>
      <c r="T6367">
        <v>-1.1741440000000001</v>
      </c>
      <c r="U6367">
        <v>-3.6666869999999997E-2</v>
      </c>
      <c r="V6367">
        <v>-6.7460999999999993E-2</v>
      </c>
      <c r="W6367">
        <v>0.3261617</v>
      </c>
      <c r="X6367">
        <v>0.94290379999999996</v>
      </c>
      <c r="Y6367" s="1">
        <v>-4.92018E-5</v>
      </c>
      <c r="Z6367">
        <v>3.2874779999999999E-3</v>
      </c>
      <c r="AA6367">
        <v>0.99999459999999996</v>
      </c>
      <c r="AB6367">
        <v>22</v>
      </c>
      <c r="AC6367">
        <v>0.50850000000002604</v>
      </c>
      <c r="AD6367">
        <v>-0.24645519999999899</v>
      </c>
      <c r="AE6367">
        <v>-5.2000000000020901E-3</v>
      </c>
      <c r="AF6367">
        <v>-2.9665647227468303E-4</v>
      </c>
      <c r="AG6367">
        <v>-0.24645519999999899</v>
      </c>
      <c r="AH6367">
        <v>0.41180185533805203</v>
      </c>
      <c r="AI6367">
        <v>120.89967320157101</v>
      </c>
      <c r="AJ6367">
        <v>90.041275095451795</v>
      </c>
      <c r="AK6367">
        <v>0.47991772385687598</v>
      </c>
      <c r="AL6367">
        <v>70.964029080104794</v>
      </c>
      <c r="AM6367">
        <v>94.092311018180695</v>
      </c>
      <c r="AN6367">
        <v>1.00000000856116</v>
      </c>
    </row>
    <row r="6368" spans="1:40" x14ac:dyDescent="0.25">
      <c r="A6368" t="str">
        <f>"20190304164813986"</f>
        <v>20190304164813986</v>
      </c>
      <c r="B6368" t="str">
        <f>"1551689293976230"</f>
        <v>1551689293976230</v>
      </c>
      <c r="C6368" t="s">
        <v>40</v>
      </c>
      <c r="D6368">
        <v>5.1092750000000002</v>
      </c>
      <c r="E6368">
        <v>0.54811969999999899</v>
      </c>
      <c r="F6368" t="s">
        <v>41</v>
      </c>
      <c r="G6368">
        <v>-130.6677</v>
      </c>
      <c r="H6368">
        <v>0.87674509999999894</v>
      </c>
      <c r="I6368">
        <v>138.04900000000001</v>
      </c>
      <c r="J6368">
        <v>-131.0206</v>
      </c>
      <c r="K6368">
        <v>1.1125480000000001</v>
      </c>
      <c r="L6368">
        <v>138.0522</v>
      </c>
      <c r="M6368">
        <v>0.99960610000000005</v>
      </c>
      <c r="N6368">
        <v>-2.583237E-2</v>
      </c>
      <c r="O6368">
        <v>-1.0975540000000001E-2</v>
      </c>
      <c r="P6368">
        <v>0.95144930000000005</v>
      </c>
      <c r="Q6368">
        <v>0.3024365</v>
      </c>
      <c r="R6368">
        <v>5.7241640000000003E-2</v>
      </c>
      <c r="S6368">
        <v>3.5326689999999998</v>
      </c>
      <c r="T6368">
        <v>-1.186682</v>
      </c>
      <c r="U6368">
        <v>-3.5217289999999998E-2</v>
      </c>
      <c r="V6368">
        <v>-6.7650849999999998E-2</v>
      </c>
      <c r="W6368">
        <v>0.3269032</v>
      </c>
      <c r="X6368">
        <v>0.94263339999999995</v>
      </c>
      <c r="Y6368">
        <v>-4.694856E-4</v>
      </c>
      <c r="Z6368">
        <v>3.3945630000000002E-3</v>
      </c>
      <c r="AA6368">
        <v>0.9999941</v>
      </c>
      <c r="AB6368">
        <v>21</v>
      </c>
      <c r="AC6368">
        <v>0.35290000000000499</v>
      </c>
      <c r="AD6368">
        <v>-0.23580289999999901</v>
      </c>
      <c r="AE6368">
        <v>-3.19999999999254E-3</v>
      </c>
      <c r="AF6368">
        <v>-4.6649395545774998E-4</v>
      </c>
      <c r="AG6368">
        <v>-0.23580289999999901</v>
      </c>
      <c r="AH6368">
        <v>0.24398856928902601</v>
      </c>
      <c r="AI6368">
        <v>134.02252552644001</v>
      </c>
      <c r="AJ6368">
        <v>90.109546534599303</v>
      </c>
      <c r="AK6368">
        <v>0.33931349399740401</v>
      </c>
      <c r="AL6368">
        <v>70.919080932620801</v>
      </c>
      <c r="AM6368">
        <v>94.104961556022801</v>
      </c>
      <c r="AN6368">
        <v>1.0000000332357599</v>
      </c>
    </row>
    <row r="6369" spans="1:40" x14ac:dyDescent="0.25">
      <c r="A6369" t="str">
        <f>"20190304164814013"</f>
        <v>20190304164814013</v>
      </c>
      <c r="B6369" t="str">
        <f>"1551689294006487"</f>
        <v>1551689294006487</v>
      </c>
      <c r="C6369" t="s">
        <v>40</v>
      </c>
      <c r="D6369">
        <v>5.3152679999999997</v>
      </c>
      <c r="E6369">
        <v>0.54741049999999902</v>
      </c>
      <c r="F6369" t="s">
        <v>41</v>
      </c>
      <c r="G6369">
        <v>-130.30199999999999</v>
      </c>
      <c r="H6369">
        <v>0.87017659999999997</v>
      </c>
      <c r="I6369">
        <v>138.04589999999999</v>
      </c>
      <c r="J6369">
        <v>-130.78380000000001</v>
      </c>
      <c r="K6369">
        <v>1.1126290000000001</v>
      </c>
      <c r="L6369">
        <v>138.04949999999999</v>
      </c>
      <c r="M6369">
        <v>0.99958970000000003</v>
      </c>
      <c r="N6369">
        <v>-2.6455699999999999E-2</v>
      </c>
      <c r="O6369">
        <v>-1.0981350000000001E-2</v>
      </c>
      <c r="P6369">
        <v>0.95177579999999995</v>
      </c>
      <c r="Q6369">
        <v>0.30153869999999999</v>
      </c>
      <c r="R6369">
        <v>5.6546539999999999E-2</v>
      </c>
      <c r="S6369">
        <v>3.5337519999999998</v>
      </c>
      <c r="T6369">
        <v>-1.1917949999999999</v>
      </c>
      <c r="U6369">
        <v>-3.042603E-2</v>
      </c>
      <c r="V6369">
        <v>-6.6974130000000007E-2</v>
      </c>
      <c r="W6369">
        <v>0.32660029999999901</v>
      </c>
      <c r="X6369">
        <v>0.94278669999999998</v>
      </c>
      <c r="Y6369">
        <v>-1.7544429999999901E-3</v>
      </c>
      <c r="Z6369">
        <v>3.6321019999999999E-3</v>
      </c>
      <c r="AA6369">
        <v>0.99999190000000004</v>
      </c>
      <c r="AB6369">
        <v>21</v>
      </c>
      <c r="AC6369">
        <v>0.48179999999999201</v>
      </c>
      <c r="AD6369">
        <v>-0.24245240000000001</v>
      </c>
      <c r="AE6369">
        <v>-3.6000000000058199E-3</v>
      </c>
      <c r="AF6369">
        <v>-1.3508292614852601E-3</v>
      </c>
      <c r="AG6369">
        <v>-0.24245240000000001</v>
      </c>
      <c r="AH6369">
        <v>0.38445852923437601</v>
      </c>
      <c r="AI6369">
        <v>122.236741630471</v>
      </c>
      <c r="AJ6369">
        <v>90.201312992552204</v>
      </c>
      <c r="AK6369">
        <v>0.45452541370809302</v>
      </c>
      <c r="AL6369">
        <v>70.9374436095503</v>
      </c>
      <c r="AM6369">
        <v>94.063378777048698</v>
      </c>
      <c r="AN6369">
        <v>1.0000000258731101</v>
      </c>
    </row>
    <row r="6370" spans="1:40" x14ac:dyDescent="0.25">
      <c r="A6370" t="str">
        <f>"20190304164814039"</f>
        <v>20190304164814039</v>
      </c>
      <c r="B6370" t="str">
        <f>"1551689294035768"</f>
        <v>1551689294035768</v>
      </c>
      <c r="C6370" t="s">
        <v>40</v>
      </c>
      <c r="D6370">
        <v>5.3011480000000004</v>
      </c>
      <c r="E6370">
        <v>0.54691369999999995</v>
      </c>
      <c r="F6370" t="s">
        <v>41</v>
      </c>
      <c r="G6370">
        <v>-130.11600000000001</v>
      </c>
      <c r="H6370">
        <v>0.88287090000000001</v>
      </c>
      <c r="I6370">
        <v>138.0454</v>
      </c>
      <c r="J6370">
        <v>-130.55850000000001</v>
      </c>
      <c r="K6370">
        <v>1.1127069999999999</v>
      </c>
      <c r="L6370">
        <v>138.047</v>
      </c>
      <c r="M6370">
        <v>0.99957359999999995</v>
      </c>
      <c r="N6370">
        <v>-2.7059030000000001E-2</v>
      </c>
      <c r="O6370">
        <v>-1.097295E-2</v>
      </c>
      <c r="P6370">
        <v>0.95196990000000004</v>
      </c>
      <c r="Q6370">
        <v>0.30098239999999998</v>
      </c>
      <c r="R6370">
        <v>5.6242090000000002E-2</v>
      </c>
      <c r="S6370">
        <v>3.5390779999999999</v>
      </c>
      <c r="T6370">
        <v>-1.217762</v>
      </c>
      <c r="U6370">
        <v>-2.157593E-2</v>
      </c>
      <c r="V6370">
        <v>-6.6671620000000001E-2</v>
      </c>
      <c r="W6370">
        <v>0.32661699999999999</v>
      </c>
      <c r="X6370">
        <v>0.94280240000000004</v>
      </c>
      <c r="Y6370">
        <v>-4.0899710000000004E-3</v>
      </c>
      <c r="Z6370">
        <v>4.1216450000000002E-3</v>
      </c>
      <c r="AA6370">
        <v>0.99998310000000001</v>
      </c>
      <c r="AB6370">
        <v>20</v>
      </c>
      <c r="AC6370">
        <v>0.44249999999999501</v>
      </c>
      <c r="AD6370">
        <v>-0.22983609999999899</v>
      </c>
      <c r="AE6370">
        <v>-1.59999999999627E-3</v>
      </c>
      <c r="AF6370">
        <v>-2.56533741296719E-3</v>
      </c>
      <c r="AG6370">
        <v>-0.22983609999999899</v>
      </c>
      <c r="AH6370">
        <v>0.34847933636962503</v>
      </c>
      <c r="AI6370">
        <v>123.40573927699199</v>
      </c>
      <c r="AJ6370">
        <v>90.421776376493497</v>
      </c>
      <c r="AK6370">
        <v>0.41745546073307799</v>
      </c>
      <c r="AL6370">
        <v>70.936432076708002</v>
      </c>
      <c r="AM6370">
        <v>94.045019158814199</v>
      </c>
      <c r="AN6370">
        <v>1.0000000675240801</v>
      </c>
    </row>
    <row r="6371" spans="1:40" x14ac:dyDescent="0.25">
      <c r="A6371" t="str">
        <f>"20190304164814064"</f>
        <v>20190304164814064</v>
      </c>
      <c r="B6371" t="str">
        <f>"1551689294056288"</f>
        <v>1551689294056288</v>
      </c>
      <c r="C6371" t="s">
        <v>40</v>
      </c>
      <c r="D6371">
        <v>5.2974209999999999</v>
      </c>
      <c r="E6371">
        <v>0.54664440000000003</v>
      </c>
      <c r="F6371" t="s">
        <v>41</v>
      </c>
      <c r="G6371">
        <v>-129.78290000000001</v>
      </c>
      <c r="H6371">
        <v>0.84228440000000004</v>
      </c>
      <c r="I6371">
        <v>138.0429</v>
      </c>
      <c r="J6371">
        <v>-130.3415</v>
      </c>
      <c r="K6371">
        <v>1.112784</v>
      </c>
      <c r="L6371">
        <v>138.04470000000001</v>
      </c>
      <c r="M6371">
        <v>0.9995581</v>
      </c>
      <c r="N6371">
        <v>-2.7637519999999999E-2</v>
      </c>
      <c r="O6371">
        <v>-1.095966E-2</v>
      </c>
      <c r="P6371">
        <v>0.9521425</v>
      </c>
      <c r="Q6371">
        <v>0.30052450000000003</v>
      </c>
      <c r="R6371">
        <v>5.5768760000000001E-2</v>
      </c>
      <c r="S6371">
        <v>3.5430299999999999</v>
      </c>
      <c r="T6371">
        <v>-1.2353799999999999</v>
      </c>
      <c r="U6371">
        <v>-1.8356319999999999E-2</v>
      </c>
      <c r="V6371">
        <v>-6.6194219999999998E-2</v>
      </c>
      <c r="W6371">
        <v>0.326708</v>
      </c>
      <c r="X6371">
        <v>0.94280439999999999</v>
      </c>
      <c r="Y6371">
        <v>-4.9197750000000004E-3</v>
      </c>
      <c r="Z6371">
        <v>4.3199750000000002E-3</v>
      </c>
      <c r="AA6371">
        <v>0.99997849999999999</v>
      </c>
      <c r="AB6371">
        <v>20</v>
      </c>
      <c r="AC6371">
        <v>0.558599999999984</v>
      </c>
      <c r="AD6371">
        <v>-0.27049959999999901</v>
      </c>
      <c r="AE6371">
        <v>-1.8000000000029099E-3</v>
      </c>
      <c r="AF6371">
        <v>-3.50307239407361E-3</v>
      </c>
      <c r="AG6371">
        <v>-0.27049959999999901</v>
      </c>
      <c r="AH6371">
        <v>0.45248283585142401</v>
      </c>
      <c r="AI6371">
        <v>120.870726109819</v>
      </c>
      <c r="AJ6371">
        <v>90.443568767143603</v>
      </c>
      <c r="AK6371">
        <v>0.52718404931912</v>
      </c>
      <c r="AL6371">
        <v>70.930913485579097</v>
      </c>
      <c r="AM6371">
        <v>94.016141557341896</v>
      </c>
      <c r="AN6371">
        <v>0.99999996434238303</v>
      </c>
    </row>
    <row r="6372" spans="1:40" x14ac:dyDescent="0.25">
      <c r="A6372" t="str">
        <f>"20190304164814086"</f>
        <v>20190304164814086</v>
      </c>
      <c r="B6372" t="str">
        <f>"1551689294075808"</f>
        <v>1551689294075808</v>
      </c>
      <c r="C6372" t="s">
        <v>40</v>
      </c>
      <c r="D6372">
        <v>5.2819349999999998</v>
      </c>
      <c r="E6372">
        <v>0.54647679999999998</v>
      </c>
      <c r="F6372" t="s">
        <v>41</v>
      </c>
      <c r="G6372">
        <v>-129.6062</v>
      </c>
      <c r="H6372">
        <v>0.85452289999999997</v>
      </c>
      <c r="I6372">
        <v>138.04060000000001</v>
      </c>
      <c r="J6372">
        <v>-130.15479999999999</v>
      </c>
      <c r="K6372">
        <v>1.1128439999999999</v>
      </c>
      <c r="L6372">
        <v>138.04259999999999</v>
      </c>
      <c r="M6372">
        <v>0.9995444</v>
      </c>
      <c r="N6372">
        <v>-2.812769E-2</v>
      </c>
      <c r="O6372">
        <v>-1.0946590000000001E-2</v>
      </c>
      <c r="P6372">
        <v>0.95224240000000004</v>
      </c>
      <c r="Q6372">
        <v>0.30020560000000002</v>
      </c>
      <c r="R6372">
        <v>5.5777640000000003E-2</v>
      </c>
      <c r="S6372">
        <v>3.5449220000000001</v>
      </c>
      <c r="T6372">
        <v>-1.245206</v>
      </c>
      <c r="U6372">
        <v>-1.9088750000000002E-2</v>
      </c>
      <c r="V6372">
        <v>-6.6195630000000005E-2</v>
      </c>
      <c r="W6372">
        <v>0.32685360000000002</v>
      </c>
      <c r="X6372">
        <v>0.94275390000000003</v>
      </c>
      <c r="Y6372">
        <v>-4.7058029999999997E-3</v>
      </c>
      <c r="Z6372">
        <v>4.3042319999999998E-3</v>
      </c>
      <c r="AA6372">
        <v>0.99997970000000003</v>
      </c>
      <c r="AB6372">
        <v>19</v>
      </c>
      <c r="AC6372">
        <v>0.54859999999999298</v>
      </c>
      <c r="AD6372">
        <v>-0.25832110000000003</v>
      </c>
      <c r="AE6372">
        <v>-1.9999999999811202E-3</v>
      </c>
      <c r="AF6372">
        <v>-3.2804573585396902E-3</v>
      </c>
      <c r="AG6372">
        <v>-0.25832110000000003</v>
      </c>
      <c r="AH6372">
        <v>0.44903052737909299</v>
      </c>
      <c r="AI6372">
        <v>119.910566296469</v>
      </c>
      <c r="AJ6372">
        <v>90.418575144154502</v>
      </c>
      <c r="AK6372">
        <v>0.51804340225895895</v>
      </c>
      <c r="AL6372">
        <v>70.922087860542305</v>
      </c>
      <c r="AM6372">
        <v>94.016441256063501</v>
      </c>
      <c r="AN6372">
        <v>1.0000000266146301</v>
      </c>
    </row>
    <row r="6373" spans="1:40" x14ac:dyDescent="0.25">
      <c r="A6373" t="str">
        <f>"20190304164814122"</f>
        <v>20190304164814122</v>
      </c>
      <c r="B6373" t="str">
        <f>"1551689294115827"</f>
        <v>1551689294115827</v>
      </c>
      <c r="C6373" t="s">
        <v>40</v>
      </c>
      <c r="D6373">
        <v>5.1950129999999897</v>
      </c>
      <c r="E6373">
        <v>0.54621160000000002</v>
      </c>
      <c r="F6373" t="s">
        <v>41</v>
      </c>
      <c r="G6373">
        <v>-129.43610000000001</v>
      </c>
      <c r="H6373">
        <v>0.85911489999999902</v>
      </c>
      <c r="I6373">
        <v>138.0386</v>
      </c>
      <c r="J6373">
        <v>-129.85640000000001</v>
      </c>
      <c r="K6373">
        <v>1.1129309999999999</v>
      </c>
      <c r="L6373">
        <v>138.0394</v>
      </c>
      <c r="M6373">
        <v>0.99952300000000005</v>
      </c>
      <c r="N6373">
        <v>-2.8885629999999999E-2</v>
      </c>
      <c r="O6373">
        <v>-1.0923469999999999E-2</v>
      </c>
      <c r="P6373">
        <v>0.95279780000000003</v>
      </c>
      <c r="Q6373">
        <v>0.298423299999999</v>
      </c>
      <c r="R6373">
        <v>5.585801E-2</v>
      </c>
      <c r="S6373">
        <v>3.546249</v>
      </c>
      <c r="T6373">
        <v>-1.2519119999999999</v>
      </c>
      <c r="U6373">
        <v>-1.919556E-2</v>
      </c>
      <c r="V6373">
        <v>-6.6262429999999997E-2</v>
      </c>
      <c r="W6373">
        <v>0.32580290000000001</v>
      </c>
      <c r="X6373">
        <v>0.94311279999999997</v>
      </c>
      <c r="Y6373">
        <v>-4.6526739999999999E-3</v>
      </c>
      <c r="Z6373">
        <v>4.3023430000000001E-3</v>
      </c>
      <c r="AA6373">
        <v>0.99997990000000003</v>
      </c>
      <c r="AB6373">
        <v>19</v>
      </c>
      <c r="AC6373">
        <v>0.42029999999999701</v>
      </c>
      <c r="AD6373">
        <v>-0.25381609999999999</v>
      </c>
      <c r="AE6373">
        <v>-7.9999999999813499E-4</v>
      </c>
      <c r="AF6373">
        <v>-2.7794683477718302E-3</v>
      </c>
      <c r="AG6373">
        <v>-0.25381609999999999</v>
      </c>
      <c r="AH6373">
        <v>0.30797116157803101</v>
      </c>
      <c r="AI6373">
        <v>129.492680547031</v>
      </c>
      <c r="AJ6373">
        <v>90.517085694660807</v>
      </c>
      <c r="AK6373">
        <v>0.39909469355934502</v>
      </c>
      <c r="AL6373">
        <v>70.985774397789996</v>
      </c>
      <c r="AM6373">
        <v>94.018956109834903</v>
      </c>
      <c r="AN6373">
        <v>0.999999996400877</v>
      </c>
    </row>
    <row r="6374" spans="1:40" x14ac:dyDescent="0.25">
      <c r="A6374" t="str">
        <f>"20190304164814147"</f>
        <v>20190304164814147</v>
      </c>
      <c r="B6374" t="str">
        <f>"1551689294136319"</f>
        <v>1551689294136319</v>
      </c>
      <c r="C6374" t="s">
        <v>40</v>
      </c>
      <c r="D6374">
        <v>5.1865790000000001</v>
      </c>
      <c r="E6374">
        <v>0.5460718</v>
      </c>
      <c r="F6374" t="s">
        <v>41</v>
      </c>
      <c r="G6374">
        <v>-129.11429999999999</v>
      </c>
      <c r="H6374">
        <v>0.84761200000000003</v>
      </c>
      <c r="I6374">
        <v>138.03569999999999</v>
      </c>
      <c r="J6374">
        <v>-129.65530000000001</v>
      </c>
      <c r="K6374">
        <v>1.112984</v>
      </c>
      <c r="L6374">
        <v>138.03720000000001</v>
      </c>
      <c r="M6374">
        <v>0.99950859999999997</v>
      </c>
      <c r="N6374">
        <v>-2.9390530000000002E-2</v>
      </c>
      <c r="O6374">
        <v>-1.0907790000000001E-2</v>
      </c>
      <c r="P6374">
        <v>0.95324850000000005</v>
      </c>
      <c r="Q6374">
        <v>0.29682399999999998</v>
      </c>
      <c r="R6374">
        <v>5.6684350000000001E-2</v>
      </c>
      <c r="S6374">
        <v>3.5467219999999999</v>
      </c>
      <c r="T6374">
        <v>-1.2679149999999999</v>
      </c>
      <c r="U6374">
        <v>-1.6815190000000001E-2</v>
      </c>
      <c r="V6374">
        <v>-6.7078260000000001E-2</v>
      </c>
      <c r="W6374">
        <v>0.32469369999999997</v>
      </c>
      <c r="X6374">
        <v>0.94343759999999999</v>
      </c>
      <c r="Y6374">
        <v>-5.248646E-3</v>
      </c>
      <c r="Z6374">
        <v>4.459925E-3</v>
      </c>
      <c r="AA6374">
        <v>0.99997630000000004</v>
      </c>
      <c r="AB6374">
        <v>18</v>
      </c>
      <c r="AC6374">
        <v>0.54100000000002502</v>
      </c>
      <c r="AD6374">
        <v>-0.265371999999999</v>
      </c>
      <c r="AE6374">
        <v>-1.5000000000213701E-3</v>
      </c>
      <c r="AF6374">
        <v>-3.5496699551932302E-3</v>
      </c>
      <c r="AG6374">
        <v>-0.265371999999999</v>
      </c>
      <c r="AH6374">
        <v>0.43606329249922898</v>
      </c>
      <c r="AI6374">
        <v>121.322305258312</v>
      </c>
      <c r="AJ6374">
        <v>90.466392421696099</v>
      </c>
      <c r="AK6374">
        <v>0.51047633990818697</v>
      </c>
      <c r="AL6374">
        <v>71.052981035141897</v>
      </c>
      <c r="AM6374">
        <v>94.066876882525804</v>
      </c>
      <c r="AN6374">
        <v>0.99999999843903797</v>
      </c>
    </row>
    <row r="6375" spans="1:40" x14ac:dyDescent="0.25">
      <c r="A6375" t="str">
        <f>"20190304164814169"</f>
        <v>20190304164814169</v>
      </c>
      <c r="B6375" t="str">
        <f>"1551689294165600"</f>
        <v>1551689294165600</v>
      </c>
      <c r="C6375" t="s">
        <v>40</v>
      </c>
      <c r="D6375">
        <v>5.1550190000000002</v>
      </c>
      <c r="E6375">
        <v>0.5458847</v>
      </c>
      <c r="F6375" t="s">
        <v>41</v>
      </c>
      <c r="G6375">
        <v>-128.9504</v>
      </c>
      <c r="H6375">
        <v>0.85887500000000006</v>
      </c>
      <c r="I6375">
        <v>138.03450000000001</v>
      </c>
      <c r="J6375">
        <v>-129.47739999999999</v>
      </c>
      <c r="K6375">
        <v>1.113029</v>
      </c>
      <c r="L6375">
        <v>138.03530000000001</v>
      </c>
      <c r="M6375">
        <v>0.99949589999999999</v>
      </c>
      <c r="N6375">
        <v>-2.9825310000000001E-2</v>
      </c>
      <c r="O6375">
        <v>-1.089622E-2</v>
      </c>
      <c r="P6375">
        <v>0.95374700000000001</v>
      </c>
      <c r="Q6375">
        <v>0.29514179999999901</v>
      </c>
      <c r="R6375">
        <v>5.7082260000000003E-2</v>
      </c>
      <c r="S6375">
        <v>3.5459749999999999</v>
      </c>
      <c r="T6375">
        <v>-1.278351</v>
      </c>
      <c r="U6375">
        <v>-1.330566E-2</v>
      </c>
      <c r="V6375">
        <v>-6.7469730000000006E-2</v>
      </c>
      <c r="W6375">
        <v>0.32343690000000003</v>
      </c>
      <c r="X6375">
        <v>0.94384129999999999</v>
      </c>
      <c r="Y6375">
        <v>-6.1499609999999998E-3</v>
      </c>
      <c r="Z6375">
        <v>4.661648E-3</v>
      </c>
      <c r="AA6375">
        <v>0.99997020000000003</v>
      </c>
      <c r="AB6375">
        <v>18</v>
      </c>
      <c r="AC6375">
        <v>0.52699999999998604</v>
      </c>
      <c r="AD6375">
        <v>-0.25415399999999999</v>
      </c>
      <c r="AE6375">
        <v>-7.9999999999813499E-4</v>
      </c>
      <c r="AF6375">
        <v>-4.0118383901198099E-3</v>
      </c>
      <c r="AG6375">
        <v>-0.25415399999999999</v>
      </c>
      <c r="AH6375">
        <v>0.42754025490008501</v>
      </c>
      <c r="AI6375">
        <v>120.728525594028</v>
      </c>
      <c r="AJ6375">
        <v>90.537621099014899</v>
      </c>
      <c r="AK6375">
        <v>0.497394230086456</v>
      </c>
      <c r="AL6375">
        <v>71.129098010304205</v>
      </c>
      <c r="AM6375">
        <v>94.088787251187995</v>
      </c>
      <c r="AN6375">
        <v>0.99999999616678603</v>
      </c>
    </row>
    <row r="6376" spans="1:40" x14ac:dyDescent="0.25">
      <c r="A6376" t="str">
        <f>"20190304164814193"</f>
        <v>20190304164814193</v>
      </c>
      <c r="B6376" t="str">
        <f>"1551689294186095"</f>
        <v>1551689294186095</v>
      </c>
      <c r="C6376" t="s">
        <v>40</v>
      </c>
      <c r="D6376">
        <v>5.1505679999999998</v>
      </c>
      <c r="E6376">
        <v>0.54584880000000002</v>
      </c>
      <c r="F6376" t="s">
        <v>41</v>
      </c>
      <c r="G6376">
        <v>-128.79259999999999</v>
      </c>
      <c r="H6376">
        <v>0.86376330000000001</v>
      </c>
      <c r="I6376">
        <v>138.03319999999999</v>
      </c>
      <c r="J6376">
        <v>-129.2929</v>
      </c>
      <c r="K6376">
        <v>1.1130709999999999</v>
      </c>
      <c r="L6376">
        <v>138.0333</v>
      </c>
      <c r="M6376">
        <v>0.99948289999999995</v>
      </c>
      <c r="N6376">
        <v>-3.0257610000000001E-2</v>
      </c>
      <c r="O6376">
        <v>-1.088745E-2</v>
      </c>
      <c r="P6376">
        <v>0.95425590000000005</v>
      </c>
      <c r="Q6376">
        <v>0.29339900000000002</v>
      </c>
      <c r="R6376">
        <v>5.7561759999999997E-2</v>
      </c>
      <c r="S6376">
        <v>3.5454560000000002</v>
      </c>
      <c r="T6376">
        <v>-1.290527</v>
      </c>
      <c r="U6376">
        <v>-1.00708E-2</v>
      </c>
      <c r="V6376">
        <v>-6.7945279999999997E-2</v>
      </c>
      <c r="W6376">
        <v>0.3221195</v>
      </c>
      <c r="X6376">
        <v>0.94425760000000003</v>
      </c>
      <c r="Y6376">
        <v>-6.9772669999999997E-3</v>
      </c>
      <c r="Z6376">
        <v>4.8590609999999996E-3</v>
      </c>
      <c r="AA6376">
        <v>0.99996390000000002</v>
      </c>
      <c r="AB6376">
        <v>18</v>
      </c>
      <c r="AC6376">
        <v>0.50030000000000996</v>
      </c>
      <c r="AD6376">
        <v>-0.24930769999999899</v>
      </c>
      <c r="AE6376">
        <v>-1.0000000000331901E-4</v>
      </c>
      <c r="AF6376">
        <v>-4.2853557076756102E-3</v>
      </c>
      <c r="AG6376">
        <v>-0.24930769999999899</v>
      </c>
      <c r="AH6376">
        <v>0.400755988823573</v>
      </c>
      <c r="AI6376">
        <v>121.88400603258999</v>
      </c>
      <c r="AJ6376">
        <v>90.612650702281599</v>
      </c>
      <c r="AK6376">
        <v>0.47199370348638198</v>
      </c>
      <c r="AL6376">
        <v>71.208847706110802</v>
      </c>
      <c r="AM6376">
        <v>94.115698593798101</v>
      </c>
      <c r="AN6376">
        <v>0.99999997425614395</v>
      </c>
    </row>
    <row r="6377" spans="1:40" x14ac:dyDescent="0.25">
      <c r="A6377" t="str">
        <f>"20190304164814216"</f>
        <v>20190304164814216</v>
      </c>
      <c r="B6377" t="str">
        <f>"1551689294205615"</f>
        <v>1551689294205615</v>
      </c>
      <c r="C6377" t="s">
        <v>40</v>
      </c>
      <c r="D6377">
        <v>5.0940079999999996</v>
      </c>
      <c r="E6377">
        <v>0.54579129999999998</v>
      </c>
      <c r="F6377" t="s">
        <v>41</v>
      </c>
      <c r="G6377">
        <v>-128.63640000000001</v>
      </c>
      <c r="H6377">
        <v>0.87243389999999998</v>
      </c>
      <c r="I6377">
        <v>138.03149999999999</v>
      </c>
      <c r="J6377">
        <v>-129.12700000000001</v>
      </c>
      <c r="K6377">
        <v>1.113103</v>
      </c>
      <c r="L6377">
        <v>138.03149999999999</v>
      </c>
      <c r="M6377">
        <v>0.99947169999999996</v>
      </c>
      <c r="N6377">
        <v>-3.0628809999999999E-2</v>
      </c>
      <c r="O6377">
        <v>-1.0882269999999999E-2</v>
      </c>
      <c r="P6377">
        <v>0.95468529999999996</v>
      </c>
      <c r="Q6377">
        <v>0.29195070000000001</v>
      </c>
      <c r="R6377">
        <v>5.7800079999999997E-2</v>
      </c>
      <c r="S6377">
        <v>3.5437620000000001</v>
      </c>
      <c r="T6377">
        <v>-1.298959</v>
      </c>
      <c r="U6377">
        <v>-9.4757079999999994E-3</v>
      </c>
      <c r="V6377">
        <v>-6.8181599999999995E-2</v>
      </c>
      <c r="W6377">
        <v>0.32103540000000003</v>
      </c>
      <c r="X6377">
        <v>0.9446097</v>
      </c>
      <c r="Y6377">
        <v>-7.1149430000000003E-3</v>
      </c>
      <c r="Z6377">
        <v>4.9149750000000002E-3</v>
      </c>
      <c r="AA6377">
        <v>0.99996260000000003</v>
      </c>
      <c r="AB6377">
        <v>17</v>
      </c>
      <c r="AC6377">
        <v>0.49059999999999998</v>
      </c>
      <c r="AD6377">
        <v>-0.2406691</v>
      </c>
      <c r="AE6377">
        <v>0</v>
      </c>
      <c r="AF6377">
        <v>-4.3052817061694296E-3</v>
      </c>
      <c r="AG6377">
        <v>-0.2406691</v>
      </c>
      <c r="AH6377">
        <v>0.39541448850690702</v>
      </c>
      <c r="AI6377">
        <v>121.325283643765</v>
      </c>
      <c r="AJ6377">
        <v>90.6238130659559</v>
      </c>
      <c r="AK6377">
        <v>0.46291766964176101</v>
      </c>
      <c r="AL6377">
        <v>71.2744464134759</v>
      </c>
      <c r="AM6377">
        <v>94.128429823096496</v>
      </c>
      <c r="AN6377">
        <v>0.99999997198290402</v>
      </c>
    </row>
    <row r="6378" spans="1:40" x14ac:dyDescent="0.25">
      <c r="A6378" t="str">
        <f>"20190304164814243"</f>
        <v>20190304164814243</v>
      </c>
      <c r="B6378" t="str">
        <f>"1551689294235872"</f>
        <v>1551689294235872</v>
      </c>
      <c r="C6378" t="s">
        <v>40</v>
      </c>
      <c r="D6378">
        <v>5.088679</v>
      </c>
      <c r="E6378">
        <v>0.54573969999999905</v>
      </c>
      <c r="F6378" t="s">
        <v>41</v>
      </c>
      <c r="G6378">
        <v>-128.36060000000001</v>
      </c>
      <c r="H6378">
        <v>0.83048310000000003</v>
      </c>
      <c r="I6378">
        <v>138.0291</v>
      </c>
      <c r="J6378">
        <v>-128.92689999999999</v>
      </c>
      <c r="K6378">
        <v>1.113148</v>
      </c>
      <c r="L6378">
        <v>138.02940000000001</v>
      </c>
      <c r="M6378">
        <v>0.99945799999999996</v>
      </c>
      <c r="N6378">
        <v>-3.107004E-2</v>
      </c>
      <c r="O6378">
        <v>-1.087658E-2</v>
      </c>
      <c r="P6378">
        <v>0.95502469999999995</v>
      </c>
      <c r="Q6378">
        <v>0.29087689999999999</v>
      </c>
      <c r="R6378">
        <v>5.7605990000000003E-2</v>
      </c>
      <c r="S6378">
        <v>3.542618</v>
      </c>
      <c r="T6378">
        <v>-1.3064480000000001</v>
      </c>
      <c r="U6378">
        <v>-1.1367800000000001E-2</v>
      </c>
      <c r="V6378">
        <v>-6.7984240000000001E-2</v>
      </c>
      <c r="W6378">
        <v>0.32039000000000001</v>
      </c>
      <c r="X6378">
        <v>0.94484310000000005</v>
      </c>
      <c r="Y6378">
        <v>-6.5993090000000003E-3</v>
      </c>
      <c r="Z6378">
        <v>4.8391780000000004E-3</v>
      </c>
      <c r="AA6378">
        <v>0.99996649999999998</v>
      </c>
      <c r="AB6378">
        <v>17</v>
      </c>
      <c r="AC6378">
        <v>0.56629999999998304</v>
      </c>
      <c r="AD6378">
        <v>-0.2826649</v>
      </c>
      <c r="AE6378">
        <v>-3.0000000000995799E-4</v>
      </c>
      <c r="AF6378">
        <v>-4.6931339365186798E-3</v>
      </c>
      <c r="AG6378">
        <v>-0.2826649</v>
      </c>
      <c r="AH6378">
        <v>0.45332620701299498</v>
      </c>
      <c r="AI6378">
        <v>121.943617933924</v>
      </c>
      <c r="AJ6378">
        <v>90.593142768133205</v>
      </c>
      <c r="AK6378">
        <v>0.53425286256878901</v>
      </c>
      <c r="AL6378">
        <v>71.313488832166101</v>
      </c>
      <c r="AM6378">
        <v>94.115507328644298</v>
      </c>
      <c r="AN6378">
        <v>1.0000000463029901</v>
      </c>
    </row>
    <row r="6379" spans="1:40" x14ac:dyDescent="0.25">
      <c r="A6379" t="str">
        <f>"20190304164814278"</f>
        <v>20190304164814278</v>
      </c>
      <c r="B6379" t="str">
        <f>"1551689294266127"</f>
        <v>1551689294266127</v>
      </c>
      <c r="C6379" t="s">
        <v>40</v>
      </c>
      <c r="D6379">
        <v>5.0589490000000001</v>
      </c>
      <c r="E6379">
        <v>0.54572109999999996</v>
      </c>
      <c r="F6379" t="s">
        <v>41</v>
      </c>
      <c r="G6379">
        <v>-128.2105</v>
      </c>
      <c r="H6379">
        <v>0.84758869999999897</v>
      </c>
      <c r="I6379">
        <v>138.0264</v>
      </c>
      <c r="J6379">
        <v>-128.68870000000001</v>
      </c>
      <c r="K6379">
        <v>1.1131960000000001</v>
      </c>
      <c r="L6379">
        <v>138.02680000000001</v>
      </c>
      <c r="M6379">
        <v>0.99944219999999895</v>
      </c>
      <c r="N6379">
        <v>-3.1582909999999999E-2</v>
      </c>
      <c r="O6379">
        <v>-1.087101E-2</v>
      </c>
      <c r="P6379">
        <v>0.955654</v>
      </c>
      <c r="Q6379">
        <v>0.28891929999999999</v>
      </c>
      <c r="R6379">
        <v>5.7021200000000001E-2</v>
      </c>
      <c r="S6379">
        <v>3.5420379999999998</v>
      </c>
      <c r="T6379">
        <v>-1.3129660000000001</v>
      </c>
      <c r="U6379">
        <v>-1.4114379999999999E-2</v>
      </c>
      <c r="V6379">
        <v>-6.7399990000000007E-2</v>
      </c>
      <c r="W6379">
        <v>0.31893880000000002</v>
      </c>
      <c r="X6379">
        <v>0.94537570000000004</v>
      </c>
      <c r="Y6379">
        <v>-5.8618569999999998E-3</v>
      </c>
      <c r="Z6379">
        <v>4.7139199999999999E-3</v>
      </c>
      <c r="AA6379">
        <v>0.99997170000000002</v>
      </c>
      <c r="AB6379">
        <v>16</v>
      </c>
      <c r="AC6379">
        <v>0.478200000000015</v>
      </c>
      <c r="AD6379">
        <v>-0.26560729999999999</v>
      </c>
      <c r="AE6379">
        <v>-4.0000000001327803E-4</v>
      </c>
      <c r="AF6379">
        <v>-3.6691786458554901E-3</v>
      </c>
      <c r="AG6379">
        <v>-0.26560729999999999</v>
      </c>
      <c r="AH6379">
        <v>0.36543726680007899</v>
      </c>
      <c r="AI6379">
        <v>126.009049610434</v>
      </c>
      <c r="AJ6379">
        <v>90.575259848130003</v>
      </c>
      <c r="AK6379">
        <v>0.45177992059357502</v>
      </c>
      <c r="AL6379">
        <v>71.401239185659804</v>
      </c>
      <c r="AM6379">
        <v>94.077968073769298</v>
      </c>
      <c r="AN6379">
        <v>0.99999996547396397</v>
      </c>
    </row>
    <row r="6380" spans="1:40" x14ac:dyDescent="0.25">
      <c r="A6380" t="str">
        <f>"20190304164814304"</f>
        <v>20190304164814304</v>
      </c>
      <c r="B6380" t="str">
        <f>"1551689294296385"</f>
        <v>1551689294296385</v>
      </c>
      <c r="C6380" t="s">
        <v>40</v>
      </c>
      <c r="D6380">
        <v>5.287007</v>
      </c>
      <c r="E6380">
        <v>0.54582919999999902</v>
      </c>
      <c r="F6380" t="s">
        <v>41</v>
      </c>
      <c r="G6380">
        <v>-127.9418</v>
      </c>
      <c r="H6380">
        <v>0.83440890000000001</v>
      </c>
      <c r="I6380">
        <v>138.02189999999999</v>
      </c>
      <c r="J6380">
        <v>-128.51259999999999</v>
      </c>
      <c r="K6380">
        <v>1.1132359999999999</v>
      </c>
      <c r="L6380">
        <v>138.0249</v>
      </c>
      <c r="M6380">
        <v>0.99943070000000001</v>
      </c>
      <c r="N6380">
        <v>-3.1945660000000001E-2</v>
      </c>
      <c r="O6380">
        <v>-1.086778E-2</v>
      </c>
      <c r="P6380">
        <v>0.956152</v>
      </c>
      <c r="Q6380">
        <v>0.28727849999999999</v>
      </c>
      <c r="R6380">
        <v>5.6962890000000002E-2</v>
      </c>
      <c r="S6380">
        <v>3.5400849999999999</v>
      </c>
      <c r="T6380">
        <v>-1.321456</v>
      </c>
      <c r="U6380">
        <v>-2.2888180000000001E-2</v>
      </c>
      <c r="V6380">
        <v>-6.7343990000000006E-2</v>
      </c>
      <c r="W6380">
        <v>0.31765769999999999</v>
      </c>
      <c r="X6380">
        <v>0.94581099999999996</v>
      </c>
      <c r="Y6380">
        <v>-3.5358450000000001E-3</v>
      </c>
      <c r="Z6380">
        <v>4.2843780000000001E-3</v>
      </c>
      <c r="AA6380">
        <v>0.9999846</v>
      </c>
      <c r="AB6380">
        <v>16</v>
      </c>
      <c r="AC6380">
        <v>0.57079999999999098</v>
      </c>
      <c r="AD6380">
        <v>-0.27882709999999999</v>
      </c>
      <c r="AE6380">
        <v>-3.0000000000143202E-3</v>
      </c>
      <c r="AF6380">
        <v>-2.5889269623378202E-3</v>
      </c>
      <c r="AG6380">
        <v>-0.27882709999999999</v>
      </c>
      <c r="AH6380">
        <v>0.46083797362626799</v>
      </c>
      <c r="AI6380">
        <v>121.17536949843699</v>
      </c>
      <c r="AJ6380">
        <v>90.321876747200704</v>
      </c>
      <c r="AK6380">
        <v>0.53863057114611701</v>
      </c>
      <c r="AL6380">
        <v>71.478669218053298</v>
      </c>
      <c r="AM6380">
        <v>94.072722289598502</v>
      </c>
      <c r="AN6380">
        <v>1.0000000375397</v>
      </c>
    </row>
    <row r="6381" spans="1:40" x14ac:dyDescent="0.25">
      <c r="A6381" t="str">
        <f>"20190304164814327"</f>
        <v>20190304164814327</v>
      </c>
      <c r="B6381" t="str">
        <f>"1551689294315903"</f>
        <v>1551689294315903</v>
      </c>
      <c r="C6381" t="s">
        <v>40</v>
      </c>
      <c r="D6381">
        <v>4.9922800000000001</v>
      </c>
      <c r="E6381">
        <v>0.54586319999999999</v>
      </c>
      <c r="F6381" t="s">
        <v>41</v>
      </c>
      <c r="G6381">
        <v>-127.8036</v>
      </c>
      <c r="H6381">
        <v>0.84740669999999996</v>
      </c>
      <c r="I6381">
        <v>138.0197</v>
      </c>
      <c r="J6381">
        <v>-128.36189999999999</v>
      </c>
      <c r="K6381">
        <v>1.1133459999999999</v>
      </c>
      <c r="L6381">
        <v>138.02330000000001</v>
      </c>
      <c r="M6381">
        <v>0.99941120000000006</v>
      </c>
      <c r="N6381">
        <v>-3.2547090000000001E-2</v>
      </c>
      <c r="O6381">
        <v>-1.086498E-2</v>
      </c>
      <c r="P6381">
        <v>0.95669859999999896</v>
      </c>
      <c r="Q6381">
        <v>0.28532059999999998</v>
      </c>
      <c r="R6381">
        <v>5.7621159999999998E-2</v>
      </c>
      <c r="S6381">
        <v>3.5376129999999999</v>
      </c>
      <c r="T6381">
        <v>-1.326392</v>
      </c>
      <c r="U6381">
        <v>-2.5588989999999999E-2</v>
      </c>
      <c r="V6381">
        <v>-6.8005930000000006E-2</v>
      </c>
      <c r="W6381">
        <v>0.31628790000000001</v>
      </c>
      <c r="X6381">
        <v>0.94622260000000002</v>
      </c>
      <c r="Y6381">
        <v>-2.8130220000000001E-3</v>
      </c>
      <c r="Z6381">
        <v>4.154001E-3</v>
      </c>
      <c r="AA6381">
        <v>0.99998739999999997</v>
      </c>
      <c r="AB6381">
        <v>15</v>
      </c>
      <c r="AC6381">
        <v>0.55829999999998803</v>
      </c>
      <c r="AD6381">
        <v>-0.26593929999999999</v>
      </c>
      <c r="AE6381">
        <v>-3.6000000000058199E-3</v>
      </c>
      <c r="AF6381">
        <v>-2.0126905793636002E-3</v>
      </c>
      <c r="AG6381">
        <v>-0.26593929999999999</v>
      </c>
      <c r="AH6381">
        <v>0.45505873187867302</v>
      </c>
      <c r="AI6381">
        <v>120.30205040642799</v>
      </c>
      <c r="AJ6381">
        <v>90.253413275317698</v>
      </c>
      <c r="AK6381">
        <v>0.52707325076016198</v>
      </c>
      <c r="AL6381">
        <v>71.561419830176604</v>
      </c>
      <c r="AM6381">
        <v>94.110834521289604</v>
      </c>
      <c r="AN6381">
        <v>1.0000000254761601</v>
      </c>
    </row>
    <row r="6382" spans="1:40" x14ac:dyDescent="0.25">
      <c r="A6382" t="str">
        <f>"20190304164814349"</f>
        <v>20190304164814349</v>
      </c>
      <c r="B6382" t="str">
        <f>"1551689294346160"</f>
        <v>1551689294346160</v>
      </c>
      <c r="C6382" t="s">
        <v>40</v>
      </c>
      <c r="D6382">
        <v>5.0833529999999998</v>
      </c>
      <c r="E6382">
        <v>0.54596719999999999</v>
      </c>
      <c r="F6382" t="s">
        <v>41</v>
      </c>
      <c r="G6382">
        <v>-127.67359999999999</v>
      </c>
      <c r="H6382">
        <v>0.85370550000000001</v>
      </c>
      <c r="I6382">
        <v>138.01820000000001</v>
      </c>
      <c r="J6382">
        <v>-128.2303</v>
      </c>
      <c r="K6382">
        <v>1.113532</v>
      </c>
      <c r="L6382">
        <v>138.02189999999999</v>
      </c>
      <c r="M6382">
        <v>0.99938070000000001</v>
      </c>
      <c r="N6382">
        <v>-3.3471250000000001E-2</v>
      </c>
      <c r="O6382">
        <v>-1.086232E-2</v>
      </c>
      <c r="P6382">
        <v>0.95744530000000005</v>
      </c>
      <c r="Q6382">
        <v>0.2826514</v>
      </c>
      <c r="R6382">
        <v>5.8367759999999998E-2</v>
      </c>
      <c r="S6382">
        <v>3.5350039999999998</v>
      </c>
      <c r="T6382">
        <v>-1.3334159999999999</v>
      </c>
      <c r="U6382">
        <v>-2.555847E-2</v>
      </c>
      <c r="V6382">
        <v>-6.8758680000000003E-2</v>
      </c>
      <c r="W6382">
        <v>0.3145191</v>
      </c>
      <c r="X6382">
        <v>0.94675759999999998</v>
      </c>
      <c r="Y6382">
        <v>-2.8071480000000002E-3</v>
      </c>
      <c r="Z6382">
        <v>4.1688089999999999E-3</v>
      </c>
      <c r="AA6382">
        <v>0.99998739999999997</v>
      </c>
      <c r="AB6382">
        <v>15</v>
      </c>
      <c r="AC6382">
        <v>0.55670000000000597</v>
      </c>
      <c r="AD6382">
        <v>-0.25982650000000002</v>
      </c>
      <c r="AE6382">
        <v>-3.69999999998071E-3</v>
      </c>
      <c r="AF6382">
        <v>-1.9302152149242499E-3</v>
      </c>
      <c r="AG6382">
        <v>-0.25982650000000002</v>
      </c>
      <c r="AH6382">
        <v>0.45713291931479799</v>
      </c>
      <c r="AI6382">
        <v>119.612936777972</v>
      </c>
      <c r="AJ6382">
        <v>90.241926414499602</v>
      </c>
      <c r="AK6382">
        <v>0.52581749852424597</v>
      </c>
      <c r="AL6382">
        <v>71.668214999796902</v>
      </c>
      <c r="AM6382">
        <v>94.1538379258741</v>
      </c>
      <c r="AN6382">
        <v>0.99999998674895596</v>
      </c>
    </row>
    <row r="6383" spans="1:40" x14ac:dyDescent="0.25">
      <c r="A6383" t="str">
        <f>"20190304164814390"</f>
        <v>20190304164814390</v>
      </c>
      <c r="B6383" t="str">
        <f>"1551689294386176"</f>
        <v>1551689294386176</v>
      </c>
      <c r="C6383" t="s">
        <v>40</v>
      </c>
      <c r="D6383">
        <v>5.0911540000000004</v>
      </c>
      <c r="E6383">
        <v>0.54235990000000001</v>
      </c>
      <c r="F6383" t="s">
        <v>41</v>
      </c>
      <c r="G6383">
        <v>-127.5508</v>
      </c>
      <c r="H6383">
        <v>0.85533559999999997</v>
      </c>
      <c r="I6383">
        <v>138.017</v>
      </c>
      <c r="J6383">
        <v>-127.99169999999999</v>
      </c>
      <c r="K6383">
        <v>1.113721</v>
      </c>
      <c r="L6383">
        <v>138.01929999999999</v>
      </c>
      <c r="M6383">
        <v>0.99933360000000004</v>
      </c>
      <c r="N6383">
        <v>-3.4852330000000001E-2</v>
      </c>
      <c r="O6383">
        <v>-1.085682E-2</v>
      </c>
      <c r="P6383">
        <v>0.95896610000000004</v>
      </c>
      <c r="Q6383">
        <v>0.27700740000000001</v>
      </c>
      <c r="R6383">
        <v>6.0425689999999997E-2</v>
      </c>
      <c r="S6383">
        <v>3.5308989999999998</v>
      </c>
      <c r="T6383">
        <v>-1.3415049999999999</v>
      </c>
      <c r="U6383">
        <v>-2.5115970000000001E-2</v>
      </c>
      <c r="V6383">
        <v>-7.082898E-2</v>
      </c>
      <c r="W6383">
        <v>0.3102393</v>
      </c>
      <c r="X6383">
        <v>0.94801630000000003</v>
      </c>
      <c r="Y6383">
        <v>-2.9037960000000002E-3</v>
      </c>
      <c r="Z6383">
        <v>4.2043239999999997E-3</v>
      </c>
      <c r="AA6383">
        <v>0.99998690000000001</v>
      </c>
      <c r="AB6383">
        <v>14</v>
      </c>
      <c r="AC6383">
        <v>0.44089999999999901</v>
      </c>
      <c r="AD6383">
        <v>-0.25838539999999999</v>
      </c>
      <c r="AE6383">
        <v>-2.29999999999108E-3</v>
      </c>
      <c r="AF6383">
        <v>-1.8533222380738301E-3</v>
      </c>
      <c r="AG6383">
        <v>-0.25838539999999999</v>
      </c>
      <c r="AH6383">
        <v>0.32818791524747098</v>
      </c>
      <c r="AI6383">
        <v>128.213243653858</v>
      </c>
      <c r="AJ6383">
        <v>90.323553697830803</v>
      </c>
      <c r="AK6383">
        <v>0.41770055955308399</v>
      </c>
      <c r="AL6383">
        <v>71.926348273141798</v>
      </c>
      <c r="AM6383">
        <v>94.272791344189699</v>
      </c>
      <c r="AN6383">
        <v>1.000000036369</v>
      </c>
    </row>
    <row r="6384" spans="1:40" x14ac:dyDescent="0.25">
      <c r="A6384" t="str">
        <f>"20190304164814415"</f>
        <v>20190304164814415</v>
      </c>
      <c r="B6384" t="str">
        <f>"1551689294405696"</f>
        <v>1551689294405696</v>
      </c>
      <c r="C6384" t="s">
        <v>40</v>
      </c>
      <c r="D6384">
        <v>4.9501689999999998</v>
      </c>
      <c r="E6384">
        <v>0.53722829999999999</v>
      </c>
      <c r="F6384" t="s">
        <v>41</v>
      </c>
      <c r="G6384">
        <v>-127.31059999999999</v>
      </c>
      <c r="H6384">
        <v>0.87158239999999998</v>
      </c>
      <c r="I6384">
        <v>138.0187</v>
      </c>
      <c r="J6384">
        <v>-127.84180000000001</v>
      </c>
      <c r="K6384">
        <v>1.1135459999999999</v>
      </c>
      <c r="L6384">
        <v>138.01769999999999</v>
      </c>
      <c r="M6384">
        <v>0.99934000000000001</v>
      </c>
      <c r="N6384">
        <v>-3.4671479999999998E-2</v>
      </c>
      <c r="O6384">
        <v>-1.0852240000000001E-2</v>
      </c>
      <c r="P6384">
        <v>0.96008190000000004</v>
      </c>
      <c r="Q6384">
        <v>0.27278180000000002</v>
      </c>
      <c r="R6384">
        <v>6.1911519999999998E-2</v>
      </c>
      <c r="S6384">
        <v>3.4865569999999999</v>
      </c>
      <c r="T6384">
        <v>-1.23932</v>
      </c>
      <c r="U6384">
        <v>-2.9449459999999999E-3</v>
      </c>
      <c r="V6384">
        <v>-7.2322990000000004E-2</v>
      </c>
      <c r="W6384">
        <v>0.30588209999999999</v>
      </c>
      <c r="X6384">
        <v>0.94931849999999995</v>
      </c>
      <c r="Y6384">
        <v>-8.8723309999999903E-3</v>
      </c>
      <c r="Z6384">
        <v>5.0653240000000004E-3</v>
      </c>
      <c r="AA6384">
        <v>0.99994780000000005</v>
      </c>
      <c r="AB6384">
        <v>13</v>
      </c>
      <c r="AC6384">
        <v>0.531200000000012</v>
      </c>
      <c r="AD6384">
        <v>-0.241963599999999</v>
      </c>
      <c r="AE6384">
        <v>1.0000000000047701E-3</v>
      </c>
      <c r="AF6384">
        <v>-5.6051458779411596E-3</v>
      </c>
      <c r="AG6384">
        <v>-0.241963599999999</v>
      </c>
      <c r="AH6384">
        <v>0.43988846799414899</v>
      </c>
      <c r="AI6384">
        <v>118.811323938477</v>
      </c>
      <c r="AJ6384">
        <v>90.730034648167802</v>
      </c>
      <c r="AK6384">
        <v>0.50207535854641605</v>
      </c>
      <c r="AL6384">
        <v>72.188759795063902</v>
      </c>
      <c r="AM6384">
        <v>94.356612653298001</v>
      </c>
      <c r="AN6384">
        <v>1.00000004421259</v>
      </c>
    </row>
    <row r="6385" spans="1:40" x14ac:dyDescent="0.25">
      <c r="A6385" t="str">
        <f>"20190304164814438"</f>
        <v>20190304164814438</v>
      </c>
      <c r="B6385" t="str">
        <f>"1551689294426191"</f>
        <v>1551689294426191</v>
      </c>
      <c r="C6385" t="s">
        <v>40</v>
      </c>
      <c r="D6385">
        <v>5.0117510000000003</v>
      </c>
      <c r="E6385">
        <v>0.53527159999999996</v>
      </c>
      <c r="F6385" t="s">
        <v>41</v>
      </c>
      <c r="G6385">
        <v>-127.09699999999999</v>
      </c>
      <c r="H6385">
        <v>0.84983629999999999</v>
      </c>
      <c r="I6385">
        <v>138.0264</v>
      </c>
      <c r="J6385">
        <v>-127.7193</v>
      </c>
      <c r="K6385">
        <v>1.113397</v>
      </c>
      <c r="L6385">
        <v>138.0164</v>
      </c>
      <c r="M6385">
        <v>0.99935099999999999</v>
      </c>
      <c r="N6385">
        <v>-3.4355070000000001E-2</v>
      </c>
      <c r="O6385">
        <v>-1.084682E-2</v>
      </c>
      <c r="P6385">
        <v>0.96113919999999997</v>
      </c>
      <c r="Q6385">
        <v>0.26879809999999998</v>
      </c>
      <c r="R6385">
        <v>6.2923960000000001E-2</v>
      </c>
      <c r="S6385">
        <v>3.471298</v>
      </c>
      <c r="T6385">
        <v>-1.229074</v>
      </c>
      <c r="U6385">
        <v>4.0817260000000001E-2</v>
      </c>
      <c r="V6385">
        <v>-7.3341950000000003E-2</v>
      </c>
      <c r="W6385">
        <v>0.30163620000000002</v>
      </c>
      <c r="X6385">
        <v>0.95059800000000005</v>
      </c>
      <c r="Y6385">
        <v>-2.0683750000000001E-2</v>
      </c>
      <c r="Z6385">
        <v>7.2847229999999999E-3</v>
      </c>
      <c r="AA6385">
        <v>0.99975959999999997</v>
      </c>
      <c r="AB6385">
        <v>13</v>
      </c>
      <c r="AC6385">
        <v>0.62229999999999497</v>
      </c>
      <c r="AD6385">
        <v>-0.26356069999999898</v>
      </c>
      <c r="AE6385">
        <v>9.9999999999908998E-3</v>
      </c>
      <c r="AF6385">
        <v>-1.42058564437427E-2</v>
      </c>
      <c r="AG6385">
        <v>-0.26356069999999898</v>
      </c>
      <c r="AH6385">
        <v>0.52755000830179</v>
      </c>
      <c r="AI6385">
        <v>116.538126903445</v>
      </c>
      <c r="AJ6385">
        <v>91.5424868898087</v>
      </c>
      <c r="AK6385">
        <v>0.58989410931201003</v>
      </c>
      <c r="AL6385">
        <v>72.444096346011506</v>
      </c>
      <c r="AM6385">
        <v>94.411828966391298</v>
      </c>
      <c r="AN6385">
        <v>0.99999999819212104</v>
      </c>
    </row>
    <row r="6386" spans="1:40" x14ac:dyDescent="0.25">
      <c r="A6386" t="str">
        <f>"20190304164814465"</f>
        <v>20190304164814465</v>
      </c>
      <c r="B6386" t="str">
        <f>"1551689294455473"</f>
        <v>1551689294455473</v>
      </c>
      <c r="C6386" t="s">
        <v>40</v>
      </c>
      <c r="D6386">
        <v>5.0040969999999998</v>
      </c>
      <c r="E6386">
        <v>0.53389989999999998</v>
      </c>
      <c r="F6386" t="s">
        <v>41</v>
      </c>
      <c r="G6386">
        <v>-126.98739999999999</v>
      </c>
      <c r="H6386">
        <v>0.8566357</v>
      </c>
      <c r="I6386">
        <v>138.02879999999999</v>
      </c>
      <c r="J6386">
        <v>-127.5806</v>
      </c>
      <c r="K6386">
        <v>1.113364</v>
      </c>
      <c r="L6386">
        <v>138.01490000000001</v>
      </c>
      <c r="M6386">
        <v>0.99935229999999997</v>
      </c>
      <c r="N6386">
        <v>-3.4321959999999999E-2</v>
      </c>
      <c r="O6386">
        <v>-1.084004E-2</v>
      </c>
      <c r="P6386">
        <v>0.96221699999999999</v>
      </c>
      <c r="Q6386">
        <v>0.2647834</v>
      </c>
      <c r="R6386">
        <v>6.3472849999999997E-2</v>
      </c>
      <c r="S6386">
        <v>3.4565890000000001</v>
      </c>
      <c r="T6386">
        <v>-1.212682</v>
      </c>
      <c r="U6386">
        <v>5.8959959999999999E-2</v>
      </c>
      <c r="V6386">
        <v>-7.3896710000000004E-2</v>
      </c>
      <c r="W6386">
        <v>0.29762909999999998</v>
      </c>
      <c r="X6386">
        <v>0.95181729999999998</v>
      </c>
      <c r="Y6386">
        <v>-2.567813E-2</v>
      </c>
      <c r="Z6386">
        <v>8.1584120000000003E-3</v>
      </c>
      <c r="AA6386">
        <v>0.99963690000000005</v>
      </c>
      <c r="AB6386">
        <v>12</v>
      </c>
      <c r="AC6386">
        <v>0.59320000000001005</v>
      </c>
      <c r="AD6386">
        <v>-0.25672829999999902</v>
      </c>
      <c r="AE6386">
        <v>1.3899999999978201E-2</v>
      </c>
      <c r="AF6386">
        <v>-1.71270856050235E-2</v>
      </c>
      <c r="AG6386">
        <v>-0.25672829999999902</v>
      </c>
      <c r="AH6386">
        <v>0.49950651246588301</v>
      </c>
      <c r="AI6386">
        <v>117.187843498528</v>
      </c>
      <c r="AJ6386">
        <v>91.963789064489603</v>
      </c>
      <c r="AK6386">
        <v>0.56188033697402295</v>
      </c>
      <c r="AL6386">
        <v>72.684742913058102</v>
      </c>
      <c r="AM6386">
        <v>94.439395430571196</v>
      </c>
      <c r="AN6386">
        <v>0.99999998874746199</v>
      </c>
    </row>
    <row r="6387" spans="1:40" x14ac:dyDescent="0.25">
      <c r="A6387" t="str">
        <f>"20190304164814502"</f>
        <v>20190304164814502</v>
      </c>
      <c r="B6387" t="str">
        <f>"1551689294495491"</f>
        <v>1551689294495491</v>
      </c>
      <c r="C6387" t="s">
        <v>40</v>
      </c>
      <c r="D6387">
        <v>4.9804550000000001</v>
      </c>
      <c r="E6387">
        <v>0.53336329999999998</v>
      </c>
      <c r="F6387" t="s">
        <v>41</v>
      </c>
      <c r="G6387">
        <v>-126.88030000000001</v>
      </c>
      <c r="H6387">
        <v>0.86679200000000001</v>
      </c>
      <c r="I6387">
        <v>138.0292</v>
      </c>
      <c r="J6387">
        <v>-127.40009999999999</v>
      </c>
      <c r="K6387">
        <v>1.1133879999999901</v>
      </c>
      <c r="L6387">
        <v>138.01300000000001</v>
      </c>
      <c r="M6387">
        <v>0.99934710000000004</v>
      </c>
      <c r="N6387">
        <v>-3.4470599999999997E-2</v>
      </c>
      <c r="O6387">
        <v>-1.083314E-2</v>
      </c>
      <c r="P6387">
        <v>0.96299710000000005</v>
      </c>
      <c r="Q6387">
        <v>0.26149020000000001</v>
      </c>
      <c r="R6387">
        <v>6.5266850000000001E-2</v>
      </c>
      <c r="S6387">
        <v>3.4471280000000002</v>
      </c>
      <c r="T6387">
        <v>-1.2136979999999999</v>
      </c>
      <c r="U6387">
        <v>7.0526119999999998E-2</v>
      </c>
      <c r="V6387">
        <v>-7.5692919999999997E-2</v>
      </c>
      <c r="W6387">
        <v>0.29450559999999998</v>
      </c>
      <c r="X6387">
        <v>0.95264740000000003</v>
      </c>
      <c r="Y6387">
        <v>-2.8845340000000001E-2</v>
      </c>
      <c r="Z6387">
        <v>8.7815310000000004E-3</v>
      </c>
      <c r="AA6387">
        <v>0.99954529999999997</v>
      </c>
      <c r="AB6387">
        <v>12</v>
      </c>
      <c r="AC6387">
        <v>0.51979999999998905</v>
      </c>
      <c r="AD6387">
        <v>-0.24659599999999901</v>
      </c>
      <c r="AE6387">
        <v>1.6199999999997699E-2</v>
      </c>
      <c r="AF6387">
        <v>-1.7825530382010402E-2</v>
      </c>
      <c r="AG6387">
        <v>-0.24659599999999901</v>
      </c>
      <c r="AH6387">
        <v>0.424212890181209</v>
      </c>
      <c r="AI6387">
        <v>120.147588960381</v>
      </c>
      <c r="AJ6387">
        <v>92.406167276683405</v>
      </c>
      <c r="AK6387">
        <v>0.49100296633044299</v>
      </c>
      <c r="AL6387">
        <v>72.872106952296306</v>
      </c>
      <c r="AM6387">
        <v>94.542911470670205</v>
      </c>
      <c r="AN6387">
        <v>1.0000000176481201</v>
      </c>
    </row>
    <row r="6388" spans="1:40" x14ac:dyDescent="0.25">
      <c r="A6388" t="str">
        <f>"20190304164814530"</f>
        <v>20190304164814530</v>
      </c>
      <c r="B6388" t="str">
        <f>"1551689294525745"</f>
        <v>1551689294525745</v>
      </c>
      <c r="C6388" t="s">
        <v>40</v>
      </c>
      <c r="D6388">
        <v>5.0254960000000004</v>
      </c>
      <c r="E6388">
        <v>0.53327159999999996</v>
      </c>
      <c r="F6388" t="s">
        <v>41</v>
      </c>
      <c r="G6388">
        <v>-126.6884</v>
      </c>
      <c r="H6388">
        <v>0.86177590000000004</v>
      </c>
      <c r="I6388">
        <v>138.02809999999999</v>
      </c>
      <c r="J6388">
        <v>-127.2642</v>
      </c>
      <c r="K6388">
        <v>1.1133580000000001</v>
      </c>
      <c r="L6388">
        <v>138.01159999999999</v>
      </c>
      <c r="M6388">
        <v>0.99934979999999995</v>
      </c>
      <c r="N6388">
        <v>-3.4392039999999999E-2</v>
      </c>
      <c r="O6388">
        <v>-1.082813E-2</v>
      </c>
      <c r="P6388">
        <v>0.96327189999999996</v>
      </c>
      <c r="Q6388">
        <v>0.26038699999999998</v>
      </c>
      <c r="R6388">
        <v>6.5618380000000004E-2</v>
      </c>
      <c r="S6388">
        <v>3.4406129999999999</v>
      </c>
      <c r="T6388">
        <v>-1.21628</v>
      </c>
      <c r="U6388">
        <v>7.2982790000000006E-2</v>
      </c>
      <c r="V6388">
        <v>-7.6042200000000004E-2</v>
      </c>
      <c r="W6388">
        <v>0.29333789999999998</v>
      </c>
      <c r="X6388">
        <v>0.95297980000000004</v>
      </c>
      <c r="Y6388">
        <v>-2.9528160000000001E-2</v>
      </c>
      <c r="Z6388">
        <v>8.9417969999999996E-3</v>
      </c>
      <c r="AA6388">
        <v>0.99952390000000002</v>
      </c>
      <c r="AB6388">
        <v>11</v>
      </c>
      <c r="AC6388">
        <v>0.57580000000000098</v>
      </c>
      <c r="AD6388">
        <v>-0.25158209999999998</v>
      </c>
      <c r="AE6388">
        <v>1.6500000000007699E-2</v>
      </c>
      <c r="AF6388">
        <v>-1.9095192058826201E-2</v>
      </c>
      <c r="AG6388">
        <v>-0.25158209999999998</v>
      </c>
      <c r="AH6388">
        <v>0.48338313405410499</v>
      </c>
      <c r="AI6388">
        <v>117.47693226794399</v>
      </c>
      <c r="AJ6388">
        <v>92.262191761973099</v>
      </c>
      <c r="AK6388">
        <v>0.54526822178460299</v>
      </c>
      <c r="AL6388">
        <v>72.942103031769904</v>
      </c>
      <c r="AM6388">
        <v>94.562200952696301</v>
      </c>
      <c r="AN6388">
        <v>1.0000000194826399</v>
      </c>
    </row>
    <row r="6389" spans="1:40" x14ac:dyDescent="0.25">
      <c r="A6389" t="str">
        <f>"20190304164814552"</f>
        <v>20190304164814552</v>
      </c>
      <c r="B6389" t="str">
        <f>"1551689294546076"</f>
        <v>1551689294546076</v>
      </c>
      <c r="C6389" t="s">
        <v>40</v>
      </c>
      <c r="D6389">
        <v>5.0809309999999996</v>
      </c>
      <c r="E6389">
        <v>0.53327419999999903</v>
      </c>
      <c r="F6389" t="s">
        <v>41</v>
      </c>
      <c r="G6389">
        <v>-126.58969999999999</v>
      </c>
      <c r="H6389">
        <v>0.87555169999999904</v>
      </c>
      <c r="I6389">
        <v>138.02549999999999</v>
      </c>
      <c r="J6389">
        <v>-127.16330000000001</v>
      </c>
      <c r="K6389">
        <v>1.113321</v>
      </c>
      <c r="L6389">
        <v>138.01050000000001</v>
      </c>
      <c r="M6389">
        <v>0.99935419999999997</v>
      </c>
      <c r="N6389">
        <v>-3.42668E-2</v>
      </c>
      <c r="O6389">
        <v>-1.0824240000000001E-2</v>
      </c>
      <c r="P6389">
        <v>0.9638274</v>
      </c>
      <c r="Q6389">
        <v>0.25807229999999998</v>
      </c>
      <c r="R6389">
        <v>6.6600339999999994E-2</v>
      </c>
      <c r="S6389">
        <v>3.4370729999999998</v>
      </c>
      <c r="T6389">
        <v>-1.211805</v>
      </c>
      <c r="U6389">
        <v>7.1609500000000006E-2</v>
      </c>
      <c r="V6389">
        <v>-7.7025819999999995E-2</v>
      </c>
      <c r="W6389">
        <v>0.29092370000000001</v>
      </c>
      <c r="X6389">
        <v>0.95364059999999995</v>
      </c>
      <c r="Y6389">
        <v>-2.918306E-2</v>
      </c>
      <c r="Z6389">
        <v>8.8527799999999993E-3</v>
      </c>
      <c r="AA6389">
        <v>0.9995349</v>
      </c>
      <c r="AB6389">
        <v>11</v>
      </c>
      <c r="AC6389">
        <v>0.57360000000001299</v>
      </c>
      <c r="AD6389">
        <v>-0.23776929999999999</v>
      </c>
      <c r="AE6389">
        <v>1.49999999999863E-2</v>
      </c>
      <c r="AF6389">
        <v>-1.8103068535367198E-2</v>
      </c>
      <c r="AG6389">
        <v>-0.23776929999999999</v>
      </c>
      <c r="AH6389">
        <v>0.48937343253756799</v>
      </c>
      <c r="AI6389">
        <v>115.89808711705901</v>
      </c>
      <c r="AJ6389">
        <v>92.118538964438997</v>
      </c>
      <c r="AK6389">
        <v>0.54437883646086704</v>
      </c>
      <c r="AL6389">
        <v>73.086735057326806</v>
      </c>
      <c r="AM6389">
        <v>94.6177718019335</v>
      </c>
      <c r="AN6389">
        <v>0.99999998506836096</v>
      </c>
    </row>
    <row r="6390" spans="1:40" x14ac:dyDescent="0.25">
      <c r="A6390" t="str">
        <f>"20190304164814573"</f>
        <v>20190304164814573</v>
      </c>
      <c r="B6390" t="str">
        <f>"1551689294565595"</f>
        <v>1551689294565595</v>
      </c>
      <c r="C6390" t="s">
        <v>40</v>
      </c>
      <c r="D6390">
        <v>5.0996790000000001</v>
      </c>
      <c r="E6390">
        <v>0.53349869999999899</v>
      </c>
      <c r="F6390" t="s">
        <v>41</v>
      </c>
      <c r="G6390">
        <v>-126.4992</v>
      </c>
      <c r="H6390">
        <v>0.87837710000000002</v>
      </c>
      <c r="I6390">
        <v>138.02459999999999</v>
      </c>
      <c r="J6390">
        <v>-127.0723</v>
      </c>
      <c r="K6390">
        <v>1.113302</v>
      </c>
      <c r="L6390">
        <v>138.0095</v>
      </c>
      <c r="M6390">
        <v>0.99935700000000005</v>
      </c>
      <c r="N6390">
        <v>-3.4181219999999998E-2</v>
      </c>
      <c r="O6390">
        <v>-1.0820420000000001E-2</v>
      </c>
      <c r="P6390">
        <v>0.96488640000000003</v>
      </c>
      <c r="Q6390">
        <v>0.25372929999999999</v>
      </c>
      <c r="R6390">
        <v>6.7936259999999998E-2</v>
      </c>
      <c r="S6390">
        <v>3.4327239999999999</v>
      </c>
      <c r="T6390">
        <v>-1.2145060000000001</v>
      </c>
      <c r="U6390">
        <v>7.3059079999999998E-2</v>
      </c>
      <c r="V6390">
        <v>-7.8369449999999993E-2</v>
      </c>
      <c r="W6390">
        <v>0.28653779999999901</v>
      </c>
      <c r="X6390">
        <v>0.95485830000000005</v>
      </c>
      <c r="Y6390">
        <v>-2.9584300000000001E-2</v>
      </c>
      <c r="Z6390">
        <v>8.9559989999999992E-3</v>
      </c>
      <c r="AA6390">
        <v>0.99952209999999997</v>
      </c>
      <c r="AB6390">
        <v>10</v>
      </c>
      <c r="AC6390">
        <v>0.57309999999999595</v>
      </c>
      <c r="AD6390">
        <v>-0.23492489999999999</v>
      </c>
      <c r="AE6390">
        <v>1.5099999999989599E-2</v>
      </c>
      <c r="AF6390">
        <v>-1.8240949691918099E-2</v>
      </c>
      <c r="AG6390">
        <v>-0.23492489999999999</v>
      </c>
      <c r="AH6390">
        <v>0.49053373914362203</v>
      </c>
      <c r="AI6390">
        <v>115.575129955478</v>
      </c>
      <c r="AJ6390">
        <v>92.129615182573303</v>
      </c>
      <c r="AK6390">
        <v>0.54419278764413603</v>
      </c>
      <c r="AL6390">
        <v>73.3492082375449</v>
      </c>
      <c r="AM6390">
        <v>94.692001821747297</v>
      </c>
      <c r="AN6390">
        <v>1.0000000273005101</v>
      </c>
    </row>
    <row r="6391" spans="1:40" x14ac:dyDescent="0.25">
      <c r="A6391" t="str">
        <f>"20190304164814596"</f>
        <v>20190304164814596</v>
      </c>
      <c r="B6391" t="str">
        <f>"1551689294586091"</f>
        <v>1551689294586091</v>
      </c>
      <c r="C6391" t="s">
        <v>40</v>
      </c>
      <c r="D6391">
        <v>5.0581500000000004</v>
      </c>
      <c r="E6391">
        <v>0.53359429999999997</v>
      </c>
      <c r="F6391" t="s">
        <v>41</v>
      </c>
      <c r="G6391">
        <v>-126.40730000000001</v>
      </c>
      <c r="H6391">
        <v>0.89174200000000003</v>
      </c>
      <c r="I6391">
        <v>138.02260000000001</v>
      </c>
      <c r="J6391">
        <v>-126.9781</v>
      </c>
      <c r="K6391">
        <v>1.1132949999999999</v>
      </c>
      <c r="L6391">
        <v>138.0085</v>
      </c>
      <c r="M6391">
        <v>0.99935879999999999</v>
      </c>
      <c r="N6391">
        <v>-3.4129710000000001E-2</v>
      </c>
      <c r="O6391">
        <v>-1.081668E-2</v>
      </c>
      <c r="P6391">
        <v>0.96609900000000004</v>
      </c>
      <c r="Q6391">
        <v>0.24860879999999999</v>
      </c>
      <c r="R6391">
        <v>6.9618369999999999E-2</v>
      </c>
      <c r="S6391">
        <v>3.4025569999999998</v>
      </c>
      <c r="T6391">
        <v>-1.13371</v>
      </c>
      <c r="U6391">
        <v>6.7459110000000003E-2</v>
      </c>
      <c r="V6391">
        <v>-8.0061380000000001E-2</v>
      </c>
      <c r="W6391">
        <v>0.281412</v>
      </c>
      <c r="X6391">
        <v>0.95624129999999996</v>
      </c>
      <c r="Y6391">
        <v>-2.846651E-2</v>
      </c>
      <c r="Z6391">
        <v>8.2657689999999992E-3</v>
      </c>
      <c r="AA6391">
        <v>0.99956060000000002</v>
      </c>
      <c r="AB6391">
        <v>10</v>
      </c>
      <c r="AC6391">
        <v>0.57079999999999098</v>
      </c>
      <c r="AD6391">
        <v>-0.221553</v>
      </c>
      <c r="AE6391">
        <v>1.41000000000133E-2</v>
      </c>
      <c r="AF6391">
        <v>-1.76234671739217E-2</v>
      </c>
      <c r="AG6391">
        <v>-0.221553</v>
      </c>
      <c r="AH6391">
        <v>0.49594263784994203</v>
      </c>
      <c r="AI6391">
        <v>114.058340221466</v>
      </c>
      <c r="AJ6391">
        <v>92.0351659870379</v>
      </c>
      <c r="AK6391">
        <v>0.54346611526551403</v>
      </c>
      <c r="AL6391">
        <v>73.655504316879799</v>
      </c>
      <c r="AM6391">
        <v>94.785931640681497</v>
      </c>
      <c r="AN6391">
        <v>0.999999981068596</v>
      </c>
    </row>
    <row r="6392" spans="1:40" x14ac:dyDescent="0.25">
      <c r="A6392" t="str">
        <f>"20190304164814618"</f>
        <v>20190304164814618</v>
      </c>
      <c r="B6392" t="str">
        <f>"1551689294605612"</f>
        <v>1551689294605612</v>
      </c>
      <c r="C6392" t="s">
        <v>40</v>
      </c>
      <c r="D6392">
        <v>5.1354059999999997</v>
      </c>
      <c r="E6392">
        <v>0.53352029999999995</v>
      </c>
      <c r="F6392" t="s">
        <v>41</v>
      </c>
      <c r="G6392">
        <v>-126.25620000000001</v>
      </c>
      <c r="H6392">
        <v>0.86886980000000003</v>
      </c>
      <c r="I6392">
        <v>138.02359999999999</v>
      </c>
      <c r="J6392">
        <v>-126.8955</v>
      </c>
      <c r="K6392">
        <v>1.113272</v>
      </c>
      <c r="L6392">
        <v>138.0076</v>
      </c>
      <c r="M6392">
        <v>0.99936210000000003</v>
      </c>
      <c r="N6392">
        <v>-3.4039779999999999E-2</v>
      </c>
      <c r="O6392">
        <v>-1.0812759999999999E-2</v>
      </c>
      <c r="P6392">
        <v>0.96754830000000003</v>
      </c>
      <c r="Q6392">
        <v>0.2424501</v>
      </c>
      <c r="R6392">
        <v>7.1195140000000004E-2</v>
      </c>
      <c r="S6392">
        <v>3.3960270000000001</v>
      </c>
      <c r="T6392">
        <v>-1.149821</v>
      </c>
      <c r="U6392">
        <v>7.1334839999999997E-2</v>
      </c>
      <c r="V6392">
        <v>-8.1650449999999999E-2</v>
      </c>
      <c r="W6392">
        <v>0.27521899999999999</v>
      </c>
      <c r="X6392">
        <v>0.95790799999999998</v>
      </c>
      <c r="Y6392">
        <v>-2.9508690000000001E-2</v>
      </c>
      <c r="Z6392">
        <v>8.5792079999999996E-3</v>
      </c>
      <c r="AA6392">
        <v>0.99952770000000002</v>
      </c>
      <c r="AB6392">
        <v>9</v>
      </c>
      <c r="AC6392">
        <v>0.63929999999999099</v>
      </c>
      <c r="AD6392">
        <v>-0.24440220000000001</v>
      </c>
      <c r="AE6392">
        <v>1.5999999999991101E-2</v>
      </c>
      <c r="AF6392">
        <v>-1.99951877529146E-2</v>
      </c>
      <c r="AG6392">
        <v>-0.24440220000000001</v>
      </c>
      <c r="AH6392">
        <v>0.55764090373543396</v>
      </c>
      <c r="AI6392">
        <v>113.6532912374</v>
      </c>
      <c r="AJ6392">
        <v>92.053560372162195</v>
      </c>
      <c r="AK6392">
        <v>0.60917618175449495</v>
      </c>
      <c r="AL6392">
        <v>74.024934695462704</v>
      </c>
      <c r="AM6392">
        <v>94.872018321997302</v>
      </c>
      <c r="AN6392">
        <v>1.0000000152051001</v>
      </c>
    </row>
    <row r="6393" spans="1:40" x14ac:dyDescent="0.25">
      <c r="A6393" t="str">
        <f>"20190304164814643"</f>
        <v>20190304164814643</v>
      </c>
      <c r="B6393" t="str">
        <f>"1551689294635868"</f>
        <v>1551689294635868</v>
      </c>
      <c r="C6393" t="s">
        <v>40</v>
      </c>
      <c r="D6393">
        <v>5.244383</v>
      </c>
      <c r="E6393">
        <v>0.5371899</v>
      </c>
      <c r="F6393" t="s">
        <v>41</v>
      </c>
      <c r="G6393">
        <v>-126.1802</v>
      </c>
      <c r="H6393">
        <v>0.86653549999999901</v>
      </c>
      <c r="I6393">
        <v>138.02379999999999</v>
      </c>
      <c r="J6393">
        <v>-126.798</v>
      </c>
      <c r="K6393">
        <v>1.1131279999999999</v>
      </c>
      <c r="L6393">
        <v>138.00659999999999</v>
      </c>
      <c r="M6393">
        <v>0.99938099999999996</v>
      </c>
      <c r="N6393">
        <v>-3.348255E-2</v>
      </c>
      <c r="O6393">
        <v>-1.0806629999999999E-2</v>
      </c>
      <c r="P6393">
        <v>0.96944459999999999</v>
      </c>
      <c r="Q6393">
        <v>0.2341374</v>
      </c>
      <c r="R6393">
        <v>7.3192279999999998E-2</v>
      </c>
      <c r="S6393">
        <v>3.3877869999999999</v>
      </c>
      <c r="T6393">
        <v>-1.168558</v>
      </c>
      <c r="U6393">
        <v>7.7011109999999994E-2</v>
      </c>
      <c r="V6393">
        <v>-8.3662089999999995E-2</v>
      </c>
      <c r="W6393">
        <v>0.26643990000000001</v>
      </c>
      <c r="X6393">
        <v>0.96021380000000001</v>
      </c>
      <c r="Y6393">
        <v>-3.1046609999999999E-2</v>
      </c>
      <c r="Z6393">
        <v>9.0092539999999995E-3</v>
      </c>
      <c r="AA6393">
        <v>0.99947730000000001</v>
      </c>
      <c r="AB6393">
        <v>9</v>
      </c>
      <c r="AC6393">
        <v>0.61779999999998803</v>
      </c>
      <c r="AD6393">
        <v>-0.24659249999999999</v>
      </c>
      <c r="AE6393">
        <v>1.7200000000002501E-2</v>
      </c>
      <c r="AF6393">
        <v>-2.0599718155105199E-2</v>
      </c>
      <c r="AG6393">
        <v>-0.24659249999999999</v>
      </c>
      <c r="AH6393">
        <v>0.53276480315818497</v>
      </c>
      <c r="AI6393">
        <v>114.82095353307901</v>
      </c>
      <c r="AJ6393">
        <v>92.214277752981999</v>
      </c>
      <c r="AK6393">
        <v>0.58742705498512704</v>
      </c>
      <c r="AL6393">
        <v>74.547471391305095</v>
      </c>
      <c r="AM6393">
        <v>94.979526299072504</v>
      </c>
      <c r="AN6393">
        <v>1.0000000536628</v>
      </c>
    </row>
    <row r="6394" spans="1:40" x14ac:dyDescent="0.25">
      <c r="A6394" t="str">
        <f>"20190304164814680"</f>
        <v>20190304164814680</v>
      </c>
      <c r="B6394" t="str">
        <f>"1551689294675612"</f>
        <v>1551689294675612</v>
      </c>
      <c r="C6394" t="s">
        <v>40</v>
      </c>
      <c r="D6394">
        <v>5.1621509999999997</v>
      </c>
      <c r="E6394">
        <v>0.55376009999999998</v>
      </c>
      <c r="F6394" t="s">
        <v>41</v>
      </c>
      <c r="G6394">
        <v>-126.1067</v>
      </c>
      <c r="H6394">
        <v>0.86400650000000001</v>
      </c>
      <c r="I6394">
        <v>138.01740000000001</v>
      </c>
      <c r="J6394">
        <v>-126.6652</v>
      </c>
      <c r="K6394">
        <v>1.1129199999999999</v>
      </c>
      <c r="L6394">
        <v>138.0052</v>
      </c>
      <c r="M6394">
        <v>0.99941029999999997</v>
      </c>
      <c r="N6394">
        <v>-3.25943E-2</v>
      </c>
      <c r="O6394">
        <v>-1.079482E-2</v>
      </c>
      <c r="P6394">
        <v>0.97257039999999995</v>
      </c>
      <c r="Q6394">
        <v>0.21954599999999999</v>
      </c>
      <c r="R6394">
        <v>7.6851310000000006E-2</v>
      </c>
      <c r="S6394">
        <v>3.385132</v>
      </c>
      <c r="T6394">
        <v>-1.2199139999999999</v>
      </c>
      <c r="U6394">
        <v>5.334473E-2</v>
      </c>
      <c r="V6394">
        <v>-8.7344069999999996E-2</v>
      </c>
      <c r="W6394">
        <v>0.25110359999999998</v>
      </c>
      <c r="X6394">
        <v>0.96401139999999996</v>
      </c>
      <c r="Y6394">
        <v>-2.4315E-2</v>
      </c>
      <c r="Z6394">
        <v>8.0860810000000002E-3</v>
      </c>
      <c r="AA6394">
        <v>0.99967159999999999</v>
      </c>
      <c r="AB6394">
        <v>9</v>
      </c>
      <c r="AC6394">
        <v>0.558499999999995</v>
      </c>
      <c r="AD6394">
        <v>-0.24891350000000001</v>
      </c>
      <c r="AE6394">
        <v>1.2200000000007E-2</v>
      </c>
      <c r="AF6394">
        <v>-1.5211368171202701E-2</v>
      </c>
      <c r="AG6394">
        <v>-0.24891350000000001</v>
      </c>
      <c r="AH6394">
        <v>0.46584732083564601</v>
      </c>
      <c r="AI6394">
        <v>118.103981496744</v>
      </c>
      <c r="AJ6394">
        <v>91.870221423171699</v>
      </c>
      <c r="AK6394">
        <v>0.528396671576988</v>
      </c>
      <c r="AL6394">
        <v>75.457172728767702</v>
      </c>
      <c r="AM6394">
        <v>95.177137339353393</v>
      </c>
      <c r="AN6394">
        <v>0.99999999191354205</v>
      </c>
    </row>
    <row r="6395" spans="1:40" x14ac:dyDescent="0.25">
      <c r="A6395" t="str">
        <f>"20190304164814707"</f>
        <v>20190304164814707</v>
      </c>
      <c r="B6395" t="str">
        <f>"1551689294696109"</f>
        <v>1551689294696109</v>
      </c>
      <c r="C6395" t="s">
        <v>40</v>
      </c>
      <c r="D6395">
        <v>5.2065780000000004</v>
      </c>
      <c r="E6395">
        <v>0.55355919999999903</v>
      </c>
      <c r="F6395" t="s">
        <v>41</v>
      </c>
      <c r="G6395">
        <v>-125.9825</v>
      </c>
      <c r="H6395">
        <v>0.82919179999999904</v>
      </c>
      <c r="I6395">
        <v>137.99199999999999</v>
      </c>
      <c r="J6395">
        <v>-126.5706</v>
      </c>
      <c r="K6395">
        <v>1.1129169999999999</v>
      </c>
      <c r="L6395">
        <v>138.0042</v>
      </c>
      <c r="M6395">
        <v>0.99941970000000002</v>
      </c>
      <c r="N6395">
        <v>-3.2316009999999999E-2</v>
      </c>
      <c r="O6395">
        <v>-1.0785950000000001E-2</v>
      </c>
      <c r="P6395">
        <v>0.97370610000000002</v>
      </c>
      <c r="Q6395">
        <v>0.2146209</v>
      </c>
      <c r="R6395">
        <v>7.6384820000000006E-2</v>
      </c>
      <c r="S6395">
        <v>3.4096220000000002</v>
      </c>
      <c r="T6395">
        <v>-1.416911</v>
      </c>
      <c r="U6395">
        <v>-6.5399170000000006E-2</v>
      </c>
      <c r="V6395">
        <v>-8.6880639999999995E-2</v>
      </c>
      <c r="W6395">
        <v>0.2459491</v>
      </c>
      <c r="X6395">
        <v>0.96538109999999999</v>
      </c>
      <c r="Y6395">
        <v>8.3922040000000003E-3</v>
      </c>
      <c r="Z6395">
        <v>2.15176E-3</v>
      </c>
      <c r="AA6395">
        <v>0.99996240000000003</v>
      </c>
      <c r="AB6395">
        <v>8</v>
      </c>
      <c r="AC6395">
        <v>0.58809999999999696</v>
      </c>
      <c r="AD6395">
        <v>-0.28372520000000001</v>
      </c>
      <c r="AE6395">
        <v>-1.2199999999978599E-2</v>
      </c>
      <c r="AF6395">
        <v>4.7481035488750002E-3</v>
      </c>
      <c r="AG6395">
        <v>-0.28372520000000001</v>
      </c>
      <c r="AH6395">
        <v>0.47718046844964701</v>
      </c>
      <c r="AI6395">
        <v>120.733911153745</v>
      </c>
      <c r="AJ6395">
        <v>89.429906850321601</v>
      </c>
      <c r="AK6395">
        <v>0.55517900993479197</v>
      </c>
      <c r="AL6395">
        <v>75.762069565111005</v>
      </c>
      <c r="AM6395">
        <v>95.142549139491095</v>
      </c>
      <c r="AN6395">
        <v>0.99999993681741195</v>
      </c>
    </row>
    <row r="6396" spans="1:40" x14ac:dyDescent="0.25">
      <c r="A6396" t="str">
        <f>"20190304164814732"</f>
        <v>20190304164814732</v>
      </c>
      <c r="B6396" t="str">
        <f>"1551689294726365"</f>
        <v>1551689294726365</v>
      </c>
      <c r="C6396" t="s">
        <v>40</v>
      </c>
      <c r="D6396">
        <v>5.1956619999999996</v>
      </c>
      <c r="E6396">
        <v>0.554006</v>
      </c>
      <c r="F6396" t="s">
        <v>41</v>
      </c>
      <c r="G6396">
        <v>-125.9139</v>
      </c>
      <c r="H6396">
        <v>0.83533069999999898</v>
      </c>
      <c r="I6396">
        <v>137.9915</v>
      </c>
      <c r="J6396">
        <v>-126.49639999999999</v>
      </c>
      <c r="K6396">
        <v>1.113075</v>
      </c>
      <c r="L6396">
        <v>138.0034</v>
      </c>
      <c r="M6396">
        <v>0.99940379999999995</v>
      </c>
      <c r="N6396">
        <v>-3.280019E-2</v>
      </c>
      <c r="O6396">
        <v>-1.0779E-2</v>
      </c>
      <c r="P6396">
        <v>0.9760799</v>
      </c>
      <c r="Q6396">
        <v>0.20298240000000001</v>
      </c>
      <c r="R6396">
        <v>7.788552E-2</v>
      </c>
      <c r="S6396">
        <v>3.403168</v>
      </c>
      <c r="T6396">
        <v>-1.438318</v>
      </c>
      <c r="U6396">
        <v>-6.5216060000000006E-2</v>
      </c>
      <c r="V6396">
        <v>-8.8400339999999994E-2</v>
      </c>
      <c r="W6396">
        <v>0.23486199999999999</v>
      </c>
      <c r="X6396">
        <v>0.96800070000000005</v>
      </c>
      <c r="Y6396">
        <v>8.38238E-3</v>
      </c>
      <c r="Z6396">
        <v>2.185668E-3</v>
      </c>
      <c r="AA6396">
        <v>0.99996240000000003</v>
      </c>
      <c r="AB6396">
        <v>8</v>
      </c>
      <c r="AC6396">
        <v>0.58249999999999602</v>
      </c>
      <c r="AD6396">
        <v>-0.2777443</v>
      </c>
      <c r="AE6396">
        <v>-1.18999999999971E-2</v>
      </c>
      <c r="AF6396">
        <v>4.5770040410637097E-3</v>
      </c>
      <c r="AG6396">
        <v>-0.2777443</v>
      </c>
      <c r="AH6396">
        <v>0.47471268926638899</v>
      </c>
      <c r="AI6396">
        <v>120.32983428212999</v>
      </c>
      <c r="AJ6396">
        <v>89.447592418270602</v>
      </c>
      <c r="AK6396">
        <v>0.55001362028499701</v>
      </c>
      <c r="AL6396">
        <v>76.416512641201606</v>
      </c>
      <c r="AM6396">
        <v>95.217926114057803</v>
      </c>
      <c r="AN6396">
        <v>1.0000000671783</v>
      </c>
    </row>
    <row r="6397" spans="1:40" x14ac:dyDescent="0.25">
      <c r="A6397" t="str">
        <f>"20190304164814770"</f>
        <v>20190304164814770</v>
      </c>
      <c r="B6397" t="str">
        <f>"1551689294766382"</f>
        <v>1551689294766382</v>
      </c>
      <c r="C6397" t="s">
        <v>40</v>
      </c>
      <c r="D6397">
        <v>5.2540829999999996</v>
      </c>
      <c r="E6397">
        <v>0.55506390000000005</v>
      </c>
      <c r="F6397" t="s">
        <v>41</v>
      </c>
      <c r="G6397">
        <v>-125.854</v>
      </c>
      <c r="H6397">
        <v>0.834478099999999</v>
      </c>
      <c r="I6397">
        <v>137.99039999999999</v>
      </c>
      <c r="J6397">
        <v>-126.3952</v>
      </c>
      <c r="K6397">
        <v>1.113472</v>
      </c>
      <c r="L6397">
        <v>138.00229999999999</v>
      </c>
      <c r="M6397">
        <v>0.99933910000000004</v>
      </c>
      <c r="N6397">
        <v>-3.471962E-2</v>
      </c>
      <c r="O6397">
        <v>-1.077112E-2</v>
      </c>
      <c r="P6397">
        <v>0.9821183</v>
      </c>
      <c r="Q6397">
        <v>0.17033289999999901</v>
      </c>
      <c r="R6397">
        <v>8.0191689999999996E-2</v>
      </c>
      <c r="S6397">
        <v>3.384109</v>
      </c>
      <c r="T6397">
        <v>-1.4674430000000001</v>
      </c>
      <c r="U6397">
        <v>-6.7779539999999999E-2</v>
      </c>
      <c r="V6397">
        <v>-9.0764839999999999E-2</v>
      </c>
      <c r="W6397">
        <v>0.20430029999999999</v>
      </c>
      <c r="X6397">
        <v>0.97469130000000004</v>
      </c>
      <c r="Y6397">
        <v>9.1705369999999994E-3</v>
      </c>
      <c r="Z6397">
        <v>2.0405029999999999E-3</v>
      </c>
      <c r="AA6397">
        <v>0.99995590000000001</v>
      </c>
      <c r="AB6397">
        <v>7</v>
      </c>
      <c r="AC6397">
        <v>0.54120000000000301</v>
      </c>
      <c r="AD6397">
        <v>-0.27899390000000002</v>
      </c>
      <c r="AE6397">
        <v>-1.18999999999971E-2</v>
      </c>
      <c r="AF6397">
        <v>4.7932658461932601E-3</v>
      </c>
      <c r="AG6397">
        <v>-0.27899390000000002</v>
      </c>
      <c r="AH6397">
        <v>0.427692354580957</v>
      </c>
      <c r="AI6397">
        <v>123.115720105085</v>
      </c>
      <c r="AJ6397">
        <v>89.357897323358401</v>
      </c>
      <c r="AK6397">
        <v>0.51066752569718499</v>
      </c>
      <c r="AL6397">
        <v>78.211457644591704</v>
      </c>
      <c r="AM6397">
        <v>95.320133537820794</v>
      </c>
      <c r="AN6397">
        <v>0.999999999528002</v>
      </c>
    </row>
    <row r="6398" spans="1:40" x14ac:dyDescent="0.25">
      <c r="A6398" t="str">
        <f>"20190304164814798"</f>
        <v>20190304164814798</v>
      </c>
      <c r="B6398" t="str">
        <f>"1551689294785901"</f>
        <v>1551689294785901</v>
      </c>
      <c r="C6398" t="s">
        <v>40</v>
      </c>
      <c r="D6398">
        <v>5.206315</v>
      </c>
      <c r="E6398">
        <v>0.55564619999999998</v>
      </c>
      <c r="F6398" t="s">
        <v>41</v>
      </c>
      <c r="G6398">
        <v>-125.7577</v>
      </c>
      <c r="H6398">
        <v>0.81620749999999997</v>
      </c>
      <c r="I6398">
        <v>137.98689999999999</v>
      </c>
      <c r="J6398">
        <v>-126.33159999999999</v>
      </c>
      <c r="K6398">
        <v>1.1136760000000001</v>
      </c>
      <c r="L6398">
        <v>138.0017</v>
      </c>
      <c r="M6398">
        <v>0.99928919999999999</v>
      </c>
      <c r="N6398">
        <v>-3.6126110000000003E-2</v>
      </c>
      <c r="O6398">
        <v>-1.0766990000000001E-2</v>
      </c>
      <c r="P6398">
        <v>0.98523450000000001</v>
      </c>
      <c r="Q6398">
        <v>0.15118709999999999</v>
      </c>
      <c r="R6398">
        <v>8.0344739999999998E-2</v>
      </c>
      <c r="S6398">
        <v>3.3304900000000002</v>
      </c>
      <c r="T6398">
        <v>-1.552989</v>
      </c>
      <c r="U6398">
        <v>-7.9986570000000007E-2</v>
      </c>
      <c r="V6398">
        <v>-9.0947840000000002E-2</v>
      </c>
      <c r="W6398">
        <v>0.1866514</v>
      </c>
      <c r="X6398">
        <v>0.97820739999999995</v>
      </c>
      <c r="Y6398">
        <v>1.27528E-2</v>
      </c>
      <c r="Z6398">
        <v>1.3320439999999999E-3</v>
      </c>
      <c r="AA6398">
        <v>0.99991779999999997</v>
      </c>
      <c r="AB6398">
        <v>6</v>
      </c>
      <c r="AC6398">
        <v>0.57389999999999397</v>
      </c>
      <c r="AD6398">
        <v>-0.29746850000000002</v>
      </c>
      <c r="AE6398">
        <v>-1.48000000000081E-2</v>
      </c>
      <c r="AF6398">
        <v>6.7922962043435002E-3</v>
      </c>
      <c r="AG6398">
        <v>-0.29746850000000002</v>
      </c>
      <c r="AH6398">
        <v>0.45252875092978401</v>
      </c>
      <c r="AI6398">
        <v>123.315844240632</v>
      </c>
      <c r="AJ6398">
        <v>89.140075224902503</v>
      </c>
      <c r="AK6398">
        <v>0.54158647896531598</v>
      </c>
      <c r="AL6398">
        <v>79.242571983282204</v>
      </c>
      <c r="AM6398">
        <v>95.311746858576498</v>
      </c>
      <c r="AN6398">
        <v>0.999999986068692</v>
      </c>
    </row>
    <row r="6399" spans="1:40" x14ac:dyDescent="0.25">
      <c r="A6399" t="str">
        <f>"20190304164814822"</f>
        <v>20190304164814822</v>
      </c>
      <c r="B6399" t="str">
        <f>"1551689294816156"</f>
        <v>1551689294816156</v>
      </c>
      <c r="C6399" t="s">
        <v>40</v>
      </c>
      <c r="D6399">
        <v>5.5530900000000001</v>
      </c>
      <c r="E6399">
        <v>0.56521639999999995</v>
      </c>
      <c r="F6399" t="s">
        <v>41</v>
      </c>
      <c r="G6399">
        <v>-125.68049999999999</v>
      </c>
      <c r="H6399">
        <v>0.79728639999999995</v>
      </c>
      <c r="I6399">
        <v>137.9847</v>
      </c>
      <c r="J6399">
        <v>-126.28449999999999</v>
      </c>
      <c r="K6399">
        <v>1.113612</v>
      </c>
      <c r="L6399">
        <v>138.00120000000001</v>
      </c>
      <c r="M6399">
        <v>0.99927299999999997</v>
      </c>
      <c r="N6399">
        <v>-3.657266E-2</v>
      </c>
      <c r="O6399">
        <v>-1.076586E-2</v>
      </c>
      <c r="P6399">
        <v>0.98743239999999999</v>
      </c>
      <c r="Q6399">
        <v>0.13583789999999901</v>
      </c>
      <c r="R6399">
        <v>8.0780009999999999E-2</v>
      </c>
      <c r="S6399">
        <v>3.2979280000000002</v>
      </c>
      <c r="T6399">
        <v>-1.602773</v>
      </c>
      <c r="U6399">
        <v>-8.5983279999999995E-2</v>
      </c>
      <c r="V6399">
        <v>-9.1406899999999999E-2</v>
      </c>
      <c r="W6399">
        <v>0.17182939999999999</v>
      </c>
      <c r="X6399">
        <v>0.98087690000000005</v>
      </c>
      <c r="Y6399">
        <v>1.4556879999999999E-2</v>
      </c>
      <c r="Z6399">
        <v>9.4848079999999997E-4</v>
      </c>
      <c r="AA6399">
        <v>0.99989360000000005</v>
      </c>
      <c r="AB6399">
        <v>5</v>
      </c>
      <c r="AC6399">
        <v>0.60399999999999898</v>
      </c>
      <c r="AD6399">
        <v>-0.31632559999999998</v>
      </c>
      <c r="AE6399">
        <v>-1.6500000000007699E-2</v>
      </c>
      <c r="AF6399">
        <v>7.8426332181032194E-3</v>
      </c>
      <c r="AG6399">
        <v>-0.31632559999999998</v>
      </c>
      <c r="AH6399">
        <v>0.47418110012327103</v>
      </c>
      <c r="AI6399">
        <v>123.703584450888</v>
      </c>
      <c r="AJ6399">
        <v>89.052453129841695</v>
      </c>
      <c r="AK6399">
        <v>0.57006237187282305</v>
      </c>
      <c r="AL6399">
        <v>80.105798986306496</v>
      </c>
      <c r="AM6399">
        <v>95.323958329661707</v>
      </c>
      <c r="AN6399">
        <v>1.0000000285127799</v>
      </c>
    </row>
    <row r="6400" spans="1:40" x14ac:dyDescent="0.25">
      <c r="A6400" t="str">
        <f>"20190304164814845"</f>
        <v>20190304164814845</v>
      </c>
      <c r="B6400" t="str">
        <f>"1551689294835677"</f>
        <v>1551689294835677</v>
      </c>
      <c r="C6400" t="s">
        <v>40</v>
      </c>
      <c r="D6400">
        <v>5.3730960000000003</v>
      </c>
      <c r="E6400">
        <v>0.56382209999999999</v>
      </c>
      <c r="F6400" t="s">
        <v>41</v>
      </c>
      <c r="G6400">
        <v>-125.6305</v>
      </c>
      <c r="H6400">
        <v>0.82407940000000002</v>
      </c>
      <c r="I6400">
        <v>137.96619999999999</v>
      </c>
      <c r="J6400">
        <v>-126.2388</v>
      </c>
      <c r="K6400">
        <v>1.1133569999999999</v>
      </c>
      <c r="L6400">
        <v>138.00069999999999</v>
      </c>
      <c r="M6400">
        <v>0.99928649999999997</v>
      </c>
      <c r="N6400">
        <v>-3.6205139999999997E-2</v>
      </c>
      <c r="O6400">
        <v>-1.076448E-2</v>
      </c>
      <c r="P6400">
        <v>0.9886469</v>
      </c>
      <c r="Q6400">
        <v>0.12593560000000001</v>
      </c>
      <c r="R6400">
        <v>8.1962359999999998E-2</v>
      </c>
      <c r="S6400">
        <v>3.2503660000000001</v>
      </c>
      <c r="T6400">
        <v>-1.4389670000000001</v>
      </c>
      <c r="U6400">
        <v>-0.1738586</v>
      </c>
      <c r="V6400">
        <v>-9.2601149999999993E-2</v>
      </c>
      <c r="W6400">
        <v>0.1616166</v>
      </c>
      <c r="X6400">
        <v>0.98249940000000002</v>
      </c>
      <c r="Y6400">
        <v>3.9482900000000001E-2</v>
      </c>
      <c r="Z6400">
        <v>-4.9183940000000004E-3</v>
      </c>
      <c r="AA6400">
        <v>0.99920819999999999</v>
      </c>
      <c r="AB6400">
        <v>5</v>
      </c>
      <c r="AC6400">
        <v>0.60829999999999895</v>
      </c>
      <c r="AD6400">
        <v>-0.28927759999999902</v>
      </c>
      <c r="AE6400">
        <v>-3.4500000000008399E-2</v>
      </c>
      <c r="AF6400">
        <v>2.2804907334690299E-2</v>
      </c>
      <c r="AG6400">
        <v>-0.28927759999999902</v>
      </c>
      <c r="AH6400">
        <v>0.49667426132551101</v>
      </c>
      <c r="AI6400">
        <v>120.191539968635</v>
      </c>
      <c r="AJ6400">
        <v>87.371098138610506</v>
      </c>
      <c r="AK6400">
        <v>0.57522770754158303</v>
      </c>
      <c r="AL6400">
        <v>80.699257926572898</v>
      </c>
      <c r="AM6400">
        <v>95.384255631648102</v>
      </c>
      <c r="AN6400">
        <v>0.99999998468862095</v>
      </c>
    </row>
    <row r="6401" spans="1:40" x14ac:dyDescent="0.25">
      <c r="A6401" t="str">
        <f>"20190304164814870"</f>
        <v>20190304164814870</v>
      </c>
      <c r="B6401" t="str">
        <f>"1551689294865933"</f>
        <v>1551689294865933</v>
      </c>
      <c r="C6401" t="s">
        <v>40</v>
      </c>
      <c r="D6401">
        <v>5.1835269999999998</v>
      </c>
      <c r="E6401">
        <v>0.52704399999999996</v>
      </c>
      <c r="F6401" t="s">
        <v>41</v>
      </c>
      <c r="G6401">
        <v>-125.595</v>
      </c>
      <c r="H6401">
        <v>0.82099509999999898</v>
      </c>
      <c r="I6401">
        <v>137.9683</v>
      </c>
      <c r="J6401">
        <v>-126.19580000000001</v>
      </c>
      <c r="K6401">
        <v>1.113119</v>
      </c>
      <c r="L6401">
        <v>138.00030000000001</v>
      </c>
      <c r="M6401">
        <v>0.99930410000000003</v>
      </c>
      <c r="N6401">
        <v>-3.5715499999999997E-2</v>
      </c>
      <c r="O6401">
        <v>-1.076185E-2</v>
      </c>
      <c r="P6401">
        <v>0.9895273</v>
      </c>
      <c r="Q6401">
        <v>0.1176987</v>
      </c>
      <c r="R6401">
        <v>8.3562839999999999E-2</v>
      </c>
      <c r="S6401">
        <v>3.2350159999999999</v>
      </c>
      <c r="T6401">
        <v>-1.468936</v>
      </c>
      <c r="U6401">
        <v>-0.1623993</v>
      </c>
      <c r="V6401">
        <v>-9.4208139999999996E-2</v>
      </c>
      <c r="W6401">
        <v>0.1529346</v>
      </c>
      <c r="X6401">
        <v>0.98373569999999999</v>
      </c>
      <c r="Y6401">
        <v>3.6396820000000003E-2</v>
      </c>
      <c r="Z6401">
        <v>-4.2685550000000003E-3</v>
      </c>
      <c r="AA6401">
        <v>0.99932829999999995</v>
      </c>
      <c r="AB6401">
        <v>4</v>
      </c>
      <c r="AC6401">
        <v>0.600800000000006</v>
      </c>
      <c r="AD6401">
        <v>-0.29212389999999999</v>
      </c>
      <c r="AE6401">
        <v>-3.2000000000010603E-2</v>
      </c>
      <c r="AF6401">
        <v>2.0658210404438802E-2</v>
      </c>
      <c r="AG6401">
        <v>-0.29212389999999999</v>
      </c>
      <c r="AH6401">
        <v>0.48643478511788601</v>
      </c>
      <c r="AI6401">
        <v>120.96375219147301</v>
      </c>
      <c r="AJ6401">
        <v>87.568189029469195</v>
      </c>
      <c r="AK6401">
        <v>0.56778687443530096</v>
      </c>
      <c r="AL6401">
        <v>81.202970991774507</v>
      </c>
      <c r="AM6401">
        <v>95.470288456318002</v>
      </c>
      <c r="AN6401">
        <v>1.0000000464869501</v>
      </c>
    </row>
    <row r="6402" spans="1:40" x14ac:dyDescent="0.25">
      <c r="A6402" t="str">
        <f>"20190304164814903"</f>
        <v>20190304164814903</v>
      </c>
      <c r="B6402" t="str">
        <f>"1551689294896192"</f>
        <v>1551689294896192</v>
      </c>
      <c r="C6402" t="s">
        <v>40</v>
      </c>
      <c r="D6402">
        <v>5.1705680000000003</v>
      </c>
      <c r="E6402">
        <v>0.52275249999999995</v>
      </c>
      <c r="F6402" t="s">
        <v>42</v>
      </c>
      <c r="G6402">
        <v>-124.5767</v>
      </c>
      <c r="H6402" s="1">
        <v>-2.5805320000000001E-6</v>
      </c>
      <c r="I6402">
        <v>138.08500000000001</v>
      </c>
      <c r="J6402">
        <v>-126.1484</v>
      </c>
      <c r="K6402">
        <v>1.112973</v>
      </c>
      <c r="L6402">
        <v>137.99979999999999</v>
      </c>
      <c r="M6402">
        <v>0.99930629999999998</v>
      </c>
      <c r="N6402">
        <v>-3.5657729999999999E-2</v>
      </c>
      <c r="O6402">
        <v>-1.075832E-2</v>
      </c>
      <c r="P6402">
        <v>0.99228510000000003</v>
      </c>
      <c r="Q6402">
        <v>9.0011099999999997E-2</v>
      </c>
      <c r="R6402">
        <v>8.5257020000000003E-2</v>
      </c>
      <c r="S6402">
        <v>3.2859340000000001</v>
      </c>
      <c r="T6402">
        <v>-2.2589890000000001</v>
      </c>
      <c r="U6402">
        <v>0.17192079999999901</v>
      </c>
      <c r="V6402">
        <v>-9.5929669999999995E-2</v>
      </c>
      <c r="W6402">
        <v>0.12530569999999999</v>
      </c>
      <c r="X6402">
        <v>0.9874695</v>
      </c>
      <c r="Y6402">
        <v>-4.968264E-2</v>
      </c>
      <c r="Z6402">
        <v>2.273099E-2</v>
      </c>
      <c r="AA6402">
        <v>0.99850640000000002</v>
      </c>
      <c r="AB6402">
        <v>4</v>
      </c>
      <c r="AC6402">
        <v>1.5716999999999901</v>
      </c>
      <c r="AD6402">
        <v>-1.1129755805320001</v>
      </c>
      <c r="AE6402">
        <v>8.5200000000014597E-2</v>
      </c>
      <c r="AF6402">
        <v>-6.8077094971805793E-2</v>
      </c>
      <c r="AG6402">
        <v>-1.1129755805320001</v>
      </c>
      <c r="AH6402">
        <v>1.04713777559441</v>
      </c>
      <c r="AI6402">
        <v>136.68546378313201</v>
      </c>
      <c r="AJ6402">
        <v>93.719709899241707</v>
      </c>
      <c r="AK6402">
        <v>1.5296557308091101</v>
      </c>
      <c r="AL6402">
        <v>82.801590213719393</v>
      </c>
      <c r="AM6402">
        <v>95.548699746194103</v>
      </c>
      <c r="AN6402">
        <v>1.00000001673452</v>
      </c>
    </row>
    <row r="6403" spans="1:40" x14ac:dyDescent="0.25">
      <c r="A6403" t="str">
        <f>"20190304164814932"</f>
        <v>20190304164814932</v>
      </c>
      <c r="B6403" t="str">
        <f>"1551689294926445"</f>
        <v>1551689294926445</v>
      </c>
      <c r="C6403" t="s">
        <v>40</v>
      </c>
      <c r="D6403">
        <v>5.1762329999999999</v>
      </c>
      <c r="E6403">
        <v>0.52218589999999998</v>
      </c>
      <c r="F6403" t="s">
        <v>42</v>
      </c>
      <c r="G6403">
        <v>-124.6931</v>
      </c>
      <c r="H6403" s="1">
        <v>-2.5279739999999999E-6</v>
      </c>
      <c r="I6403">
        <v>138.09960000000001</v>
      </c>
      <c r="J6403">
        <v>-126.1169</v>
      </c>
      <c r="K6403">
        <v>1.1129560000000001</v>
      </c>
      <c r="L6403">
        <v>137.99950000000001</v>
      </c>
      <c r="M6403">
        <v>0.99929889999999999</v>
      </c>
      <c r="N6403">
        <v>-3.586483E-2</v>
      </c>
      <c r="O6403">
        <v>-1.075626E-2</v>
      </c>
      <c r="P6403">
        <v>0.99375210000000003</v>
      </c>
      <c r="Q6403">
        <v>7.1364910000000004E-2</v>
      </c>
      <c r="R6403">
        <v>8.5815119999999995E-2</v>
      </c>
      <c r="S6403">
        <v>3.228256</v>
      </c>
      <c r="T6403">
        <v>-2.4688789999999998</v>
      </c>
      <c r="U6403">
        <v>0.22143550000000001</v>
      </c>
      <c r="V6403">
        <v>-9.6502180000000007E-2</v>
      </c>
      <c r="W6403">
        <v>0.10692840000000001</v>
      </c>
      <c r="X6403">
        <v>0.98957249999999997</v>
      </c>
      <c r="Y6403">
        <v>-6.0198479999999999E-2</v>
      </c>
      <c r="Z6403">
        <v>2.8509739999999999E-2</v>
      </c>
      <c r="AA6403">
        <v>0.99777919999999998</v>
      </c>
      <c r="AB6403">
        <v>3</v>
      </c>
      <c r="AC6403">
        <v>1.4238</v>
      </c>
      <c r="AD6403">
        <v>-1.112958527974</v>
      </c>
      <c r="AE6403">
        <v>0.100099999999997</v>
      </c>
      <c r="AF6403">
        <v>-7.1776931956159598E-2</v>
      </c>
      <c r="AG6403">
        <v>-1.112958527974</v>
      </c>
      <c r="AH6403">
        <v>0.88471483637139703</v>
      </c>
      <c r="AI6403">
        <v>141.426466784235</v>
      </c>
      <c r="AJ6403">
        <v>94.638249069403102</v>
      </c>
      <c r="AK6403">
        <v>1.4235690902259499</v>
      </c>
      <c r="AL6403">
        <v>83.861718924127302</v>
      </c>
      <c r="AM6403">
        <v>95.569818849822994</v>
      </c>
      <c r="AN6403">
        <v>1.0000000431137801</v>
      </c>
    </row>
    <row r="6404" spans="1:40" x14ac:dyDescent="0.25">
      <c r="A6404" t="str">
        <f>"20190304164814953"</f>
        <v>20190304164814953</v>
      </c>
      <c r="B6404" t="str">
        <f>"1551689294945965"</f>
        <v>1551689294945965</v>
      </c>
      <c r="C6404" t="s">
        <v>40</v>
      </c>
      <c r="D6404">
        <v>5.1737690000000001</v>
      </c>
      <c r="E6404">
        <v>0.52179540000000002</v>
      </c>
      <c r="F6404" t="s">
        <v>42</v>
      </c>
      <c r="G6404">
        <v>-124.7188</v>
      </c>
      <c r="H6404" s="1">
        <v>-2.5168339999999999E-6</v>
      </c>
      <c r="I6404">
        <v>138.1003</v>
      </c>
      <c r="J6404">
        <v>-126.09690000000001</v>
      </c>
      <c r="K6404">
        <v>1.112906</v>
      </c>
      <c r="L6404">
        <v>137.99930000000001</v>
      </c>
      <c r="M6404">
        <v>0.99929659999999998</v>
      </c>
      <c r="N6404">
        <v>-3.592658E-2</v>
      </c>
      <c r="O6404">
        <v>-1.075509E-2</v>
      </c>
      <c r="P6404">
        <v>0.99463140000000005</v>
      </c>
      <c r="Q6404">
        <v>5.6731339999999998E-2</v>
      </c>
      <c r="R6404">
        <v>8.6543540000000002E-2</v>
      </c>
      <c r="S6404">
        <v>3.1808779999999999</v>
      </c>
      <c r="T6404">
        <v>-2.5321940000000001</v>
      </c>
      <c r="U6404">
        <v>0.2294312</v>
      </c>
      <c r="V6404">
        <v>-9.7239329999999999E-2</v>
      </c>
      <c r="W6404">
        <v>9.2396199999999998E-2</v>
      </c>
      <c r="X6404">
        <v>0.99096289999999998</v>
      </c>
      <c r="Y6404">
        <v>-6.1834569999999998E-2</v>
      </c>
      <c r="Z6404">
        <v>3.001231E-2</v>
      </c>
      <c r="AA6404">
        <v>0.9976351</v>
      </c>
      <c r="AB6404">
        <v>3</v>
      </c>
      <c r="AC6404">
        <v>1.3781000000000001</v>
      </c>
      <c r="AD6404">
        <v>-1.1129085168340001</v>
      </c>
      <c r="AE6404">
        <v>0.10099999999999899</v>
      </c>
      <c r="AF6404">
        <v>-7.0253333249281999E-2</v>
      </c>
      <c r="AG6404">
        <v>-1.1129085168340001</v>
      </c>
      <c r="AH6404">
        <v>0.83517277155823499</v>
      </c>
      <c r="AI6404">
        <v>143.01689370282401</v>
      </c>
      <c r="AJ6404">
        <v>94.808305211370197</v>
      </c>
      <c r="AK6404">
        <v>1.3932029486139299</v>
      </c>
      <c r="AL6404">
        <v>84.698526244001101</v>
      </c>
      <c r="AM6404">
        <v>95.604270314925202</v>
      </c>
      <c r="AN6404">
        <v>1.0000000071248401</v>
      </c>
    </row>
    <row r="6405" spans="1:40" x14ac:dyDescent="0.25">
      <c r="A6405" t="str">
        <f>"20190304164814976"</f>
        <v>20190304164814976</v>
      </c>
      <c r="B6405" t="str">
        <f>"1551689294966462"</f>
        <v>1551689294966462</v>
      </c>
      <c r="C6405" t="s">
        <v>40</v>
      </c>
      <c r="D6405">
        <v>5.188669</v>
      </c>
      <c r="E6405">
        <v>0.52182810000000002</v>
      </c>
      <c r="F6405" t="s">
        <v>42</v>
      </c>
      <c r="G6405">
        <v>-124.73739999999999</v>
      </c>
      <c r="H6405" s="1">
        <v>-2.5089600000000002E-6</v>
      </c>
      <c r="I6405">
        <v>138.09979999999999</v>
      </c>
      <c r="J6405">
        <v>-126.0809</v>
      </c>
      <c r="K6405">
        <v>1.1128129999999901</v>
      </c>
      <c r="L6405">
        <v>137.9991</v>
      </c>
      <c r="M6405">
        <v>0.99930300000000005</v>
      </c>
      <c r="N6405">
        <v>-3.5744999999999999E-2</v>
      </c>
      <c r="O6405">
        <v>-1.075426E-2</v>
      </c>
      <c r="P6405">
        <v>0.99500259999999996</v>
      </c>
      <c r="Q6405">
        <v>4.9043509999999998E-2</v>
      </c>
      <c r="R6405">
        <v>8.697444E-2</v>
      </c>
      <c r="S6405">
        <v>3.1426850000000002</v>
      </c>
      <c r="T6405">
        <v>-2.5725539999999998</v>
      </c>
      <c r="U6405">
        <v>0.2325287</v>
      </c>
      <c r="V6405">
        <v>-9.7673860000000001E-2</v>
      </c>
      <c r="W6405">
        <v>8.4546919999999998E-2</v>
      </c>
      <c r="X6405">
        <v>0.99162070000000002</v>
      </c>
      <c r="Y6405">
        <v>-6.2449520000000001E-2</v>
      </c>
      <c r="Z6405">
        <v>3.0884789999999999E-2</v>
      </c>
      <c r="AA6405">
        <v>0.99757019999999996</v>
      </c>
      <c r="AB6405">
        <v>2</v>
      </c>
      <c r="AC6405">
        <v>1.3434999999999999</v>
      </c>
      <c r="AD6405">
        <v>-1.11281550895999</v>
      </c>
      <c r="AE6405">
        <v>0.10069999999998901</v>
      </c>
      <c r="AF6405">
        <v>-6.8451395172801605E-2</v>
      </c>
      <c r="AG6405">
        <v>-1.11281550895999</v>
      </c>
      <c r="AH6405">
        <v>0.79794654481173499</v>
      </c>
      <c r="AI6405">
        <v>144.257981641832</v>
      </c>
      <c r="AJ6405">
        <v>94.903082492844007</v>
      </c>
      <c r="AK6405">
        <v>1.3710443606462901</v>
      </c>
      <c r="AL6405">
        <v>85.150028432707103</v>
      </c>
      <c r="AM6405">
        <v>95.625443243621305</v>
      </c>
      <c r="AN6405">
        <v>0.99999998863863704</v>
      </c>
    </row>
    <row r="6406" spans="1:40" x14ac:dyDescent="0.25">
      <c r="A6406" t="str">
        <f>"20190304164814999"</f>
        <v>20190304164814999</v>
      </c>
      <c r="B6406" t="str">
        <f>"1551689294995741"</f>
        <v>1551689294995741</v>
      </c>
      <c r="C6406" t="s">
        <v>40</v>
      </c>
      <c r="D6406">
        <v>5.1739470000000001</v>
      </c>
      <c r="E6406">
        <v>0.5218931</v>
      </c>
      <c r="F6406" t="s">
        <v>42</v>
      </c>
      <c r="G6406">
        <v>-124.7346</v>
      </c>
      <c r="H6406" s="1">
        <v>-2.5105330000000002E-6</v>
      </c>
      <c r="I6406">
        <v>138.0976</v>
      </c>
      <c r="J6406">
        <v>-126.0671</v>
      </c>
      <c r="K6406">
        <v>1.1126499999999999</v>
      </c>
      <c r="L6406">
        <v>137.99889999999999</v>
      </c>
      <c r="M6406">
        <v>0.99932220000000005</v>
      </c>
      <c r="N6406">
        <v>-3.521059E-2</v>
      </c>
      <c r="O6406">
        <v>-1.07537E-2</v>
      </c>
      <c r="P6406">
        <v>0.99531139999999996</v>
      </c>
      <c r="Q6406">
        <v>4.3086279999999998E-2</v>
      </c>
      <c r="R6406">
        <v>8.6596199999999998E-2</v>
      </c>
      <c r="S6406">
        <v>3.1222989999999999</v>
      </c>
      <c r="T6406">
        <v>-2.5807730000000002</v>
      </c>
      <c r="U6406">
        <v>0.22857669999999999</v>
      </c>
      <c r="V6406">
        <v>-9.7297939999999999E-2</v>
      </c>
      <c r="W6406">
        <v>7.8074389999999994E-2</v>
      </c>
      <c r="X6406">
        <v>0.99218819999999996</v>
      </c>
      <c r="Y6406">
        <v>-6.1576470000000001E-2</v>
      </c>
      <c r="Z6406">
        <v>3.0767880000000001E-2</v>
      </c>
      <c r="AA6406">
        <v>0.99762799999999996</v>
      </c>
      <c r="AB6406">
        <v>2</v>
      </c>
      <c r="AC6406">
        <v>1.33249999999999</v>
      </c>
      <c r="AD6406">
        <v>-1.1126525105329901</v>
      </c>
      <c r="AE6406">
        <v>9.8700000000008004E-2</v>
      </c>
      <c r="AF6406">
        <v>-6.6747290743323306E-2</v>
      </c>
      <c r="AG6406">
        <v>-1.1126525105329901</v>
      </c>
      <c r="AH6406">
        <v>0.786187536044468</v>
      </c>
      <c r="AI6406">
        <v>144.65838235067301</v>
      </c>
      <c r="AJ6406">
        <v>94.852772144467096</v>
      </c>
      <c r="AK6406">
        <v>1.3640167344459599</v>
      </c>
      <c r="AL6406">
        <v>85.522109666520805</v>
      </c>
      <c r="AM6406">
        <v>95.600745642231004</v>
      </c>
      <c r="AN6406">
        <v>0.99999996186067697</v>
      </c>
    </row>
    <row r="6407" spans="1:40" x14ac:dyDescent="0.25">
      <c r="A6407" t="str">
        <f>"20190304164815037"</f>
        <v>20190304164815037</v>
      </c>
      <c r="B6407" t="str">
        <f>"1551689295025997"</f>
        <v>1551689295025997</v>
      </c>
      <c r="C6407" t="s">
        <v>40</v>
      </c>
      <c r="D6407">
        <v>5.164218</v>
      </c>
      <c r="E6407">
        <v>0.52202380000000004</v>
      </c>
      <c r="F6407" t="s">
        <v>42</v>
      </c>
      <c r="G6407">
        <v>-124.7229</v>
      </c>
      <c r="H6407" s="1">
        <v>-2.5158090000000002E-6</v>
      </c>
      <c r="I6407">
        <v>138.09620000000001</v>
      </c>
      <c r="J6407">
        <v>-126.0502</v>
      </c>
      <c r="K6407">
        <v>1.112271</v>
      </c>
      <c r="L6407">
        <v>137.99870000000001</v>
      </c>
      <c r="M6407">
        <v>0.99937390000000004</v>
      </c>
      <c r="N6407">
        <v>-3.3712789999999999E-2</v>
      </c>
      <c r="O6407">
        <v>-1.075305E-2</v>
      </c>
      <c r="P6407">
        <v>0.99596890000000005</v>
      </c>
      <c r="Q6407">
        <v>2.8489670000000002E-2</v>
      </c>
      <c r="R6407">
        <v>8.5056199999999998E-2</v>
      </c>
      <c r="S6407">
        <v>3.1058650000000001</v>
      </c>
      <c r="T6407">
        <v>-2.5706980000000001</v>
      </c>
      <c r="U6407">
        <v>0.2248077</v>
      </c>
      <c r="V6407">
        <v>-9.5764260000000004E-2</v>
      </c>
      <c r="W6407">
        <v>6.2021310000000003E-2</v>
      </c>
      <c r="X6407">
        <v>0.99346999999999996</v>
      </c>
      <c r="Y6407">
        <v>-6.0934309999999998E-2</v>
      </c>
      <c r="Z6407">
        <v>3.0517829999999999E-2</v>
      </c>
      <c r="AA6407">
        <v>0.99767510000000004</v>
      </c>
      <c r="AB6407">
        <v>1</v>
      </c>
      <c r="AC6407">
        <v>1.3272999999999999</v>
      </c>
      <c r="AD6407">
        <v>-1.112273515809</v>
      </c>
      <c r="AE6407">
        <v>9.7499999999996603E-2</v>
      </c>
      <c r="AF6407">
        <v>-6.5809219121896106E-2</v>
      </c>
      <c r="AG6407">
        <v>-1.112273515809</v>
      </c>
      <c r="AH6407">
        <v>0.78080509629279504</v>
      </c>
      <c r="AI6407">
        <v>144.836102364808</v>
      </c>
      <c r="AJ6407">
        <v>94.817719473091898</v>
      </c>
      <c r="AK6407">
        <v>1.3605659946097199</v>
      </c>
      <c r="AL6407">
        <v>86.444158669827303</v>
      </c>
      <c r="AM6407">
        <v>95.505941585191906</v>
      </c>
      <c r="AN6407">
        <v>1.00000003864373</v>
      </c>
    </row>
    <row r="6408" spans="1:40" x14ac:dyDescent="0.25">
      <c r="A6408" t="str">
        <f>"20190304164815068"</f>
        <v>20190304164815068</v>
      </c>
      <c r="B6408" t="str">
        <f>"1551689295066013"</f>
        <v>1551689295066013</v>
      </c>
      <c r="C6408" t="s">
        <v>40</v>
      </c>
      <c r="D6408">
        <v>5.2255969999999996</v>
      </c>
      <c r="E6408">
        <v>0.52290239999999999</v>
      </c>
      <c r="F6408" t="s">
        <v>42</v>
      </c>
      <c r="G6408">
        <v>-124.7355</v>
      </c>
      <c r="H6408" s="1">
        <v>-2.511033E-6</v>
      </c>
      <c r="I6408">
        <v>138.0926</v>
      </c>
      <c r="J6408">
        <v>-126.04</v>
      </c>
      <c r="K6408">
        <v>1.111934</v>
      </c>
      <c r="L6408">
        <v>137.99870000000001</v>
      </c>
      <c r="M6408">
        <v>0.99943009999999999</v>
      </c>
      <c r="N6408">
        <v>-3.2001759999999997E-2</v>
      </c>
      <c r="O6408">
        <v>-1.075343E-2</v>
      </c>
      <c r="P6408">
        <v>0.99616649999999995</v>
      </c>
      <c r="Q6408">
        <v>2.4561800000000002E-2</v>
      </c>
      <c r="R6408">
        <v>8.3960919999999994E-2</v>
      </c>
      <c r="S6408">
        <v>3.0676730000000001</v>
      </c>
      <c r="T6408">
        <v>-2.5952190000000002</v>
      </c>
      <c r="U6408">
        <v>0.2189941</v>
      </c>
      <c r="V6408">
        <v>-9.4671669999999999E-2</v>
      </c>
      <c r="W6408">
        <v>5.6401659999999999E-2</v>
      </c>
      <c r="X6408">
        <v>0.9939095</v>
      </c>
      <c r="Y6408">
        <v>-5.9566939999999999E-2</v>
      </c>
      <c r="Z6408">
        <v>3.0457919999999999E-2</v>
      </c>
      <c r="AA6408">
        <v>0.99775950000000002</v>
      </c>
      <c r="AB6408">
        <v>1</v>
      </c>
      <c r="AC6408">
        <v>1.3045</v>
      </c>
      <c r="AD6408">
        <v>-1.111936511033</v>
      </c>
      <c r="AE6408">
        <v>9.3899999999990699E-2</v>
      </c>
      <c r="AF6408">
        <v>-6.2647223692579204E-2</v>
      </c>
      <c r="AG6408">
        <v>-1.111936511033</v>
      </c>
      <c r="AH6408">
        <v>0.75656059174088097</v>
      </c>
      <c r="AI6408">
        <v>145.67756176069301</v>
      </c>
      <c r="AJ6408">
        <v>94.733594716586495</v>
      </c>
      <c r="AK6408">
        <v>1.3463697145212099</v>
      </c>
      <c r="AL6408">
        <v>86.766707059217197</v>
      </c>
      <c r="AM6408">
        <v>95.441110258962993</v>
      </c>
      <c r="AN6408">
        <v>0.99999998327079698</v>
      </c>
    </row>
    <row r="6409" spans="1:40" x14ac:dyDescent="0.25">
      <c r="A6409" t="str">
        <f>"20190304164815094"</f>
        <v>20190304164815094</v>
      </c>
      <c r="B6409" t="str">
        <f>"1551689295085533"</f>
        <v>1551689295085533</v>
      </c>
      <c r="C6409" t="s">
        <v>40</v>
      </c>
      <c r="D6409">
        <v>5.2130260000000002</v>
      </c>
      <c r="E6409">
        <v>0.52371469999999998</v>
      </c>
      <c r="F6409" t="s">
        <v>42</v>
      </c>
      <c r="G6409">
        <v>-124.5759</v>
      </c>
      <c r="H6409" s="1">
        <v>-2.5801169999999999E-6</v>
      </c>
      <c r="I6409">
        <v>138.08920000000001</v>
      </c>
      <c r="J6409">
        <v>-126.0339</v>
      </c>
      <c r="K6409">
        <v>1.1116889999999999</v>
      </c>
      <c r="L6409">
        <v>137.99860000000001</v>
      </c>
      <c r="M6409">
        <v>0.99947549999999996</v>
      </c>
      <c r="N6409">
        <v>-3.054813E-2</v>
      </c>
      <c r="O6409">
        <v>-1.0753789999999999E-2</v>
      </c>
      <c r="P6409">
        <v>0.99634739999999999</v>
      </c>
      <c r="Q6409">
        <v>2.1777609999999999E-2</v>
      </c>
      <c r="R6409">
        <v>8.2570809999999994E-2</v>
      </c>
      <c r="S6409">
        <v>3.0527799999999998</v>
      </c>
      <c r="T6409">
        <v>-2.3183539999999998</v>
      </c>
      <c r="U6409">
        <v>0.18887329999999999</v>
      </c>
      <c r="V6409">
        <v>-9.3283550000000007E-2</v>
      </c>
      <c r="W6409">
        <v>5.2178349999999998E-2</v>
      </c>
      <c r="X6409">
        <v>0.99427140000000003</v>
      </c>
      <c r="Y6409">
        <v>-5.5183179999999998E-2</v>
      </c>
      <c r="Z6409">
        <v>2.6453999999999998E-2</v>
      </c>
      <c r="AA6409">
        <v>0.9981257</v>
      </c>
      <c r="AB6409">
        <v>1</v>
      </c>
      <c r="AC6409">
        <v>1.45799999999999</v>
      </c>
      <c r="AD6409">
        <v>-1.111691580117</v>
      </c>
      <c r="AE6409">
        <v>9.0599999999994907E-2</v>
      </c>
      <c r="AF6409">
        <v>-6.7303365066378906E-2</v>
      </c>
      <c r="AG6409">
        <v>-1.111691580117</v>
      </c>
      <c r="AH6409">
        <v>0.92261955353246905</v>
      </c>
      <c r="AI6409">
        <v>140.23516648181399</v>
      </c>
      <c r="AJ6409">
        <v>94.172229328230202</v>
      </c>
      <c r="AK6409">
        <v>1.44624159558932</v>
      </c>
      <c r="AL6409">
        <v>87.009042554303207</v>
      </c>
      <c r="AM6409">
        <v>95.359858315674202</v>
      </c>
      <c r="AN6409">
        <v>1.00000000888364</v>
      </c>
    </row>
    <row r="6410" spans="1:40" x14ac:dyDescent="0.25">
      <c r="A6410" t="str">
        <f>"20190304164815127"</f>
        <v>20190304164815127</v>
      </c>
      <c r="B6410" t="str">
        <f>"1551689295115790"</f>
        <v>1551689295115790</v>
      </c>
      <c r="C6410" t="s">
        <v>40</v>
      </c>
      <c r="D6410">
        <v>5.221978</v>
      </c>
      <c r="E6410">
        <v>0.52430519999999903</v>
      </c>
      <c r="F6410" t="s">
        <v>42</v>
      </c>
      <c r="G6410">
        <v>-124.5715</v>
      </c>
      <c r="H6410" s="1">
        <v>-2.5833049999999998E-6</v>
      </c>
      <c r="I6410">
        <v>138.08189999999999</v>
      </c>
      <c r="J6410">
        <v>-126.0277</v>
      </c>
      <c r="K6410">
        <v>1.1113820000000001</v>
      </c>
      <c r="L6410">
        <v>137.99850000000001</v>
      </c>
      <c r="M6410">
        <v>0.99953499999999995</v>
      </c>
      <c r="N6410">
        <v>-2.8535250000000002E-2</v>
      </c>
      <c r="O6410">
        <v>-1.075425E-2</v>
      </c>
      <c r="P6410">
        <v>0.99670899999999996</v>
      </c>
      <c r="Q6410">
        <v>1.254895E-2</v>
      </c>
      <c r="R6410">
        <v>8.0087569999999997E-2</v>
      </c>
      <c r="S6410">
        <v>3.047256</v>
      </c>
      <c r="T6410">
        <v>-2.3164600000000002</v>
      </c>
      <c r="U6410">
        <v>0.17358399999999999</v>
      </c>
      <c r="V6410">
        <v>-9.080473E-2</v>
      </c>
      <c r="W6410">
        <v>4.0962510000000001E-2</v>
      </c>
      <c r="X6410">
        <v>0.99502590000000002</v>
      </c>
      <c r="Y6410">
        <v>-5.1331590000000003E-2</v>
      </c>
      <c r="Z6410">
        <v>2.5075770000000001E-2</v>
      </c>
      <c r="AA6410">
        <v>0.9983668</v>
      </c>
      <c r="AB6410">
        <v>1</v>
      </c>
      <c r="AC6410">
        <v>1.4561999999999899</v>
      </c>
      <c r="AD6410">
        <v>-1.11138458330499</v>
      </c>
      <c r="AE6410">
        <v>8.3399999999983196E-2</v>
      </c>
      <c r="AF6410">
        <v>-6.2674264679018404E-2</v>
      </c>
      <c r="AG6410">
        <v>-1.11138458330499</v>
      </c>
      <c r="AH6410">
        <v>0.92068449098678495</v>
      </c>
      <c r="AI6410">
        <v>140.29615498111099</v>
      </c>
      <c r="AJ6410">
        <v>93.894319274012204</v>
      </c>
      <c r="AK6410">
        <v>1.44456349372558</v>
      </c>
      <c r="AL6410">
        <v>87.652364181631796</v>
      </c>
      <c r="AM6410">
        <v>95.214292926552602</v>
      </c>
      <c r="AN6410">
        <v>0.999999983943341</v>
      </c>
    </row>
    <row r="6411" spans="1:40" x14ac:dyDescent="0.25">
      <c r="A6411" t="str">
        <f>"20190304164815158"</f>
        <v>20190304164815158</v>
      </c>
      <c r="B6411" t="str">
        <f>"1551689295146045"</f>
        <v>1551689295146045</v>
      </c>
      <c r="C6411" t="s">
        <v>40</v>
      </c>
      <c r="D6411">
        <v>5.2051119999999997</v>
      </c>
      <c r="E6411">
        <v>0.52452240000000006</v>
      </c>
      <c r="F6411" t="s">
        <v>42</v>
      </c>
      <c r="G6411">
        <v>-124.5814</v>
      </c>
      <c r="H6411" s="1">
        <v>-2.5806170000000002E-6</v>
      </c>
      <c r="I6411">
        <v>138.07310000000001</v>
      </c>
      <c r="J6411">
        <v>-126.0235</v>
      </c>
      <c r="K6411">
        <v>1.111148</v>
      </c>
      <c r="L6411">
        <v>137.99850000000001</v>
      </c>
      <c r="M6411">
        <v>0.99958709999999995</v>
      </c>
      <c r="N6411">
        <v>-2.664621E-2</v>
      </c>
      <c r="O6411">
        <v>-1.075429E-2</v>
      </c>
      <c r="P6411">
        <v>0.99688529999999997</v>
      </c>
      <c r="Q6411">
        <v>7.5331390000000003E-3</v>
      </c>
      <c r="R6411">
        <v>7.8505210000000006E-2</v>
      </c>
      <c r="S6411">
        <v>3.0266419999999998</v>
      </c>
      <c r="T6411">
        <v>-2.3256260000000002</v>
      </c>
      <c r="U6411">
        <v>0.15606689999999901</v>
      </c>
      <c r="V6411">
        <v>-8.9224020000000001E-2</v>
      </c>
      <c r="W6411">
        <v>3.4072789999999999E-2</v>
      </c>
      <c r="X6411">
        <v>0.9954286</v>
      </c>
      <c r="Y6411">
        <v>-4.6876180000000003E-2</v>
      </c>
      <c r="Z6411">
        <v>2.367406E-2</v>
      </c>
      <c r="AA6411">
        <v>0.99862019999999996</v>
      </c>
      <c r="AB6411">
        <v>1</v>
      </c>
      <c r="AC6411">
        <v>1.4420999999999899</v>
      </c>
      <c r="AD6411">
        <v>-1.1111505806169999</v>
      </c>
      <c r="AE6411">
        <v>7.4600000000003705E-2</v>
      </c>
      <c r="AF6411">
        <v>-5.65982031714111E-2</v>
      </c>
      <c r="AG6411">
        <v>-1.1111505806169999</v>
      </c>
      <c r="AH6411">
        <v>0.90522877520586698</v>
      </c>
      <c r="AI6411">
        <v>140.77634615892799</v>
      </c>
      <c r="AJ6411">
        <v>93.577683897269694</v>
      </c>
      <c r="AK6411">
        <v>1.4343284508328</v>
      </c>
      <c r="AL6411">
        <v>88.047394976947203</v>
      </c>
      <c r="AM6411">
        <v>95.121949148740498</v>
      </c>
      <c r="AN6411">
        <v>0.99999998923065203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2020-05-20T14:50:17Z</dcterms:created>
  <dcterms:modified xsi:type="dcterms:W3CDTF">2020-05-20T14:50:18Z</dcterms:modified>
</cp:coreProperties>
</file>